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drawings/drawing2.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codeName="ThisWorkbook" defaultThemeVersion="124226"/>
  <bookViews>
    <workbookView xWindow="-15" yWindow="0" windowWidth="15600" windowHeight="8610" tabRatio="492"/>
  </bookViews>
  <sheets>
    <sheet name="Draw" sheetId="9" r:id="rId1"/>
    <sheet name="Players" sheetId="4" r:id="rId2"/>
    <sheet name="Match_Rosters" sheetId="8" r:id="rId3"/>
    <sheet name="Team_Matches" sheetId="5" r:id="rId4"/>
    <sheet name="RatingList" sheetId="13" r:id="rId5"/>
    <sheet name="Results" sheetId="10" state="hidden" r:id="rId6"/>
    <sheet name="Instructions" sheetId="14" r:id="rId7"/>
  </sheets>
  <definedNames>
    <definedName name="_xlnm._FilterDatabase" localSheetId="4" hidden="1">RatingList!$A$1:$F$7853</definedName>
    <definedName name="AV">Team_Matches!$AO$1:$AV$1</definedName>
    <definedName name="BV">Team_Matches!$AO$2:$AV$2</definedName>
    <definedName name="CV">Team_Matches!$AO$3:$AV$3</definedName>
    <definedName name="DV">Team_Matches!$AO$4:$AV$4</definedName>
    <definedName name="EV">Team_Matches!$AO$5:$AV$5</definedName>
    <definedName name="FV">Team_Matches!$AO$6:$AV$6</definedName>
    <definedName name="GV">Team_Matches!$AO$7:$AV$7</definedName>
    <definedName name="HV">Team_Matches!$AO$8:$AV$8</definedName>
    <definedName name="Interval">Draw!$AK$1:$AK$13</definedName>
    <definedName name="IV">Team_Matches!$AO$9:$AV$9</definedName>
    <definedName name="JV">Team_Matches!$AO$10:$AV$10</definedName>
    <definedName name="KV">Team_Matches!$AO$11:$AV$11</definedName>
    <definedName name="LV">Team_Matches!$AO$12:$AV$12</definedName>
    <definedName name="_xlnm.Print_Area" localSheetId="0">Draw!$A$1:$R$27</definedName>
    <definedName name="_xlnm.Print_Area" localSheetId="2">Match_Rosters!$A$1:$J$4488</definedName>
    <definedName name="_xlnm.Print_Area" localSheetId="1">Players!$A$1:$F$132,Players!$J$2:$Q$15</definedName>
    <definedName name="_xlnm.Print_Area" localSheetId="5">Results!$A$1:$A$264</definedName>
    <definedName name="_xlnm.Print_Area" localSheetId="3">Team_Matches!$A$1:$AF$3366</definedName>
    <definedName name="_xlnm.Print_Titles" localSheetId="1">Players!$1:$1</definedName>
    <definedName name="Start">Draw!$AJ$1:$AJ$158</definedName>
  </definedNames>
  <calcPr calcId="125725"/>
</workbook>
</file>

<file path=xl/calcChain.xml><?xml version="1.0" encoding="utf-8"?>
<calcChain xmlns="http://schemas.openxmlformats.org/spreadsheetml/2006/main">
  <c r="D128" i="4"/>
  <c r="D125"/>
  <c r="F132"/>
  <c r="F131"/>
  <c r="F130"/>
  <c r="F129"/>
  <c r="F128"/>
  <c r="F127"/>
  <c r="F126"/>
  <c r="F125"/>
  <c r="F121"/>
  <c r="F120"/>
  <c r="F119"/>
  <c r="F118"/>
  <c r="F117"/>
  <c r="F116"/>
  <c r="F115"/>
  <c r="F114"/>
  <c r="F110"/>
  <c r="F109"/>
  <c r="F108"/>
  <c r="F107"/>
  <c r="F106"/>
  <c r="F105"/>
  <c r="F104"/>
  <c r="F103"/>
  <c r="F99"/>
  <c r="F98"/>
  <c r="F97"/>
  <c r="F96"/>
  <c r="F95"/>
  <c r="F94"/>
  <c r="F93"/>
  <c r="F92"/>
  <c r="F88"/>
  <c r="F87"/>
  <c r="F86"/>
  <c r="F85"/>
  <c r="F84"/>
  <c r="F83"/>
  <c r="F82"/>
  <c r="F81"/>
  <c r="F77"/>
  <c r="F76"/>
  <c r="F75"/>
  <c r="F74"/>
  <c r="F73"/>
  <c r="F72"/>
  <c r="F71"/>
  <c r="F70"/>
  <c r="F66"/>
  <c r="F65"/>
  <c r="F64"/>
  <c r="F63"/>
  <c r="F62"/>
  <c r="F61"/>
  <c r="F60"/>
  <c r="F59"/>
  <c r="F55"/>
  <c r="F54"/>
  <c r="F53"/>
  <c r="F52"/>
  <c r="F51"/>
  <c r="F50"/>
  <c r="F49"/>
  <c r="F48"/>
  <c r="F44"/>
  <c r="F43"/>
  <c r="F42"/>
  <c r="F41"/>
  <c r="F40"/>
  <c r="F39"/>
  <c r="F38"/>
  <c r="F37"/>
  <c r="F33"/>
  <c r="F32"/>
  <c r="F31"/>
  <c r="F30"/>
  <c r="F29"/>
  <c r="F28"/>
  <c r="F27"/>
  <c r="F26"/>
  <c r="F22"/>
  <c r="F21"/>
  <c r="F20"/>
  <c r="F19"/>
  <c r="F18"/>
  <c r="F17"/>
  <c r="F16"/>
  <c r="F15"/>
  <c r="F11"/>
  <c r="F10"/>
  <c r="F9"/>
  <c r="F8"/>
  <c r="F7"/>
  <c r="F6"/>
  <c r="F5"/>
  <c r="F4"/>
  <c r="E132"/>
  <c r="E131"/>
  <c r="E130"/>
  <c r="E129"/>
  <c r="E128"/>
  <c r="E127"/>
  <c r="E126"/>
  <c r="E125"/>
  <c r="E121"/>
  <c r="E120"/>
  <c r="E119"/>
  <c r="E118"/>
  <c r="E117"/>
  <c r="E116"/>
  <c r="E115"/>
  <c r="E114"/>
  <c r="E110"/>
  <c r="E109"/>
  <c r="E108"/>
  <c r="E107"/>
  <c r="E106"/>
  <c r="E105"/>
  <c r="E104"/>
  <c r="E103"/>
  <c r="E99"/>
  <c r="E98"/>
  <c r="E97"/>
  <c r="E96"/>
  <c r="E95"/>
  <c r="E94"/>
  <c r="E93"/>
  <c r="E92"/>
  <c r="E88"/>
  <c r="E87"/>
  <c r="E86"/>
  <c r="E85"/>
  <c r="E84"/>
  <c r="E83"/>
  <c r="E82"/>
  <c r="E81"/>
  <c r="E77"/>
  <c r="E76"/>
  <c r="E75"/>
  <c r="E74"/>
  <c r="E73"/>
  <c r="E72"/>
  <c r="E71"/>
  <c r="E70"/>
  <c r="E66"/>
  <c r="E65"/>
  <c r="E64"/>
  <c r="E63"/>
  <c r="E62"/>
  <c r="E61"/>
  <c r="E60"/>
  <c r="E59"/>
  <c r="E55"/>
  <c r="E54"/>
  <c r="E53"/>
  <c r="E52"/>
  <c r="E51"/>
  <c r="E50"/>
  <c r="E49"/>
  <c r="E48"/>
  <c r="E44"/>
  <c r="E43"/>
  <c r="E42"/>
  <c r="E41"/>
  <c r="E40"/>
  <c r="E39"/>
  <c r="E38"/>
  <c r="E37"/>
  <c r="E33"/>
  <c r="E32"/>
  <c r="E31"/>
  <c r="E30"/>
  <c r="E29"/>
  <c r="E28"/>
  <c r="E27"/>
  <c r="E26"/>
  <c r="E22"/>
  <c r="E21"/>
  <c r="E20"/>
  <c r="E19"/>
  <c r="E18"/>
  <c r="E17"/>
  <c r="E16"/>
  <c r="E15"/>
  <c r="E11"/>
  <c r="E10"/>
  <c r="E9"/>
  <c r="E8"/>
  <c r="E7"/>
  <c r="E6"/>
  <c r="E5"/>
  <c r="E4"/>
  <c r="K78" l="1"/>
  <c r="K77"/>
  <c r="K76"/>
  <c r="K75"/>
  <c r="K74"/>
  <c r="K73"/>
  <c r="K72"/>
  <c r="C21" i="14"/>
  <c r="C31"/>
  <c r="C30"/>
  <c r="C29"/>
  <c r="C28"/>
  <c r="C27"/>
  <c r="C26"/>
  <c r="C25"/>
  <c r="C24"/>
  <c r="C23"/>
  <c r="D3322" i="5"/>
  <c r="D3271"/>
  <c r="D3220"/>
  <c r="D3169"/>
  <c r="D3118"/>
  <c r="D3067"/>
  <c r="D3016"/>
  <c r="D2965"/>
  <c r="D2914"/>
  <c r="D2863"/>
  <c r="D2812"/>
  <c r="D2761"/>
  <c r="D2710"/>
  <c r="D2659"/>
  <c r="D2608"/>
  <c r="D2557"/>
  <c r="D2506"/>
  <c r="D2455"/>
  <c r="D2404"/>
  <c r="D2353"/>
  <c r="D2302"/>
  <c r="D2251"/>
  <c r="D2200"/>
  <c r="D2149"/>
  <c r="D2098"/>
  <c r="D2047"/>
  <c r="D1996"/>
  <c r="D1945"/>
  <c r="D1894"/>
  <c r="D1843"/>
  <c r="D1792"/>
  <c r="D1741"/>
  <c r="D1690"/>
  <c r="D1639"/>
  <c r="D1588"/>
  <c r="D1537"/>
  <c r="D1486"/>
  <c r="D1435"/>
  <c r="D1384"/>
  <c r="D1333"/>
  <c r="D1282"/>
  <c r="D1231"/>
  <c r="D1180"/>
  <c r="D1129"/>
  <c r="D1078"/>
  <c r="D1027"/>
  <c r="D976"/>
  <c r="D925"/>
  <c r="D874"/>
  <c r="D823"/>
  <c r="D772"/>
  <c r="D721"/>
  <c r="D670"/>
  <c r="D619"/>
  <c r="D568"/>
  <c r="D517"/>
  <c r="D466"/>
  <c r="D415"/>
  <c r="D364"/>
  <c r="D313"/>
  <c r="D262"/>
  <c r="D211"/>
  <c r="D160"/>
  <c r="D109"/>
  <c r="D58"/>
  <c r="C18" i="14"/>
  <c r="C19"/>
  <c r="C20"/>
  <c r="C22"/>
  <c r="E1" i="10"/>
  <c r="E2"/>
  <c r="E3"/>
  <c r="E4"/>
  <c r="E5"/>
  <c r="E6"/>
  <c r="E7"/>
  <c r="E8"/>
  <c r="E9"/>
  <c r="E10"/>
  <c r="E11"/>
  <c r="E12"/>
  <c r="E13"/>
  <c r="E14"/>
  <c r="E15"/>
  <c r="E16"/>
  <c r="E17"/>
  <c r="E18"/>
  <c r="E19"/>
  <c r="E20"/>
  <c r="E21"/>
  <c r="E22"/>
  <c r="E23"/>
  <c r="E24"/>
  <c r="E25"/>
  <c r="E26"/>
  <c r="E27"/>
  <c r="E28"/>
  <c r="E29"/>
  <c r="E30"/>
  <c r="E31"/>
  <c r="E32"/>
  <c r="E33"/>
  <c r="E34"/>
  <c r="E35"/>
  <c r="E36"/>
  <c r="E37"/>
  <c r="E38"/>
  <c r="E39"/>
  <c r="E40"/>
  <c r="E41"/>
  <c r="E42"/>
  <c r="E43"/>
  <c r="E44"/>
  <c r="E45"/>
  <c r="E46"/>
  <c r="E47"/>
  <c r="E48"/>
  <c r="E49"/>
  <c r="E50"/>
  <c r="E51"/>
  <c r="E52"/>
  <c r="E53"/>
  <c r="E54"/>
  <c r="E55"/>
  <c r="E56"/>
  <c r="E57"/>
  <c r="E58"/>
  <c r="E59"/>
  <c r="E60"/>
  <c r="E61"/>
  <c r="E62"/>
  <c r="E63"/>
  <c r="E64"/>
  <c r="E65"/>
  <c r="E66"/>
  <c r="E67"/>
  <c r="E68"/>
  <c r="E69"/>
  <c r="E70"/>
  <c r="E71"/>
  <c r="E72"/>
  <c r="E73"/>
  <c r="E74"/>
  <c r="E75"/>
  <c r="E76"/>
  <c r="E77"/>
  <c r="E78"/>
  <c r="E79"/>
  <c r="E80"/>
  <c r="E81"/>
  <c r="E82"/>
  <c r="E83"/>
  <c r="E84"/>
  <c r="E85"/>
  <c r="E86"/>
  <c r="E87"/>
  <c r="E88"/>
  <c r="E89"/>
  <c r="E90"/>
  <c r="E91"/>
  <c r="E92"/>
  <c r="E93"/>
  <c r="E94"/>
  <c r="E95"/>
  <c r="E96"/>
  <c r="E97"/>
  <c r="E98"/>
  <c r="E99"/>
  <c r="E100"/>
  <c r="E101"/>
  <c r="E102"/>
  <c r="E103"/>
  <c r="E104"/>
  <c r="E105"/>
  <c r="E106"/>
  <c r="E107"/>
  <c r="E108"/>
  <c r="E109"/>
  <c r="E110"/>
  <c r="E111"/>
  <c r="E112"/>
  <c r="E113"/>
  <c r="E114"/>
  <c r="E115"/>
  <c r="E116"/>
  <c r="E117"/>
  <c r="E118"/>
  <c r="E119"/>
  <c r="E120"/>
  <c r="E121"/>
  <c r="E122"/>
  <c r="E123"/>
  <c r="E124"/>
  <c r="E125"/>
  <c r="E126"/>
  <c r="E127"/>
  <c r="E128"/>
  <c r="E129"/>
  <c r="E130"/>
  <c r="E131"/>
  <c r="E132"/>
  <c r="E133"/>
  <c r="E134"/>
  <c r="E135"/>
  <c r="E136"/>
  <c r="E137"/>
  <c r="E138"/>
  <c r="E139"/>
  <c r="E140"/>
  <c r="E141"/>
  <c r="E142"/>
  <c r="E143"/>
  <c r="E144"/>
  <c r="E145"/>
  <c r="E146"/>
  <c r="E147"/>
  <c r="E148"/>
  <c r="E149"/>
  <c r="E150"/>
  <c r="E151"/>
  <c r="E152"/>
  <c r="E153"/>
  <c r="E154"/>
  <c r="E155"/>
  <c r="E156"/>
  <c r="E157"/>
  <c r="E158"/>
  <c r="E159"/>
  <c r="E160"/>
  <c r="E161"/>
  <c r="E162"/>
  <c r="E163"/>
  <c r="E164"/>
  <c r="E165"/>
  <c r="E166"/>
  <c r="E167"/>
  <c r="E168"/>
  <c r="E169"/>
  <c r="E170"/>
  <c r="E171"/>
  <c r="E172"/>
  <c r="E173"/>
  <c r="E174"/>
  <c r="E175"/>
  <c r="E176"/>
  <c r="E177"/>
  <c r="E178"/>
  <c r="E179"/>
  <c r="E180"/>
  <c r="E181"/>
  <c r="E182"/>
  <c r="E183"/>
  <c r="E184"/>
  <c r="E185"/>
  <c r="E186"/>
  <c r="E187"/>
  <c r="E188"/>
  <c r="E189"/>
  <c r="E190"/>
  <c r="E191"/>
  <c r="E192"/>
  <c r="E193"/>
  <c r="E194"/>
  <c r="E195"/>
  <c r="E196"/>
  <c r="E197"/>
  <c r="E198"/>
  <c r="E199"/>
  <c r="E200"/>
  <c r="E201"/>
  <c r="E202"/>
  <c r="E203"/>
  <c r="E204"/>
  <c r="E205"/>
  <c r="E206"/>
  <c r="E207"/>
  <c r="E208"/>
  <c r="E209"/>
  <c r="E210"/>
  <c r="E211"/>
  <c r="E212"/>
  <c r="E213"/>
  <c r="E214"/>
  <c r="E215"/>
  <c r="E216"/>
  <c r="E217"/>
  <c r="E218"/>
  <c r="E219"/>
  <c r="E220"/>
  <c r="E221"/>
  <c r="E222"/>
  <c r="E223"/>
  <c r="E224"/>
  <c r="E225"/>
  <c r="E226"/>
  <c r="E227"/>
  <c r="E228"/>
  <c r="E229"/>
  <c r="E230"/>
  <c r="E231"/>
  <c r="E232"/>
  <c r="E233"/>
  <c r="E234"/>
  <c r="E235"/>
  <c r="E236"/>
  <c r="E237"/>
  <c r="E238"/>
  <c r="E239"/>
  <c r="E240"/>
  <c r="E241"/>
  <c r="E242"/>
  <c r="E243"/>
  <c r="E244"/>
  <c r="E245"/>
  <c r="E246"/>
  <c r="E247"/>
  <c r="E248"/>
  <c r="E249"/>
  <c r="E250"/>
  <c r="E251"/>
  <c r="E252"/>
  <c r="E253"/>
  <c r="E254"/>
  <c r="E255"/>
  <c r="E256"/>
  <c r="E257"/>
  <c r="E258"/>
  <c r="E259"/>
  <c r="E260"/>
  <c r="E261"/>
  <c r="E262"/>
  <c r="E263"/>
  <c r="E264"/>
  <c r="AO1" i="5"/>
  <c r="AP1"/>
  <c r="AQ1"/>
  <c r="AR1"/>
  <c r="AS1"/>
  <c r="AT1"/>
  <c r="AU1"/>
  <c r="AV1"/>
  <c r="AW1"/>
  <c r="AX1"/>
  <c r="AO2"/>
  <c r="AP2"/>
  <c r="AQ2"/>
  <c r="AR2"/>
  <c r="AS2"/>
  <c r="AW2" s="1"/>
  <c r="AT2"/>
  <c r="AU2"/>
  <c r="AV2"/>
  <c r="AX2"/>
  <c r="AO3"/>
  <c r="AP3"/>
  <c r="AQ3"/>
  <c r="AR3"/>
  <c r="AS3"/>
  <c r="AW3" s="1"/>
  <c r="AT3"/>
  <c r="AU3"/>
  <c r="AV3"/>
  <c r="AX3"/>
  <c r="AO4"/>
  <c r="AP4"/>
  <c r="AQ4"/>
  <c r="AR4"/>
  <c r="AS4"/>
  <c r="AW4" s="1"/>
  <c r="AT4"/>
  <c r="AU4"/>
  <c r="AV4"/>
  <c r="AX4"/>
  <c r="D5"/>
  <c r="AO5"/>
  <c r="AP5"/>
  <c r="AQ5"/>
  <c r="AR5"/>
  <c r="AS5"/>
  <c r="AW5" s="1"/>
  <c r="AT5"/>
  <c r="AU5"/>
  <c r="AV5"/>
  <c r="AX5"/>
  <c r="D6"/>
  <c r="J6"/>
  <c r="G1804" i="8" s="1"/>
  <c r="AO6" i="5"/>
  <c r="AP6"/>
  <c r="AQ6"/>
  <c r="AR6"/>
  <c r="AS6"/>
  <c r="AW6" s="1"/>
  <c r="AT6"/>
  <c r="AU6"/>
  <c r="AV6"/>
  <c r="AX6"/>
  <c r="D7"/>
  <c r="J7"/>
  <c r="G37" i="8" s="1"/>
  <c r="AO7" i="5"/>
  <c r="AP7"/>
  <c r="AQ7"/>
  <c r="AR7"/>
  <c r="AS7"/>
  <c r="AT7"/>
  <c r="AU7"/>
  <c r="AV7"/>
  <c r="AW7"/>
  <c r="AX7"/>
  <c r="AO8"/>
  <c r="AP8"/>
  <c r="AQ8"/>
  <c r="AR8"/>
  <c r="AS8"/>
  <c r="AW8" s="1"/>
  <c r="AT8"/>
  <c r="AU8"/>
  <c r="AV8"/>
  <c r="AX8"/>
  <c r="B9"/>
  <c r="A36" s="1"/>
  <c r="K9"/>
  <c r="J10" s="1"/>
  <c r="Z16" s="1"/>
  <c r="AO9"/>
  <c r="AP9"/>
  <c r="AQ9"/>
  <c r="AR9"/>
  <c r="AS9"/>
  <c r="AW9" s="1"/>
  <c r="AT9"/>
  <c r="AU9"/>
  <c r="AV9"/>
  <c r="AX9"/>
  <c r="AO10"/>
  <c r="AP10"/>
  <c r="AQ10"/>
  <c r="AR10"/>
  <c r="AS10"/>
  <c r="AW10" s="1"/>
  <c r="AT10"/>
  <c r="AU10"/>
  <c r="AV10"/>
  <c r="AX10"/>
  <c r="G11"/>
  <c r="AO11"/>
  <c r="AP11"/>
  <c r="AQ11"/>
  <c r="AR11"/>
  <c r="AS11"/>
  <c r="AW11" s="1"/>
  <c r="AT11"/>
  <c r="AU11"/>
  <c r="AV11"/>
  <c r="AX11"/>
  <c r="AO12"/>
  <c r="AP12"/>
  <c r="AQ12"/>
  <c r="AR12"/>
  <c r="AS12"/>
  <c r="AW12" s="1"/>
  <c r="AT12"/>
  <c r="AU12"/>
  <c r="AV12"/>
  <c r="AX12"/>
  <c r="Q15"/>
  <c r="R18"/>
  <c r="Q22"/>
  <c r="G2" i="10" s="1"/>
  <c r="Q29" i="5"/>
  <c r="R32"/>
  <c r="R46"/>
  <c r="D56"/>
  <c r="D57"/>
  <c r="J58"/>
  <c r="G71" i="8" s="1"/>
  <c r="B60" i="5"/>
  <c r="B101" s="1"/>
  <c r="K60"/>
  <c r="R101" s="1"/>
  <c r="G62"/>
  <c r="Q66"/>
  <c r="G5" i="10" s="1"/>
  <c r="R69" i="5"/>
  <c r="Q73"/>
  <c r="I71" s="1"/>
  <c r="G6" i="10"/>
  <c r="Q80" i="5"/>
  <c r="I78" s="1"/>
  <c r="Q81"/>
  <c r="R83"/>
  <c r="R97"/>
  <c r="D107"/>
  <c r="D108"/>
  <c r="J109"/>
  <c r="G139" i="8" s="1"/>
  <c r="B111" i="5"/>
  <c r="R136" s="1"/>
  <c r="K111"/>
  <c r="I141" i="8" s="1"/>
  <c r="G113" i="5"/>
  <c r="Q117"/>
  <c r="J9" i="10"/>
  <c r="R120" i="5"/>
  <c r="K122"/>
  <c r="Q124"/>
  <c r="L122" s="1"/>
  <c r="K129"/>
  <c r="Q131"/>
  <c r="L129" s="1"/>
  <c r="G11" i="10"/>
  <c r="R134" i="5"/>
  <c r="R148"/>
  <c r="D158"/>
  <c r="D159"/>
  <c r="J160"/>
  <c r="B162"/>
  <c r="D209" i="8" s="1"/>
  <c r="B210" s="1"/>
  <c r="K162" i="5"/>
  <c r="I209" i="8" s="1"/>
  <c r="G164" i="5"/>
  <c r="Q168"/>
  <c r="F13" i="10" s="1"/>
  <c r="R171" i="5"/>
  <c r="Q175"/>
  <c r="Q182"/>
  <c r="J180" s="1"/>
  <c r="R185"/>
  <c r="R199"/>
  <c r="D209"/>
  <c r="D210"/>
  <c r="J211"/>
  <c r="M211" s="1"/>
  <c r="B213"/>
  <c r="A233" s="1"/>
  <c r="K213"/>
  <c r="A249" s="1"/>
  <c r="G215"/>
  <c r="L217"/>
  <c r="Q219"/>
  <c r="H217"/>
  <c r="R222"/>
  <c r="Q226"/>
  <c r="I224" s="1"/>
  <c r="K231"/>
  <c r="Q233"/>
  <c r="I231" s="1"/>
  <c r="F19" i="10"/>
  <c r="Q235" i="5"/>
  <c r="Q236" s="1"/>
  <c r="R236"/>
  <c r="R250"/>
  <c r="D260"/>
  <c r="D261"/>
  <c r="J262"/>
  <c r="G343" i="8" s="1"/>
  <c r="B264" i="5"/>
  <c r="G304" s="1"/>
  <c r="K264"/>
  <c r="G266"/>
  <c r="Q270"/>
  <c r="Q272" s="1"/>
  <c r="R273"/>
  <c r="Q277"/>
  <c r="F22" i="10" s="1"/>
  <c r="K275" i="5"/>
  <c r="I282"/>
  <c r="Q284"/>
  <c r="K282" s="1"/>
  <c r="Q285"/>
  <c r="R287"/>
  <c r="R301"/>
  <c r="D311"/>
  <c r="D312"/>
  <c r="J313"/>
  <c r="G411" i="8" s="1"/>
  <c r="B315" i="5"/>
  <c r="A316" s="1"/>
  <c r="K315"/>
  <c r="R342" s="1"/>
  <c r="G317"/>
  <c r="L319"/>
  <c r="Q321"/>
  <c r="J319" s="1"/>
  <c r="F25" i="10"/>
  <c r="G25"/>
  <c r="Q323" i="5"/>
  <c r="Q324"/>
  <c r="R324"/>
  <c r="Q328"/>
  <c r="Q335"/>
  <c r="I27" i="10" s="1"/>
  <c r="R338" i="5"/>
  <c r="R352"/>
  <c r="D362"/>
  <c r="D363"/>
  <c r="J364"/>
  <c r="G479" i="8" s="1"/>
  <c r="B366" i="5"/>
  <c r="D515" i="8" s="1"/>
  <c r="K366" i="5"/>
  <c r="I481" i="8" s="1"/>
  <c r="G368" i="5"/>
  <c r="H370"/>
  <c r="L370"/>
  <c r="Q372"/>
  <c r="G29" i="10"/>
  <c r="R375" i="5"/>
  <c r="Q379"/>
  <c r="G30" i="10" s="1"/>
  <c r="I384" i="5"/>
  <c r="K384"/>
  <c r="L384"/>
  <c r="Q386"/>
  <c r="G31" i="10"/>
  <c r="F31"/>
  <c r="I31"/>
  <c r="Q387" i="5"/>
  <c r="Q388"/>
  <c r="R389"/>
  <c r="R403"/>
  <c r="D413"/>
  <c r="D414"/>
  <c r="J415"/>
  <c r="G547" i="8" s="1"/>
  <c r="B417" i="5"/>
  <c r="A430" s="1"/>
  <c r="K417"/>
  <c r="G419"/>
  <c r="Q423"/>
  <c r="H421"/>
  <c r="R426"/>
  <c r="Q430"/>
  <c r="Q437"/>
  <c r="I35" i="10" s="1"/>
  <c r="R440" i="5"/>
  <c r="R454"/>
  <c r="D464"/>
  <c r="D465"/>
  <c r="J466"/>
  <c r="B468"/>
  <c r="A502" s="1"/>
  <c r="K468"/>
  <c r="R481" s="1"/>
  <c r="G470"/>
  <c r="Q474"/>
  <c r="R477"/>
  <c r="Q481"/>
  <c r="J479"/>
  <c r="Q488"/>
  <c r="G39" i="10"/>
  <c r="R491" i="5"/>
  <c r="R505"/>
  <c r="D515"/>
  <c r="D516"/>
  <c r="J517"/>
  <c r="M517" s="1"/>
  <c r="B519"/>
  <c r="A525" s="1"/>
  <c r="K519"/>
  <c r="R560" s="1"/>
  <c r="G521"/>
  <c r="Q525"/>
  <c r="R528"/>
  <c r="Q532"/>
  <c r="J530" s="1"/>
  <c r="L530"/>
  <c r="I42" i="10"/>
  <c r="Q539" i="5"/>
  <c r="I43" i="10"/>
  <c r="R542" i="5"/>
  <c r="R556"/>
  <c r="D566"/>
  <c r="D567"/>
  <c r="J568"/>
  <c r="G751" i="8" s="1"/>
  <c r="B570" i="5"/>
  <c r="B611" s="1"/>
  <c r="K570"/>
  <c r="A585" s="1"/>
  <c r="G572"/>
  <c r="Q576"/>
  <c r="H45" i="10"/>
  <c r="R579" i="5"/>
  <c r="Q583"/>
  <c r="K581" s="1"/>
  <c r="Q590"/>
  <c r="R593"/>
  <c r="R607"/>
  <c r="D617"/>
  <c r="D618"/>
  <c r="J619"/>
  <c r="G853" i="8" s="1"/>
  <c r="B621" i="5"/>
  <c r="A627" s="1"/>
  <c r="K621"/>
  <c r="R634" s="1"/>
  <c r="G623"/>
  <c r="L625"/>
  <c r="Q627"/>
  <c r="H625" s="1"/>
  <c r="I49" i="10"/>
  <c r="R630" i="5"/>
  <c r="Q634"/>
  <c r="K632" s="1"/>
  <c r="Q636"/>
  <c r="Q637" s="1"/>
  <c r="Q641"/>
  <c r="I51" i="10" s="1"/>
  <c r="R644" i="5"/>
  <c r="R658"/>
  <c r="D668"/>
  <c r="D669"/>
  <c r="J670"/>
  <c r="M670" s="1"/>
  <c r="I887" i="8" s="1"/>
  <c r="B672" i="5"/>
  <c r="D923" i="8" s="1"/>
  <c r="K672" i="5"/>
  <c r="L672" s="1"/>
  <c r="G674"/>
  <c r="Q678"/>
  <c r="G53" i="10"/>
  <c r="R681" i="5"/>
  <c r="K683"/>
  <c r="Q685"/>
  <c r="L683" s="1"/>
  <c r="J54" i="10"/>
  <c r="Q692" i="5"/>
  <c r="L690"/>
  <c r="Q694"/>
  <c r="Q695"/>
  <c r="R695"/>
  <c r="R709"/>
  <c r="D719"/>
  <c r="D720"/>
  <c r="J721"/>
  <c r="G955" i="8" s="1"/>
  <c r="B723" i="5"/>
  <c r="D957" i="8" s="1"/>
  <c r="A966" s="1"/>
  <c r="B966" s="1"/>
  <c r="K723" i="5"/>
  <c r="A738" s="1"/>
  <c r="G725"/>
  <c r="Q729"/>
  <c r="F57" i="10"/>
  <c r="R732" i="5"/>
  <c r="Q736"/>
  <c r="I734" s="1"/>
  <c r="Q737"/>
  <c r="Q743"/>
  <c r="K741" s="1"/>
  <c r="J59" i="10"/>
  <c r="R746" i="5"/>
  <c r="R760"/>
  <c r="D770"/>
  <c r="D771"/>
  <c r="J772"/>
  <c r="B774"/>
  <c r="R785" s="1"/>
  <c r="K774"/>
  <c r="A796" s="1"/>
  <c r="G776"/>
  <c r="Q780"/>
  <c r="G61" i="10"/>
  <c r="R783" i="5"/>
  <c r="L785"/>
  <c r="Q787"/>
  <c r="J62" i="10"/>
  <c r="Q789" i="5"/>
  <c r="Q790"/>
  <c r="Q794"/>
  <c r="L792"/>
  <c r="R797"/>
  <c r="R811"/>
  <c r="D821"/>
  <c r="D822"/>
  <c r="J823"/>
  <c r="M823" s="1"/>
  <c r="I1125" i="8" s="1"/>
  <c r="B825" i="5"/>
  <c r="A852" s="1"/>
  <c r="K825"/>
  <c r="R866" s="1"/>
  <c r="G827"/>
  <c r="Q831"/>
  <c r="G65" i="10"/>
  <c r="R834" i="5"/>
  <c r="Q838"/>
  <c r="Q845"/>
  <c r="J843" s="1"/>
  <c r="G67" i="10"/>
  <c r="R848" i="5"/>
  <c r="R862"/>
  <c r="D872"/>
  <c r="D873"/>
  <c r="J874"/>
  <c r="M874" s="1"/>
  <c r="B876"/>
  <c r="R901" s="1"/>
  <c r="K876"/>
  <c r="L876" s="1"/>
  <c r="G878"/>
  <c r="Q882"/>
  <c r="J880" s="1"/>
  <c r="Q884"/>
  <c r="Q885" s="1"/>
  <c r="R885"/>
  <c r="Q889"/>
  <c r="J887"/>
  <c r="I70" i="10"/>
  <c r="Q896" i="5"/>
  <c r="J894" s="1"/>
  <c r="R899"/>
  <c r="R913"/>
  <c r="D923"/>
  <c r="D924"/>
  <c r="J925"/>
  <c r="G1227" i="8" s="1"/>
  <c r="B927" i="5"/>
  <c r="R952" s="1"/>
  <c r="K927"/>
  <c r="I1229" i="8" s="1"/>
  <c r="G929" i="5"/>
  <c r="Q933"/>
  <c r="R936"/>
  <c r="Q940"/>
  <c r="H74" i="10"/>
  <c r="Q947" i="5"/>
  <c r="L945" s="1"/>
  <c r="J75" i="10"/>
  <c r="R950" i="5"/>
  <c r="R964"/>
  <c r="D974"/>
  <c r="D975"/>
  <c r="J976"/>
  <c r="B978"/>
  <c r="A998" s="1"/>
  <c r="K978"/>
  <c r="A986" s="1"/>
  <c r="G980"/>
  <c r="Q984"/>
  <c r="H77" i="10"/>
  <c r="R987" i="5"/>
  <c r="Q991"/>
  <c r="L989" s="1"/>
  <c r="Q998"/>
  <c r="J996" s="1"/>
  <c r="R1001"/>
  <c r="R1015"/>
  <c r="D1025"/>
  <c r="D1026"/>
  <c r="J1027"/>
  <c r="G1397" i="8" s="1"/>
  <c r="B1029" i="5"/>
  <c r="D1399" i="8" s="1"/>
  <c r="K1029" i="5"/>
  <c r="A1037" s="1"/>
  <c r="G1031"/>
  <c r="K1033"/>
  <c r="Q1035"/>
  <c r="I81" i="10" s="1"/>
  <c r="F81"/>
  <c r="Q1036" i="5"/>
  <c r="R1038"/>
  <c r="Q1042"/>
  <c r="G82" i="10" s="1"/>
  <c r="Q1049" i="5"/>
  <c r="I83" i="10" s="1"/>
  <c r="R1052" i="5"/>
  <c r="R1066"/>
  <c r="D1076"/>
  <c r="D1077"/>
  <c r="J1078"/>
  <c r="G1431" i="8" s="1"/>
  <c r="B1080" i="5"/>
  <c r="R1091" s="1"/>
  <c r="K1080"/>
  <c r="I1467" i="8" s="1"/>
  <c r="A1479" s="1"/>
  <c r="B1479" s="1"/>
  <c r="G1082" i="5"/>
  <c r="Q1086"/>
  <c r="R1089"/>
  <c r="Q1093"/>
  <c r="Q1100"/>
  <c r="G87" i="10" s="1"/>
  <c r="R1103" i="5"/>
  <c r="R1117"/>
  <c r="D1127"/>
  <c r="D1128"/>
  <c r="J1129"/>
  <c r="G1499" i="8" s="1"/>
  <c r="B1131" i="5"/>
  <c r="A1165" s="1"/>
  <c r="K1131"/>
  <c r="A1167" s="1"/>
  <c r="G1133"/>
  <c r="Q1137"/>
  <c r="R1140"/>
  <c r="K1142"/>
  <c r="Q1144"/>
  <c r="L1142" s="1"/>
  <c r="J90" i="10"/>
  <c r="Q1151" i="5"/>
  <c r="I91" i="10"/>
  <c r="R1154" i="5"/>
  <c r="R1168"/>
  <c r="D1178"/>
  <c r="D1179"/>
  <c r="J1180"/>
  <c r="B1182"/>
  <c r="A1183" s="1"/>
  <c r="K1182"/>
  <c r="A1190" s="1"/>
  <c r="G1184"/>
  <c r="Q1188"/>
  <c r="H93" i="10"/>
  <c r="R1191" i="5"/>
  <c r="L1193"/>
  <c r="Q1195"/>
  <c r="J1193" s="1"/>
  <c r="I94" i="10"/>
  <c r="Q1202" i="5"/>
  <c r="R1205"/>
  <c r="R1219"/>
  <c r="D1229"/>
  <c r="D1230"/>
  <c r="J1231"/>
  <c r="B1233"/>
  <c r="C1233" s="1"/>
  <c r="K1233"/>
  <c r="G1235"/>
  <c r="Q1239"/>
  <c r="I97" i="10" s="1"/>
  <c r="R1242" i="5"/>
  <c r="Q1246"/>
  <c r="L1244"/>
  <c r="Q1253"/>
  <c r="L1251"/>
  <c r="R1256"/>
  <c r="R1270"/>
  <c r="D1280"/>
  <c r="D1281"/>
  <c r="J1282"/>
  <c r="M1282" s="1"/>
  <c r="B1284"/>
  <c r="D1739" i="8" s="1"/>
  <c r="K1284" i="5"/>
  <c r="A1292" s="1"/>
  <c r="G1286"/>
  <c r="Q1290"/>
  <c r="L1288"/>
  <c r="R1293"/>
  <c r="Q1297"/>
  <c r="H102" i="10" s="1"/>
  <c r="Q1304" i="5"/>
  <c r="J103" i="10" s="1"/>
  <c r="R1307" i="5"/>
  <c r="R1321"/>
  <c r="D1331"/>
  <c r="D1332"/>
  <c r="J1333"/>
  <c r="G1771" i="8" s="1"/>
  <c r="B1335" i="5"/>
  <c r="D1773" i="8" s="1"/>
  <c r="K1335" i="5"/>
  <c r="R1376" s="1"/>
  <c r="G1337"/>
  <c r="Q1341"/>
  <c r="K1339" s="1"/>
  <c r="I105" i="10"/>
  <c r="R1344" i="5"/>
  <c r="Q1348"/>
  <c r="Q1355"/>
  <c r="I107" i="10" s="1"/>
  <c r="R1358" i="5"/>
  <c r="R1372"/>
  <c r="D1382"/>
  <c r="D1383"/>
  <c r="J1384"/>
  <c r="G1839" i="8" s="1"/>
  <c r="B1386" i="5"/>
  <c r="A1392" s="1"/>
  <c r="K1386"/>
  <c r="I1841" i="8" s="1"/>
  <c r="G1388" i="5"/>
  <c r="Q1392"/>
  <c r="R1395"/>
  <c r="Q1399"/>
  <c r="Q1401" s="1"/>
  <c r="L1397"/>
  <c r="Q1402"/>
  <c r="Q1406"/>
  <c r="I111" i="10"/>
  <c r="R1409" i="5"/>
  <c r="R1423"/>
  <c r="D1433"/>
  <c r="D1434"/>
  <c r="J1435"/>
  <c r="B1437"/>
  <c r="D1943" i="8" s="1"/>
  <c r="K1437" i="5"/>
  <c r="J1438" s="1"/>
  <c r="Z1458" s="1"/>
  <c r="G1439"/>
  <c r="Q1443"/>
  <c r="G113" i="10"/>
  <c r="R1446" i="5"/>
  <c r="Q1450"/>
  <c r="J1448" s="1"/>
  <c r="Q1457"/>
  <c r="R1460"/>
  <c r="R1474"/>
  <c r="D1484"/>
  <c r="D1485"/>
  <c r="J1486"/>
  <c r="G1975" i="8" s="1"/>
  <c r="B1488" i="5"/>
  <c r="A1489" s="1"/>
  <c r="K1488"/>
  <c r="G1490"/>
  <c r="Q1494"/>
  <c r="H117" i="10"/>
  <c r="R1497" i="5"/>
  <c r="Q1501"/>
  <c r="I118" i="10" s="1"/>
  <c r="Q1508" i="5"/>
  <c r="R1511"/>
  <c r="R1525"/>
  <c r="D1535"/>
  <c r="D1536"/>
  <c r="J1537"/>
  <c r="B1539"/>
  <c r="A1540" s="1"/>
  <c r="K1539"/>
  <c r="R1580" s="1"/>
  <c r="G1541"/>
  <c r="Q1545"/>
  <c r="L1543"/>
  <c r="R1548"/>
  <c r="Q1552"/>
  <c r="G122" i="10" s="1"/>
  <c r="I1557" i="5"/>
  <c r="Q1559"/>
  <c r="G123" i="10" s="1"/>
  <c r="I123"/>
  <c r="R1562" i="5"/>
  <c r="R1576"/>
  <c r="D1586"/>
  <c r="D1587"/>
  <c r="J1588"/>
  <c r="M1588" s="1"/>
  <c r="I2111" i="8" s="1"/>
  <c r="B1590" i="5"/>
  <c r="A1603" s="1"/>
  <c r="K1590"/>
  <c r="I2113" i="8" s="1"/>
  <c r="G1592" i="5"/>
  <c r="H1594"/>
  <c r="Q1596"/>
  <c r="H125" i="10"/>
  <c r="R1599" i="5"/>
  <c r="K1601"/>
  <c r="Q1603"/>
  <c r="Q1605"/>
  <c r="Q1606" s="1"/>
  <c r="H126" i="10"/>
  <c r="Q1610" i="5"/>
  <c r="L1608" s="1"/>
  <c r="R1613"/>
  <c r="R1627"/>
  <c r="D1637"/>
  <c r="D1638"/>
  <c r="J1639"/>
  <c r="M1639" s="1"/>
  <c r="B1641"/>
  <c r="D2215" i="8" s="1"/>
  <c r="K1641" i="5"/>
  <c r="I1681" s="1"/>
  <c r="G1643"/>
  <c r="Q1647"/>
  <c r="L1645" s="1"/>
  <c r="R1650"/>
  <c r="Q1654"/>
  <c r="L1652" s="1"/>
  <c r="L1659"/>
  <c r="Q1661"/>
  <c r="G131" i="10" s="1"/>
  <c r="K1659" i="5"/>
  <c r="R1664"/>
  <c r="R1678"/>
  <c r="D1688"/>
  <c r="D1689"/>
  <c r="J1690"/>
  <c r="M1690" s="1"/>
  <c r="I2247" i="8" s="1"/>
  <c r="B1692" i="5"/>
  <c r="A1693" s="1"/>
  <c r="K1692"/>
  <c r="J1693" s="1"/>
  <c r="Z1699" s="1"/>
  <c r="G1694"/>
  <c r="Q1698"/>
  <c r="Q1700" s="1"/>
  <c r="Q1701" s="1"/>
  <c r="R1701"/>
  <c r="Q1705"/>
  <c r="I1703"/>
  <c r="Q1706"/>
  <c r="Q1712"/>
  <c r="Q1714" s="1"/>
  <c r="C135" i="10" s="1"/>
  <c r="Q1715" i="5"/>
  <c r="R1715"/>
  <c r="R1729"/>
  <c r="D1739"/>
  <c r="D1740"/>
  <c r="J1741"/>
  <c r="M1741" s="1"/>
  <c r="I2349" i="8" s="1"/>
  <c r="B1743" i="5"/>
  <c r="B1784" s="1"/>
  <c r="K1743"/>
  <c r="I1783" s="1"/>
  <c r="G1745"/>
  <c r="Q1749"/>
  <c r="Q1750" s="1"/>
  <c r="J1747"/>
  <c r="R1752"/>
  <c r="Q1756"/>
  <c r="G138" i="10"/>
  <c r="Q1763" i="5"/>
  <c r="J1761"/>
  <c r="R1766"/>
  <c r="R1780"/>
  <c r="D1790"/>
  <c r="D1791"/>
  <c r="J1792"/>
  <c r="B1794"/>
  <c r="A1821" s="1"/>
  <c r="K1794"/>
  <c r="A1830" s="1"/>
  <c r="G1796"/>
  <c r="Q1800"/>
  <c r="I141" i="10"/>
  <c r="R1803" i="5"/>
  <c r="Q1807"/>
  <c r="Q1814"/>
  <c r="L1812" s="1"/>
  <c r="G143" i="10"/>
  <c r="R1817" i="5"/>
  <c r="R1831"/>
  <c r="D1841"/>
  <c r="D1842"/>
  <c r="J1843"/>
  <c r="B1845"/>
  <c r="A1872" s="1"/>
  <c r="K1845"/>
  <c r="I1885" s="1"/>
  <c r="G1847"/>
  <c r="Q1851"/>
  <c r="L1849" s="1"/>
  <c r="R1854"/>
  <c r="Q1858"/>
  <c r="Q1859" s="1"/>
  <c r="I1856"/>
  <c r="Q1865"/>
  <c r="R1868"/>
  <c r="R1882"/>
  <c r="D1892"/>
  <c r="D1893"/>
  <c r="J1894"/>
  <c r="G2519" i="8" s="1"/>
  <c r="B1896" i="5"/>
  <c r="R1921" s="1"/>
  <c r="K1896"/>
  <c r="A1911" s="1"/>
  <c r="G1898"/>
  <c r="Q1902"/>
  <c r="R1905"/>
  <c r="Q1909"/>
  <c r="L1907"/>
  <c r="Q1916"/>
  <c r="G151" i="10"/>
  <c r="R1919" i="5"/>
  <c r="R1933"/>
  <c r="D1943"/>
  <c r="D1944"/>
  <c r="J1945"/>
  <c r="M1945" s="1"/>
  <c r="B1947"/>
  <c r="D2623" i="8" s="1"/>
  <c r="K1947" i="5"/>
  <c r="R1974" s="1"/>
  <c r="G1949"/>
  <c r="H1951"/>
  <c r="L1951"/>
  <c r="Q1953"/>
  <c r="J153" i="10"/>
  <c r="I153"/>
  <c r="R1956" i="5"/>
  <c r="Q1960"/>
  <c r="Q1967"/>
  <c r="I155" i="10"/>
  <c r="R1970" i="5"/>
  <c r="R1984"/>
  <c r="D1994"/>
  <c r="D1995"/>
  <c r="J1996"/>
  <c r="G2689" i="8" s="1"/>
  <c r="B1998" i="5"/>
  <c r="B2039" s="1"/>
  <c r="K1998"/>
  <c r="A2006" s="1"/>
  <c r="G2000"/>
  <c r="Q2004"/>
  <c r="J2002" s="1"/>
  <c r="G157" i="10"/>
  <c r="R2007" i="5"/>
  <c r="Q2011"/>
  <c r="J2009" s="1"/>
  <c r="Q2018"/>
  <c r="R2021"/>
  <c r="R2035"/>
  <c r="D2045"/>
  <c r="D2046"/>
  <c r="J2047"/>
  <c r="G2757" i="8" s="1"/>
  <c r="B2049" i="5"/>
  <c r="B2090" s="1"/>
  <c r="K2049"/>
  <c r="J2050" s="1"/>
  <c r="G2051"/>
  <c r="Q2055"/>
  <c r="R2058"/>
  <c r="Q2062"/>
  <c r="J2060" s="1"/>
  <c r="Q2069"/>
  <c r="R2072"/>
  <c r="R2086"/>
  <c r="D2096"/>
  <c r="D2097"/>
  <c r="J2098"/>
  <c r="G2791" i="8" s="1"/>
  <c r="B2100" i="5"/>
  <c r="B2141" s="1"/>
  <c r="K2100"/>
  <c r="A2115" s="1"/>
  <c r="G2102"/>
  <c r="Q2106"/>
  <c r="R2109"/>
  <c r="Q2113"/>
  <c r="K2111" s="1"/>
  <c r="L2118"/>
  <c r="Q2120"/>
  <c r="I2118"/>
  <c r="H167" i="10"/>
  <c r="I167"/>
  <c r="Q2122" i="5"/>
  <c r="R2123"/>
  <c r="R2137"/>
  <c r="D2147"/>
  <c r="D2148"/>
  <c r="J2149"/>
  <c r="B2151"/>
  <c r="D2895" i="8" s="1"/>
  <c r="K2151" i="5"/>
  <c r="M2192" s="1"/>
  <c r="G2153"/>
  <c r="J2155"/>
  <c r="Q2157"/>
  <c r="Q2159" s="1"/>
  <c r="C169" i="10" s="1"/>
  <c r="G169"/>
  <c r="R2160" i="5"/>
  <c r="Q2164"/>
  <c r="H2162" s="1"/>
  <c r="Q2171"/>
  <c r="R2174"/>
  <c r="R2188"/>
  <c r="D2198"/>
  <c r="D2199"/>
  <c r="J2200"/>
  <c r="M2200" s="1"/>
  <c r="I2927" i="8" s="1"/>
  <c r="B2202" i="5"/>
  <c r="A2229" s="1"/>
  <c r="K2202"/>
  <c r="G2204"/>
  <c r="L2206"/>
  <c r="Q2208"/>
  <c r="H2206"/>
  <c r="R2211"/>
  <c r="Q2215"/>
  <c r="K2213" s="1"/>
  <c r="K2220"/>
  <c r="Q2222"/>
  <c r="H175" i="10" s="1"/>
  <c r="G175"/>
  <c r="Q2224" i="5"/>
  <c r="R2225"/>
  <c r="R2239"/>
  <c r="D2249"/>
  <c r="D2250"/>
  <c r="J2251"/>
  <c r="G2995" i="8" s="1"/>
  <c r="B2253" i="5"/>
  <c r="C2253" s="1"/>
  <c r="K2253"/>
  <c r="A2275" s="1"/>
  <c r="G2255"/>
  <c r="Q2259"/>
  <c r="L2257" s="1"/>
  <c r="R2262"/>
  <c r="Q2266"/>
  <c r="F178" i="10"/>
  <c r="Q2273" i="5"/>
  <c r="R2276"/>
  <c r="R2290"/>
  <c r="D2300"/>
  <c r="D2301"/>
  <c r="J2302"/>
  <c r="G3097" i="8" s="1"/>
  <c r="B2304" i="5"/>
  <c r="A2310" s="1"/>
  <c r="K2304"/>
  <c r="I2344" s="1"/>
  <c r="G2306"/>
  <c r="J2308"/>
  <c r="Q2310"/>
  <c r="F181" i="10"/>
  <c r="Q2311" i="5"/>
  <c r="R2313"/>
  <c r="Q2317"/>
  <c r="J2315"/>
  <c r="Q2324"/>
  <c r="J2322" s="1"/>
  <c r="I183" i="10"/>
  <c r="R2327" i="5"/>
  <c r="R2341"/>
  <c r="D2351"/>
  <c r="D2352"/>
  <c r="J2353"/>
  <c r="G3131" i="8" s="1"/>
  <c r="B2355" i="5"/>
  <c r="A2375" s="1"/>
  <c r="K2355"/>
  <c r="M2396" s="1"/>
  <c r="G2357"/>
  <c r="Q2361"/>
  <c r="R2364"/>
  <c r="Q2368"/>
  <c r="F186" i="10"/>
  <c r="Q2375" i="5"/>
  <c r="L2373"/>
  <c r="R2378"/>
  <c r="R2392"/>
  <c r="D2402"/>
  <c r="D2403"/>
  <c r="J2404"/>
  <c r="M2404" s="1"/>
  <c r="I3233" i="8" s="1"/>
  <c r="B2406" i="5"/>
  <c r="R2431" s="1"/>
  <c r="K2406"/>
  <c r="A2442" s="1"/>
  <c r="G2408"/>
  <c r="Q2412"/>
  <c r="L2410"/>
  <c r="R2415"/>
  <c r="Q2419"/>
  <c r="L2417" s="1"/>
  <c r="L2424"/>
  <c r="Q2426"/>
  <c r="K2424"/>
  <c r="R2429"/>
  <c r="R2443"/>
  <c r="D2453"/>
  <c r="D2454"/>
  <c r="J2455"/>
  <c r="G3267" i="8" s="1"/>
  <c r="B2457" i="5"/>
  <c r="D195" i="10" s="1"/>
  <c r="K2457" i="5"/>
  <c r="L2457" s="1"/>
  <c r="G2459"/>
  <c r="Q2463"/>
  <c r="I193" i="10"/>
  <c r="R2466" i="5"/>
  <c r="Q2470"/>
  <c r="L2468" s="1"/>
  <c r="Q2477"/>
  <c r="L2475" s="1"/>
  <c r="R2480"/>
  <c r="R2494"/>
  <c r="D2504"/>
  <c r="D2505"/>
  <c r="J2506"/>
  <c r="G3369" i="8" s="1"/>
  <c r="B2508" i="5"/>
  <c r="R2519" s="1"/>
  <c r="K2508"/>
  <c r="A2537" s="1"/>
  <c r="G2510"/>
  <c r="Q2514"/>
  <c r="K2512" s="1"/>
  <c r="R2517"/>
  <c r="Q2521"/>
  <c r="J2519"/>
  <c r="Q2528"/>
  <c r="J2526"/>
  <c r="G199" i="10"/>
  <c r="R2531" i="5"/>
  <c r="R2545"/>
  <c r="D2555"/>
  <c r="D2556"/>
  <c r="J2557"/>
  <c r="B2559"/>
  <c r="A2593" s="1"/>
  <c r="K2559"/>
  <c r="L2559" s="1"/>
  <c r="G2561"/>
  <c r="Q2565"/>
  <c r="L2563"/>
  <c r="R2568"/>
  <c r="Q2572"/>
  <c r="K2570" s="1"/>
  <c r="K2577"/>
  <c r="Q2579"/>
  <c r="I203" i="10" s="1"/>
  <c r="L2577" i="5"/>
  <c r="R2582"/>
  <c r="R2596"/>
  <c r="D2606"/>
  <c r="D2607"/>
  <c r="J2608"/>
  <c r="G3505" i="8" s="1"/>
  <c r="B2610" i="5"/>
  <c r="R2635" s="1"/>
  <c r="K2610"/>
  <c r="I3473" i="8" s="1"/>
  <c r="G2612" i="5"/>
  <c r="Q2616"/>
  <c r="R2619"/>
  <c r="Q2623"/>
  <c r="Q2630"/>
  <c r="R2633"/>
  <c r="R2647"/>
  <c r="D2657"/>
  <c r="D2658"/>
  <c r="J2659"/>
  <c r="G3539" i="8" s="1"/>
  <c r="B2661" i="5"/>
  <c r="A2674" s="1"/>
  <c r="K2661"/>
  <c r="J2662" s="1"/>
  <c r="Z2668" s="1"/>
  <c r="G2663"/>
  <c r="Q2667"/>
  <c r="G209" i="10"/>
  <c r="H2665" i="5"/>
  <c r="R2670"/>
  <c r="Q2674"/>
  <c r="H210" i="10"/>
  <c r="Q2681" i="5"/>
  <c r="L2679" s="1"/>
  <c r="H211" i="10"/>
  <c r="R2684" i="5"/>
  <c r="R2698"/>
  <c r="D2708"/>
  <c r="D2709"/>
  <c r="J2710"/>
  <c r="G3607" i="8" s="1"/>
  <c r="B2712" i="5"/>
  <c r="A2718" s="1"/>
  <c r="K2712"/>
  <c r="L2712" s="1"/>
  <c r="G2714"/>
  <c r="Q2718"/>
  <c r="F213" i="10"/>
  <c r="R2721" i="5"/>
  <c r="L2723"/>
  <c r="Q2725"/>
  <c r="I214" i="10"/>
  <c r="Q2732" i="5"/>
  <c r="R2735"/>
  <c r="R2749"/>
  <c r="D2759"/>
  <c r="D2760"/>
  <c r="J2761"/>
  <c r="M2761" s="1"/>
  <c r="I3675" i="8" s="1"/>
  <c r="B2763" i="5"/>
  <c r="R2774" s="1"/>
  <c r="K2763"/>
  <c r="A2778" s="1"/>
  <c r="G2765"/>
  <c r="Q2769"/>
  <c r="L2767"/>
  <c r="R2772"/>
  <c r="Q2776"/>
  <c r="L2774" s="1"/>
  <c r="K2781"/>
  <c r="Q2783"/>
  <c r="H219" i="10" s="1"/>
  <c r="Q2785" i="5"/>
  <c r="R2786"/>
  <c r="R2800"/>
  <c r="D2810"/>
  <c r="D2811"/>
  <c r="J2812"/>
  <c r="G3777" i="8" s="1"/>
  <c r="B2814" i="5"/>
  <c r="D3779" i="8" s="1"/>
  <c r="K2814" i="5"/>
  <c r="I2854" s="1"/>
  <c r="G2816"/>
  <c r="Q2820"/>
  <c r="R2823"/>
  <c r="Q2827"/>
  <c r="L2825"/>
  <c r="Q2834"/>
  <c r="G223" i="10"/>
  <c r="R2837" i="5"/>
  <c r="R2851"/>
  <c r="D2861"/>
  <c r="D2862"/>
  <c r="J2863"/>
  <c r="B2865"/>
  <c r="D3847" i="8" s="1"/>
  <c r="B3848" s="1"/>
  <c r="K2865" i="5"/>
  <c r="A2894" s="1"/>
  <c r="G2867"/>
  <c r="Q2871"/>
  <c r="K2869"/>
  <c r="R2874"/>
  <c r="Q2878"/>
  <c r="J2876" s="1"/>
  <c r="Q2885"/>
  <c r="R2888"/>
  <c r="R2902"/>
  <c r="D2912"/>
  <c r="D2913"/>
  <c r="J2914"/>
  <c r="M2914" s="1"/>
  <c r="I3913" i="8" s="1"/>
  <c r="B2916" i="5"/>
  <c r="A2922" s="1"/>
  <c r="K2916"/>
  <c r="L2916" s="1"/>
  <c r="G2918"/>
  <c r="Q2922"/>
  <c r="K2920" s="1"/>
  <c r="Q2924"/>
  <c r="R2925"/>
  <c r="L2927"/>
  <c r="Q2929"/>
  <c r="K2927" s="1"/>
  <c r="H230" i="10"/>
  <c r="Q2936" i="5"/>
  <c r="H231" i="10"/>
  <c r="R2939" i="5"/>
  <c r="R2953"/>
  <c r="D2963"/>
  <c r="D2964"/>
  <c r="J2965"/>
  <c r="M2965" s="1"/>
  <c r="I3947" i="8" s="1"/>
  <c r="B2967" i="5"/>
  <c r="K2967"/>
  <c r="I3983" i="8" s="1"/>
  <c r="A3990" s="1"/>
  <c r="B3990" s="1"/>
  <c r="G2969" i="5"/>
  <c r="Q2973"/>
  <c r="G233" i="10"/>
  <c r="R2976" i="5"/>
  <c r="Q2980"/>
  <c r="J2978" s="1"/>
  <c r="Q2987"/>
  <c r="R2990"/>
  <c r="R3004"/>
  <c r="D3014"/>
  <c r="D3015"/>
  <c r="J3016"/>
  <c r="M3016" s="1"/>
  <c r="B3018"/>
  <c r="A3031" s="1"/>
  <c r="K3018"/>
  <c r="A3047" s="1"/>
  <c r="G3020"/>
  <c r="Q3024"/>
  <c r="I237" i="10" s="1"/>
  <c r="R3027" i="5"/>
  <c r="Q3031"/>
  <c r="L3029"/>
  <c r="Q3038"/>
  <c r="L3036"/>
  <c r="R3041"/>
  <c r="R3055"/>
  <c r="D3065"/>
  <c r="D3066"/>
  <c r="J3067"/>
  <c r="G4083" i="8" s="1"/>
  <c r="B3069" i="5"/>
  <c r="A3070" s="1"/>
  <c r="K3069"/>
  <c r="M3110" s="1"/>
  <c r="G3071"/>
  <c r="Q3075"/>
  <c r="K3073"/>
  <c r="R3078"/>
  <c r="Q3082"/>
  <c r="Q3089"/>
  <c r="I3087" s="1"/>
  <c r="R3092"/>
  <c r="R3106"/>
  <c r="D3116"/>
  <c r="D3117"/>
  <c r="J3118"/>
  <c r="G4185" i="8" s="1"/>
  <c r="B3120" i="5"/>
  <c r="A3140" s="1"/>
  <c r="K3120"/>
  <c r="A3149" s="1"/>
  <c r="G3122"/>
  <c r="Q3126"/>
  <c r="J245" i="10"/>
  <c r="R3129" i="5"/>
  <c r="Q3133"/>
  <c r="F246" i="10" s="1"/>
  <c r="Q3140" i="5"/>
  <c r="G247" i="10" s="1"/>
  <c r="R3143" i="5"/>
  <c r="R3157"/>
  <c r="D3167"/>
  <c r="D3168"/>
  <c r="J3169"/>
  <c r="B3171"/>
  <c r="A3184" s="1"/>
  <c r="K3171"/>
  <c r="A3193" s="1"/>
  <c r="G3173"/>
  <c r="Q3177"/>
  <c r="R3180"/>
  <c r="Q3184"/>
  <c r="J3182" s="1"/>
  <c r="Q3191"/>
  <c r="I3189"/>
  <c r="R3194"/>
  <c r="R3208"/>
  <c r="D3218"/>
  <c r="D3219"/>
  <c r="J3220"/>
  <c r="G4287" i="8" s="1"/>
  <c r="B3222" i="5"/>
  <c r="A3242" s="1"/>
  <c r="K3222"/>
  <c r="A3230" s="1"/>
  <c r="G3224"/>
  <c r="Q3228"/>
  <c r="H3226" s="1"/>
  <c r="R3231"/>
  <c r="Q3235"/>
  <c r="Q3242"/>
  <c r="R3245"/>
  <c r="R3259"/>
  <c r="D3269"/>
  <c r="D3270"/>
  <c r="J3271"/>
  <c r="G4389" i="8" s="1"/>
  <c r="B3273" i="5"/>
  <c r="B3314" s="1"/>
  <c r="K3273"/>
  <c r="R3314" s="1"/>
  <c r="G3275"/>
  <c r="Q3279"/>
  <c r="G257" i="10"/>
  <c r="R3282" i="5"/>
  <c r="Q3286"/>
  <c r="J258" i="10" s="1"/>
  <c r="Q3293" i="5"/>
  <c r="R3296"/>
  <c r="R3310"/>
  <c r="D3320"/>
  <c r="D3321"/>
  <c r="J3322"/>
  <c r="G4457" i="8" s="1"/>
  <c r="B3324" i="5"/>
  <c r="A3325" s="1"/>
  <c r="R3359" s="1"/>
  <c r="K3324"/>
  <c r="R3351" s="1"/>
  <c r="G3326"/>
  <c r="Q3330"/>
  <c r="H261" i="10"/>
  <c r="R3333" i="5"/>
  <c r="Q3337"/>
  <c r="I262" i="10" s="1"/>
  <c r="Q3344" i="5"/>
  <c r="Q3345" s="1"/>
  <c r="R3347"/>
  <c r="R3361"/>
  <c r="B2" i="4"/>
  <c r="M2"/>
  <c r="B4"/>
  <c r="I4" s="1"/>
  <c r="D4"/>
  <c r="L17" s="1"/>
  <c r="K17" s="1"/>
  <c r="H4"/>
  <c r="S4"/>
  <c r="T4"/>
  <c r="B5"/>
  <c r="I5" s="1"/>
  <c r="D5"/>
  <c r="L18" s="1"/>
  <c r="K18" s="1"/>
  <c r="H5"/>
  <c r="S5"/>
  <c r="T5"/>
  <c r="B6"/>
  <c r="I6" s="1"/>
  <c r="D6"/>
  <c r="L19" s="1"/>
  <c r="H6"/>
  <c r="S6"/>
  <c r="T6"/>
  <c r="B7"/>
  <c r="D7"/>
  <c r="L20" s="1"/>
  <c r="K20" s="1"/>
  <c r="H7"/>
  <c r="S7"/>
  <c r="T7"/>
  <c r="B8"/>
  <c r="G8" s="1"/>
  <c r="D8"/>
  <c r="L21" s="1"/>
  <c r="K21" s="1"/>
  <c r="H8"/>
  <c r="S8"/>
  <c r="T8"/>
  <c r="B9"/>
  <c r="I9" s="1"/>
  <c r="D9"/>
  <c r="L22" s="1"/>
  <c r="H9"/>
  <c r="S9"/>
  <c r="T9"/>
  <c r="B10"/>
  <c r="I10" s="1"/>
  <c r="D10"/>
  <c r="H10"/>
  <c r="S10"/>
  <c r="T10"/>
  <c r="B11"/>
  <c r="G11" s="1"/>
  <c r="D11"/>
  <c r="H11"/>
  <c r="S11"/>
  <c r="T11"/>
  <c r="B13"/>
  <c r="B15"/>
  <c r="I15" s="1"/>
  <c r="D15"/>
  <c r="L26" s="1"/>
  <c r="H15"/>
  <c r="S15"/>
  <c r="T15"/>
  <c r="B16"/>
  <c r="G16" s="1"/>
  <c r="D16"/>
  <c r="L27" s="1"/>
  <c r="H16"/>
  <c r="S16"/>
  <c r="T16"/>
  <c r="B17"/>
  <c r="G17" s="1"/>
  <c r="D17"/>
  <c r="L28" s="1"/>
  <c r="H17"/>
  <c r="S17"/>
  <c r="T17"/>
  <c r="B18"/>
  <c r="D18"/>
  <c r="L29" s="1"/>
  <c r="H18"/>
  <c r="S18"/>
  <c r="T18"/>
  <c r="B19"/>
  <c r="I19" s="1"/>
  <c r="D19"/>
  <c r="H19"/>
  <c r="S19"/>
  <c r="T19"/>
  <c r="B20"/>
  <c r="D20"/>
  <c r="L31" s="1"/>
  <c r="H20"/>
  <c r="S20"/>
  <c r="T20"/>
  <c r="B21"/>
  <c r="D21"/>
  <c r="L32" s="1"/>
  <c r="H21"/>
  <c r="S21"/>
  <c r="T21"/>
  <c r="B22"/>
  <c r="D22"/>
  <c r="L33" s="1"/>
  <c r="H22"/>
  <c r="S22"/>
  <c r="T22"/>
  <c r="B24"/>
  <c r="B26"/>
  <c r="G26" s="1"/>
  <c r="D26"/>
  <c r="L35" s="1"/>
  <c r="H26"/>
  <c r="S26"/>
  <c r="T26"/>
  <c r="B27"/>
  <c r="G27" s="1"/>
  <c r="D27"/>
  <c r="L36" s="1"/>
  <c r="H27"/>
  <c r="S27"/>
  <c r="T27"/>
  <c r="B28"/>
  <c r="I28" s="1"/>
  <c r="D28"/>
  <c r="L37" s="1"/>
  <c r="H28"/>
  <c r="S28"/>
  <c r="T28"/>
  <c r="B29"/>
  <c r="G29" s="1"/>
  <c r="D29"/>
  <c r="H29"/>
  <c r="S29"/>
  <c r="T29"/>
  <c r="B30"/>
  <c r="I30" s="1"/>
  <c r="D30"/>
  <c r="L39" s="1"/>
  <c r="H30"/>
  <c r="S30"/>
  <c r="T30"/>
  <c r="B31"/>
  <c r="G31" s="1"/>
  <c r="D31"/>
  <c r="L40" s="1"/>
  <c r="K40"/>
  <c r="H31"/>
  <c r="S31"/>
  <c r="T31"/>
  <c r="B32"/>
  <c r="I32" s="1"/>
  <c r="D32"/>
  <c r="L41" s="1"/>
  <c r="H32"/>
  <c r="S32"/>
  <c r="T32"/>
  <c r="B33"/>
  <c r="G33" s="1"/>
  <c r="D33"/>
  <c r="L42" s="1"/>
  <c r="H33"/>
  <c r="S33"/>
  <c r="T33"/>
  <c r="B35"/>
  <c r="B37"/>
  <c r="G37" s="1"/>
  <c r="D37"/>
  <c r="L44" s="1"/>
  <c r="H37"/>
  <c r="S37"/>
  <c r="T37"/>
  <c r="B38"/>
  <c r="D38"/>
  <c r="L45" s="1"/>
  <c r="H38"/>
  <c r="S38"/>
  <c r="T38"/>
  <c r="B39"/>
  <c r="G39" s="1"/>
  <c r="D39"/>
  <c r="L46" s="1"/>
  <c r="H39"/>
  <c r="S39"/>
  <c r="T39"/>
  <c r="B40"/>
  <c r="G40" s="1"/>
  <c r="D40"/>
  <c r="L47" s="1"/>
  <c r="H40"/>
  <c r="S40"/>
  <c r="T40"/>
  <c r="B41"/>
  <c r="G41" s="1"/>
  <c r="D41"/>
  <c r="L48" s="1"/>
  <c r="H41"/>
  <c r="S41"/>
  <c r="T41"/>
  <c r="B42"/>
  <c r="D42"/>
  <c r="L49" s="1"/>
  <c r="H42"/>
  <c r="S42"/>
  <c r="T42"/>
  <c r="B43"/>
  <c r="I43" s="1"/>
  <c r="D43"/>
  <c r="L50" s="1"/>
  <c r="K50"/>
  <c r="H43"/>
  <c r="S43"/>
  <c r="T43"/>
  <c r="B44"/>
  <c r="D44"/>
  <c r="L51" s="1"/>
  <c r="H44"/>
  <c r="S44"/>
  <c r="T44"/>
  <c r="B46"/>
  <c r="B48"/>
  <c r="I48" s="1"/>
  <c r="D48"/>
  <c r="L53" s="1"/>
  <c r="H48"/>
  <c r="S48"/>
  <c r="T48"/>
  <c r="B49"/>
  <c r="I49" s="1"/>
  <c r="D49"/>
  <c r="L54" s="1"/>
  <c r="H49"/>
  <c r="S49"/>
  <c r="T49"/>
  <c r="B50"/>
  <c r="D50"/>
  <c r="L55" s="1"/>
  <c r="H50"/>
  <c r="S50"/>
  <c r="T50"/>
  <c r="B51"/>
  <c r="D51"/>
  <c r="L56" s="1"/>
  <c r="K56"/>
  <c r="H51"/>
  <c r="S51"/>
  <c r="T51"/>
  <c r="B52"/>
  <c r="D52"/>
  <c r="L57" s="1"/>
  <c r="H52"/>
  <c r="S52"/>
  <c r="T52"/>
  <c r="B53"/>
  <c r="D53"/>
  <c r="L58" s="1"/>
  <c r="K58"/>
  <c r="H53"/>
  <c r="S53"/>
  <c r="T53"/>
  <c r="B54"/>
  <c r="G54" s="1"/>
  <c r="D54"/>
  <c r="L59" s="1"/>
  <c r="K59"/>
  <c r="H54"/>
  <c r="S54"/>
  <c r="T54"/>
  <c r="B55"/>
  <c r="I55" s="1"/>
  <c r="D55"/>
  <c r="L60" s="1"/>
  <c r="K60"/>
  <c r="H55"/>
  <c r="S55"/>
  <c r="T55"/>
  <c r="B57"/>
  <c r="B59"/>
  <c r="G59" s="1"/>
  <c r="D59"/>
  <c r="L62" s="1"/>
  <c r="H59"/>
  <c r="S59"/>
  <c r="T59"/>
  <c r="B60"/>
  <c r="D60"/>
  <c r="L63" s="1"/>
  <c r="H60"/>
  <c r="S60"/>
  <c r="T60"/>
  <c r="B61"/>
  <c r="G61" s="1"/>
  <c r="D61"/>
  <c r="L64" s="1"/>
  <c r="H61"/>
  <c r="S61"/>
  <c r="T61"/>
  <c r="B62"/>
  <c r="D62"/>
  <c r="L65" s="1"/>
  <c r="K65"/>
  <c r="H62"/>
  <c r="S62"/>
  <c r="T62"/>
  <c r="B63"/>
  <c r="G63" s="1"/>
  <c r="D63"/>
  <c r="L66" s="1"/>
  <c r="H63"/>
  <c r="S63"/>
  <c r="T63"/>
  <c r="B64"/>
  <c r="I64" s="1"/>
  <c r="D64"/>
  <c r="L67" s="1"/>
  <c r="H64"/>
  <c r="S64"/>
  <c r="T64"/>
  <c r="B65"/>
  <c r="D65"/>
  <c r="L68" s="1"/>
  <c r="H65"/>
  <c r="S65"/>
  <c r="T65"/>
  <c r="B66"/>
  <c r="I66" s="1"/>
  <c r="D66"/>
  <c r="L69" s="1"/>
  <c r="K69"/>
  <c r="H66"/>
  <c r="S66"/>
  <c r="T66"/>
  <c r="B68"/>
  <c r="B70"/>
  <c r="I70" s="1"/>
  <c r="D70"/>
  <c r="L71" s="1"/>
  <c r="K71" s="1"/>
  <c r="F68" s="1"/>
  <c r="H70"/>
  <c r="S70"/>
  <c r="T70"/>
  <c r="B71"/>
  <c r="D71"/>
  <c r="L72" s="1"/>
  <c r="H71"/>
  <c r="S71"/>
  <c r="T71"/>
  <c r="B72"/>
  <c r="I72" s="1"/>
  <c r="D72"/>
  <c r="L73" s="1"/>
  <c r="H72"/>
  <c r="S72"/>
  <c r="T72"/>
  <c r="B73"/>
  <c r="D73"/>
  <c r="L74" s="1"/>
  <c r="H73"/>
  <c r="S73"/>
  <c r="T73"/>
  <c r="B74"/>
  <c r="I74" s="1"/>
  <c r="D74"/>
  <c r="L75" s="1"/>
  <c r="H74"/>
  <c r="S74"/>
  <c r="T74"/>
  <c r="B75"/>
  <c r="G75" s="1"/>
  <c r="D75"/>
  <c r="L76" s="1"/>
  <c r="H75"/>
  <c r="S75"/>
  <c r="T75"/>
  <c r="B76"/>
  <c r="I76" s="1"/>
  <c r="D76"/>
  <c r="L77" s="1"/>
  <c r="H76"/>
  <c r="S76"/>
  <c r="T76"/>
  <c r="B77"/>
  <c r="I77" s="1"/>
  <c r="D77"/>
  <c r="L78" s="1"/>
  <c r="H77"/>
  <c r="S77"/>
  <c r="T77"/>
  <c r="B79"/>
  <c r="B81"/>
  <c r="D81"/>
  <c r="L80" s="1"/>
  <c r="H81"/>
  <c r="S81"/>
  <c r="T81"/>
  <c r="B82"/>
  <c r="G82" s="1"/>
  <c r="D82"/>
  <c r="L81" s="1"/>
  <c r="H82"/>
  <c r="S82"/>
  <c r="T82"/>
  <c r="B83"/>
  <c r="G83" s="1"/>
  <c r="D83"/>
  <c r="L82" s="1"/>
  <c r="H83"/>
  <c r="S83"/>
  <c r="T83"/>
  <c r="B84"/>
  <c r="D84"/>
  <c r="L83" s="1"/>
  <c r="H84"/>
  <c r="S84"/>
  <c r="T84"/>
  <c r="B85"/>
  <c r="G85" s="1"/>
  <c r="D85"/>
  <c r="L84" s="1"/>
  <c r="K84"/>
  <c r="H85"/>
  <c r="S85"/>
  <c r="T85"/>
  <c r="B86"/>
  <c r="G86" s="1"/>
  <c r="D86"/>
  <c r="L85" s="1"/>
  <c r="H86"/>
  <c r="S86"/>
  <c r="T86"/>
  <c r="B87"/>
  <c r="I87" s="1"/>
  <c r="D87"/>
  <c r="L86" s="1"/>
  <c r="H87"/>
  <c r="S87"/>
  <c r="T87"/>
  <c r="B88"/>
  <c r="D88"/>
  <c r="L87" s="1"/>
  <c r="H88"/>
  <c r="S88"/>
  <c r="T88"/>
  <c r="B90"/>
  <c r="B92"/>
  <c r="G92" s="1"/>
  <c r="D92"/>
  <c r="L89" s="1"/>
  <c r="H92"/>
  <c r="S92"/>
  <c r="T92"/>
  <c r="B93"/>
  <c r="I93" s="1"/>
  <c r="D93"/>
  <c r="L90" s="1"/>
  <c r="H93"/>
  <c r="S93"/>
  <c r="T93"/>
  <c r="B94"/>
  <c r="G94" s="1"/>
  <c r="D94"/>
  <c r="L91" s="1"/>
  <c r="H94"/>
  <c r="S94"/>
  <c r="T94"/>
  <c r="B95"/>
  <c r="D95"/>
  <c r="L92" s="1"/>
  <c r="H95"/>
  <c r="S95"/>
  <c r="T95"/>
  <c r="B96"/>
  <c r="I96" s="1"/>
  <c r="D96"/>
  <c r="L93" s="1"/>
  <c r="H96"/>
  <c r="S96"/>
  <c r="T96"/>
  <c r="B97"/>
  <c r="D97"/>
  <c r="L94" s="1"/>
  <c r="K94"/>
  <c r="H97"/>
  <c r="S97"/>
  <c r="T97"/>
  <c r="B98"/>
  <c r="D98"/>
  <c r="L95" s="1"/>
  <c r="H98"/>
  <c r="S98"/>
  <c r="T98"/>
  <c r="B99"/>
  <c r="I99" s="1"/>
  <c r="D99"/>
  <c r="L96" s="1"/>
  <c r="H99"/>
  <c r="S99"/>
  <c r="T99"/>
  <c r="B101"/>
  <c r="B103"/>
  <c r="G103" s="1"/>
  <c r="D103"/>
  <c r="L98" s="1"/>
  <c r="K98"/>
  <c r="H103"/>
  <c r="S103"/>
  <c r="T103"/>
  <c r="B104"/>
  <c r="G104" s="1"/>
  <c r="D104"/>
  <c r="L99" s="1"/>
  <c r="K99"/>
  <c r="H104"/>
  <c r="S104"/>
  <c r="T104"/>
  <c r="B105"/>
  <c r="D105"/>
  <c r="L100" s="1"/>
  <c r="K100"/>
  <c r="H105"/>
  <c r="S105"/>
  <c r="T105"/>
  <c r="B106"/>
  <c r="I106" s="1"/>
  <c r="D106"/>
  <c r="L101" s="1"/>
  <c r="H106"/>
  <c r="S106"/>
  <c r="T106"/>
  <c r="B107"/>
  <c r="D107"/>
  <c r="L102" s="1"/>
  <c r="K102"/>
  <c r="H107"/>
  <c r="S107"/>
  <c r="T107"/>
  <c r="B108"/>
  <c r="I108" s="1"/>
  <c r="D108"/>
  <c r="L103" s="1"/>
  <c r="K103"/>
  <c r="H108"/>
  <c r="S108"/>
  <c r="T108"/>
  <c r="B109"/>
  <c r="D109"/>
  <c r="L104" s="1"/>
  <c r="H109"/>
  <c r="S109"/>
  <c r="T109"/>
  <c r="B110"/>
  <c r="I110" s="1"/>
  <c r="D110"/>
  <c r="L105" s="1"/>
  <c r="K105"/>
  <c r="H110"/>
  <c r="S110"/>
  <c r="T110"/>
  <c r="B112"/>
  <c r="B114"/>
  <c r="G114" s="1"/>
  <c r="D114"/>
  <c r="L107" s="1"/>
  <c r="H114"/>
  <c r="S114"/>
  <c r="T114"/>
  <c r="B115"/>
  <c r="G115" s="1"/>
  <c r="D115"/>
  <c r="L108" s="1"/>
  <c r="H115"/>
  <c r="S115"/>
  <c r="T115"/>
  <c r="B116"/>
  <c r="D116"/>
  <c r="K109"/>
  <c r="H116"/>
  <c r="S116"/>
  <c r="T116"/>
  <c r="B117"/>
  <c r="D117"/>
  <c r="L110" s="1"/>
  <c r="H117"/>
  <c r="S117"/>
  <c r="T117"/>
  <c r="B118"/>
  <c r="D118"/>
  <c r="L111" s="1"/>
  <c r="H118"/>
  <c r="S118"/>
  <c r="T118"/>
  <c r="B119"/>
  <c r="I119" s="1"/>
  <c r="D119"/>
  <c r="L112" s="1"/>
  <c r="H119"/>
  <c r="S119"/>
  <c r="T119"/>
  <c r="B120"/>
  <c r="D120"/>
  <c r="L113" s="1"/>
  <c r="H120"/>
  <c r="S120"/>
  <c r="T120"/>
  <c r="B121"/>
  <c r="G121" s="1"/>
  <c r="D121"/>
  <c r="L114" s="1"/>
  <c r="H121"/>
  <c r="S121"/>
  <c r="T121"/>
  <c r="B123"/>
  <c r="B125"/>
  <c r="L116"/>
  <c r="H125"/>
  <c r="S125"/>
  <c r="T125"/>
  <c r="B126"/>
  <c r="G126" s="1"/>
  <c r="D126"/>
  <c r="L117" s="1"/>
  <c r="H126"/>
  <c r="S126"/>
  <c r="T126"/>
  <c r="B127"/>
  <c r="D127"/>
  <c r="L118" s="1"/>
  <c r="K118" s="1"/>
  <c r="H127"/>
  <c r="S127"/>
  <c r="T127"/>
  <c r="B128"/>
  <c r="G128" s="1"/>
  <c r="L119"/>
  <c r="K119" s="1"/>
  <c r="H128"/>
  <c r="S128"/>
  <c r="T128"/>
  <c r="B129"/>
  <c r="G129" s="1"/>
  <c r="D129"/>
  <c r="L120" s="1"/>
  <c r="H129"/>
  <c r="S129"/>
  <c r="T129"/>
  <c r="B130"/>
  <c r="G130" s="1"/>
  <c r="D130"/>
  <c r="L121" s="1"/>
  <c r="H130"/>
  <c r="S130"/>
  <c r="T130"/>
  <c r="B131"/>
  <c r="G131" s="1"/>
  <c r="D131"/>
  <c r="L122" s="1"/>
  <c r="K122" s="1"/>
  <c r="H131"/>
  <c r="S131"/>
  <c r="T131"/>
  <c r="B132"/>
  <c r="D132"/>
  <c r="L123" s="1"/>
  <c r="K123" s="1"/>
  <c r="H132"/>
  <c r="S132"/>
  <c r="T132"/>
  <c r="C3" i="9"/>
  <c r="D3"/>
  <c r="E3"/>
  <c r="F3"/>
  <c r="G3"/>
  <c r="H3"/>
  <c r="I3"/>
  <c r="J3"/>
  <c r="K3"/>
  <c r="L3"/>
  <c r="M3"/>
  <c r="N3"/>
  <c r="H3335" i="5"/>
  <c r="I3328"/>
  <c r="J262" i="10"/>
  <c r="G261"/>
  <c r="Q3332" i="5"/>
  <c r="K3328"/>
  <c r="I261" i="10"/>
  <c r="K3342" i="5"/>
  <c r="L3328"/>
  <c r="H3328"/>
  <c r="J261" i="10"/>
  <c r="F261"/>
  <c r="Q3287" i="5"/>
  <c r="I259" i="10"/>
  <c r="F258"/>
  <c r="Q3288" i="5"/>
  <c r="Q3289" s="1"/>
  <c r="K3284"/>
  <c r="L3277"/>
  <c r="H3277"/>
  <c r="H257" i="10"/>
  <c r="I258"/>
  <c r="L3284" i="5"/>
  <c r="I3277"/>
  <c r="H258" i="10"/>
  <c r="L3226" i="5"/>
  <c r="G255" i="10"/>
  <c r="I253"/>
  <c r="J253"/>
  <c r="F253"/>
  <c r="Q3229" i="5"/>
  <c r="J3226"/>
  <c r="F254" i="10"/>
  <c r="G253"/>
  <c r="Q3236" i="5"/>
  <c r="Q3230"/>
  <c r="Q3231" s="1"/>
  <c r="K3226"/>
  <c r="H253" i="10"/>
  <c r="H3189" i="5"/>
  <c r="H251" i="10"/>
  <c r="I3175" i="5"/>
  <c r="H3138"/>
  <c r="H247" i="10"/>
  <c r="Q3141" i="5"/>
  <c r="I3138"/>
  <c r="I247" i="10"/>
  <c r="Q3142" i="5"/>
  <c r="Q3143"/>
  <c r="K3138"/>
  <c r="J247" i="10"/>
  <c r="F247"/>
  <c r="L3138" i="5"/>
  <c r="I3124"/>
  <c r="H3087"/>
  <c r="Q3076"/>
  <c r="J3073"/>
  <c r="I243" i="10"/>
  <c r="F242"/>
  <c r="G241"/>
  <c r="Q3091" i="5"/>
  <c r="Q3092" s="1"/>
  <c r="K3087"/>
  <c r="L3073"/>
  <c r="H3073"/>
  <c r="G243" i="10"/>
  <c r="I241"/>
  <c r="L3087" i="5"/>
  <c r="I3073"/>
  <c r="H243" i="10"/>
  <c r="J241"/>
  <c r="F241"/>
  <c r="Q3039" i="5"/>
  <c r="I3036"/>
  <c r="Q3032"/>
  <c r="I3029"/>
  <c r="Q3026"/>
  <c r="Q3027"/>
  <c r="K3022"/>
  <c r="J239" i="10"/>
  <c r="F239"/>
  <c r="G238"/>
  <c r="H237"/>
  <c r="I3022" i="5"/>
  <c r="J237" i="10"/>
  <c r="F237"/>
  <c r="H3036" i="5"/>
  <c r="H3029"/>
  <c r="Q3025"/>
  <c r="J3022"/>
  <c r="I239" i="10"/>
  <c r="J238"/>
  <c r="F238"/>
  <c r="G237"/>
  <c r="Q3040" i="5"/>
  <c r="K3036"/>
  <c r="Q3033"/>
  <c r="Q3034"/>
  <c r="K3029"/>
  <c r="L3022"/>
  <c r="H3022"/>
  <c r="H238" i="10"/>
  <c r="Q2981" i="5"/>
  <c r="I2978"/>
  <c r="G234" i="10"/>
  <c r="H2978" i="5"/>
  <c r="J2971"/>
  <c r="J234" i="10"/>
  <c r="F234"/>
  <c r="H2934" i="5"/>
  <c r="H2927"/>
  <c r="Q2923"/>
  <c r="J2920"/>
  <c r="J231" i="10"/>
  <c r="F231"/>
  <c r="G230"/>
  <c r="H229"/>
  <c r="I2920" i="5"/>
  <c r="J230" i="10"/>
  <c r="F230"/>
  <c r="J226"/>
  <c r="F226"/>
  <c r="L2876" i="5"/>
  <c r="I2869"/>
  <c r="I226" i="10"/>
  <c r="J225"/>
  <c r="F225"/>
  <c r="H2876" i="5"/>
  <c r="Q2879"/>
  <c r="I2876"/>
  <c r="G226" i="10"/>
  <c r="Q2880" i="5"/>
  <c r="Q2881" s="1"/>
  <c r="K2876"/>
  <c r="L2869"/>
  <c r="H2869"/>
  <c r="H226" i="10"/>
  <c r="H2832" i="5"/>
  <c r="H2825"/>
  <c r="F223" i="10"/>
  <c r="Q2836" i="5"/>
  <c r="Q2837"/>
  <c r="K2832"/>
  <c r="K2825"/>
  <c r="H223" i="10"/>
  <c r="I222"/>
  <c r="J223"/>
  <c r="Q2835" i="5"/>
  <c r="I2832"/>
  <c r="I2767"/>
  <c r="J217" i="10"/>
  <c r="F217"/>
  <c r="H2781" i="5"/>
  <c r="H2774"/>
  <c r="Q2770"/>
  <c r="J2767"/>
  <c r="I219" i="10"/>
  <c r="J218"/>
  <c r="F218"/>
  <c r="G217"/>
  <c r="Q2784" i="5"/>
  <c r="I2781"/>
  <c r="Q2777"/>
  <c r="I2774"/>
  <c r="Q2771"/>
  <c r="Q2772"/>
  <c r="K2767"/>
  <c r="J219" i="10"/>
  <c r="F219"/>
  <c r="H217"/>
  <c r="I2716" i="5"/>
  <c r="H2723"/>
  <c r="Q2719"/>
  <c r="G214" i="10"/>
  <c r="Q2733" i="5"/>
  <c r="Q2726"/>
  <c r="I2723"/>
  <c r="Q2720"/>
  <c r="Q2721" s="1"/>
  <c r="K2716"/>
  <c r="H214" i="10"/>
  <c r="Q2682" i="5"/>
  <c r="I2679"/>
  <c r="Q2675"/>
  <c r="I2672"/>
  <c r="Q2669"/>
  <c r="Q2670" s="1"/>
  <c r="K2665"/>
  <c r="J211" i="10"/>
  <c r="F211"/>
  <c r="G210"/>
  <c r="H209"/>
  <c r="I2665" i="5"/>
  <c r="J209" i="10"/>
  <c r="F209"/>
  <c r="H2679" i="5"/>
  <c r="H2672"/>
  <c r="Q2668"/>
  <c r="J2665"/>
  <c r="J210" i="10"/>
  <c r="F210"/>
  <c r="I2614" i="5"/>
  <c r="Q2617"/>
  <c r="J205" i="10"/>
  <c r="Q2624" i="5"/>
  <c r="J206" i="10"/>
  <c r="H2577" i="5"/>
  <c r="H2570"/>
  <c r="Q2566"/>
  <c r="J2563"/>
  <c r="J203" i="10"/>
  <c r="F203"/>
  <c r="G202"/>
  <c r="H201"/>
  <c r="Q2580" i="5"/>
  <c r="I2577"/>
  <c r="Q2573"/>
  <c r="I2570"/>
  <c r="Q2567"/>
  <c r="Q2568" s="1"/>
  <c r="K2563"/>
  <c r="G203" i="10"/>
  <c r="H202"/>
  <c r="I201"/>
  <c r="I2563" i="5"/>
  <c r="J202" i="10"/>
  <c r="F202"/>
  <c r="H2526" i="5"/>
  <c r="H2519"/>
  <c r="I199" i="10"/>
  <c r="J198"/>
  <c r="F198"/>
  <c r="Q2529" i="5"/>
  <c r="I2526"/>
  <c r="Q2522"/>
  <c r="I2519"/>
  <c r="J199" i="10"/>
  <c r="F199"/>
  <c r="G198"/>
  <c r="L2526" i="5"/>
  <c r="L2519"/>
  <c r="I2512"/>
  <c r="H199" i="10"/>
  <c r="I198"/>
  <c r="J197"/>
  <c r="F197"/>
  <c r="Q2530" i="5"/>
  <c r="Q2531" s="1"/>
  <c r="K2526"/>
  <c r="Q2523"/>
  <c r="Q2524"/>
  <c r="K2519"/>
  <c r="L2512"/>
  <c r="H2512"/>
  <c r="H198" i="10"/>
  <c r="I2461" i="5"/>
  <c r="G193" i="10"/>
  <c r="Q2472" i="5"/>
  <c r="Q2473" s="1"/>
  <c r="K2468"/>
  <c r="L2461"/>
  <c r="H2461"/>
  <c r="I194" i="10"/>
  <c r="J193"/>
  <c r="F193"/>
  <c r="H2468" i="5"/>
  <c r="Q2464"/>
  <c r="J2461"/>
  <c r="G194" i="10"/>
  <c r="H193"/>
  <c r="Q2471" i="5"/>
  <c r="I2468"/>
  <c r="Q2465"/>
  <c r="Q2466"/>
  <c r="K2461"/>
  <c r="H194" i="10"/>
  <c r="I2410" i="5"/>
  <c r="H191" i="10"/>
  <c r="I190"/>
  <c r="F190"/>
  <c r="J189"/>
  <c r="F189"/>
  <c r="H2424" i="5"/>
  <c r="H2417"/>
  <c r="Q2413"/>
  <c r="J2410"/>
  <c r="I191" i="10"/>
  <c r="J190"/>
  <c r="G190"/>
  <c r="G189"/>
  <c r="Q2427" i="5"/>
  <c r="I2424"/>
  <c r="Q2420"/>
  <c r="I2417"/>
  <c r="Q2414"/>
  <c r="Q2415"/>
  <c r="K2410"/>
  <c r="J191" i="10"/>
  <c r="F191"/>
  <c r="H190"/>
  <c r="H189"/>
  <c r="I2359" i="5"/>
  <c r="J185" i="10"/>
  <c r="F185"/>
  <c r="H2373" i="5"/>
  <c r="H2366"/>
  <c r="Q2362"/>
  <c r="J2359"/>
  <c r="Q2377"/>
  <c r="K2373"/>
  <c r="Q2370"/>
  <c r="Q2371"/>
  <c r="K2366"/>
  <c r="L2359"/>
  <c r="H2359"/>
  <c r="G187" i="10"/>
  <c r="H186"/>
  <c r="I185"/>
  <c r="I187"/>
  <c r="J186"/>
  <c r="G185"/>
  <c r="Q2376" i="5"/>
  <c r="I2373"/>
  <c r="Q2369"/>
  <c r="I2366"/>
  <c r="Q2363"/>
  <c r="Q2364" s="1"/>
  <c r="K2359"/>
  <c r="J187" i="10"/>
  <c r="F187"/>
  <c r="G186"/>
  <c r="H185"/>
  <c r="H2322" i="5"/>
  <c r="H2315"/>
  <c r="G183" i="10"/>
  <c r="H182"/>
  <c r="L2322" i="5"/>
  <c r="L2315"/>
  <c r="I2308"/>
  <c r="J183" i="10"/>
  <c r="F183"/>
  <c r="G182"/>
  <c r="H181"/>
  <c r="Q2325" i="5"/>
  <c r="I2322"/>
  <c r="Q2318"/>
  <c r="I2315"/>
  <c r="H183" i="10"/>
  <c r="I182"/>
  <c r="Q2326" i="5"/>
  <c r="Q2327" s="1"/>
  <c r="K2322"/>
  <c r="Q2319"/>
  <c r="Q2320"/>
  <c r="K2315"/>
  <c r="L2308"/>
  <c r="H2308"/>
  <c r="J182" i="10"/>
  <c r="F182"/>
  <c r="H2271" i="5"/>
  <c r="H2264"/>
  <c r="Q2260"/>
  <c r="J2257"/>
  <c r="G179" i="10"/>
  <c r="H178"/>
  <c r="I177"/>
  <c r="I2257" i="5"/>
  <c r="J179" i="10"/>
  <c r="G178"/>
  <c r="H177"/>
  <c r="I2206" i="5"/>
  <c r="H2220"/>
  <c r="H2213"/>
  <c r="Q2209"/>
  <c r="J2206"/>
  <c r="J175" i="10"/>
  <c r="F175"/>
  <c r="G174"/>
  <c r="H173"/>
  <c r="G173"/>
  <c r="Q2223" i="5"/>
  <c r="I2220"/>
  <c r="Q2216"/>
  <c r="I2213"/>
  <c r="Q2210"/>
  <c r="Q2211" s="1"/>
  <c r="K2206"/>
  <c r="H174" i="10"/>
  <c r="I170"/>
  <c r="Q2172" i="5"/>
  <c r="Q2165"/>
  <c r="I2162"/>
  <c r="L2169"/>
  <c r="L2162"/>
  <c r="I2155"/>
  <c r="H170" i="10"/>
  <c r="I169"/>
  <c r="J170"/>
  <c r="F170"/>
  <c r="K2169" i="5"/>
  <c r="Q2166"/>
  <c r="Q2167"/>
  <c r="K2162"/>
  <c r="L2155"/>
  <c r="H2155"/>
  <c r="H169" i="10"/>
  <c r="Q2123" i="5"/>
  <c r="F165" i="10"/>
  <c r="H2118" i="5"/>
  <c r="H2111"/>
  <c r="J2104"/>
  <c r="J166" i="10"/>
  <c r="F166"/>
  <c r="H2060" i="5"/>
  <c r="G162" i="10"/>
  <c r="Q2070" i="5"/>
  <c r="Q2063"/>
  <c r="I2060"/>
  <c r="G163" i="10"/>
  <c r="H162"/>
  <c r="K2067" i="5"/>
  <c r="Q2064"/>
  <c r="Q2065"/>
  <c r="K2060"/>
  <c r="H163" i="10"/>
  <c r="I162"/>
  <c r="L2060" i="5"/>
  <c r="I2053"/>
  <c r="J162" i="10"/>
  <c r="F162"/>
  <c r="I2009" i="5"/>
  <c r="H158" i="10"/>
  <c r="I2016" i="5"/>
  <c r="Q2012"/>
  <c r="K2009"/>
  <c r="I158" i="10"/>
  <c r="Q2013" i="5"/>
  <c r="Q2014" s="1"/>
  <c r="L2009"/>
  <c r="I2002"/>
  <c r="J158" i="10"/>
  <c r="F158"/>
  <c r="I1951" i="5"/>
  <c r="J155" i="10"/>
  <c r="F155"/>
  <c r="H153"/>
  <c r="H1965" i="5"/>
  <c r="H1958"/>
  <c r="Q1954"/>
  <c r="J1951"/>
  <c r="I149" i="10"/>
  <c r="H1914" i="5"/>
  <c r="H1907"/>
  <c r="Q1903"/>
  <c r="J1900"/>
  <c r="H151" i="10"/>
  <c r="I150"/>
  <c r="J149"/>
  <c r="F149"/>
  <c r="Q1917" i="5"/>
  <c r="I1914"/>
  <c r="Q1910"/>
  <c r="I1907"/>
  <c r="Q1904"/>
  <c r="Q1905"/>
  <c r="K1900"/>
  <c r="I151" i="10"/>
  <c r="J150"/>
  <c r="F150"/>
  <c r="G149"/>
  <c r="I1900" i="5"/>
  <c r="Q1918"/>
  <c r="Q1919"/>
  <c r="K1914"/>
  <c r="Q1911"/>
  <c r="K1907"/>
  <c r="L1900"/>
  <c r="H1900"/>
  <c r="J151" i="10"/>
  <c r="F151"/>
  <c r="H149"/>
  <c r="L1856" i="5"/>
  <c r="I1849"/>
  <c r="H146" i="10"/>
  <c r="I145"/>
  <c r="H1856" i="5"/>
  <c r="J145" i="10"/>
  <c r="F145"/>
  <c r="J141"/>
  <c r="F141"/>
  <c r="H1812" i="5"/>
  <c r="Q1801"/>
  <c r="J1798"/>
  <c r="I143" i="10"/>
  <c r="G141"/>
  <c r="Q1815" i="5"/>
  <c r="I1812"/>
  <c r="Q1802"/>
  <c r="Q1803" s="1"/>
  <c r="K1798"/>
  <c r="J143" i="10"/>
  <c r="F143"/>
  <c r="H141"/>
  <c r="I1798" i="5"/>
  <c r="Q1816"/>
  <c r="C143" i="10" s="1"/>
  <c r="K1812" i="5"/>
  <c r="K1805"/>
  <c r="L1798"/>
  <c r="H1798"/>
  <c r="H1761"/>
  <c r="H1754"/>
  <c r="L1761"/>
  <c r="L1754"/>
  <c r="I1747"/>
  <c r="G139" i="10"/>
  <c r="H138"/>
  <c r="I137"/>
  <c r="H139"/>
  <c r="I138"/>
  <c r="Q1764" i="5"/>
  <c r="I1761"/>
  <c r="Q1757"/>
  <c r="I1754"/>
  <c r="I139" i="10"/>
  <c r="J138"/>
  <c r="F138"/>
  <c r="Q1765" i="5"/>
  <c r="Q1766"/>
  <c r="K1761"/>
  <c r="Q1758"/>
  <c r="Q1759" s="1"/>
  <c r="K1754"/>
  <c r="L1747"/>
  <c r="H1747"/>
  <c r="J139" i="10"/>
  <c r="F139"/>
  <c r="H137"/>
  <c r="H1710" i="5"/>
  <c r="H1703"/>
  <c r="H135" i="10"/>
  <c r="I134"/>
  <c r="L1710" i="5"/>
  <c r="L1703"/>
  <c r="I1696"/>
  <c r="H134" i="10"/>
  <c r="J129"/>
  <c r="F129"/>
  <c r="Q1662" i="5"/>
  <c r="I1659"/>
  <c r="Q1655"/>
  <c r="I1652"/>
  <c r="Q1649"/>
  <c r="Q1650" s="1"/>
  <c r="K1645"/>
  <c r="J131" i="10"/>
  <c r="F131"/>
  <c r="G130"/>
  <c r="H129"/>
  <c r="I1645" i="5"/>
  <c r="H1659"/>
  <c r="H1652"/>
  <c r="Q1648"/>
  <c r="J1645"/>
  <c r="J130" i="10"/>
  <c r="F130"/>
  <c r="I1594" i="5"/>
  <c r="I125" i="10"/>
  <c r="Q1611" i="5"/>
  <c r="I1608"/>
  <c r="Q1604"/>
  <c r="I1601"/>
  <c r="Q1598"/>
  <c r="K1594"/>
  <c r="I127" i="10"/>
  <c r="J126"/>
  <c r="F126"/>
  <c r="G125"/>
  <c r="H1608" i="5"/>
  <c r="H1601"/>
  <c r="Q1597"/>
  <c r="J1594"/>
  <c r="H127" i="10"/>
  <c r="J125"/>
  <c r="F125"/>
  <c r="I1543" i="5"/>
  <c r="H123" i="10"/>
  <c r="I122"/>
  <c r="J121"/>
  <c r="F121"/>
  <c r="H1557" i="5"/>
  <c r="H1550"/>
  <c r="Q1546"/>
  <c r="J1543"/>
  <c r="J122" i="10"/>
  <c r="F122"/>
  <c r="H1506" i="5"/>
  <c r="H1499"/>
  <c r="J118" i="10"/>
  <c r="F118"/>
  <c r="Q1502" i="5"/>
  <c r="I1499"/>
  <c r="G118" i="10"/>
  <c r="Q1510" i="5"/>
  <c r="Q1511" s="1"/>
  <c r="Q1503"/>
  <c r="Q1504"/>
  <c r="K1499"/>
  <c r="H118" i="10"/>
  <c r="L1506" i="5"/>
  <c r="L1499"/>
  <c r="I1492"/>
  <c r="J117" i="10"/>
  <c r="F117"/>
  <c r="H1448" i="5"/>
  <c r="Q1458"/>
  <c r="Q1451"/>
  <c r="I1448"/>
  <c r="I115" i="10"/>
  <c r="J114"/>
  <c r="F114"/>
  <c r="Q1452" i="5"/>
  <c r="Q1453" s="1"/>
  <c r="K1448"/>
  <c r="L1441"/>
  <c r="H1441"/>
  <c r="F115" i="10"/>
  <c r="G114"/>
  <c r="H113"/>
  <c r="I114"/>
  <c r="L1448" i="5"/>
  <c r="I1441"/>
  <c r="H114" i="10"/>
  <c r="K1390" i="5"/>
  <c r="H111" i="10"/>
  <c r="I110"/>
  <c r="F109"/>
  <c r="H1404" i="5"/>
  <c r="H1397"/>
  <c r="Q1393"/>
  <c r="H110" i="10"/>
  <c r="H1353" i="5"/>
  <c r="H1346"/>
  <c r="J107" i="10"/>
  <c r="F107"/>
  <c r="Q1356" i="5"/>
  <c r="I1353"/>
  <c r="G107" i="10"/>
  <c r="Q1357" i="5"/>
  <c r="Q1358" s="1"/>
  <c r="K1353"/>
  <c r="L1339"/>
  <c r="H1339"/>
  <c r="H107" i="10"/>
  <c r="J105"/>
  <c r="F105"/>
  <c r="L1353" i="5"/>
  <c r="I1339"/>
  <c r="F106" i="10"/>
  <c r="Q1292" i="5"/>
  <c r="K1288"/>
  <c r="G101" i="10"/>
  <c r="I1288" i="5"/>
  <c r="I101" i="10"/>
  <c r="H1302" i="5"/>
  <c r="Q1291"/>
  <c r="J1288"/>
  <c r="H103" i="10"/>
  <c r="J101"/>
  <c r="F101"/>
  <c r="I1237" i="5"/>
  <c r="J97" i="10"/>
  <c r="F97"/>
  <c r="H1251" i="5"/>
  <c r="H1244"/>
  <c r="Q1240"/>
  <c r="J1237"/>
  <c r="I99" i="10"/>
  <c r="J98"/>
  <c r="F98"/>
  <c r="G97"/>
  <c r="Q1254" i="5"/>
  <c r="I1251"/>
  <c r="Q1247"/>
  <c r="I1244"/>
  <c r="Q1241"/>
  <c r="Q1242" s="1"/>
  <c r="K1237"/>
  <c r="J99" i="10"/>
  <c r="F99"/>
  <c r="G98"/>
  <c r="H97"/>
  <c r="Q1255" i="5"/>
  <c r="K1251"/>
  <c r="Q1248"/>
  <c r="Q1249"/>
  <c r="K1244"/>
  <c r="L1237"/>
  <c r="H1237"/>
  <c r="H98" i="10"/>
  <c r="J93"/>
  <c r="H1200" i="5"/>
  <c r="H1193"/>
  <c r="J1186"/>
  <c r="F94" i="10"/>
  <c r="K1200" i="5"/>
  <c r="Q1197"/>
  <c r="Q1198"/>
  <c r="K1193"/>
  <c r="L1186"/>
  <c r="H1186"/>
  <c r="G95" i="10"/>
  <c r="H94"/>
  <c r="I93"/>
  <c r="F93"/>
  <c r="I1186" i="5"/>
  <c r="Q1189"/>
  <c r="J94" i="10"/>
  <c r="G93"/>
  <c r="Q1203" i="5"/>
  <c r="Q1196"/>
  <c r="I1193"/>
  <c r="Q1190"/>
  <c r="Q1191" s="1"/>
  <c r="K1186"/>
  <c r="F95" i="10"/>
  <c r="K1135" i="5"/>
  <c r="I90" i="10"/>
  <c r="J89"/>
  <c r="I1135" i="5"/>
  <c r="H1149"/>
  <c r="H1142"/>
  <c r="J1135"/>
  <c r="H91" i="10"/>
  <c r="H90"/>
  <c r="H1098" i="5"/>
  <c r="H87" i="10"/>
  <c r="Q1101" i="5"/>
  <c r="I1098"/>
  <c r="Q1094"/>
  <c r="I87" i="10"/>
  <c r="F86"/>
  <c r="Q1102" i="5"/>
  <c r="Q1103"/>
  <c r="K1098"/>
  <c r="Q1095"/>
  <c r="Q1096" s="1"/>
  <c r="K1091"/>
  <c r="J87" i="10"/>
  <c r="F87"/>
  <c r="L1098" i="5"/>
  <c r="I1084"/>
  <c r="I82" i="10"/>
  <c r="Q1051" i="5"/>
  <c r="Q1052" s="1"/>
  <c r="Q1044"/>
  <c r="Q1045"/>
  <c r="K1040"/>
  <c r="L1033"/>
  <c r="H1033"/>
  <c r="J82" i="10"/>
  <c r="F82"/>
  <c r="G81"/>
  <c r="H1040" i="5"/>
  <c r="H82" i="10"/>
  <c r="Q1043" i="5"/>
  <c r="I1040"/>
  <c r="L1040"/>
  <c r="I1033"/>
  <c r="H81" i="10"/>
  <c r="H996" i="5"/>
  <c r="I79" i="10"/>
  <c r="Q1000" i="5"/>
  <c r="Q1001"/>
  <c r="K996"/>
  <c r="L982"/>
  <c r="H982"/>
  <c r="G79" i="10"/>
  <c r="I77"/>
  <c r="Q999" i="5"/>
  <c r="I996"/>
  <c r="J79" i="10"/>
  <c r="F79"/>
  <c r="L996" i="5"/>
  <c r="I982"/>
  <c r="H79" i="10"/>
  <c r="J77"/>
  <c r="F77"/>
  <c r="H945" i="5"/>
  <c r="H938"/>
  <c r="Q934"/>
  <c r="J931"/>
  <c r="H75" i="10"/>
  <c r="I74"/>
  <c r="J73"/>
  <c r="F73"/>
  <c r="Q948" i="5"/>
  <c r="I945"/>
  <c r="Q941"/>
  <c r="I938"/>
  <c r="Q935"/>
  <c r="Q936"/>
  <c r="K931"/>
  <c r="J74" i="10"/>
  <c r="F74"/>
  <c r="G73"/>
  <c r="I931" i="5"/>
  <c r="I73" i="10"/>
  <c r="L931" i="5"/>
  <c r="H931"/>
  <c r="H73" i="10"/>
  <c r="L894" i="5"/>
  <c r="L887"/>
  <c r="I880"/>
  <c r="I71" i="10"/>
  <c r="J70"/>
  <c r="F70"/>
  <c r="G69"/>
  <c r="H894" i="5"/>
  <c r="H887"/>
  <c r="J71" i="10"/>
  <c r="F71"/>
  <c r="G70"/>
  <c r="Q897" i="5"/>
  <c r="I894"/>
  <c r="Q890"/>
  <c r="I887"/>
  <c r="G71" i="10"/>
  <c r="H70"/>
  <c r="Q898" i="5"/>
  <c r="Q899" s="1"/>
  <c r="K894"/>
  <c r="Q891"/>
  <c r="Q892"/>
  <c r="K887"/>
  <c r="L880"/>
  <c r="H880"/>
  <c r="H71" i="10"/>
  <c r="J69"/>
  <c r="F69"/>
  <c r="Q847" i="5"/>
  <c r="Q848"/>
  <c r="K843"/>
  <c r="Q840"/>
  <c r="Q841" s="1"/>
  <c r="K836"/>
  <c r="L829"/>
  <c r="H829"/>
  <c r="J67" i="10"/>
  <c r="F67"/>
  <c r="H65"/>
  <c r="H843" i="5"/>
  <c r="H836"/>
  <c r="H67" i="10"/>
  <c r="I66"/>
  <c r="Q846" i="5"/>
  <c r="I843"/>
  <c r="I836"/>
  <c r="I67" i="10"/>
  <c r="J66"/>
  <c r="L843" i="5"/>
  <c r="I829"/>
  <c r="H792"/>
  <c r="H785"/>
  <c r="Q781"/>
  <c r="J778"/>
  <c r="G63" i="10"/>
  <c r="H62"/>
  <c r="I61"/>
  <c r="I778" i="5"/>
  <c r="H61" i="10"/>
  <c r="Q782" i="5"/>
  <c r="Q783"/>
  <c r="K778"/>
  <c r="H63" i="10"/>
  <c r="J61"/>
  <c r="F61"/>
  <c r="H741" i="5"/>
  <c r="H734"/>
  <c r="H59" i="10"/>
  <c r="I58"/>
  <c r="L741" i="5"/>
  <c r="L734"/>
  <c r="I727"/>
  <c r="H58" i="10"/>
  <c r="Q680" i="5"/>
  <c r="Q681"/>
  <c r="K676"/>
  <c r="H55" i="10"/>
  <c r="I54"/>
  <c r="J53"/>
  <c r="F53"/>
  <c r="I676" i="5"/>
  <c r="H53" i="10"/>
  <c r="H690" i="5"/>
  <c r="H683"/>
  <c r="Q679"/>
  <c r="J676"/>
  <c r="H54" i="10"/>
  <c r="I625" i="5"/>
  <c r="Q642"/>
  <c r="I639"/>
  <c r="Q635"/>
  <c r="I632"/>
  <c r="Q629"/>
  <c r="K625"/>
  <c r="J51" i="10"/>
  <c r="F51"/>
  <c r="G50"/>
  <c r="H49"/>
  <c r="J49"/>
  <c r="F49"/>
  <c r="H639" i="5"/>
  <c r="H632"/>
  <c r="Q628"/>
  <c r="J625"/>
  <c r="J50" i="10"/>
  <c r="F50"/>
  <c r="I45"/>
  <c r="Q591" i="5"/>
  <c r="Q584"/>
  <c r="I581"/>
  <c r="Q578"/>
  <c r="Q579" s="1"/>
  <c r="K574"/>
  <c r="I47" i="10"/>
  <c r="J46"/>
  <c r="F46"/>
  <c r="G45"/>
  <c r="I574" i="5"/>
  <c r="H581"/>
  <c r="Q577"/>
  <c r="J574"/>
  <c r="J45" i="10"/>
  <c r="F45"/>
  <c r="Q526" i="5"/>
  <c r="J43" i="10"/>
  <c r="F43"/>
  <c r="G42"/>
  <c r="Q540" i="5"/>
  <c r="I537"/>
  <c r="Q533"/>
  <c r="I530"/>
  <c r="Q527"/>
  <c r="L523"/>
  <c r="H523"/>
  <c r="G43" i="10"/>
  <c r="H42"/>
  <c r="I41"/>
  <c r="J523" i="5"/>
  <c r="G41" i="10"/>
  <c r="H537" i="5"/>
  <c r="H530"/>
  <c r="K523"/>
  <c r="H41" i="10"/>
  <c r="Q541" i="5"/>
  <c r="Q542"/>
  <c r="K537"/>
  <c r="Q534"/>
  <c r="K530"/>
  <c r="I523"/>
  <c r="H43" i="10"/>
  <c r="J41"/>
  <c r="F41"/>
  <c r="H486" i="5"/>
  <c r="H479"/>
  <c r="Q489"/>
  <c r="I486"/>
  <c r="Q482"/>
  <c r="I479"/>
  <c r="I39" i="10"/>
  <c r="J38"/>
  <c r="F38"/>
  <c r="Q490" i="5"/>
  <c r="K486"/>
  <c r="Q483"/>
  <c r="Q484"/>
  <c r="K479"/>
  <c r="L472"/>
  <c r="J39" i="10"/>
  <c r="F39"/>
  <c r="G38"/>
  <c r="H39"/>
  <c r="I38"/>
  <c r="L486" i="5"/>
  <c r="L479"/>
  <c r="I472"/>
  <c r="H38" i="10"/>
  <c r="H435" i="5"/>
  <c r="Q424"/>
  <c r="J421"/>
  <c r="G35" i="10"/>
  <c r="I33"/>
  <c r="I421" i="5"/>
  <c r="H33" i="10"/>
  <c r="Q425" i="5"/>
  <c r="Q426"/>
  <c r="K421"/>
  <c r="H35" i="10"/>
  <c r="J33"/>
  <c r="F33"/>
  <c r="I370" i="5"/>
  <c r="Q374"/>
  <c r="Q375"/>
  <c r="K370"/>
  <c r="H29" i="10"/>
  <c r="J29"/>
  <c r="F29"/>
  <c r="H384" i="5"/>
  <c r="H377"/>
  <c r="Q373"/>
  <c r="J370"/>
  <c r="J30" i="10"/>
  <c r="F30"/>
  <c r="H333" i="5"/>
  <c r="H326"/>
  <c r="J27" i="10"/>
  <c r="F27"/>
  <c r="Q336" i="5"/>
  <c r="I333"/>
  <c r="Q329"/>
  <c r="G27" i="10"/>
  <c r="Q337" i="5"/>
  <c r="K333"/>
  <c r="H27" i="10"/>
  <c r="L333" i="5"/>
  <c r="I319"/>
  <c r="F26" i="10"/>
  <c r="H282" i="5"/>
  <c r="H275"/>
  <c r="Q271"/>
  <c r="J268"/>
  <c r="G23" i="10"/>
  <c r="H22"/>
  <c r="I21"/>
  <c r="I268" i="5"/>
  <c r="J23" i="10"/>
  <c r="F23"/>
  <c r="H21"/>
  <c r="L231" i="5"/>
  <c r="I217"/>
  <c r="G19" i="10"/>
  <c r="H18"/>
  <c r="I17"/>
  <c r="H231" i="5"/>
  <c r="H19" i="10"/>
  <c r="J17"/>
  <c r="F17"/>
  <c r="Q184" i="5"/>
  <c r="Q185"/>
  <c r="L180"/>
  <c r="L173"/>
  <c r="G15" i="10"/>
  <c r="H180" i="5"/>
  <c r="H173"/>
  <c r="Q183"/>
  <c r="I180"/>
  <c r="I173"/>
  <c r="I15" i="10"/>
  <c r="F14"/>
  <c r="H15"/>
  <c r="K180" i="5"/>
  <c r="J15" i="10"/>
  <c r="F15"/>
  <c r="I115" i="5"/>
  <c r="G9" i="10"/>
  <c r="H129" i="5"/>
  <c r="H122"/>
  <c r="Q118"/>
  <c r="J115"/>
  <c r="J11" i="10"/>
  <c r="F11"/>
  <c r="G10"/>
  <c r="H9"/>
  <c r="Q132" i="5"/>
  <c r="I129"/>
  <c r="Q125"/>
  <c r="I122"/>
  <c r="Q119"/>
  <c r="Q120"/>
  <c r="K115"/>
  <c r="H10" i="10"/>
  <c r="H78" i="5"/>
  <c r="H71"/>
  <c r="Q67"/>
  <c r="J64"/>
  <c r="G7" i="10"/>
  <c r="H6"/>
  <c r="I5"/>
  <c r="I64" i="5"/>
  <c r="J7" i="10"/>
  <c r="F7"/>
  <c r="H5"/>
  <c r="L27" i="5"/>
  <c r="Q31"/>
  <c r="Q32" s="1"/>
  <c r="K27"/>
  <c r="F3" i="10"/>
  <c r="Q30" i="5"/>
  <c r="Q24"/>
  <c r="Q25" s="1"/>
  <c r="K20"/>
  <c r="H2" i="10"/>
  <c r="I20" i="5"/>
  <c r="J2" i="10"/>
  <c r="F2"/>
  <c r="Q23" i="5"/>
  <c r="J20"/>
  <c r="I1" i="10"/>
  <c r="F1"/>
  <c r="G1"/>
  <c r="J13" i="5"/>
  <c r="H13"/>
  <c r="Q3333"/>
  <c r="Q3041"/>
  <c r="Q2378"/>
  <c r="Q1817"/>
  <c r="Q1293"/>
  <c r="Q1256"/>
  <c r="A861"/>
  <c r="C253" i="10"/>
  <c r="C101"/>
  <c r="C189"/>
  <c r="B198"/>
  <c r="B239"/>
  <c r="B61"/>
  <c r="B238"/>
  <c r="B253"/>
  <c r="A253" s="1"/>
  <c r="B101"/>
  <c r="B151"/>
  <c r="B71"/>
  <c r="B149"/>
  <c r="C98"/>
  <c r="C99"/>
  <c r="B99"/>
  <c r="B67"/>
  <c r="C29"/>
  <c r="B43" i="5"/>
  <c r="C94" i="10"/>
  <c r="C61"/>
  <c r="B193"/>
  <c r="C79"/>
  <c r="C193"/>
  <c r="C38"/>
  <c r="B38"/>
  <c r="C53"/>
  <c r="B223"/>
  <c r="C247"/>
  <c r="B50"/>
  <c r="B143"/>
  <c r="A143" s="1"/>
  <c r="B15"/>
  <c r="C43"/>
  <c r="B43"/>
  <c r="C119"/>
  <c r="C182"/>
  <c r="B21"/>
  <c r="C73"/>
  <c r="B114"/>
  <c r="B126"/>
  <c r="C31"/>
  <c r="B9"/>
  <c r="B118"/>
  <c r="C209"/>
  <c r="C141"/>
  <c r="B185"/>
  <c r="H262"/>
  <c r="I3335" i="5"/>
  <c r="Q3331"/>
  <c r="Q3339"/>
  <c r="G262" i="10"/>
  <c r="J3335" i="5"/>
  <c r="K3335"/>
  <c r="Q3338"/>
  <c r="F262" i="10"/>
  <c r="L3335" i="5"/>
  <c r="Q3281"/>
  <c r="Q3282" s="1"/>
  <c r="K3277"/>
  <c r="J257" i="10"/>
  <c r="I257"/>
  <c r="F257"/>
  <c r="Q3280" i="5"/>
  <c r="J3277"/>
  <c r="L3233"/>
  <c r="J3233"/>
  <c r="Q3193"/>
  <c r="Q3194"/>
  <c r="L3189"/>
  <c r="I249" i="10"/>
  <c r="J251"/>
  <c r="H249"/>
  <c r="J3189" i="5"/>
  <c r="B251" i="10"/>
  <c r="L3175" i="5"/>
  <c r="F251" i="10"/>
  <c r="H3124" i="5"/>
  <c r="F245" i="10"/>
  <c r="J3138" i="5"/>
  <c r="I245" i="10"/>
  <c r="J3124" i="5"/>
  <c r="G245" i="10"/>
  <c r="Q3127" i="5"/>
  <c r="K3124"/>
  <c r="H245" i="10"/>
  <c r="Q3128" i="5"/>
  <c r="Q3129"/>
  <c r="L3124"/>
  <c r="F243" i="10"/>
  <c r="H241"/>
  <c r="J3087" i="5"/>
  <c r="Q3090"/>
  <c r="Q3077"/>
  <c r="Q3078"/>
  <c r="J243" i="10"/>
  <c r="Q3083" i="5"/>
  <c r="G242" i="10"/>
  <c r="H239"/>
  <c r="J3036" i="5"/>
  <c r="J3029"/>
  <c r="I238" i="10"/>
  <c r="J233"/>
  <c r="Q2982" i="5"/>
  <c r="H2971"/>
  <c r="H235" i="10"/>
  <c r="H234"/>
  <c r="Q2974" i="5"/>
  <c r="Q2975"/>
  <c r="Q2976" s="1"/>
  <c r="F233" i="10"/>
  <c r="K2978" i="5"/>
  <c r="L2971"/>
  <c r="I234" i="10"/>
  <c r="I233"/>
  <c r="H233"/>
  <c r="K2971" i="5"/>
  <c r="I2971"/>
  <c r="I231" i="10"/>
  <c r="I2934" i="5"/>
  <c r="I230" i="10"/>
  <c r="I229"/>
  <c r="J2934" i="5"/>
  <c r="Q2937"/>
  <c r="K2934"/>
  <c r="Q2930"/>
  <c r="I2927"/>
  <c r="G229" i="10"/>
  <c r="H2920" i="5"/>
  <c r="J229" i="10"/>
  <c r="J2927" i="5"/>
  <c r="Q2938"/>
  <c r="Q2939"/>
  <c r="L2934"/>
  <c r="G231" i="10"/>
  <c r="G225"/>
  <c r="I225"/>
  <c r="H225"/>
  <c r="Q2872" i="5"/>
  <c r="J2869"/>
  <c r="Q2873"/>
  <c r="B225" i="10" s="1"/>
  <c r="I223"/>
  <c r="J2832" i="5"/>
  <c r="K2818"/>
  <c r="Q2828"/>
  <c r="G222" i="10"/>
  <c r="J221"/>
  <c r="L2818" i="5"/>
  <c r="J2818"/>
  <c r="I2818"/>
  <c r="L2832"/>
  <c r="I221" i="10"/>
  <c r="F222"/>
  <c r="J2825" i="5"/>
  <c r="H222" i="10"/>
  <c r="I2825" i="5"/>
  <c r="H221" i="10"/>
  <c r="F221"/>
  <c r="H2818" i="5"/>
  <c r="Q2829"/>
  <c r="C222" i="10" s="1"/>
  <c r="G221"/>
  <c r="J222"/>
  <c r="L2781" i="5"/>
  <c r="G218" i="10"/>
  <c r="I218"/>
  <c r="J2781" i="5"/>
  <c r="Q2778"/>
  <c r="B218" i="10" s="1"/>
  <c r="K2774" i="5"/>
  <c r="H2767"/>
  <c r="J2774"/>
  <c r="G219" i="10"/>
  <c r="H213"/>
  <c r="J2716" i="5"/>
  <c r="G213" i="10"/>
  <c r="I213"/>
  <c r="J214"/>
  <c r="J213"/>
  <c r="J2730" i="5"/>
  <c r="Q2727"/>
  <c r="Q2728" s="1"/>
  <c r="H2716"/>
  <c r="J2723"/>
  <c r="G215" i="10"/>
  <c r="K2723" i="5"/>
  <c r="L2716"/>
  <c r="H215" i="10"/>
  <c r="F214"/>
  <c r="I211"/>
  <c r="K2672" i="5"/>
  <c r="L2665"/>
  <c r="I210" i="10"/>
  <c r="J2679" i="5"/>
  <c r="L2672"/>
  <c r="I209" i="10"/>
  <c r="J2672" i="5"/>
  <c r="G211" i="10"/>
  <c r="Q2676" i="5"/>
  <c r="Q2677"/>
  <c r="Q2632"/>
  <c r="Q2633"/>
  <c r="K2628"/>
  <c r="K2621"/>
  <c r="L2614"/>
  <c r="G207" i="10"/>
  <c r="G206"/>
  <c r="J2628" i="5"/>
  <c r="J207" i="10"/>
  <c r="H206"/>
  <c r="J2621" i="5"/>
  <c r="G205" i="10"/>
  <c r="H205"/>
  <c r="I207"/>
  <c r="L2570" i="5"/>
  <c r="F201" i="10"/>
  <c r="J2577" i="5"/>
  <c r="G201" i="10"/>
  <c r="J201"/>
  <c r="J2570" i="5"/>
  <c r="Q2574"/>
  <c r="Q2575"/>
  <c r="G197" i="10"/>
  <c r="I197"/>
  <c r="H197"/>
  <c r="Q2515" i="5"/>
  <c r="J2512"/>
  <c r="Q2516"/>
  <c r="Q2517" s="1"/>
  <c r="J2475"/>
  <c r="F194" i="10"/>
  <c r="J2468" i="5"/>
  <c r="J194" i="10"/>
  <c r="Q2421" i="5"/>
  <c r="Q2422" s="1"/>
  <c r="G191" i="10"/>
  <c r="J2424" i="5"/>
  <c r="Q2428"/>
  <c r="K2417"/>
  <c r="H2410"/>
  <c r="I189" i="10"/>
  <c r="J2417" i="5"/>
  <c r="I186" i="10"/>
  <c r="J2373" i="5"/>
  <c r="L2366"/>
  <c r="J2366"/>
  <c r="Q2312"/>
  <c r="Q2313"/>
  <c r="K2308"/>
  <c r="I181" i="10"/>
  <c r="J181"/>
  <c r="G181"/>
  <c r="Q2267" i="5"/>
  <c r="I2264"/>
  <c r="I179" i="10"/>
  <c r="I178"/>
  <c r="G177"/>
  <c r="J2271" i="5"/>
  <c r="L2271"/>
  <c r="Q2268"/>
  <c r="C178" i="10" s="1"/>
  <c r="K2264" i="5"/>
  <c r="Q2261"/>
  <c r="Q2262"/>
  <c r="H2257"/>
  <c r="J178" i="10"/>
  <c r="J177"/>
  <c r="J2264" i="5"/>
  <c r="L2264"/>
  <c r="K2257"/>
  <c r="I175" i="10"/>
  <c r="I174"/>
  <c r="F173"/>
  <c r="J2220" i="5"/>
  <c r="L2220"/>
  <c r="I173" i="10"/>
  <c r="J174"/>
  <c r="J173"/>
  <c r="J2213" i="5"/>
  <c r="Q2217"/>
  <c r="B174" i="10" s="1"/>
  <c r="J169"/>
  <c r="G170"/>
  <c r="K2155" i="5"/>
  <c r="J2162"/>
  <c r="F169" i="10"/>
  <c r="Q2158" i="5"/>
  <c r="Q2121"/>
  <c r="K2118"/>
  <c r="Q2114"/>
  <c r="I2111"/>
  <c r="G165" i="10"/>
  <c r="H2104" i="5"/>
  <c r="J167" i="10"/>
  <c r="J2118" i="5"/>
  <c r="F167" i="10"/>
  <c r="G166"/>
  <c r="J2111" i="5"/>
  <c r="L2111"/>
  <c r="L2104"/>
  <c r="G167" i="10"/>
  <c r="H166"/>
  <c r="H165"/>
  <c r="F161"/>
  <c r="J2067" i="5"/>
  <c r="H2053"/>
  <c r="H161" i="10"/>
  <c r="G161"/>
  <c r="J2053" i="5"/>
  <c r="I161" i="10"/>
  <c r="J159"/>
  <c r="F157"/>
  <c r="J2016" i="5"/>
  <c r="I159" i="10"/>
  <c r="H2009" i="5"/>
  <c r="Q2005"/>
  <c r="K2002"/>
  <c r="G158" i="10"/>
  <c r="H157"/>
  <c r="I157"/>
  <c r="L2016" i="5"/>
  <c r="H2002"/>
  <c r="G155" i="10"/>
  <c r="I1965" i="5"/>
  <c r="J1965"/>
  <c r="Q1968"/>
  <c r="K1965"/>
  <c r="H155" i="10"/>
  <c r="F154"/>
  <c r="F153"/>
  <c r="J1958" i="5"/>
  <c r="Q1969"/>
  <c r="B155" i="10" s="1"/>
  <c r="L1965" i="5"/>
  <c r="Q1962"/>
  <c r="Q1963"/>
  <c r="K1958"/>
  <c r="Q1955"/>
  <c r="Q1956" s="1"/>
  <c r="K1951"/>
  <c r="I154" i="10"/>
  <c r="G153"/>
  <c r="G150"/>
  <c r="H150"/>
  <c r="J1914" i="5"/>
  <c r="L1914"/>
  <c r="J1907"/>
  <c r="H1849"/>
  <c r="I147" i="10"/>
  <c r="G146"/>
  <c r="G145"/>
  <c r="J1863" i="5"/>
  <c r="Q1860"/>
  <c r="B146" i="10" s="1"/>
  <c r="K1856" i="5"/>
  <c r="Q1852"/>
  <c r="J1849"/>
  <c r="J147" i="10"/>
  <c r="J146"/>
  <c r="H145"/>
  <c r="J1856" i="5"/>
  <c r="Q1853"/>
  <c r="Q1854" s="1"/>
  <c r="K1849"/>
  <c r="Q1867"/>
  <c r="Q1868" s="1"/>
  <c r="I1863"/>
  <c r="I146" i="10"/>
  <c r="H143"/>
  <c r="J1812" i="5"/>
  <c r="K1747"/>
  <c r="F137" i="10"/>
  <c r="J1754" i="5"/>
  <c r="G135" i="10"/>
  <c r="K1703" i="5"/>
  <c r="F135" i="10"/>
  <c r="F134"/>
  <c r="J1710" i="5"/>
  <c r="Q1713"/>
  <c r="I1710"/>
  <c r="I135" i="10"/>
  <c r="G134"/>
  <c r="J1703" i="5"/>
  <c r="H131" i="10"/>
  <c r="H130"/>
  <c r="J1659" i="5"/>
  <c r="G129" i="10"/>
  <c r="I130"/>
  <c r="J1652" i="5"/>
  <c r="Q1656"/>
  <c r="Q1657"/>
  <c r="H1645"/>
  <c r="I129" i="10"/>
  <c r="I131"/>
  <c r="K1608" i="5"/>
  <c r="L1601"/>
  <c r="L1594"/>
  <c r="F127" i="10"/>
  <c r="J1608" i="5"/>
  <c r="G127" i="10"/>
  <c r="G126"/>
  <c r="J1601" i="5"/>
  <c r="I126" i="10"/>
  <c r="Q1560" i="5"/>
  <c r="K1557"/>
  <c r="Q1553"/>
  <c r="I1550"/>
  <c r="G121" i="10"/>
  <c r="H1543" i="5"/>
  <c r="J123" i="10"/>
  <c r="H122"/>
  <c r="H121"/>
  <c r="J1557" i="5"/>
  <c r="Q1561"/>
  <c r="L1557"/>
  <c r="Q1554"/>
  <c r="Q1555" s="1"/>
  <c r="K1550"/>
  <c r="Q1547"/>
  <c r="C121" i="10" s="1"/>
  <c r="Q1548" i="5"/>
  <c r="K1543"/>
  <c r="I121" i="10"/>
  <c r="J1550" i="5"/>
  <c r="B123" i="10"/>
  <c r="L1550" i="5"/>
  <c r="F123" i="10"/>
  <c r="H1492" i="5"/>
  <c r="I117" i="10"/>
  <c r="Q1495" i="5"/>
  <c r="J1492"/>
  <c r="J1499"/>
  <c r="C117" i="10"/>
  <c r="Q1496" i="5"/>
  <c r="Q1497"/>
  <c r="K1492"/>
  <c r="G117" i="10"/>
  <c r="L1492" i="5"/>
  <c r="B210" i="10"/>
  <c r="I113"/>
  <c r="J113"/>
  <c r="Q1444" i="5"/>
  <c r="J1441"/>
  <c r="Q1445"/>
  <c r="Q1446" s="1"/>
  <c r="K1441"/>
  <c r="F113" i="10"/>
  <c r="J111"/>
  <c r="J1404" i="5"/>
  <c r="G111" i="10"/>
  <c r="I1404" i="5"/>
  <c r="H1390"/>
  <c r="J1397"/>
  <c r="Q1407"/>
  <c r="K1404"/>
  <c r="Q1400"/>
  <c r="I1397"/>
  <c r="F111" i="10"/>
  <c r="F110"/>
  <c r="Q1408" i="5"/>
  <c r="Q1409" s="1"/>
  <c r="L1404"/>
  <c r="K1397"/>
  <c r="Q1342"/>
  <c r="J1339"/>
  <c r="J1353"/>
  <c r="H105" i="10"/>
  <c r="F103"/>
  <c r="J1302" i="5"/>
  <c r="Q1305"/>
  <c r="I1302"/>
  <c r="G103" i="10"/>
  <c r="H101"/>
  <c r="Q1306" i="5"/>
  <c r="C103" i="10"/>
  <c r="K1302" i="5"/>
  <c r="H1288"/>
  <c r="I103" i="10"/>
  <c r="L1302" i="5"/>
  <c r="K1295"/>
  <c r="I98" i="10"/>
  <c r="J1251" i="5"/>
  <c r="J1244"/>
  <c r="G99" i="10"/>
  <c r="J1200" i="5"/>
  <c r="H95" i="10"/>
  <c r="Q1153" i="5"/>
  <c r="Q1154" s="1"/>
  <c r="K1149"/>
  <c r="Q1145"/>
  <c r="I1142"/>
  <c r="L1135"/>
  <c r="J91" i="10"/>
  <c r="J1149" i="5"/>
  <c r="L1149"/>
  <c r="F91" i="10"/>
  <c r="J1142" i="5"/>
  <c r="G91" i="10"/>
  <c r="G90"/>
  <c r="Q1152" i="5"/>
  <c r="I1149"/>
  <c r="H1135"/>
  <c r="H1084"/>
  <c r="G85" i="10"/>
  <c r="J1098" i="5"/>
  <c r="I85" i="10"/>
  <c r="J1084" i="5"/>
  <c r="H85" i="10"/>
  <c r="Q1088" i="5"/>
  <c r="Q1089" s="1"/>
  <c r="L1084"/>
  <c r="J81" i="10"/>
  <c r="J1040" i="5"/>
  <c r="Q1037"/>
  <c r="C81" i="10"/>
  <c r="Q1038" i="5"/>
  <c r="J1033"/>
  <c r="Q986"/>
  <c r="Q987"/>
  <c r="J982"/>
  <c r="K982"/>
  <c r="G77" i="10"/>
  <c r="Q985" i="5"/>
  <c r="I75" i="10"/>
  <c r="K938" i="5"/>
  <c r="J945"/>
  <c r="Q949"/>
  <c r="Q950" s="1"/>
  <c r="K945"/>
  <c r="L938"/>
  <c r="F75" i="10"/>
  <c r="J938" i="5"/>
  <c r="G74" i="10"/>
  <c r="Q942" i="5"/>
  <c r="C74" i="10" s="1"/>
  <c r="Q943" i="5"/>
  <c r="Q883"/>
  <c r="K880"/>
  <c r="H69" i="10"/>
  <c r="J65"/>
  <c r="I65"/>
  <c r="Q832" i="5"/>
  <c r="J829"/>
  <c r="F65" i="10"/>
  <c r="Q833" i="5"/>
  <c r="Q834" s="1"/>
  <c r="K829"/>
  <c r="F63" i="10"/>
  <c r="F62"/>
  <c r="J792" i="5"/>
  <c r="Q795"/>
  <c r="I792"/>
  <c r="I62" i="10"/>
  <c r="I785" i="5"/>
  <c r="H778"/>
  <c r="I63" i="10"/>
  <c r="G62"/>
  <c r="J785" i="5"/>
  <c r="Q796"/>
  <c r="Q797"/>
  <c r="K792"/>
  <c r="Q788"/>
  <c r="K785"/>
  <c r="L778"/>
  <c r="G59" i="10"/>
  <c r="K734" i="5"/>
  <c r="Q730"/>
  <c r="K727"/>
  <c r="F59" i="10"/>
  <c r="F58"/>
  <c r="G57"/>
  <c r="J741" i="5"/>
  <c r="Q731"/>
  <c r="Q732" s="1"/>
  <c r="L727"/>
  <c r="G58" i="10"/>
  <c r="H57"/>
  <c r="J734" i="5"/>
  <c r="H727"/>
  <c r="J58" i="10"/>
  <c r="J57"/>
  <c r="Q738" i="5"/>
  <c r="Q739"/>
  <c r="I57" i="10"/>
  <c r="J727" i="5"/>
  <c r="Q693"/>
  <c r="K690"/>
  <c r="Q686"/>
  <c r="I683"/>
  <c r="L676"/>
  <c r="J690"/>
  <c r="F55" i="10"/>
  <c r="F54"/>
  <c r="J683" i="5"/>
  <c r="I53" i="10"/>
  <c r="I55"/>
  <c r="G55"/>
  <c r="I690" i="5"/>
  <c r="H676"/>
  <c r="Q643"/>
  <c r="C51" i="10" s="1"/>
  <c r="K639" i="5"/>
  <c r="G51" i="10"/>
  <c r="J639" i="5"/>
  <c r="L639"/>
  <c r="H51" i="10"/>
  <c r="H50"/>
  <c r="J632" i="5"/>
  <c r="J588"/>
  <c r="G47" i="10"/>
  <c r="G46"/>
  <c r="J581" i="5"/>
  <c r="I46" i="10"/>
  <c r="J47"/>
  <c r="H46"/>
  <c r="Q585" i="5"/>
  <c r="Q586" s="1"/>
  <c r="H574"/>
  <c r="L537"/>
  <c r="F42" i="10"/>
  <c r="J537" i="5"/>
  <c r="I37" i="10"/>
  <c r="F37"/>
  <c r="Q475" i="5"/>
  <c r="J472"/>
  <c r="G37" i="10"/>
  <c r="Q476" i="5"/>
  <c r="Q477" s="1"/>
  <c r="K472"/>
  <c r="Q439"/>
  <c r="C35" i="10" s="1"/>
  <c r="K435" i="5"/>
  <c r="Q431"/>
  <c r="K428"/>
  <c r="L421"/>
  <c r="J35" i="10"/>
  <c r="J34"/>
  <c r="G33"/>
  <c r="J435" i="5"/>
  <c r="L435"/>
  <c r="Q432"/>
  <c r="B34" i="10" s="1"/>
  <c r="L428" i="5"/>
  <c r="J428"/>
  <c r="F35" i="10"/>
  <c r="F34"/>
  <c r="Q438" i="5"/>
  <c r="I435"/>
  <c r="I34" i="10"/>
  <c r="I428" i="5"/>
  <c r="Q380"/>
  <c r="I377"/>
  <c r="H30" i="10"/>
  <c r="J384" i="5"/>
  <c r="Q381"/>
  <c r="Q382" s="1"/>
  <c r="K377"/>
  <c r="H31" i="10"/>
  <c r="I30"/>
  <c r="I29"/>
  <c r="J377" i="5"/>
  <c r="L377"/>
  <c r="J31" i="10"/>
  <c r="Q322" i="5"/>
  <c r="K319"/>
  <c r="J25" i="10"/>
  <c r="J333" i="5"/>
  <c r="H319"/>
  <c r="H25" i="10"/>
  <c r="I23"/>
  <c r="I22"/>
  <c r="G21"/>
  <c r="J282" i="5"/>
  <c r="J275"/>
  <c r="L282"/>
  <c r="Q279"/>
  <c r="C22" i="10" s="1"/>
  <c r="Q280" i="5"/>
  <c r="L275"/>
  <c r="K268"/>
  <c r="L268"/>
  <c r="Q228"/>
  <c r="Q229" s="1"/>
  <c r="Q220"/>
  <c r="J217"/>
  <c r="I19" i="10"/>
  <c r="G17"/>
  <c r="J231" i="5"/>
  <c r="Q221"/>
  <c r="Q222"/>
  <c r="K217"/>
  <c r="J19" i="10"/>
  <c r="H17"/>
  <c r="J224" i="5"/>
  <c r="G14" i="10"/>
  <c r="L115" i="5"/>
  <c r="J129"/>
  <c r="H11" i="10"/>
  <c r="F10"/>
  <c r="J122" i="5"/>
  <c r="I9" i="10"/>
  <c r="I10"/>
  <c r="F9"/>
  <c r="Q126" i="5"/>
  <c r="Q127"/>
  <c r="H115"/>
  <c r="L64"/>
  <c r="J6" i="10"/>
  <c r="J5"/>
  <c r="J78" i="5"/>
  <c r="J71"/>
  <c r="Q82"/>
  <c r="Q83"/>
  <c r="K78"/>
  <c r="Q74"/>
  <c r="K71"/>
  <c r="Q68"/>
  <c r="C5" i="10"/>
  <c r="H64" i="5"/>
  <c r="H7" i="10"/>
  <c r="F6"/>
  <c r="F5"/>
  <c r="B7"/>
  <c r="L78" i="5"/>
  <c r="Q75"/>
  <c r="Q76"/>
  <c r="L71"/>
  <c r="K64"/>
  <c r="H27"/>
  <c r="I3" i="10"/>
  <c r="H20" i="5"/>
  <c r="L20"/>
  <c r="I2" i="10"/>
  <c r="B2"/>
  <c r="C37"/>
  <c r="C33"/>
  <c r="B191"/>
  <c r="B110"/>
  <c r="C69"/>
  <c r="C113"/>
  <c r="B119"/>
  <c r="C243"/>
  <c r="B173"/>
  <c r="C67"/>
  <c r="B98"/>
  <c r="A98" s="1"/>
  <c r="B177"/>
  <c r="B125"/>
  <c r="C181"/>
  <c r="B25"/>
  <c r="C34"/>
  <c r="B138"/>
  <c r="B214"/>
  <c r="C110"/>
  <c r="C197"/>
  <c r="C162"/>
  <c r="B97"/>
  <c r="C15"/>
  <c r="B42"/>
  <c r="B62"/>
  <c r="B74"/>
  <c r="C177"/>
  <c r="C118"/>
  <c r="B70"/>
  <c r="B189"/>
  <c r="C97"/>
  <c r="B182"/>
  <c r="C151"/>
  <c r="B87"/>
  <c r="B113"/>
  <c r="C241"/>
  <c r="B66"/>
  <c r="B117"/>
  <c r="B111"/>
  <c r="C217"/>
  <c r="C46"/>
  <c r="C258"/>
  <c r="C214"/>
  <c r="B79"/>
  <c r="C183"/>
  <c r="B202"/>
  <c r="C226"/>
  <c r="C126"/>
  <c r="C107"/>
  <c r="C3"/>
  <c r="C93"/>
  <c r="C114"/>
  <c r="C201"/>
  <c r="C213"/>
  <c r="C261"/>
  <c r="B183"/>
  <c r="A183" s="1"/>
  <c r="B243"/>
  <c r="A243" s="1"/>
  <c r="B55"/>
  <c r="B162"/>
  <c r="A162" s="1"/>
  <c r="B226"/>
  <c r="B10"/>
  <c r="B139"/>
  <c r="B186"/>
  <c r="A186" s="1"/>
  <c r="B241"/>
  <c r="A241" s="1"/>
  <c r="C7"/>
  <c r="C223"/>
  <c r="C130"/>
  <c r="C199"/>
  <c r="C173"/>
  <c r="B73"/>
  <c r="A73" s="1"/>
  <c r="B233"/>
  <c r="B39"/>
  <c r="B41"/>
  <c r="B201"/>
  <c r="A201" s="1"/>
  <c r="C202"/>
  <c r="C87"/>
  <c r="C149"/>
  <c r="C85"/>
  <c r="B219"/>
  <c r="B237"/>
  <c r="A237" s="1"/>
  <c r="C70"/>
  <c r="B150"/>
  <c r="C2"/>
  <c r="C71"/>
  <c r="B135"/>
  <c r="C187"/>
  <c r="B57"/>
  <c r="B194"/>
  <c r="B107"/>
  <c r="A107" s="1"/>
  <c r="B247"/>
  <c r="A247" s="1"/>
  <c r="C55"/>
  <c r="B231"/>
  <c r="B130"/>
  <c r="B145"/>
  <c r="C57"/>
  <c r="B261"/>
  <c r="C186"/>
  <c r="C158"/>
  <c r="B158"/>
  <c r="B167"/>
  <c r="A167" s="1"/>
  <c r="C237"/>
  <c r="C147"/>
  <c r="B33"/>
  <c r="B69"/>
  <c r="A69" s="1"/>
  <c r="B190"/>
  <c r="C198"/>
  <c r="C62"/>
  <c r="C82"/>
  <c r="B3"/>
  <c r="B121"/>
  <c r="A121" s="1"/>
  <c r="B63"/>
  <c r="B53"/>
  <c r="B77"/>
  <c r="C25"/>
  <c r="C170"/>
  <c r="B207"/>
  <c r="B29"/>
  <c r="A29" s="1"/>
  <c r="C65"/>
  <c r="C218"/>
  <c r="B209"/>
  <c r="C17"/>
  <c r="B170"/>
  <c r="B199"/>
  <c r="A199" s="1"/>
  <c r="C9"/>
  <c r="B217"/>
  <c r="A217" s="1"/>
  <c r="C153"/>
  <c r="C58"/>
  <c r="B141"/>
  <c r="A141" s="1"/>
  <c r="C233"/>
  <c r="B58"/>
  <c r="B187"/>
  <c r="B153"/>
  <c r="C167"/>
  <c r="B262"/>
  <c r="Q3340" i="5"/>
  <c r="C262" i="10"/>
  <c r="C257"/>
  <c r="C251"/>
  <c r="C245"/>
  <c r="B245"/>
  <c r="B234"/>
  <c r="Q2983" i="5"/>
  <c r="Q2874"/>
  <c r="B197" i="10"/>
  <c r="A197" s="1"/>
  <c r="Q2429" i="5"/>
  <c r="C191" i="10"/>
  <c r="B181"/>
  <c r="C174"/>
  <c r="C154"/>
  <c r="B154"/>
  <c r="A154" s="1"/>
  <c r="C155"/>
  <c r="Q1562" i="5"/>
  <c r="C123" i="10"/>
  <c r="C111"/>
  <c r="B103"/>
  <c r="A103" s="1"/>
  <c r="C91"/>
  <c r="B85"/>
  <c r="B65"/>
  <c r="A65" s="1"/>
  <c r="B51"/>
  <c r="B46"/>
  <c r="A46" s="1"/>
  <c r="B37"/>
  <c r="A37" s="1"/>
  <c r="B30"/>
  <c r="B22"/>
  <c r="A22" s="1"/>
  <c r="B17"/>
  <c r="A17" s="1"/>
  <c r="C10"/>
  <c r="B6"/>
  <c r="C239"/>
  <c r="B93"/>
  <c r="C146"/>
  <c r="C238"/>
  <c r="C145"/>
  <c r="B257"/>
  <c r="A257" s="1"/>
  <c r="B258"/>
  <c r="C234"/>
  <c r="C231"/>
  <c r="B82"/>
  <c r="A82" s="1"/>
  <c r="C139"/>
  <c r="C185"/>
  <c r="B81"/>
  <c r="A81" s="1"/>
  <c r="B94"/>
  <c r="C138"/>
  <c r="K117" i="4"/>
  <c r="K121"/>
  <c r="K120"/>
  <c r="K107"/>
  <c r="K114"/>
  <c r="K113"/>
  <c r="K111"/>
  <c r="K110"/>
  <c r="K108"/>
  <c r="K112"/>
  <c r="K101"/>
  <c r="K104"/>
  <c r="F101"/>
  <c r="K93"/>
  <c r="K92"/>
  <c r="K90"/>
  <c r="K89"/>
  <c r="K91"/>
  <c r="K96"/>
  <c r="K95"/>
  <c r="K85"/>
  <c r="K86"/>
  <c r="K81"/>
  <c r="K80"/>
  <c r="K82"/>
  <c r="K83"/>
  <c r="K87"/>
  <c r="K66"/>
  <c r="K64"/>
  <c r="K68"/>
  <c r="K62"/>
  <c r="K63"/>
  <c r="K67"/>
  <c r="K53"/>
  <c r="F46"/>
  <c r="K57"/>
  <c r="K55"/>
  <c r="K54"/>
  <c r="K51"/>
  <c r="K47"/>
  <c r="K45"/>
  <c r="K46"/>
  <c r="K44"/>
  <c r="F35"/>
  <c r="K49"/>
  <c r="K48"/>
  <c r="K41"/>
  <c r="K32"/>
  <c r="K31"/>
  <c r="K19"/>
  <c r="K22"/>
  <c r="K37"/>
  <c r="K38"/>
  <c r="K42"/>
  <c r="K39"/>
  <c r="K35"/>
  <c r="K36"/>
  <c r="F112"/>
  <c r="F90"/>
  <c r="F79"/>
  <c r="F57"/>
  <c r="F24"/>
  <c r="K28"/>
  <c r="K29"/>
  <c r="K27"/>
  <c r="K26"/>
  <c r="K30"/>
  <c r="K33"/>
  <c r="F13"/>
  <c r="A1357" i="5"/>
  <c r="J1336"/>
  <c r="Z1342" s="1"/>
  <c r="C2049"/>
  <c r="A1350"/>
  <c r="I1375"/>
  <c r="D3031" i="8"/>
  <c r="I1120" i="5"/>
  <c r="R50"/>
  <c r="R1425"/>
  <c r="A2259"/>
  <c r="R1411"/>
  <c r="I1773" i="8"/>
  <c r="R968" i="5"/>
  <c r="A1867"/>
  <c r="A330"/>
  <c r="B50"/>
  <c r="A15"/>
  <c r="X44"/>
  <c r="A2924"/>
  <c r="M2302"/>
  <c r="I3097" i="8" s="1"/>
  <c r="R2011" i="5"/>
  <c r="A2020"/>
  <c r="L1998"/>
  <c r="I2038"/>
  <c r="R2025"/>
  <c r="A1510"/>
  <c r="A961"/>
  <c r="M866"/>
  <c r="A847"/>
  <c r="R838"/>
  <c r="A854"/>
  <c r="R852"/>
  <c r="A833"/>
  <c r="A45"/>
  <c r="I39" i="8"/>
  <c r="A46" s="1"/>
  <c r="B46" s="1"/>
  <c r="I5"/>
  <c r="I49" i="5"/>
  <c r="L9"/>
  <c r="A17"/>
  <c r="A2528"/>
  <c r="R1499"/>
  <c r="M2659"/>
  <c r="I3539" i="8" s="1"/>
  <c r="A2412" i="5"/>
  <c r="A3103"/>
  <c r="G3675" i="8"/>
  <c r="G2213"/>
  <c r="A1545" i="5"/>
  <c r="M1070"/>
  <c r="R1070"/>
  <c r="A1051"/>
  <c r="I1069"/>
  <c r="R1042"/>
  <c r="J1030"/>
  <c r="Z1036" s="1"/>
  <c r="X16"/>
  <c r="D39" i="8"/>
  <c r="B40" s="1"/>
  <c r="I2657"/>
  <c r="C2457" i="5"/>
  <c r="A2113"/>
  <c r="R2111"/>
  <c r="A2078"/>
  <c r="R1886"/>
  <c r="A1860"/>
  <c r="J1846"/>
  <c r="Z1866" s="1"/>
  <c r="R1858"/>
  <c r="L1845"/>
  <c r="R1427"/>
  <c r="A1267"/>
  <c r="D1637" i="8"/>
  <c r="A1648" s="1"/>
  <c r="B1648" s="1"/>
  <c r="G1273" i="5"/>
  <c r="R1244"/>
  <c r="B1274"/>
  <c r="D1671" i="8"/>
  <c r="M1180" i="5"/>
  <c r="I1601" i="8" s="1"/>
  <c r="D1059"/>
  <c r="R495" i="5"/>
  <c r="I617" i="8"/>
  <c r="A374" i="5"/>
  <c r="I515" i="8"/>
  <c r="A526" s="1"/>
  <c r="B526" s="1"/>
  <c r="A198" i="5"/>
  <c r="A2440"/>
  <c r="B2447"/>
  <c r="G1936"/>
  <c r="D2555" i="8"/>
  <c r="L1692" i="5"/>
  <c r="I2249" i="8"/>
  <c r="G2077"/>
  <c r="D2011"/>
  <c r="C672" i="5"/>
  <c r="R20"/>
  <c r="A29"/>
  <c r="A22"/>
  <c r="L2661"/>
  <c r="C1386"/>
  <c r="A2542"/>
  <c r="R48"/>
  <c r="A1343"/>
  <c r="A10"/>
  <c r="A2083"/>
  <c r="R2445"/>
  <c r="A1930"/>
  <c r="I4255" i="8"/>
  <c r="A4264" s="1"/>
  <c r="B4264" s="1"/>
  <c r="A2287" i="5"/>
  <c r="A2266"/>
  <c r="A2273"/>
  <c r="R2264"/>
  <c r="R2060"/>
  <c r="D2725" i="8"/>
  <c r="A2737" s="1"/>
  <c r="B2737" s="1"/>
  <c r="R1464" i="5"/>
  <c r="A1387"/>
  <c r="R1348"/>
  <c r="L1335"/>
  <c r="R291"/>
  <c r="G4423" i="8"/>
  <c r="C207" i="10"/>
  <c r="C210"/>
  <c r="Q2786" i="5"/>
  <c r="C219" i="10"/>
  <c r="C21"/>
  <c r="Q273" i="5"/>
  <c r="B5" i="10"/>
  <c r="A5" s="1"/>
  <c r="C63"/>
  <c r="C6"/>
  <c r="C77"/>
  <c r="Q69" i="5"/>
  <c r="Q1307"/>
  <c r="J3328"/>
  <c r="Q3192"/>
  <c r="K3189"/>
  <c r="G239" i="10"/>
  <c r="Q2988" i="5"/>
  <c r="L2978"/>
  <c r="F229" i="10"/>
  <c r="H218"/>
  <c r="I217"/>
  <c r="Q2734" i="5"/>
  <c r="Q2683"/>
  <c r="H203" i="10"/>
  <c r="I202"/>
  <c r="H2563" i="5"/>
  <c r="H187" i="10"/>
  <c r="Q2274" i="5"/>
  <c r="F177" i="10"/>
  <c r="L2213" i="5"/>
  <c r="J157" i="10"/>
  <c r="F147"/>
  <c r="F146"/>
  <c r="L1805" i="5"/>
  <c r="G137" i="10"/>
  <c r="K1710" i="5"/>
  <c r="J134" i="10"/>
  <c r="G110"/>
  <c r="H99"/>
  <c r="J63"/>
  <c r="J55"/>
  <c r="I50"/>
  <c r="L588" i="5"/>
  <c r="L581"/>
  <c r="L574"/>
  <c r="H268"/>
  <c r="J137" i="10"/>
  <c r="J110"/>
  <c r="J21"/>
  <c r="J42"/>
  <c r="I251"/>
  <c r="Q2581" i="5"/>
  <c r="Q2582" s="1"/>
  <c r="F174" i="10"/>
  <c r="Q2056" i="5"/>
  <c r="Q2006"/>
  <c r="C157" i="10" s="1"/>
  <c r="Q1961" i="5"/>
  <c r="J1805"/>
  <c r="Q1751"/>
  <c r="J135" i="10"/>
  <c r="Q1707" i="5"/>
  <c r="Q1663"/>
  <c r="F102" i="10"/>
  <c r="G94"/>
  <c r="Q1087" i="5"/>
  <c r="Q744"/>
  <c r="I741"/>
  <c r="Q592"/>
  <c r="J486"/>
  <c r="G22" i="10"/>
  <c r="I275" i="5"/>
  <c r="F21" i="10"/>
  <c r="J22"/>
  <c r="G251"/>
  <c r="K588" i="5"/>
  <c r="Q278"/>
  <c r="Q1664"/>
  <c r="C131" i="10"/>
  <c r="B131"/>
  <c r="Q1752" i="5"/>
  <c r="C137" i="10"/>
  <c r="B137"/>
  <c r="A137" s="1"/>
  <c r="B157"/>
  <c r="A157" s="1"/>
  <c r="B203"/>
  <c r="Q2735" i="5"/>
  <c r="B215" i="10"/>
  <c r="A215" s="1"/>
  <c r="C215"/>
  <c r="B47"/>
  <c r="Q593" i="5"/>
  <c r="C47" i="10"/>
  <c r="Q1708" i="5"/>
  <c r="B134" i="10"/>
  <c r="C134"/>
  <c r="Q2684" i="5"/>
  <c r="B211" i="10"/>
  <c r="A211" s="1"/>
  <c r="C211"/>
  <c r="A184" i="5" l="1"/>
  <c r="A1726"/>
  <c r="A3339"/>
  <c r="A2565"/>
  <c r="A2579"/>
  <c r="L2967"/>
  <c r="R1362"/>
  <c r="R1397"/>
  <c r="A2069"/>
  <c r="G2089"/>
  <c r="A2254"/>
  <c r="A1728"/>
  <c r="D4" i="10"/>
  <c r="L2865" i="5"/>
  <c r="D1841" i="8"/>
  <c r="G49" i="5"/>
  <c r="C9"/>
  <c r="B36" s="1"/>
  <c r="C1488"/>
  <c r="C1590"/>
  <c r="A1902"/>
  <c r="D82" i="10"/>
  <c r="G3" i="8"/>
  <c r="A388" i="5"/>
  <c r="A476"/>
  <c r="A604"/>
  <c r="R1258"/>
  <c r="A1253"/>
  <c r="A1260"/>
  <c r="I2487" i="8"/>
  <c r="A2500" s="1"/>
  <c r="B2500" s="1"/>
  <c r="M1886" i="5"/>
  <c r="A1983"/>
  <c r="G2140"/>
  <c r="M3220"/>
  <c r="I4321" i="8" s="1"/>
  <c r="R1513" i="5"/>
  <c r="I1399" i="8"/>
  <c r="A1413" s="1"/>
  <c r="B1413" s="1"/>
  <c r="A1044" i="5"/>
  <c r="A1065"/>
  <c r="G2179" i="8"/>
  <c r="R683" i="5"/>
  <c r="A3198"/>
  <c r="I1127" i="8"/>
  <c r="A1136" s="1"/>
  <c r="B1136" s="1"/>
  <c r="L825" i="5"/>
  <c r="I1093" i="8"/>
  <c r="A2013" i="5"/>
  <c r="A2034"/>
  <c r="G3063" i="8"/>
  <c r="D1" i="10"/>
  <c r="X30" i="5"/>
  <c r="A2917"/>
  <c r="R2951" s="1"/>
  <c r="R2292"/>
  <c r="I1807" i="8"/>
  <c r="A1817" s="1"/>
  <c r="B1817" s="1"/>
  <c r="M1376" i="5"/>
  <c r="B1427"/>
  <c r="D2759" i="8"/>
  <c r="A1420" i="5"/>
  <c r="I1477"/>
  <c r="A1399"/>
  <c r="J826"/>
  <c r="Z846" s="1"/>
  <c r="X1523"/>
  <c r="D99" i="10"/>
  <c r="A495" i="5"/>
  <c r="A277"/>
  <c r="A2618"/>
  <c r="A2938"/>
  <c r="D651" i="8"/>
  <c r="B652" s="1"/>
  <c r="A1364" i="5"/>
  <c r="A2076"/>
  <c r="G2293"/>
  <c r="I3847" i="8"/>
  <c r="A3859" s="1"/>
  <c r="B3859" s="1"/>
  <c r="D3201"/>
  <c r="B3202" s="1"/>
  <c r="D5"/>
  <c r="B6" s="1"/>
  <c r="D2113"/>
  <c r="D1875"/>
  <c r="B1876" s="1"/>
  <c r="R34" i="5"/>
  <c r="A43"/>
  <c r="A699"/>
  <c r="I1732"/>
  <c r="A2841"/>
  <c r="M7"/>
  <c r="I3" i="8" s="1"/>
  <c r="A395" i="5"/>
  <c r="A490"/>
  <c r="A1239"/>
  <c r="A1246"/>
  <c r="A1234"/>
  <c r="R1254" s="1"/>
  <c r="R1272"/>
  <c r="A1881"/>
  <c r="R1872"/>
  <c r="M1894"/>
  <c r="I2553" i="8" s="1"/>
  <c r="C2100" i="5"/>
  <c r="A2574"/>
  <c r="A1058"/>
  <c r="A2952"/>
  <c r="R1056"/>
  <c r="I1365" i="8"/>
  <c r="G1366" s="1"/>
  <c r="A3135" i="5"/>
  <c r="A840"/>
  <c r="I865"/>
  <c r="R2039"/>
  <c r="I2691" i="8"/>
  <c r="G2692" s="1"/>
  <c r="A2996" i="5"/>
  <c r="F50"/>
  <c r="AH1" s="1"/>
  <c r="D2521" i="8"/>
  <c r="D2453"/>
  <c r="A2467" s="1"/>
  <c r="B2467" s="1"/>
  <c r="A1371" i="5"/>
  <c r="G1426"/>
  <c r="D2487" i="8"/>
  <c r="J2500" s="1"/>
  <c r="G1159"/>
  <c r="A1406" i="5"/>
  <c r="G1193" i="8"/>
  <c r="A1413" i="5"/>
  <c r="A2470"/>
  <c r="R405"/>
  <c r="A1858"/>
  <c r="M2098"/>
  <c r="I2791" i="8" s="1"/>
  <c r="G2599" i="5"/>
  <c r="A3105"/>
  <c r="A367"/>
  <c r="R387" s="1"/>
  <c r="D148" i="10"/>
  <c r="R507" i="5"/>
  <c r="A2560"/>
  <c r="M1019"/>
  <c r="A2025"/>
  <c r="A1474" i="8"/>
  <c r="B1474" s="1"/>
  <c r="R203" i="5"/>
  <c r="M203"/>
  <c r="D2283" i="8"/>
  <c r="B2284" s="1"/>
  <c r="A1969" i="5"/>
  <c r="A2458"/>
  <c r="M2812"/>
  <c r="I3777" i="8" s="1"/>
  <c r="D3915"/>
  <c r="B3916" s="1"/>
  <c r="G2956" i="5"/>
  <c r="D106" i="10"/>
  <c r="B305" i="5"/>
  <c r="M2047"/>
  <c r="I2723" i="8" s="1"/>
  <c r="R2637" i="5"/>
  <c r="A1014"/>
  <c r="B2957"/>
  <c r="D481" i="8"/>
  <c r="A488" s="1"/>
  <c r="B488" s="1"/>
  <c r="C468" i="5"/>
  <c r="A221"/>
  <c r="D3405" i="8"/>
  <c r="A3414" s="1"/>
  <c r="B3414" s="1"/>
  <c r="A262" i="10"/>
  <c r="A58"/>
  <c r="A170"/>
  <c r="A145"/>
  <c r="A139"/>
  <c r="A55"/>
  <c r="A202"/>
  <c r="A117"/>
  <c r="A87"/>
  <c r="A189"/>
  <c r="A74"/>
  <c r="A97"/>
  <c r="A214"/>
  <c r="A174"/>
  <c r="A118"/>
  <c r="A114"/>
  <c r="A151"/>
  <c r="A61"/>
  <c r="I447" i="8"/>
  <c r="A235" i="5"/>
  <c r="A245" i="10"/>
  <c r="A209"/>
  <c r="A261"/>
  <c r="A226"/>
  <c r="A182"/>
  <c r="M2651" i="5"/>
  <c r="A379"/>
  <c r="A1846"/>
  <c r="B1867" s="1"/>
  <c r="A2727"/>
  <c r="A2363"/>
  <c r="J163"/>
  <c r="Z183" s="1"/>
  <c r="B1733"/>
  <c r="A1962"/>
  <c r="G3233" i="8"/>
  <c r="M2506" i="5"/>
  <c r="I3335" i="8" s="1"/>
  <c r="A2936" i="5"/>
  <c r="R275"/>
  <c r="C264"/>
  <c r="L2610"/>
  <c r="A351"/>
  <c r="D231" i="10"/>
  <c r="R2955" i="5"/>
  <c r="J1081"/>
  <c r="Z1115" s="1"/>
  <c r="R2584"/>
  <c r="A400"/>
  <c r="M254"/>
  <c r="D229" i="10"/>
  <c r="A94"/>
  <c r="A93"/>
  <c r="A134"/>
  <c r="R391" i="5"/>
  <c r="R1884"/>
  <c r="G2825" i="8"/>
  <c r="A2586" i="5"/>
  <c r="A2004"/>
  <c r="B2600"/>
  <c r="A337"/>
  <c r="R240"/>
  <c r="I1331" i="8"/>
  <c r="A1341" s="1"/>
  <c r="B1341" s="1"/>
  <c r="J2356" i="5"/>
  <c r="Z2390" s="1"/>
  <c r="C1998"/>
  <c r="L162"/>
  <c r="F407"/>
  <c r="M1486"/>
  <c r="I1975" i="8" s="1"/>
  <c r="X1852" i="5"/>
  <c r="R1988"/>
  <c r="G3199" i="8"/>
  <c r="G3335"/>
  <c r="G3160" i="5"/>
  <c r="A1779"/>
  <c r="A1457"/>
  <c r="A2203"/>
  <c r="R2223" s="1"/>
  <c r="A265"/>
  <c r="R271" s="1"/>
  <c r="M1325"/>
  <c r="G2723" i="8"/>
  <c r="I2650" i="5"/>
  <c r="A2632"/>
  <c r="A2929"/>
  <c r="R377"/>
  <c r="G508"/>
  <c r="C2916"/>
  <c r="A135" i="10"/>
  <c r="I3507" i="8"/>
  <c r="A3516" s="1"/>
  <c r="B3516" s="1"/>
  <c r="A6" i="10"/>
  <c r="A131"/>
  <c r="Z1370" i="5"/>
  <c r="D213" i="10"/>
  <c r="A3258" i="5"/>
  <c r="I1025" i="8"/>
  <c r="G1026" s="1"/>
  <c r="D58" i="10"/>
  <c r="G3913" i="8"/>
  <c r="X3076" i="5"/>
  <c r="A905"/>
  <c r="D243" i="8"/>
  <c r="A2187" i="5"/>
  <c r="A51" i="10"/>
  <c r="A181"/>
  <c r="A187"/>
  <c r="A63"/>
  <c r="A33"/>
  <c r="A158"/>
  <c r="A57"/>
  <c r="A219"/>
  <c r="A233"/>
  <c r="A111"/>
  <c r="A113"/>
  <c r="A25"/>
  <c r="A119"/>
  <c r="A191"/>
  <c r="A34"/>
  <c r="A123"/>
  <c r="A218"/>
  <c r="A126"/>
  <c r="A15"/>
  <c r="A223"/>
  <c r="A99"/>
  <c r="A71"/>
  <c r="A238"/>
  <c r="F1886" i="5"/>
  <c r="D3643" i="8"/>
  <c r="A153" i="10"/>
  <c r="A207"/>
  <c r="A53"/>
  <c r="A231"/>
  <c r="A79"/>
  <c r="A177"/>
  <c r="A110"/>
  <c r="A2"/>
  <c r="A146"/>
  <c r="A251"/>
  <c r="A21"/>
  <c r="A67"/>
  <c r="A149"/>
  <c r="A198"/>
  <c r="A47"/>
  <c r="A750" i="5"/>
  <c r="A1953"/>
  <c r="D207" i="10"/>
  <c r="G2701" i="5"/>
  <c r="Z1356"/>
  <c r="J3223"/>
  <c r="Z3243" s="1"/>
  <c r="L621"/>
  <c r="X197"/>
  <c r="G1363" i="8"/>
  <c r="G2395" i="5"/>
  <c r="A2785"/>
  <c r="I4357" i="8"/>
  <c r="D3609"/>
  <c r="B3610" s="1"/>
  <c r="R2192" i="5"/>
  <c r="A258" i="10"/>
  <c r="A85"/>
  <c r="A234"/>
  <c r="A77"/>
  <c r="A3"/>
  <c r="A130"/>
  <c r="A10"/>
  <c r="A70"/>
  <c r="A62"/>
  <c r="A138"/>
  <c r="A173"/>
  <c r="A7"/>
  <c r="A210"/>
  <c r="A155"/>
  <c r="A185"/>
  <c r="A9"/>
  <c r="A43"/>
  <c r="A38"/>
  <c r="A193"/>
  <c r="A101"/>
  <c r="A239"/>
  <c r="O1843" i="5"/>
  <c r="AH37"/>
  <c r="R3235"/>
  <c r="A2892"/>
  <c r="A657"/>
  <c r="D155" i="10"/>
  <c r="I3981" i="8"/>
  <c r="R2737" i="5"/>
  <c r="D185" i="10"/>
  <c r="R3094" i="5"/>
  <c r="G3109"/>
  <c r="A541"/>
  <c r="A455" i="8"/>
  <c r="B455" s="1"/>
  <c r="A460"/>
  <c r="B460" s="1"/>
  <c r="A2899" i="5"/>
  <c r="A3288"/>
  <c r="I277" i="8"/>
  <c r="C366" i="5"/>
  <c r="A393"/>
  <c r="X1866"/>
  <c r="D145" i="10"/>
  <c r="A2180" i="5"/>
  <c r="R2598"/>
  <c r="A2748"/>
  <c r="J2866"/>
  <c r="Z2872" s="1"/>
  <c r="C3324"/>
  <c r="R1870"/>
  <c r="J2713"/>
  <c r="Z2733" s="1"/>
  <c r="R493"/>
  <c r="I355"/>
  <c r="J877"/>
  <c r="Z883" s="1"/>
  <c r="X1982"/>
  <c r="F458"/>
  <c r="O415" s="1"/>
  <c r="I2395"/>
  <c r="D1705" i="8"/>
  <c r="A1715" s="1"/>
  <c r="B1715" s="1"/>
  <c r="A223"/>
  <c r="B223" s="1"/>
  <c r="R189" i="5"/>
  <c r="I202"/>
  <c r="R175"/>
  <c r="I243" i="8"/>
  <c r="A253" s="1"/>
  <c r="B253" s="1"/>
  <c r="M764" i="5"/>
  <c r="D2249" i="8"/>
  <c r="A2257" s="1"/>
  <c r="R1703" i="5"/>
  <c r="X1880"/>
  <c r="M1988"/>
  <c r="A1976"/>
  <c r="I2589" i="8"/>
  <c r="A2319" i="5"/>
  <c r="D186" i="10"/>
  <c r="G2497" i="5"/>
  <c r="R2496"/>
  <c r="X2566"/>
  <c r="G3743" i="8"/>
  <c r="G3981"/>
  <c r="D4187"/>
  <c r="B4188" s="1"/>
  <c r="G28" i="4"/>
  <c r="R328" i="5"/>
  <c r="C213"/>
  <c r="I1603" i="8"/>
  <c r="A1612" s="1"/>
  <c r="B1612" s="1"/>
  <c r="I2317"/>
  <c r="G2318" s="1"/>
  <c r="A3082" i="5"/>
  <c r="R662"/>
  <c r="J520"/>
  <c r="Z554" s="1"/>
  <c r="D379" i="8"/>
  <c r="B380" s="1"/>
  <c r="R303" i="5"/>
  <c r="A284"/>
  <c r="M364"/>
  <c r="I479" i="8" s="1"/>
  <c r="G1171" i="5"/>
  <c r="J2611"/>
  <c r="Z2645" s="1"/>
  <c r="A2625"/>
  <c r="R2651"/>
  <c r="A2713"/>
  <c r="O2711" s="1"/>
  <c r="A2878"/>
  <c r="A323"/>
  <c r="A2384"/>
  <c r="D3881" i="8"/>
  <c r="B3882" s="1"/>
  <c r="R2927" i="5"/>
  <c r="A1879"/>
  <c r="B407"/>
  <c r="I311" i="8"/>
  <c r="A319" s="1"/>
  <c r="B319" s="1"/>
  <c r="C2559" i="5"/>
  <c r="R2941"/>
  <c r="A270"/>
  <c r="D345" i="8"/>
  <c r="A352" s="1"/>
  <c r="B352" s="1"/>
  <c r="R2623" i="5"/>
  <c r="R1093"/>
  <c r="F305"/>
  <c r="AH6" s="1"/>
  <c r="A2701" i="8"/>
  <c r="B2701" s="1"/>
  <c r="A3281" i="5"/>
  <c r="R3249"/>
  <c r="G1805" i="8"/>
  <c r="A898" i="5"/>
  <c r="J2305"/>
  <c r="Z2311" s="1"/>
  <c r="D210" i="10"/>
  <c r="R1142" i="5"/>
  <c r="R2723"/>
  <c r="X2733"/>
  <c r="G513" i="8"/>
  <c r="A456"/>
  <c r="B456" s="1"/>
  <c r="I37"/>
  <c r="A2533"/>
  <c r="B2533" s="1"/>
  <c r="I4289"/>
  <c r="R201" i="5"/>
  <c r="A372"/>
  <c r="D30" i="10"/>
  <c r="A1160" i="5"/>
  <c r="D146" i="10"/>
  <c r="C1947" i="5"/>
  <c r="A2159"/>
  <c r="M2455"/>
  <c r="I3301" i="8" s="1"/>
  <c r="D216" i="10"/>
  <c r="R3082" i="5"/>
  <c r="D4459" i="8"/>
  <c r="B4460" s="1"/>
  <c r="R2009" i="5"/>
  <c r="A2370"/>
  <c r="B1886"/>
  <c r="I2191"/>
  <c r="R456"/>
  <c r="X401"/>
  <c r="A481"/>
  <c r="D3439" i="8"/>
  <c r="B3440" s="1"/>
  <c r="D17" i="10"/>
  <c r="R150" i="5"/>
  <c r="M1333"/>
  <c r="I1771" i="8" s="1"/>
  <c r="R2368" i="5"/>
  <c r="G1069"/>
  <c r="F2039"/>
  <c r="AH40" s="1"/>
  <c r="A221" i="8"/>
  <c r="B221" s="1"/>
  <c r="A177" i="5"/>
  <c r="A170"/>
  <c r="A191"/>
  <c r="I957" i="8"/>
  <c r="G958" s="1"/>
  <c r="X1713" i="5"/>
  <c r="G2553" i="8"/>
  <c r="I1987" i="5"/>
  <c r="R1960"/>
  <c r="R2317"/>
  <c r="R2394"/>
  <c r="M2804"/>
  <c r="G3947" i="8"/>
  <c r="R3159" i="5"/>
  <c r="L3324"/>
  <c r="I3167" i="8"/>
  <c r="A3178" s="1"/>
  <c r="B3178" s="1"/>
  <c r="A133" i="5"/>
  <c r="A1438"/>
  <c r="R1444" s="1"/>
  <c r="A2688"/>
  <c r="R3108"/>
  <c r="R3300"/>
  <c r="R2023"/>
  <c r="L519"/>
  <c r="A298"/>
  <c r="R289"/>
  <c r="A291"/>
  <c r="A2639"/>
  <c r="A2646"/>
  <c r="C2712"/>
  <c r="A2950"/>
  <c r="A2943"/>
  <c r="R2570"/>
  <c r="J214"/>
  <c r="Z248" s="1"/>
  <c r="A2572"/>
  <c r="A2011"/>
  <c r="R1156"/>
  <c r="I685" i="8"/>
  <c r="G686" s="1"/>
  <c r="B2896"/>
  <c r="B2216"/>
  <c r="G2114"/>
  <c r="G1842"/>
  <c r="G1230"/>
  <c r="G618"/>
  <c r="G3474"/>
  <c r="B516"/>
  <c r="G526"/>
  <c r="J526"/>
  <c r="B3032"/>
  <c r="A2734"/>
  <c r="B2734" s="1"/>
  <c r="D855"/>
  <c r="B856" s="1"/>
  <c r="D111" i="10"/>
  <c r="G2349" i="8"/>
  <c r="G3313" i="5"/>
  <c r="R2329"/>
  <c r="G6" i="8"/>
  <c r="G1774"/>
  <c r="G278"/>
  <c r="G2590"/>
  <c r="G2658"/>
  <c r="G46"/>
  <c r="J46"/>
  <c r="B3644"/>
  <c r="B2760"/>
  <c r="B1944"/>
  <c r="B1400"/>
  <c r="G1413"/>
  <c r="J1413"/>
  <c r="G142"/>
  <c r="A2331" i="5"/>
  <c r="G1533" i="8"/>
  <c r="A877" i="5"/>
  <c r="R897" s="1"/>
  <c r="M1427"/>
  <c r="I107" i="8"/>
  <c r="A114" s="1"/>
  <c r="B114" s="1"/>
  <c r="A3228" i="5"/>
  <c r="A1619"/>
  <c r="F1427"/>
  <c r="AH28" s="1"/>
  <c r="A68"/>
  <c r="B1060" i="8"/>
  <c r="B1672"/>
  <c r="G4290"/>
  <c r="B2012"/>
  <c r="G2250"/>
  <c r="B2556"/>
  <c r="G210"/>
  <c r="J223"/>
  <c r="G1094"/>
  <c r="G2500"/>
  <c r="G482"/>
  <c r="R954" i="5"/>
  <c r="D177" i="10"/>
  <c r="J571" i="5"/>
  <c r="Z577" s="1"/>
  <c r="M2353"/>
  <c r="I3131" i="8" s="1"/>
  <c r="A599" i="5"/>
  <c r="D1569" i="8"/>
  <c r="A1576" s="1"/>
  <c r="B1576" s="1"/>
  <c r="A808" i="5"/>
  <c r="D100" i="10"/>
  <c r="R1413" i="5"/>
  <c r="R2280"/>
  <c r="D2045" i="8"/>
  <c r="A2056" s="1"/>
  <c r="B2056" s="1"/>
  <c r="M611" i="5"/>
  <c r="A1248"/>
  <c r="J1591"/>
  <c r="Z1597" s="1"/>
  <c r="J2509"/>
  <c r="Z2529" s="1"/>
  <c r="B2345"/>
  <c r="A949"/>
  <c r="L38" i="4"/>
  <c r="L30"/>
  <c r="L109"/>
  <c r="L24"/>
  <c r="K24" s="1"/>
  <c r="L23"/>
  <c r="K23" s="1"/>
  <c r="F2" s="1"/>
  <c r="K116"/>
  <c r="F123" s="1"/>
  <c r="A14" i="8"/>
  <c r="B14" s="1"/>
  <c r="I1091"/>
  <c r="B244"/>
  <c r="X3192" i="5"/>
  <c r="M3322"/>
  <c r="C162"/>
  <c r="B1988"/>
  <c r="A2173"/>
  <c r="D251" i="10"/>
  <c r="A3179" i="5"/>
  <c r="F3263"/>
  <c r="AH64" s="1"/>
  <c r="A1304"/>
  <c r="I4221" i="8"/>
  <c r="R173" i="5"/>
  <c r="D89" i="10"/>
  <c r="L3171" i="5"/>
  <c r="X1968"/>
  <c r="R122"/>
  <c r="G457"/>
  <c r="A650"/>
  <c r="A219" i="8"/>
  <c r="B219" s="1"/>
  <c r="I2961"/>
  <c r="X183" i="5"/>
  <c r="D28" i="10"/>
  <c r="M1027" i="5"/>
  <c r="I1363" i="8" s="1"/>
  <c r="D153" i="10"/>
  <c r="D154"/>
  <c r="X2339" i="5"/>
  <c r="I3065" i="8"/>
  <c r="A2340" i="5"/>
  <c r="D188" i="10"/>
  <c r="D3133" i="8"/>
  <c r="A3144" s="1"/>
  <c r="B3144" s="1"/>
  <c r="A2368" i="5"/>
  <c r="X2390"/>
  <c r="M2608"/>
  <c r="I3471" i="8" s="1"/>
  <c r="A527" i="5"/>
  <c r="D237" i="10"/>
  <c r="R1170" i="5"/>
  <c r="G3573" i="8"/>
  <c r="M1223" i="5"/>
  <c r="M917"/>
  <c r="G2927" i="8"/>
  <c r="M3067" i="5"/>
  <c r="G3262"/>
  <c r="A3300"/>
  <c r="A423"/>
  <c r="X2376"/>
  <c r="R532"/>
  <c r="A534"/>
  <c r="B1172"/>
  <c r="C1284"/>
  <c r="R3198"/>
  <c r="D14" i="10"/>
  <c r="A1981" i="5"/>
  <c r="A1974"/>
  <c r="L2151"/>
  <c r="R187"/>
  <c r="D1501" i="8"/>
  <c r="A1513" s="1"/>
  <c r="B1513" s="1"/>
  <c r="A175" i="5"/>
  <c r="X169"/>
  <c r="C723"/>
  <c r="R1821"/>
  <c r="R1972"/>
  <c r="R1986"/>
  <c r="J2152"/>
  <c r="Z2158" s="1"/>
  <c r="A3207"/>
  <c r="A112"/>
  <c r="R118" s="1"/>
  <c r="A145"/>
  <c r="X1087"/>
  <c r="R428"/>
  <c r="C417"/>
  <c r="R648"/>
  <c r="I814"/>
  <c r="R903"/>
  <c r="A216" i="8"/>
  <c r="B216" s="1"/>
  <c r="B1019" i="5"/>
  <c r="A1670"/>
  <c r="A2312"/>
  <c r="I3099" i="8"/>
  <c r="G3100" s="1"/>
  <c r="A2326" i="5"/>
  <c r="F2396"/>
  <c r="AH47" s="1"/>
  <c r="A2382"/>
  <c r="A2361"/>
  <c r="A2389"/>
  <c r="X3294"/>
  <c r="I855" i="8"/>
  <c r="A867" s="1"/>
  <c r="B867" s="1"/>
  <c r="I821"/>
  <c r="A912" i="5"/>
  <c r="R3247"/>
  <c r="C3273"/>
  <c r="R3059"/>
  <c r="A418"/>
  <c r="R424" s="1"/>
  <c r="A555"/>
  <c r="R546"/>
  <c r="C1131"/>
  <c r="A1144"/>
  <c r="I3337" i="8"/>
  <c r="X3178" i="5"/>
  <c r="B458"/>
  <c r="J3172"/>
  <c r="Z3178" s="1"/>
  <c r="A3200"/>
  <c r="G202"/>
  <c r="I2861" i="8"/>
  <c r="B203" i="5"/>
  <c r="I2385" i="8"/>
  <c r="A182" i="5"/>
  <c r="R2164"/>
  <c r="D4323" i="8"/>
  <c r="B2396" i="5"/>
  <c r="A15" i="8"/>
  <c r="B15" s="1"/>
  <c r="A1614"/>
  <c r="B1614" s="1"/>
  <c r="A189" i="5"/>
  <c r="A163"/>
  <c r="R197" s="1"/>
  <c r="X744"/>
  <c r="X1954"/>
  <c r="D2589" i="8"/>
  <c r="A2599" s="1"/>
  <c r="B2599" s="1"/>
  <c r="R2178" i="5"/>
  <c r="R3212"/>
  <c r="A444"/>
  <c r="A810"/>
  <c r="M262"/>
  <c r="I343" i="8" s="1"/>
  <c r="D583"/>
  <c r="I661" i="5"/>
  <c r="D16" i="10"/>
  <c r="A217" i="8"/>
  <c r="B217" s="1"/>
  <c r="D1331"/>
  <c r="A2333" i="5"/>
  <c r="M2345"/>
  <c r="R2345"/>
  <c r="R2366"/>
  <c r="R2380"/>
  <c r="D187" i="10"/>
  <c r="A3026" i="5"/>
  <c r="L1182"/>
  <c r="J1183"/>
  <c r="Z1189" s="1"/>
  <c r="A1114"/>
  <c r="G4117" i="8"/>
  <c r="A629" i="5"/>
  <c r="I1161" i="8"/>
  <c r="R917" i="5"/>
  <c r="G2961" i="8"/>
  <c r="A3256" i="5"/>
  <c r="A3279"/>
  <c r="A3293"/>
  <c r="A1158"/>
  <c r="R889"/>
  <c r="I719" i="8"/>
  <c r="A730" s="1"/>
  <c r="B730" s="1"/>
  <c r="M560" i="5"/>
  <c r="C1080"/>
  <c r="D1535" i="8"/>
  <c r="A3033" i="5"/>
  <c r="A437"/>
  <c r="A724"/>
  <c r="R744" s="1"/>
  <c r="R1835"/>
  <c r="I121" i="4"/>
  <c r="R285" i="5"/>
  <c r="R1727"/>
  <c r="O1691"/>
  <c r="R2209"/>
  <c r="R2733"/>
  <c r="O8"/>
  <c r="Z2747"/>
  <c r="R1240"/>
  <c r="Z220"/>
  <c r="I1703" i="8"/>
  <c r="I1737"/>
  <c r="I2825"/>
  <c r="A2702"/>
  <c r="B2702" s="1"/>
  <c r="A2704"/>
  <c r="B2704" s="1"/>
  <c r="A1138"/>
  <c r="B1138" s="1"/>
  <c r="A2989" i="5"/>
  <c r="F3212"/>
  <c r="J928"/>
  <c r="Z934" s="1"/>
  <c r="X1421"/>
  <c r="B1682"/>
  <c r="A2433"/>
  <c r="X526"/>
  <c r="D201" i="10"/>
  <c r="C2304" i="5"/>
  <c r="A1255"/>
  <c r="D2181" i="8"/>
  <c r="A2190" s="1"/>
  <c r="B2190" s="1"/>
  <c r="R611" i="5"/>
  <c r="X1203"/>
  <c r="D3235" i="8"/>
  <c r="R2417" i="5"/>
  <c r="D46" i="10"/>
  <c r="A655" i="5"/>
  <c r="R813"/>
  <c r="D1025" i="8"/>
  <c r="A1033" s="1"/>
  <c r="B1033" s="1"/>
  <c r="X911" i="5"/>
  <c r="F1274"/>
  <c r="AH25" s="1"/>
  <c r="X1240"/>
  <c r="D109" i="10"/>
  <c r="J1387" i="5"/>
  <c r="Z1407" s="1"/>
  <c r="A1415"/>
  <c r="A1401"/>
  <c r="G2315" i="8"/>
  <c r="I2997"/>
  <c r="R2266" i="5"/>
  <c r="I3405" i="8"/>
  <c r="R2572" i="5"/>
  <c r="X3127"/>
  <c r="G4321" i="8"/>
  <c r="A3177" i="5"/>
  <c r="A1496"/>
  <c r="A1573"/>
  <c r="B1580"/>
  <c r="G3709" i="8"/>
  <c r="R597" i="5"/>
  <c r="C2406"/>
  <c r="I4153" i="8"/>
  <c r="A3019" i="5"/>
  <c r="L1590"/>
  <c r="A1598"/>
  <c r="I2956"/>
  <c r="R2994"/>
  <c r="R3008"/>
  <c r="R3196"/>
  <c r="B3212"/>
  <c r="I2793" i="8"/>
  <c r="G2794" s="1"/>
  <c r="F2957" i="5"/>
  <c r="O2914" s="1"/>
  <c r="X2951"/>
  <c r="I1263" i="8"/>
  <c r="A1273" s="1"/>
  <c r="B1273" s="1"/>
  <c r="R1680" i="5"/>
  <c r="R2533"/>
  <c r="G1579"/>
  <c r="X3280"/>
  <c r="D249" i="10"/>
  <c r="X2821" i="5"/>
  <c r="X2362"/>
  <c r="X336"/>
  <c r="A2700" i="8"/>
  <c r="B2700" s="1"/>
  <c r="A2699"/>
  <c r="B2699" s="1"/>
  <c r="M3008" i="5"/>
  <c r="G3211"/>
  <c r="A963"/>
  <c r="A2407"/>
  <c r="R2441" s="1"/>
  <c r="D202" i="10"/>
  <c r="A606" i="5"/>
  <c r="A956"/>
  <c r="R2315"/>
  <c r="A1269"/>
  <c r="A1654"/>
  <c r="D110" i="10"/>
  <c r="R583" i="5"/>
  <c r="G1465" i="8"/>
  <c r="A2419" i="5"/>
  <c r="X2427"/>
  <c r="G173" i="8"/>
  <c r="G581"/>
  <c r="R660" i="5"/>
  <c r="B815"/>
  <c r="C774"/>
  <c r="A780"/>
  <c r="D98" i="10"/>
  <c r="X1407" i="5"/>
  <c r="L1386"/>
  <c r="A1394"/>
  <c r="A2064"/>
  <c r="A2282"/>
  <c r="F2345"/>
  <c r="D196" i="10"/>
  <c r="A2595" i="5"/>
  <c r="M2600"/>
  <c r="G4355" i="8"/>
  <c r="R799" i="5"/>
  <c r="I33" i="4"/>
  <c r="R1578" i="5"/>
  <c r="C1539"/>
  <c r="C1794"/>
  <c r="L570"/>
  <c r="I753" i="8"/>
  <c r="X1597" i="5"/>
  <c r="G2446"/>
  <c r="A3128"/>
  <c r="A2975"/>
  <c r="A1612"/>
  <c r="R1603"/>
  <c r="A2185"/>
  <c r="R2980"/>
  <c r="I3949" i="8"/>
  <c r="R3182" i="5"/>
  <c r="A3205"/>
  <c r="I3303" i="8"/>
  <c r="A3314" s="1"/>
  <c r="B3314" s="1"/>
  <c r="A3038" i="5"/>
  <c r="R2343"/>
  <c r="A2305"/>
  <c r="R2325" s="1"/>
  <c r="E238" i="8"/>
  <c r="A2705"/>
  <c r="B2705" s="1"/>
  <c r="I3199"/>
  <c r="X3002" i="5"/>
  <c r="D4221" i="8"/>
  <c r="B4222" s="1"/>
  <c r="R3210" i="5"/>
  <c r="M968"/>
  <c r="X1801"/>
  <c r="D180" i="10"/>
  <c r="R2127" i="5"/>
  <c r="D181" i="10"/>
  <c r="X2515" i="5"/>
  <c r="C519"/>
  <c r="A2535"/>
  <c r="I787" i="8"/>
  <c r="A798" s="1"/>
  <c r="B798" s="1"/>
  <c r="A2426" i="5"/>
  <c r="M109"/>
  <c r="I173" i="8" s="1"/>
  <c r="X781" i="5"/>
  <c r="D64" i="10"/>
  <c r="A787" i="5"/>
  <c r="D1161" i="8"/>
  <c r="X1268" i="5"/>
  <c r="I1875" i="8"/>
  <c r="A1408" i="5"/>
  <c r="I1426"/>
  <c r="D182" i="10"/>
  <c r="D183"/>
  <c r="I3439" i="8"/>
  <c r="A3453" s="1"/>
  <c r="B3453" s="1"/>
  <c r="A2588" i="5"/>
  <c r="M3271"/>
  <c r="I4355" i="8" s="1"/>
  <c r="D143" i="10"/>
  <c r="R1221" i="5"/>
  <c r="R2957"/>
  <c r="M101"/>
  <c r="A1566"/>
  <c r="R1550"/>
  <c r="R1833"/>
  <c r="I610"/>
  <c r="R1260"/>
  <c r="I3160"/>
  <c r="R1617"/>
  <c r="A680"/>
  <c r="M1631"/>
  <c r="I1630"/>
  <c r="I2147" i="8"/>
  <c r="A2160" s="1"/>
  <c r="B2160" s="1"/>
  <c r="X2186" i="5"/>
  <c r="M2957"/>
  <c r="A2982"/>
  <c r="A3172"/>
  <c r="A3191"/>
  <c r="D126" i="10"/>
  <c r="G3165" i="8"/>
  <c r="M313" i="5"/>
  <c r="I445" i="8" s="1"/>
  <c r="A2317" i="5"/>
  <c r="A2324"/>
  <c r="R2700"/>
  <c r="A1874"/>
  <c r="D2079" i="8"/>
  <c r="A12"/>
  <c r="B12" s="1"/>
  <c r="A3858"/>
  <c r="B3858" s="1"/>
  <c r="I3165"/>
  <c r="B3263" i="5"/>
  <c r="D4391" i="8"/>
  <c r="A3307" i="5"/>
  <c r="A2725"/>
  <c r="A2732"/>
  <c r="G2752"/>
  <c r="X1393"/>
  <c r="F3008"/>
  <c r="O2965" s="1"/>
  <c r="A1410" i="8"/>
  <c r="B1410" s="1"/>
  <c r="A1407"/>
  <c r="B1407" s="1"/>
  <c r="B2753" i="5"/>
  <c r="I27" i="4"/>
  <c r="G66"/>
  <c r="G96"/>
  <c r="I86"/>
  <c r="I104"/>
  <c r="G15"/>
  <c r="I31"/>
  <c r="I40"/>
  <c r="B40" i="5"/>
  <c r="G6" i="4"/>
  <c r="G682" i="8"/>
  <c r="G818"/>
  <c r="G2348"/>
  <c r="J1689" i="5"/>
  <c r="G2756" i="8"/>
  <c r="G852"/>
  <c r="G4048"/>
  <c r="G1056"/>
  <c r="J3168" i="5"/>
  <c r="G3232" i="8"/>
  <c r="G546"/>
  <c r="G2"/>
  <c r="I62" i="4"/>
  <c r="G48"/>
  <c r="G99"/>
  <c r="I65"/>
  <c r="G74"/>
  <c r="G108"/>
  <c r="I129"/>
  <c r="G32"/>
  <c r="G109"/>
  <c r="I114"/>
  <c r="G119"/>
  <c r="G77"/>
  <c r="G105"/>
  <c r="I94"/>
  <c r="G53"/>
  <c r="G62"/>
  <c r="I37"/>
  <c r="G65"/>
  <c r="I109"/>
  <c r="I16"/>
  <c r="I53"/>
  <c r="I82"/>
  <c r="I44"/>
  <c r="I29"/>
  <c r="I41"/>
  <c r="I54"/>
  <c r="G44"/>
  <c r="I103"/>
  <c r="G19"/>
  <c r="I105"/>
  <c r="I59"/>
  <c r="I126"/>
  <c r="G38"/>
  <c r="I21"/>
  <c r="G49"/>
  <c r="G120"/>
  <c r="I38"/>
  <c r="I8"/>
  <c r="I39"/>
  <c r="G51"/>
  <c r="I75"/>
  <c r="G87"/>
  <c r="I115"/>
  <c r="G22"/>
  <c r="G98"/>
  <c r="G107"/>
  <c r="I98"/>
  <c r="I117"/>
  <c r="I107"/>
  <c r="I11"/>
  <c r="I120"/>
  <c r="I63"/>
  <c r="I85"/>
  <c r="G64"/>
  <c r="G117"/>
  <c r="G9"/>
  <c r="A1849" i="8"/>
  <c r="B1849" s="1"/>
  <c r="A1853"/>
  <c r="B1853" s="1"/>
  <c r="A1852"/>
  <c r="B1852" s="1"/>
  <c r="R1574" i="5"/>
  <c r="R1546"/>
  <c r="R1560"/>
  <c r="I4287" i="8"/>
  <c r="A1850"/>
  <c r="B1850" s="1"/>
  <c r="G4256"/>
  <c r="A4262"/>
  <c r="B4262" s="1"/>
  <c r="Z2339" i="5"/>
  <c r="A2460" i="8"/>
  <c r="B2460" s="1"/>
  <c r="A2465"/>
  <c r="B2465" s="1"/>
  <c r="A2463"/>
  <c r="B2463" s="1"/>
  <c r="I411"/>
  <c r="A2732"/>
  <c r="B2732" s="1"/>
  <c r="A2733"/>
  <c r="B2733" s="1"/>
  <c r="A2735"/>
  <c r="B2735" s="1"/>
  <c r="A2739"/>
  <c r="B2739" s="1"/>
  <c r="B2726"/>
  <c r="B1842"/>
  <c r="I1397"/>
  <c r="A1646"/>
  <c r="B1646" s="1"/>
  <c r="A1338"/>
  <c r="B1338" s="1"/>
  <c r="A3514"/>
  <c r="B3514" s="1"/>
  <c r="A256"/>
  <c r="B256" s="1"/>
  <c r="A454"/>
  <c r="B454" s="1"/>
  <c r="F2113"/>
  <c r="A1644"/>
  <c r="B1644" s="1"/>
  <c r="A1342"/>
  <c r="B1342" s="1"/>
  <c r="A2703"/>
  <c r="B2703" s="1"/>
  <c r="A2698"/>
  <c r="B2698" s="1"/>
  <c r="I3879"/>
  <c r="A458"/>
  <c r="B458" s="1"/>
  <c r="X2923" i="5"/>
  <c r="I3007"/>
  <c r="D252" i="10"/>
  <c r="D15"/>
  <c r="A196" i="5"/>
  <c r="A168"/>
  <c r="R940"/>
  <c r="A942"/>
  <c r="A1668"/>
  <c r="A2055"/>
  <c r="A2050"/>
  <c r="B2069" s="1"/>
  <c r="D2080" s="1"/>
  <c r="R2088"/>
  <c r="I2895" i="8"/>
  <c r="A2909" s="1"/>
  <c r="B2909" s="1"/>
  <c r="F2192" i="5"/>
  <c r="O2149" s="1"/>
  <c r="X3206"/>
  <c r="A451"/>
  <c r="L927"/>
  <c r="A578"/>
  <c r="F1682"/>
  <c r="AH33" s="1"/>
  <c r="A803"/>
  <c r="F1988"/>
  <c r="G445" i="8"/>
  <c r="A884" i="5"/>
  <c r="X2311"/>
  <c r="I1671" i="8"/>
  <c r="A1683" s="1"/>
  <c r="B1683" s="1"/>
  <c r="R1652" i="5"/>
  <c r="D142" i="10"/>
  <c r="G377" i="8"/>
  <c r="D549"/>
  <c r="A562" s="1"/>
  <c r="B562" s="1"/>
  <c r="R442" i="5"/>
  <c r="M662"/>
  <c r="A636"/>
  <c r="M815"/>
  <c r="M1129"/>
  <c r="I1499" i="8" s="1"/>
  <c r="R1733" i="5"/>
  <c r="X2529"/>
  <c r="A592"/>
  <c r="I916"/>
  <c r="M1078"/>
  <c r="A1311"/>
  <c r="D160" i="10"/>
  <c r="A222" i="8"/>
  <c r="B222" s="1"/>
  <c r="A220"/>
  <c r="B220" s="1"/>
  <c r="F203" i="5"/>
  <c r="D13" i="10"/>
  <c r="M415" i="5"/>
  <c r="A801"/>
  <c r="A775"/>
  <c r="R795" s="1"/>
  <c r="A794"/>
  <c r="G814"/>
  <c r="X1254"/>
  <c r="R1399"/>
  <c r="D112" i="10"/>
  <c r="A1422" i="5"/>
  <c r="D147" i="10"/>
  <c r="A1853" i="5"/>
  <c r="I2453" i="8"/>
  <c r="F2453" s="1"/>
  <c r="I2623"/>
  <c r="A2635" s="1"/>
  <c r="B2635" s="1"/>
  <c r="J1948" i="5"/>
  <c r="Z1954" s="1"/>
  <c r="L1947"/>
  <c r="A1955"/>
  <c r="F2090"/>
  <c r="O2047" s="1"/>
  <c r="D184" i="10"/>
  <c r="X2325" i="5"/>
  <c r="R2331"/>
  <c r="L2304"/>
  <c r="D3167" i="8"/>
  <c r="E3196" s="1"/>
  <c r="A2356" i="5"/>
  <c r="R2390" s="1"/>
  <c r="C2355"/>
  <c r="G3471" i="8"/>
  <c r="G4015"/>
  <c r="A3133" i="5"/>
  <c r="A1151"/>
  <c r="A1290"/>
  <c r="R1564"/>
  <c r="A82"/>
  <c r="A247"/>
  <c r="A1559"/>
  <c r="A1552"/>
  <c r="R2686"/>
  <c r="A643"/>
  <c r="J622"/>
  <c r="Z656" s="1"/>
  <c r="A891"/>
  <c r="I1195" i="8"/>
  <c r="A1202" s="1"/>
  <c r="B1202" s="1"/>
  <c r="R3133" i="5"/>
  <c r="A2739"/>
  <c r="D4017" i="8"/>
  <c r="I559" i="5"/>
  <c r="A548"/>
  <c r="A1132"/>
  <c r="R1166" s="1"/>
  <c r="A1137"/>
  <c r="A1605"/>
  <c r="R1631"/>
  <c r="A1626"/>
  <c r="M2039"/>
  <c r="A2027"/>
  <c r="J1999"/>
  <c r="Z2019" s="1"/>
  <c r="R2751"/>
  <c r="A2746"/>
  <c r="R2943"/>
  <c r="J2968"/>
  <c r="Z2988" s="1"/>
  <c r="A3003"/>
  <c r="C3171"/>
  <c r="D4255" i="8"/>
  <c r="D232" i="10"/>
  <c r="R2074" i="5"/>
  <c r="I967"/>
  <c r="A2166"/>
  <c r="A2062"/>
  <c r="A935"/>
  <c r="L1029"/>
  <c r="L3222"/>
  <c r="G3879" i="8"/>
  <c r="X605" i="5"/>
  <c r="G2688" i="8"/>
  <c r="G4014"/>
  <c r="G2076"/>
  <c r="G648"/>
  <c r="G3470"/>
  <c r="G3266"/>
  <c r="G1260"/>
  <c r="G512"/>
  <c r="J1536" i="5"/>
  <c r="G2144" i="8"/>
  <c r="G3130"/>
  <c r="G716"/>
  <c r="J1332" i="5"/>
  <c r="A1783" i="8"/>
  <c r="B1783" s="1"/>
  <c r="E1802"/>
  <c r="A3212"/>
  <c r="B3212" s="1"/>
  <c r="Z1472" i="5"/>
  <c r="I2315" i="8"/>
  <c r="A1344"/>
  <c r="B1344" s="1"/>
  <c r="A3889"/>
  <c r="B3889" s="1"/>
  <c r="A2464"/>
  <c r="B2464" s="1"/>
  <c r="A2461"/>
  <c r="B2461" s="1"/>
  <c r="G55" i="4"/>
  <c r="A3417" i="8"/>
  <c r="B3417" s="1"/>
  <c r="R3349" i="5"/>
  <c r="R3363"/>
  <c r="D242" i="10"/>
  <c r="D260"/>
  <c r="R277" i="5"/>
  <c r="A1109"/>
  <c r="M1835"/>
  <c r="G3301" i="8"/>
  <c r="R3110" i="5"/>
  <c r="M3263"/>
  <c r="D256" i="10"/>
  <c r="A3237" i="5"/>
  <c r="A3330"/>
  <c r="A3244"/>
  <c r="I1297" i="8"/>
  <c r="R1068" i="5"/>
  <c r="A1823"/>
  <c r="D81" i="10"/>
  <c r="X3345" i="5"/>
  <c r="A1802"/>
  <c r="D23" i="10"/>
  <c r="G97" i="4"/>
  <c r="A3992" i="8"/>
  <c r="B3992" s="1"/>
  <c r="D889"/>
  <c r="A901" s="1"/>
  <c r="B901" s="1"/>
  <c r="B713" i="5"/>
  <c r="R711"/>
  <c r="M925"/>
  <c r="I1227" i="8" s="1"/>
  <c r="I1018" i="5"/>
  <c r="A3997" i="8"/>
  <c r="B3997" s="1"/>
  <c r="B1070" i="5"/>
  <c r="A1035"/>
  <c r="A1477" i="8"/>
  <c r="B1477" s="1"/>
  <c r="A1478"/>
  <c r="B1478" s="1"/>
  <c r="D32" i="10"/>
  <c r="J367" i="5"/>
  <c r="R393"/>
  <c r="R407"/>
  <c r="D37" i="10"/>
  <c r="D40"/>
  <c r="A483" i="5"/>
  <c r="A497"/>
  <c r="A583"/>
  <c r="A590"/>
  <c r="A597"/>
  <c r="X730"/>
  <c r="I991" i="8"/>
  <c r="A1004" s="1"/>
  <c r="B1004" s="1"/>
  <c r="I763" i="5"/>
  <c r="G2009" i="8"/>
  <c r="R1682" i="5"/>
  <c r="A2120"/>
  <c r="D2793" i="8"/>
  <c r="A2106" i="5"/>
  <c r="A2101"/>
  <c r="R2121" s="1"/>
  <c r="G4049" i="8"/>
  <c r="X3155" i="5"/>
  <c r="D4153" i="8"/>
  <c r="R3131" i="5"/>
  <c r="D245" i="10"/>
  <c r="D247"/>
  <c r="G43" i="4"/>
  <c r="G106"/>
  <c r="L468" i="5"/>
  <c r="I97" i="4"/>
  <c r="X1152" i="5"/>
  <c r="C2202"/>
  <c r="J1285"/>
  <c r="A1341"/>
  <c r="D1909" i="8"/>
  <c r="A1917" s="1"/>
  <c r="B1917" s="1"/>
  <c r="D2963"/>
  <c r="A2667" i="5"/>
  <c r="B2702"/>
  <c r="R2841"/>
  <c r="A3302"/>
  <c r="M3314"/>
  <c r="A678"/>
  <c r="D84" i="10"/>
  <c r="D254"/>
  <c r="D86"/>
  <c r="E68" i="8"/>
  <c r="A1320" i="5"/>
  <c r="I1705" i="8"/>
  <c r="R1019" i="5"/>
  <c r="F509"/>
  <c r="AH10" s="1"/>
  <c r="G84" i="4"/>
  <c r="A1816" i="5"/>
  <c r="X1101"/>
  <c r="L1794"/>
  <c r="M1121"/>
  <c r="A3077"/>
  <c r="I1433" i="8"/>
  <c r="A3091" i="5"/>
  <c r="I2419" i="8"/>
  <c r="L3273" i="5"/>
  <c r="A3991" i="8"/>
  <c r="B3991" s="1"/>
  <c r="A3147" i="5"/>
  <c r="R2672"/>
  <c r="X2237"/>
  <c r="D2827" i="8"/>
  <c r="G712" i="5"/>
  <c r="A3215" i="8"/>
  <c r="B3215" s="1"/>
  <c r="A3208"/>
  <c r="B3208" s="1"/>
  <c r="A1343"/>
  <c r="B1343" s="1"/>
  <c r="A1340"/>
  <c r="B1340" s="1"/>
  <c r="F3405"/>
  <c r="A3888"/>
  <c r="B3888" s="1"/>
  <c r="A2466"/>
  <c r="B2466" s="1"/>
  <c r="A2462"/>
  <c r="B2462" s="1"/>
  <c r="A864"/>
  <c r="B864" s="1"/>
  <c r="B2454"/>
  <c r="B3365" i="5"/>
  <c r="R3286"/>
  <c r="L264"/>
  <c r="D29" i="10"/>
  <c r="X489" i="5"/>
  <c r="A1095"/>
  <c r="X1342"/>
  <c r="X1472"/>
  <c r="D141" i="10"/>
  <c r="I1834" i="5"/>
  <c r="X2209"/>
  <c r="A3084"/>
  <c r="X3243"/>
  <c r="R3263"/>
  <c r="A3358"/>
  <c r="L978"/>
  <c r="R697"/>
  <c r="X1356"/>
  <c r="A1777"/>
  <c r="D115" i="10"/>
  <c r="X1064" i="5"/>
  <c r="D24" i="10"/>
  <c r="A706" i="5"/>
  <c r="A692"/>
  <c r="G1261" i="8"/>
  <c r="R991" i="5"/>
  <c r="A1000"/>
  <c r="D140" i="10"/>
  <c r="X2645" i="5"/>
  <c r="X3229"/>
  <c r="D1365" i="8"/>
  <c r="A1372" s="1"/>
  <c r="B1372" s="1"/>
  <c r="X1036" i="5"/>
  <c r="X387"/>
  <c r="D31" i="10"/>
  <c r="L366" i="5"/>
  <c r="A402"/>
  <c r="X475"/>
  <c r="J469"/>
  <c r="Z489" s="1"/>
  <c r="I508"/>
  <c r="M509"/>
  <c r="X577"/>
  <c r="D45" i="10"/>
  <c r="A745" i="5"/>
  <c r="A759"/>
  <c r="R750"/>
  <c r="D78" i="10"/>
  <c r="D132"/>
  <c r="X2107" i="5"/>
  <c r="A2134"/>
  <c r="R2139"/>
  <c r="A2127"/>
  <c r="F3161"/>
  <c r="R3145"/>
  <c r="C3120"/>
  <c r="B3161"/>
  <c r="A3121"/>
  <c r="G10" i="4"/>
  <c r="I651" i="8"/>
  <c r="A664" s="1"/>
  <c r="B664" s="1"/>
  <c r="I61" i="4"/>
  <c r="I128"/>
  <c r="G30"/>
  <c r="A1042" i="5"/>
  <c r="X3308"/>
  <c r="X1291"/>
  <c r="G1783"/>
  <c r="C1335"/>
  <c r="R1462"/>
  <c r="X1815"/>
  <c r="G2242"/>
  <c r="C2661"/>
  <c r="A2695"/>
  <c r="L2814"/>
  <c r="I3313"/>
  <c r="A3309"/>
  <c r="G865"/>
  <c r="A1030"/>
  <c r="R1050" s="1"/>
  <c r="G3007"/>
  <c r="X3257"/>
  <c r="D257" i="10"/>
  <c r="F3314" i="5"/>
  <c r="R1325"/>
  <c r="A61"/>
  <c r="R95" s="1"/>
  <c r="A993"/>
  <c r="X1305"/>
  <c r="J1795"/>
  <c r="Z1815" s="1"/>
  <c r="L1080"/>
  <c r="M619"/>
  <c r="I853" i="8" s="1"/>
  <c r="X3104" i="5"/>
  <c r="X503"/>
  <c r="I1324"/>
  <c r="A2662"/>
  <c r="R2682" s="1"/>
  <c r="R1346"/>
  <c r="A3214" i="8"/>
  <c r="B3214" s="1"/>
  <c r="A3890"/>
  <c r="B3890" s="1"/>
  <c r="A1821"/>
  <c r="B1821" s="1"/>
  <c r="A320"/>
  <c r="B320" s="1"/>
  <c r="A3351" i="5"/>
  <c r="A3337"/>
  <c r="A3295"/>
  <c r="A279"/>
  <c r="I345" i="8"/>
  <c r="F345" s="1"/>
  <c r="A1809" i="5"/>
  <c r="R1807"/>
  <c r="A2797"/>
  <c r="I4119" i="8"/>
  <c r="A4129" s="1"/>
  <c r="B4129" s="1"/>
  <c r="D253" i="10"/>
  <c r="A3251" i="5"/>
  <c r="A673"/>
  <c r="R693" s="1"/>
  <c r="A3098"/>
  <c r="A685"/>
  <c r="R1121"/>
  <c r="X758"/>
  <c r="D68" i="10"/>
  <c r="F713" i="5"/>
  <c r="D53" i="10"/>
  <c r="J979" i="5"/>
  <c r="Z999" s="1"/>
  <c r="R1005"/>
  <c r="D2351" i="8"/>
  <c r="X846" i="5"/>
  <c r="D83" i="10"/>
  <c r="A1063" i="5"/>
  <c r="C1029"/>
  <c r="A1475" i="8"/>
  <c r="B1475" s="1"/>
  <c r="M407" i="5"/>
  <c r="I406"/>
  <c r="A381"/>
  <c r="R379"/>
  <c r="D38" i="10"/>
  <c r="A504" i="5"/>
  <c r="R509"/>
  <c r="D787" i="8"/>
  <c r="L723" i="5"/>
  <c r="A752"/>
  <c r="D77" i="10"/>
  <c r="J1642" i="5"/>
  <c r="Z1662" s="1"/>
  <c r="R2125"/>
  <c r="F2141"/>
  <c r="O2098" s="1"/>
  <c r="D166" i="10"/>
  <c r="A3154" i="5"/>
  <c r="A3126"/>
  <c r="D246" i="10"/>
  <c r="G5" i="4"/>
  <c r="R1476" i="5"/>
  <c r="D3541" i="8"/>
  <c r="A3551" s="1"/>
  <c r="B3551" s="1"/>
  <c r="F3110" i="5"/>
  <c r="AH61" s="1"/>
  <c r="M2855"/>
  <c r="G21" i="4"/>
  <c r="I84"/>
  <c r="B1478" i="5"/>
  <c r="R1448"/>
  <c r="D3575" i="8"/>
  <c r="A2681" i="5"/>
  <c r="I3779" i="8"/>
  <c r="E3808" s="1"/>
  <c r="I3745"/>
  <c r="J3274" i="5"/>
  <c r="Z3280" s="1"/>
  <c r="I4391" i="8"/>
  <c r="A4399" s="1"/>
  <c r="B4399" s="1"/>
  <c r="D1093"/>
  <c r="A1102" s="1"/>
  <c r="B1102" s="1"/>
  <c r="A1007" i="5"/>
  <c r="D88" i="10"/>
  <c r="R1107" i="5"/>
  <c r="A1116"/>
  <c r="A1476" i="8"/>
  <c r="B1476" s="1"/>
  <c r="G2281"/>
  <c r="A1102" i="5"/>
  <c r="G819" i="8"/>
  <c r="A1088" i="5"/>
  <c r="B235" i="10"/>
  <c r="Q528" i="5"/>
  <c r="C41" i="10"/>
  <c r="A41" s="1"/>
  <c r="Q2925" i="5"/>
  <c r="B229" i="10"/>
  <c r="B27"/>
  <c r="A27" s="1"/>
  <c r="C27"/>
  <c r="Q338" i="5"/>
  <c r="Q535"/>
  <c r="C42" i="10"/>
  <c r="A42" s="1"/>
  <c r="Q1599" i="5"/>
  <c r="C125" i="10"/>
  <c r="A125" s="1"/>
  <c r="J3291" i="5"/>
  <c r="H3291"/>
  <c r="G259" i="10"/>
  <c r="I3291" i="5"/>
  <c r="K3291"/>
  <c r="L3291"/>
  <c r="Q3295"/>
  <c r="J259" i="10"/>
  <c r="H259"/>
  <c r="Q2618" i="5"/>
  <c r="H2614"/>
  <c r="I205" i="10"/>
  <c r="J2614" i="5"/>
  <c r="F205" i="10"/>
  <c r="K2614" i="5"/>
  <c r="H179" i="10"/>
  <c r="I2271" i="5"/>
  <c r="F179" i="10"/>
  <c r="K2271" i="5"/>
  <c r="Q2275"/>
  <c r="F163" i="10"/>
  <c r="Q2071" i="5"/>
  <c r="L2067"/>
  <c r="I163" i="10"/>
  <c r="J163"/>
  <c r="I2067" i="5"/>
  <c r="H2067"/>
  <c r="J161" i="10"/>
  <c r="K2053" i="5"/>
  <c r="L2053"/>
  <c r="Q2057"/>
  <c r="I119" i="10"/>
  <c r="I1506" i="5"/>
  <c r="F119" i="10"/>
  <c r="K1506" i="5"/>
  <c r="G119" i="10"/>
  <c r="J1506" i="5"/>
  <c r="Q1509"/>
  <c r="J119" i="10"/>
  <c r="H119"/>
  <c r="L1390" i="5"/>
  <c r="Q1394"/>
  <c r="G109" i="10"/>
  <c r="I1390" i="5"/>
  <c r="H109" i="10"/>
  <c r="J1390" i="5"/>
  <c r="I109" i="10"/>
  <c r="J109"/>
  <c r="J1091" i="5"/>
  <c r="H1091"/>
  <c r="J86" i="10"/>
  <c r="L1091" i="5"/>
  <c r="I86" i="10"/>
  <c r="I1091" i="5"/>
  <c r="G86" i="10"/>
  <c r="H86"/>
  <c r="G34"/>
  <c r="H428" i="5"/>
  <c r="H34" i="10"/>
  <c r="Q389" i="5"/>
  <c r="B31" i="10"/>
  <c r="A31" s="1"/>
  <c r="J326" i="5"/>
  <c r="H26" i="10"/>
  <c r="Q330" i="5"/>
  <c r="I26" i="10"/>
  <c r="J26"/>
  <c r="G26"/>
  <c r="I326" i="5"/>
  <c r="K326"/>
  <c r="L326"/>
  <c r="C203" i="10"/>
  <c r="A203" s="1"/>
  <c r="Q2007" i="5"/>
  <c r="F5" i="8"/>
  <c r="A17"/>
  <c r="B17" s="1"/>
  <c r="A19"/>
  <c r="B19" s="1"/>
  <c r="J5" i="4"/>
  <c r="A1650" i="8"/>
  <c r="B1650" s="1"/>
  <c r="A1649"/>
  <c r="B1649" s="1"/>
  <c r="F209"/>
  <c r="R3345" i="5"/>
  <c r="A4266" i="8"/>
  <c r="B4266" s="1"/>
  <c r="A4269"/>
  <c r="B4269" s="1"/>
  <c r="A4265"/>
  <c r="B4265" s="1"/>
  <c r="A968"/>
  <c r="B968" s="1"/>
  <c r="A116"/>
  <c r="B116" s="1"/>
  <c r="A1610"/>
  <c r="B1610" s="1"/>
  <c r="A2531"/>
  <c r="B2531" s="1"/>
  <c r="A1613"/>
  <c r="B1613" s="1"/>
  <c r="A1781"/>
  <c r="B1781" s="1"/>
  <c r="A1786"/>
  <c r="B1786" s="1"/>
  <c r="A118"/>
  <c r="B118" s="1"/>
  <c r="A1615"/>
  <c r="B1615" s="1"/>
  <c r="G235" i="10"/>
  <c r="K1696" i="5"/>
  <c r="Q2269"/>
  <c r="D129" i="10"/>
  <c r="A2217" i="5"/>
  <c r="G2247" i="8"/>
  <c r="A2776" i="5"/>
  <c r="A1515"/>
  <c r="G275" i="8"/>
  <c r="R558" i="5"/>
  <c r="G1528"/>
  <c r="A1494"/>
  <c r="D130" i="10"/>
  <c r="I3573" i="8"/>
  <c r="R646" i="5"/>
  <c r="D51" i="10"/>
  <c r="D821" i="8"/>
  <c r="A830" s="1"/>
  <c r="B830" s="1"/>
  <c r="G2111"/>
  <c r="I2215"/>
  <c r="M1682" i="5"/>
  <c r="A1677"/>
  <c r="I51" i="4"/>
  <c r="A520" i="5"/>
  <c r="I100"/>
  <c r="I73" i="8"/>
  <c r="A96" i="5"/>
  <c r="A89"/>
  <c r="F2243"/>
  <c r="O2200" s="1"/>
  <c r="X1509"/>
  <c r="I2242"/>
  <c r="A2769"/>
  <c r="A2783"/>
  <c r="R73"/>
  <c r="C229" i="10"/>
  <c r="Q1970" i="5"/>
  <c r="Q2218"/>
  <c r="C225" i="10"/>
  <c r="A225" s="1"/>
  <c r="B147"/>
  <c r="A147" s="1"/>
  <c r="B129"/>
  <c r="A129" s="1"/>
  <c r="C133"/>
  <c r="C129"/>
  <c r="C83"/>
  <c r="Q1298" i="5"/>
  <c r="H1696"/>
  <c r="I195" i="10"/>
  <c r="L3182" i="5"/>
  <c r="C86" i="10"/>
  <c r="L166" i="5"/>
  <c r="I13" i="10"/>
  <c r="Q1050" i="5"/>
  <c r="H1047"/>
  <c r="Q3135"/>
  <c r="Q3136" s="1"/>
  <c r="K3131"/>
  <c r="J3131"/>
  <c r="I246" i="10"/>
  <c r="I3131" i="5"/>
  <c r="G246" i="10"/>
  <c r="H246"/>
  <c r="B246"/>
  <c r="H3131" i="5"/>
  <c r="J246" i="10"/>
  <c r="L3131" i="5"/>
  <c r="I2985"/>
  <c r="H2985"/>
  <c r="F235" i="10"/>
  <c r="Q2989" i="5"/>
  <c r="Q2990" s="1"/>
  <c r="J1696"/>
  <c r="F133" i="10"/>
  <c r="Q1299" i="5"/>
  <c r="Q1300" s="1"/>
  <c r="H1295"/>
  <c r="C102" i="10"/>
  <c r="J1047" i="5"/>
  <c r="J83" i="10"/>
  <c r="I1047" i="5"/>
  <c r="I78" i="10"/>
  <c r="H989" i="5"/>
  <c r="J78" i="10"/>
  <c r="I989" i="5"/>
  <c r="B78" i="10"/>
  <c r="I18"/>
  <c r="F18"/>
  <c r="H224" i="5"/>
  <c r="L224"/>
  <c r="I254" i="10"/>
  <c r="G254"/>
  <c r="K3233" i="5"/>
  <c r="H254" i="10"/>
  <c r="I3233" i="5"/>
  <c r="Q3237"/>
  <c r="H3233"/>
  <c r="J254" i="10"/>
  <c r="B254"/>
  <c r="I3262" i="5"/>
  <c r="I4323" i="8"/>
  <c r="A4332" s="1"/>
  <c r="B4332" s="1"/>
  <c r="Q2625" i="5"/>
  <c r="I2621"/>
  <c r="F206" i="10"/>
  <c r="L2621" i="5"/>
  <c r="H2621"/>
  <c r="I206" i="10"/>
  <c r="H171"/>
  <c r="H2169" i="5"/>
  <c r="Q2173"/>
  <c r="J171" i="10"/>
  <c r="J2169" i="5"/>
  <c r="I2169"/>
  <c r="B171" i="10"/>
  <c r="G171"/>
  <c r="I171"/>
  <c r="F171"/>
  <c r="Q2108" i="5"/>
  <c r="I2104"/>
  <c r="I165" i="10"/>
  <c r="K2104" i="5"/>
  <c r="J165" i="10"/>
  <c r="Q2107" i="5"/>
  <c r="C165" i="10"/>
  <c r="F159"/>
  <c r="G159"/>
  <c r="Q2020" i="5"/>
  <c r="H2016"/>
  <c r="Q2019"/>
  <c r="H159" i="10"/>
  <c r="K2016" i="5"/>
  <c r="Q1866"/>
  <c r="G147" i="10"/>
  <c r="K1863" i="5"/>
  <c r="H1863"/>
  <c r="L1863"/>
  <c r="H147" i="10"/>
  <c r="F142"/>
  <c r="Q1808" i="5"/>
  <c r="Q1809"/>
  <c r="I142" i="10"/>
  <c r="H1805" i="5"/>
  <c r="J142" i="10"/>
  <c r="G142"/>
  <c r="I1805" i="5"/>
  <c r="H142" i="10"/>
  <c r="B142"/>
  <c r="Q1349" i="5"/>
  <c r="J1346"/>
  <c r="H106" i="10"/>
  <c r="Q1350" i="5"/>
  <c r="J106" i="10"/>
  <c r="G106"/>
  <c r="I1346" i="5"/>
  <c r="K1346"/>
  <c r="I106" i="10"/>
  <c r="L1346" i="5"/>
  <c r="H89" i="10"/>
  <c r="F89"/>
  <c r="Q1139" i="5"/>
  <c r="G89" i="10"/>
  <c r="Q1138" i="5"/>
  <c r="I89" i="10"/>
  <c r="F85"/>
  <c r="J85"/>
  <c r="K1084" i="5"/>
  <c r="J836"/>
  <c r="L836"/>
  <c r="G66" i="10"/>
  <c r="Q839" i="5"/>
  <c r="F66" i="10"/>
  <c r="H66"/>
  <c r="C66"/>
  <c r="A66" s="1"/>
  <c r="J37"/>
  <c r="H472" i="5"/>
  <c r="H37" i="10"/>
  <c r="G3"/>
  <c r="H3"/>
  <c r="I27" i="5"/>
  <c r="J3" i="10"/>
  <c r="J27" i="5"/>
  <c r="I2519" i="8"/>
  <c r="R3331" i="5"/>
  <c r="A4267" i="8"/>
  <c r="B4267" s="1"/>
  <c r="A4268"/>
  <c r="B4268" s="1"/>
  <c r="A970"/>
  <c r="B970" s="1"/>
  <c r="A1611"/>
  <c r="B1611" s="1"/>
  <c r="F1773"/>
  <c r="A1784"/>
  <c r="B1784" s="1"/>
  <c r="A121"/>
  <c r="B121" s="1"/>
  <c r="B2522"/>
  <c r="I2281"/>
  <c r="A1512"/>
  <c r="B1512" s="1"/>
  <c r="I235" i="10"/>
  <c r="L1295" i="5"/>
  <c r="K2985"/>
  <c r="B958" i="8"/>
  <c r="I2929"/>
  <c r="G2803" i="5"/>
  <c r="D1977" i="8"/>
  <c r="A1985" s="1"/>
  <c r="B1985" s="1"/>
  <c r="R530" i="5"/>
  <c r="X1648"/>
  <c r="D719" i="8"/>
  <c r="A1522" i="5"/>
  <c r="B662"/>
  <c r="A634"/>
  <c r="A641"/>
  <c r="B1638" i="8"/>
  <c r="A1649" i="5"/>
  <c r="R1668"/>
  <c r="A1663"/>
  <c r="I2181" i="8"/>
  <c r="L60" i="5"/>
  <c r="D119" i="10"/>
  <c r="A75" i="5"/>
  <c r="J61"/>
  <c r="A1501"/>
  <c r="D131" i="10"/>
  <c r="A1819" i="8"/>
  <c r="B1819" s="1"/>
  <c r="B133" i="10"/>
  <c r="A133" s="1"/>
  <c r="Q433" i="5"/>
  <c r="Q644"/>
  <c r="C75" i="10"/>
  <c r="C122"/>
  <c r="B222"/>
  <c r="A222" s="1"/>
  <c r="C13"/>
  <c r="B35"/>
  <c r="A35" s="1"/>
  <c r="B86"/>
  <c r="B178"/>
  <c r="A178" s="1"/>
  <c r="B45"/>
  <c r="B122"/>
  <c r="B18"/>
  <c r="C18"/>
  <c r="Q440" i="5"/>
  <c r="B75" i="10"/>
  <c r="A75" s="1"/>
  <c r="B91"/>
  <c r="A91" s="1"/>
  <c r="J102"/>
  <c r="I102"/>
  <c r="J1295" i="5"/>
  <c r="L1696"/>
  <c r="Q1861"/>
  <c r="Q2779"/>
  <c r="Q2830"/>
  <c r="L2985"/>
  <c r="F250" i="10"/>
  <c r="C50"/>
  <c r="A50" s="1"/>
  <c r="C19"/>
  <c r="G78"/>
  <c r="Q993" i="5"/>
  <c r="Q994" s="1"/>
  <c r="F78" i="10"/>
  <c r="F83"/>
  <c r="G83"/>
  <c r="K1047" i="5"/>
  <c r="J133" i="10"/>
  <c r="J235"/>
  <c r="Q3134" i="5"/>
  <c r="Q3294"/>
  <c r="Q1912"/>
  <c r="C150" i="10"/>
  <c r="A150" s="1"/>
  <c r="F263"/>
  <c r="Q3346" i="5"/>
  <c r="Q3347" s="1"/>
  <c r="J3342"/>
  <c r="J263" i="10"/>
  <c r="I263"/>
  <c r="I3342" i="5"/>
  <c r="H3342"/>
  <c r="L3342"/>
  <c r="H263" i="10"/>
  <c r="G250"/>
  <c r="Q3185" i="5"/>
  <c r="H3182"/>
  <c r="I250" i="10"/>
  <c r="H250"/>
  <c r="I3182" i="5"/>
  <c r="K3182"/>
  <c r="J250" i="10"/>
  <c r="G227"/>
  <c r="I227"/>
  <c r="Q2886" i="5"/>
  <c r="J227" i="10"/>
  <c r="J2883" i="5"/>
  <c r="L2883"/>
  <c r="Q2887"/>
  <c r="C227" i="10" s="1"/>
  <c r="I2883" i="5"/>
  <c r="F227" i="10"/>
  <c r="K2883" i="5"/>
  <c r="F195" i="10"/>
  <c r="I2475" i="5"/>
  <c r="G195" i="10"/>
  <c r="Q2479" i="5"/>
  <c r="H195" i="10"/>
  <c r="H2475" i="5"/>
  <c r="J195" i="10"/>
  <c r="Q2478" i="5"/>
  <c r="K2475"/>
  <c r="Q169"/>
  <c r="J13" i="10"/>
  <c r="I166" i="5"/>
  <c r="K166"/>
  <c r="G13" i="10"/>
  <c r="H166" i="5"/>
  <c r="J166"/>
  <c r="Q170"/>
  <c r="Q171" s="1"/>
  <c r="Q491"/>
  <c r="C39" i="10"/>
  <c r="A39" s="1"/>
  <c r="C49"/>
  <c r="B49"/>
  <c r="Q630" i="5"/>
  <c r="K3240"/>
  <c r="H3240"/>
  <c r="I255" i="10"/>
  <c r="Q3243" i="5"/>
  <c r="F255" i="10"/>
  <c r="H255"/>
  <c r="Q3244" i="5"/>
  <c r="J255" i="10"/>
  <c r="J3240" i="5"/>
  <c r="L3240"/>
  <c r="I3240"/>
  <c r="Q3178"/>
  <c r="J249" i="10"/>
  <c r="G249"/>
  <c r="H3175" i="5"/>
  <c r="K3175"/>
  <c r="J3175"/>
  <c r="F249" i="10"/>
  <c r="Q3179" i="5"/>
  <c r="L3080"/>
  <c r="I3080"/>
  <c r="Q3084"/>
  <c r="H3080"/>
  <c r="J242" i="10"/>
  <c r="K3080" i="5"/>
  <c r="H242" i="10"/>
  <c r="I242"/>
  <c r="J3080" i="5"/>
  <c r="Q2822"/>
  <c r="Q2821"/>
  <c r="I215" i="10"/>
  <c r="H2730" i="5"/>
  <c r="F215" i="10"/>
  <c r="K2730" i="5"/>
  <c r="J215" i="10"/>
  <c r="I2730" i="5"/>
  <c r="L2730"/>
  <c r="H2628"/>
  <c r="H207" i="10"/>
  <c r="Q2631" i="5"/>
  <c r="F207" i="10"/>
  <c r="L2628" i="5"/>
  <c r="I2628"/>
  <c r="Q2225"/>
  <c r="B175" i="10"/>
  <c r="C175"/>
  <c r="J154"/>
  <c r="I1958" i="5"/>
  <c r="G154" i="10"/>
  <c r="L1958" i="5"/>
  <c r="H154" i="10"/>
  <c r="G115"/>
  <c r="H1455" i="5"/>
  <c r="J1455"/>
  <c r="I1455"/>
  <c r="K1455"/>
  <c r="L1455"/>
  <c r="B115" i="10"/>
  <c r="Q1459" i="5"/>
  <c r="J115" i="10"/>
  <c r="H115"/>
  <c r="L1200" i="5"/>
  <c r="I95" i="10"/>
  <c r="J95"/>
  <c r="Q1204" i="5"/>
  <c r="I1200"/>
  <c r="F47" i="10"/>
  <c r="H588" i="5"/>
  <c r="H47" i="10"/>
  <c r="I588" i="5"/>
  <c r="J173"/>
  <c r="Q176"/>
  <c r="Q177"/>
  <c r="H14" i="10"/>
  <c r="J14"/>
  <c r="I14"/>
  <c r="K173" i="5"/>
  <c r="B14" i="10"/>
  <c r="I13" i="5"/>
  <c r="Q17"/>
  <c r="Q16"/>
  <c r="H1" i="10"/>
  <c r="J1"/>
  <c r="K13" i="5"/>
  <c r="L13"/>
  <c r="A16" i="8"/>
  <c r="B16" s="1"/>
  <c r="A18"/>
  <c r="B18" s="1"/>
  <c r="E34"/>
  <c r="I2145"/>
  <c r="B3780"/>
  <c r="A1645"/>
  <c r="B1645" s="1"/>
  <c r="A13"/>
  <c r="B13" s="1"/>
  <c r="A4263"/>
  <c r="B4263" s="1"/>
  <c r="A4130"/>
  <c r="B4130" s="1"/>
  <c r="A965"/>
  <c r="B965" s="1"/>
  <c r="A2052"/>
  <c r="B2052" s="1"/>
  <c r="A2530"/>
  <c r="B2530" s="1"/>
  <c r="A1782"/>
  <c r="B1782" s="1"/>
  <c r="A1780"/>
  <c r="B1780" s="1"/>
  <c r="I133" i="10"/>
  <c r="H133"/>
  <c r="Q1699" i="5"/>
  <c r="G72" i="4"/>
  <c r="X1662" i="5"/>
  <c r="M2243"/>
  <c r="X2798"/>
  <c r="R1527"/>
  <c r="B1529"/>
  <c r="A1785" i="8"/>
  <c r="B1785" s="1"/>
  <c r="G309"/>
  <c r="D43" i="10"/>
  <c r="A1508" i="5"/>
  <c r="X656"/>
  <c r="G2145" i="8"/>
  <c r="R1654" i="5"/>
  <c r="L1641"/>
  <c r="A1656"/>
  <c r="I42" i="4"/>
  <c r="X95" i="5"/>
  <c r="R87"/>
  <c r="B83" i="10"/>
  <c r="A83" s="1"/>
  <c r="C263"/>
  <c r="B263"/>
  <c r="C45"/>
  <c r="C194"/>
  <c r="A194" s="1"/>
  <c r="B169"/>
  <c r="A169" s="1"/>
  <c r="B19"/>
  <c r="A19" s="1"/>
  <c r="Q227" i="5"/>
  <c r="J18" i="10"/>
  <c r="G18"/>
  <c r="K224" i="5"/>
  <c r="C30" i="10"/>
  <c r="A30" s="1"/>
  <c r="J989" i="5"/>
  <c r="I1295"/>
  <c r="G102" i="10"/>
  <c r="G133"/>
  <c r="C190"/>
  <c r="A190" s="1"/>
  <c r="J2985" i="5"/>
  <c r="Q3186"/>
  <c r="Q3187" s="1"/>
  <c r="B213" i="10"/>
  <c r="A213" s="1"/>
  <c r="H13"/>
  <c r="Q992" i="5"/>
  <c r="H78" i="10"/>
  <c r="K989" i="5"/>
  <c r="L1047"/>
  <c r="H83" i="10"/>
  <c r="H2883" i="5"/>
  <c r="H227" i="10"/>
  <c r="F259"/>
  <c r="G263"/>
  <c r="Q2160" i="5"/>
  <c r="I3226"/>
  <c r="I3284"/>
  <c r="H3284"/>
  <c r="J3284"/>
  <c r="Q2931"/>
  <c r="L2920"/>
  <c r="K2679"/>
  <c r="Q2115"/>
  <c r="L2002"/>
  <c r="K1652"/>
  <c r="Q1612"/>
  <c r="G105" i="10"/>
  <c r="F90"/>
  <c r="G75"/>
  <c r="I69"/>
  <c r="I59"/>
  <c r="G54"/>
  <c r="L632" i="5"/>
  <c r="G49" i="10"/>
  <c r="X424" i="5"/>
  <c r="I25" i="10"/>
  <c r="H23"/>
  <c r="Q234" i="5"/>
  <c r="I11" i="10"/>
  <c r="J10"/>
  <c r="I7"/>
  <c r="I6"/>
  <c r="B1707" i="5"/>
  <c r="G1723" s="1"/>
  <c r="G258" i="10"/>
  <c r="I166"/>
  <c r="J127"/>
  <c r="Q1343" i="5"/>
  <c r="Q1146"/>
  <c r="Q745"/>
  <c r="Q687"/>
  <c r="Q286"/>
  <c r="Q133"/>
  <c r="I717" i="8"/>
  <c r="I683"/>
  <c r="I4457"/>
  <c r="I4423"/>
  <c r="A2904"/>
  <c r="B2904" s="1"/>
  <c r="Z2376" i="5"/>
  <c r="G516" i="8"/>
  <c r="A525"/>
  <c r="B525" s="1"/>
  <c r="F515"/>
  <c r="A528"/>
  <c r="B528" s="1"/>
  <c r="A522"/>
  <c r="B522" s="1"/>
  <c r="A527"/>
  <c r="B527" s="1"/>
  <c r="I71" i="4"/>
  <c r="M721" i="5"/>
  <c r="G989" i="8"/>
  <c r="B2624"/>
  <c r="G1400"/>
  <c r="A1409"/>
  <c r="B1409" s="1"/>
  <c r="A1411"/>
  <c r="B1411" s="1"/>
  <c r="A1408"/>
  <c r="B1408" s="1"/>
  <c r="A1412"/>
  <c r="B1412" s="1"/>
  <c r="Z3206" i="5"/>
  <c r="A494" i="8"/>
  <c r="B494" s="1"/>
  <c r="A495"/>
  <c r="B495" s="1"/>
  <c r="A490"/>
  <c r="B490" s="1"/>
  <c r="A489"/>
  <c r="B489" s="1"/>
  <c r="F2487"/>
  <c r="G125" i="4"/>
  <c r="I125"/>
  <c r="G95"/>
  <c r="G88"/>
  <c r="I88"/>
  <c r="B2182" i="8"/>
  <c r="A2193"/>
  <c r="B2193" s="1"/>
  <c r="G2488"/>
  <c r="A2501"/>
  <c r="B2501" s="1"/>
  <c r="B924"/>
  <c r="A3181"/>
  <c r="B3181" s="1"/>
  <c r="A3180"/>
  <c r="B3180" s="1"/>
  <c r="A3177"/>
  <c r="B3177" s="1"/>
  <c r="A3174"/>
  <c r="B3174" s="1"/>
  <c r="E1428"/>
  <c r="F1399"/>
  <c r="F1093"/>
  <c r="I2621"/>
  <c r="I2587"/>
  <c r="A3310"/>
  <c r="B3310" s="1"/>
  <c r="A3315"/>
  <c r="B3315" s="1"/>
  <c r="A3316"/>
  <c r="B3316" s="1"/>
  <c r="G312"/>
  <c r="A325"/>
  <c r="B325" s="1"/>
  <c r="A318"/>
  <c r="B318" s="1"/>
  <c r="J3325" i="5"/>
  <c r="B3332" s="1"/>
  <c r="I3364"/>
  <c r="D261" i="10"/>
  <c r="R3365" i="5"/>
  <c r="I4459" i="8"/>
  <c r="A3332" i="5"/>
  <c r="R3337"/>
  <c r="A3353"/>
  <c r="A3346"/>
  <c r="I4425" i="8"/>
  <c r="F3365" i="5"/>
  <c r="A3360"/>
  <c r="D264" i="10"/>
  <c r="M3365" i="5"/>
  <c r="R2839"/>
  <c r="C2814"/>
  <c r="R2853"/>
  <c r="R2825"/>
  <c r="A2815"/>
  <c r="R2835" s="1"/>
  <c r="A2848"/>
  <c r="F2855"/>
  <c r="A2820"/>
  <c r="X2835"/>
  <c r="A2834"/>
  <c r="D223" i="10"/>
  <c r="D3745" i="8"/>
  <c r="B3746" s="1"/>
  <c r="G2854" i="5"/>
  <c r="A2827"/>
  <c r="B2855"/>
  <c r="I3711" i="8"/>
  <c r="I2803" i="5"/>
  <c r="A2792"/>
  <c r="J2764"/>
  <c r="Z2798" s="1"/>
  <c r="I3677" i="8"/>
  <c r="R2776" i="5"/>
  <c r="R2790"/>
  <c r="L2763"/>
  <c r="R2804"/>
  <c r="A2799"/>
  <c r="X2784"/>
  <c r="A2771"/>
  <c r="D218" i="10"/>
  <c r="G3641" i="8"/>
  <c r="M2710" i="5"/>
  <c r="I3575" i="8"/>
  <c r="M2702" i="5"/>
  <c r="R2688"/>
  <c r="R2674"/>
  <c r="F2702"/>
  <c r="A2683"/>
  <c r="A2669"/>
  <c r="A2697"/>
  <c r="D211" i="10"/>
  <c r="D212"/>
  <c r="I2701" i="5"/>
  <c r="X2668"/>
  <c r="R2702"/>
  <c r="A2690"/>
  <c r="X2682"/>
  <c r="D209" i="10"/>
  <c r="X2696" i="5"/>
  <c r="A2676"/>
  <c r="I3541" i="8"/>
  <c r="A2611" i="5"/>
  <c r="B2625" s="1"/>
  <c r="D208" i="10"/>
  <c r="B2651" i="5"/>
  <c r="D205" i="10"/>
  <c r="D206"/>
  <c r="A2637" i="5"/>
  <c r="A2623"/>
  <c r="A2630"/>
  <c r="A2644"/>
  <c r="R2649"/>
  <c r="F2651"/>
  <c r="G2650"/>
  <c r="A2616"/>
  <c r="D3473" i="8"/>
  <c r="A3481" s="1"/>
  <c r="B3481" s="1"/>
  <c r="X2617" i="5"/>
  <c r="J2458"/>
  <c r="B2477" s="1"/>
  <c r="S2482" s="1"/>
  <c r="A2472"/>
  <c r="I2497"/>
  <c r="A2465"/>
  <c r="A2486"/>
  <c r="M2498"/>
  <c r="R2484"/>
  <c r="A2479"/>
  <c r="I3269" i="8"/>
  <c r="R2498" i="5"/>
  <c r="D194" i="10"/>
  <c r="R2470" i="5"/>
  <c r="X2478"/>
  <c r="A2493"/>
  <c r="J2407"/>
  <c r="Z2427" s="1"/>
  <c r="F2447"/>
  <c r="R2433"/>
  <c r="A2421"/>
  <c r="A2414"/>
  <c r="I3201" i="8"/>
  <c r="D192" i="10"/>
  <c r="D189"/>
  <c r="A2428" i="5"/>
  <c r="D190" i="10"/>
  <c r="X2441" i="5"/>
  <c r="A2435"/>
  <c r="D191" i="10"/>
  <c r="R2176" i="5"/>
  <c r="D170" i="10"/>
  <c r="C2151" i="5"/>
  <c r="A2164"/>
  <c r="R2190"/>
  <c r="G2191"/>
  <c r="R2162"/>
  <c r="D171" i="10"/>
  <c r="D2861" i="8"/>
  <c r="A2157" i="5"/>
  <c r="B2192"/>
  <c r="X2158"/>
  <c r="D169" i="10"/>
  <c r="D172"/>
  <c r="A2171" i="5"/>
  <c r="X2172"/>
  <c r="A2178"/>
  <c r="A2152"/>
  <c r="R2186" s="1"/>
  <c r="I2827" i="8"/>
  <c r="F2827" s="1"/>
  <c r="M2141" i="5"/>
  <c r="A2136"/>
  <c r="I2140"/>
  <c r="A2129"/>
  <c r="D165" i="10"/>
  <c r="L2100" i="5"/>
  <c r="D167" i="10"/>
  <c r="X2135" i="5"/>
  <c r="A2108"/>
  <c r="R2141"/>
  <c r="D168" i="10"/>
  <c r="R2113" i="5"/>
  <c r="A2122"/>
  <c r="X2121"/>
  <c r="J2101"/>
  <c r="Z2121" s="1"/>
  <c r="R2062"/>
  <c r="L2049"/>
  <c r="I2089"/>
  <c r="D164" i="10"/>
  <c r="R2090" i="5"/>
  <c r="I2725" i="8"/>
  <c r="X2056" i="5"/>
  <c r="D163" i="10"/>
  <c r="I2759" i="8"/>
  <c r="M2090" i="5"/>
  <c r="R2076"/>
  <c r="D161" i="10"/>
  <c r="D162"/>
  <c r="M1996" i="5"/>
  <c r="G2655" i="8"/>
  <c r="G2621"/>
  <c r="G2587"/>
  <c r="A1932" i="5"/>
  <c r="I2555" i="8"/>
  <c r="A2564" s="1"/>
  <c r="B2564" s="1"/>
  <c r="L1896" i="5"/>
  <c r="M1937"/>
  <c r="I1936"/>
  <c r="A1918"/>
  <c r="R1923"/>
  <c r="J1897"/>
  <c r="Z1903" s="1"/>
  <c r="I2521" i="8"/>
  <c r="A1904" i="5"/>
  <c r="R1909"/>
  <c r="D152" i="10"/>
  <c r="X1903" i="5"/>
  <c r="R1937"/>
  <c r="X1917"/>
  <c r="A1925"/>
  <c r="M1843"/>
  <c r="G2451" i="8"/>
  <c r="G2485"/>
  <c r="G2417"/>
  <c r="G2383"/>
  <c r="M1792" i="5"/>
  <c r="A1624"/>
  <c r="A1596"/>
  <c r="D127" i="10"/>
  <c r="A1610" i="5"/>
  <c r="D128" i="10"/>
  <c r="R1615" i="5"/>
  <c r="G1630"/>
  <c r="D2147" i="8"/>
  <c r="R1601" i="5"/>
  <c r="R1629"/>
  <c r="D125" i="10"/>
  <c r="X1625" i="5"/>
  <c r="B1631"/>
  <c r="A1617"/>
  <c r="A1591"/>
  <c r="F1631"/>
  <c r="X1611"/>
  <c r="I2045" i="8"/>
  <c r="D121" i="10"/>
  <c r="X1546" i="5"/>
  <c r="M1580"/>
  <c r="D124" i="10"/>
  <c r="D123"/>
  <c r="X1560" i="5"/>
  <c r="F1580"/>
  <c r="R1566"/>
  <c r="L1539"/>
  <c r="X1574"/>
  <c r="I2079" i="8"/>
  <c r="R1552" i="5"/>
  <c r="A1524"/>
  <c r="J1489"/>
  <c r="Z1523" s="1"/>
  <c r="D117" i="10"/>
  <c r="A1517" i="5"/>
  <c r="I1528"/>
  <c r="R1529"/>
  <c r="R1501"/>
  <c r="I2011" i="8"/>
  <c r="A1503" i="5"/>
  <c r="R1515"/>
  <c r="F1529"/>
  <c r="AH30" s="1"/>
  <c r="X1495"/>
  <c r="D120" i="10"/>
  <c r="I1977" i="8"/>
  <c r="L1488" i="5"/>
  <c r="D118" i="10"/>
  <c r="M1529" i="5"/>
  <c r="G1703" i="8"/>
  <c r="G1737"/>
  <c r="G1601"/>
  <c r="G1567"/>
  <c r="I3063"/>
  <c r="C60" i="5"/>
  <c r="A2126" i="8"/>
  <c r="B2126" s="1"/>
  <c r="I3369"/>
  <c r="I1567"/>
  <c r="B1714" i="5"/>
  <c r="S1719" s="1"/>
  <c r="A1406" i="8"/>
  <c r="B1406" s="1"/>
  <c r="M568" i="5"/>
  <c r="I130" i="4"/>
  <c r="A3857" i="8"/>
  <c r="B3857" s="1"/>
  <c r="A3856"/>
  <c r="B3856" s="1"/>
  <c r="A1175"/>
  <c r="B1175" s="1"/>
  <c r="F39"/>
  <c r="A51"/>
  <c r="B51" s="1"/>
  <c r="A50"/>
  <c r="B50" s="1"/>
  <c r="A52"/>
  <c r="B52" s="1"/>
  <c r="A48"/>
  <c r="B48" s="1"/>
  <c r="G127" i="4"/>
  <c r="I127"/>
  <c r="G1057" i="8"/>
  <c r="G1023"/>
  <c r="M772" i="5"/>
  <c r="A687"/>
  <c r="J673"/>
  <c r="Z707" s="1"/>
  <c r="R699"/>
  <c r="M713"/>
  <c r="X707"/>
  <c r="D54" i="10"/>
  <c r="R685" i="5"/>
  <c r="A694"/>
  <c r="A708"/>
  <c r="X693"/>
  <c r="D56" i="10"/>
  <c r="I923" i="8"/>
  <c r="F923" s="1"/>
  <c r="X679" i="5"/>
  <c r="I889" i="8"/>
  <c r="R713" i="5"/>
  <c r="D55" i="10"/>
  <c r="I712" i="5"/>
  <c r="A701"/>
  <c r="G717" i="8"/>
  <c r="G683"/>
  <c r="D33" i="10"/>
  <c r="A439" i="5"/>
  <c r="A453"/>
  <c r="A425"/>
  <c r="X438"/>
  <c r="I457"/>
  <c r="D34" i="10"/>
  <c r="A446" i="5"/>
  <c r="R430"/>
  <c r="M458"/>
  <c r="L417"/>
  <c r="R444"/>
  <c r="D36" i="10"/>
  <c r="A432" i="5"/>
  <c r="D35" i="10"/>
  <c r="J418" i="5"/>
  <c r="R458"/>
  <c r="X452"/>
  <c r="G207" i="8"/>
  <c r="M160" i="5"/>
  <c r="G241" i="8"/>
  <c r="I151" i="5"/>
  <c r="I175" i="8"/>
  <c r="M152" i="5"/>
  <c r="J112"/>
  <c r="Z118" s="1"/>
  <c r="R152"/>
  <c r="R138"/>
  <c r="A147"/>
  <c r="A119"/>
  <c r="X132"/>
  <c r="X146"/>
  <c r="L111"/>
  <c r="A140"/>
  <c r="A126"/>
  <c r="R124"/>
  <c r="F152"/>
  <c r="D8" i="10"/>
  <c r="A66" i="5"/>
  <c r="R85"/>
  <c r="A87"/>
  <c r="R71"/>
  <c r="D7" i="10"/>
  <c r="F101" i="5"/>
  <c r="D73" i="8"/>
  <c r="B74" s="1"/>
  <c r="A94" i="5"/>
  <c r="D6" i="10"/>
  <c r="R99" i="5"/>
  <c r="D5" i="10"/>
  <c r="A73" i="5"/>
  <c r="X81"/>
  <c r="D107" i="8"/>
  <c r="G100" i="5"/>
  <c r="X67"/>
  <c r="A80"/>
  <c r="Z2696"/>
  <c r="Z2682"/>
  <c r="B2114" i="8"/>
  <c r="A2127"/>
  <c r="B2127" s="1"/>
  <c r="A2125"/>
  <c r="B2125" s="1"/>
  <c r="A2123"/>
  <c r="B2123" s="1"/>
  <c r="E2142"/>
  <c r="A2124"/>
  <c r="B2124" s="1"/>
  <c r="A1003"/>
  <c r="B1003" s="1"/>
  <c r="E1360"/>
  <c r="Z2056" i="5"/>
  <c r="Z2084"/>
  <c r="A356" i="8"/>
  <c r="B356" s="1"/>
  <c r="A354"/>
  <c r="B354" s="1"/>
  <c r="B346"/>
  <c r="A358"/>
  <c r="B358" s="1"/>
  <c r="G3508"/>
  <c r="A3518"/>
  <c r="B3518" s="1"/>
  <c r="A3520"/>
  <c r="B3520" s="1"/>
  <c r="A3519"/>
  <c r="B3519" s="1"/>
  <c r="A3515"/>
  <c r="B3515" s="1"/>
  <c r="A3521"/>
  <c r="B3521" s="1"/>
  <c r="A3517"/>
  <c r="B3517" s="1"/>
  <c r="I132" i="4"/>
  <c r="G132"/>
  <c r="G118"/>
  <c r="I118"/>
  <c r="G116"/>
  <c r="I116"/>
  <c r="G73"/>
  <c r="I73"/>
  <c r="G52"/>
  <c r="I52"/>
  <c r="R1158" i="5"/>
  <c r="J1132"/>
  <c r="Z1152" s="1"/>
  <c r="L1131"/>
  <c r="D90" i="10"/>
  <c r="I1171" i="5"/>
  <c r="R1172"/>
  <c r="D91" i="10"/>
  <c r="F1172" i="5"/>
  <c r="R1144"/>
  <c r="X1166"/>
  <c r="X1138"/>
  <c r="D92" i="10"/>
  <c r="A1139" i="5"/>
  <c r="M1172"/>
  <c r="A1153"/>
  <c r="I1501" i="8"/>
  <c r="A1146" i="5"/>
  <c r="I1535" i="8"/>
  <c r="A1548" s="1"/>
  <c r="B1548" s="1"/>
  <c r="A991" i="5"/>
  <c r="A984"/>
  <c r="R1017"/>
  <c r="R989"/>
  <c r="D80" i="10"/>
  <c r="X999" i="5"/>
  <c r="X1013"/>
  <c r="F1019"/>
  <c r="A979"/>
  <c r="G1018"/>
  <c r="R1003"/>
  <c r="A1012"/>
  <c r="A1005"/>
  <c r="X985"/>
  <c r="D79" i="10"/>
  <c r="C978" i="5"/>
  <c r="D1297" i="8"/>
  <c r="G967" i="5"/>
  <c r="A940"/>
  <c r="D74" i="10"/>
  <c r="D76"/>
  <c r="B968" i="5"/>
  <c r="A928"/>
  <c r="R962" s="1"/>
  <c r="C927"/>
  <c r="R966"/>
  <c r="A954"/>
  <c r="A933"/>
  <c r="D1263" i="8"/>
  <c r="X934" i="5"/>
  <c r="D75" i="10"/>
  <c r="D73"/>
  <c r="R938" i="5"/>
  <c r="F968"/>
  <c r="A947"/>
  <c r="X948"/>
  <c r="D1229" i="8"/>
  <c r="X962" i="5"/>
  <c r="A889"/>
  <c r="G916"/>
  <c r="X883"/>
  <c r="D71" i="10"/>
  <c r="A896" i="5"/>
  <c r="A882"/>
  <c r="D70" i="10"/>
  <c r="B917" i="5"/>
  <c r="A903"/>
  <c r="C876"/>
  <c r="D1195" i="8"/>
  <c r="A910" i="5"/>
  <c r="C825"/>
  <c r="A838"/>
  <c r="R850"/>
  <c r="B866"/>
  <c r="A845"/>
  <c r="A831"/>
  <c r="X860"/>
  <c r="D1127" i="8"/>
  <c r="R836" i="5"/>
  <c r="D65" i="10"/>
  <c r="F866" i="5"/>
  <c r="O823" s="1"/>
  <c r="R864"/>
  <c r="D66" i="10"/>
  <c r="A826" i="5"/>
  <c r="X832"/>
  <c r="A859"/>
  <c r="D67" i="10"/>
  <c r="A1174" i="8"/>
  <c r="B1174" s="1"/>
  <c r="A47"/>
  <c r="B47" s="1"/>
  <c r="A523"/>
  <c r="B523" s="1"/>
  <c r="E544"/>
  <c r="I3709"/>
  <c r="A53"/>
  <c r="B53" s="1"/>
  <c r="I513"/>
  <c r="A524"/>
  <c r="B524" s="1"/>
  <c r="G71" i="4"/>
  <c r="I549" i="8"/>
  <c r="I583"/>
  <c r="A595" s="1"/>
  <c r="B595" s="1"/>
  <c r="A964"/>
  <c r="B964" s="1"/>
  <c r="A967"/>
  <c r="B967" s="1"/>
  <c r="A2738"/>
  <c r="B2738" s="1"/>
  <c r="A2736"/>
  <c r="B2736" s="1"/>
  <c r="A1848"/>
  <c r="B1848" s="1"/>
  <c r="A1855"/>
  <c r="B1855" s="1"/>
  <c r="E1870"/>
  <c r="F1841"/>
  <c r="G1332"/>
  <c r="A1345"/>
  <c r="B1345" s="1"/>
  <c r="A1339"/>
  <c r="B1339" s="1"/>
  <c r="A1647"/>
  <c r="B1647" s="1"/>
  <c r="A1651"/>
  <c r="B1651" s="1"/>
  <c r="A1889"/>
  <c r="B1889" s="1"/>
  <c r="AH58" i="5"/>
  <c r="B3406" i="8"/>
  <c r="G3984"/>
  <c r="A3994"/>
  <c r="B3994" s="1"/>
  <c r="A3996"/>
  <c r="B3996" s="1"/>
  <c r="A3993"/>
  <c r="B3993" s="1"/>
  <c r="A3995"/>
  <c r="B3995" s="1"/>
  <c r="I81" i="4"/>
  <c r="C1743" i="5"/>
  <c r="A1770"/>
  <c r="R1754"/>
  <c r="R1768"/>
  <c r="A1763"/>
  <c r="A1744"/>
  <c r="R1764" s="1"/>
  <c r="A1756"/>
  <c r="D139" i="10"/>
  <c r="D2317" i="8"/>
  <c r="A1749" i="5"/>
  <c r="A1721"/>
  <c r="R1719"/>
  <c r="D135" i="10"/>
  <c r="A1714" i="5"/>
  <c r="R1705"/>
  <c r="D134" i="10"/>
  <c r="M1733" i="5"/>
  <c r="I2283" i="8"/>
  <c r="A1700" i="5"/>
  <c r="A1707"/>
  <c r="M1537"/>
  <c r="G2043" i="8"/>
  <c r="G1635"/>
  <c r="M1231" i="5"/>
  <c r="G1669" i="8"/>
  <c r="G1222" i="5"/>
  <c r="A1202"/>
  <c r="A1195"/>
  <c r="A1209"/>
  <c r="R1207"/>
  <c r="D96" i="10"/>
  <c r="A1188" i="5"/>
  <c r="R1193"/>
  <c r="C1182"/>
  <c r="D1603" i="8"/>
  <c r="A1216" i="5"/>
  <c r="A736"/>
  <c r="B764"/>
  <c r="R762"/>
  <c r="D60" i="10"/>
  <c r="D57"/>
  <c r="A757" i="5"/>
  <c r="D991" i="8"/>
  <c r="R734" i="5"/>
  <c r="R748"/>
  <c r="A743"/>
  <c r="A729"/>
  <c r="G921" i="8"/>
  <c r="G887"/>
  <c r="D50" i="10"/>
  <c r="X642" i="5"/>
  <c r="C621"/>
  <c r="R632"/>
  <c r="D52" i="10"/>
  <c r="G661" i="5"/>
  <c r="A622"/>
  <c r="R656" s="1"/>
  <c r="X628"/>
  <c r="D49" i="10"/>
  <c r="F662" i="5"/>
  <c r="A648"/>
  <c r="G610"/>
  <c r="D753" i="8"/>
  <c r="X591" i="5"/>
  <c r="A576"/>
  <c r="R595"/>
  <c r="D47" i="10"/>
  <c r="A571" i="5"/>
  <c r="C570"/>
  <c r="F611"/>
  <c r="R581"/>
  <c r="D48" i="10"/>
  <c r="R609" i="5"/>
  <c r="A553"/>
  <c r="D685" i="8"/>
  <c r="A532" i="5"/>
  <c r="D44" i="10"/>
  <c r="R544" i="5"/>
  <c r="A546"/>
  <c r="G559"/>
  <c r="A539"/>
  <c r="M466"/>
  <c r="G649" i="8"/>
  <c r="G615"/>
  <c r="A342" i="5"/>
  <c r="X322"/>
  <c r="D447" i="8"/>
  <c r="A328" i="5"/>
  <c r="J265"/>
  <c r="O263" s="1"/>
  <c r="A293"/>
  <c r="A300"/>
  <c r="R305"/>
  <c r="M305"/>
  <c r="X271"/>
  <c r="D21" i="10"/>
  <c r="I304" i="5"/>
  <c r="D22" i="10"/>
  <c r="A286" i="5"/>
  <c r="I379" i="8"/>
  <c r="A392" s="1"/>
  <c r="B392" s="1"/>
  <c r="X299" i="5"/>
  <c r="X285"/>
  <c r="A272"/>
  <c r="I275" i="8"/>
  <c r="I309"/>
  <c r="Z1727" i="5"/>
  <c r="Z1713"/>
  <c r="A794" i="8"/>
  <c r="B794" s="1"/>
  <c r="B1706"/>
  <c r="A1719"/>
  <c r="B1719" s="1"/>
  <c r="Z2325" i="5"/>
  <c r="A2158" i="8"/>
  <c r="B2158" s="1"/>
  <c r="G93" i="4"/>
  <c r="I20"/>
  <c r="G20"/>
  <c r="G4253" i="8"/>
  <c r="G4219"/>
  <c r="M3169" i="5"/>
  <c r="R3045"/>
  <c r="A3054"/>
  <c r="J3019"/>
  <c r="Z3053" s="1"/>
  <c r="I4017" i="8"/>
  <c r="I4051"/>
  <c r="R3031" i="5"/>
  <c r="X3053"/>
  <c r="M3059"/>
  <c r="I3058"/>
  <c r="X3039"/>
  <c r="A3040"/>
  <c r="L3018"/>
  <c r="R3006"/>
  <c r="R2978"/>
  <c r="A2980"/>
  <c r="R2876"/>
  <c r="R2904"/>
  <c r="B2906"/>
  <c r="A2871"/>
  <c r="X2886"/>
  <c r="D3813" i="8"/>
  <c r="A2885" i="5"/>
  <c r="C2865"/>
  <c r="G2905"/>
  <c r="R2890"/>
  <c r="D227" i="10"/>
  <c r="D228"/>
  <c r="A2866" i="5"/>
  <c r="R2886" s="1"/>
  <c r="D3677" i="8"/>
  <c r="R2802" i="5"/>
  <c r="C2763"/>
  <c r="A2790"/>
  <c r="D220" i="10"/>
  <c r="X2770" i="5"/>
  <c r="R2788"/>
  <c r="D219" i="10"/>
  <c r="A2764" i="5"/>
  <c r="R2784" s="1"/>
  <c r="D217" i="10"/>
  <c r="B2804" i="5"/>
  <c r="D3711" i="8"/>
  <c r="F2804" i="5"/>
  <c r="O2761" s="1"/>
  <c r="I2599"/>
  <c r="J2560"/>
  <c r="R2586"/>
  <c r="X2580"/>
  <c r="F2600"/>
  <c r="D203" i="10"/>
  <c r="X2594" i="5"/>
  <c r="A2581"/>
  <c r="R2600"/>
  <c r="D204" i="10"/>
  <c r="A2567" i="5"/>
  <c r="R2521"/>
  <c r="R2535"/>
  <c r="I3371" i="8"/>
  <c r="R2549" i="5"/>
  <c r="M2549"/>
  <c r="A2530"/>
  <c r="I2548"/>
  <c r="A2544"/>
  <c r="A2523"/>
  <c r="D197" i="10"/>
  <c r="A2516" i="5"/>
  <c r="L2508"/>
  <c r="D193" i="10"/>
  <c r="A2477" i="5"/>
  <c r="R2482"/>
  <c r="A2484"/>
  <c r="D3269" i="8"/>
  <c r="A3278" s="1"/>
  <c r="B3278" s="1"/>
  <c r="X2492" i="5"/>
  <c r="X2464"/>
  <c r="F2498"/>
  <c r="R2243"/>
  <c r="A2210"/>
  <c r="J2203"/>
  <c r="Z2209" s="1"/>
  <c r="A2224"/>
  <c r="A2231"/>
  <c r="I2963" i="8"/>
  <c r="L2202" i="5"/>
  <c r="D176" i="10"/>
  <c r="R2229" i="5"/>
  <c r="A2238"/>
  <c r="R2215"/>
  <c r="X2223"/>
  <c r="M2149"/>
  <c r="G2893" i="8"/>
  <c r="G2859"/>
  <c r="B2828"/>
  <c r="A969"/>
  <c r="B969" s="1"/>
  <c r="A971"/>
  <c r="B971" s="1"/>
  <c r="A1851"/>
  <c r="B1851" s="1"/>
  <c r="A1854"/>
  <c r="B1854" s="1"/>
  <c r="G81" i="4"/>
  <c r="B1223" i="5"/>
  <c r="R1782"/>
  <c r="G763"/>
  <c r="I83" i="4"/>
  <c r="R3261" i="5"/>
  <c r="C3222"/>
  <c r="R3233"/>
  <c r="D4289" i="8"/>
  <c r="A3235" i="5"/>
  <c r="D255" i="10"/>
  <c r="A3249" i="5"/>
  <c r="A3223"/>
  <c r="R3243" s="1"/>
  <c r="A3186"/>
  <c r="I3211"/>
  <c r="R3184"/>
  <c r="M3212"/>
  <c r="D250" i="10"/>
  <c r="A2338" i="5"/>
  <c r="D3065" i="8"/>
  <c r="D3099"/>
  <c r="G2344" i="5"/>
  <c r="M2251"/>
  <c r="G3029" i="8"/>
  <c r="A1948" i="5"/>
  <c r="A1967"/>
  <c r="D156" i="10"/>
  <c r="A1960" i="5"/>
  <c r="G1987"/>
  <c r="R1958"/>
  <c r="C1845"/>
  <c r="A1851"/>
  <c r="A1865"/>
  <c r="R1856"/>
  <c r="G1885"/>
  <c r="A1795"/>
  <c r="B1835"/>
  <c r="A1807"/>
  <c r="A1306"/>
  <c r="R1311"/>
  <c r="A1299"/>
  <c r="R1297"/>
  <c r="A1313"/>
  <c r="I1739" i="8"/>
  <c r="F1739" s="1"/>
  <c r="L1284" i="5"/>
  <c r="A1100"/>
  <c r="R1119"/>
  <c r="F1121"/>
  <c r="G406"/>
  <c r="A386"/>
  <c r="X373"/>
  <c r="R356"/>
  <c r="J316"/>
  <c r="Z350" s="1"/>
  <c r="M356"/>
  <c r="I413" i="8"/>
  <c r="L315" i="5"/>
  <c r="A344"/>
  <c r="B31"/>
  <c r="H40" s="1"/>
  <c r="I92" i="4"/>
  <c r="I17"/>
  <c r="R3284" i="5"/>
  <c r="A3274"/>
  <c r="R3308" s="1"/>
  <c r="R3298"/>
  <c r="R3312"/>
  <c r="D259" i="10"/>
  <c r="A3286" i="5"/>
  <c r="D258" i="10"/>
  <c r="D4357" i="8"/>
  <c r="F4357" s="1"/>
  <c r="J3121" i="5"/>
  <c r="R3161"/>
  <c r="I4187" i="8"/>
  <c r="A4201" s="1"/>
  <c r="B4201" s="1"/>
  <c r="A3142" i="5"/>
  <c r="A3156"/>
  <c r="L3120"/>
  <c r="M3161"/>
  <c r="R3147"/>
  <c r="D248" i="10"/>
  <c r="X3141" i="5"/>
  <c r="L3069"/>
  <c r="R3096"/>
  <c r="I4085" i="8"/>
  <c r="J3070" i="5"/>
  <c r="Z3076" s="1"/>
  <c r="I3109"/>
  <c r="D244" i="10"/>
  <c r="D243"/>
  <c r="D4051" i="8"/>
  <c r="B3059" i="5"/>
  <c r="A3045"/>
  <c r="X2937"/>
  <c r="D230" i="10"/>
  <c r="R2929" i="5"/>
  <c r="A2931"/>
  <c r="I3915" i="8"/>
  <c r="J2917" i="5"/>
  <c r="B2931" s="1"/>
  <c r="A2945"/>
  <c r="I3881" i="8"/>
  <c r="G3845"/>
  <c r="M2863" i="5"/>
  <c r="G3811" i="8"/>
  <c r="A2391" i="5"/>
  <c r="I3133" i="8"/>
  <c r="A2377" i="5"/>
  <c r="R2396"/>
  <c r="R2382"/>
  <c r="L2355"/>
  <c r="A2280"/>
  <c r="B2294"/>
  <c r="D2997" i="8"/>
  <c r="R2278" i="5"/>
  <c r="A2222"/>
  <c r="A2236"/>
  <c r="R2241"/>
  <c r="B2243"/>
  <c r="D174" i="10"/>
  <c r="D175"/>
  <c r="R2213" i="5"/>
  <c r="D2929" i="8"/>
  <c r="A2215" i="5"/>
  <c r="A2208"/>
  <c r="R2227"/>
  <c r="D173" i="10"/>
  <c r="A1443" i="5"/>
  <c r="A1464"/>
  <c r="G1477"/>
  <c r="A1471"/>
  <c r="C1437"/>
  <c r="A1450"/>
  <c r="I1637" i="8"/>
  <c r="I1273" i="5"/>
  <c r="A1049"/>
  <c r="X1050"/>
  <c r="A1056"/>
  <c r="R1040"/>
  <c r="F1070"/>
  <c r="R1054"/>
  <c r="G1329" i="8"/>
  <c r="M976" i="5"/>
  <c r="G1295" i="8"/>
  <c r="R226" i="5"/>
  <c r="R254"/>
  <c r="A228"/>
  <c r="A242"/>
  <c r="L213"/>
  <c r="I253"/>
  <c r="D2" i="10"/>
  <c r="A24" i="5"/>
  <c r="M50"/>
  <c r="A38"/>
  <c r="D3" i="10"/>
  <c r="R36" i="5"/>
  <c r="R22"/>
  <c r="A31"/>
  <c r="R2274"/>
  <c r="R2260"/>
  <c r="O2353"/>
  <c r="I4049" i="8"/>
  <c r="I4015"/>
  <c r="AH44" i="5"/>
  <c r="A558" i="8"/>
  <c r="B558" s="1"/>
  <c r="A1714"/>
  <c r="B1714" s="1"/>
  <c r="G4358"/>
  <c r="A1039"/>
  <c r="B1039" s="1"/>
  <c r="A1035"/>
  <c r="B1035" s="1"/>
  <c r="I139"/>
  <c r="A1034"/>
  <c r="B1034" s="1"/>
  <c r="A1134"/>
  <c r="B1134" s="1"/>
  <c r="B1740"/>
  <c r="A1140"/>
  <c r="B1140" s="1"/>
  <c r="A387"/>
  <c r="B387" s="1"/>
  <c r="B184" i="5"/>
  <c r="S189" s="1"/>
  <c r="F2895" i="8"/>
  <c r="Z1050" i="5"/>
  <c r="Z1064"/>
  <c r="I2213" i="8"/>
  <c r="I2179"/>
  <c r="G1808"/>
  <c r="A1820"/>
  <c r="B1820" s="1"/>
  <c r="A1818"/>
  <c r="B1818" s="1"/>
  <c r="A1816"/>
  <c r="B1816" s="1"/>
  <c r="A1815"/>
  <c r="B1815" s="1"/>
  <c r="A1814"/>
  <c r="B1814" s="1"/>
  <c r="A833"/>
  <c r="B833" s="1"/>
  <c r="B1026"/>
  <c r="A1038"/>
  <c r="B1038" s="1"/>
  <c r="A1036"/>
  <c r="B1036" s="1"/>
  <c r="A2259"/>
  <c r="B2259" s="1"/>
  <c r="R2288" i="5"/>
  <c r="B1774" i="8"/>
  <c r="A1787"/>
  <c r="B1787" s="1"/>
  <c r="B1721" i="5"/>
  <c r="L1728" s="1"/>
  <c r="O364"/>
  <c r="AH8"/>
  <c r="G40" i="8"/>
  <c r="A49"/>
  <c r="B49" s="1"/>
  <c r="A457"/>
  <c r="B457" s="1"/>
  <c r="A3176"/>
  <c r="B3176" s="1"/>
  <c r="I60" i="4"/>
  <c r="G60"/>
  <c r="G50"/>
  <c r="I50"/>
  <c r="I26"/>
  <c r="M3118" i="5"/>
  <c r="G4151" i="8"/>
  <c r="X2974" i="5"/>
  <c r="A2987"/>
  <c r="D234" i="10"/>
  <c r="A2994" i="5"/>
  <c r="A3001"/>
  <c r="D235" i="10"/>
  <c r="D233"/>
  <c r="X2988" i="5"/>
  <c r="A2973"/>
  <c r="B3008"/>
  <c r="A2968"/>
  <c r="D3983" i="8"/>
  <c r="G3403"/>
  <c r="G3437"/>
  <c r="A2268" i="5"/>
  <c r="A2289"/>
  <c r="I2293"/>
  <c r="I3031" i="8"/>
  <c r="J2254" i="5"/>
  <c r="B2266" s="1"/>
  <c r="D158" i="10"/>
  <c r="D2691" i="8"/>
  <c r="J2701" s="1"/>
  <c r="X2033" i="5"/>
  <c r="A1999"/>
  <c r="D159" i="10"/>
  <c r="R1784" i="5"/>
  <c r="A1765"/>
  <c r="X1778"/>
  <c r="D138" i="10"/>
  <c r="A1751" i="5"/>
  <c r="I2351" i="8"/>
  <c r="R1756" i="5"/>
  <c r="R1770"/>
  <c r="X1764"/>
  <c r="A1758"/>
  <c r="J1744"/>
  <c r="A1772"/>
  <c r="M1784"/>
  <c r="R1360"/>
  <c r="D1807" i="8"/>
  <c r="B1376" i="5"/>
  <c r="A1348"/>
  <c r="X1370"/>
  <c r="D107" i="10"/>
  <c r="A1336" i="5"/>
  <c r="B1343" s="1"/>
  <c r="F1376"/>
  <c r="A1362"/>
  <c r="G1375"/>
  <c r="D108" i="10"/>
  <c r="R1223" i="5"/>
  <c r="D95" i="10"/>
  <c r="I1569" i="8"/>
  <c r="R1209" i="5"/>
  <c r="F1223"/>
  <c r="R1195"/>
  <c r="A1218"/>
  <c r="A1211"/>
  <c r="D9" i="10"/>
  <c r="X118" i="5"/>
  <c r="D11" i="10"/>
  <c r="D10"/>
  <c r="C111" i="5"/>
  <c r="R2906"/>
  <c r="M2906"/>
  <c r="D225" i="10"/>
  <c r="I3813" i="8"/>
  <c r="F2906" i="5"/>
  <c r="R2892"/>
  <c r="A2880"/>
  <c r="X2872"/>
  <c r="X2900"/>
  <c r="D226" i="10"/>
  <c r="I2752" i="5"/>
  <c r="X2747"/>
  <c r="R2739"/>
  <c r="A2720"/>
  <c r="M2753"/>
  <c r="X2719"/>
  <c r="F2753"/>
  <c r="B2549"/>
  <c r="R2547"/>
  <c r="D3371" i="8"/>
  <c r="D3337"/>
  <c r="A2509" i="5"/>
  <c r="X2543"/>
  <c r="D200" i="10"/>
  <c r="A1916" i="5"/>
  <c r="F1937"/>
  <c r="A1923"/>
  <c r="C1692"/>
  <c r="D133" i="10"/>
  <c r="X1699" i="5"/>
  <c r="X1727"/>
  <c r="A1712"/>
  <c r="I1943" i="8"/>
  <c r="A1466" i="5"/>
  <c r="A1445"/>
  <c r="R1478"/>
  <c r="A1473"/>
  <c r="D113" i="10"/>
  <c r="D114"/>
  <c r="D116"/>
  <c r="R1295" i="5"/>
  <c r="R1309"/>
  <c r="F1325"/>
  <c r="A1297"/>
  <c r="X1319"/>
  <c r="D102" i="10"/>
  <c r="D104"/>
  <c r="A1318" i="5"/>
  <c r="I1193" i="8"/>
  <c r="I1159"/>
  <c r="R801" i="5"/>
  <c r="R787"/>
  <c r="X795"/>
  <c r="F815"/>
  <c r="A782"/>
  <c r="R815"/>
  <c r="B356"/>
  <c r="D25" i="10"/>
  <c r="A321" i="5"/>
  <c r="A349"/>
  <c r="G355"/>
  <c r="D27" i="10"/>
  <c r="X350" i="5"/>
  <c r="R238"/>
  <c r="X248"/>
  <c r="G253"/>
  <c r="A226"/>
  <c r="F254"/>
  <c r="A240"/>
  <c r="R224"/>
  <c r="B254"/>
  <c r="D19" i="10"/>
  <c r="I131" i="4"/>
  <c r="R3335" i="5"/>
  <c r="D4425" i="8"/>
  <c r="A3344" i="5"/>
  <c r="D262" i="10"/>
  <c r="X3359" i="5"/>
  <c r="X3331"/>
  <c r="D263" i="10"/>
  <c r="A3075" i="5"/>
  <c r="D4119" i="8"/>
  <c r="C3069" i="5"/>
  <c r="A3089"/>
  <c r="A3096"/>
  <c r="R3080"/>
  <c r="D4085" i="8"/>
  <c r="D241" i="10"/>
  <c r="B3110" i="5"/>
  <c r="X3090"/>
  <c r="A2829"/>
  <c r="A2843"/>
  <c r="X2849"/>
  <c r="D221" i="10"/>
  <c r="A2822" i="5"/>
  <c r="R2855"/>
  <c r="R2827"/>
  <c r="J2815"/>
  <c r="Z2849" s="1"/>
  <c r="D222" i="10"/>
  <c r="D224"/>
  <c r="A2836" i="5"/>
  <c r="A2850"/>
  <c r="B2498"/>
  <c r="A2491"/>
  <c r="D3303" i="8"/>
  <c r="R2468" i="5"/>
  <c r="A2463"/>
  <c r="I2446"/>
  <c r="R2419"/>
  <c r="M2447"/>
  <c r="R2447"/>
  <c r="X2413"/>
  <c r="L2406"/>
  <c r="I3235" i="8"/>
  <c r="G1681" i="5"/>
  <c r="C1641"/>
  <c r="A1675"/>
  <c r="A1642"/>
  <c r="A1661"/>
  <c r="X1676"/>
  <c r="A1647"/>
  <c r="R1666"/>
  <c r="G1941" i="8"/>
  <c r="M1435" i="5"/>
  <c r="G1907" i="8"/>
  <c r="R1246" i="5"/>
  <c r="M1274"/>
  <c r="L1233"/>
  <c r="J1234"/>
  <c r="B1239" s="1"/>
  <c r="A1262"/>
  <c r="D97" i="10"/>
  <c r="R1274" i="5"/>
  <c r="A1241"/>
  <c r="A1081"/>
  <c r="A1086"/>
  <c r="D1433" i="8"/>
  <c r="R1105" i="5"/>
  <c r="A1093"/>
  <c r="B1121"/>
  <c r="G1120"/>
  <c r="X1115"/>
  <c r="D1467" i="8"/>
  <c r="D87" i="10"/>
  <c r="A1107" i="5"/>
  <c r="D85" i="10"/>
  <c r="D69"/>
  <c r="R915" i="5"/>
  <c r="F917"/>
  <c r="R887"/>
  <c r="X897"/>
  <c r="D72" i="10"/>
  <c r="F560" i="5"/>
  <c r="X554"/>
  <c r="B560"/>
  <c r="X540"/>
  <c r="D41" i="10"/>
  <c r="D42"/>
  <c r="D20"/>
  <c r="G785" i="8"/>
  <c r="L1437" i="5"/>
  <c r="X2288"/>
  <c r="X2260"/>
  <c r="A2741"/>
  <c r="D214" i="10"/>
  <c r="R2878" i="5"/>
  <c r="A1909"/>
  <c r="G1324"/>
  <c r="G151"/>
  <c r="X2274"/>
  <c r="X1217"/>
  <c r="X1750"/>
  <c r="I1909" i="8"/>
  <c r="X1189" i="5"/>
  <c r="F2549"/>
  <c r="D103" i="10"/>
  <c r="X234" i="5"/>
  <c r="A131"/>
  <c r="D12" i="10"/>
  <c r="A117" i="5"/>
  <c r="L774"/>
  <c r="D150" i="10"/>
  <c r="D151"/>
  <c r="C1896" i="5"/>
  <c r="B1325"/>
  <c r="X2005"/>
  <c r="A2032"/>
  <c r="A2018"/>
  <c r="G105" i="8"/>
  <c r="D26" i="10"/>
  <c r="R354" i="5"/>
  <c r="C315"/>
  <c r="R340"/>
  <c r="X809"/>
  <c r="G1091" i="8"/>
  <c r="D136" i="10"/>
  <c r="A1705" i="5"/>
  <c r="A1698"/>
  <c r="F2294"/>
  <c r="R2294"/>
  <c r="A2261"/>
  <c r="D179" i="10"/>
  <c r="G42" i="4"/>
  <c r="F1733" i="5"/>
  <c r="A214"/>
  <c r="I1222"/>
  <c r="D105" i="10"/>
  <c r="R1374" i="5"/>
  <c r="M2557"/>
  <c r="R2037"/>
  <c r="C2508"/>
  <c r="C2967"/>
  <c r="R2992"/>
  <c r="D215" i="10"/>
  <c r="D141" i="8"/>
  <c r="D94" i="10"/>
  <c r="A1285" i="5"/>
  <c r="R1305" s="1"/>
  <c r="F1784"/>
  <c r="D199" i="10"/>
  <c r="A1452" i="5"/>
  <c r="I3643" i="8"/>
  <c r="A2887" i="5"/>
  <c r="F1478"/>
  <c r="D277" i="8"/>
  <c r="G110" i="4"/>
  <c r="G76"/>
  <c r="G18"/>
  <c r="I18"/>
  <c r="G7"/>
  <c r="I7"/>
  <c r="X3025" i="5"/>
  <c r="F3059"/>
  <c r="R3029"/>
  <c r="A3024"/>
  <c r="R3057"/>
  <c r="G3058"/>
  <c r="D240" i="10"/>
  <c r="R3043" i="5"/>
  <c r="C3018"/>
  <c r="A3052"/>
  <c r="D239" i="10"/>
  <c r="D238"/>
  <c r="R2621" i="5"/>
  <c r="D3507" i="8"/>
  <c r="X2631" i="5"/>
  <c r="C2610"/>
  <c r="A2085"/>
  <c r="A2057"/>
  <c r="X2084"/>
  <c r="A2071"/>
  <c r="X2070"/>
  <c r="D144" i="10"/>
  <c r="D2385" i="8"/>
  <c r="A1814" i="5"/>
  <c r="R1819"/>
  <c r="D2419" i="8"/>
  <c r="R1805" i="5"/>
  <c r="G1834"/>
  <c r="A1800"/>
  <c r="F1835"/>
  <c r="A1828"/>
  <c r="X1829"/>
  <c r="A1547"/>
  <c r="A1554"/>
  <c r="A1561"/>
  <c r="A1568"/>
  <c r="I1579"/>
  <c r="D122" i="10"/>
  <c r="J1540" i="5"/>
  <c r="A1575"/>
  <c r="G1873" i="8"/>
  <c r="M1384" i="5"/>
  <c r="G1468" i="8"/>
  <c r="A1480"/>
  <c r="B1480" s="1"/>
  <c r="A1481"/>
  <c r="B1481" s="1"/>
  <c r="A731" i="5"/>
  <c r="D59" i="10"/>
  <c r="R736" i="5"/>
  <c r="F764"/>
  <c r="R764"/>
  <c r="J724"/>
  <c r="Z744" s="1"/>
  <c r="A469"/>
  <c r="A474"/>
  <c r="A488"/>
  <c r="R479"/>
  <c r="B509"/>
  <c r="D39" i="10"/>
  <c r="D617" i="8"/>
  <c r="D18" i="10"/>
  <c r="X1444" i="5"/>
  <c r="R1450"/>
  <c r="D178" i="10"/>
  <c r="R2753" i="5"/>
  <c r="A2734"/>
  <c r="R2725"/>
  <c r="A2873"/>
  <c r="A1897"/>
  <c r="R1935"/>
  <c r="D157" i="10"/>
  <c r="M1478" i="5"/>
  <c r="A2514"/>
  <c r="D101" i="10"/>
  <c r="I95" i="4"/>
  <c r="A124" i="5"/>
  <c r="D175" i="8"/>
  <c r="A138" i="5"/>
  <c r="A789"/>
  <c r="J775"/>
  <c r="Z781" s="1"/>
  <c r="D137" i="10"/>
  <c r="X1931" i="5"/>
  <c r="D149" i="10"/>
  <c r="B1937" i="5"/>
  <c r="G2548"/>
  <c r="D93" i="10"/>
  <c r="R1323" i="5"/>
  <c r="G2038"/>
  <c r="D2657" i="8"/>
  <c r="X2019" i="5"/>
  <c r="M58"/>
  <c r="F356"/>
  <c r="R326"/>
  <c r="D413" i="8"/>
  <c r="A335" i="5"/>
  <c r="A529" i="8"/>
  <c r="B529" s="1"/>
  <c r="D63" i="10"/>
  <c r="D62"/>
  <c r="G1125" i="8"/>
  <c r="R1731" i="5"/>
  <c r="R1717"/>
  <c r="A1719"/>
  <c r="G1732"/>
  <c r="M2294"/>
  <c r="L2253"/>
  <c r="D61" i="10"/>
  <c r="G4" i="4"/>
  <c r="I22"/>
  <c r="D311" i="8"/>
  <c r="A219" i="5"/>
  <c r="D198" i="10"/>
  <c r="R252" i="5"/>
  <c r="X220"/>
  <c r="A1197"/>
  <c r="A1204"/>
  <c r="A1355"/>
  <c r="A1369"/>
  <c r="X1458"/>
  <c r="L1743"/>
  <c r="A2521"/>
  <c r="D236" i="10"/>
  <c r="D3949" i="8"/>
  <c r="B152" i="5"/>
  <c r="I1059" i="8"/>
  <c r="R1907" i="5"/>
  <c r="I3609" i="8"/>
  <c r="A1459" i="5"/>
  <c r="I2905"/>
  <c r="A2901"/>
  <c r="G3364"/>
  <c r="A218" i="8"/>
  <c r="B218" s="1"/>
  <c r="R1699" i="5"/>
  <c r="R1268"/>
  <c r="Z1444"/>
  <c r="Z897"/>
  <c r="Z911"/>
  <c r="J516"/>
  <c r="G4116" i="8"/>
  <c r="J363" i="5"/>
  <c r="J1944"/>
  <c r="G3198" i="8"/>
  <c r="J57" i="5"/>
  <c r="J771"/>
  <c r="G4320" i="8"/>
  <c r="J2505" i="5"/>
  <c r="J2760"/>
  <c r="G2858" i="8"/>
  <c r="J1026" i="5"/>
  <c r="Z44"/>
  <c r="R350"/>
  <c r="B177"/>
  <c r="G193" s="1"/>
  <c r="Z1087"/>
  <c r="R336"/>
  <c r="Z2900"/>
  <c r="Z1101"/>
  <c r="G2552" i="8"/>
  <c r="G3368"/>
  <c r="G3300"/>
  <c r="G376"/>
  <c r="G3572"/>
  <c r="G1158"/>
  <c r="J1281" i="5"/>
  <c r="G1634" i="8"/>
  <c r="G3436"/>
  <c r="G4150"/>
  <c r="J2454" i="5"/>
  <c r="G1668" i="8"/>
  <c r="Z30" i="5"/>
  <c r="G70" i="4"/>
  <c r="G1396" i="8"/>
  <c r="J1179" i="5"/>
  <c r="G36" i="8"/>
  <c r="J1842" i="5"/>
  <c r="G1464" i="8"/>
  <c r="J2199" i="5"/>
  <c r="G1226" i="8"/>
  <c r="J108" i="5"/>
  <c r="G1294" i="8"/>
  <c r="J1995" i="5"/>
  <c r="G920" i="8"/>
  <c r="J1740" i="5"/>
  <c r="G70" i="8"/>
  <c r="G274"/>
  <c r="G1702"/>
  <c r="G3980"/>
  <c r="G3096"/>
  <c r="J3270" i="5"/>
  <c r="J2658"/>
  <c r="G2280" i="8"/>
  <c r="G2110"/>
  <c r="G3640"/>
  <c r="G2620"/>
  <c r="J2811" i="5"/>
  <c r="G2178" i="8"/>
  <c r="G2824"/>
  <c r="J3066" i="5"/>
  <c r="J3219"/>
  <c r="G342" i="8"/>
  <c r="J924" i="5"/>
  <c r="J261"/>
  <c r="G4184" i="8"/>
  <c r="J2301" i="5"/>
  <c r="G1838" i="8"/>
  <c r="J567" i="5"/>
  <c r="J312"/>
  <c r="G1362" i="8"/>
  <c r="J1128" i="5"/>
  <c r="G1566" i="8"/>
  <c r="G3402"/>
  <c r="G2926"/>
  <c r="G3504"/>
  <c r="J618" i="5"/>
  <c r="G1430" i="8"/>
  <c r="J669" i="5"/>
  <c r="G1974" i="8"/>
  <c r="J2913" i="5"/>
  <c r="J1893"/>
  <c r="G1532" i="8"/>
  <c r="G2008"/>
  <c r="J822" i="5"/>
  <c r="G4218" i="8"/>
  <c r="G3946"/>
  <c r="G3742"/>
  <c r="J210" i="5"/>
  <c r="G3538" i="8"/>
  <c r="G2960"/>
  <c r="G1090"/>
  <c r="G2654"/>
  <c r="J3321" i="5"/>
  <c r="G2790" i="8"/>
  <c r="G1498"/>
  <c r="G4456"/>
  <c r="J2250" i="5"/>
  <c r="G1022" i="8"/>
  <c r="G138"/>
  <c r="J2148" i="5"/>
  <c r="G886" i="8"/>
  <c r="G3844"/>
  <c r="G172"/>
  <c r="G1124"/>
  <c r="G784"/>
  <c r="J2097" i="5"/>
  <c r="J2352"/>
  <c r="J3015"/>
  <c r="J2964"/>
  <c r="G580" i="8"/>
  <c r="G1736"/>
  <c r="G1940"/>
  <c r="G1192"/>
  <c r="J2046" i="5"/>
  <c r="G2994" i="8"/>
  <c r="J2607" i="5"/>
  <c r="G954" i="8"/>
  <c r="J465" i="5"/>
  <c r="G3776" i="8"/>
  <c r="J1587" i="5"/>
  <c r="G2314" i="8"/>
  <c r="J1230" i="5"/>
  <c r="G1328" i="8"/>
  <c r="J1434" i="5"/>
  <c r="G4082" i="8"/>
  <c r="G3878"/>
  <c r="G444"/>
  <c r="G1600"/>
  <c r="G3674"/>
  <c r="G2246"/>
  <c r="J159" i="5"/>
  <c r="G3334" i="8"/>
  <c r="G3606"/>
  <c r="G2722"/>
  <c r="G2416"/>
  <c r="G3062"/>
  <c r="G4286"/>
  <c r="G750"/>
  <c r="G3708"/>
  <c r="G4388"/>
  <c r="J414" i="5"/>
  <c r="G2212" i="8"/>
  <c r="G1906"/>
  <c r="G4354"/>
  <c r="G3912"/>
  <c r="J2556" i="5"/>
  <c r="G4252" i="8"/>
  <c r="G1872"/>
  <c r="G478"/>
  <c r="J1638" i="5"/>
  <c r="J1791"/>
  <c r="J975"/>
  <c r="G2042" i="8"/>
  <c r="G1770"/>
  <c r="G2450"/>
  <c r="J3117" i="5"/>
  <c r="G988" i="8"/>
  <c r="G2382"/>
  <c r="G3810"/>
  <c r="J1077" i="5"/>
  <c r="G4422" i="8"/>
  <c r="G2518"/>
  <c r="G614"/>
  <c r="G2586"/>
  <c r="J2709" i="5"/>
  <c r="G308" i="8"/>
  <c r="J2862" i="5"/>
  <c r="G240" i="8"/>
  <c r="J720" i="5"/>
  <c r="G2484" i="8"/>
  <c r="J1485" i="5"/>
  <c r="J873"/>
  <c r="G3028" i="8"/>
  <c r="G3164"/>
  <c r="J1383" i="5"/>
  <c r="J2403"/>
  <c r="G410" i="8"/>
  <c r="G104"/>
  <c r="G206"/>
  <c r="G2892"/>
  <c r="R401" i="5"/>
  <c r="B24"/>
  <c r="R16"/>
  <c r="B22"/>
  <c r="B38"/>
  <c r="R30"/>
  <c r="R44"/>
  <c r="R2580"/>
  <c r="R2566"/>
  <c r="B882"/>
  <c r="B884"/>
  <c r="F907" s="1"/>
  <c r="R2594"/>
  <c r="B17"/>
  <c r="Z2070"/>
  <c r="Z169"/>
  <c r="B1700"/>
  <c r="R1713"/>
  <c r="Z526"/>
  <c r="Z540"/>
  <c r="R1523"/>
  <c r="R1495"/>
  <c r="R1509"/>
  <c r="R3076"/>
  <c r="R3104"/>
  <c r="R3090"/>
  <c r="R1217"/>
  <c r="B1195"/>
  <c r="R1189"/>
  <c r="R1203"/>
  <c r="R2492"/>
  <c r="R2478"/>
  <c r="R2464"/>
  <c r="Z2631"/>
  <c r="B2727"/>
  <c r="R2719"/>
  <c r="B2720"/>
  <c r="R2747"/>
  <c r="B2734"/>
  <c r="R1407"/>
  <c r="R1393"/>
  <c r="R1421"/>
  <c r="B1874"/>
  <c r="L1874" s="1"/>
  <c r="R1880"/>
  <c r="Z2172"/>
  <c r="Z1852"/>
  <c r="Z1880"/>
  <c r="R299"/>
  <c r="Z962"/>
  <c r="Z3257"/>
  <c r="Z860"/>
  <c r="Z197"/>
  <c r="R322"/>
  <c r="A2532" i="8" l="1"/>
  <c r="B2532" s="1"/>
  <c r="A2535"/>
  <c r="B2535" s="1"/>
  <c r="B29" i="5"/>
  <c r="D40" s="1"/>
  <c r="G108" i="8"/>
  <c r="I2009"/>
  <c r="A2498"/>
  <c r="B2498" s="1"/>
  <c r="A2494"/>
  <c r="B2494" s="1"/>
  <c r="A117"/>
  <c r="B117" s="1"/>
  <c r="Z832" i="5"/>
  <c r="Z3229"/>
  <c r="R1852"/>
  <c r="R2937"/>
  <c r="R2237"/>
  <c r="R438"/>
  <c r="B1860"/>
  <c r="S1858" s="1"/>
  <c r="A115" i="8"/>
  <c r="B115" s="1"/>
  <c r="O2507" i="5"/>
  <c r="G1604" i="8"/>
  <c r="A1135"/>
  <c r="B1135" s="1"/>
  <c r="G1128"/>
  <c r="A3485"/>
  <c r="B3485" s="1"/>
  <c r="A1717"/>
  <c r="B1717" s="1"/>
  <c r="A3412"/>
  <c r="B3412" s="1"/>
  <c r="A3418"/>
  <c r="B3418" s="1"/>
  <c r="A492"/>
  <c r="B492" s="1"/>
  <c r="A3854"/>
  <c r="B3854" s="1"/>
  <c r="A3861"/>
  <c r="B3861" s="1"/>
  <c r="A3317"/>
  <c r="B3317" s="1"/>
  <c r="A2499"/>
  <c r="B2499" s="1"/>
  <c r="B2488"/>
  <c r="A493"/>
  <c r="B493" s="1"/>
  <c r="Z3192" i="5"/>
  <c r="A1616" i="8"/>
  <c r="B1616" s="1"/>
  <c r="A2528"/>
  <c r="B2528" s="1"/>
  <c r="A3616"/>
  <c r="B3616" s="1"/>
  <c r="B1049" i="5"/>
  <c r="S1054" s="1"/>
  <c r="I3267" i="8"/>
  <c r="A3209"/>
  <c r="B3209" s="1"/>
  <c r="A2256"/>
  <c r="B2256" s="1"/>
  <c r="A2496"/>
  <c r="B2496" s="1"/>
  <c r="E3876"/>
  <c r="A1137"/>
  <c r="B1137" s="1"/>
  <c r="A3211"/>
  <c r="B3211" s="1"/>
  <c r="E3434"/>
  <c r="O1844" i="5"/>
  <c r="I2757" i="8"/>
  <c r="G3859"/>
  <c r="A2121"/>
  <c r="A2120"/>
  <c r="A2122"/>
  <c r="R1866" i="5"/>
  <c r="R2923"/>
  <c r="Z1217"/>
  <c r="R373"/>
  <c r="A1139" i="8"/>
  <c r="B1139" s="1"/>
  <c r="B1851" i="5"/>
  <c r="B1879" s="1"/>
  <c r="A3413" i="8"/>
  <c r="B3413" s="1"/>
  <c r="A3415"/>
  <c r="B3415" s="1"/>
  <c r="A3855"/>
  <c r="B3855" s="1"/>
  <c r="A3860"/>
  <c r="B3860" s="1"/>
  <c r="A2495"/>
  <c r="B2495" s="1"/>
  <c r="Z2362" i="5"/>
  <c r="A119" i="8"/>
  <c r="B119" s="1"/>
  <c r="B1853" i="5"/>
  <c r="R452"/>
  <c r="Z2515"/>
  <c r="A728" i="8"/>
  <c r="B728" s="1"/>
  <c r="A1617"/>
  <c r="B1617" s="1"/>
  <c r="A1141"/>
  <c r="B1141" s="1"/>
  <c r="F3201"/>
  <c r="A1718"/>
  <c r="B1718" s="1"/>
  <c r="A2155"/>
  <c r="B2155" s="1"/>
  <c r="B1209" i="5"/>
  <c r="E1213" s="1"/>
  <c r="A3416" i="8"/>
  <c r="B3416" s="1"/>
  <c r="A3419"/>
  <c r="B3419" s="1"/>
  <c r="F3847"/>
  <c r="G3848"/>
  <c r="E510"/>
  <c r="A3311"/>
  <c r="B3311" s="1"/>
  <c r="G3304"/>
  <c r="A2497"/>
  <c r="B2497" s="1"/>
  <c r="E2516"/>
  <c r="B482"/>
  <c r="A3620"/>
  <c r="B3620" s="1"/>
  <c r="O262" i="5"/>
  <c r="A120" i="8"/>
  <c r="B120" s="1"/>
  <c r="A2534"/>
  <c r="B2534" s="1"/>
  <c r="A2055"/>
  <c r="B2055" s="1"/>
  <c r="A2529"/>
  <c r="B2529" s="1"/>
  <c r="A3213"/>
  <c r="B3213" s="1"/>
  <c r="O365" i="5"/>
  <c r="A3210" i="8"/>
  <c r="B3210" s="1"/>
  <c r="Z591" i="5"/>
  <c r="A3623" i="8"/>
  <c r="B3623" s="1"/>
  <c r="E1904"/>
  <c r="A2596"/>
  <c r="B2596" s="1"/>
  <c r="I3743"/>
  <c r="J3859"/>
  <c r="O7" i="5"/>
  <c r="K5" i="4" s="1"/>
  <c r="G448" i="8"/>
  <c r="A459"/>
  <c r="B459" s="1"/>
  <c r="A461"/>
  <c r="B461" s="1"/>
  <c r="R2413" i="5"/>
  <c r="Z1203"/>
  <c r="A2263" i="8"/>
  <c r="B2263" s="1"/>
  <c r="A263" i="10"/>
  <c r="A49"/>
  <c r="A122"/>
  <c r="O875" i="5"/>
  <c r="A321" i="8"/>
  <c r="B321" s="1"/>
  <c r="G1782"/>
  <c r="B889" i="5"/>
  <c r="S887" s="1"/>
  <c r="A731" i="8"/>
  <c r="B731" s="1"/>
  <c r="A2258"/>
  <c r="B2258" s="1"/>
  <c r="A732"/>
  <c r="B732" s="1"/>
  <c r="O1436" i="5"/>
  <c r="A491" i="8"/>
  <c r="F481"/>
  <c r="G720"/>
  <c r="A2261"/>
  <c r="B2261" s="1"/>
  <c r="A175" i="10"/>
  <c r="B2674" i="5"/>
  <c r="E1190" i="8"/>
  <c r="B1211" i="5"/>
  <c r="I1213" s="1"/>
  <c r="A1682" i="8"/>
  <c r="B1682" s="1"/>
  <c r="A2195"/>
  <c r="B2195" s="1"/>
  <c r="A2194"/>
  <c r="B2194" s="1"/>
  <c r="A3622"/>
  <c r="B3622" s="1"/>
  <c r="A3619"/>
  <c r="B3619" s="1"/>
  <c r="F1025"/>
  <c r="A3895"/>
  <c r="B3895" s="1"/>
  <c r="O1384" i="5"/>
  <c r="A324" i="8"/>
  <c r="B324" s="1"/>
  <c r="A2191"/>
  <c r="B2191" s="1"/>
  <c r="A254"/>
  <c r="B254" s="1"/>
  <c r="J50"/>
  <c r="G18"/>
  <c r="E2924"/>
  <c r="A556"/>
  <c r="B556" s="1"/>
  <c r="E1054"/>
  <c r="A800"/>
  <c r="B800" s="1"/>
  <c r="A359"/>
  <c r="B359" s="1"/>
  <c r="A353"/>
  <c r="B353" s="1"/>
  <c r="A357"/>
  <c r="B357" s="1"/>
  <c r="E1700"/>
  <c r="A322"/>
  <c r="B322" s="1"/>
  <c r="A3175"/>
  <c r="B3175" s="1"/>
  <c r="G3168"/>
  <c r="A2188"/>
  <c r="B2188" s="1"/>
  <c r="A2192"/>
  <c r="B2192" s="1"/>
  <c r="A1515"/>
  <c r="B1515" s="1"/>
  <c r="A18" i="10"/>
  <c r="A86"/>
  <c r="E2618" i="8"/>
  <c r="A229" i="10"/>
  <c r="A3893" i="8"/>
  <c r="B3893" s="1"/>
  <c r="A3618"/>
  <c r="B3618" s="1"/>
  <c r="A251"/>
  <c r="B251" s="1"/>
  <c r="O1996" i="5"/>
  <c r="R146"/>
  <c r="F243" i="8"/>
  <c r="G1411"/>
  <c r="J1034"/>
  <c r="J2904"/>
  <c r="J1411"/>
  <c r="G2599"/>
  <c r="J965"/>
  <c r="G525"/>
  <c r="B2741" i="5"/>
  <c r="S2753" s="1"/>
  <c r="A1037" i="8"/>
  <c r="B1037" s="1"/>
  <c r="A1032"/>
  <c r="B1032" s="1"/>
  <c r="A1883"/>
  <c r="B1883" s="1"/>
  <c r="A355"/>
  <c r="B355" s="1"/>
  <c r="A323"/>
  <c r="B323" s="1"/>
  <c r="A3312"/>
  <c r="B3312" s="1"/>
  <c r="A3313"/>
  <c r="B3313" s="1"/>
  <c r="A3179"/>
  <c r="B3179" s="1"/>
  <c r="A2189"/>
  <c r="B2189" s="1"/>
  <c r="A1277"/>
  <c r="B1277" s="1"/>
  <c r="A3617"/>
  <c r="B3617" s="1"/>
  <c r="A3112"/>
  <c r="B3112" s="1"/>
  <c r="A45" i="10"/>
  <c r="A3621" i="8"/>
  <c r="B3621" s="1"/>
  <c r="A2156"/>
  <c r="B2156" s="1"/>
  <c r="A3891"/>
  <c r="B3891" s="1"/>
  <c r="A3892"/>
  <c r="B3892" s="1"/>
  <c r="F2793"/>
  <c r="A3108"/>
  <c r="B3108" s="1"/>
  <c r="A2260"/>
  <c r="B2260" s="1"/>
  <c r="R1458" i="5"/>
  <c r="A2597" i="8"/>
  <c r="B2597" s="1"/>
  <c r="A3894"/>
  <c r="B3894" s="1"/>
  <c r="Z2719" i="5"/>
  <c r="A1716" i="8"/>
  <c r="B1716" s="1"/>
  <c r="O1181" i="5"/>
  <c r="A1713" i="8"/>
  <c r="B1713" s="1"/>
  <c r="A1712"/>
  <c r="B1712" s="1"/>
  <c r="G223"/>
  <c r="J1372"/>
  <c r="G1410"/>
  <c r="G967"/>
  <c r="J1851"/>
  <c r="B2732" i="5"/>
  <c r="S2737" s="1"/>
  <c r="B2257" i="8"/>
  <c r="J2257"/>
  <c r="B175" i="5"/>
  <c r="S173" s="1"/>
  <c r="Z1625"/>
  <c r="B2718"/>
  <c r="B2743" s="1"/>
  <c r="B2725"/>
  <c r="C2743" s="1"/>
  <c r="R758"/>
  <c r="R183"/>
  <c r="E986" i="8"/>
  <c r="A868"/>
  <c r="B868" s="1"/>
  <c r="O3220" i="5"/>
  <c r="F855" i="8"/>
  <c r="R169" i="5"/>
  <c r="G966" i="8"/>
  <c r="J1784"/>
  <c r="G3854"/>
  <c r="B170" i="5"/>
  <c r="F193" s="1"/>
  <c r="B2739"/>
  <c r="E2743" s="1"/>
  <c r="Z2617"/>
  <c r="Z234"/>
  <c r="R730"/>
  <c r="B898"/>
  <c r="H907" s="1"/>
  <c r="R883"/>
  <c r="Z2886"/>
  <c r="I3505" i="8"/>
  <c r="A2262"/>
  <c r="B2262" s="1"/>
  <c r="B2250"/>
  <c r="A862"/>
  <c r="B862" s="1"/>
  <c r="G1876"/>
  <c r="B903" i="5"/>
  <c r="E907" s="1"/>
  <c r="A2053" i="8"/>
  <c r="B2053" s="1"/>
  <c r="E884"/>
  <c r="B2046"/>
  <c r="A2058"/>
  <c r="B2058" s="1"/>
  <c r="A659"/>
  <c r="B659" s="1"/>
  <c r="A3113"/>
  <c r="B3113" s="1"/>
  <c r="A866"/>
  <c r="B866" s="1"/>
  <c r="A2059"/>
  <c r="B2059" s="1"/>
  <c r="A799"/>
  <c r="B799" s="1"/>
  <c r="R1472" i="5"/>
  <c r="A1886" i="8"/>
  <c r="B1886" s="1"/>
  <c r="E4182"/>
  <c r="A865"/>
  <c r="B865" s="1"/>
  <c r="A1882"/>
  <c r="B1882" s="1"/>
  <c r="A801"/>
  <c r="B801" s="1"/>
  <c r="I1805"/>
  <c r="G253"/>
  <c r="G2496"/>
  <c r="J2494"/>
  <c r="J218"/>
  <c r="J221"/>
  <c r="J1410"/>
  <c r="G50"/>
  <c r="J970"/>
  <c r="J1039"/>
  <c r="G1787"/>
  <c r="J14"/>
  <c r="J527"/>
  <c r="G4201"/>
  <c r="J1850"/>
  <c r="G2125"/>
  <c r="J2125"/>
  <c r="G244"/>
  <c r="A255"/>
  <c r="E272"/>
  <c r="A252"/>
  <c r="A250"/>
  <c r="A257"/>
  <c r="G217"/>
  <c r="J1889"/>
  <c r="J2596"/>
  <c r="G1032"/>
  <c r="G13"/>
  <c r="B1093" i="5"/>
  <c r="S1091" s="1"/>
  <c r="A662" i="8"/>
  <c r="B662" s="1"/>
  <c r="A869"/>
  <c r="B869" s="1"/>
  <c r="O161" i="5"/>
  <c r="J488" i="8"/>
  <c r="G2261"/>
  <c r="J47"/>
  <c r="J3861"/>
  <c r="G1848"/>
  <c r="B191" i="5"/>
  <c r="B199" s="1"/>
  <c r="B1858"/>
  <c r="C1876" s="1"/>
  <c r="Z605"/>
  <c r="B891"/>
  <c r="G907" s="1"/>
  <c r="R911"/>
  <c r="R132"/>
  <c r="B905"/>
  <c r="S917" s="1"/>
  <c r="Z2543"/>
  <c r="B1561"/>
  <c r="S1566" s="1"/>
  <c r="B1445"/>
  <c r="F1468" s="1"/>
  <c r="A3482" i="8"/>
  <c r="F2249"/>
  <c r="E2278"/>
  <c r="B1464" i="5"/>
  <c r="L1471" s="1"/>
  <c r="B2586"/>
  <c r="B2594" s="1"/>
  <c r="G788" i="8"/>
  <c r="F1875"/>
  <c r="A1578"/>
  <c r="B1578" s="1"/>
  <c r="AH9" i="5"/>
  <c r="O466"/>
  <c r="I377" i="8"/>
  <c r="A2057"/>
  <c r="B2057" s="1"/>
  <c r="A2054"/>
  <c r="B2054" s="1"/>
  <c r="E4420"/>
  <c r="F957"/>
  <c r="A1885"/>
  <c r="B1885" s="1"/>
  <c r="B168" i="5"/>
  <c r="B193" s="1"/>
  <c r="G2495" i="8"/>
  <c r="G221"/>
  <c r="G53"/>
  <c r="J2597"/>
  <c r="J966"/>
  <c r="G1037"/>
  <c r="J1785"/>
  <c r="G1855"/>
  <c r="G2126"/>
  <c r="G2904"/>
  <c r="G1917"/>
  <c r="J1917"/>
  <c r="J3113"/>
  <c r="G460"/>
  <c r="G458"/>
  <c r="G456"/>
  <c r="G454"/>
  <c r="J460"/>
  <c r="J458"/>
  <c r="J456"/>
  <c r="J454"/>
  <c r="G461"/>
  <c r="G457"/>
  <c r="G455"/>
  <c r="J455"/>
  <c r="J461"/>
  <c r="J457"/>
  <c r="G1140"/>
  <c r="G1138"/>
  <c r="J1135"/>
  <c r="J1140"/>
  <c r="J1138"/>
  <c r="G1136"/>
  <c r="G1134"/>
  <c r="G1139"/>
  <c r="J1136"/>
  <c r="J1134"/>
  <c r="J1139"/>
  <c r="G1135"/>
  <c r="G1985"/>
  <c r="J1985"/>
  <c r="G3202"/>
  <c r="G3214"/>
  <c r="G3212"/>
  <c r="G3210"/>
  <c r="G3208"/>
  <c r="J3215"/>
  <c r="J3214"/>
  <c r="J3212"/>
  <c r="J3210"/>
  <c r="J3208"/>
  <c r="G3215"/>
  <c r="G3213"/>
  <c r="G3211"/>
  <c r="J3211"/>
  <c r="G3678"/>
  <c r="E4284"/>
  <c r="G4268"/>
  <c r="G4266"/>
  <c r="G4264"/>
  <c r="G4262"/>
  <c r="J4268"/>
  <c r="J4266"/>
  <c r="J4264"/>
  <c r="J4262"/>
  <c r="G4269"/>
  <c r="G4267"/>
  <c r="G4265"/>
  <c r="G4263"/>
  <c r="J4263"/>
  <c r="J4265"/>
  <c r="J4267"/>
  <c r="J4269"/>
  <c r="B1536"/>
  <c r="J1548"/>
  <c r="G1548"/>
  <c r="G822"/>
  <c r="J833"/>
  <c r="G830"/>
  <c r="G833"/>
  <c r="J830"/>
  <c r="B4052"/>
  <c r="G1617"/>
  <c r="G1615"/>
  <c r="J1612"/>
  <c r="J1610"/>
  <c r="J1617"/>
  <c r="J1615"/>
  <c r="G1613"/>
  <c r="G1611"/>
  <c r="G1616"/>
  <c r="G1614"/>
  <c r="J1611"/>
  <c r="J1614"/>
  <c r="J1616"/>
  <c r="G1610"/>
  <c r="G1612"/>
  <c r="J121"/>
  <c r="J119"/>
  <c r="G117"/>
  <c r="G115"/>
  <c r="J117"/>
  <c r="J115"/>
  <c r="G118"/>
  <c r="G116"/>
  <c r="G114"/>
  <c r="J114"/>
  <c r="G121"/>
  <c r="J116"/>
  <c r="G119"/>
  <c r="G3270"/>
  <c r="G3278"/>
  <c r="J3278"/>
  <c r="J3551"/>
  <c r="G3551"/>
  <c r="G2194"/>
  <c r="G2192"/>
  <c r="G2190"/>
  <c r="J2193"/>
  <c r="J2194"/>
  <c r="J2192"/>
  <c r="J2190"/>
  <c r="J2195"/>
  <c r="G2195"/>
  <c r="G2193"/>
  <c r="G2189"/>
  <c r="J2191"/>
  <c r="G1718"/>
  <c r="G1714"/>
  <c r="J1719"/>
  <c r="J1718"/>
  <c r="J1714"/>
  <c r="J1715"/>
  <c r="G1719"/>
  <c r="G1717"/>
  <c r="G1715"/>
  <c r="G1713"/>
  <c r="B2964"/>
  <c r="G1298"/>
  <c r="G2454"/>
  <c r="G2466"/>
  <c r="G2464"/>
  <c r="G2462"/>
  <c r="G2460"/>
  <c r="J2463"/>
  <c r="J2466"/>
  <c r="J2464"/>
  <c r="J2462"/>
  <c r="J2460"/>
  <c r="J2465"/>
  <c r="G2467"/>
  <c r="G2465"/>
  <c r="G2463"/>
  <c r="G2461"/>
  <c r="J2467"/>
  <c r="J2461"/>
  <c r="B4392"/>
  <c r="G4399"/>
  <c r="J4399"/>
  <c r="B2080"/>
  <c r="G754"/>
  <c r="G3406"/>
  <c r="G3418"/>
  <c r="G3414"/>
  <c r="G3412"/>
  <c r="J3419"/>
  <c r="J3418"/>
  <c r="J3416"/>
  <c r="J3414"/>
  <c r="J3412"/>
  <c r="G3419"/>
  <c r="G3417"/>
  <c r="J3417"/>
  <c r="B3236"/>
  <c r="G1162"/>
  <c r="J1175"/>
  <c r="G1174"/>
  <c r="G1175"/>
  <c r="J1174"/>
  <c r="B4324"/>
  <c r="G4332"/>
  <c r="J4332"/>
  <c r="G3066"/>
  <c r="G4222"/>
  <c r="G392"/>
  <c r="G2256"/>
  <c r="J15"/>
  <c r="Z1611" i="5"/>
  <c r="A4162" i="8"/>
  <c r="B4162" s="1"/>
  <c r="A1987"/>
  <c r="B1987" s="1"/>
  <c r="A1581"/>
  <c r="B1581" s="1"/>
  <c r="G1196"/>
  <c r="A3549"/>
  <c r="B3549" s="1"/>
  <c r="A4127"/>
  <c r="B4127" s="1"/>
  <c r="A3110"/>
  <c r="B3110" s="1"/>
  <c r="A3109"/>
  <c r="B3109" s="1"/>
  <c r="B1570"/>
  <c r="A1580"/>
  <c r="B1580" s="1"/>
  <c r="A3554"/>
  <c r="B3554" s="1"/>
  <c r="O1231" i="5"/>
  <c r="A3107" i="8"/>
  <c r="B3107" s="1"/>
  <c r="A3140"/>
  <c r="B3140" s="1"/>
  <c r="A1579"/>
  <c r="B1579" s="1"/>
  <c r="G489"/>
  <c r="J494"/>
  <c r="G490"/>
  <c r="J489"/>
  <c r="J2501"/>
  <c r="G2501"/>
  <c r="G1102"/>
  <c r="J216"/>
  <c r="G222"/>
  <c r="J219"/>
  <c r="G2259"/>
  <c r="J2256"/>
  <c r="J2261"/>
  <c r="G1889"/>
  <c r="G1409"/>
  <c r="J1408"/>
  <c r="G1408"/>
  <c r="G48"/>
  <c r="J52"/>
  <c r="J53"/>
  <c r="G51"/>
  <c r="G2597"/>
  <c r="J968"/>
  <c r="G964"/>
  <c r="G971"/>
  <c r="J971"/>
  <c r="J3453"/>
  <c r="J1032"/>
  <c r="G1035"/>
  <c r="G1038"/>
  <c r="J1781"/>
  <c r="G1785"/>
  <c r="J1782"/>
  <c r="G1780"/>
  <c r="G16"/>
  <c r="J13"/>
  <c r="J18"/>
  <c r="G19"/>
  <c r="J529"/>
  <c r="G523"/>
  <c r="J522"/>
  <c r="G522"/>
  <c r="J3855"/>
  <c r="G3861"/>
  <c r="J3860"/>
  <c r="G3860"/>
  <c r="J3485"/>
  <c r="J664"/>
  <c r="J659"/>
  <c r="G1853"/>
  <c r="J1848"/>
  <c r="J1855"/>
  <c r="G1854"/>
  <c r="G2123"/>
  <c r="J2127"/>
  <c r="J2126"/>
  <c r="G2124"/>
  <c r="G320"/>
  <c r="G318"/>
  <c r="J320"/>
  <c r="J318"/>
  <c r="G325"/>
  <c r="G319"/>
  <c r="J319"/>
  <c r="J325"/>
  <c r="G4086"/>
  <c r="J901"/>
  <c r="G901"/>
  <c r="G4426"/>
  <c r="G1344"/>
  <c r="G1342"/>
  <c r="G1340"/>
  <c r="G1338"/>
  <c r="J1344"/>
  <c r="J1342"/>
  <c r="J1340"/>
  <c r="J1338"/>
  <c r="G1345"/>
  <c r="G1343"/>
  <c r="G1341"/>
  <c r="G1339"/>
  <c r="J1341"/>
  <c r="J1343"/>
  <c r="J1339"/>
  <c r="J1345"/>
  <c r="G2862"/>
  <c r="J1515"/>
  <c r="J1513"/>
  <c r="G1515"/>
  <c r="G1512"/>
  <c r="J1512"/>
  <c r="G1513"/>
  <c r="G1578"/>
  <c r="G1576"/>
  <c r="J1576"/>
  <c r="J1821"/>
  <c r="J1819"/>
  <c r="J1817"/>
  <c r="J1815"/>
  <c r="G1820"/>
  <c r="G1818"/>
  <c r="G1816"/>
  <c r="G1814"/>
  <c r="J1820"/>
  <c r="J1818"/>
  <c r="J1816"/>
  <c r="J1814"/>
  <c r="G1819"/>
  <c r="G1817"/>
  <c r="G1821"/>
  <c r="G1815"/>
  <c r="G414"/>
  <c r="F4017"/>
  <c r="G2930"/>
  <c r="G74"/>
  <c r="G3746"/>
  <c r="B2352"/>
  <c r="G3950"/>
  <c r="G2386"/>
  <c r="G3338"/>
  <c r="G867"/>
  <c r="J867"/>
  <c r="G868"/>
  <c r="G864"/>
  <c r="J864"/>
  <c r="G216"/>
  <c r="G2564"/>
  <c r="G3855"/>
  <c r="A3759"/>
  <c r="B3759" s="1"/>
  <c r="I4389"/>
  <c r="A4126"/>
  <c r="B4126" s="1"/>
  <c r="A1577"/>
  <c r="B1577" s="1"/>
  <c r="A3146"/>
  <c r="B3146" s="1"/>
  <c r="A3147"/>
  <c r="B3147" s="1"/>
  <c r="A1583"/>
  <c r="B1583" s="1"/>
  <c r="J118"/>
  <c r="J492"/>
  <c r="G488"/>
  <c r="G493"/>
  <c r="J495"/>
  <c r="J251"/>
  <c r="J256"/>
  <c r="G256"/>
  <c r="J2499"/>
  <c r="J1102"/>
  <c r="G219"/>
  <c r="J222"/>
  <c r="G220"/>
  <c r="J217"/>
  <c r="G2257"/>
  <c r="J2259"/>
  <c r="G1372"/>
  <c r="J1683"/>
  <c r="G1683"/>
  <c r="G1883"/>
  <c r="J1407"/>
  <c r="G1407"/>
  <c r="J1406"/>
  <c r="G1406"/>
  <c r="J48"/>
  <c r="J51"/>
  <c r="G49"/>
  <c r="J2599"/>
  <c r="G2596"/>
  <c r="G969"/>
  <c r="G970"/>
  <c r="J969"/>
  <c r="G1039"/>
  <c r="J1038"/>
  <c r="G1036"/>
  <c r="J1035"/>
  <c r="G1783"/>
  <c r="J1780"/>
  <c r="J1787"/>
  <c r="G1786"/>
  <c r="G14"/>
  <c r="J16"/>
  <c r="J19"/>
  <c r="G17"/>
  <c r="J523"/>
  <c r="G529"/>
  <c r="J528"/>
  <c r="G528"/>
  <c r="J3857"/>
  <c r="J3858"/>
  <c r="G3858"/>
  <c r="G1851"/>
  <c r="J1853"/>
  <c r="J1854"/>
  <c r="G1852"/>
  <c r="J2124"/>
  <c r="G2909"/>
  <c r="J2909"/>
  <c r="G2705"/>
  <c r="G2703"/>
  <c r="J2700"/>
  <c r="J2698"/>
  <c r="J2705"/>
  <c r="J2703"/>
  <c r="G2701"/>
  <c r="G2699"/>
  <c r="G2704"/>
  <c r="G2702"/>
  <c r="J2699"/>
  <c r="J2704"/>
  <c r="G2698"/>
  <c r="G2700"/>
  <c r="J2702"/>
  <c r="G3144"/>
  <c r="J3144"/>
  <c r="J2155"/>
  <c r="G2160"/>
  <c r="G2158"/>
  <c r="J2160"/>
  <c r="J2158"/>
  <c r="J2156"/>
  <c r="G2155"/>
  <c r="B584"/>
  <c r="G595"/>
  <c r="J595"/>
  <c r="J3316"/>
  <c r="J3314"/>
  <c r="J3312"/>
  <c r="J3310"/>
  <c r="G3317"/>
  <c r="G3315"/>
  <c r="G3313"/>
  <c r="G3311"/>
  <c r="J3317"/>
  <c r="J3315"/>
  <c r="J3313"/>
  <c r="J3311"/>
  <c r="G3310"/>
  <c r="G3312"/>
  <c r="G3314"/>
  <c r="G3316"/>
  <c r="G1003"/>
  <c r="J1003"/>
  <c r="G1004"/>
  <c r="J1004"/>
  <c r="G3622"/>
  <c r="G3620"/>
  <c r="G3616"/>
  <c r="J3622"/>
  <c r="J3620"/>
  <c r="J3616"/>
  <c r="J3617"/>
  <c r="G3623"/>
  <c r="G3621"/>
  <c r="G3617"/>
  <c r="J3621"/>
  <c r="G1480"/>
  <c r="G1478"/>
  <c r="G1476"/>
  <c r="G1474"/>
  <c r="J1480"/>
  <c r="J1478"/>
  <c r="J1476"/>
  <c r="J1474"/>
  <c r="G1481"/>
  <c r="G1479"/>
  <c r="G1477"/>
  <c r="G1475"/>
  <c r="J1477"/>
  <c r="J1475"/>
  <c r="J1479"/>
  <c r="J1481"/>
  <c r="G4130"/>
  <c r="J4130"/>
  <c r="J4126"/>
  <c r="G4129"/>
  <c r="G4127"/>
  <c r="J4129"/>
  <c r="B3712"/>
  <c r="G2058"/>
  <c r="G2056"/>
  <c r="G2052"/>
  <c r="J2059"/>
  <c r="J2056"/>
  <c r="J2054"/>
  <c r="J2052"/>
  <c r="J2055"/>
  <c r="G2057"/>
  <c r="G2055"/>
  <c r="J3521"/>
  <c r="J3519"/>
  <c r="J3517"/>
  <c r="J3515"/>
  <c r="G3520"/>
  <c r="G3518"/>
  <c r="G3516"/>
  <c r="G3514"/>
  <c r="J3520"/>
  <c r="J3518"/>
  <c r="J3516"/>
  <c r="J3514"/>
  <c r="G3515"/>
  <c r="G3517"/>
  <c r="G3519"/>
  <c r="G3521"/>
  <c r="G3996"/>
  <c r="G3994"/>
  <c r="G3992"/>
  <c r="G3990"/>
  <c r="J3996"/>
  <c r="J3994"/>
  <c r="J3992"/>
  <c r="J3990"/>
  <c r="G3997"/>
  <c r="G3995"/>
  <c r="G3993"/>
  <c r="G3991"/>
  <c r="J3991"/>
  <c r="J3993"/>
  <c r="J3995"/>
  <c r="J3997"/>
  <c r="G1650"/>
  <c r="J1647"/>
  <c r="J1645"/>
  <c r="J1649"/>
  <c r="J1650"/>
  <c r="G1648"/>
  <c r="G1646"/>
  <c r="G1644"/>
  <c r="G1647"/>
  <c r="G1651"/>
  <c r="G1649"/>
  <c r="J1646"/>
  <c r="J1644"/>
  <c r="J1651"/>
  <c r="G1645"/>
  <c r="J3892"/>
  <c r="J3890"/>
  <c r="J3888"/>
  <c r="G3890"/>
  <c r="G3895"/>
  <c r="G3889"/>
  <c r="J3895"/>
  <c r="J3889"/>
  <c r="G3888"/>
  <c r="E578"/>
  <c r="G562"/>
  <c r="G558"/>
  <c r="G556"/>
  <c r="J562"/>
  <c r="J558"/>
  <c r="J556"/>
  <c r="G1202"/>
  <c r="J1202"/>
  <c r="B1264"/>
  <c r="G1277"/>
  <c r="G1273"/>
  <c r="J1273"/>
  <c r="J1277"/>
  <c r="G2534"/>
  <c r="G2530"/>
  <c r="G2528"/>
  <c r="J2531"/>
  <c r="J2534"/>
  <c r="J2530"/>
  <c r="J2528"/>
  <c r="G2535"/>
  <c r="G2533"/>
  <c r="G2531"/>
  <c r="J2533"/>
  <c r="G2738"/>
  <c r="G2736"/>
  <c r="G2734"/>
  <c r="G2732"/>
  <c r="J2739"/>
  <c r="J2733"/>
  <c r="J2738"/>
  <c r="J2736"/>
  <c r="J2734"/>
  <c r="J2732"/>
  <c r="J2735"/>
  <c r="G2739"/>
  <c r="G2737"/>
  <c r="G2735"/>
  <c r="G2733"/>
  <c r="J2737"/>
  <c r="G732"/>
  <c r="G730"/>
  <c r="G728"/>
  <c r="J728"/>
  <c r="J730"/>
  <c r="J732"/>
  <c r="B3576"/>
  <c r="J801"/>
  <c r="G798"/>
  <c r="G794"/>
  <c r="J798"/>
  <c r="J794"/>
  <c r="G346"/>
  <c r="J357"/>
  <c r="J353"/>
  <c r="G357"/>
  <c r="G353"/>
  <c r="G358"/>
  <c r="G356"/>
  <c r="G354"/>
  <c r="G352"/>
  <c r="G359"/>
  <c r="J358"/>
  <c r="J356"/>
  <c r="J354"/>
  <c r="J352"/>
  <c r="G1434"/>
  <c r="F3167"/>
  <c r="J3180"/>
  <c r="J3178"/>
  <c r="J3176"/>
  <c r="J3174"/>
  <c r="G3181"/>
  <c r="G3177"/>
  <c r="G3175"/>
  <c r="J3181"/>
  <c r="J3177"/>
  <c r="J3175"/>
  <c r="G3174"/>
  <c r="G3176"/>
  <c r="G3178"/>
  <c r="G3180"/>
  <c r="G2998"/>
  <c r="J387"/>
  <c r="J392"/>
  <c r="J2564"/>
  <c r="J524"/>
  <c r="G524"/>
  <c r="B1190" i="5"/>
  <c r="B1218" s="1"/>
  <c r="B1204"/>
  <c r="H1213" s="1"/>
  <c r="F379" i="8"/>
  <c r="B1910"/>
  <c r="B1197" i="5"/>
  <c r="G1213" s="1"/>
  <c r="G1264" i="8"/>
  <c r="G652"/>
  <c r="A1923"/>
  <c r="B1923" s="1"/>
  <c r="B1332"/>
  <c r="B444" i="5"/>
  <c r="L444" s="1"/>
  <c r="A1203" i="8"/>
  <c r="B1203" s="1"/>
  <c r="A1276"/>
  <c r="B1276" s="1"/>
  <c r="B896" i="5"/>
  <c r="D907" s="1"/>
  <c r="A1270" i="8"/>
  <c r="B1270" s="1"/>
  <c r="G4154"/>
  <c r="F1331"/>
  <c r="A1271"/>
  <c r="B1271" s="1"/>
  <c r="A658"/>
  <c r="A1582"/>
  <c r="B1582" s="1"/>
  <c r="A3111"/>
  <c r="B3111" s="1"/>
  <c r="A3106"/>
  <c r="B3106" s="1"/>
  <c r="J1648"/>
  <c r="J1137"/>
  <c r="J1613"/>
  <c r="J490"/>
  <c r="G495"/>
  <c r="G494"/>
  <c r="J493"/>
  <c r="J253"/>
  <c r="J254"/>
  <c r="G254"/>
  <c r="G2494"/>
  <c r="G2497"/>
  <c r="J2496"/>
  <c r="G387"/>
  <c r="J220"/>
  <c r="G218"/>
  <c r="J1883"/>
  <c r="J1409"/>
  <c r="J1412"/>
  <c r="G1412"/>
  <c r="G52"/>
  <c r="J49"/>
  <c r="G47"/>
  <c r="J964"/>
  <c r="G965"/>
  <c r="G968"/>
  <c r="J967"/>
  <c r="G3453"/>
  <c r="G1033"/>
  <c r="J1036"/>
  <c r="G1034"/>
  <c r="J1033"/>
  <c r="G1781"/>
  <c r="J1783"/>
  <c r="J1786"/>
  <c r="G1784"/>
  <c r="G12"/>
  <c r="J12"/>
  <c r="J17"/>
  <c r="G15"/>
  <c r="J2635"/>
  <c r="G2635"/>
  <c r="J525"/>
  <c r="G527"/>
  <c r="G3857"/>
  <c r="J3856"/>
  <c r="G3856"/>
  <c r="G3481"/>
  <c r="J3481"/>
  <c r="G3482"/>
  <c r="J4201"/>
  <c r="G664"/>
  <c r="G1849"/>
  <c r="J1849"/>
  <c r="J1852"/>
  <c r="G1850"/>
  <c r="J2123"/>
  <c r="G2127"/>
  <c r="A726"/>
  <c r="B726" s="1"/>
  <c r="A727"/>
  <c r="B727" s="1"/>
  <c r="A733"/>
  <c r="B733" s="1"/>
  <c r="A729"/>
  <c r="B729" s="1"/>
  <c r="A1508"/>
  <c r="B1508" s="1"/>
  <c r="A1509"/>
  <c r="B1509" s="1"/>
  <c r="A899"/>
  <c r="B899" s="1"/>
  <c r="A902"/>
  <c r="B902" s="1"/>
  <c r="A2600"/>
  <c r="A2601"/>
  <c r="G856"/>
  <c r="A863"/>
  <c r="B863" s="1"/>
  <c r="I4083"/>
  <c r="I4117"/>
  <c r="A4230"/>
  <c r="B4230" s="1"/>
  <c r="A3449"/>
  <c r="A897"/>
  <c r="B897" s="1"/>
  <c r="F3439"/>
  <c r="A3452"/>
  <c r="B2590"/>
  <c r="A2603"/>
  <c r="B1502"/>
  <c r="A1510"/>
  <c r="B1510" s="1"/>
  <c r="A1511"/>
  <c r="B1511" s="1"/>
  <c r="B3134"/>
  <c r="A3145"/>
  <c r="B3145" s="1"/>
  <c r="A3143"/>
  <c r="B3143" s="1"/>
  <c r="A3141"/>
  <c r="B3141" s="1"/>
  <c r="A3142"/>
  <c r="B3142" s="1"/>
  <c r="B189" i="5"/>
  <c r="L189" s="1"/>
  <c r="Z2186"/>
  <c r="B182"/>
  <c r="S187" s="1"/>
  <c r="B1865"/>
  <c r="D1876" s="1"/>
  <c r="B1466"/>
  <c r="L1473" s="1"/>
  <c r="A389" i="8"/>
  <c r="E3502"/>
  <c r="A4235"/>
  <c r="B4235" s="1"/>
  <c r="AH43" i="5"/>
  <c r="B3168" i="8"/>
  <c r="F2589"/>
  <c r="A1514"/>
  <c r="B1514" s="1"/>
  <c r="A900"/>
  <c r="B900" s="1"/>
  <c r="A2602"/>
  <c r="A2598"/>
  <c r="O1895" i="5"/>
  <c r="O2048"/>
  <c r="Z475"/>
  <c r="B2630"/>
  <c r="S2635" s="1"/>
  <c r="B2324"/>
  <c r="D2335" s="1"/>
  <c r="R2339"/>
  <c r="O1385"/>
  <c r="O2201"/>
  <c r="O1079"/>
  <c r="O1130"/>
  <c r="B1821"/>
  <c r="S1833" s="1"/>
  <c r="O59"/>
  <c r="O3272"/>
  <c r="O671"/>
  <c r="O926"/>
  <c r="O1946"/>
  <c r="O2864"/>
  <c r="O1334"/>
  <c r="O2303"/>
  <c r="R3039"/>
  <c r="O3017"/>
  <c r="R1662"/>
  <c r="O1640"/>
  <c r="R1625"/>
  <c r="O1589"/>
  <c r="R554"/>
  <c r="O518"/>
  <c r="R3127"/>
  <c r="O3119"/>
  <c r="B2384"/>
  <c r="I2386" s="1"/>
  <c r="O3221"/>
  <c r="O2915"/>
  <c r="O2813"/>
  <c r="O3068"/>
  <c r="B2567"/>
  <c r="F2590" s="1"/>
  <c r="B1763"/>
  <c r="S1768" s="1"/>
  <c r="O1997"/>
  <c r="O2966"/>
  <c r="R67"/>
  <c r="O1793"/>
  <c r="O2099"/>
  <c r="O1028"/>
  <c r="O1742"/>
  <c r="O2660"/>
  <c r="O1232"/>
  <c r="O2558"/>
  <c r="O2456"/>
  <c r="O1538"/>
  <c r="O2252"/>
  <c r="O110"/>
  <c r="R248"/>
  <c r="O212"/>
  <c r="R503"/>
  <c r="O467"/>
  <c r="B592"/>
  <c r="H601" s="1"/>
  <c r="O569"/>
  <c r="R860"/>
  <c r="O824"/>
  <c r="R3192"/>
  <c r="O3170"/>
  <c r="O722"/>
  <c r="O773"/>
  <c r="O2150"/>
  <c r="B3249"/>
  <c r="S3261" s="1"/>
  <c r="Z985"/>
  <c r="O2609"/>
  <c r="Z948"/>
  <c r="R3053"/>
  <c r="B344"/>
  <c r="B352" s="1"/>
  <c r="O977"/>
  <c r="B2382"/>
  <c r="L2382" s="1"/>
  <c r="O1283"/>
  <c r="O2354"/>
  <c r="O314"/>
  <c r="O2405"/>
  <c r="O416"/>
  <c r="O3323"/>
  <c r="O620"/>
  <c r="O2762"/>
  <c r="O1487"/>
  <c r="R2427"/>
  <c r="R948"/>
  <c r="B3091"/>
  <c r="S3096" s="1"/>
  <c r="B2011"/>
  <c r="S2009" s="1"/>
  <c r="B1399"/>
  <c r="C1417" s="1"/>
  <c r="Z2237"/>
  <c r="B2574"/>
  <c r="G2590" s="1"/>
  <c r="Z2033"/>
  <c r="B840"/>
  <c r="S838" s="1"/>
  <c r="B833"/>
  <c r="B861" s="1"/>
  <c r="Z3025"/>
  <c r="Z2223"/>
  <c r="B527"/>
  <c r="F550" s="1"/>
  <c r="B1042"/>
  <c r="C1060" s="1"/>
  <c r="Z1305"/>
  <c r="R81"/>
  <c r="R2019"/>
  <c r="Z3331"/>
  <c r="R3141"/>
  <c r="B3191"/>
  <c r="S3196" s="1"/>
  <c r="B1605"/>
  <c r="G1621" s="1"/>
  <c r="R2070"/>
  <c r="B1408"/>
  <c r="H1417" s="1"/>
  <c r="B1392"/>
  <c r="B1417" s="1"/>
  <c r="Z2441"/>
  <c r="Z1319"/>
  <c r="Z1495"/>
  <c r="Z1421"/>
  <c r="Z1829"/>
  <c r="B3133"/>
  <c r="S3131" s="1"/>
  <c r="B525"/>
  <c r="B553" s="1"/>
  <c r="R1101"/>
  <c r="B1413"/>
  <c r="S1425" s="1"/>
  <c r="B140"/>
  <c r="I142" s="1"/>
  <c r="B539"/>
  <c r="D550" s="1"/>
  <c r="B548"/>
  <c r="L555" s="1"/>
  <c r="B1603"/>
  <c r="C1621" s="1"/>
  <c r="B3351"/>
  <c r="S3363" s="1"/>
  <c r="R1611"/>
  <c r="R846"/>
  <c r="B2317"/>
  <c r="C2335" s="1"/>
  <c r="B1568"/>
  <c r="L1568" s="1"/>
  <c r="B854"/>
  <c r="L861" s="1"/>
  <c r="B3179"/>
  <c r="B3207" s="1"/>
  <c r="B3230"/>
  <c r="F3253" s="1"/>
  <c r="R934"/>
  <c r="Z146"/>
  <c r="B2062"/>
  <c r="C2080" s="1"/>
  <c r="B3330"/>
  <c r="B3358" s="1"/>
  <c r="Z1648"/>
  <c r="B2433"/>
  <c r="E2437" s="1"/>
  <c r="B534"/>
  <c r="G550" s="1"/>
  <c r="R1597"/>
  <c r="R3025"/>
  <c r="Z1801"/>
  <c r="R679"/>
  <c r="B1612"/>
  <c r="S1617" s="1"/>
  <c r="B1758"/>
  <c r="S1756" s="1"/>
  <c r="Z1013"/>
  <c r="B2331"/>
  <c r="L2331" s="1"/>
  <c r="Z1982"/>
  <c r="B3198"/>
  <c r="L3205" s="1"/>
  <c r="Z3308"/>
  <c r="B1364"/>
  <c r="L1364" s="1"/>
  <c r="B2310"/>
  <c r="B2335" s="1"/>
  <c r="B1962"/>
  <c r="S1960" s="1"/>
  <c r="R3206"/>
  <c r="B3177"/>
  <c r="B3202" s="1"/>
  <c r="B2419"/>
  <c r="S2417" s="1"/>
  <c r="B1619"/>
  <c r="I1621" s="1"/>
  <c r="Z132"/>
  <c r="B3353"/>
  <c r="B3361" s="1"/>
  <c r="Z503"/>
  <c r="Z2784"/>
  <c r="B138"/>
  <c r="L145" s="1"/>
  <c r="B1297"/>
  <c r="C1315" s="1"/>
  <c r="R707"/>
  <c r="B2414"/>
  <c r="F2437" s="1"/>
  <c r="B986"/>
  <c r="B1014" s="1"/>
  <c r="B1918"/>
  <c r="S1923" s="1"/>
  <c r="B2215"/>
  <c r="C2233" s="1"/>
  <c r="B2361"/>
  <c r="B2386" s="1"/>
  <c r="B949"/>
  <c r="H958" s="1"/>
  <c r="S1705"/>
  <c r="A1173" i="8"/>
  <c r="B1173" s="1"/>
  <c r="A1172"/>
  <c r="B1172" s="1"/>
  <c r="O3169" i="5"/>
  <c r="AH63"/>
  <c r="B956"/>
  <c r="L963" s="1"/>
  <c r="B2377"/>
  <c r="H2386" s="1"/>
  <c r="R2376"/>
  <c r="R809"/>
  <c r="G2556" i="8"/>
  <c r="A2902"/>
  <c r="A3752"/>
  <c r="B3752" s="1"/>
  <c r="A832"/>
  <c r="B832" s="1"/>
  <c r="A4161"/>
  <c r="B4161" s="1"/>
  <c r="B2370" i="5"/>
  <c r="G2386" s="1"/>
  <c r="B286"/>
  <c r="H295" s="1"/>
  <c r="A1919" i="8"/>
  <c r="B1919" s="1"/>
  <c r="A3446"/>
  <c r="A4232"/>
  <c r="B4232" s="1"/>
  <c r="A1106"/>
  <c r="O3067" i="5"/>
  <c r="B3186"/>
  <c r="S3184" s="1"/>
  <c r="B2027"/>
  <c r="S2039" s="1"/>
  <c r="B1401"/>
  <c r="G1417" s="1"/>
  <c r="R2362"/>
  <c r="B2669"/>
  <c r="B2697" s="1"/>
  <c r="Z1393"/>
  <c r="B2690"/>
  <c r="B2698" s="1"/>
  <c r="A1275" i="8"/>
  <c r="B1275" s="1"/>
  <c r="A1542"/>
  <c r="B1542" s="1"/>
  <c r="A4164"/>
  <c r="B4164" s="1"/>
  <c r="A4160"/>
  <c r="B4160" s="1"/>
  <c r="F4153"/>
  <c r="A1920"/>
  <c r="B1920" s="1"/>
  <c r="A3451"/>
  <c r="A2907"/>
  <c r="AH42" i="5"/>
  <c r="A1169" i="8"/>
  <c r="B1169" s="1"/>
  <c r="F1161"/>
  <c r="A1681"/>
  <c r="A1678"/>
  <c r="G1672"/>
  <c r="A4229"/>
  <c r="B4229" s="1"/>
  <c r="A4231"/>
  <c r="B4231" s="1"/>
  <c r="A1207"/>
  <c r="B1207" s="1"/>
  <c r="A1105"/>
  <c r="A1103"/>
  <c r="A1272"/>
  <c r="B1272" s="1"/>
  <c r="A2908"/>
  <c r="F3779"/>
  <c r="E1394"/>
  <c r="A1107"/>
  <c r="A1206"/>
  <c r="B1206" s="1"/>
  <c r="E4250"/>
  <c r="A2159"/>
  <c r="B2159" s="1"/>
  <c r="B2333" i="5"/>
  <c r="S2345" s="1"/>
  <c r="A3448" i="8"/>
  <c r="E2482"/>
  <c r="A1884"/>
  <c r="A1887"/>
  <c r="A1888"/>
  <c r="A795"/>
  <c r="B795" s="1"/>
  <c r="A796"/>
  <c r="B796" s="1"/>
  <c r="A797"/>
  <c r="B797" s="1"/>
  <c r="AH46" i="5"/>
  <c r="O2302"/>
  <c r="B1501"/>
  <c r="C1519" s="1"/>
  <c r="B2683"/>
  <c r="H2692" s="1"/>
  <c r="R2696"/>
  <c r="A4167" i="8"/>
  <c r="B4167" s="1"/>
  <c r="B4154"/>
  <c r="A4234"/>
  <c r="B4234" s="1"/>
  <c r="B1976" i="5"/>
  <c r="B1984" s="1"/>
  <c r="A1684" i="8"/>
  <c r="A1680"/>
  <c r="A4228"/>
  <c r="B4228" s="1"/>
  <c r="A1209"/>
  <c r="B1209" s="1"/>
  <c r="A1204"/>
  <c r="B1204" s="1"/>
  <c r="B1094"/>
  <c r="A2905"/>
  <c r="A1376"/>
  <c r="F4221"/>
  <c r="A3450"/>
  <c r="B3184" i="5"/>
  <c r="C3202" s="1"/>
  <c r="B2222"/>
  <c r="S2227" s="1"/>
  <c r="B1394"/>
  <c r="F1417" s="1"/>
  <c r="B2375"/>
  <c r="D2386" s="1"/>
  <c r="R781"/>
  <c r="B1037"/>
  <c r="B1065" s="1"/>
  <c r="B2676"/>
  <c r="S2674" s="1"/>
  <c r="B3193"/>
  <c r="S3198" s="1"/>
  <c r="B2982"/>
  <c r="S2980" s="1"/>
  <c r="B2973"/>
  <c r="B2998" s="1"/>
  <c r="G2148" i="8"/>
  <c r="A1984"/>
  <c r="B1984" s="1"/>
  <c r="A2903"/>
  <c r="A3754"/>
  <c r="B3754" s="1"/>
  <c r="A829"/>
  <c r="B829" s="1"/>
  <c r="A4163"/>
  <c r="B4163" s="1"/>
  <c r="A557"/>
  <c r="B557" s="1"/>
  <c r="B550"/>
  <c r="AH59" i="5"/>
  <c r="B3200"/>
  <c r="I3202" s="1"/>
  <c r="B2231"/>
  <c r="I2233" s="1"/>
  <c r="R3178"/>
  <c r="Z2005"/>
  <c r="R2135"/>
  <c r="B372"/>
  <c r="B400" s="1"/>
  <c r="B1406"/>
  <c r="D1417" s="1"/>
  <c r="B1415"/>
  <c r="I1417" s="1"/>
  <c r="B2368"/>
  <c r="C2386" s="1"/>
  <c r="B935"/>
  <c r="B963" s="1"/>
  <c r="B3147"/>
  <c r="L3147" s="1"/>
  <c r="R3155"/>
  <c r="R2668"/>
  <c r="B2688"/>
  <c r="E2692" s="1"/>
  <c r="B2929"/>
  <c r="S2927" s="1"/>
  <c r="A2161" i="8"/>
  <c r="B2161" s="1"/>
  <c r="B1756" i="5"/>
  <c r="S1754" s="1"/>
  <c r="B2018"/>
  <c r="S2023" s="1"/>
  <c r="A1274" i="8"/>
  <c r="B1274" s="1"/>
  <c r="E3230"/>
  <c r="A2906"/>
  <c r="G2896"/>
  <c r="A835"/>
  <c r="B835" s="1"/>
  <c r="A560"/>
  <c r="B560" s="1"/>
  <c r="A2154"/>
  <c r="B2154" s="1"/>
  <c r="A3447"/>
  <c r="G3440"/>
  <c r="B1162"/>
  <c r="A1168"/>
  <c r="B1168" s="1"/>
  <c r="A1170"/>
  <c r="B1170" s="1"/>
  <c r="A1171"/>
  <c r="B1171" s="1"/>
  <c r="F1671"/>
  <c r="A1685"/>
  <c r="A1679"/>
  <c r="A4233"/>
  <c r="B4233" s="1"/>
  <c r="I819"/>
  <c r="E1122"/>
  <c r="R2311" i="5"/>
  <c r="B2667"/>
  <c r="B2692" s="1"/>
  <c r="A2157" i="8"/>
  <c r="B2157" s="1"/>
  <c r="E3468"/>
  <c r="B2996" i="5"/>
  <c r="L3003" s="1"/>
  <c r="B2013"/>
  <c r="G2029" s="1"/>
  <c r="E1768" i="8"/>
  <c r="B838" i="5"/>
  <c r="S836" s="1"/>
  <c r="B3140"/>
  <c r="D3151" s="1"/>
  <c r="Z795"/>
  <c r="B330"/>
  <c r="S328" s="1"/>
  <c r="B119"/>
  <c r="F142" s="1"/>
  <c r="B2025"/>
  <c r="B2033" s="1"/>
  <c r="Z3141"/>
  <c r="B590"/>
  <c r="S595" s="1"/>
  <c r="B1304"/>
  <c r="S1309" s="1"/>
  <c r="B124"/>
  <c r="C142" s="1"/>
  <c r="AH17"/>
  <c r="G992" i="8"/>
  <c r="B439" i="5"/>
  <c r="H448" s="1"/>
  <c r="I1533" i="8"/>
  <c r="B2229" i="5"/>
  <c r="L2229" s="1"/>
  <c r="B597"/>
  <c r="B605" s="1"/>
  <c r="B1290"/>
  <c r="B1315" s="1"/>
  <c r="B1058"/>
  <c r="S1070" s="1"/>
  <c r="S34"/>
  <c r="A2634" i="8"/>
  <c r="A2631"/>
  <c r="A2637"/>
  <c r="A2630"/>
  <c r="A2633"/>
  <c r="A2636"/>
  <c r="I581"/>
  <c r="I547"/>
  <c r="A4029"/>
  <c r="B4029" s="1"/>
  <c r="A4028"/>
  <c r="B4028" s="1"/>
  <c r="A4026"/>
  <c r="B4026" s="1"/>
  <c r="B4018"/>
  <c r="A4030"/>
  <c r="B4030" s="1"/>
  <c r="A4027"/>
  <c r="B4027" s="1"/>
  <c r="A4025"/>
  <c r="B4025" s="1"/>
  <c r="A4031"/>
  <c r="B4031" s="1"/>
  <c r="A4024"/>
  <c r="B4024" s="1"/>
  <c r="I1431"/>
  <c r="I1465"/>
  <c r="B4256"/>
  <c r="F4255"/>
  <c r="A1205"/>
  <c r="B1205" s="1"/>
  <c r="A1208"/>
  <c r="B1208" s="1"/>
  <c r="O160" i="5"/>
  <c r="AH4"/>
  <c r="AH39"/>
  <c r="O1945"/>
  <c r="Z3039"/>
  <c r="B2472"/>
  <c r="G2488" s="1"/>
  <c r="B2208"/>
  <c r="B2236" s="1"/>
  <c r="B1056"/>
  <c r="L1063" s="1"/>
  <c r="B1035"/>
  <c r="B1063" s="1"/>
  <c r="B2994"/>
  <c r="S3006" s="1"/>
  <c r="E3774" i="8"/>
  <c r="A2632"/>
  <c r="O1639" i="5"/>
  <c r="B947"/>
  <c r="D958" s="1"/>
  <c r="R1676"/>
  <c r="B847"/>
  <c r="S852" s="1"/>
  <c r="B2004"/>
  <c r="B2029" s="1"/>
  <c r="R540"/>
  <c r="B541"/>
  <c r="H550" s="1"/>
  <c r="Z1968"/>
  <c r="B3244"/>
  <c r="S3249" s="1"/>
  <c r="B942"/>
  <c r="S940" s="1"/>
  <c r="B3031"/>
  <c r="S3029" s="1"/>
  <c r="B395"/>
  <c r="B403" s="1"/>
  <c r="B2173"/>
  <c r="H2182" s="1"/>
  <c r="B2076"/>
  <c r="B2084" s="1"/>
  <c r="R2056"/>
  <c r="R2084"/>
  <c r="Z3294"/>
  <c r="B2363"/>
  <c r="F2386" s="1"/>
  <c r="R2900"/>
  <c r="B2217"/>
  <c r="S2215" s="1"/>
  <c r="B2210"/>
  <c r="F2233" s="1"/>
  <c r="B532"/>
  <c r="C550" s="1"/>
  <c r="Z2594"/>
  <c r="B3126"/>
  <c r="B3151" s="1"/>
  <c r="R832"/>
  <c r="B386"/>
  <c r="D397" s="1"/>
  <c r="R1064"/>
  <c r="B1051"/>
  <c r="H1060" s="1"/>
  <c r="Z1291"/>
  <c r="Z1917"/>
  <c r="B643"/>
  <c r="S648" s="1"/>
  <c r="B1311"/>
  <c r="E1315" s="1"/>
  <c r="Z2135"/>
  <c r="B2572"/>
  <c r="S2570" s="1"/>
  <c r="B2565"/>
  <c r="B2590" s="1"/>
  <c r="B374"/>
  <c r="B402" s="1"/>
  <c r="B393"/>
  <c r="B401" s="1"/>
  <c r="Z2835"/>
  <c r="Z285"/>
  <c r="B2280"/>
  <c r="S2292" s="1"/>
  <c r="B2275"/>
  <c r="H2284" s="1"/>
  <c r="B650"/>
  <c r="L650" s="1"/>
  <c r="E4046" i="8"/>
  <c r="B3082" i="5"/>
  <c r="C3100" s="1"/>
  <c r="B3149"/>
  <c r="L3149" s="1"/>
  <c r="B3293"/>
  <c r="S3298" s="1"/>
  <c r="Z628"/>
  <c r="B1158"/>
  <c r="L1158" s="1"/>
  <c r="E374" i="8"/>
  <c r="A1002"/>
  <c r="B1002" s="1"/>
  <c r="B2071" i="5"/>
  <c r="H2080" s="1"/>
  <c r="B2319"/>
  <c r="S2317" s="1"/>
  <c r="B1102"/>
  <c r="H1111" s="1"/>
  <c r="B68"/>
  <c r="F91" s="1"/>
  <c r="B381"/>
  <c r="S379" s="1"/>
  <c r="B1809"/>
  <c r="S1807" s="1"/>
  <c r="R1138"/>
  <c r="R1152"/>
  <c r="Z2974"/>
  <c r="Z3002"/>
  <c r="A561" i="8"/>
  <c r="B561" s="1"/>
  <c r="A563"/>
  <c r="B563" s="1"/>
  <c r="A559"/>
  <c r="B559" s="1"/>
  <c r="B1137" i="5"/>
  <c r="B1165" s="1"/>
  <c r="Z2492"/>
  <c r="Z373"/>
  <c r="B2064"/>
  <c r="S2062" s="1"/>
  <c r="B2078"/>
  <c r="L2078" s="1"/>
  <c r="B2224"/>
  <c r="H2233" s="1"/>
  <c r="R577"/>
  <c r="B2588"/>
  <c r="S2600" s="1"/>
  <c r="B2581"/>
  <c r="H2590" s="1"/>
  <c r="Z642"/>
  <c r="A1000" i="8"/>
  <c r="B1000" s="1"/>
  <c r="AH41" i="5"/>
  <c r="E2652" i="8"/>
  <c r="I1261"/>
  <c r="B546" i="5"/>
  <c r="E550" s="1"/>
  <c r="B1559"/>
  <c r="S1564" s="1"/>
  <c r="B3279"/>
  <c r="B3307" s="1"/>
  <c r="B2006"/>
  <c r="F2029" s="1"/>
  <c r="R526"/>
  <c r="B1969"/>
  <c r="S1974" s="1"/>
  <c r="B940"/>
  <c r="C958" s="1"/>
  <c r="R1815"/>
  <c r="B379"/>
  <c r="S377" s="1"/>
  <c r="B2159"/>
  <c r="B2187" s="1"/>
  <c r="B2055"/>
  <c r="B2083" s="1"/>
  <c r="Z1676"/>
  <c r="B2989"/>
  <c r="S2994" s="1"/>
  <c r="B1044"/>
  <c r="G1060" s="1"/>
  <c r="R1036"/>
  <c r="Z3127"/>
  <c r="R2107"/>
  <c r="R642"/>
  <c r="R605"/>
  <c r="B1802"/>
  <c r="B1830" s="1"/>
  <c r="B2579"/>
  <c r="S2584" s="1"/>
  <c r="B388"/>
  <c r="H397" s="1"/>
  <c r="D1060"/>
  <c r="B2975"/>
  <c r="B3003" s="1"/>
  <c r="Z3155"/>
  <c r="B3024"/>
  <c r="B3049" s="1"/>
  <c r="B1654"/>
  <c r="C1672" s="1"/>
  <c r="B3098"/>
  <c r="B3106" s="1"/>
  <c r="G2624" i="8"/>
  <c r="B2326" i="5"/>
  <c r="B2312"/>
  <c r="B2340" s="1"/>
  <c r="B2122"/>
  <c r="S2127" s="1"/>
  <c r="F3745" i="8"/>
  <c r="F2623"/>
  <c r="B890"/>
  <c r="S2074" i="5"/>
  <c r="S2598"/>
  <c r="E816" i="8"/>
  <c r="B788"/>
  <c r="F787"/>
  <c r="A4133"/>
  <c r="B4133" s="1"/>
  <c r="B3542"/>
  <c r="A3553"/>
  <c r="B3553" s="1"/>
  <c r="G4120"/>
  <c r="A4128"/>
  <c r="B4128" s="1"/>
  <c r="A4131"/>
  <c r="B4131" s="1"/>
  <c r="B1366"/>
  <c r="A1374"/>
  <c r="A1377"/>
  <c r="A1100"/>
  <c r="A1101"/>
  <c r="A1104"/>
  <c r="G3780"/>
  <c r="A3789"/>
  <c r="A3788"/>
  <c r="A3793"/>
  <c r="A3786"/>
  <c r="A3791"/>
  <c r="A3790"/>
  <c r="A3787"/>
  <c r="A3792"/>
  <c r="O3118" i="5"/>
  <c r="AH62"/>
  <c r="A1921" i="8"/>
  <c r="B1921" s="1"/>
  <c r="A1916"/>
  <c r="B1916" s="1"/>
  <c r="A1918"/>
  <c r="B1918" s="1"/>
  <c r="A1922"/>
  <c r="B1922" s="1"/>
  <c r="A4166"/>
  <c r="B4166" s="1"/>
  <c r="A4165"/>
  <c r="B4165" s="1"/>
  <c r="B1510" i="5"/>
  <c r="S1515" s="1"/>
  <c r="B2790"/>
  <c r="L2797" s="1"/>
  <c r="B3038"/>
  <c r="S3043" s="1"/>
  <c r="B1515"/>
  <c r="L1522" s="1"/>
  <c r="B578"/>
  <c r="B606" s="1"/>
  <c r="B2282"/>
  <c r="L2289" s="1"/>
  <c r="B1000"/>
  <c r="S1005" s="1"/>
  <c r="A2565" i="8"/>
  <c r="A1989"/>
  <c r="B1989" s="1"/>
  <c r="F821"/>
  <c r="A1988"/>
  <c r="B1988" s="1"/>
  <c r="A3755"/>
  <c r="B3755" s="1"/>
  <c r="A828"/>
  <c r="B828" s="1"/>
  <c r="B822"/>
  <c r="A1990"/>
  <c r="B1990" s="1"/>
  <c r="E680"/>
  <c r="A3555"/>
  <c r="B3555" s="1"/>
  <c r="A1378"/>
  <c r="A1379"/>
  <c r="B89" i="5"/>
  <c r="S101" s="1"/>
  <c r="A3548" i="8"/>
  <c r="B3548" s="1"/>
  <c r="A1375"/>
  <c r="G4392"/>
  <c r="A4403"/>
  <c r="B4403" s="1"/>
  <c r="A4405"/>
  <c r="B4405" s="1"/>
  <c r="A4400"/>
  <c r="B4400" s="1"/>
  <c r="F4391"/>
  <c r="A4404"/>
  <c r="B4404" s="1"/>
  <c r="A4398"/>
  <c r="B4398" s="1"/>
  <c r="A4402"/>
  <c r="B4402" s="1"/>
  <c r="A4401"/>
  <c r="B4401" s="1"/>
  <c r="A665"/>
  <c r="F651"/>
  <c r="A661"/>
  <c r="B2794"/>
  <c r="A2800"/>
  <c r="B2800" s="1"/>
  <c r="A2805"/>
  <c r="B2805" s="1"/>
  <c r="A2804"/>
  <c r="B2804" s="1"/>
  <c r="A2803"/>
  <c r="B2803" s="1"/>
  <c r="A2807"/>
  <c r="B2807" s="1"/>
  <c r="A2802"/>
  <c r="B2802" s="1"/>
  <c r="A2806"/>
  <c r="B2806" s="1"/>
  <c r="A2801"/>
  <c r="B2801" s="1"/>
  <c r="AH14" i="5"/>
  <c r="O670"/>
  <c r="AH65"/>
  <c r="O3271"/>
  <c r="G2420" i="8"/>
  <c r="A2430"/>
  <c r="B2430" s="1"/>
  <c r="A2432"/>
  <c r="B2432" s="1"/>
  <c r="A2426"/>
  <c r="B2426" s="1"/>
  <c r="A2431"/>
  <c r="B2431" s="1"/>
  <c r="A2429"/>
  <c r="B2429" s="1"/>
  <c r="A2427"/>
  <c r="B2427" s="1"/>
  <c r="A2433"/>
  <c r="B2433" s="1"/>
  <c r="A2428"/>
  <c r="B2428" s="1"/>
  <c r="G1706"/>
  <c r="E1734"/>
  <c r="F1705"/>
  <c r="A1005"/>
  <c r="B1005" s="1"/>
  <c r="A998"/>
  <c r="B998" s="1"/>
  <c r="A1001"/>
  <c r="B1001" s="1"/>
  <c r="A999"/>
  <c r="B999" s="1"/>
  <c r="Z401" i="5"/>
  <c r="Z387"/>
  <c r="A903" i="8"/>
  <c r="B903" s="1"/>
  <c r="A896"/>
  <c r="B896" s="1"/>
  <c r="A898"/>
  <c r="B898" s="1"/>
  <c r="B2776" i="5"/>
  <c r="C2794" s="1"/>
  <c r="B82"/>
  <c r="S87" s="1"/>
  <c r="R3294"/>
  <c r="B852"/>
  <c r="L859" s="1"/>
  <c r="R234"/>
  <c r="B2922"/>
  <c r="B2947" s="1"/>
  <c r="B1494"/>
  <c r="B1519" s="1"/>
  <c r="B3302"/>
  <c r="B3310" s="1"/>
  <c r="B998"/>
  <c r="D1009" s="1"/>
  <c r="B117"/>
  <c r="B142" s="1"/>
  <c r="B2681"/>
  <c r="S2686" s="1"/>
  <c r="B1313"/>
  <c r="B1321" s="1"/>
  <c r="B1306"/>
  <c r="H1315" s="1"/>
  <c r="R3280"/>
  <c r="B2792"/>
  <c r="B2800" s="1"/>
  <c r="B1872"/>
  <c r="S1884" s="1"/>
  <c r="B497"/>
  <c r="L504" s="1"/>
  <c r="B1508"/>
  <c r="D1519" s="1"/>
  <c r="R999"/>
  <c r="R2974"/>
  <c r="R2033"/>
  <c r="Z1509"/>
  <c r="R591"/>
  <c r="B599"/>
  <c r="L606" s="1"/>
  <c r="R1319"/>
  <c r="R1291"/>
  <c r="B692"/>
  <c r="D703" s="1"/>
  <c r="A2567" i="8"/>
  <c r="B1765" i="5"/>
  <c r="H1774" s="1"/>
  <c r="B585"/>
  <c r="G601" s="1"/>
  <c r="B1341"/>
  <c r="B1366" s="1"/>
  <c r="A3282" i="8"/>
  <c r="B3282" s="1"/>
  <c r="E2006"/>
  <c r="B1978"/>
  <c r="A1986"/>
  <c r="B1986" s="1"/>
  <c r="A3757"/>
  <c r="B3757" s="1"/>
  <c r="A834"/>
  <c r="B834" s="1"/>
  <c r="E850"/>
  <c r="A831"/>
  <c r="B831" s="1"/>
  <c r="A1991"/>
  <c r="B1991" s="1"/>
  <c r="F73"/>
  <c r="B3270"/>
  <c r="B1299" i="5"/>
  <c r="G1315" s="1"/>
  <c r="B2523"/>
  <c r="S2521" s="1"/>
  <c r="B3026"/>
  <c r="B3054" s="1"/>
  <c r="B933"/>
  <c r="B958" s="1"/>
  <c r="E2822" i="8"/>
  <c r="A3550"/>
  <c r="B3550" s="1"/>
  <c r="A1373"/>
  <c r="F1365"/>
  <c r="A660"/>
  <c r="A4132"/>
  <c r="B4132" s="1"/>
  <c r="A3552"/>
  <c r="B3552" s="1"/>
  <c r="A663"/>
  <c r="Q746" i="5"/>
  <c r="B59" i="10"/>
  <c r="C59"/>
  <c r="Q178" i="5"/>
  <c r="C14" i="10"/>
  <c r="A14" s="1"/>
  <c r="C95"/>
  <c r="Q1205" i="5"/>
  <c r="B95" i="10"/>
  <c r="A95" s="1"/>
  <c r="Q2823" i="5"/>
  <c r="B221" i="10"/>
  <c r="C221"/>
  <c r="Q2109" i="5"/>
  <c r="B165" i="10"/>
  <c r="A165" s="1"/>
  <c r="Q2174" i="5"/>
  <c r="C171" i="10"/>
  <c r="A171" s="1"/>
  <c r="Q2626" i="5"/>
  <c r="B206" i="10"/>
  <c r="C206"/>
  <c r="G2216" i="8"/>
  <c r="E2244"/>
  <c r="A2228"/>
  <c r="A2224"/>
  <c r="A2225"/>
  <c r="A2227"/>
  <c r="A2229"/>
  <c r="A2226"/>
  <c r="F2215"/>
  <c r="A2223"/>
  <c r="A2222"/>
  <c r="Q1395" i="5"/>
  <c r="C109" i="10"/>
  <c r="B179"/>
  <c r="A179" s="1"/>
  <c r="C179"/>
  <c r="Q2276" i="5"/>
  <c r="B1751"/>
  <c r="F1774" s="1"/>
  <c r="B3047"/>
  <c r="S3059" s="1"/>
  <c r="B3040"/>
  <c r="H3049" s="1"/>
  <c r="R2821"/>
  <c r="B2180"/>
  <c r="B2188" s="1"/>
  <c r="B2945"/>
  <c r="S2957" s="1"/>
  <c r="B2887"/>
  <c r="H2896" s="1"/>
  <c r="R2872"/>
  <c r="B2880"/>
  <c r="G2896" s="1"/>
  <c r="B2924"/>
  <c r="B2952" s="1"/>
  <c r="B2936"/>
  <c r="D2947" s="1"/>
  <c r="B1517"/>
  <c r="I1519" s="1"/>
  <c r="B1151"/>
  <c r="S1156" s="1"/>
  <c r="B1153"/>
  <c r="H1162" s="1"/>
  <c r="B954"/>
  <c r="B962" s="1"/>
  <c r="B687"/>
  <c r="S685" s="1"/>
  <c r="B729"/>
  <c r="B754" s="1"/>
  <c r="B3128"/>
  <c r="B3156" s="1"/>
  <c r="Z693"/>
  <c r="B1814"/>
  <c r="Z2107"/>
  <c r="B701"/>
  <c r="B709" s="1"/>
  <c r="B699"/>
  <c r="E703" s="1"/>
  <c r="B1552"/>
  <c r="S1550" s="1"/>
  <c r="B787"/>
  <c r="S785" s="1"/>
  <c r="B1545"/>
  <c r="B1570" s="1"/>
  <c r="B1457"/>
  <c r="Z809"/>
  <c r="B1770"/>
  <c r="L1777" s="1"/>
  <c r="B3135"/>
  <c r="G3151" s="1"/>
  <c r="A1546" i="8"/>
  <c r="B1546" s="1"/>
  <c r="A386"/>
  <c r="A390"/>
  <c r="B2892" i="5"/>
  <c r="B250" i="10"/>
  <c r="Q688" i="5"/>
  <c r="C54" i="10"/>
  <c r="B54"/>
  <c r="A54" s="1"/>
  <c r="Q1613" i="5"/>
  <c r="B127" i="10"/>
  <c r="C127"/>
  <c r="Q3085" i="5"/>
  <c r="B242" i="10"/>
  <c r="C242"/>
  <c r="Q2480" i="5"/>
  <c r="B195" i="10"/>
  <c r="A195" s="1"/>
  <c r="Q2021" i="5"/>
  <c r="B159" i="10"/>
  <c r="B161"/>
  <c r="Q2058" i="5"/>
  <c r="Q287"/>
  <c r="C23" i="10"/>
  <c r="B23"/>
  <c r="Q1344" i="5"/>
  <c r="B105" i="10"/>
  <c r="C105"/>
  <c r="B166"/>
  <c r="C166"/>
  <c r="Q2116" i="5"/>
  <c r="C115" i="10"/>
  <c r="A115" s="1"/>
  <c r="Q1460" i="5"/>
  <c r="C249" i="10"/>
  <c r="Q3180" i="5"/>
  <c r="B249" i="10"/>
  <c r="Q3245" i="5"/>
  <c r="C255" i="10"/>
  <c r="B255"/>
  <c r="Q2888" i="5"/>
  <c r="B227" i="10"/>
  <c r="A227" s="1"/>
  <c r="F719" i="8"/>
  <c r="E748"/>
  <c r="B720"/>
  <c r="Q1351" i="5"/>
  <c r="C106" i="10"/>
  <c r="B106"/>
  <c r="Q3238" i="5"/>
  <c r="C254" i="10"/>
  <c r="A254" s="1"/>
  <c r="Q2072" i="5"/>
  <c r="C163" i="10"/>
  <c r="Q2619" i="5"/>
  <c r="B205" i="10"/>
  <c r="C205"/>
  <c r="Z3090" i="5"/>
  <c r="B1503"/>
  <c r="S1501" s="1"/>
  <c r="B2938"/>
  <c r="H2947" s="1"/>
  <c r="B1496"/>
  <c r="B1524" s="1"/>
  <c r="B803"/>
  <c r="I805" s="1"/>
  <c r="B2166"/>
  <c r="S2164" s="1"/>
  <c r="B2843"/>
  <c r="I2845" s="1"/>
  <c r="R1801"/>
  <c r="F1263" i="8"/>
  <c r="A1544"/>
  <c r="B1544" s="1"/>
  <c r="G1536"/>
  <c r="A393"/>
  <c r="A391"/>
  <c r="G380"/>
  <c r="G4018"/>
  <c r="O1486" i="5"/>
  <c r="B242"/>
  <c r="L249" s="1"/>
  <c r="B3077"/>
  <c r="B3105" s="1"/>
  <c r="B1160"/>
  <c r="B1168" s="1"/>
  <c r="B2164"/>
  <c r="S2162" s="1"/>
  <c r="B2820"/>
  <c r="B2845" s="1"/>
  <c r="C250" i="10"/>
  <c r="C159"/>
  <c r="Z81" i="5"/>
  <c r="Z95"/>
  <c r="Z67"/>
  <c r="G2182" i="8"/>
  <c r="E2210"/>
  <c r="F2181"/>
  <c r="Q134" i="5"/>
  <c r="C11" i="10"/>
  <c r="B11"/>
  <c r="A11" s="1"/>
  <c r="Q1147" i="5"/>
  <c r="B90" i="10"/>
  <c r="C90"/>
  <c r="C230"/>
  <c r="Q2932" i="5"/>
  <c r="B230" i="10"/>
  <c r="B1"/>
  <c r="Q18" i="5"/>
  <c r="C1" i="10"/>
  <c r="Q1140" i="5"/>
  <c r="C89" i="10"/>
  <c r="B89"/>
  <c r="A89" s="1"/>
  <c r="Q1810" i="5"/>
  <c r="C142" i="10"/>
  <c r="A142" s="1"/>
  <c r="G4324" i="8"/>
  <c r="A4334"/>
  <c r="B4334" s="1"/>
  <c r="F4323"/>
  <c r="A4337"/>
  <c r="B4337" s="1"/>
  <c r="A4335"/>
  <c r="B4335" s="1"/>
  <c r="A4336"/>
  <c r="B4336" s="1"/>
  <c r="A4331"/>
  <c r="B4331" s="1"/>
  <c r="E4352"/>
  <c r="A4333"/>
  <c r="B4333" s="1"/>
  <c r="A4330"/>
  <c r="B4330" s="1"/>
  <c r="Q331" i="5"/>
  <c r="C26" i="10"/>
  <c r="B26"/>
  <c r="B259"/>
  <c r="A259" s="1"/>
  <c r="Q3296" i="5"/>
  <c r="C259" i="10"/>
  <c r="B2120" i="5"/>
  <c r="S2125" s="1"/>
  <c r="B73"/>
  <c r="S71" s="1"/>
  <c r="B87"/>
  <c r="B95" s="1"/>
  <c r="B3300"/>
  <c r="L3300" s="1"/>
  <c r="B3281"/>
  <c r="F3304" s="1"/>
  <c r="R1750"/>
  <c r="R1778"/>
  <c r="B2106"/>
  <c r="B2131" s="1"/>
  <c r="B2113"/>
  <c r="S2111" s="1"/>
  <c r="B1807"/>
  <c r="S1805" s="1"/>
  <c r="B1800"/>
  <c r="B1828" s="1"/>
  <c r="B3288"/>
  <c r="S3286" s="1"/>
  <c r="B2465"/>
  <c r="B2493" s="1"/>
  <c r="B2463"/>
  <c r="B2491" s="1"/>
  <c r="B2486"/>
  <c r="L2486" s="1"/>
  <c r="B2894"/>
  <c r="S2906" s="1"/>
  <c r="B2885"/>
  <c r="D2896" s="1"/>
  <c r="B2943"/>
  <c r="L2950" s="1"/>
  <c r="B1188"/>
  <c r="B1213" s="1"/>
  <c r="B2108"/>
  <c r="B2136" s="1"/>
  <c r="Z2478"/>
  <c r="B3033"/>
  <c r="G3049" s="1"/>
  <c r="B1816"/>
  <c r="S1821" s="1"/>
  <c r="B678"/>
  <c r="B706" s="1"/>
  <c r="B75"/>
  <c r="G91" s="1"/>
  <c r="B3096"/>
  <c r="L3096" s="1"/>
  <c r="B1749"/>
  <c r="B1777" s="1"/>
  <c r="B2115"/>
  <c r="G2131" s="1"/>
  <c r="B1670"/>
  <c r="L1670" s="1"/>
  <c r="B3295"/>
  <c r="S3300" s="1"/>
  <c r="B2020"/>
  <c r="H2029" s="1"/>
  <c r="B2129"/>
  <c r="L2129" s="1"/>
  <c r="Z2464"/>
  <c r="Z3104"/>
  <c r="B1823"/>
  <c r="L1823" s="1"/>
  <c r="B131"/>
  <c r="D142" s="1"/>
  <c r="R2849"/>
  <c r="R220"/>
  <c r="B3286"/>
  <c r="S3284" s="1"/>
  <c r="B2470"/>
  <c r="C2488" s="1"/>
  <c r="B2479"/>
  <c r="S2484" s="1"/>
  <c r="B2484"/>
  <c r="L2491" s="1"/>
  <c r="B2871"/>
  <c r="B2899" s="1"/>
  <c r="B2873"/>
  <c r="F2896" s="1"/>
  <c r="B2878"/>
  <c r="S2876" s="1"/>
  <c r="B1202"/>
  <c r="D1213" s="1"/>
  <c r="B2980"/>
  <c r="S2978" s="1"/>
  <c r="B3142"/>
  <c r="S3147" s="1"/>
  <c r="R2005"/>
  <c r="B743"/>
  <c r="S748" s="1"/>
  <c r="B685"/>
  <c r="C703" s="1"/>
  <c r="B1095"/>
  <c r="S1093" s="1"/>
  <c r="Z679"/>
  <c r="B2127"/>
  <c r="E2131" s="1"/>
  <c r="R1829"/>
  <c r="B680"/>
  <c r="B708" s="1"/>
  <c r="B694"/>
  <c r="H703" s="1"/>
  <c r="B1246"/>
  <c r="S1244" s="1"/>
  <c r="B3045"/>
  <c r="S3057" s="1"/>
  <c r="B2987"/>
  <c r="B3075"/>
  <c r="B3100" s="1"/>
  <c r="B2537"/>
  <c r="L2544" s="1"/>
  <c r="E1292" i="8"/>
  <c r="F1535"/>
  <c r="A388"/>
  <c r="E408"/>
  <c r="B583" i="5"/>
  <c r="S581" s="1"/>
  <c r="B627"/>
  <c r="B652" s="1"/>
  <c r="B845"/>
  <c r="D856" s="1"/>
  <c r="B126"/>
  <c r="S124" s="1"/>
  <c r="B66"/>
  <c r="B1547"/>
  <c r="F1570" s="1"/>
  <c r="B2778"/>
  <c r="G2794" s="1"/>
  <c r="B13" i="10"/>
  <c r="A13" s="1"/>
  <c r="C195"/>
  <c r="C78"/>
  <c r="A78" s="1"/>
  <c r="B102"/>
  <c r="A102" s="1"/>
  <c r="C235"/>
  <c r="A235" s="1"/>
  <c r="C246"/>
  <c r="A246" s="1"/>
  <c r="B109"/>
  <c r="C161"/>
  <c r="B163"/>
  <c r="A163" s="1"/>
  <c r="S2264" i="5"/>
  <c r="C2284"/>
  <c r="B3360"/>
  <c r="F3355"/>
  <c r="A4198" i="8"/>
  <c r="E4216"/>
  <c r="A4199"/>
  <c r="A4200"/>
  <c r="F4187"/>
  <c r="B3100"/>
  <c r="F3099"/>
  <c r="E3128"/>
  <c r="B4290"/>
  <c r="A4301"/>
  <c r="A4298"/>
  <c r="A4299"/>
  <c r="A4302"/>
  <c r="A4296"/>
  <c r="E4318"/>
  <c r="A4297"/>
  <c r="A4300"/>
  <c r="A4303"/>
  <c r="F4289"/>
  <c r="I2893"/>
  <c r="I2859"/>
  <c r="E3298"/>
  <c r="F3269"/>
  <c r="A3281"/>
  <c r="B3281" s="1"/>
  <c r="B3678"/>
  <c r="A3690"/>
  <c r="B3690" s="1"/>
  <c r="A3691"/>
  <c r="B3691" s="1"/>
  <c r="A3685"/>
  <c r="B3685" s="1"/>
  <c r="A3686"/>
  <c r="B3686" s="1"/>
  <c r="E3706"/>
  <c r="A3684"/>
  <c r="B3684" s="1"/>
  <c r="F3677"/>
  <c r="A3687"/>
  <c r="B3687" s="1"/>
  <c r="A3688"/>
  <c r="B3688" s="1"/>
  <c r="A3820"/>
  <c r="B3820" s="1"/>
  <c r="A3824"/>
  <c r="B3824" s="1"/>
  <c r="A3825"/>
  <c r="B3825" s="1"/>
  <c r="A3821"/>
  <c r="B3821" s="1"/>
  <c r="A3827"/>
  <c r="B3827" s="1"/>
  <c r="A3823"/>
  <c r="B3823" s="1"/>
  <c r="A3822"/>
  <c r="B3822" s="1"/>
  <c r="B3814"/>
  <c r="A3826"/>
  <c r="B3826" s="1"/>
  <c r="G4052"/>
  <c r="A4064"/>
  <c r="B4064" s="1"/>
  <c r="A4059"/>
  <c r="B4059" s="1"/>
  <c r="A4061"/>
  <c r="B4061" s="1"/>
  <c r="A4058"/>
  <c r="B4058" s="1"/>
  <c r="A4060"/>
  <c r="B4060" s="1"/>
  <c r="A4062"/>
  <c r="B4062" s="1"/>
  <c r="A4063"/>
  <c r="B4063" s="1"/>
  <c r="A4065"/>
  <c r="B4065" s="1"/>
  <c r="Z271" i="5"/>
  <c r="Z299"/>
  <c r="I1635" i="8"/>
  <c r="I1669"/>
  <c r="B1128"/>
  <c r="F1127"/>
  <c r="AH19" i="5"/>
  <c r="O925"/>
  <c r="A1307" i="8"/>
  <c r="B1307" s="1"/>
  <c r="A1309"/>
  <c r="B1309" s="1"/>
  <c r="B1298"/>
  <c r="A1308"/>
  <c r="B1308" s="1"/>
  <c r="E1326"/>
  <c r="F1297"/>
  <c r="A1305"/>
  <c r="B1305" s="1"/>
  <c r="A1306"/>
  <c r="B1306" s="1"/>
  <c r="A1310"/>
  <c r="B1310" s="1"/>
  <c r="A1304"/>
  <c r="B1304" s="1"/>
  <c r="A1311"/>
  <c r="B1311" s="1"/>
  <c r="R985" i="5"/>
  <c r="B1007"/>
  <c r="R1013"/>
  <c r="E136" i="8"/>
  <c r="B108"/>
  <c r="F107"/>
  <c r="O58" i="5"/>
  <c r="AH2"/>
  <c r="G176" i="8"/>
  <c r="A183"/>
  <c r="B183" s="1"/>
  <c r="A185"/>
  <c r="B185" s="1"/>
  <c r="A189"/>
  <c r="B189" s="1"/>
  <c r="A184"/>
  <c r="B184" s="1"/>
  <c r="A187"/>
  <c r="B187" s="1"/>
  <c r="A182"/>
  <c r="B182" s="1"/>
  <c r="A186"/>
  <c r="B186" s="1"/>
  <c r="B425" i="5"/>
  <c r="B446"/>
  <c r="G2012" i="8"/>
  <c r="A2021"/>
  <c r="A2020"/>
  <c r="A2025"/>
  <c r="A2022"/>
  <c r="A2018"/>
  <c r="A2024"/>
  <c r="F2011"/>
  <c r="E2040"/>
  <c r="A2023"/>
  <c r="A2019"/>
  <c r="G2046"/>
  <c r="F2045"/>
  <c r="E2074"/>
  <c r="G2760"/>
  <c r="E2788"/>
  <c r="A2766"/>
  <c r="A2768"/>
  <c r="A2767"/>
  <c r="A2770"/>
  <c r="F2759"/>
  <c r="A2771"/>
  <c r="A2773"/>
  <c r="A2772"/>
  <c r="A2769"/>
  <c r="A2835"/>
  <c r="B2835" s="1"/>
  <c r="A2840"/>
  <c r="B2840" s="1"/>
  <c r="A2834"/>
  <c r="B2834" s="1"/>
  <c r="A2837"/>
  <c r="B2837" s="1"/>
  <c r="A2836"/>
  <c r="B2836" s="1"/>
  <c r="A2841"/>
  <c r="B2841" s="1"/>
  <c r="A2838"/>
  <c r="B2838" s="1"/>
  <c r="E2856"/>
  <c r="R2645" i="5"/>
  <c r="R2617"/>
  <c r="R2631"/>
  <c r="I3641" i="8"/>
  <c r="I3607"/>
  <c r="G1638"/>
  <c r="F1637"/>
  <c r="E1666"/>
  <c r="G2964"/>
  <c r="E2992"/>
  <c r="A2976"/>
  <c r="B2976" s="1"/>
  <c r="A2977"/>
  <c r="B2977" s="1"/>
  <c r="A2974"/>
  <c r="B2974" s="1"/>
  <c r="A2970"/>
  <c r="B2970" s="1"/>
  <c r="F2963"/>
  <c r="A2971"/>
  <c r="B2971" s="1"/>
  <c r="A2973"/>
  <c r="B2973" s="1"/>
  <c r="A2975"/>
  <c r="B2975" s="1"/>
  <c r="A2972"/>
  <c r="B2972" s="1"/>
  <c r="I615"/>
  <c r="I649"/>
  <c r="I2077"/>
  <c r="I2043"/>
  <c r="A2326"/>
  <c r="A2325"/>
  <c r="A2329"/>
  <c r="A2324"/>
  <c r="A2330"/>
  <c r="B2318"/>
  <c r="A2328"/>
  <c r="E2346"/>
  <c r="F2317"/>
  <c r="A2327"/>
  <c r="A2331"/>
  <c r="G1502"/>
  <c r="E1530"/>
  <c r="F1501"/>
  <c r="AH23" i="5"/>
  <c r="O1129"/>
  <c r="A80" i="8"/>
  <c r="B80" s="1"/>
  <c r="A85"/>
  <c r="B85" s="1"/>
  <c r="A81"/>
  <c r="B81" s="1"/>
  <c r="A83"/>
  <c r="B83" s="1"/>
  <c r="E102"/>
  <c r="A84"/>
  <c r="B84" s="1"/>
  <c r="A82"/>
  <c r="B82" s="1"/>
  <c r="A87"/>
  <c r="B87" s="1"/>
  <c r="A86"/>
  <c r="B86" s="1"/>
  <c r="O109" i="5"/>
  <c r="AH3"/>
  <c r="Z424"/>
  <c r="Z452"/>
  <c r="Z438"/>
  <c r="I1057" i="8"/>
  <c r="I1023"/>
  <c r="I2451"/>
  <c r="I2485"/>
  <c r="I2689"/>
  <c r="I2655"/>
  <c r="O2659" i="5"/>
  <c r="AH53"/>
  <c r="AH56"/>
  <c r="O2812"/>
  <c r="I1329" i="8"/>
  <c r="I1295"/>
  <c r="B2930"/>
  <c r="A2936"/>
  <c r="B2936" s="1"/>
  <c r="E2958"/>
  <c r="A2937"/>
  <c r="B2937" s="1"/>
  <c r="A2940"/>
  <c r="B2940" s="1"/>
  <c r="A2938"/>
  <c r="B2938" s="1"/>
  <c r="F2929"/>
  <c r="A2942"/>
  <c r="B2942" s="1"/>
  <c r="A2943"/>
  <c r="B2943" s="1"/>
  <c r="A2941"/>
  <c r="B2941" s="1"/>
  <c r="A2939"/>
  <c r="B2939" s="1"/>
  <c r="G3134"/>
  <c r="F3133"/>
  <c r="E3162"/>
  <c r="G3916"/>
  <c r="A3929"/>
  <c r="A3922"/>
  <c r="A3926"/>
  <c r="A3925"/>
  <c r="A3923"/>
  <c r="A3928"/>
  <c r="E3944"/>
  <c r="A3927"/>
  <c r="A3924"/>
  <c r="F3915"/>
  <c r="I3029"/>
  <c r="I2995"/>
  <c r="G3372"/>
  <c r="A3384"/>
  <c r="B3384" s="1"/>
  <c r="A3383"/>
  <c r="B3383" s="1"/>
  <c r="A3382"/>
  <c r="B3382" s="1"/>
  <c r="A3378"/>
  <c r="B3378" s="1"/>
  <c r="A3380"/>
  <c r="B3380" s="1"/>
  <c r="A3379"/>
  <c r="B3379" s="1"/>
  <c r="A3385"/>
  <c r="B3385" s="1"/>
  <c r="A3381"/>
  <c r="B3381" s="1"/>
  <c r="Z2580" i="5"/>
  <c r="Z2566"/>
  <c r="F447" i="8"/>
  <c r="E476"/>
  <c r="B448"/>
  <c r="A692"/>
  <c r="A697"/>
  <c r="A694"/>
  <c r="A693"/>
  <c r="A696"/>
  <c r="F685"/>
  <c r="A699"/>
  <c r="E714"/>
  <c r="A698"/>
  <c r="B686"/>
  <c r="A695"/>
  <c r="A761"/>
  <c r="B761" s="1"/>
  <c r="E782"/>
  <c r="A767"/>
  <c r="B767" s="1"/>
  <c r="A765"/>
  <c r="B765" s="1"/>
  <c r="F753"/>
  <c r="A763"/>
  <c r="B763" s="1"/>
  <c r="A762"/>
  <c r="B762" s="1"/>
  <c r="A766"/>
  <c r="B766" s="1"/>
  <c r="A760"/>
  <c r="B760" s="1"/>
  <c r="B754"/>
  <c r="A764"/>
  <c r="B764" s="1"/>
  <c r="G2284"/>
  <c r="A2291"/>
  <c r="A2292"/>
  <c r="A2293"/>
  <c r="A2290"/>
  <c r="A2294"/>
  <c r="F2283"/>
  <c r="E2312"/>
  <c r="A2295"/>
  <c r="A2297"/>
  <c r="A2296"/>
  <c r="G550"/>
  <c r="F549"/>
  <c r="I785"/>
  <c r="I751"/>
  <c r="G1978"/>
  <c r="F1977"/>
  <c r="AH32" i="5"/>
  <c r="O1588"/>
  <c r="E2176" i="8"/>
  <c r="F2147"/>
  <c r="B2148"/>
  <c r="I2383"/>
  <c r="I2417"/>
  <c r="A2563"/>
  <c r="A2568"/>
  <c r="A2569"/>
  <c r="A2562"/>
  <c r="E2584"/>
  <c r="F2555"/>
  <c r="A2566"/>
  <c r="B2862"/>
  <c r="A2875"/>
  <c r="B2875" s="1"/>
  <c r="A2873"/>
  <c r="B2873" s="1"/>
  <c r="A2871"/>
  <c r="B2871" s="1"/>
  <c r="E2890"/>
  <c r="A2872"/>
  <c r="B2872" s="1"/>
  <c r="A2870"/>
  <c r="B2870" s="1"/>
  <c r="A2868"/>
  <c r="B2868" s="1"/>
  <c r="A2869"/>
  <c r="B2869" s="1"/>
  <c r="F2861"/>
  <c r="A2874"/>
  <c r="B2874" s="1"/>
  <c r="AH48" i="5"/>
  <c r="O2404"/>
  <c r="O2608"/>
  <c r="AH52"/>
  <c r="G3712" i="8"/>
  <c r="A3722"/>
  <c r="B3722" s="1"/>
  <c r="A3724"/>
  <c r="B3724" s="1"/>
  <c r="A3720"/>
  <c r="B3720" s="1"/>
  <c r="A3725"/>
  <c r="B3725" s="1"/>
  <c r="A3723"/>
  <c r="B3723" s="1"/>
  <c r="A3718"/>
  <c r="B3718" s="1"/>
  <c r="A3721"/>
  <c r="B3721" s="1"/>
  <c r="A3719"/>
  <c r="B3719" s="1"/>
  <c r="A3758"/>
  <c r="B3758" s="1"/>
  <c r="A3756"/>
  <c r="B3756" s="1"/>
  <c r="A3753"/>
  <c r="B3753" s="1"/>
  <c r="B1357" i="5"/>
  <c r="S1362" s="1"/>
  <c r="B3251"/>
  <c r="L3251" s="1"/>
  <c r="B1146"/>
  <c r="G1162" s="1"/>
  <c r="B337"/>
  <c r="H346" s="1"/>
  <c r="B323"/>
  <c r="F346" s="1"/>
  <c r="B1362"/>
  <c r="L1362" s="1"/>
  <c r="R3229"/>
  <c r="B1960"/>
  <c r="S1958" s="1"/>
  <c r="R2770"/>
  <c r="R2798"/>
  <c r="B293"/>
  <c r="L300" s="1"/>
  <c r="B277"/>
  <c r="S275" s="1"/>
  <c r="B2827"/>
  <c r="S2825" s="1"/>
  <c r="B221"/>
  <c r="B249" s="1"/>
  <c r="B233"/>
  <c r="S238" s="1"/>
  <c r="B2618"/>
  <c r="B2646" s="1"/>
  <c r="L1721"/>
  <c r="B3242"/>
  <c r="S3247" s="1"/>
  <c r="B291"/>
  <c r="S303" s="1"/>
  <c r="B1005"/>
  <c r="E1009" s="1"/>
  <c r="B342"/>
  <c r="E346" s="1"/>
  <c r="G2828" i="8"/>
  <c r="A3279"/>
  <c r="B3279" s="1"/>
  <c r="A3280"/>
  <c r="B3280" s="1"/>
  <c r="B1355" i="5"/>
  <c r="S1360" s="1"/>
  <c r="B2426"/>
  <c r="S2431" s="1"/>
  <c r="B2785"/>
  <c r="H2794" s="1"/>
  <c r="B284"/>
  <c r="D295" s="1"/>
  <c r="B226"/>
  <c r="C244" s="1"/>
  <c r="B2171"/>
  <c r="S2176" s="1"/>
  <c r="B2639"/>
  <c r="B2647" s="1"/>
  <c r="B3344"/>
  <c r="D3355" s="1"/>
  <c r="B1668"/>
  <c r="E1672" s="1"/>
  <c r="Z2413"/>
  <c r="B993"/>
  <c r="S991" s="1"/>
  <c r="B2783"/>
  <c r="S2788" s="1"/>
  <c r="R1982"/>
  <c r="B738"/>
  <c r="S736" s="1"/>
  <c r="B752"/>
  <c r="I754" s="1"/>
  <c r="Z1931"/>
  <c r="B423"/>
  <c r="B448" s="1"/>
  <c r="B437"/>
  <c r="D448" s="1"/>
  <c r="B3235"/>
  <c r="S3233" s="1"/>
  <c r="B1974"/>
  <c r="B1982" s="1"/>
  <c r="B648"/>
  <c r="B656" s="1"/>
  <c r="B634"/>
  <c r="S632" s="1"/>
  <c r="B641"/>
  <c r="S646" s="1"/>
  <c r="B2516"/>
  <c r="B2544" s="1"/>
  <c r="R1115"/>
  <c r="B80"/>
  <c r="S85" s="1"/>
  <c r="Z336"/>
  <c r="B1253"/>
  <c r="D1264" s="1"/>
  <c r="B272"/>
  <c r="B300" s="1"/>
  <c r="B576"/>
  <c r="B601" s="1"/>
  <c r="S36"/>
  <c r="A3689" i="8"/>
  <c r="B3689" s="1"/>
  <c r="B1904" i="5"/>
  <c r="B1932" s="1"/>
  <c r="B2616"/>
  <c r="B2644" s="1"/>
  <c r="B1" i="4"/>
  <c r="B2528" i="5"/>
  <c r="D2539" s="1"/>
  <c r="B789"/>
  <c r="S787" s="1"/>
  <c r="B2771"/>
  <c r="F2794" s="1"/>
  <c r="A2839" i="8"/>
  <c r="B2839" s="1"/>
  <c r="Z2770" i="5"/>
  <c r="E1156" i="8"/>
  <c r="A3277"/>
  <c r="B3277" s="1"/>
  <c r="B1610" i="5"/>
  <c r="D1621" s="1"/>
  <c r="A4194" i="8"/>
  <c r="G4188"/>
  <c r="A3283"/>
  <c r="B3283" s="1"/>
  <c r="B2769" i="5"/>
  <c r="B1955"/>
  <c r="B279"/>
  <c r="B831"/>
  <c r="A3005" i="8"/>
  <c r="B3005" s="1"/>
  <c r="A3006"/>
  <c r="B3006" s="1"/>
  <c r="A3009"/>
  <c r="B3009" s="1"/>
  <c r="B2998"/>
  <c r="A3004"/>
  <c r="B3004" s="1"/>
  <c r="A3007"/>
  <c r="B3007" s="1"/>
  <c r="F2997"/>
  <c r="A3010"/>
  <c r="B3010" s="1"/>
  <c r="A3008"/>
  <c r="B3008" s="1"/>
  <c r="A3011"/>
  <c r="B3011" s="1"/>
  <c r="E3026"/>
  <c r="G3882"/>
  <c r="E3910"/>
  <c r="F3881"/>
  <c r="A4365"/>
  <c r="A4371"/>
  <c r="E4386"/>
  <c r="A4368"/>
  <c r="A4364"/>
  <c r="A4370"/>
  <c r="B4358"/>
  <c r="A4367"/>
  <c r="A4366"/>
  <c r="A4369"/>
  <c r="O2557" i="5"/>
  <c r="AH51"/>
  <c r="O568"/>
  <c r="AH12"/>
  <c r="I241" i="8"/>
  <c r="I207"/>
  <c r="G924"/>
  <c r="A936"/>
  <c r="A933"/>
  <c r="A932"/>
  <c r="A931"/>
  <c r="A934"/>
  <c r="E952"/>
  <c r="A930"/>
  <c r="A935"/>
  <c r="A937"/>
  <c r="G2522"/>
  <c r="E2550"/>
  <c r="F2521"/>
  <c r="G2726"/>
  <c r="E2754"/>
  <c r="F2725"/>
  <c r="B3474"/>
  <c r="A3487"/>
  <c r="A3480"/>
  <c r="A3484"/>
  <c r="F3473"/>
  <c r="A3486"/>
  <c r="G3576"/>
  <c r="A3582"/>
  <c r="B3582" s="1"/>
  <c r="A3586"/>
  <c r="B3586" s="1"/>
  <c r="A3588"/>
  <c r="B3588" s="1"/>
  <c r="A3585"/>
  <c r="B3585" s="1"/>
  <c r="A3589"/>
  <c r="B3589" s="1"/>
  <c r="F3575"/>
  <c r="A3587"/>
  <c r="B3587" s="1"/>
  <c r="E3604"/>
  <c r="A3583"/>
  <c r="B3583" s="1"/>
  <c r="A3584"/>
  <c r="B3584" s="1"/>
  <c r="G4460"/>
  <c r="A4466"/>
  <c r="A4469"/>
  <c r="A4467"/>
  <c r="F4459"/>
  <c r="A4471"/>
  <c r="A4470"/>
  <c r="A4473"/>
  <c r="E4488"/>
  <c r="A4472"/>
  <c r="A4468"/>
  <c r="AH21" i="5"/>
  <c r="O1027"/>
  <c r="B1443"/>
  <c r="B1450"/>
  <c r="I3811" i="8"/>
  <c r="I3845"/>
  <c r="Z2951" i="5"/>
  <c r="Z2937"/>
  <c r="Z2923"/>
  <c r="AH22"/>
  <c r="O1078"/>
  <c r="G1740" i="8"/>
  <c r="A1747"/>
  <c r="A1753"/>
  <c r="A1749"/>
  <c r="A1750"/>
  <c r="A1748"/>
  <c r="A1746"/>
  <c r="A1752"/>
  <c r="A1751"/>
  <c r="B3066"/>
  <c r="A3075"/>
  <c r="B3075" s="1"/>
  <c r="A3079"/>
  <c r="B3079" s="1"/>
  <c r="A3078"/>
  <c r="B3078" s="1"/>
  <c r="A3073"/>
  <c r="B3073" s="1"/>
  <c r="A3072"/>
  <c r="B3072" s="1"/>
  <c r="A3077"/>
  <c r="B3077" s="1"/>
  <c r="E3094"/>
  <c r="A3074"/>
  <c r="B3074" s="1"/>
  <c r="F3065"/>
  <c r="A3076"/>
  <c r="B3076" s="1"/>
  <c r="O2455" i="5"/>
  <c r="AH49"/>
  <c r="E3740" i="8"/>
  <c r="F3711"/>
  <c r="I4253"/>
  <c r="I4219"/>
  <c r="AH13" i="5"/>
  <c r="O619"/>
  <c r="E1020" i="8"/>
  <c r="B992"/>
  <c r="F991"/>
  <c r="B1604"/>
  <c r="E1632"/>
  <c r="F1603"/>
  <c r="G584"/>
  <c r="A597"/>
  <c r="B597" s="1"/>
  <c r="A591"/>
  <c r="B591" s="1"/>
  <c r="A594"/>
  <c r="B594" s="1"/>
  <c r="A592"/>
  <c r="B592" s="1"/>
  <c r="A596"/>
  <c r="B596" s="1"/>
  <c r="F583"/>
  <c r="E612"/>
  <c r="A590"/>
  <c r="B590" s="1"/>
  <c r="A593"/>
  <c r="B593" s="1"/>
  <c r="F1195"/>
  <c r="B1196"/>
  <c r="E1224"/>
  <c r="B1230"/>
  <c r="E1258"/>
  <c r="A1241"/>
  <c r="A1242"/>
  <c r="F1229"/>
  <c r="A1236"/>
  <c r="A1238"/>
  <c r="A1243"/>
  <c r="A1240"/>
  <c r="A1239"/>
  <c r="A1237"/>
  <c r="B991" i="5"/>
  <c r="B984"/>
  <c r="AH20"/>
  <c r="O976"/>
  <c r="A1545" i="8"/>
  <c r="B1545" s="1"/>
  <c r="A1549"/>
  <c r="B1549" s="1"/>
  <c r="A1543"/>
  <c r="B1543" s="1"/>
  <c r="E1564"/>
  <c r="A1547"/>
  <c r="B1547" s="1"/>
  <c r="Z1166" i="5"/>
  <c r="B1144"/>
  <c r="Z1138"/>
  <c r="G890" i="8"/>
  <c r="F889"/>
  <c r="E918"/>
  <c r="G2080"/>
  <c r="A2093"/>
  <c r="B2093" s="1"/>
  <c r="A2092"/>
  <c r="B2092" s="1"/>
  <c r="A2090"/>
  <c r="B2090" s="1"/>
  <c r="A2091"/>
  <c r="B2091" s="1"/>
  <c r="F2079"/>
  <c r="A2086"/>
  <c r="B2086" s="1"/>
  <c r="A2089"/>
  <c r="B2089" s="1"/>
  <c r="A2088"/>
  <c r="B2088" s="1"/>
  <c r="A2087"/>
  <c r="B2087" s="1"/>
  <c r="E2108"/>
  <c r="O1537" i="5"/>
  <c r="AH31"/>
  <c r="R2172"/>
  <c r="R2158"/>
  <c r="G3542" i="8"/>
  <c r="F3541"/>
  <c r="E3570"/>
  <c r="O3322" i="5"/>
  <c r="AH66"/>
  <c r="I955" i="8"/>
  <c r="I989"/>
  <c r="S1733" i="5"/>
  <c r="R1968"/>
  <c r="R628"/>
  <c r="B1923"/>
  <c r="E1927" s="1"/>
  <c r="A188" i="8"/>
  <c r="B188" s="1"/>
  <c r="B1916" i="5"/>
  <c r="D1927" s="1"/>
  <c r="A4196" i="8"/>
  <c r="Z1574" i="5"/>
  <c r="B1649"/>
  <c r="B1677" s="1"/>
  <c r="B1139"/>
  <c r="F1162" s="1"/>
  <c r="B335"/>
  <c r="D346" s="1"/>
  <c r="B328"/>
  <c r="C346" s="1"/>
  <c r="R1356"/>
  <c r="B3228"/>
  <c r="B3253" s="1"/>
  <c r="B1100"/>
  <c r="S1105" s="1"/>
  <c r="B1596"/>
  <c r="B1621" s="1"/>
  <c r="B219"/>
  <c r="B244" s="1"/>
  <c r="B3337"/>
  <c r="S3335" s="1"/>
  <c r="B3339"/>
  <c r="G3355" s="1"/>
  <c r="B3084"/>
  <c r="G3100" s="1"/>
  <c r="B745"/>
  <c r="S750" s="1"/>
  <c r="B1086"/>
  <c r="B1111" s="1"/>
  <c r="R1954"/>
  <c r="B1772"/>
  <c r="L1772" s="1"/>
  <c r="B2421"/>
  <c r="G2437" s="1"/>
  <c r="B1554"/>
  <c r="S1552" s="1"/>
  <c r="B1647"/>
  <c r="B1675" s="1"/>
  <c r="B1656"/>
  <c r="S1654" s="1"/>
  <c r="B1350"/>
  <c r="S1348" s="1"/>
  <c r="B1348"/>
  <c r="C1366" s="1"/>
  <c r="B3237"/>
  <c r="S3235" s="1"/>
  <c r="R3257"/>
  <c r="B1953"/>
  <c r="B1978" s="1"/>
  <c r="B1967"/>
  <c r="S1972" s="1"/>
  <c r="B2412"/>
  <c r="B2440" s="1"/>
  <c r="B1088"/>
  <c r="F1111" s="1"/>
  <c r="B270"/>
  <c r="B298" s="1"/>
  <c r="B133"/>
  <c r="H142" s="1"/>
  <c r="B2829"/>
  <c r="S2827" s="1"/>
  <c r="B2428"/>
  <c r="S2433" s="1"/>
  <c r="B235"/>
  <c r="H244" s="1"/>
  <c r="B2178"/>
  <c r="E2182" s="1"/>
  <c r="B2157"/>
  <c r="B2185" s="1"/>
  <c r="B2057"/>
  <c r="B2085" s="1"/>
  <c r="B3346"/>
  <c r="S3351" s="1"/>
  <c r="Z3345"/>
  <c r="Z3359"/>
  <c r="B1661"/>
  <c r="S1666" s="1"/>
  <c r="R475"/>
  <c r="B1241"/>
  <c r="F1264" s="1"/>
  <c r="Z322"/>
  <c r="H1723"/>
  <c r="B731"/>
  <c r="B759" s="1"/>
  <c r="B432"/>
  <c r="G448" s="1"/>
  <c r="B430"/>
  <c r="C448" s="1"/>
  <c r="Z730"/>
  <c r="B629"/>
  <c r="F652" s="1"/>
  <c r="B636"/>
  <c r="G652" s="1"/>
  <c r="B1292"/>
  <c r="F1315" s="1"/>
  <c r="B1729"/>
  <c r="B2514"/>
  <c r="Z2821"/>
  <c r="B801"/>
  <c r="B809" s="1"/>
  <c r="B2822"/>
  <c r="B2850" s="1"/>
  <c r="B1617"/>
  <c r="L1617" s="1"/>
  <c r="B2632"/>
  <c r="S2637" s="1"/>
  <c r="F4051" i="8"/>
  <c r="B321" i="5"/>
  <c r="B346" s="1"/>
  <c r="B1598"/>
  <c r="B1626" s="1"/>
  <c r="A3483" i="8"/>
  <c r="AH55" i="5"/>
  <c r="A4197" i="8"/>
  <c r="A4195"/>
  <c r="A3276"/>
  <c r="B3276" s="1"/>
  <c r="E4080"/>
  <c r="B912" i="5"/>
  <c r="H193"/>
  <c r="G1060" i="8"/>
  <c r="A1073"/>
  <c r="A1072"/>
  <c r="A1068"/>
  <c r="A1071"/>
  <c r="A1069"/>
  <c r="A1066"/>
  <c r="A1070"/>
  <c r="F1059"/>
  <c r="A1067"/>
  <c r="E1088"/>
  <c r="A2664"/>
  <c r="F2657"/>
  <c r="A2671"/>
  <c r="E2686"/>
  <c r="A2668"/>
  <c r="B2658"/>
  <c r="A2667"/>
  <c r="A2669"/>
  <c r="A2665"/>
  <c r="A2670"/>
  <c r="A2666"/>
  <c r="B176"/>
  <c r="F175"/>
  <c r="E204"/>
  <c r="B278"/>
  <c r="A288"/>
  <c r="A285"/>
  <c r="A287"/>
  <c r="A286"/>
  <c r="A284"/>
  <c r="E306"/>
  <c r="F277"/>
  <c r="A290"/>
  <c r="A289"/>
  <c r="A291"/>
  <c r="AH45" i="5"/>
  <c r="O2251"/>
  <c r="E1938" i="8"/>
  <c r="F1909"/>
  <c r="G1910"/>
  <c r="A4093"/>
  <c r="B4093" s="1"/>
  <c r="A4098"/>
  <c r="B4098" s="1"/>
  <c r="A4097"/>
  <c r="B4097" s="1"/>
  <c r="F4085"/>
  <c r="A4094"/>
  <c r="B4094" s="1"/>
  <c r="A4095"/>
  <c r="B4095" s="1"/>
  <c r="A4096"/>
  <c r="B4096" s="1"/>
  <c r="A4099"/>
  <c r="B4099" s="1"/>
  <c r="E4114"/>
  <c r="B4086"/>
  <c r="A4092"/>
  <c r="B4092" s="1"/>
  <c r="B4426"/>
  <c r="A4437"/>
  <c r="B4437" s="1"/>
  <c r="A4438"/>
  <c r="B4438" s="1"/>
  <c r="A4439"/>
  <c r="B4439" s="1"/>
  <c r="A4434"/>
  <c r="B4434" s="1"/>
  <c r="A4433"/>
  <c r="B4433" s="1"/>
  <c r="F4425"/>
  <c r="A4435"/>
  <c r="B4435" s="1"/>
  <c r="A4432"/>
  <c r="B4432" s="1"/>
  <c r="E4454"/>
  <c r="A4436"/>
  <c r="B4436" s="1"/>
  <c r="AH5" i="5"/>
  <c r="O211"/>
  <c r="B1712"/>
  <c r="B1698"/>
  <c r="E3400" i="8"/>
  <c r="F3371"/>
  <c r="B3372"/>
  <c r="F3813"/>
  <c r="G3814"/>
  <c r="E3842"/>
  <c r="G2352"/>
  <c r="A2364"/>
  <c r="B2364" s="1"/>
  <c r="A2359"/>
  <c r="B2359" s="1"/>
  <c r="A2361"/>
  <c r="B2361" s="1"/>
  <c r="A2360"/>
  <c r="B2360" s="1"/>
  <c r="A2365"/>
  <c r="B2365" s="1"/>
  <c r="A2363"/>
  <c r="B2363" s="1"/>
  <c r="F2351"/>
  <c r="E2380"/>
  <c r="A2358"/>
  <c r="B2358" s="1"/>
  <c r="A2362"/>
  <c r="B2362" s="1"/>
  <c r="G3032"/>
  <c r="F3031"/>
  <c r="E3060"/>
  <c r="A3038"/>
  <c r="A3041"/>
  <c r="A3039"/>
  <c r="A3044"/>
  <c r="A3040"/>
  <c r="A3045"/>
  <c r="A3042"/>
  <c r="A3043"/>
  <c r="B2261" i="5"/>
  <c r="B2268"/>
  <c r="B414" i="8"/>
  <c r="A422"/>
  <c r="B422" s="1"/>
  <c r="E442"/>
  <c r="A425"/>
  <c r="B425" s="1"/>
  <c r="A420"/>
  <c r="B420" s="1"/>
  <c r="A424"/>
  <c r="B424" s="1"/>
  <c r="A421"/>
  <c r="B421" s="1"/>
  <c r="F413"/>
  <c r="A427"/>
  <c r="B427" s="1"/>
  <c r="A423"/>
  <c r="B423" s="1"/>
  <c r="A426"/>
  <c r="B426" s="1"/>
  <c r="AH15" i="5"/>
  <c r="O721"/>
  <c r="G3644" i="8"/>
  <c r="A3650"/>
  <c r="A3655"/>
  <c r="A3653"/>
  <c r="A3656"/>
  <c r="A3652"/>
  <c r="A3651"/>
  <c r="A3654"/>
  <c r="A3657"/>
  <c r="E3672"/>
  <c r="F3643"/>
  <c r="AH34" i="5"/>
  <c r="O1690"/>
  <c r="AH11"/>
  <c r="O517"/>
  <c r="AH18"/>
  <c r="O874"/>
  <c r="A1440" i="8"/>
  <c r="B1440" s="1"/>
  <c r="A1442"/>
  <c r="B1442" s="1"/>
  <c r="F1433"/>
  <c r="A1447"/>
  <c r="B1447" s="1"/>
  <c r="B1434"/>
  <c r="A1443"/>
  <c r="B1443" s="1"/>
  <c r="A1444"/>
  <c r="B1444" s="1"/>
  <c r="A1445"/>
  <c r="B1445" s="1"/>
  <c r="A1446"/>
  <c r="B1446" s="1"/>
  <c r="E1462"/>
  <c r="A1441"/>
  <c r="B1441" s="1"/>
  <c r="I1907"/>
  <c r="I1941"/>
  <c r="G1944"/>
  <c r="E1972"/>
  <c r="A1955"/>
  <c r="A1953"/>
  <c r="A1951"/>
  <c r="A1952"/>
  <c r="A1954"/>
  <c r="A1957"/>
  <c r="F1943"/>
  <c r="A1956"/>
  <c r="A1950"/>
  <c r="B3338"/>
  <c r="E3366"/>
  <c r="A3348"/>
  <c r="B3348" s="1"/>
  <c r="A3344"/>
  <c r="B3344" s="1"/>
  <c r="A3350"/>
  <c r="B3350" s="1"/>
  <c r="A3346"/>
  <c r="B3346" s="1"/>
  <c r="A3349"/>
  <c r="B3349" s="1"/>
  <c r="A3347"/>
  <c r="B3347" s="1"/>
  <c r="A3351"/>
  <c r="B3351" s="1"/>
  <c r="A3345"/>
  <c r="B3345" s="1"/>
  <c r="F3337"/>
  <c r="O2710" i="5"/>
  <c r="AH54"/>
  <c r="AH57"/>
  <c r="O2863"/>
  <c r="G1570" i="8"/>
  <c r="E1598"/>
  <c r="F1569"/>
  <c r="E1836"/>
  <c r="B1808"/>
  <c r="F1807"/>
  <c r="Z1750" i="5"/>
  <c r="Z1778"/>
  <c r="Z1764"/>
  <c r="Z2288"/>
  <c r="Z2274"/>
  <c r="B2259"/>
  <c r="Z2260"/>
  <c r="B2273"/>
  <c r="R3002"/>
  <c r="R2988"/>
  <c r="I4185" i="8"/>
  <c r="I4151"/>
  <c r="Z1560" i="5"/>
  <c r="B1663"/>
  <c r="H1672" s="1"/>
  <c r="R1342"/>
  <c r="B2435"/>
  <c r="L2435" s="1"/>
  <c r="R1370"/>
  <c r="B1107"/>
  <c r="S1119" s="1"/>
  <c r="B1109"/>
  <c r="S1121" s="1"/>
  <c r="B2834"/>
  <c r="S2839" s="1"/>
  <c r="B2836"/>
  <c r="S2841" s="1"/>
  <c r="B240"/>
  <c r="L247" s="1"/>
  <c r="B228"/>
  <c r="G244" s="1"/>
  <c r="B483"/>
  <c r="S481" s="1"/>
  <c r="B490"/>
  <c r="H499" s="1"/>
  <c r="R489"/>
  <c r="B3089"/>
  <c r="S3094" s="1"/>
  <c r="B1719"/>
  <c r="L1726" s="1"/>
  <c r="Q1726" s="1"/>
  <c r="B780"/>
  <c r="B808" s="1"/>
  <c r="B1262"/>
  <c r="S1274" s="1"/>
  <c r="S175"/>
  <c r="B736"/>
  <c r="C754" s="1"/>
  <c r="I1723"/>
  <c r="R1087"/>
  <c r="R1903"/>
  <c r="B2841"/>
  <c r="E2845" s="1"/>
  <c r="B2535"/>
  <c r="B2543" s="1"/>
  <c r="B796"/>
  <c r="S801" s="1"/>
  <c r="B1255"/>
  <c r="B1248"/>
  <c r="E3638" i="8"/>
  <c r="F3609"/>
  <c r="G3610"/>
  <c r="F311"/>
  <c r="E340"/>
  <c r="B312"/>
  <c r="I105"/>
  <c r="I71"/>
  <c r="A630"/>
  <c r="A627"/>
  <c r="A631"/>
  <c r="A628"/>
  <c r="A625"/>
  <c r="B618"/>
  <c r="A629"/>
  <c r="A624"/>
  <c r="A626"/>
  <c r="F617"/>
  <c r="E646"/>
  <c r="I1873"/>
  <c r="I1839"/>
  <c r="O1792" i="5"/>
  <c r="AH36"/>
  <c r="F2419" i="8"/>
  <c r="B2420"/>
  <c r="E2448"/>
  <c r="E3536"/>
  <c r="F3507"/>
  <c r="B3508"/>
  <c r="O3016" i="5"/>
  <c r="AH60"/>
  <c r="AH35"/>
  <c r="O1741"/>
  <c r="I3403" i="8"/>
  <c r="I3437"/>
  <c r="AH50" i="5"/>
  <c r="O2506"/>
  <c r="Z1254"/>
  <c r="Z1240"/>
  <c r="B1260"/>
  <c r="Z1268"/>
  <c r="F3303" i="8"/>
  <c r="B3304"/>
  <c r="E3332"/>
  <c r="O772" i="5"/>
  <c r="AH16"/>
  <c r="AH38"/>
  <c r="O1894"/>
  <c r="R2529"/>
  <c r="B2530"/>
  <c r="R2543"/>
  <c r="R2515"/>
  <c r="F3983" i="8"/>
  <c r="B3984"/>
  <c r="E4012"/>
  <c r="B474" i="5"/>
  <c r="B499" s="1"/>
  <c r="B2623"/>
  <c r="S2621" s="1"/>
  <c r="B2637"/>
  <c r="S2649" s="1"/>
  <c r="D2488"/>
  <c r="B481"/>
  <c r="C499" s="1"/>
  <c r="B1909"/>
  <c r="C1927" s="1"/>
  <c r="B1911"/>
  <c r="S1909" s="1"/>
  <c r="R1917"/>
  <c r="B2521"/>
  <c r="S2519" s="1"/>
  <c r="A3958" i="8"/>
  <c r="B3958" s="1"/>
  <c r="A3957"/>
  <c r="B3957" s="1"/>
  <c r="B3950"/>
  <c r="A3960"/>
  <c r="B3960" s="1"/>
  <c r="A3956"/>
  <c r="B3956" s="1"/>
  <c r="A3959"/>
  <c r="B3959" s="1"/>
  <c r="A3961"/>
  <c r="B3961" s="1"/>
  <c r="A3963"/>
  <c r="B3963" s="1"/>
  <c r="F3949"/>
  <c r="E3978"/>
  <c r="A3962"/>
  <c r="B3962" s="1"/>
  <c r="O313" i="5"/>
  <c r="AH7"/>
  <c r="B782"/>
  <c r="B794"/>
  <c r="Z758"/>
  <c r="B750"/>
  <c r="Z1546"/>
  <c r="B1566"/>
  <c r="B2386" i="8"/>
  <c r="A2392"/>
  <c r="B2392" s="1"/>
  <c r="A2399"/>
  <c r="B2399" s="1"/>
  <c r="A2393"/>
  <c r="B2393" s="1"/>
  <c r="F2385"/>
  <c r="A2398"/>
  <c r="B2398" s="1"/>
  <c r="A2394"/>
  <c r="B2394" s="1"/>
  <c r="A2395"/>
  <c r="B2395" s="1"/>
  <c r="A2397"/>
  <c r="B2397" s="1"/>
  <c r="A2396"/>
  <c r="B2396" s="1"/>
  <c r="E2414"/>
  <c r="AH29" i="5"/>
  <c r="O1435"/>
  <c r="A155" i="8"/>
  <c r="E170"/>
  <c r="A149"/>
  <c r="B142"/>
  <c r="A154"/>
  <c r="A153"/>
  <c r="A152"/>
  <c r="F141"/>
  <c r="A151"/>
  <c r="A148"/>
  <c r="A150"/>
  <c r="B1459" i="5"/>
  <c r="B1452"/>
  <c r="E1496" i="8"/>
  <c r="F1467"/>
  <c r="B1468"/>
  <c r="R1648" i="5"/>
  <c r="G3236" i="8"/>
  <c r="A3249"/>
  <c r="B3249" s="1"/>
  <c r="A3246"/>
  <c r="B3246" s="1"/>
  <c r="A3242"/>
  <c r="B3242" s="1"/>
  <c r="A3245"/>
  <c r="B3245" s="1"/>
  <c r="F3235"/>
  <c r="E3264"/>
  <c r="A3243"/>
  <c r="B3243" s="1"/>
  <c r="A3248"/>
  <c r="B3248" s="1"/>
  <c r="A3247"/>
  <c r="B3247" s="1"/>
  <c r="A3244"/>
  <c r="B3244" s="1"/>
  <c r="B4120"/>
  <c r="E4148"/>
  <c r="F4119"/>
  <c r="O1282" i="5"/>
  <c r="AH26"/>
  <c r="O1180"/>
  <c r="AH24"/>
  <c r="O1333"/>
  <c r="AH27"/>
  <c r="F2691" i="8"/>
  <c r="E2720"/>
  <c r="B2692"/>
  <c r="B488" i="5"/>
  <c r="D499" s="1"/>
  <c r="B495"/>
  <c r="L495" s="1"/>
  <c r="B476"/>
  <c r="F499" s="1"/>
  <c r="B1705"/>
  <c r="C1723" s="1"/>
  <c r="R1931"/>
  <c r="B1902"/>
  <c r="B1930" s="1"/>
  <c r="B1925"/>
  <c r="B1933" s="1"/>
  <c r="G1876"/>
  <c r="B1876"/>
  <c r="B1882"/>
  <c r="C2692"/>
  <c r="S2672"/>
  <c r="B1267"/>
  <c r="B1264"/>
  <c r="F40"/>
  <c r="B45"/>
  <c r="B910"/>
  <c r="B907"/>
  <c r="L36"/>
  <c r="E40"/>
  <c r="B44"/>
  <c r="L43"/>
  <c r="S48"/>
  <c r="C40"/>
  <c r="S20"/>
  <c r="F1723"/>
  <c r="B1728"/>
  <c r="L38"/>
  <c r="B46"/>
  <c r="S50"/>
  <c r="I40"/>
  <c r="L45"/>
  <c r="S22"/>
  <c r="G40"/>
  <c r="F2743"/>
  <c r="B2748"/>
  <c r="C1213"/>
  <c r="S1193"/>
  <c r="B1371"/>
  <c r="F1366"/>
  <c r="B1881"/>
  <c r="F1876"/>
  <c r="I1876"/>
  <c r="S1886"/>
  <c r="L1881"/>
  <c r="S1872"/>
  <c r="H1876"/>
  <c r="H2743"/>
  <c r="S2739"/>
  <c r="G2743"/>
  <c r="S2725"/>
  <c r="S2623"/>
  <c r="G2641"/>
  <c r="B1217"/>
  <c r="G2947"/>
  <c r="S2929"/>
  <c r="B2120" i="8" l="1"/>
  <c r="J2120"/>
  <c r="G2120"/>
  <c r="B2122"/>
  <c r="G2122"/>
  <c r="J2122"/>
  <c r="G2263"/>
  <c r="G731"/>
  <c r="G2499"/>
  <c r="J1712"/>
  <c r="J1141"/>
  <c r="J2495"/>
  <c r="L1216" i="5"/>
  <c r="G2258" i="8"/>
  <c r="J2535"/>
  <c r="G2532"/>
  <c r="J3140"/>
  <c r="J2498"/>
  <c r="J321"/>
  <c r="G323"/>
  <c r="J322"/>
  <c r="J1037"/>
  <c r="G3415"/>
  <c r="J3413"/>
  <c r="G3416"/>
  <c r="J120"/>
  <c r="J3209"/>
  <c r="G1137"/>
  <c r="G1141"/>
  <c r="B2121"/>
  <c r="J2121"/>
  <c r="G2121"/>
  <c r="L1209" i="5"/>
  <c r="S1221"/>
  <c r="J1882" i="8"/>
  <c r="J2497"/>
  <c r="J359"/>
  <c r="G2529"/>
  <c r="J2529"/>
  <c r="J2532"/>
  <c r="G3892"/>
  <c r="J3623"/>
  <c r="G3146"/>
  <c r="G2498"/>
  <c r="J323"/>
  <c r="G321"/>
  <c r="G322"/>
  <c r="G3485"/>
  <c r="G251"/>
  <c r="G3413"/>
  <c r="J3415"/>
  <c r="J1717"/>
  <c r="J1716"/>
  <c r="G1716"/>
  <c r="G2191"/>
  <c r="J2188"/>
  <c r="J2189"/>
  <c r="G120"/>
  <c r="G3209"/>
  <c r="J3213"/>
  <c r="G492"/>
  <c r="J3854"/>
  <c r="J2258"/>
  <c r="B1219" i="5"/>
  <c r="S1223"/>
  <c r="C1111"/>
  <c r="B2749"/>
  <c r="L1218"/>
  <c r="L1211"/>
  <c r="Q1209" s="1"/>
  <c r="I1207" s="1"/>
  <c r="L198"/>
  <c r="C907"/>
  <c r="J2263" i="8"/>
  <c r="J799"/>
  <c r="G3894"/>
  <c r="J3618"/>
  <c r="G3618"/>
  <c r="G865"/>
  <c r="J1713"/>
  <c r="J459"/>
  <c r="G799"/>
  <c r="J731"/>
  <c r="J3894"/>
  <c r="G2053"/>
  <c r="G2156"/>
  <c r="G3143"/>
  <c r="G659"/>
  <c r="J865"/>
  <c r="J3752"/>
  <c r="G4436"/>
  <c r="J324"/>
  <c r="G324"/>
  <c r="G459"/>
  <c r="G3108"/>
  <c r="B491"/>
  <c r="G491"/>
  <c r="J491"/>
  <c r="A109" i="10"/>
  <c r="A90"/>
  <c r="A159"/>
  <c r="A127"/>
  <c r="A221"/>
  <c r="A59"/>
  <c r="J557" i="8"/>
  <c r="J2053"/>
  <c r="J3146"/>
  <c r="J3108"/>
  <c r="D2743" i="5"/>
  <c r="C193"/>
  <c r="M175" s="1"/>
  <c r="S889"/>
  <c r="L2741"/>
  <c r="J2841" i="8"/>
  <c r="G2975"/>
  <c r="A106" i="10"/>
  <c r="A255"/>
  <c r="A105"/>
  <c r="A242"/>
  <c r="A250"/>
  <c r="A206"/>
  <c r="J662" i="8"/>
  <c r="G1882"/>
  <c r="G662"/>
  <c r="G2841"/>
  <c r="J800"/>
  <c r="G800"/>
  <c r="G3893"/>
  <c r="J4160"/>
  <c r="G2260"/>
  <c r="G862"/>
  <c r="J3344"/>
  <c r="G3963"/>
  <c r="J4098"/>
  <c r="J1682"/>
  <c r="J3078"/>
  <c r="G3249"/>
  <c r="G761"/>
  <c r="J4065"/>
  <c r="J1549"/>
  <c r="J3111"/>
  <c r="G3113"/>
  <c r="G3380"/>
  <c r="S203" i="5"/>
  <c r="A230" i="10"/>
  <c r="A249"/>
  <c r="J2260" i="8"/>
  <c r="J3005"/>
  <c r="J3179"/>
  <c r="G3179"/>
  <c r="J355"/>
  <c r="J729"/>
  <c r="J1203"/>
  <c r="J3893"/>
  <c r="G3891"/>
  <c r="J3721"/>
  <c r="J3619"/>
  <c r="G4164"/>
  <c r="G3347"/>
  <c r="J2359"/>
  <c r="G81"/>
  <c r="J423"/>
  <c r="G2873"/>
  <c r="J4095"/>
  <c r="J3249"/>
  <c r="J2804"/>
  <c r="G1712"/>
  <c r="G2188"/>
  <c r="G3112"/>
  <c r="G3111"/>
  <c r="J3824"/>
  <c r="G1922"/>
  <c r="J3553"/>
  <c r="L2748" i="5"/>
  <c r="L191"/>
  <c r="Q189" s="1"/>
  <c r="I16" i="10" s="1"/>
  <c r="H1570" i="5"/>
  <c r="I2743"/>
  <c r="M2739" s="1"/>
  <c r="I193"/>
  <c r="A26" i="10"/>
  <c r="A1"/>
  <c r="A205"/>
  <c r="A166"/>
  <c r="A23"/>
  <c r="A161"/>
  <c r="J4435" i="8"/>
  <c r="G1441"/>
  <c r="G355"/>
  <c r="G557"/>
  <c r="J3891"/>
  <c r="G3720"/>
  <c r="J4127"/>
  <c r="G3619"/>
  <c r="G3147"/>
  <c r="G3140"/>
  <c r="G1682"/>
  <c r="J862"/>
  <c r="G2395"/>
  <c r="G2358"/>
  <c r="J1580"/>
  <c r="G4435"/>
  <c r="J903"/>
  <c r="G4234"/>
  <c r="G4333"/>
  <c r="G2086"/>
  <c r="J3276"/>
  <c r="J3112"/>
  <c r="F1213" i="5"/>
  <c r="M1195" s="1"/>
  <c r="L2739"/>
  <c r="B196"/>
  <c r="S1195"/>
  <c r="I907"/>
  <c r="M903" s="1"/>
  <c r="S1856"/>
  <c r="E1468"/>
  <c r="L2586"/>
  <c r="B2747"/>
  <c r="B911"/>
  <c r="L910"/>
  <c r="S903"/>
  <c r="L2593"/>
  <c r="B3482" i="8"/>
  <c r="J3482"/>
  <c r="B252"/>
  <c r="G252"/>
  <c r="J252"/>
  <c r="J3587"/>
  <c r="G2428"/>
  <c r="J1169"/>
  <c r="G764"/>
  <c r="J3688"/>
  <c r="J3821"/>
  <c r="Q1471" i="5"/>
  <c r="H1469" s="1"/>
  <c r="G1885" i="8"/>
  <c r="J2428"/>
  <c r="J866"/>
  <c r="G866"/>
  <c r="J869"/>
  <c r="J3957"/>
  <c r="G3757"/>
  <c r="G84"/>
  <c r="G2942"/>
  <c r="J4028"/>
  <c r="J2869"/>
  <c r="J900"/>
  <c r="G188"/>
  <c r="G4229"/>
  <c r="J3075"/>
  <c r="J4337"/>
  <c r="G4404"/>
  <c r="J2971"/>
  <c r="J3548"/>
  <c r="G3282"/>
  <c r="J1545"/>
  <c r="G3691"/>
  <c r="G3385"/>
  <c r="B198" i="5"/>
  <c r="L2746"/>
  <c r="B2746"/>
  <c r="B1473"/>
  <c r="L912"/>
  <c r="B1472"/>
  <c r="E2590"/>
  <c r="G3007" i="8"/>
  <c r="J1441"/>
  <c r="G2840"/>
  <c r="G801"/>
  <c r="G729"/>
  <c r="G1271"/>
  <c r="G1272"/>
  <c r="G2429"/>
  <c r="J2058"/>
  <c r="G2054"/>
  <c r="J3720"/>
  <c r="J4133"/>
  <c r="G593"/>
  <c r="G592"/>
  <c r="G4165"/>
  <c r="J3145"/>
  <c r="J3142"/>
  <c r="J2262"/>
  <c r="G869"/>
  <c r="G3350"/>
  <c r="J2358"/>
  <c r="J3759"/>
  <c r="J84"/>
  <c r="J2939"/>
  <c r="G4031"/>
  <c r="G426"/>
  <c r="G1581"/>
  <c r="J1581"/>
  <c r="G4094"/>
  <c r="J186"/>
  <c r="J1886"/>
  <c r="G1170"/>
  <c r="J760"/>
  <c r="G2089"/>
  <c r="J4404"/>
  <c r="J1304"/>
  <c r="G2970"/>
  <c r="G3279"/>
  <c r="G4058"/>
  <c r="G828"/>
  <c r="G3690"/>
  <c r="G1984"/>
  <c r="G3110"/>
  <c r="G3827"/>
  <c r="J3385"/>
  <c r="J1916"/>
  <c r="B257"/>
  <c r="G257"/>
  <c r="J257"/>
  <c r="B255"/>
  <c r="J255"/>
  <c r="G255"/>
  <c r="B250"/>
  <c r="J250"/>
  <c r="G250"/>
  <c r="J592"/>
  <c r="J1509"/>
  <c r="G898"/>
  <c r="G4059"/>
  <c r="S1476" i="5"/>
  <c r="J3004" i="8"/>
  <c r="G3585"/>
  <c r="J560"/>
  <c r="J998"/>
  <c r="J1885"/>
  <c r="J1578"/>
  <c r="J2086"/>
  <c r="J3109"/>
  <c r="S2751" i="5"/>
  <c r="S2723"/>
  <c r="L903"/>
  <c r="S915"/>
  <c r="L905"/>
  <c r="L1464"/>
  <c r="B913"/>
  <c r="E448"/>
  <c r="J3110" i="8"/>
  <c r="G3008"/>
  <c r="J1444"/>
  <c r="J2840"/>
  <c r="J1272"/>
  <c r="G1203"/>
  <c r="J2427"/>
  <c r="J2057"/>
  <c r="G2059"/>
  <c r="G3723"/>
  <c r="G4126"/>
  <c r="G998"/>
  <c r="G596"/>
  <c r="J4167"/>
  <c r="J2154"/>
  <c r="G2154"/>
  <c r="J3143"/>
  <c r="J3381"/>
  <c r="J868"/>
  <c r="J3349"/>
  <c r="J2393"/>
  <c r="J4027"/>
  <c r="J420"/>
  <c r="G1579"/>
  <c r="J1582"/>
  <c r="J1577"/>
  <c r="J1514"/>
  <c r="J2870"/>
  <c r="G903"/>
  <c r="G4093"/>
  <c r="G185"/>
  <c r="G1886"/>
  <c r="G2262"/>
  <c r="J4234"/>
  <c r="G3076"/>
  <c r="J3248"/>
  <c r="G2802"/>
  <c r="J2087"/>
  <c r="G4405"/>
  <c r="J2970"/>
  <c r="G3554"/>
  <c r="J3283"/>
  <c r="J4058"/>
  <c r="G1549"/>
  <c r="G3685"/>
  <c r="G1989"/>
  <c r="G3826"/>
  <c r="G3384"/>
  <c r="M896" i="5"/>
  <c r="S901"/>
  <c r="B3655" i="8"/>
  <c r="G3655"/>
  <c r="J3655"/>
  <c r="B1241"/>
  <c r="J1241"/>
  <c r="G1241"/>
  <c r="B1748"/>
  <c r="G1748"/>
  <c r="J1748"/>
  <c r="B4366"/>
  <c r="G4366"/>
  <c r="J4366"/>
  <c r="B2566"/>
  <c r="J2566"/>
  <c r="G2566"/>
  <c r="B2770"/>
  <c r="G2770"/>
  <c r="J2770"/>
  <c r="B4300"/>
  <c r="J4300"/>
  <c r="G4300"/>
  <c r="B4302"/>
  <c r="J4302"/>
  <c r="G4302"/>
  <c r="B4198"/>
  <c r="G4198"/>
  <c r="J4198"/>
  <c r="B660"/>
  <c r="G660"/>
  <c r="J660"/>
  <c r="B3787"/>
  <c r="G3787"/>
  <c r="J3787"/>
  <c r="B2634"/>
  <c r="J2634"/>
  <c r="G2634"/>
  <c r="B1376"/>
  <c r="J1376"/>
  <c r="G1376"/>
  <c r="B3448"/>
  <c r="G3448"/>
  <c r="J3448"/>
  <c r="B2908"/>
  <c r="G2908"/>
  <c r="J2908"/>
  <c r="B1678"/>
  <c r="J1678"/>
  <c r="G1678"/>
  <c r="B153"/>
  <c r="G153"/>
  <c r="J153"/>
  <c r="B1956"/>
  <c r="G1956"/>
  <c r="J1956"/>
  <c r="B3042"/>
  <c r="J3042"/>
  <c r="G3042"/>
  <c r="B1243"/>
  <c r="G1243"/>
  <c r="J1243"/>
  <c r="B1242"/>
  <c r="G1242"/>
  <c r="J1242"/>
  <c r="B1746"/>
  <c r="G1746"/>
  <c r="J1746"/>
  <c r="B1753"/>
  <c r="J1753"/>
  <c r="G1753"/>
  <c r="B3486"/>
  <c r="J3486"/>
  <c r="G3486"/>
  <c r="B3487"/>
  <c r="G3487"/>
  <c r="J3487"/>
  <c r="B937"/>
  <c r="G937"/>
  <c r="J937"/>
  <c r="B934"/>
  <c r="J934"/>
  <c r="G934"/>
  <c r="B936"/>
  <c r="J936"/>
  <c r="G936"/>
  <c r="B4369"/>
  <c r="J4369"/>
  <c r="G4369"/>
  <c r="B4370"/>
  <c r="G4370"/>
  <c r="J4370"/>
  <c r="B4371"/>
  <c r="J4371"/>
  <c r="G4371"/>
  <c r="B2562"/>
  <c r="G2562"/>
  <c r="J2562"/>
  <c r="B2293"/>
  <c r="G2293"/>
  <c r="J2293"/>
  <c r="B697"/>
  <c r="G697"/>
  <c r="J697"/>
  <c r="B3927"/>
  <c r="J3927"/>
  <c r="G3927"/>
  <c r="B3925"/>
  <c r="G3925"/>
  <c r="J3925"/>
  <c r="B2330"/>
  <c r="G2330"/>
  <c r="J2330"/>
  <c r="B2326"/>
  <c r="J2326"/>
  <c r="G2326"/>
  <c r="B2769"/>
  <c r="J2769"/>
  <c r="G2769"/>
  <c r="B2766"/>
  <c r="J2766"/>
  <c r="G2766"/>
  <c r="B2022"/>
  <c r="G2022"/>
  <c r="J2022"/>
  <c r="B4303"/>
  <c r="J4303"/>
  <c r="G4303"/>
  <c r="B4296"/>
  <c r="J4296"/>
  <c r="G4296"/>
  <c r="B4301"/>
  <c r="J4301"/>
  <c r="G4301"/>
  <c r="B386"/>
  <c r="G386"/>
  <c r="J386"/>
  <c r="B2226"/>
  <c r="G2226"/>
  <c r="J2226"/>
  <c r="B2224"/>
  <c r="G2224"/>
  <c r="J2224"/>
  <c r="B2567"/>
  <c r="G2567"/>
  <c r="J2567"/>
  <c r="B665"/>
  <c r="G665"/>
  <c r="J665"/>
  <c r="B2565"/>
  <c r="G2565"/>
  <c r="J2565"/>
  <c r="B3792"/>
  <c r="G3792"/>
  <c r="J3792"/>
  <c r="B3786"/>
  <c r="J3786"/>
  <c r="G3786"/>
  <c r="B1377"/>
  <c r="J1377"/>
  <c r="G1377"/>
  <c r="B2636"/>
  <c r="J2636"/>
  <c r="G2636"/>
  <c r="B2631"/>
  <c r="G2631"/>
  <c r="J2631"/>
  <c r="B1684"/>
  <c r="J1684"/>
  <c r="G1684"/>
  <c r="B1105"/>
  <c r="G1105"/>
  <c r="J1105"/>
  <c r="B3446"/>
  <c r="G3446"/>
  <c r="J3446"/>
  <c r="B2603"/>
  <c r="G2603"/>
  <c r="J2603"/>
  <c r="B2601"/>
  <c r="J2601"/>
  <c r="G2601"/>
  <c r="G1442"/>
  <c r="G3958"/>
  <c r="G425"/>
  <c r="G2868"/>
  <c r="G187"/>
  <c r="J2801"/>
  <c r="G1310"/>
  <c r="J1546"/>
  <c r="G3005"/>
  <c r="J3011"/>
  <c r="J3010"/>
  <c r="G3006"/>
  <c r="J1442"/>
  <c r="G1440"/>
  <c r="G1445"/>
  <c r="J1447"/>
  <c r="G2835"/>
  <c r="J2838"/>
  <c r="G2838"/>
  <c r="J2839"/>
  <c r="G796"/>
  <c r="J797"/>
  <c r="G797"/>
  <c r="G3587"/>
  <c r="J3584"/>
  <c r="G3584"/>
  <c r="J3585"/>
  <c r="G726"/>
  <c r="J727"/>
  <c r="G727"/>
  <c r="J1270"/>
  <c r="G1270"/>
  <c r="J1205"/>
  <c r="G1209"/>
  <c r="J1208"/>
  <c r="G1208"/>
  <c r="G559"/>
  <c r="J563"/>
  <c r="G2427"/>
  <c r="J2426"/>
  <c r="G2426"/>
  <c r="G3725"/>
  <c r="J3718"/>
  <c r="G3718"/>
  <c r="J3719"/>
  <c r="G4133"/>
  <c r="J4132"/>
  <c r="G4132"/>
  <c r="J1000"/>
  <c r="J1005"/>
  <c r="G1005"/>
  <c r="G591"/>
  <c r="J590"/>
  <c r="G590"/>
  <c r="J4165"/>
  <c r="G4163"/>
  <c r="G4166"/>
  <c r="J4166"/>
  <c r="G2159"/>
  <c r="J2161"/>
  <c r="G3145"/>
  <c r="G3345"/>
  <c r="J3347"/>
  <c r="J3350"/>
  <c r="G3348"/>
  <c r="G2393"/>
  <c r="J2397"/>
  <c r="J2398"/>
  <c r="G2394"/>
  <c r="G3960"/>
  <c r="J3963"/>
  <c r="G3961"/>
  <c r="J3956"/>
  <c r="J2363"/>
  <c r="G2365"/>
  <c r="J2364"/>
  <c r="J3757"/>
  <c r="G3755"/>
  <c r="G3756"/>
  <c r="J3758"/>
  <c r="G82"/>
  <c r="J81"/>
  <c r="G87"/>
  <c r="J87"/>
  <c r="G2939"/>
  <c r="J2943"/>
  <c r="J2942"/>
  <c r="G2940"/>
  <c r="J4025"/>
  <c r="G4024"/>
  <c r="G4029"/>
  <c r="J4026"/>
  <c r="G421"/>
  <c r="J426"/>
  <c r="G424"/>
  <c r="J421"/>
  <c r="G1583"/>
  <c r="J1583"/>
  <c r="G1510"/>
  <c r="G2871"/>
  <c r="J2868"/>
  <c r="J2873"/>
  <c r="G2874"/>
  <c r="J4433"/>
  <c r="G4433"/>
  <c r="J4432"/>
  <c r="G4439"/>
  <c r="J898"/>
  <c r="G896"/>
  <c r="G897"/>
  <c r="J4093"/>
  <c r="G4096"/>
  <c r="G4099"/>
  <c r="J4096"/>
  <c r="J189"/>
  <c r="J184"/>
  <c r="G184"/>
  <c r="G186"/>
  <c r="J4231"/>
  <c r="G4232"/>
  <c r="G4235"/>
  <c r="J4232"/>
  <c r="J3079"/>
  <c r="G3079"/>
  <c r="J3076"/>
  <c r="G3074"/>
  <c r="J4335"/>
  <c r="G4331"/>
  <c r="J4330"/>
  <c r="G4330"/>
  <c r="J1172"/>
  <c r="G1168"/>
  <c r="G1173"/>
  <c r="G3244"/>
  <c r="J3247"/>
  <c r="G3247"/>
  <c r="J3246"/>
  <c r="J2803"/>
  <c r="G2807"/>
  <c r="J2802"/>
  <c r="G2800"/>
  <c r="G763"/>
  <c r="J766"/>
  <c r="G762"/>
  <c r="J761"/>
  <c r="G2091"/>
  <c r="J2092"/>
  <c r="G2092"/>
  <c r="J2093"/>
  <c r="J4405"/>
  <c r="G4403"/>
  <c r="J4402"/>
  <c r="G4402"/>
  <c r="G1309"/>
  <c r="J1310"/>
  <c r="G1308"/>
  <c r="J1305"/>
  <c r="G2977"/>
  <c r="J2976"/>
  <c r="G2976"/>
  <c r="J2977"/>
  <c r="G3549"/>
  <c r="J3554"/>
  <c r="G3552"/>
  <c r="G3277"/>
  <c r="J3281"/>
  <c r="J3282"/>
  <c r="G3280"/>
  <c r="J4059"/>
  <c r="G4065"/>
  <c r="J4064"/>
  <c r="G4064"/>
  <c r="J828"/>
  <c r="G834"/>
  <c r="J1547"/>
  <c r="G1547"/>
  <c r="G1546"/>
  <c r="G3688"/>
  <c r="J3691"/>
  <c r="G3689"/>
  <c r="G3686"/>
  <c r="G1987"/>
  <c r="J1984"/>
  <c r="J1987"/>
  <c r="G1990"/>
  <c r="G3109"/>
  <c r="G3822"/>
  <c r="J3827"/>
  <c r="G3825"/>
  <c r="J3822"/>
  <c r="J3382"/>
  <c r="G3382"/>
  <c r="J3383"/>
  <c r="G3383"/>
  <c r="J1919"/>
  <c r="J1922"/>
  <c r="G1920"/>
  <c r="J594"/>
  <c r="B154"/>
  <c r="J154"/>
  <c r="G154"/>
  <c r="B155"/>
  <c r="G155"/>
  <c r="J155"/>
  <c r="B626"/>
  <c r="G626"/>
  <c r="J626"/>
  <c r="B625"/>
  <c r="J625"/>
  <c r="G625"/>
  <c r="B630"/>
  <c r="J630"/>
  <c r="G630"/>
  <c r="B3651"/>
  <c r="J3651"/>
  <c r="G3651"/>
  <c r="B3041"/>
  <c r="J3041"/>
  <c r="G3041"/>
  <c r="B931"/>
  <c r="J931"/>
  <c r="G931"/>
  <c r="B4364"/>
  <c r="J4364"/>
  <c r="G4364"/>
  <c r="B2296"/>
  <c r="G2296"/>
  <c r="J2296"/>
  <c r="B2292"/>
  <c r="J2292"/>
  <c r="G2292"/>
  <c r="B692"/>
  <c r="J692"/>
  <c r="G692"/>
  <c r="B3654"/>
  <c r="G3654"/>
  <c r="J3654"/>
  <c r="B150"/>
  <c r="G150"/>
  <c r="J150"/>
  <c r="B3656"/>
  <c r="G3656"/>
  <c r="J3656"/>
  <c r="B289"/>
  <c r="G289"/>
  <c r="J289"/>
  <c r="B288"/>
  <c r="J288"/>
  <c r="G288"/>
  <c r="B1066"/>
  <c r="G1066"/>
  <c r="J1066"/>
  <c r="B1072"/>
  <c r="G1072"/>
  <c r="J1072"/>
  <c r="B4466"/>
  <c r="G4466"/>
  <c r="J4466"/>
  <c r="B2290"/>
  <c r="G2290"/>
  <c r="J2290"/>
  <c r="B694"/>
  <c r="J694"/>
  <c r="G694"/>
  <c r="B3923"/>
  <c r="G3923"/>
  <c r="J3923"/>
  <c r="B2327"/>
  <c r="J2327"/>
  <c r="G2327"/>
  <c r="B2325"/>
  <c r="J2325"/>
  <c r="G2325"/>
  <c r="B388"/>
  <c r="G388"/>
  <c r="J388"/>
  <c r="B390"/>
  <c r="G390"/>
  <c r="J390"/>
  <c r="B2225"/>
  <c r="G2225"/>
  <c r="J2225"/>
  <c r="B1373"/>
  <c r="J1373"/>
  <c r="G1373"/>
  <c r="B3791"/>
  <c r="J3791"/>
  <c r="G3791"/>
  <c r="B3789"/>
  <c r="J3789"/>
  <c r="G3789"/>
  <c r="B1100"/>
  <c r="J1100"/>
  <c r="G1100"/>
  <c r="B2632"/>
  <c r="G2632"/>
  <c r="J2632"/>
  <c r="B2637"/>
  <c r="G2637"/>
  <c r="J2637"/>
  <c r="B1685"/>
  <c r="G1685"/>
  <c r="J1685"/>
  <c r="B2906"/>
  <c r="G2906"/>
  <c r="J2906"/>
  <c r="B3450"/>
  <c r="J3450"/>
  <c r="G3450"/>
  <c r="B1680"/>
  <c r="G1680"/>
  <c r="J1680"/>
  <c r="B1884"/>
  <c r="G1884"/>
  <c r="J1884"/>
  <c r="B1103"/>
  <c r="J1103"/>
  <c r="G1103"/>
  <c r="B3451"/>
  <c r="J3451"/>
  <c r="G3451"/>
  <c r="B2902"/>
  <c r="G2902"/>
  <c r="J2902"/>
  <c r="G3586"/>
  <c r="J1275"/>
  <c r="G4030"/>
  <c r="G2801"/>
  <c r="G1307"/>
  <c r="J1986"/>
  <c r="J1921"/>
  <c r="S1209" i="5"/>
  <c r="J3007" i="8"/>
  <c r="G3011"/>
  <c r="J3008"/>
  <c r="G3004"/>
  <c r="J1440"/>
  <c r="G1443"/>
  <c r="G1446"/>
  <c r="J1445"/>
  <c r="G2839"/>
  <c r="J2836"/>
  <c r="G2836"/>
  <c r="J2837"/>
  <c r="J795"/>
  <c r="G795"/>
  <c r="G3589"/>
  <c r="J3582"/>
  <c r="G3582"/>
  <c r="J3583"/>
  <c r="J733"/>
  <c r="G733"/>
  <c r="J1276"/>
  <c r="G1276"/>
  <c r="J1207"/>
  <c r="G1207"/>
  <c r="J1206"/>
  <c r="G1206"/>
  <c r="G561"/>
  <c r="J561"/>
  <c r="G2432"/>
  <c r="J2433"/>
  <c r="G2433"/>
  <c r="J2432"/>
  <c r="G3719"/>
  <c r="J3724"/>
  <c r="G3724"/>
  <c r="J3725"/>
  <c r="G4131"/>
  <c r="J1002"/>
  <c r="G1002"/>
  <c r="J591"/>
  <c r="J597"/>
  <c r="G597"/>
  <c r="J596"/>
  <c r="J4163"/>
  <c r="G4161"/>
  <c r="G4160"/>
  <c r="J4164"/>
  <c r="G2161"/>
  <c r="J2159"/>
  <c r="J3147"/>
  <c r="J3351"/>
  <c r="G3351"/>
  <c r="J3348"/>
  <c r="G3346"/>
  <c r="J2395"/>
  <c r="G2399"/>
  <c r="J2396"/>
  <c r="G2392"/>
  <c r="J3961"/>
  <c r="G3959"/>
  <c r="G3962"/>
  <c r="J3962"/>
  <c r="J2365"/>
  <c r="G2363"/>
  <c r="J2362"/>
  <c r="G2364"/>
  <c r="J3755"/>
  <c r="G3753"/>
  <c r="G3752"/>
  <c r="J3756"/>
  <c r="G80"/>
  <c r="G85"/>
  <c r="J80"/>
  <c r="J85"/>
  <c r="G2937"/>
  <c r="J2937"/>
  <c r="J2940"/>
  <c r="G2938"/>
  <c r="G4026"/>
  <c r="J4031"/>
  <c r="G4027"/>
  <c r="J4024"/>
  <c r="J424"/>
  <c r="G422"/>
  <c r="G427"/>
  <c r="J427"/>
  <c r="G1582"/>
  <c r="J1510"/>
  <c r="G1508"/>
  <c r="G1509"/>
  <c r="G2869"/>
  <c r="J2871"/>
  <c r="J2874"/>
  <c r="G2872"/>
  <c r="J4438"/>
  <c r="J4436"/>
  <c r="G4434"/>
  <c r="J4439"/>
  <c r="J896"/>
  <c r="G899"/>
  <c r="G902"/>
  <c r="J899"/>
  <c r="G4098"/>
  <c r="J4099"/>
  <c r="G4097"/>
  <c r="J4094"/>
  <c r="J187"/>
  <c r="J182"/>
  <c r="G182"/>
  <c r="J183"/>
  <c r="J4229"/>
  <c r="G4228"/>
  <c r="G4233"/>
  <c r="J4230"/>
  <c r="J3073"/>
  <c r="G3077"/>
  <c r="J3074"/>
  <c r="G3072"/>
  <c r="J4331"/>
  <c r="G4337"/>
  <c r="J4336"/>
  <c r="G4336"/>
  <c r="J1170"/>
  <c r="J1173"/>
  <c r="G3246"/>
  <c r="J3245"/>
  <c r="G3245"/>
  <c r="J3244"/>
  <c r="G2805"/>
  <c r="J2800"/>
  <c r="J2805"/>
  <c r="G2806"/>
  <c r="J764"/>
  <c r="G760"/>
  <c r="G765"/>
  <c r="J767"/>
  <c r="G2093"/>
  <c r="J2090"/>
  <c r="G2090"/>
  <c r="J2091"/>
  <c r="J4401"/>
  <c r="G4401"/>
  <c r="J4400"/>
  <c r="G4400"/>
  <c r="J1308"/>
  <c r="G1306"/>
  <c r="G1311"/>
  <c r="J1311"/>
  <c r="G2971"/>
  <c r="J2974"/>
  <c r="G2974"/>
  <c r="J2975"/>
  <c r="J3555"/>
  <c r="G3555"/>
  <c r="J3552"/>
  <c r="G3550"/>
  <c r="J3279"/>
  <c r="G3283"/>
  <c r="J3280"/>
  <c r="J4061"/>
  <c r="G4063"/>
  <c r="J4062"/>
  <c r="G4062"/>
  <c r="G835"/>
  <c r="J834"/>
  <c r="G832"/>
  <c r="J831"/>
  <c r="J1543"/>
  <c r="G1545"/>
  <c r="J1544"/>
  <c r="G1544"/>
  <c r="J3689"/>
  <c r="J3686"/>
  <c r="G3684"/>
  <c r="J1989"/>
  <c r="J1990"/>
  <c r="G1988"/>
  <c r="G3107"/>
  <c r="J3106"/>
  <c r="G3106"/>
  <c r="G3820"/>
  <c r="J3825"/>
  <c r="G3823"/>
  <c r="J3820"/>
  <c r="J3384"/>
  <c r="J3379"/>
  <c r="G3381"/>
  <c r="J3380"/>
  <c r="J1923"/>
  <c r="G1923"/>
  <c r="J1920"/>
  <c r="G1918"/>
  <c r="J2430"/>
  <c r="B151"/>
  <c r="G151"/>
  <c r="J151"/>
  <c r="B1951"/>
  <c r="J1951"/>
  <c r="G1951"/>
  <c r="B3045"/>
  <c r="G3045"/>
  <c r="J3045"/>
  <c r="B287"/>
  <c r="G287"/>
  <c r="J287"/>
  <c r="B2670"/>
  <c r="G2670"/>
  <c r="J2670"/>
  <c r="B1071"/>
  <c r="J1071"/>
  <c r="G1071"/>
  <c r="B4196"/>
  <c r="G4196"/>
  <c r="J4196"/>
  <c r="B1237"/>
  <c r="J1237"/>
  <c r="G1237"/>
  <c r="B1238"/>
  <c r="J1238"/>
  <c r="G1238"/>
  <c r="B1747"/>
  <c r="G1747"/>
  <c r="J1747"/>
  <c r="B4473"/>
  <c r="G4473"/>
  <c r="J4473"/>
  <c r="B4467"/>
  <c r="J4467"/>
  <c r="G4467"/>
  <c r="B935"/>
  <c r="G935"/>
  <c r="J935"/>
  <c r="B4365"/>
  <c r="G4365"/>
  <c r="J4365"/>
  <c r="B2569"/>
  <c r="G2569"/>
  <c r="J2569"/>
  <c r="B698"/>
  <c r="G698"/>
  <c r="J698"/>
  <c r="B696"/>
  <c r="G696"/>
  <c r="J696"/>
  <c r="B3926"/>
  <c r="G3926"/>
  <c r="J3926"/>
  <c r="B2324"/>
  <c r="G2324"/>
  <c r="J2324"/>
  <c r="B2772"/>
  <c r="G2772"/>
  <c r="J2772"/>
  <c r="B2025"/>
  <c r="G2025"/>
  <c r="J2025"/>
  <c r="B391"/>
  <c r="J391"/>
  <c r="G391"/>
  <c r="B2222"/>
  <c r="G2222"/>
  <c r="J2222"/>
  <c r="B2229"/>
  <c r="J2229"/>
  <c r="G2229"/>
  <c r="B2228"/>
  <c r="G2228"/>
  <c r="J2228"/>
  <c r="B1379"/>
  <c r="G1379"/>
  <c r="J1379"/>
  <c r="B3793"/>
  <c r="J3793"/>
  <c r="G3793"/>
  <c r="B1104"/>
  <c r="G1104"/>
  <c r="J1104"/>
  <c r="B1374"/>
  <c r="J1374"/>
  <c r="G1374"/>
  <c r="B2633"/>
  <c r="G2633"/>
  <c r="J2633"/>
  <c r="B1888"/>
  <c r="G1888"/>
  <c r="J1888"/>
  <c r="B2598"/>
  <c r="J2598"/>
  <c r="G2598"/>
  <c r="B2600"/>
  <c r="G2600"/>
  <c r="J2600"/>
  <c r="B658"/>
  <c r="J658"/>
  <c r="G658"/>
  <c r="B148"/>
  <c r="J148"/>
  <c r="G148"/>
  <c r="B627"/>
  <c r="G627"/>
  <c r="J627"/>
  <c r="B1952"/>
  <c r="G1952"/>
  <c r="J1952"/>
  <c r="B3653"/>
  <c r="J3653"/>
  <c r="G3653"/>
  <c r="B3039"/>
  <c r="G3039"/>
  <c r="J3039"/>
  <c r="B290"/>
  <c r="G290"/>
  <c r="J290"/>
  <c r="B286"/>
  <c r="J286"/>
  <c r="G286"/>
  <c r="B2666"/>
  <c r="J2666"/>
  <c r="G2666"/>
  <c r="B2667"/>
  <c r="J2667"/>
  <c r="G2667"/>
  <c r="B2671"/>
  <c r="G2671"/>
  <c r="J2671"/>
  <c r="B1067"/>
  <c r="J1067"/>
  <c r="G1067"/>
  <c r="B1069"/>
  <c r="G1069"/>
  <c r="J1069"/>
  <c r="B1073"/>
  <c r="G1073"/>
  <c r="J1073"/>
  <c r="B4197"/>
  <c r="G4197"/>
  <c r="J4197"/>
  <c r="B152"/>
  <c r="J152"/>
  <c r="G152"/>
  <c r="B149"/>
  <c r="J149"/>
  <c r="G149"/>
  <c r="B629"/>
  <c r="J629"/>
  <c r="G629"/>
  <c r="B631"/>
  <c r="J631"/>
  <c r="G631"/>
  <c r="B1950"/>
  <c r="G1950"/>
  <c r="J1950"/>
  <c r="B1954"/>
  <c r="G1954"/>
  <c r="J1954"/>
  <c r="B1955"/>
  <c r="J1955"/>
  <c r="G1955"/>
  <c r="B3657"/>
  <c r="G3657"/>
  <c r="J3657"/>
  <c r="B3043"/>
  <c r="G3043"/>
  <c r="J3043"/>
  <c r="B3044"/>
  <c r="G3044"/>
  <c r="J3044"/>
  <c r="B284"/>
  <c r="G284"/>
  <c r="J284"/>
  <c r="B2669"/>
  <c r="G2669"/>
  <c r="J2669"/>
  <c r="B4195"/>
  <c r="G4195"/>
  <c r="J4195"/>
  <c r="B1240"/>
  <c r="J1240"/>
  <c r="G1240"/>
  <c r="B1752"/>
  <c r="G1752"/>
  <c r="J1752"/>
  <c r="B1749"/>
  <c r="G1749"/>
  <c r="J1749"/>
  <c r="B4472"/>
  <c r="J4472"/>
  <c r="G4472"/>
  <c r="B4471"/>
  <c r="G4471"/>
  <c r="J4471"/>
  <c r="B3480"/>
  <c r="G3480"/>
  <c r="J3480"/>
  <c r="B933"/>
  <c r="G933"/>
  <c r="J933"/>
  <c r="B2563"/>
  <c r="G2563"/>
  <c r="J2563"/>
  <c r="B2295"/>
  <c r="J2295"/>
  <c r="G2295"/>
  <c r="B695"/>
  <c r="J695"/>
  <c r="G695"/>
  <c r="B699"/>
  <c r="J699"/>
  <c r="G699"/>
  <c r="B3924"/>
  <c r="G3924"/>
  <c r="J3924"/>
  <c r="B3929"/>
  <c r="J3929"/>
  <c r="G3929"/>
  <c r="B2771"/>
  <c r="J2771"/>
  <c r="G2771"/>
  <c r="B2768"/>
  <c r="G2768"/>
  <c r="J2768"/>
  <c r="B2023"/>
  <c r="J2023"/>
  <c r="G2023"/>
  <c r="B2018"/>
  <c r="G2018"/>
  <c r="J2018"/>
  <c r="B2021"/>
  <c r="J2021"/>
  <c r="G2021"/>
  <c r="B4298"/>
  <c r="J4298"/>
  <c r="G4298"/>
  <c r="B4199"/>
  <c r="J4199"/>
  <c r="G4199"/>
  <c r="B624"/>
  <c r="G624"/>
  <c r="J624"/>
  <c r="B628"/>
  <c r="J628"/>
  <c r="G628"/>
  <c r="B1957"/>
  <c r="G1957"/>
  <c r="J1957"/>
  <c r="B1953"/>
  <c r="G1953"/>
  <c r="J1953"/>
  <c r="B3652"/>
  <c r="G3652"/>
  <c r="J3652"/>
  <c r="B3650"/>
  <c r="J3650"/>
  <c r="G3650"/>
  <c r="B3040"/>
  <c r="G3040"/>
  <c r="J3040"/>
  <c r="B3038"/>
  <c r="G3038"/>
  <c r="J3038"/>
  <c r="B291"/>
  <c r="J291"/>
  <c r="G291"/>
  <c r="B285"/>
  <c r="J285"/>
  <c r="G285"/>
  <c r="B2665"/>
  <c r="J2665"/>
  <c r="G2665"/>
  <c r="B2668"/>
  <c r="J2668"/>
  <c r="G2668"/>
  <c r="B2664"/>
  <c r="G2664"/>
  <c r="J2664"/>
  <c r="B1070"/>
  <c r="J1070"/>
  <c r="G1070"/>
  <c r="B1068"/>
  <c r="G1068"/>
  <c r="J1068"/>
  <c r="B3483"/>
  <c r="G3483"/>
  <c r="J3483"/>
  <c r="B1239"/>
  <c r="G1239"/>
  <c r="J1239"/>
  <c r="B1236"/>
  <c r="J1236"/>
  <c r="G1236"/>
  <c r="B1751"/>
  <c r="J1751"/>
  <c r="G1751"/>
  <c r="B1750"/>
  <c r="G1750"/>
  <c r="J1750"/>
  <c r="B4468"/>
  <c r="G4468"/>
  <c r="J4468"/>
  <c r="B4470"/>
  <c r="G4470"/>
  <c r="J4470"/>
  <c r="B4469"/>
  <c r="J4469"/>
  <c r="G4469"/>
  <c r="B3484"/>
  <c r="J3484"/>
  <c r="G3484"/>
  <c r="B930"/>
  <c r="J930"/>
  <c r="G930"/>
  <c r="B932"/>
  <c r="G932"/>
  <c r="J932"/>
  <c r="B4367"/>
  <c r="G4367"/>
  <c r="J4367"/>
  <c r="B4368"/>
  <c r="J4368"/>
  <c r="G4368"/>
  <c r="B4194"/>
  <c r="G4194"/>
  <c r="J4194"/>
  <c r="B2568"/>
  <c r="J2568"/>
  <c r="G2568"/>
  <c r="B2297"/>
  <c r="G2297"/>
  <c r="J2297"/>
  <c r="B2294"/>
  <c r="G2294"/>
  <c r="J2294"/>
  <c r="B2291"/>
  <c r="G2291"/>
  <c r="J2291"/>
  <c r="B693"/>
  <c r="G693"/>
  <c r="J693"/>
  <c r="B3928"/>
  <c r="J3928"/>
  <c r="G3928"/>
  <c r="B3922"/>
  <c r="G3922"/>
  <c r="J3922"/>
  <c r="B2331"/>
  <c r="G2331"/>
  <c r="J2331"/>
  <c r="B2328"/>
  <c r="J2328"/>
  <c r="G2328"/>
  <c r="B2329"/>
  <c r="J2329"/>
  <c r="G2329"/>
  <c r="B2773"/>
  <c r="J2773"/>
  <c r="G2773"/>
  <c r="B2767"/>
  <c r="J2767"/>
  <c r="G2767"/>
  <c r="B2019"/>
  <c r="J2019"/>
  <c r="G2019"/>
  <c r="B2024"/>
  <c r="G2024"/>
  <c r="J2024"/>
  <c r="B2020"/>
  <c r="G2020"/>
  <c r="J2020"/>
  <c r="B4297"/>
  <c r="G4297"/>
  <c r="J4297"/>
  <c r="B4299"/>
  <c r="J4299"/>
  <c r="G4299"/>
  <c r="B4200"/>
  <c r="G4200"/>
  <c r="J4200"/>
  <c r="B393"/>
  <c r="J393"/>
  <c r="G393"/>
  <c r="B2223"/>
  <c r="J2223"/>
  <c r="G2223"/>
  <c r="B2227"/>
  <c r="G2227"/>
  <c r="J2227"/>
  <c r="B663"/>
  <c r="J663"/>
  <c r="G663"/>
  <c r="B661"/>
  <c r="J661"/>
  <c r="G661"/>
  <c r="B1375"/>
  <c r="J1375"/>
  <c r="G1375"/>
  <c r="B1378"/>
  <c r="G1378"/>
  <c r="J1378"/>
  <c r="B3790"/>
  <c r="G3790"/>
  <c r="J3790"/>
  <c r="B3788"/>
  <c r="G3788"/>
  <c r="J3788"/>
  <c r="B1101"/>
  <c r="G1101"/>
  <c r="J1101"/>
  <c r="B2630"/>
  <c r="G2630"/>
  <c r="J2630"/>
  <c r="B1679"/>
  <c r="G1679"/>
  <c r="J1679"/>
  <c r="B3447"/>
  <c r="J3447"/>
  <c r="G3447"/>
  <c r="B2903"/>
  <c r="G2903"/>
  <c r="J2903"/>
  <c r="B2905"/>
  <c r="J2905"/>
  <c r="G2905"/>
  <c r="B1887"/>
  <c r="J1887"/>
  <c r="G1887"/>
  <c r="B1107"/>
  <c r="J1107"/>
  <c r="G1107"/>
  <c r="B1681"/>
  <c r="G1681"/>
  <c r="J1681"/>
  <c r="B2907"/>
  <c r="J2907"/>
  <c r="G2907"/>
  <c r="B1106"/>
  <c r="G1106"/>
  <c r="J1106"/>
  <c r="B2602"/>
  <c r="G2602"/>
  <c r="J2602"/>
  <c r="B389"/>
  <c r="G389"/>
  <c r="J389"/>
  <c r="B3452"/>
  <c r="J3452"/>
  <c r="G3452"/>
  <c r="B3449"/>
  <c r="G3449"/>
  <c r="J3449"/>
  <c r="J3586"/>
  <c r="J999"/>
  <c r="G999"/>
  <c r="J2392"/>
  <c r="G2396"/>
  <c r="J3958"/>
  <c r="G2361"/>
  <c r="G3754"/>
  <c r="G2941"/>
  <c r="J2936"/>
  <c r="J4434"/>
  <c r="J4233"/>
  <c r="G3073"/>
  <c r="G1171"/>
  <c r="G3242"/>
  <c r="J763"/>
  <c r="J1307"/>
  <c r="G831"/>
  <c r="J835"/>
  <c r="G1919"/>
  <c r="J2361"/>
  <c r="S456" i="5"/>
  <c r="L451"/>
  <c r="B452"/>
  <c r="G3009" i="8"/>
  <c r="J3006"/>
  <c r="J3009"/>
  <c r="G3010"/>
  <c r="G1447"/>
  <c r="J1446"/>
  <c r="G1444"/>
  <c r="J1443"/>
  <c r="G2837"/>
  <c r="J2834"/>
  <c r="G2834"/>
  <c r="J2835"/>
  <c r="J796"/>
  <c r="G3583"/>
  <c r="J3588"/>
  <c r="G3588"/>
  <c r="J3589"/>
  <c r="J726"/>
  <c r="J1271"/>
  <c r="G1275"/>
  <c r="J1274"/>
  <c r="G1274"/>
  <c r="J1209"/>
  <c r="G1205"/>
  <c r="J1204"/>
  <c r="G1204"/>
  <c r="G563"/>
  <c r="G560"/>
  <c r="J559"/>
  <c r="J2429"/>
  <c r="J2431"/>
  <c r="G2431"/>
  <c r="G2430"/>
  <c r="G3721"/>
  <c r="J3722"/>
  <c r="G3722"/>
  <c r="J3723"/>
  <c r="J4131"/>
  <c r="J4128"/>
  <c r="G4128"/>
  <c r="G1000"/>
  <c r="J1001"/>
  <c r="G1001"/>
  <c r="J593"/>
  <c r="G594"/>
  <c r="J4161"/>
  <c r="G4162"/>
  <c r="G4167"/>
  <c r="J4162"/>
  <c r="G2157"/>
  <c r="J2157"/>
  <c r="G3141"/>
  <c r="J3141"/>
  <c r="G3142"/>
  <c r="J185"/>
  <c r="J863"/>
  <c r="G863"/>
  <c r="J3345"/>
  <c r="G3349"/>
  <c r="J3346"/>
  <c r="G3344"/>
  <c r="G2397"/>
  <c r="J2394"/>
  <c r="J2399"/>
  <c r="G2398"/>
  <c r="J3959"/>
  <c r="G3957"/>
  <c r="G3956"/>
  <c r="J3960"/>
  <c r="G2359"/>
  <c r="J2360"/>
  <c r="G2360"/>
  <c r="G2362"/>
  <c r="J3753"/>
  <c r="G3758"/>
  <c r="G3759"/>
  <c r="J3754"/>
  <c r="G83"/>
  <c r="J86"/>
  <c r="G86"/>
  <c r="J83"/>
  <c r="J2941"/>
  <c r="G2943"/>
  <c r="J2938"/>
  <c r="G2936"/>
  <c r="J4029"/>
  <c r="G4025"/>
  <c r="G4028"/>
  <c r="J4030"/>
  <c r="J422"/>
  <c r="G420"/>
  <c r="G423"/>
  <c r="J425"/>
  <c r="G1577"/>
  <c r="G1580"/>
  <c r="J1579"/>
  <c r="J1508"/>
  <c r="G1511"/>
  <c r="G1514"/>
  <c r="J1511"/>
  <c r="J2875"/>
  <c r="G2875"/>
  <c r="J2872"/>
  <c r="G2870"/>
  <c r="G4432"/>
  <c r="G4438"/>
  <c r="J4437"/>
  <c r="G4437"/>
  <c r="J902"/>
  <c r="G900"/>
  <c r="J897"/>
  <c r="G4092"/>
  <c r="J4097"/>
  <c r="G4095"/>
  <c r="J4092"/>
  <c r="G183"/>
  <c r="G189"/>
  <c r="J188"/>
  <c r="J3687"/>
  <c r="G4230"/>
  <c r="J4235"/>
  <c r="G4231"/>
  <c r="J4228"/>
  <c r="G3075"/>
  <c r="J3072"/>
  <c r="J3077"/>
  <c r="G3078"/>
  <c r="J4333"/>
  <c r="G4335"/>
  <c r="J4334"/>
  <c r="G4334"/>
  <c r="J1168"/>
  <c r="G1169"/>
  <c r="G1172"/>
  <c r="J1171"/>
  <c r="G3248"/>
  <c r="J3243"/>
  <c r="G3243"/>
  <c r="J3242"/>
  <c r="G2803"/>
  <c r="J2807"/>
  <c r="J2806"/>
  <c r="G2804"/>
  <c r="J762"/>
  <c r="G767"/>
  <c r="G766"/>
  <c r="J765"/>
  <c r="G2087"/>
  <c r="J2088"/>
  <c r="G2088"/>
  <c r="J2089"/>
  <c r="J4403"/>
  <c r="J4398"/>
  <c r="G4398"/>
  <c r="J1306"/>
  <c r="G1304"/>
  <c r="G1305"/>
  <c r="J1309"/>
  <c r="G2973"/>
  <c r="J2972"/>
  <c r="G2972"/>
  <c r="J2973"/>
  <c r="J3549"/>
  <c r="G3553"/>
  <c r="J3550"/>
  <c r="G3548"/>
  <c r="J3277"/>
  <c r="G3281"/>
  <c r="G3276"/>
  <c r="J4063"/>
  <c r="G4061"/>
  <c r="J4060"/>
  <c r="G4060"/>
  <c r="G829"/>
  <c r="J832"/>
  <c r="J829"/>
  <c r="G1543"/>
  <c r="J1542"/>
  <c r="G1542"/>
  <c r="G3687"/>
  <c r="J3684"/>
  <c r="J3685"/>
  <c r="J3690"/>
  <c r="J1991"/>
  <c r="G1991"/>
  <c r="J1988"/>
  <c r="G1986"/>
  <c r="J3107"/>
  <c r="J3823"/>
  <c r="G3821"/>
  <c r="G3824"/>
  <c r="J3826"/>
  <c r="G3378"/>
  <c r="G3379"/>
  <c r="J3378"/>
  <c r="G1921"/>
  <c r="J1918"/>
  <c r="G1916"/>
  <c r="J82"/>
  <c r="L3256" i="5"/>
  <c r="L3249"/>
  <c r="Q3249" s="1"/>
  <c r="K3247" s="1"/>
  <c r="B197"/>
  <c r="S1478"/>
  <c r="E193"/>
  <c r="L196"/>
  <c r="Q196" s="1"/>
  <c r="J194" s="1"/>
  <c r="S1870"/>
  <c r="S201"/>
  <c r="L1466"/>
  <c r="B1474"/>
  <c r="I1468"/>
  <c r="D2641"/>
  <c r="D193"/>
  <c r="B3257"/>
  <c r="C2029"/>
  <c r="M2011" s="1"/>
  <c r="E3253"/>
  <c r="D1774"/>
  <c r="B2595"/>
  <c r="E2386"/>
  <c r="M2382" s="1"/>
  <c r="S2394"/>
  <c r="L1828"/>
  <c r="B2392"/>
  <c r="S2396"/>
  <c r="S2329"/>
  <c r="L351"/>
  <c r="L2391"/>
  <c r="B1829"/>
  <c r="L2389"/>
  <c r="E1825"/>
  <c r="B2390"/>
  <c r="L1821"/>
  <c r="Q1821" s="1"/>
  <c r="Q1822" s="1"/>
  <c r="S597"/>
  <c r="L2384"/>
  <c r="Q2382" s="1"/>
  <c r="K2380" s="1"/>
  <c r="S356"/>
  <c r="I346"/>
  <c r="M342" s="1"/>
  <c r="L344"/>
  <c r="S2343"/>
  <c r="B2338"/>
  <c r="L3360"/>
  <c r="B3359"/>
  <c r="M3358" s="1"/>
  <c r="D3202"/>
  <c r="L1371"/>
  <c r="F856"/>
  <c r="S3365"/>
  <c r="E3355"/>
  <c r="S544"/>
  <c r="S1295"/>
  <c r="H1927"/>
  <c r="B1420"/>
  <c r="H3100"/>
  <c r="B3355"/>
  <c r="S2572"/>
  <c r="I2029"/>
  <c r="B3258"/>
  <c r="I1366"/>
  <c r="E2335"/>
  <c r="B3205"/>
  <c r="S1397"/>
  <c r="G856"/>
  <c r="I3355"/>
  <c r="L3351"/>
  <c r="L3353"/>
  <c r="L3358"/>
  <c r="Q3358" s="1"/>
  <c r="I3356" s="1"/>
  <c r="S1376"/>
  <c r="L2338"/>
  <c r="B2339"/>
  <c r="Q3147"/>
  <c r="I248" i="10" s="1"/>
  <c r="B1372" i="5"/>
  <c r="L2027"/>
  <c r="F3202"/>
  <c r="S3159"/>
  <c r="S1040"/>
  <c r="B555"/>
  <c r="S2241"/>
  <c r="S532"/>
  <c r="F1009"/>
  <c r="S150"/>
  <c r="L854"/>
  <c r="B2035"/>
  <c r="S2368"/>
  <c r="S2060"/>
  <c r="B1422"/>
  <c r="D601"/>
  <c r="B3001"/>
  <c r="L2236"/>
  <c r="B2442"/>
  <c r="B550"/>
  <c r="M532" s="1"/>
  <c r="B148"/>
  <c r="L3154"/>
  <c r="L140"/>
  <c r="B146"/>
  <c r="E3151"/>
  <c r="G2692"/>
  <c r="S2315"/>
  <c r="S1411"/>
  <c r="S954"/>
  <c r="C3151"/>
  <c r="G1774"/>
  <c r="E2233"/>
  <c r="S1413"/>
  <c r="C856"/>
  <c r="L147"/>
  <c r="Q145" s="1"/>
  <c r="H143" s="1"/>
  <c r="E142"/>
  <c r="M138" s="1"/>
  <c r="S152"/>
  <c r="L2034"/>
  <c r="D2029"/>
  <c r="B2389"/>
  <c r="S2445"/>
  <c r="B2237"/>
  <c r="L2433"/>
  <c r="Q2433" s="1"/>
  <c r="K2431" s="1"/>
  <c r="B3155"/>
  <c r="L138"/>
  <c r="L1413"/>
  <c r="L2440"/>
  <c r="E3202"/>
  <c r="B1627"/>
  <c r="L1420"/>
  <c r="S866"/>
  <c r="S3210"/>
  <c r="L1626"/>
  <c r="S560"/>
  <c r="E1417"/>
  <c r="M1413" s="1"/>
  <c r="B3206"/>
  <c r="I856"/>
  <c r="I1570"/>
  <c r="G1978"/>
  <c r="S1601"/>
  <c r="B1421"/>
  <c r="B2441"/>
  <c r="L3198"/>
  <c r="B862"/>
  <c r="L1619"/>
  <c r="Q1617" s="1"/>
  <c r="I1615" s="1"/>
  <c r="L548"/>
  <c r="F1060"/>
  <c r="S1603"/>
  <c r="B1576"/>
  <c r="I550"/>
  <c r="M546" s="1"/>
  <c r="C2437"/>
  <c r="S1580"/>
  <c r="L1575"/>
  <c r="B556"/>
  <c r="S2213"/>
  <c r="I2692"/>
  <c r="I1978"/>
  <c r="S1631"/>
  <c r="I1060"/>
  <c r="H1621"/>
  <c r="M1610" s="1"/>
  <c r="B397"/>
  <c r="S2382"/>
  <c r="C1774"/>
  <c r="L1983"/>
  <c r="S2700"/>
  <c r="L1058"/>
  <c r="L1415"/>
  <c r="S291"/>
  <c r="E2029"/>
  <c r="S3182"/>
  <c r="S2366"/>
  <c r="L956"/>
  <c r="S2688"/>
  <c r="B2695"/>
  <c r="S2243"/>
  <c r="I958"/>
  <c r="L2238"/>
  <c r="G2998"/>
  <c r="S2702"/>
  <c r="L2690"/>
  <c r="L2025"/>
  <c r="S968"/>
  <c r="S1499"/>
  <c r="S1427"/>
  <c r="G346"/>
  <c r="M328" s="1"/>
  <c r="D2233"/>
  <c r="B2696"/>
  <c r="F958"/>
  <c r="F2692"/>
  <c r="L1065"/>
  <c r="Q1063" s="1"/>
  <c r="K1061" s="1"/>
  <c r="G3202"/>
  <c r="M3184" s="1"/>
  <c r="S2380"/>
  <c r="L1976"/>
  <c r="L1422"/>
  <c r="Q1420" s="1"/>
  <c r="C2947"/>
  <c r="M2936" s="1"/>
  <c r="B1423"/>
  <c r="S444"/>
  <c r="S3212"/>
  <c r="L3207"/>
  <c r="Q3205" s="1"/>
  <c r="J3203" s="1"/>
  <c r="L2695"/>
  <c r="L2688"/>
  <c r="B1066"/>
  <c r="H3202"/>
  <c r="L3200"/>
  <c r="B3208"/>
  <c r="S1988"/>
  <c r="S1399"/>
  <c r="B964"/>
  <c r="B2239"/>
  <c r="L2697"/>
  <c r="B2341"/>
  <c r="M2338" s="1"/>
  <c r="L2333"/>
  <c r="Q2331" s="1"/>
  <c r="I2329" s="1"/>
  <c r="I2335"/>
  <c r="L2340"/>
  <c r="L2231"/>
  <c r="Q2229" s="1"/>
  <c r="Q2230" s="1"/>
  <c r="S122"/>
  <c r="L604"/>
  <c r="Q604" s="1"/>
  <c r="J602" s="1"/>
  <c r="L2032"/>
  <c r="B1318"/>
  <c r="S2011"/>
  <c r="D1315"/>
  <c r="M1304" s="1"/>
  <c r="S2037"/>
  <c r="S3008"/>
  <c r="B147"/>
  <c r="E601"/>
  <c r="L2996"/>
  <c r="S609"/>
  <c r="L597"/>
  <c r="I2998"/>
  <c r="B3004"/>
  <c r="S3145"/>
  <c r="B2238"/>
  <c r="I2794"/>
  <c r="S952"/>
  <c r="H1978"/>
  <c r="H652"/>
  <c r="L1313"/>
  <c r="G397"/>
  <c r="L546"/>
  <c r="F1825"/>
  <c r="G958"/>
  <c r="M947" s="1"/>
  <c r="E1060"/>
  <c r="B2233"/>
  <c r="G2080"/>
  <c r="M2069" s="1"/>
  <c r="B2593"/>
  <c r="B3052"/>
  <c r="S2774"/>
  <c r="E2794"/>
  <c r="F601"/>
  <c r="S2076"/>
  <c r="L2595"/>
  <c r="D2590"/>
  <c r="L3001"/>
  <c r="Q3001" s="1"/>
  <c r="J2999" s="1"/>
  <c r="L1165"/>
  <c r="S530"/>
  <c r="S3080"/>
  <c r="S1323"/>
  <c r="S850"/>
  <c r="L1677"/>
  <c r="C2998"/>
  <c r="L1879"/>
  <c r="Q1879" s="1"/>
  <c r="L1877" s="1"/>
  <c r="L2083"/>
  <c r="B554"/>
  <c r="S391"/>
  <c r="L2994"/>
  <c r="E2080"/>
  <c r="S558"/>
  <c r="L2287"/>
  <c r="Q2287" s="1"/>
  <c r="L2285" s="1"/>
  <c r="F2998"/>
  <c r="I2080"/>
  <c r="B2437"/>
  <c r="L2085"/>
  <c r="L1318"/>
  <c r="E2284"/>
  <c r="L2280"/>
  <c r="B3002"/>
  <c r="B2391"/>
  <c r="B2034"/>
  <c r="S938"/>
  <c r="I2590"/>
  <c r="L1056"/>
  <c r="B1319"/>
  <c r="S340"/>
  <c r="I244"/>
  <c r="L1770"/>
  <c r="Q1770" s="1"/>
  <c r="G1781" s="1"/>
  <c r="C3304"/>
  <c r="F2182"/>
  <c r="I1672"/>
  <c r="S1513"/>
  <c r="S1770"/>
  <c r="S2178"/>
  <c r="L2790"/>
  <c r="H3253"/>
  <c r="S1325"/>
  <c r="B2032"/>
  <c r="E2488"/>
  <c r="S326"/>
  <c r="S1003"/>
  <c r="I1315"/>
  <c r="S2549"/>
  <c r="H1519"/>
  <c r="S407"/>
  <c r="G2233"/>
  <c r="I397"/>
  <c r="S1374"/>
  <c r="B1779"/>
  <c r="B1672"/>
  <c r="B2641"/>
  <c r="L1675"/>
  <c r="L1369"/>
  <c r="D2437"/>
  <c r="B1116"/>
  <c r="B505"/>
  <c r="I2947"/>
  <c r="B2080"/>
  <c r="E1519"/>
  <c r="E1366"/>
  <c r="H2437"/>
  <c r="S1346"/>
  <c r="B3154"/>
  <c r="B2799"/>
  <c r="I2896"/>
  <c r="S224"/>
  <c r="D1978"/>
  <c r="S1680"/>
  <c r="G3304"/>
  <c r="L3258"/>
  <c r="C397"/>
  <c r="E652"/>
  <c r="B658"/>
  <c r="D2692"/>
  <c r="I3151"/>
  <c r="L3105"/>
  <c r="F3100"/>
  <c r="M3082" s="1"/>
  <c r="C3355"/>
  <c r="I499"/>
  <c r="B3308"/>
  <c r="S2229"/>
  <c r="B247"/>
  <c r="B757"/>
  <c r="B2848"/>
  <c r="I652"/>
  <c r="F1621"/>
  <c r="M1603" s="1"/>
  <c r="L3156"/>
  <c r="S2878"/>
  <c r="S2470"/>
  <c r="S1042"/>
  <c r="B1522"/>
  <c r="B607"/>
  <c r="B2953"/>
  <c r="L2952"/>
  <c r="Q2950" s="1"/>
  <c r="S3110"/>
  <c r="S546"/>
  <c r="H856"/>
  <c r="H2131"/>
  <c r="S2280"/>
  <c r="L1160"/>
  <c r="Q1158" s="1"/>
  <c r="S3161"/>
  <c r="S2890"/>
  <c r="L3047"/>
  <c r="C2131"/>
  <c r="D1570"/>
  <c r="L497"/>
  <c r="Q495" s="1"/>
  <c r="L2945"/>
  <c r="B96"/>
  <c r="L402"/>
  <c r="F2080"/>
  <c r="B3309"/>
  <c r="I3100"/>
  <c r="F2488"/>
  <c r="L2646"/>
  <c r="B3304"/>
  <c r="B1060"/>
  <c r="S393"/>
  <c r="L393"/>
  <c r="B2135"/>
  <c r="S1056"/>
  <c r="S2586"/>
  <c r="D1162"/>
  <c r="C3049"/>
  <c r="S1107"/>
  <c r="B657"/>
  <c r="D652"/>
  <c r="L599"/>
  <c r="S1172"/>
  <c r="B97"/>
  <c r="B2902"/>
  <c r="L400"/>
  <c r="E397"/>
  <c r="H1825"/>
  <c r="L2894"/>
  <c r="L3098"/>
  <c r="Q3096" s="1"/>
  <c r="G244" i="10" s="1"/>
  <c r="F2947" i="5"/>
  <c r="I2182"/>
  <c r="I2641"/>
  <c r="F1519"/>
  <c r="B760"/>
  <c r="S1297"/>
  <c r="D754"/>
  <c r="S405"/>
  <c r="D3304"/>
  <c r="L657"/>
  <c r="B3157"/>
  <c r="U18" i="9"/>
  <c r="W16"/>
  <c r="S1207" i="5"/>
  <c r="S3263"/>
  <c r="S1835"/>
  <c r="S2088"/>
  <c r="S2802"/>
  <c r="L2076"/>
  <c r="Q2076" s="1"/>
  <c r="K2074" s="1"/>
  <c r="S1527"/>
  <c r="L395"/>
  <c r="L2799"/>
  <c r="Q2797" s="1"/>
  <c r="Q2798" s="1"/>
  <c r="S2025"/>
  <c r="B1370"/>
  <c r="L553"/>
  <c r="Q553" s="1"/>
  <c r="K551" s="1"/>
  <c r="B1064"/>
  <c r="S697"/>
  <c r="L2588"/>
  <c r="B2596"/>
  <c r="G142"/>
  <c r="M131" s="1"/>
  <c r="L1320"/>
  <c r="S3031"/>
  <c r="B1270"/>
  <c r="L1311"/>
  <c r="D2794"/>
  <c r="M2783" s="1"/>
  <c r="C2590"/>
  <c r="B1162"/>
  <c r="L2792"/>
  <c r="B1166"/>
  <c r="F397"/>
  <c r="H1009"/>
  <c r="L3103"/>
  <c r="G1825"/>
  <c r="B2288"/>
  <c r="F3049"/>
  <c r="S662"/>
  <c r="E2998"/>
  <c r="G2335"/>
  <c r="H2335"/>
  <c r="S2331"/>
  <c r="D3100"/>
  <c r="E1162"/>
  <c r="S2943"/>
  <c r="B1523"/>
  <c r="D1672"/>
  <c r="B2086"/>
  <c r="M2083" s="1"/>
  <c r="S240"/>
  <c r="S2804"/>
  <c r="S2468"/>
  <c r="B1780"/>
  <c r="L2493"/>
  <c r="Q2491" s="1"/>
  <c r="B2798"/>
  <c r="S2139"/>
  <c r="S2090"/>
  <c r="F2131"/>
  <c r="S1170"/>
  <c r="S1068"/>
  <c r="L2843"/>
  <c r="L2850"/>
  <c r="B3259"/>
  <c r="H2998"/>
  <c r="I3253"/>
  <c r="S2855"/>
  <c r="S430"/>
  <c r="S73"/>
  <c r="S1652"/>
  <c r="F2335"/>
  <c r="B961"/>
  <c r="S713"/>
  <c r="L655"/>
  <c r="S966"/>
  <c r="B604"/>
  <c r="B1778"/>
  <c r="L1668"/>
  <c r="Q1668" s="1"/>
  <c r="S3045"/>
  <c r="B1774"/>
  <c r="L2943"/>
  <c r="Q1362"/>
  <c r="J1360" s="1"/>
  <c r="B351"/>
  <c r="E91"/>
  <c r="C601"/>
  <c r="B1676"/>
  <c r="B2951"/>
  <c r="H2488"/>
  <c r="M2477" s="1"/>
  <c r="C2896"/>
  <c r="M2885" s="1"/>
  <c r="L87"/>
  <c r="S699"/>
  <c r="B451"/>
  <c r="S734"/>
  <c r="B703"/>
  <c r="L2282"/>
  <c r="L96"/>
  <c r="L701"/>
  <c r="B1880"/>
  <c r="M1879" s="1"/>
  <c r="S479"/>
  <c r="D3049"/>
  <c r="B1115"/>
  <c r="L3054"/>
  <c r="S2892"/>
  <c r="H3304"/>
  <c r="L810"/>
  <c r="F703"/>
  <c r="S583"/>
  <c r="I91"/>
  <c r="L89"/>
  <c r="G1519"/>
  <c r="C91"/>
  <c r="B2950"/>
  <c r="S2419"/>
  <c r="L1515"/>
  <c r="S2941"/>
  <c r="L2180"/>
  <c r="S99"/>
  <c r="B2488"/>
  <c r="C1825"/>
  <c r="E958"/>
  <c r="F3151"/>
  <c r="G1111"/>
  <c r="S1311"/>
  <c r="S428"/>
  <c r="H3151"/>
  <c r="S815"/>
  <c r="L961"/>
  <c r="Q961" s="1"/>
  <c r="K959" s="1"/>
  <c r="G2182"/>
  <c r="C2182"/>
  <c r="S764"/>
  <c r="L803"/>
  <c r="B145"/>
  <c r="L2542"/>
  <c r="Q2542" s="1"/>
  <c r="L2540" s="1"/>
  <c r="B3104"/>
  <c r="L1872"/>
  <c r="Q1872" s="1"/>
  <c r="Q1873" s="1"/>
  <c r="I3049"/>
  <c r="B2290"/>
  <c r="B3053"/>
  <c r="B1369"/>
  <c r="L2178"/>
  <c r="L2187"/>
  <c r="L293"/>
  <c r="C652"/>
  <c r="M634" s="1"/>
  <c r="H91"/>
  <c r="B811"/>
  <c r="E2947"/>
  <c r="S252"/>
  <c r="B3055"/>
  <c r="S2955"/>
  <c r="F244"/>
  <c r="M226" s="1"/>
  <c r="B1825"/>
  <c r="S2192"/>
  <c r="L94"/>
  <c r="L954"/>
  <c r="L1923"/>
  <c r="S1158"/>
  <c r="B2901"/>
  <c r="E1876"/>
  <c r="M1872" s="1"/>
  <c r="S2294"/>
  <c r="I2284"/>
  <c r="S1615"/>
  <c r="S2533"/>
  <c r="C805"/>
  <c r="B1013"/>
  <c r="C1570"/>
  <c r="B2134"/>
  <c r="I1825"/>
  <c r="L852"/>
  <c r="B1525"/>
  <c r="Q859"/>
  <c r="J857" s="1"/>
  <c r="S2113"/>
  <c r="L2484"/>
  <c r="Q2484" s="1"/>
  <c r="H2482" s="1"/>
  <c r="H2845"/>
  <c r="S3312"/>
  <c r="B2494"/>
  <c r="S864"/>
  <c r="S1986"/>
  <c r="B1320"/>
  <c r="C2845"/>
  <c r="I3304"/>
  <c r="L349"/>
  <c r="S3133"/>
  <c r="S3314"/>
  <c r="L1981"/>
  <c r="B655"/>
  <c r="L2134"/>
  <c r="B1931"/>
  <c r="M1930" s="1"/>
  <c r="B2851"/>
  <c r="L3302"/>
  <c r="Q3300" s="1"/>
  <c r="G3311" s="1"/>
  <c r="F754"/>
  <c r="G2539"/>
  <c r="E856"/>
  <c r="G499"/>
  <c r="M481" s="1"/>
  <c r="G1570"/>
  <c r="H1366"/>
  <c r="S509"/>
  <c r="L1830"/>
  <c r="B504"/>
  <c r="G2845"/>
  <c r="D1366"/>
  <c r="F2641"/>
  <c r="B2492"/>
  <c r="S2496"/>
  <c r="E3304"/>
  <c r="I2488"/>
  <c r="B1981"/>
  <c r="S611"/>
  <c r="B3103"/>
  <c r="S3349"/>
  <c r="B1167"/>
  <c r="B1831"/>
  <c r="B3256"/>
  <c r="L3307"/>
  <c r="S2498"/>
  <c r="B860"/>
  <c r="I601"/>
  <c r="E1978"/>
  <c r="G805"/>
  <c r="L2127"/>
  <c r="Q2127" s="1"/>
  <c r="J2125" s="1"/>
  <c r="L1930"/>
  <c r="G703"/>
  <c r="M692" s="1"/>
  <c r="L3309"/>
  <c r="S3082"/>
  <c r="L1932"/>
  <c r="S354"/>
  <c r="F295"/>
  <c r="B1575"/>
  <c r="H2641"/>
  <c r="S1782"/>
  <c r="E1774"/>
  <c r="L708"/>
  <c r="I703"/>
  <c r="M699" s="1"/>
  <c r="S254"/>
  <c r="D2182"/>
  <c r="S136"/>
  <c r="B301"/>
  <c r="L1517"/>
  <c r="B2137"/>
  <c r="G1672"/>
  <c r="I1774"/>
  <c r="G3253"/>
  <c r="D2131"/>
  <c r="S683"/>
  <c r="L699"/>
  <c r="S1144"/>
  <c r="L1524"/>
  <c r="Q1522" s="1"/>
  <c r="H1520" s="1"/>
  <c r="I2131"/>
  <c r="L242"/>
  <c r="B2545"/>
  <c r="L298"/>
  <c r="Q298" s="1"/>
  <c r="Q300" s="1"/>
  <c r="Q301" s="1"/>
  <c r="C1264"/>
  <c r="I2539"/>
  <c r="E3049"/>
  <c r="L3052"/>
  <c r="L3045"/>
  <c r="E3100"/>
  <c r="S3108"/>
  <c r="S1462"/>
  <c r="D1468"/>
  <c r="D1825"/>
  <c r="S1819"/>
  <c r="L2901"/>
  <c r="B295"/>
  <c r="S1529"/>
  <c r="L706"/>
  <c r="H754"/>
  <c r="S2141"/>
  <c r="G754"/>
  <c r="B1216"/>
  <c r="S442"/>
  <c r="E805"/>
  <c r="B299"/>
  <c r="L2537"/>
  <c r="S2776"/>
  <c r="L2899"/>
  <c r="S2904"/>
  <c r="B2900"/>
  <c r="E2896"/>
  <c r="L2892"/>
  <c r="B94"/>
  <c r="B91"/>
  <c r="D2998"/>
  <c r="S2992"/>
  <c r="L1167"/>
  <c r="I1162"/>
  <c r="S1682"/>
  <c r="S1784"/>
  <c r="I295"/>
  <c r="S634"/>
  <c r="B1678"/>
  <c r="B250"/>
  <c r="L2136"/>
  <c r="L1779"/>
  <c r="Q1777" s="1"/>
  <c r="H1775" s="1"/>
  <c r="S305"/>
  <c r="B2896"/>
  <c r="B707"/>
  <c r="M706" s="1"/>
  <c r="S2790"/>
  <c r="S813"/>
  <c r="B1573"/>
  <c r="Q247"/>
  <c r="L245" s="1"/>
  <c r="S711"/>
  <c r="D1111"/>
  <c r="F1978"/>
  <c r="B1983"/>
  <c r="V19" i="9"/>
  <c r="X17"/>
  <c r="U17"/>
  <c r="X18"/>
  <c r="W19"/>
  <c r="V16"/>
  <c r="B453" i="5"/>
  <c r="F448"/>
  <c r="M430" s="1"/>
  <c r="S277"/>
  <c r="G295"/>
  <c r="L648"/>
  <c r="Q648" s="1"/>
  <c r="S660"/>
  <c r="B454"/>
  <c r="S458"/>
  <c r="L453"/>
  <c r="I448"/>
  <c r="L446"/>
  <c r="Q444" s="1"/>
  <c r="I36" i="10" s="1"/>
  <c r="L1014" i="5"/>
  <c r="L1007"/>
  <c r="I1009"/>
  <c r="B1015"/>
  <c r="S1019"/>
  <c r="L2185"/>
  <c r="S2190"/>
  <c r="S289"/>
  <c r="H3355"/>
  <c r="D244"/>
  <c r="M233" s="1"/>
  <c r="B1624"/>
  <c r="G1009"/>
  <c r="C3253"/>
  <c r="S3337"/>
  <c r="S138"/>
  <c r="C1978"/>
  <c r="B2186"/>
  <c r="M2185" s="1"/>
  <c r="C295"/>
  <c r="F1672"/>
  <c r="B502"/>
  <c r="B2182"/>
  <c r="S342"/>
  <c r="L2639"/>
  <c r="B1269"/>
  <c r="L1269"/>
  <c r="D3253"/>
  <c r="B1114"/>
  <c r="L759"/>
  <c r="S1935"/>
  <c r="G1366"/>
  <c r="M1348" s="1"/>
  <c r="L1974"/>
  <c r="B1625"/>
  <c r="S1258"/>
  <c r="L1624"/>
  <c r="E1621"/>
  <c r="F2845"/>
  <c r="L342"/>
  <c r="B349"/>
  <c r="B350"/>
  <c r="F2539"/>
  <c r="B2539"/>
  <c r="B2542"/>
  <c r="B1012"/>
  <c r="B1009"/>
  <c r="B1468"/>
  <c r="B1471"/>
  <c r="C1162"/>
  <c r="S1142"/>
  <c r="C1468"/>
  <c r="S1448"/>
  <c r="L801"/>
  <c r="L808"/>
  <c r="S989"/>
  <c r="C1009"/>
  <c r="B856"/>
  <c r="B859"/>
  <c r="B2797"/>
  <c r="B2794"/>
  <c r="M2776" s="1"/>
  <c r="E295"/>
  <c r="L291"/>
  <c r="S2651"/>
  <c r="S1921"/>
  <c r="S1017"/>
  <c r="L752"/>
  <c r="S1629"/>
  <c r="F1927"/>
  <c r="L1012"/>
  <c r="L1005"/>
  <c r="D91"/>
  <c r="L1925"/>
  <c r="I1264"/>
  <c r="B805"/>
  <c r="S2853"/>
  <c r="L2848"/>
  <c r="S507"/>
  <c r="L1262"/>
  <c r="C2539"/>
  <c r="B248"/>
  <c r="C2641"/>
  <c r="L2535"/>
  <c r="E2539"/>
  <c r="E244"/>
  <c r="L240"/>
  <c r="S1668"/>
  <c r="L1114"/>
  <c r="L1107"/>
  <c r="S1907"/>
  <c r="S2547"/>
  <c r="E1111"/>
  <c r="S1703"/>
  <c r="S493"/>
  <c r="B503"/>
  <c r="S2447"/>
  <c r="B1117"/>
  <c r="L1719"/>
  <c r="Q1719" s="1"/>
  <c r="Q1721" s="1"/>
  <c r="E499"/>
  <c r="S495"/>
  <c r="L2637"/>
  <c r="L502"/>
  <c r="Q502" s="1"/>
  <c r="L2442"/>
  <c r="L1109"/>
  <c r="E2641"/>
  <c r="D2845"/>
  <c r="B1927"/>
  <c r="S226"/>
  <c r="L1116"/>
  <c r="B2443"/>
  <c r="I1111"/>
  <c r="B2645"/>
  <c r="M2644" s="1"/>
  <c r="S1731"/>
  <c r="I2437"/>
  <c r="G1927"/>
  <c r="B810"/>
  <c r="F805"/>
  <c r="H2539"/>
  <c r="S2535"/>
  <c r="B2287"/>
  <c r="B2284"/>
  <c r="S1717"/>
  <c r="D1723"/>
  <c r="M1712" s="1"/>
  <c r="E1570"/>
  <c r="L1573"/>
  <c r="B1574"/>
  <c r="L1566"/>
  <c r="Q1566" s="1"/>
  <c r="L1564" s="1"/>
  <c r="S1578"/>
  <c r="S799"/>
  <c r="D805"/>
  <c r="S1260"/>
  <c r="H1264"/>
  <c r="B1723"/>
  <c r="M1705" s="1"/>
  <c r="B1726"/>
  <c r="B1727"/>
  <c r="I1927"/>
  <c r="S1937"/>
  <c r="S1464"/>
  <c r="H1468"/>
  <c r="B1268"/>
  <c r="S1272"/>
  <c r="E1264"/>
  <c r="L1267"/>
  <c r="L1260"/>
  <c r="S1246"/>
  <c r="G1264"/>
  <c r="L2841"/>
  <c r="B2849"/>
  <c r="D2284"/>
  <c r="S2278"/>
  <c r="F2284"/>
  <c r="B2289"/>
  <c r="AD26" i="9"/>
  <c r="AF16"/>
  <c r="AC21"/>
  <c r="U22"/>
  <c r="AE19"/>
  <c r="Z19"/>
  <c r="Y16"/>
  <c r="AF19"/>
  <c r="AB26"/>
  <c r="AF24"/>
  <c r="AB24"/>
  <c r="AE20"/>
  <c r="AC23"/>
  <c r="AE16"/>
  <c r="X24"/>
  <c r="AA21"/>
  <c r="Y23"/>
  <c r="Y26"/>
  <c r="Z16"/>
  <c r="AE21"/>
  <c r="AB22"/>
  <c r="Y18"/>
  <c r="Z25"/>
  <c r="AA27"/>
  <c r="U24"/>
  <c r="AB21"/>
  <c r="AA23"/>
  <c r="AA19"/>
  <c r="AB27"/>
  <c r="U26"/>
  <c r="V24"/>
  <c r="X16"/>
  <c r="Y24"/>
  <c r="Z27"/>
  <c r="Y19"/>
  <c r="AB18"/>
  <c r="AD18"/>
  <c r="W21"/>
  <c r="Y27"/>
  <c r="U21"/>
  <c r="AE25"/>
  <c r="V21"/>
  <c r="AC27"/>
  <c r="AF23"/>
  <c r="W24"/>
  <c r="X25"/>
  <c r="AE17"/>
  <c r="W25"/>
  <c r="W23"/>
  <c r="X26"/>
  <c r="W27"/>
  <c r="W20"/>
  <c r="AC18"/>
  <c r="AA20"/>
  <c r="U27"/>
  <c r="AC16"/>
  <c r="AA18"/>
  <c r="V23"/>
  <c r="Z18"/>
  <c r="AA17"/>
  <c r="AC17"/>
  <c r="AD20"/>
  <c r="AF26"/>
  <c r="X27"/>
  <c r="AE27"/>
  <c r="AC25"/>
  <c r="AD16"/>
  <c r="AF21"/>
  <c r="U20"/>
  <c r="Y21"/>
  <c r="X22"/>
  <c r="U23"/>
  <c r="AE22"/>
  <c r="AB19"/>
  <c r="AB25"/>
  <c r="W26"/>
  <c r="Z22"/>
  <c r="X21"/>
  <c r="AF22"/>
  <c r="AE18"/>
  <c r="V26"/>
  <c r="Z20"/>
  <c r="AF17"/>
  <c r="W22"/>
  <c r="Z24"/>
  <c r="AB16"/>
  <c r="AB17"/>
  <c r="AD19"/>
  <c r="X23"/>
  <c r="AE24"/>
  <c r="AD23"/>
  <c r="V25"/>
  <c r="AB20"/>
  <c r="AC19"/>
  <c r="Z26"/>
  <c r="Y25"/>
  <c r="AD17"/>
  <c r="AD24"/>
  <c r="AF18"/>
  <c r="V18"/>
  <c r="AA26"/>
  <c r="U25"/>
  <c r="AD21"/>
  <c r="AA16"/>
  <c r="V27"/>
  <c r="AF20"/>
  <c r="AC26"/>
  <c r="AD27"/>
  <c r="Z17"/>
  <c r="Y17"/>
  <c r="AC20"/>
  <c r="W17"/>
  <c r="Z23"/>
  <c r="X20"/>
  <c r="V22"/>
  <c r="AA25"/>
  <c r="V20"/>
  <c r="AA24"/>
  <c r="AF25"/>
  <c r="AC22"/>
  <c r="AE23"/>
  <c r="U19"/>
  <c r="Y22"/>
  <c r="AD22"/>
  <c r="L2644" i="5"/>
  <c r="E1723"/>
  <c r="G1468"/>
  <c r="S1450"/>
  <c r="L750"/>
  <c r="L757"/>
  <c r="S762"/>
  <c r="B758"/>
  <c r="E754"/>
  <c r="G2284"/>
  <c r="S2266"/>
  <c r="H805"/>
  <c r="M889"/>
  <c r="M2375"/>
  <c r="M22"/>
  <c r="M29"/>
  <c r="M400"/>
  <c r="M1865"/>
  <c r="M1858"/>
  <c r="M36"/>
  <c r="Q43"/>
  <c r="L41" s="1"/>
  <c r="M437"/>
  <c r="M1202"/>
  <c r="M1209"/>
  <c r="M539"/>
  <c r="M1399"/>
  <c r="Q36"/>
  <c r="M1049"/>
  <c r="M1406"/>
  <c r="M2725"/>
  <c r="M1297"/>
  <c r="L1724"/>
  <c r="H1724"/>
  <c r="K1724"/>
  <c r="J1724"/>
  <c r="Q1728"/>
  <c r="Q1729" s="1"/>
  <c r="Q1727"/>
  <c r="I1724"/>
  <c r="M2368"/>
  <c r="M43"/>
  <c r="M2732"/>
  <c r="Q1216" l="1"/>
  <c r="J1214" s="1"/>
  <c r="M1216"/>
  <c r="M444"/>
  <c r="Q2739"/>
  <c r="H216" i="10" s="1"/>
  <c r="M1093" i="5"/>
  <c r="M182"/>
  <c r="Q903"/>
  <c r="G72" i="10" s="1"/>
  <c r="Q2746" i="5"/>
  <c r="H2744" s="1"/>
  <c r="Q451"/>
  <c r="I449" s="1"/>
  <c r="M2018"/>
  <c r="Q2593"/>
  <c r="Q2594" s="1"/>
  <c r="L1469"/>
  <c r="J1469"/>
  <c r="K1469"/>
  <c r="Q1472"/>
  <c r="I1469"/>
  <c r="Q2586"/>
  <c r="I2584" s="1"/>
  <c r="M196"/>
  <c r="Q1473"/>
  <c r="Q1474" s="1"/>
  <c r="M2746"/>
  <c r="Q910"/>
  <c r="Q911" s="1"/>
  <c r="M910"/>
  <c r="Q1464"/>
  <c r="J116" i="10" s="1"/>
  <c r="J187" i="5"/>
  <c r="H16" i="10"/>
  <c r="J16"/>
  <c r="L187" i="5"/>
  <c r="F16" i="10"/>
  <c r="H187" i="5"/>
  <c r="Q3256"/>
  <c r="L3254" s="1"/>
  <c r="Q1828"/>
  <c r="K1826" s="1"/>
  <c r="Q349"/>
  <c r="L347" s="1"/>
  <c r="M2681"/>
  <c r="M2222"/>
  <c r="M1311"/>
  <c r="M553"/>
  <c r="M1471"/>
  <c r="G200"/>
  <c r="G16" i="10"/>
  <c r="Q190" i="5"/>
  <c r="M189"/>
  <c r="I187"/>
  <c r="K187"/>
  <c r="Q191"/>
  <c r="C16" i="10" s="1"/>
  <c r="M1763" i="5"/>
  <c r="Q2384"/>
  <c r="B188" i="10" s="1"/>
  <c r="Q2389" i="5"/>
  <c r="H2387" s="1"/>
  <c r="M3089"/>
  <c r="M1828"/>
  <c r="F188" i="10"/>
  <c r="J2380" i="5"/>
  <c r="I2380"/>
  <c r="I188" i="10"/>
  <c r="H2380" i="5"/>
  <c r="G2393"/>
  <c r="J188" i="10"/>
  <c r="L2380" i="5"/>
  <c r="H188" i="10"/>
  <c r="Q2383" i="5"/>
  <c r="G188" i="10"/>
  <c r="Q342" i="5"/>
  <c r="G28" i="10" s="1"/>
  <c r="Q1369" i="5"/>
  <c r="H1367" s="1"/>
  <c r="M3337"/>
  <c r="M1916"/>
  <c r="M1923"/>
  <c r="Q3149"/>
  <c r="J3158" s="1"/>
  <c r="Q3148"/>
  <c r="J3145"/>
  <c r="H3145"/>
  <c r="L3145"/>
  <c r="I3145"/>
  <c r="G3158"/>
  <c r="J248" i="10"/>
  <c r="G248"/>
  <c r="H248"/>
  <c r="K3145" i="5"/>
  <c r="F248" i="10"/>
  <c r="M845" i="5"/>
  <c r="I143"/>
  <c r="Q3351"/>
  <c r="Q3353" s="1"/>
  <c r="C264" i="10" s="1"/>
  <c r="Q2338" i="5"/>
  <c r="I2336" s="1"/>
  <c r="Q138"/>
  <c r="J136" s="1"/>
  <c r="M838"/>
  <c r="M3133"/>
  <c r="Q2032"/>
  <c r="K2030" s="1"/>
  <c r="Q3154"/>
  <c r="K3152" s="1"/>
  <c r="M2674"/>
  <c r="Q2025"/>
  <c r="Q2026" s="1"/>
  <c r="Q2236"/>
  <c r="L2234" s="1"/>
  <c r="M1420"/>
  <c r="Q146"/>
  <c r="M2440"/>
  <c r="Q852"/>
  <c r="F68" i="10" s="1"/>
  <c r="Q1624" i="5"/>
  <c r="H1622" s="1"/>
  <c r="M2032"/>
  <c r="M1617"/>
  <c r="M590"/>
  <c r="M3198"/>
  <c r="J143"/>
  <c r="K143"/>
  <c r="Q147"/>
  <c r="Q148" s="1"/>
  <c r="M2389"/>
  <c r="M2025"/>
  <c r="L143"/>
  <c r="M2229"/>
  <c r="Q1413"/>
  <c r="J1411" s="1"/>
  <c r="Q2440"/>
  <c r="Q2442" s="1"/>
  <c r="Q2443" s="1"/>
  <c r="Q1056"/>
  <c r="Q1058" s="1"/>
  <c r="C84" i="10" s="1"/>
  <c r="Q546" i="5"/>
  <c r="I44" i="10" s="1"/>
  <c r="M1056" i="5"/>
  <c r="M1042"/>
  <c r="M3205"/>
  <c r="Q3198"/>
  <c r="L3196" s="1"/>
  <c r="Q1981"/>
  <c r="L1979" s="1"/>
  <c r="M1756"/>
  <c r="M2419"/>
  <c r="Q1573"/>
  <c r="K1571" s="1"/>
  <c r="I184" i="10"/>
  <c r="L2329" i="5"/>
  <c r="Q2333"/>
  <c r="J2342" s="1"/>
  <c r="J2329"/>
  <c r="G184" i="10"/>
  <c r="M335" i="5"/>
  <c r="K2329"/>
  <c r="Q3207"/>
  <c r="Q3208" s="1"/>
  <c r="M3191"/>
  <c r="Q954"/>
  <c r="G76" i="10" s="1"/>
  <c r="M2331" i="5"/>
  <c r="M1063"/>
  <c r="M2695"/>
  <c r="Q2688"/>
  <c r="L2686" s="1"/>
  <c r="Q2332"/>
  <c r="H2329"/>
  <c r="J184" i="10"/>
  <c r="H184"/>
  <c r="G2342" i="5"/>
  <c r="Q1974"/>
  <c r="Q1975" s="1"/>
  <c r="F184" i="10"/>
  <c r="M954" i="5"/>
  <c r="M961"/>
  <c r="M1515"/>
  <c r="L3203"/>
  <c r="K3203"/>
  <c r="H3203"/>
  <c r="M1668"/>
  <c r="M2593"/>
  <c r="M2929"/>
  <c r="Q3206"/>
  <c r="I3203"/>
  <c r="Q2695"/>
  <c r="L2693" s="1"/>
  <c r="M2943"/>
  <c r="M2236"/>
  <c r="M3001"/>
  <c r="Q2994"/>
  <c r="G3005" s="1"/>
  <c r="M145"/>
  <c r="Q597"/>
  <c r="Q599" s="1"/>
  <c r="C48" i="10" s="1"/>
  <c r="M597" i="5"/>
  <c r="F144" i="10"/>
  <c r="M386" i="5"/>
  <c r="F176" i="10"/>
  <c r="Q1311" i="5"/>
  <c r="G104" i="10" s="1"/>
  <c r="G176"/>
  <c r="J176"/>
  <c r="M940" i="5"/>
  <c r="I3247"/>
  <c r="Q2231"/>
  <c r="J2240" s="1"/>
  <c r="K2227"/>
  <c r="H2227"/>
  <c r="J148" i="10"/>
  <c r="L2227" i="5"/>
  <c r="H176" i="10"/>
  <c r="J2227" i="5"/>
  <c r="I176" i="10"/>
  <c r="I2227" i="5"/>
  <c r="G2240"/>
  <c r="M2980"/>
  <c r="I256" i="10"/>
  <c r="F256"/>
  <c r="Q3250" i="5"/>
  <c r="J256" i="10"/>
  <c r="H3247" i="5"/>
  <c r="G3260"/>
  <c r="H256" i="10"/>
  <c r="Q3251" i="5"/>
  <c r="C256" i="10" s="1"/>
  <c r="L3247" i="5"/>
  <c r="G256" i="10"/>
  <c r="J3247" i="5"/>
  <c r="G144" i="10"/>
  <c r="M2586" i="5"/>
  <c r="M2790"/>
  <c r="Q1165"/>
  <c r="J1163" s="1"/>
  <c r="M1318"/>
  <c r="Q2280"/>
  <c r="G2291" s="1"/>
  <c r="M2950"/>
  <c r="Q1675"/>
  <c r="K1673" s="1"/>
  <c r="Q2083"/>
  <c r="Q2085" s="1"/>
  <c r="Q2086" s="1"/>
  <c r="J1061"/>
  <c r="M2579"/>
  <c r="M2076"/>
  <c r="Q1318"/>
  <c r="Q1320" s="1"/>
  <c r="Q1321" s="1"/>
  <c r="Q2790"/>
  <c r="G220" i="10" s="1"/>
  <c r="M2113" i="5"/>
  <c r="I2591"/>
  <c r="J1870"/>
  <c r="L1819"/>
  <c r="H959"/>
  <c r="H1870"/>
  <c r="Q962"/>
  <c r="H2285"/>
  <c r="K2285"/>
  <c r="M3256"/>
  <c r="K1870"/>
  <c r="Q963"/>
  <c r="Q964" s="1"/>
  <c r="G148" i="10"/>
  <c r="I602" i="5"/>
  <c r="I164" i="10"/>
  <c r="Q801" i="5"/>
  <c r="J799" s="1"/>
  <c r="M1967"/>
  <c r="J2795"/>
  <c r="K602"/>
  <c r="H148" i="10"/>
  <c r="F148"/>
  <c r="L959" i="5"/>
  <c r="Q2077"/>
  <c r="G1883"/>
  <c r="Q1874"/>
  <c r="B148" i="10" s="1"/>
  <c r="I1870" i="5"/>
  <c r="J1877"/>
  <c r="J959"/>
  <c r="L602"/>
  <c r="M1501"/>
  <c r="M3031"/>
  <c r="M3154"/>
  <c r="L1870"/>
  <c r="I148" i="10"/>
  <c r="I959" i="5"/>
  <c r="I136" i="10"/>
  <c r="Q605" i="5"/>
  <c r="Q291"/>
  <c r="L289" s="1"/>
  <c r="M852"/>
  <c r="Q2288"/>
  <c r="Q2289"/>
  <c r="Q2290" s="1"/>
  <c r="J2285"/>
  <c r="I2285"/>
  <c r="M1974"/>
  <c r="M3147"/>
  <c r="M2317"/>
  <c r="M379"/>
  <c r="M1246"/>
  <c r="M1005"/>
  <c r="M1981"/>
  <c r="Q2943"/>
  <c r="K2941" s="1"/>
  <c r="Q393"/>
  <c r="J32" i="10" s="1"/>
  <c r="M2215" i="5"/>
  <c r="Q1880"/>
  <c r="Q1619"/>
  <c r="B128" i="10" s="1"/>
  <c r="M1151" i="5"/>
  <c r="M1654"/>
  <c r="Q2185"/>
  <c r="J2183" s="1"/>
  <c r="M3038"/>
  <c r="M1369"/>
  <c r="M393"/>
  <c r="Q400"/>
  <c r="L398" s="1"/>
  <c r="Q3103"/>
  <c r="K3101" s="1"/>
  <c r="Q1779"/>
  <c r="Q1780" s="1"/>
  <c r="M1165"/>
  <c r="M2484"/>
  <c r="M1807"/>
  <c r="Q2178"/>
  <c r="H2176" s="1"/>
  <c r="M1777"/>
  <c r="M1522"/>
  <c r="M3293"/>
  <c r="M2062"/>
  <c r="M2426"/>
  <c r="H144" i="10"/>
  <c r="K1819" i="5"/>
  <c r="H1819"/>
  <c r="K296"/>
  <c r="Q1065"/>
  <c r="Q1066" s="1"/>
  <c r="M488"/>
  <c r="J1819"/>
  <c r="H296"/>
  <c r="M2797"/>
  <c r="M648"/>
  <c r="M3307"/>
  <c r="M604"/>
  <c r="Q1823"/>
  <c r="B144" i="10" s="1"/>
  <c r="I144"/>
  <c r="H1061" i="5"/>
  <c r="G1832"/>
  <c r="J144" i="10"/>
  <c r="L1061" i="5"/>
  <c r="J296"/>
  <c r="I1819"/>
  <c r="Q2134"/>
  <c r="K2132" s="1"/>
  <c r="Q94"/>
  <c r="Q96" s="1"/>
  <c r="Q97" s="1"/>
  <c r="L493"/>
  <c r="G40" i="10"/>
  <c r="L1775" i="5"/>
  <c r="L296"/>
  <c r="M2892"/>
  <c r="M1158"/>
  <c r="M3286"/>
  <c r="J1775"/>
  <c r="I296"/>
  <c r="H2999"/>
  <c r="Q2644"/>
  <c r="L2642" s="1"/>
  <c r="M2848"/>
  <c r="M451"/>
  <c r="Q2848"/>
  <c r="L2846" s="1"/>
  <c r="M1661"/>
  <c r="M2994"/>
  <c r="Q655"/>
  <c r="I653" s="1"/>
  <c r="M998"/>
  <c r="K1877"/>
  <c r="L1360"/>
  <c r="Q1881"/>
  <c r="Q1882" s="1"/>
  <c r="I1775"/>
  <c r="Q299"/>
  <c r="K2795"/>
  <c r="M2528"/>
  <c r="M2433"/>
  <c r="M2841"/>
  <c r="M2127"/>
  <c r="M2178"/>
  <c r="M3300"/>
  <c r="M2827"/>
  <c r="J1156"/>
  <c r="H1156"/>
  <c r="Q1160"/>
  <c r="Q1161" s="1"/>
  <c r="J92" i="10"/>
  <c r="F92"/>
  <c r="I1156" i="5"/>
  <c r="L1156"/>
  <c r="H92" i="10"/>
  <c r="G1169" i="5"/>
  <c r="K1156"/>
  <c r="I92" i="10"/>
  <c r="Q1159" i="5"/>
  <c r="G92" i="10"/>
  <c r="M2572" i="5"/>
  <c r="M3235"/>
  <c r="Q2892"/>
  <c r="J2890" s="1"/>
  <c r="L2795"/>
  <c r="I2795"/>
  <c r="H1877"/>
  <c r="I1877"/>
  <c r="H1360"/>
  <c r="M124"/>
  <c r="G1730"/>
  <c r="Q2799"/>
  <c r="Q2800" s="1"/>
  <c r="Q606"/>
  <c r="Q607" s="1"/>
  <c r="H602"/>
  <c r="M2987"/>
  <c r="M495"/>
  <c r="M3344"/>
  <c r="Q3045"/>
  <c r="Q3046" s="1"/>
  <c r="G1886"/>
  <c r="AI37" s="1"/>
  <c r="H2795"/>
  <c r="F108" i="10"/>
  <c r="M583" i="5"/>
  <c r="H136" i="10"/>
  <c r="I168"/>
  <c r="M2688" i="5"/>
  <c r="M2899"/>
  <c r="J2948"/>
  <c r="Q2952"/>
  <c r="Q2953" s="1"/>
  <c r="H2948"/>
  <c r="M2637"/>
  <c r="M1362"/>
  <c r="Q3052"/>
  <c r="L3050" s="1"/>
  <c r="G108" i="10"/>
  <c r="H164"/>
  <c r="L2074" i="5"/>
  <c r="M757"/>
  <c r="M3249"/>
  <c r="M94"/>
  <c r="M3052"/>
  <c r="M2470"/>
  <c r="M750"/>
  <c r="Q2841"/>
  <c r="H2839" s="1"/>
  <c r="M1566"/>
  <c r="M808"/>
  <c r="Q2078"/>
  <c r="C164" i="10" s="1"/>
  <c r="M2623" i="5"/>
  <c r="M736"/>
  <c r="M1821"/>
  <c r="M3096"/>
  <c r="Q699"/>
  <c r="G56" i="10" s="1"/>
  <c r="Q3307" i="5"/>
  <c r="J3305" s="1"/>
  <c r="M655"/>
  <c r="J132" i="10"/>
  <c r="H132"/>
  <c r="J1666" i="5"/>
  <c r="H1666"/>
  <c r="Q1670"/>
  <c r="C132" i="10" s="1"/>
  <c r="G1679" i="5"/>
  <c r="Q1669"/>
  <c r="L1666"/>
  <c r="K1666"/>
  <c r="Q555"/>
  <c r="Q556" s="1"/>
  <c r="Q3002"/>
  <c r="M743"/>
  <c r="K2125"/>
  <c r="J108" i="10"/>
  <c r="Q1364" i="5"/>
  <c r="C108" i="10" s="1"/>
  <c r="G1373" i="5"/>
  <c r="Q1778"/>
  <c r="I1061"/>
  <c r="G2138"/>
  <c r="I2074"/>
  <c r="M2120"/>
  <c r="H2074"/>
  <c r="F164" i="10"/>
  <c r="Q240" i="5"/>
  <c r="G254" s="1"/>
  <c r="AI5" s="1"/>
  <c r="M87"/>
  <c r="M2542"/>
  <c r="M1675"/>
  <c r="M2324"/>
  <c r="Q1363"/>
  <c r="H108" i="10"/>
  <c r="I108"/>
  <c r="J164"/>
  <c r="G164"/>
  <c r="K1360" i="5"/>
  <c r="I1360"/>
  <c r="G2444"/>
  <c r="F168" i="10"/>
  <c r="Q3003" i="5"/>
  <c r="Q3004" s="1"/>
  <c r="J2074"/>
  <c r="G2087"/>
  <c r="M2280"/>
  <c r="Q1064"/>
  <c r="M247"/>
  <c r="M1770"/>
  <c r="M298"/>
  <c r="M2491"/>
  <c r="M2134"/>
  <c r="M3045"/>
  <c r="Q87"/>
  <c r="Q89" s="1"/>
  <c r="M1552"/>
  <c r="I245"/>
  <c r="Q2951"/>
  <c r="M1559"/>
  <c r="Q861"/>
  <c r="Q862" s="1"/>
  <c r="M2521"/>
  <c r="M1100"/>
  <c r="M73"/>
  <c r="I2948"/>
  <c r="M1144"/>
  <c r="K2948"/>
  <c r="L2948"/>
  <c r="Q2435"/>
  <c r="B192" i="10" s="1"/>
  <c r="K2540" i="5"/>
  <c r="Q757"/>
  <c r="I755" s="1"/>
  <c r="M1267"/>
  <c r="M349"/>
  <c r="M1114"/>
  <c r="L857"/>
  <c r="I2540"/>
  <c r="Q808"/>
  <c r="Q810" s="1"/>
  <c r="M1012"/>
  <c r="M2878"/>
  <c r="Q1923"/>
  <c r="I152" i="10" s="1"/>
  <c r="M2171" i="5"/>
  <c r="Q1515"/>
  <c r="Q1517" s="1"/>
  <c r="C120" i="10" s="1"/>
  <c r="M685" i="5"/>
  <c r="M1508"/>
  <c r="L551"/>
  <c r="J551"/>
  <c r="Q860"/>
  <c r="I857"/>
  <c r="M1450"/>
  <c r="Q1771"/>
  <c r="J196" i="10"/>
  <c r="Q554" i="5"/>
  <c r="H551"/>
  <c r="H857"/>
  <c r="K857"/>
  <c r="L2999"/>
  <c r="M3140"/>
  <c r="Q2128"/>
  <c r="L2125"/>
  <c r="M641"/>
  <c r="K2999"/>
  <c r="M2164"/>
  <c r="K245"/>
  <c r="Q249"/>
  <c r="Q250" s="1"/>
  <c r="L1615"/>
  <c r="J245"/>
  <c r="M1107"/>
  <c r="Q2543"/>
  <c r="Q706"/>
  <c r="L704" s="1"/>
  <c r="M3103"/>
  <c r="K3094"/>
  <c r="Q248"/>
  <c r="H140" i="10"/>
  <c r="M502" i="5"/>
  <c r="H245"/>
  <c r="K1214"/>
  <c r="H196" i="10"/>
  <c r="I551" i="5"/>
  <c r="I2999"/>
  <c r="I1768"/>
  <c r="I2125"/>
  <c r="M80"/>
  <c r="G36" i="10"/>
  <c r="M240" i="5"/>
  <c r="M859"/>
  <c r="Q1930"/>
  <c r="I1666"/>
  <c r="G132" i="10"/>
  <c r="I132"/>
  <c r="G196"/>
  <c r="K1775" i="5"/>
  <c r="I140" i="10"/>
  <c r="F132"/>
  <c r="G455" i="5"/>
  <c r="Q2535"/>
  <c r="Q2537" s="1"/>
  <c r="B200" i="10" s="1"/>
  <c r="M277" i="5"/>
  <c r="M291"/>
  <c r="M1573"/>
  <c r="H36" i="10"/>
  <c r="K442" i="5"/>
  <c r="Q446"/>
  <c r="J455" s="1"/>
  <c r="M1355"/>
  <c r="Q2544"/>
  <c r="Q2545" s="1"/>
  <c r="H2540"/>
  <c r="M3242"/>
  <c r="Q2899"/>
  <c r="M1909"/>
  <c r="H2125"/>
  <c r="Q1267"/>
  <c r="K1265" s="1"/>
  <c r="J2540"/>
  <c r="L442"/>
  <c r="Q445"/>
  <c r="J36" i="10"/>
  <c r="F36"/>
  <c r="G168"/>
  <c r="J168"/>
  <c r="Q2129" i="5"/>
  <c r="J2138" s="1"/>
  <c r="H168" i="10"/>
  <c r="M1814" i="5"/>
  <c r="Q2637"/>
  <c r="Q2639" s="1"/>
  <c r="J442"/>
  <c r="M991"/>
  <c r="M1624"/>
  <c r="H646"/>
  <c r="F52" i="10"/>
  <c r="K646" i="5"/>
  <c r="J52" i="10"/>
  <c r="G52"/>
  <c r="H52"/>
  <c r="L646" i="5"/>
  <c r="I646"/>
  <c r="I52" i="10"/>
  <c r="Q649" i="5"/>
  <c r="J646"/>
  <c r="Q650"/>
  <c r="B52" i="10" s="1"/>
  <c r="G659" i="5"/>
  <c r="K1768"/>
  <c r="H1214"/>
  <c r="M3351"/>
  <c r="Q1012"/>
  <c r="I244" i="10"/>
  <c r="J140"/>
  <c r="M1960" i="5"/>
  <c r="M284"/>
  <c r="I96" i="10"/>
  <c r="Q1618" i="5"/>
  <c r="K1615"/>
  <c r="Q1772"/>
  <c r="J1781" s="1"/>
  <c r="Q1217"/>
  <c r="I128" i="10"/>
  <c r="J1615" i="5"/>
  <c r="H128" i="10"/>
  <c r="G128"/>
  <c r="Q750" i="5"/>
  <c r="Q752" s="1"/>
  <c r="B60" i="10" s="1"/>
  <c r="J1768" i="5"/>
  <c r="Q1005"/>
  <c r="I442"/>
  <c r="H442"/>
  <c r="Q3098"/>
  <c r="C244" i="10" s="1"/>
  <c r="G1784" i="5"/>
  <c r="AI35" s="1"/>
  <c r="F128" i="10"/>
  <c r="L1768" i="5"/>
  <c r="M787"/>
  <c r="Q3097"/>
  <c r="G140" i="10"/>
  <c r="F140"/>
  <c r="M2630" i="5"/>
  <c r="H1615"/>
  <c r="J128" i="10"/>
  <c r="H1768" i="5"/>
  <c r="G1628"/>
  <c r="Q1260"/>
  <c r="G1271" s="1"/>
  <c r="H3094"/>
  <c r="F124" i="10"/>
  <c r="Q1720" i="5"/>
  <c r="J1717"/>
  <c r="F244" i="10"/>
  <c r="H244"/>
  <c r="J3094" i="5"/>
  <c r="I1214"/>
  <c r="J136" i="10"/>
  <c r="L1717" i="5"/>
  <c r="G136" i="10"/>
  <c r="F136"/>
  <c r="Q1114" i="5"/>
  <c r="Q1116" s="1"/>
  <c r="Q1117" s="1"/>
  <c r="Q1107"/>
  <c r="I1105" s="1"/>
  <c r="J244" i="10"/>
  <c r="K1717" i="5"/>
  <c r="K1564"/>
  <c r="G3107"/>
  <c r="I3094"/>
  <c r="L3094"/>
  <c r="Q1218"/>
  <c r="Q1219" s="1"/>
  <c r="L1214"/>
  <c r="I3298"/>
  <c r="G1733"/>
  <c r="AI34" s="1"/>
  <c r="H1717"/>
  <c r="I1717"/>
  <c r="M1726"/>
  <c r="I192" i="10"/>
  <c r="J2431" i="5"/>
  <c r="F192" i="10"/>
  <c r="H192"/>
  <c r="M801" i="5"/>
  <c r="M2266"/>
  <c r="I2482"/>
  <c r="F196" i="10"/>
  <c r="Q2485" i="5"/>
  <c r="G2498"/>
  <c r="AI49" s="1"/>
  <c r="Q2434"/>
  <c r="L2431"/>
  <c r="G192" i="10"/>
  <c r="M1253" i="5"/>
  <c r="I196" i="10"/>
  <c r="J2482" i="5"/>
  <c r="K2482"/>
  <c r="Q2486"/>
  <c r="B196" i="10" s="1"/>
  <c r="I1520" i="5"/>
  <c r="G2495"/>
  <c r="L2482"/>
  <c r="J192" i="10"/>
  <c r="L2744" i="5"/>
  <c r="I124" i="10"/>
  <c r="G1577" i="5"/>
  <c r="F260" i="10"/>
  <c r="J1207" i="5"/>
  <c r="H124" i="10"/>
  <c r="Q1567" i="5"/>
  <c r="G124" i="10"/>
  <c r="L3298" i="5"/>
  <c r="F96" i="10"/>
  <c r="H1207" i="5"/>
  <c r="J124" i="10"/>
  <c r="M2834" i="5"/>
  <c r="M1260"/>
  <c r="I2431"/>
  <c r="H2431"/>
  <c r="Q1210"/>
  <c r="Q1568"/>
  <c r="J1577" s="1"/>
  <c r="G1220"/>
  <c r="J96" i="10"/>
  <c r="J1564" i="5"/>
  <c r="I1564"/>
  <c r="H1564"/>
  <c r="M1719"/>
  <c r="M794"/>
  <c r="M2273"/>
  <c r="M2535"/>
  <c r="M1457"/>
  <c r="L1207"/>
  <c r="H96" i="10"/>
  <c r="Q1211" i="5"/>
  <c r="B96" i="10" s="1"/>
  <c r="G1223" i="5"/>
  <c r="AI24" s="1"/>
  <c r="I260" i="10"/>
  <c r="G96"/>
  <c r="K1207" i="5"/>
  <c r="M1464"/>
  <c r="M2287"/>
  <c r="K1520"/>
  <c r="J1520"/>
  <c r="Q1524"/>
  <c r="Q1525" s="1"/>
  <c r="G203"/>
  <c r="AI4" s="1"/>
  <c r="Q1523"/>
  <c r="L1520"/>
  <c r="H194"/>
  <c r="Q197"/>
  <c r="L194"/>
  <c r="H260" i="10"/>
  <c r="J260"/>
  <c r="J3298" i="5"/>
  <c r="K3356"/>
  <c r="I194"/>
  <c r="K194"/>
  <c r="H493"/>
  <c r="Q3302"/>
  <c r="B260" i="10" s="1"/>
  <c r="K3298" i="5"/>
  <c r="H3298"/>
  <c r="L3356"/>
  <c r="Q496"/>
  <c r="Q198"/>
  <c r="Q199" s="1"/>
  <c r="G260" i="10"/>
  <c r="Q3301" i="5"/>
  <c r="Q497"/>
  <c r="C40" i="10" s="1"/>
  <c r="J40"/>
  <c r="G506" i="5"/>
  <c r="Q3359"/>
  <c r="H41"/>
  <c r="F40" i="10"/>
  <c r="J493" i="5"/>
  <c r="I40" i="10"/>
  <c r="Q3360" i="5"/>
  <c r="Q3361" s="1"/>
  <c r="J3356"/>
  <c r="I41"/>
  <c r="I493"/>
  <c r="H40" i="10"/>
  <c r="K493" i="5"/>
  <c r="H3356"/>
  <c r="Q44"/>
  <c r="J41"/>
  <c r="K41"/>
  <c r="Q45"/>
  <c r="Q46" s="1"/>
  <c r="H4" i="10"/>
  <c r="F4"/>
  <c r="L34" i="5"/>
  <c r="Q38"/>
  <c r="B4" i="10" s="1"/>
  <c r="I4"/>
  <c r="H34" i="5"/>
  <c r="G50"/>
  <c r="AI1" s="1"/>
  <c r="Q37"/>
  <c r="K34"/>
  <c r="G4" i="10"/>
  <c r="J34" i="5"/>
  <c r="J4" i="10"/>
  <c r="G47" i="5"/>
  <c r="I34"/>
  <c r="B136" i="10"/>
  <c r="Q1722" i="5"/>
  <c r="I1733"/>
  <c r="AJ34" s="1"/>
  <c r="C136" i="10"/>
  <c r="J1730" i="5"/>
  <c r="Q503"/>
  <c r="K500"/>
  <c r="Q504"/>
  <c r="Q505" s="1"/>
  <c r="L500"/>
  <c r="H500"/>
  <c r="I500"/>
  <c r="J500"/>
  <c r="H1418"/>
  <c r="L1418"/>
  <c r="J1418"/>
  <c r="Q1422"/>
  <c r="I1418"/>
  <c r="Q1421"/>
  <c r="K1418"/>
  <c r="K2737"/>
  <c r="L2737"/>
  <c r="Q2740"/>
  <c r="H2489"/>
  <c r="Q2493"/>
  <c r="Q2494" s="1"/>
  <c r="K2489"/>
  <c r="Q2492"/>
  <c r="I2489"/>
  <c r="J2489"/>
  <c r="L2489"/>
  <c r="G509"/>
  <c r="AI10" s="1"/>
  <c r="Q2741" l="1"/>
  <c r="C216" i="10" s="1"/>
  <c r="G2750" i="5"/>
  <c r="G2753"/>
  <c r="AI54" s="1"/>
  <c r="I2737"/>
  <c r="J72" i="10"/>
  <c r="I216"/>
  <c r="G216"/>
  <c r="Q2747" i="5"/>
  <c r="I901"/>
  <c r="F216" i="10"/>
  <c r="H2737" i="5"/>
  <c r="J2737"/>
  <c r="J216" i="10"/>
  <c r="H901" i="5"/>
  <c r="H2591"/>
  <c r="L2591"/>
  <c r="Q905"/>
  <c r="C72" i="10" s="1"/>
  <c r="L901" i="5"/>
  <c r="K901"/>
  <c r="G914"/>
  <c r="H72" i="10"/>
  <c r="J901" i="5"/>
  <c r="Q904"/>
  <c r="J2591"/>
  <c r="I72" i="10"/>
  <c r="F72"/>
  <c r="J2744" i="5"/>
  <c r="I2744"/>
  <c r="Q2748"/>
  <c r="Q2749" s="1"/>
  <c r="K2744"/>
  <c r="H449"/>
  <c r="A136" i="10"/>
  <c r="J449" i="5"/>
  <c r="Q453"/>
  <c r="Q454" s="1"/>
  <c r="H204" i="10"/>
  <c r="L2584" i="5"/>
  <c r="H908"/>
  <c r="K449"/>
  <c r="Q452"/>
  <c r="G204" i="10"/>
  <c r="G458" i="5"/>
  <c r="AI9" s="1"/>
  <c r="G917"/>
  <c r="AI18" s="1"/>
  <c r="G10" i="9" s="1"/>
  <c r="I908" i="5"/>
  <c r="J204" i="10"/>
  <c r="Q2587" i="5"/>
  <c r="L449"/>
  <c r="J2584"/>
  <c r="I204" i="10"/>
  <c r="H1462" i="5"/>
  <c r="K2591"/>
  <c r="G1478"/>
  <c r="AI29" s="1"/>
  <c r="Q2595"/>
  <c r="Q2596" s="1"/>
  <c r="K908"/>
  <c r="Q912"/>
  <c r="Q913" s="1"/>
  <c r="G2600"/>
  <c r="AI51" s="1"/>
  <c r="K2584"/>
  <c r="F204" i="10"/>
  <c r="G2597" i="5"/>
  <c r="J908"/>
  <c r="L908"/>
  <c r="Q2588"/>
  <c r="B204" i="10" s="1"/>
  <c r="H2584" i="5"/>
  <c r="L1462"/>
  <c r="I116" i="10"/>
  <c r="H116"/>
  <c r="G116"/>
  <c r="J1462" i="5"/>
  <c r="K1462"/>
  <c r="G1475"/>
  <c r="Q1466"/>
  <c r="J1475" s="1"/>
  <c r="F116" i="10"/>
  <c r="Q1465" i="5"/>
  <c r="I1462"/>
  <c r="Q3258"/>
  <c r="I3263" s="1"/>
  <c r="AJ64" s="1"/>
  <c r="Q1829"/>
  <c r="Q2391"/>
  <c r="Q2392" s="1"/>
  <c r="L1826"/>
  <c r="I1826"/>
  <c r="Q351"/>
  <c r="Q352" s="1"/>
  <c r="H1826"/>
  <c r="J1826"/>
  <c r="Q1830"/>
  <c r="Q1831" s="1"/>
  <c r="G1835"/>
  <c r="AI36" s="1"/>
  <c r="N7" i="9" s="1"/>
  <c r="D27" s="1"/>
  <c r="J200" i="5"/>
  <c r="H347"/>
  <c r="K347"/>
  <c r="Q350"/>
  <c r="B16" i="10"/>
  <c r="A16" s="1"/>
  <c r="I347" i="5"/>
  <c r="Q192"/>
  <c r="J347"/>
  <c r="H3254"/>
  <c r="I3254"/>
  <c r="J3254"/>
  <c r="Q3257"/>
  <c r="K3254"/>
  <c r="G3263"/>
  <c r="AI64" s="1"/>
  <c r="Q2390"/>
  <c r="C188" i="10"/>
  <c r="A188" s="1"/>
  <c r="J2393" i="5"/>
  <c r="Q2385"/>
  <c r="K2387"/>
  <c r="J2387"/>
  <c r="I2387"/>
  <c r="L2387"/>
  <c r="G2396"/>
  <c r="AI47" s="1"/>
  <c r="N21" i="9" s="1"/>
  <c r="K27" s="1"/>
  <c r="G353" i="5"/>
  <c r="J340"/>
  <c r="I28" i="10"/>
  <c r="H340" i="5"/>
  <c r="F28" i="10"/>
  <c r="I340" i="5"/>
  <c r="H28" i="10"/>
  <c r="L340" i="5"/>
  <c r="Q343"/>
  <c r="K340"/>
  <c r="J28" i="10"/>
  <c r="G356" i="5"/>
  <c r="AI7" s="1"/>
  <c r="M4" i="9" s="1"/>
  <c r="C24" s="1"/>
  <c r="Q344" i="5"/>
  <c r="Q345" s="1"/>
  <c r="G1376"/>
  <c r="AI27" s="1"/>
  <c r="M10" i="9" s="1"/>
  <c r="F24" s="1"/>
  <c r="I1367" i="5"/>
  <c r="L1367"/>
  <c r="J1367"/>
  <c r="K1367"/>
  <c r="Q1371"/>
  <c r="Q1372" s="1"/>
  <c r="Q1370"/>
  <c r="G212" i="10"/>
  <c r="H2023" i="5"/>
  <c r="L544"/>
  <c r="G2243"/>
  <c r="AI44" s="1"/>
  <c r="H10" i="9" s="1"/>
  <c r="F14" s="1"/>
  <c r="K850" i="5"/>
  <c r="K3349"/>
  <c r="L2336"/>
  <c r="Q3354"/>
  <c r="L3349"/>
  <c r="I264" i="10"/>
  <c r="H252"/>
  <c r="I3152" i="5"/>
  <c r="G560"/>
  <c r="AI11" s="1"/>
  <c r="G68" i="10"/>
  <c r="Q3200" i="5"/>
  <c r="J3209" s="1"/>
  <c r="Q2033"/>
  <c r="K2234"/>
  <c r="Q854"/>
  <c r="B68" i="10" s="1"/>
  <c r="I68"/>
  <c r="K2336" i="5"/>
  <c r="Q3352"/>
  <c r="H264" i="10"/>
  <c r="G3362" i="5"/>
  <c r="H136"/>
  <c r="J12" i="10"/>
  <c r="Q1982" i="5"/>
  <c r="Q3150"/>
  <c r="K136"/>
  <c r="Q3156"/>
  <c r="Q3157" s="1"/>
  <c r="H3152"/>
  <c r="Q140"/>
  <c r="C12" i="10" s="1"/>
  <c r="G12"/>
  <c r="I12"/>
  <c r="Q139" i="5"/>
  <c r="G152"/>
  <c r="AI3" s="1"/>
  <c r="C248" i="10"/>
  <c r="L3152" i="5"/>
  <c r="G149"/>
  <c r="L136"/>
  <c r="G3161"/>
  <c r="AI62" s="1"/>
  <c r="K16" i="9" s="1"/>
  <c r="I20" s="1"/>
  <c r="B248" i="10"/>
  <c r="J3152" i="5"/>
  <c r="G160" i="10"/>
  <c r="I1054" i="5"/>
  <c r="H2438"/>
  <c r="B264" i="10"/>
  <c r="A264" s="1"/>
  <c r="I160"/>
  <c r="G264"/>
  <c r="I3349" i="5"/>
  <c r="J3362"/>
  <c r="J2023"/>
  <c r="J160" i="10"/>
  <c r="G1067" i="5"/>
  <c r="J264" i="10"/>
  <c r="H3349" i="5"/>
  <c r="J3349"/>
  <c r="H84" i="10"/>
  <c r="F160"/>
  <c r="Q2027" i="5"/>
  <c r="C160" i="10" s="1"/>
  <c r="G3365" i="5"/>
  <c r="AI66" s="1"/>
  <c r="E6" i="9" s="1"/>
  <c r="D8" s="1"/>
  <c r="F264" i="10"/>
  <c r="L1054" i="5"/>
  <c r="H544"/>
  <c r="J44" i="10"/>
  <c r="J2234" i="5"/>
  <c r="J2030"/>
  <c r="Q2034"/>
  <c r="Q2035" s="1"/>
  <c r="H1571"/>
  <c r="I850"/>
  <c r="J850"/>
  <c r="H2336"/>
  <c r="G2345"/>
  <c r="AI46" s="1"/>
  <c r="J7" i="9" s="1"/>
  <c r="D19" s="1"/>
  <c r="Q3155" i="5"/>
  <c r="J3196"/>
  <c r="G252" i="10"/>
  <c r="G3209" i="5"/>
  <c r="I3196"/>
  <c r="G557"/>
  <c r="Q2238"/>
  <c r="Q2239" s="1"/>
  <c r="H2030"/>
  <c r="Q2237"/>
  <c r="J68" i="10"/>
  <c r="G866" i="5"/>
  <c r="AI17" s="1"/>
  <c r="L850"/>
  <c r="H68" i="10"/>
  <c r="J2336" i="5"/>
  <c r="H44" i="10"/>
  <c r="J544" i="5"/>
  <c r="F44" i="10"/>
  <c r="F12"/>
  <c r="H12"/>
  <c r="Q547" i="5"/>
  <c r="Q548"/>
  <c r="C44" i="10" s="1"/>
  <c r="I136" i="5"/>
  <c r="H2234"/>
  <c r="L2030"/>
  <c r="I2234"/>
  <c r="I2030"/>
  <c r="H850"/>
  <c r="Q853"/>
  <c r="G863"/>
  <c r="L1571"/>
  <c r="Q2340"/>
  <c r="Q2341" s="1"/>
  <c r="F252" i="10"/>
  <c r="G3212" i="5"/>
  <c r="AI63" s="1"/>
  <c r="L15" i="9" s="1"/>
  <c r="H23" s="1"/>
  <c r="Q2339" i="5"/>
  <c r="G2036"/>
  <c r="I2023"/>
  <c r="L2023"/>
  <c r="H160" i="10"/>
  <c r="J1054" i="5"/>
  <c r="H1054"/>
  <c r="K2023"/>
  <c r="G2039"/>
  <c r="AI40" s="1"/>
  <c r="K1054"/>
  <c r="B84" i="10"/>
  <c r="A84" s="1"/>
  <c r="L952" i="5"/>
  <c r="K1622"/>
  <c r="Q1626"/>
  <c r="Q1627" s="1"/>
  <c r="F112" i="10"/>
  <c r="I1622" i="5"/>
  <c r="J1622"/>
  <c r="L1622"/>
  <c r="G1631"/>
  <c r="AI32" s="1"/>
  <c r="J15" i="9" s="1"/>
  <c r="H19" s="1"/>
  <c r="H1411" i="5"/>
  <c r="J112" i="10"/>
  <c r="Q1625" i="5"/>
  <c r="G1424"/>
  <c r="L2438"/>
  <c r="Q2689"/>
  <c r="J2686"/>
  <c r="I84" i="10"/>
  <c r="J84"/>
  <c r="J1067" i="5"/>
  <c r="G84" i="10"/>
  <c r="Q1057" i="5"/>
  <c r="I212" i="10"/>
  <c r="K544" i="5"/>
  <c r="G44" i="10"/>
  <c r="I544" i="5"/>
  <c r="Q955"/>
  <c r="F84" i="10"/>
  <c r="G1070" i="5"/>
  <c r="AI21" s="1"/>
  <c r="I2438"/>
  <c r="Q1059"/>
  <c r="H3196"/>
  <c r="Q3199"/>
  <c r="H112" i="10"/>
  <c r="G1427" i="5"/>
  <c r="AI28" s="1"/>
  <c r="L12" i="9" s="1"/>
  <c r="G22" s="1"/>
  <c r="H76" i="10"/>
  <c r="J76"/>
  <c r="G2447" i="5"/>
  <c r="AI48" s="1"/>
  <c r="M23" i="9" s="1"/>
  <c r="L25" s="1"/>
  <c r="Q2441" i="5"/>
  <c r="Q1415"/>
  <c r="J1424" s="1"/>
  <c r="L1411"/>
  <c r="J1979"/>
  <c r="I112" i="10"/>
  <c r="H1979" i="5"/>
  <c r="G112" i="10"/>
  <c r="I252"/>
  <c r="J252"/>
  <c r="K3196" i="5"/>
  <c r="Q956"/>
  <c r="J965" s="1"/>
  <c r="K2438"/>
  <c r="J2438"/>
  <c r="Q1414"/>
  <c r="K1411"/>
  <c r="K1979"/>
  <c r="I1411"/>
  <c r="G965"/>
  <c r="I952"/>
  <c r="G968"/>
  <c r="AI19" s="1"/>
  <c r="K5" i="9" s="1"/>
  <c r="C21" s="1"/>
  <c r="I1979" i="5"/>
  <c r="Q1983"/>
  <c r="Q1984" s="1"/>
  <c r="K952"/>
  <c r="F76" i="10"/>
  <c r="I76"/>
  <c r="Q1574" i="5"/>
  <c r="I1571"/>
  <c r="G1580"/>
  <c r="AI31" s="1"/>
  <c r="I5" i="9" s="1"/>
  <c r="C17" s="1"/>
  <c r="J1571" i="5"/>
  <c r="Q1575"/>
  <c r="Q1576" s="1"/>
  <c r="J952"/>
  <c r="H952"/>
  <c r="J212" i="10"/>
  <c r="H2686" i="5"/>
  <c r="Q2690"/>
  <c r="C212" i="10" s="1"/>
  <c r="G2699" i="5"/>
  <c r="K2686"/>
  <c r="F212" i="10"/>
  <c r="I2686" i="5"/>
  <c r="H212" i="10"/>
  <c r="B184"/>
  <c r="C184"/>
  <c r="Q2334" i="5"/>
  <c r="J156" i="10"/>
  <c r="I2693" i="5"/>
  <c r="G1988"/>
  <c r="AI39" s="1"/>
  <c r="I156" i="10"/>
  <c r="Q2697" i="5"/>
  <c r="Q2698" s="1"/>
  <c r="H156" i="10"/>
  <c r="G1985" i="5"/>
  <c r="Q1976"/>
  <c r="J1972"/>
  <c r="Q2996"/>
  <c r="C236" i="10" s="1"/>
  <c r="H1972" i="5"/>
  <c r="I1972"/>
  <c r="K1972"/>
  <c r="F48" i="10"/>
  <c r="I595" i="5"/>
  <c r="F156" i="10"/>
  <c r="G156"/>
  <c r="L1972" i="5"/>
  <c r="L595"/>
  <c r="Q2995"/>
  <c r="G2702"/>
  <c r="AI53" s="1"/>
  <c r="K2693"/>
  <c r="H2693"/>
  <c r="Q2696"/>
  <c r="J2693"/>
  <c r="F236" i="10"/>
  <c r="K2992" i="5"/>
  <c r="L2992"/>
  <c r="I236" i="10"/>
  <c r="J2992" i="5"/>
  <c r="I1309"/>
  <c r="B48" i="10"/>
  <c r="A48" s="1"/>
  <c r="H48"/>
  <c r="G608" i="5"/>
  <c r="G48" i="10"/>
  <c r="J608" i="5"/>
  <c r="Q600"/>
  <c r="G611"/>
  <c r="AI12" s="1"/>
  <c r="H13" i="9" s="1"/>
  <c r="G15" s="1"/>
  <c r="J48" i="10"/>
  <c r="Q598" i="5"/>
  <c r="J595"/>
  <c r="I48" i="10"/>
  <c r="K595" i="5"/>
  <c r="H595"/>
  <c r="G236" i="10"/>
  <c r="J236"/>
  <c r="I2992" i="5"/>
  <c r="H236" i="10"/>
  <c r="H2992" i="5"/>
  <c r="G3008"/>
  <c r="AI59" s="1"/>
  <c r="H1309"/>
  <c r="G1322"/>
  <c r="I104" i="10"/>
  <c r="F104"/>
  <c r="J1309" i="5"/>
  <c r="J104" i="10"/>
  <c r="H104"/>
  <c r="K1309" i="5"/>
  <c r="L1309"/>
  <c r="Q1313"/>
  <c r="C104" i="10" s="1"/>
  <c r="Q1312" i="5"/>
  <c r="B256" i="10"/>
  <c r="A256" s="1"/>
  <c r="Q1676" i="5"/>
  <c r="I1163"/>
  <c r="I220" i="10"/>
  <c r="L2788" i="5"/>
  <c r="C176" i="10"/>
  <c r="L2278" i="5"/>
  <c r="J3260"/>
  <c r="J238"/>
  <c r="Q3252"/>
  <c r="H1673"/>
  <c r="J1673"/>
  <c r="L1163"/>
  <c r="J56" i="10"/>
  <c r="F180"/>
  <c r="G180"/>
  <c r="Q2232" i="5"/>
  <c r="I2788"/>
  <c r="B176" i="10"/>
  <c r="J180"/>
  <c r="H180"/>
  <c r="I2081" i="5"/>
  <c r="Q1677"/>
  <c r="Q1678" s="1"/>
  <c r="L1673"/>
  <c r="G1172"/>
  <c r="AI23" s="1"/>
  <c r="G7" i="9" s="1"/>
  <c r="D13" s="1"/>
  <c r="Q1166" i="5"/>
  <c r="I2278"/>
  <c r="Q2282"/>
  <c r="C180" i="10" s="1"/>
  <c r="I180"/>
  <c r="G1682" i="5"/>
  <c r="AI33" s="1"/>
  <c r="H1163"/>
  <c r="Q1167"/>
  <c r="Q1168" s="1"/>
  <c r="K799"/>
  <c r="J232" i="10"/>
  <c r="I2941" i="5"/>
  <c r="I1673"/>
  <c r="K1163"/>
  <c r="L2081"/>
  <c r="H1316"/>
  <c r="J391"/>
  <c r="H2081"/>
  <c r="K2081"/>
  <c r="K2278"/>
  <c r="J2278"/>
  <c r="H2278"/>
  <c r="G32" i="10"/>
  <c r="L391" i="5"/>
  <c r="I1316"/>
  <c r="K1316"/>
  <c r="I2132"/>
  <c r="Q2281"/>
  <c r="J92"/>
  <c r="G2294"/>
  <c r="AI45" s="1"/>
  <c r="I8" i="9" s="1"/>
  <c r="E16" s="1"/>
  <c r="G2090" i="5"/>
  <c r="AI41" s="1"/>
  <c r="L1316"/>
  <c r="G1325"/>
  <c r="AI26" s="1"/>
  <c r="N8" i="9" s="1"/>
  <c r="E26" s="1"/>
  <c r="J2081" i="5"/>
  <c r="Q2084"/>
  <c r="Q1319"/>
  <c r="J1316"/>
  <c r="Q2135"/>
  <c r="Q394"/>
  <c r="G404"/>
  <c r="K391"/>
  <c r="I32" i="10"/>
  <c r="J2846" i="5"/>
  <c r="Q395"/>
  <c r="C32" i="10" s="1"/>
  <c r="F32"/>
  <c r="I391" i="5"/>
  <c r="K238"/>
  <c r="H32" i="10"/>
  <c r="J1921" i="5"/>
  <c r="I289"/>
  <c r="Q2646"/>
  <c r="Q2647" s="1"/>
  <c r="G2801"/>
  <c r="H2788"/>
  <c r="J2788"/>
  <c r="K2788"/>
  <c r="J220" i="10"/>
  <c r="H64"/>
  <c r="G2804" i="5"/>
  <c r="AI55" s="1"/>
  <c r="E5" i="9" s="1"/>
  <c r="C9" s="1"/>
  <c r="H220" i="10"/>
  <c r="H3101" i="5"/>
  <c r="Q2792"/>
  <c r="B220" i="10" s="1"/>
  <c r="F220"/>
  <c r="Q2791" i="5"/>
  <c r="J64" i="10"/>
  <c r="L799" i="5"/>
  <c r="Q3105"/>
  <c r="Q3106" s="1"/>
  <c r="I799"/>
  <c r="I172" i="10"/>
  <c r="H391" i="5"/>
  <c r="Q1268"/>
  <c r="K2846"/>
  <c r="Q2842"/>
  <c r="I2846"/>
  <c r="H799"/>
  <c r="Q2944"/>
  <c r="F232" i="10"/>
  <c r="H232"/>
  <c r="Q803" i="5"/>
  <c r="B64" i="10" s="1"/>
  <c r="C148"/>
  <c r="A148" s="1"/>
  <c r="B120"/>
  <c r="A120" s="1"/>
  <c r="I120"/>
  <c r="L653" i="5"/>
  <c r="F64" i="10"/>
  <c r="G812" i="5"/>
  <c r="I64" i="10"/>
  <c r="Q1875" i="5"/>
  <c r="F120" i="10"/>
  <c r="I3101" i="5"/>
  <c r="G64" i="10"/>
  <c r="Q802" i="5"/>
  <c r="J1883"/>
  <c r="J24" i="10"/>
  <c r="Q293" i="5"/>
  <c r="C24" i="10" s="1"/>
  <c r="Q2187" i="5"/>
  <c r="Q2188" s="1"/>
  <c r="G407"/>
  <c r="AI8" s="1"/>
  <c r="J2533"/>
  <c r="G302"/>
  <c r="G24" i="10"/>
  <c r="J228"/>
  <c r="Q1620" i="5"/>
  <c r="I398"/>
  <c r="G1526"/>
  <c r="F24" i="10"/>
  <c r="H24"/>
  <c r="F240"/>
  <c r="J2176" i="5"/>
  <c r="C128" i="10"/>
  <c r="A128" s="1"/>
  <c r="K289" i="5"/>
  <c r="Q292"/>
  <c r="I24" i="10"/>
  <c r="I1070" i="5"/>
  <c r="AJ21" s="1"/>
  <c r="I3305"/>
  <c r="H2642"/>
  <c r="G305"/>
  <c r="AI6" s="1"/>
  <c r="I15" i="9" s="1"/>
  <c r="H17" s="1"/>
  <c r="H289" i="5"/>
  <c r="J289"/>
  <c r="I228" i="10"/>
  <c r="G2954" i="5"/>
  <c r="G232" i="10"/>
  <c r="G172"/>
  <c r="I8"/>
  <c r="H2941" i="5"/>
  <c r="G2957"/>
  <c r="AI58" s="1"/>
  <c r="J8" i="10"/>
  <c r="I232"/>
  <c r="J2941" i="5"/>
  <c r="Q2945"/>
  <c r="C232" i="10" s="1"/>
  <c r="J1628" i="5"/>
  <c r="L2941"/>
  <c r="J2642"/>
  <c r="Q2645"/>
  <c r="J398"/>
  <c r="J60" i="10"/>
  <c r="F20"/>
  <c r="G228"/>
  <c r="Q701" i="5"/>
  <c r="B56" i="10" s="1"/>
  <c r="H2183" i="5"/>
  <c r="L2183"/>
  <c r="Q402"/>
  <c r="Q403" s="1"/>
  <c r="H653"/>
  <c r="Q2843"/>
  <c r="C224" i="10" s="1"/>
  <c r="J224"/>
  <c r="I238" i="5"/>
  <c r="L238"/>
  <c r="J3101"/>
  <c r="K3043"/>
  <c r="G2903"/>
  <c r="G710"/>
  <c r="J697"/>
  <c r="L92"/>
  <c r="L697"/>
  <c r="I92"/>
  <c r="H92"/>
  <c r="K2642"/>
  <c r="I2839"/>
  <c r="G251"/>
  <c r="J1832"/>
  <c r="K398"/>
  <c r="Q2186"/>
  <c r="L2839"/>
  <c r="I2642"/>
  <c r="C144" i="10"/>
  <c r="A144" s="1"/>
  <c r="Q1824" i="5"/>
  <c r="I2183"/>
  <c r="K2183"/>
  <c r="C92" i="10"/>
  <c r="H398" i="5"/>
  <c r="H3305"/>
  <c r="Q401"/>
  <c r="Q657"/>
  <c r="Q658" s="1"/>
  <c r="H224" i="10"/>
  <c r="G3110" i="5"/>
  <c r="AI61" s="1"/>
  <c r="L3101"/>
  <c r="H2890"/>
  <c r="Q2893"/>
  <c r="Q3054"/>
  <c r="Q3055" s="1"/>
  <c r="Q95"/>
  <c r="H56" i="10"/>
  <c r="K92" i="5"/>
  <c r="J3050"/>
  <c r="F56" i="10"/>
  <c r="Q3104" i="5"/>
  <c r="I3050"/>
  <c r="K2176"/>
  <c r="H85"/>
  <c r="G2189"/>
  <c r="Q2179"/>
  <c r="J172" i="10"/>
  <c r="H172"/>
  <c r="Q1518" i="5"/>
  <c r="Q2136"/>
  <c r="Q2137" s="1"/>
  <c r="J2132"/>
  <c r="I611"/>
  <c r="AJ12" s="1"/>
  <c r="Q2850"/>
  <c r="Q2851" s="1"/>
  <c r="I85"/>
  <c r="I2176"/>
  <c r="Q2180"/>
  <c r="C172" i="10" s="1"/>
  <c r="F172"/>
  <c r="I1886" i="5"/>
  <c r="AJ37" s="1"/>
  <c r="G2192"/>
  <c r="AI43" s="1"/>
  <c r="L2176"/>
  <c r="H120" i="10"/>
  <c r="L2132" i="5"/>
  <c r="G2141"/>
  <c r="AI42" s="1"/>
  <c r="H2846"/>
  <c r="L1513"/>
  <c r="Q2849"/>
  <c r="I100" i="10"/>
  <c r="H2132" i="5"/>
  <c r="H8" i="10"/>
  <c r="F8"/>
  <c r="B108"/>
  <c r="A108" s="1"/>
  <c r="I1921" i="5"/>
  <c r="Q3309"/>
  <c r="Q3310" s="1"/>
  <c r="Q3308"/>
  <c r="H3043"/>
  <c r="J1373"/>
  <c r="M8" i="9"/>
  <c r="E24" s="1"/>
  <c r="B92" i="10"/>
  <c r="L3305" i="5"/>
  <c r="G3314"/>
  <c r="AI65" s="1"/>
  <c r="J1679"/>
  <c r="J1169"/>
  <c r="G662"/>
  <c r="AI13" s="1"/>
  <c r="L4" i="9" s="1"/>
  <c r="C22" s="1"/>
  <c r="J653" i="5"/>
  <c r="H240" i="10"/>
  <c r="J240"/>
  <c r="Q3047" i="5"/>
  <c r="J3056" s="1"/>
  <c r="G98"/>
  <c r="G101"/>
  <c r="AI2" s="1"/>
  <c r="M6" i="9" s="1"/>
  <c r="D24" s="1"/>
  <c r="J85" i="5"/>
  <c r="Q1671"/>
  <c r="B132" i="10"/>
  <c r="A132" s="1"/>
  <c r="G3056" i="5"/>
  <c r="Q1365"/>
  <c r="G152" i="10"/>
  <c r="K3305" i="5"/>
  <c r="F60" i="10"/>
  <c r="K653" i="5"/>
  <c r="Q656"/>
  <c r="G240" i="10"/>
  <c r="I3043" i="5"/>
  <c r="I240" i="10"/>
  <c r="Q88" i="5"/>
  <c r="K85"/>
  <c r="G1274"/>
  <c r="AI25" s="1"/>
  <c r="K1921"/>
  <c r="F152" i="10"/>
  <c r="J1265" i="5"/>
  <c r="J100" i="10"/>
  <c r="Q1262" i="5"/>
  <c r="Q1263" s="1"/>
  <c r="H152" i="10"/>
  <c r="L1921" i="5"/>
  <c r="J152" i="10"/>
  <c r="H1258" i="5"/>
  <c r="K748"/>
  <c r="F100" i="10"/>
  <c r="J2839" i="5"/>
  <c r="I224" i="10"/>
  <c r="F224"/>
  <c r="H20"/>
  <c r="H238" i="5"/>
  <c r="Q241"/>
  <c r="H228" i="10"/>
  <c r="I2890" i="5"/>
  <c r="F228" i="10"/>
  <c r="K2890" i="5"/>
  <c r="I697"/>
  <c r="I56" i="10"/>
  <c r="H3050" i="5"/>
  <c r="Q1924"/>
  <c r="G1934"/>
  <c r="J3311"/>
  <c r="G1937"/>
  <c r="AI38" s="1"/>
  <c r="H1921"/>
  <c r="Q1925"/>
  <c r="B152" i="10" s="1"/>
  <c r="G224"/>
  <c r="H748" i="5"/>
  <c r="Q2079"/>
  <c r="G2855"/>
  <c r="AI56" s="1"/>
  <c r="I1265"/>
  <c r="J1258"/>
  <c r="G2852"/>
  <c r="K2839"/>
  <c r="H1265"/>
  <c r="I20" i="10"/>
  <c r="G20"/>
  <c r="J20"/>
  <c r="G120"/>
  <c r="B164"/>
  <c r="A164" s="1"/>
  <c r="Q242" i="5"/>
  <c r="B20" i="10" s="1"/>
  <c r="L3043" i="5"/>
  <c r="J3043"/>
  <c r="G3059"/>
  <c r="AI60" s="1"/>
  <c r="L2890"/>
  <c r="Q2894"/>
  <c r="B228" i="10" s="1"/>
  <c r="H697" i="5"/>
  <c r="Q3053"/>
  <c r="K3050"/>
  <c r="K697"/>
  <c r="Q700"/>
  <c r="H208" i="10"/>
  <c r="I2090" i="5"/>
  <c r="AJ41" s="1"/>
  <c r="I1513"/>
  <c r="J1513"/>
  <c r="Q1269"/>
  <c r="Q1270" s="1"/>
  <c r="Q1212"/>
  <c r="J208" i="10"/>
  <c r="J1526" i="5"/>
  <c r="Q1516"/>
  <c r="H1513"/>
  <c r="G1529"/>
  <c r="AI30" s="1"/>
  <c r="J120" i="10"/>
  <c r="K1513" i="5"/>
  <c r="K755"/>
  <c r="L1265"/>
  <c r="F5" i="9"/>
  <c r="C11" s="1"/>
  <c r="F200" i="10"/>
  <c r="G2549" i="5"/>
  <c r="AI50" s="1"/>
  <c r="G9" i="9" s="1"/>
  <c r="E13" s="1"/>
  <c r="H2533" i="5"/>
  <c r="J2087"/>
  <c r="C8" i="10"/>
  <c r="I101" i="5"/>
  <c r="AJ2" s="1"/>
  <c r="J98"/>
  <c r="Q90"/>
  <c r="B8" i="10"/>
  <c r="A8" s="1"/>
  <c r="Q2638" i="5"/>
  <c r="H2635"/>
  <c r="L85"/>
  <c r="G8" i="10"/>
  <c r="G2648" i="5"/>
  <c r="I2447"/>
  <c r="AJ48" s="1"/>
  <c r="Q759"/>
  <c r="Q760" s="1"/>
  <c r="Q2487"/>
  <c r="G2651"/>
  <c r="AI52" s="1"/>
  <c r="J2635"/>
  <c r="G208" i="10"/>
  <c r="C196"/>
  <c r="A196" s="1"/>
  <c r="F8" i="9"/>
  <c r="E10" s="1"/>
  <c r="K806" i="5"/>
  <c r="F4" i="9"/>
  <c r="C10" s="1"/>
  <c r="I208" i="10"/>
  <c r="F208"/>
  <c r="L11" i="9"/>
  <c r="F23" s="1"/>
  <c r="Q809" i="5"/>
  <c r="J704"/>
  <c r="Q811"/>
  <c r="C192" i="10"/>
  <c r="A192" s="1"/>
  <c r="H755" i="5"/>
  <c r="L755"/>
  <c r="I748"/>
  <c r="G761"/>
  <c r="Q751"/>
  <c r="I806"/>
  <c r="L806"/>
  <c r="Q2130"/>
  <c r="Q2436"/>
  <c r="J755"/>
  <c r="H60" i="10"/>
  <c r="G60"/>
  <c r="J748" i="5"/>
  <c r="I60" i="10"/>
  <c r="H806" i="5"/>
  <c r="G815"/>
  <c r="AI16" s="1"/>
  <c r="J2444"/>
  <c r="Q758"/>
  <c r="G764"/>
  <c r="AI15" s="1"/>
  <c r="L21" i="9" s="1"/>
  <c r="K23" s="1"/>
  <c r="L748" i="5"/>
  <c r="C200" i="10"/>
  <c r="A200" s="1"/>
  <c r="J806" i="5"/>
  <c r="C96" i="10"/>
  <c r="A96" s="1"/>
  <c r="J1220" i="5"/>
  <c r="K1105"/>
  <c r="H100" i="10"/>
  <c r="I1258" i="5"/>
  <c r="G100" i="10"/>
  <c r="K1258" i="5"/>
  <c r="Q708"/>
  <c r="Q709" s="1"/>
  <c r="Q707"/>
  <c r="I704"/>
  <c r="H704"/>
  <c r="K704"/>
  <c r="G713"/>
  <c r="AI14" s="1"/>
  <c r="M21" i="9" s="1"/>
  <c r="K25" s="1"/>
  <c r="I1784" i="5"/>
  <c r="AJ35" s="1"/>
  <c r="G88" i="10"/>
  <c r="L1258" i="5"/>
  <c r="Q1261"/>
  <c r="L2533"/>
  <c r="I200" i="10"/>
  <c r="I2533" i="5"/>
  <c r="B168" i="10"/>
  <c r="C168"/>
  <c r="C140"/>
  <c r="J200"/>
  <c r="H200"/>
  <c r="I2549" i="5"/>
  <c r="AJ50" s="1"/>
  <c r="Q447"/>
  <c r="L1928"/>
  <c r="Q1932"/>
  <c r="Q1933" s="1"/>
  <c r="I1928"/>
  <c r="K1928"/>
  <c r="Q1931"/>
  <c r="H1928"/>
  <c r="J1928"/>
  <c r="C36" i="10"/>
  <c r="G2546" i="5"/>
  <c r="K2533"/>
  <c r="Q2538"/>
  <c r="G200" i="10"/>
  <c r="Q1773" i="5"/>
  <c r="B140" i="10"/>
  <c r="B36"/>
  <c r="J2546" i="5"/>
  <c r="Q2536"/>
  <c r="J3107"/>
  <c r="K2635"/>
  <c r="L2635"/>
  <c r="I2635"/>
  <c r="H1112"/>
  <c r="I1112"/>
  <c r="Q2900"/>
  <c r="I2897"/>
  <c r="K2897"/>
  <c r="L2897"/>
  <c r="Q2901"/>
  <c r="J2897"/>
  <c r="H2897"/>
  <c r="G2906"/>
  <c r="AI57" s="1"/>
  <c r="J1112"/>
  <c r="I1003"/>
  <c r="H1003"/>
  <c r="Q1006"/>
  <c r="L1003"/>
  <c r="G1016"/>
  <c r="G80" i="10"/>
  <c r="J1003" i="5"/>
  <c r="G1019"/>
  <c r="AI20" s="1"/>
  <c r="L19" i="9" s="1"/>
  <c r="J23" s="1"/>
  <c r="I80" i="10"/>
  <c r="K1003" i="5"/>
  <c r="J80" i="10"/>
  <c r="Q1007" i="5"/>
  <c r="B80" i="10" s="1"/>
  <c r="H80"/>
  <c r="F80"/>
  <c r="C52"/>
  <c r="A52" s="1"/>
  <c r="J659" i="5"/>
  <c r="Q651"/>
  <c r="B244" i="10"/>
  <c r="A244" s="1"/>
  <c r="Q3099" i="5"/>
  <c r="J1010"/>
  <c r="Q1013"/>
  <c r="Q1014"/>
  <c r="Q1015" s="1"/>
  <c r="H1010"/>
  <c r="L1010"/>
  <c r="I1010"/>
  <c r="K1010"/>
  <c r="J2495"/>
  <c r="J1105"/>
  <c r="Q1115"/>
  <c r="L1112"/>
  <c r="K1112"/>
  <c r="Q1108"/>
  <c r="Q753"/>
  <c r="I1223"/>
  <c r="AJ24" s="1"/>
  <c r="G1118"/>
  <c r="H88" i="10"/>
  <c r="Q1109" i="5"/>
  <c r="B88" i="10" s="1"/>
  <c r="J88"/>
  <c r="H1105" i="5"/>
  <c r="I88" i="10"/>
  <c r="G1121" i="5"/>
  <c r="AI22" s="1"/>
  <c r="I1529"/>
  <c r="AJ30" s="1"/>
  <c r="F88" i="10"/>
  <c r="L1105" i="5"/>
  <c r="J506"/>
  <c r="B40" i="10"/>
  <c r="A40" s="1"/>
  <c r="C60"/>
  <c r="A60" s="1"/>
  <c r="C124"/>
  <c r="Q1569" i="5"/>
  <c r="B124" i="10"/>
  <c r="J761" i="5"/>
  <c r="F9" i="9"/>
  <c r="E11" s="1"/>
  <c r="Q3303" i="5"/>
  <c r="I3365"/>
  <c r="AJ66" s="1"/>
  <c r="C260" i="10"/>
  <c r="A260" s="1"/>
  <c r="I203" i="5"/>
  <c r="AJ4" s="1"/>
  <c r="Q498"/>
  <c r="C4" i="10"/>
  <c r="A4" s="1"/>
  <c r="B216"/>
  <c r="A216" s="1"/>
  <c r="N5" i="9"/>
  <c r="C27" s="1"/>
  <c r="I509" i="5"/>
  <c r="AJ10" s="1"/>
  <c r="I2498"/>
  <c r="AJ49" s="1"/>
  <c r="M9" i="9"/>
  <c r="E25" s="1"/>
  <c r="J9"/>
  <c r="E19" s="1"/>
  <c r="I50" i="5"/>
  <c r="AJ1" s="1"/>
  <c r="Q39"/>
  <c r="J47"/>
  <c r="L5" i="4" s="1"/>
  <c r="Q1423" i="5"/>
  <c r="Q2640"/>
  <c r="J2648"/>
  <c r="J12" i="9"/>
  <c r="C208" i="10"/>
  <c r="H6" i="9"/>
  <c r="D14" s="1"/>
  <c r="B208" i="10"/>
  <c r="M18" i="9" l="1"/>
  <c r="J24" s="1"/>
  <c r="L17"/>
  <c r="I23" s="1"/>
  <c r="I10"/>
  <c r="F16" s="1"/>
  <c r="H7"/>
  <c r="D15" s="1"/>
  <c r="L10"/>
  <c r="F22" s="1"/>
  <c r="L20"/>
  <c r="K22" s="1"/>
  <c r="K10"/>
  <c r="F20" s="1"/>
  <c r="K11"/>
  <c r="F21" s="1"/>
  <c r="G5"/>
  <c r="C13" s="1"/>
  <c r="M16"/>
  <c r="I24" s="1"/>
  <c r="H9"/>
  <c r="E15" s="1"/>
  <c r="L8"/>
  <c r="E22" s="1"/>
  <c r="M12"/>
  <c r="G24" s="1"/>
  <c r="K6"/>
  <c r="D20" s="1"/>
  <c r="N4"/>
  <c r="C26" s="1"/>
  <c r="I12"/>
  <c r="G16" s="1"/>
  <c r="K15"/>
  <c r="H21" s="1"/>
  <c r="J13"/>
  <c r="G19" s="1"/>
  <c r="J8"/>
  <c r="E18" s="1"/>
  <c r="N13"/>
  <c r="G27" s="1"/>
  <c r="L7"/>
  <c r="D23" s="1"/>
  <c r="K12"/>
  <c r="G20" s="1"/>
  <c r="J10"/>
  <c r="F18" s="1"/>
  <c r="K8"/>
  <c r="E20" s="1"/>
  <c r="J2750" i="5"/>
  <c r="Q2742"/>
  <c r="B72" i="10"/>
  <c r="A72" s="1"/>
  <c r="Q906" i="5"/>
  <c r="J914"/>
  <c r="K7" i="9"/>
  <c r="D21" s="1"/>
  <c r="I2753" i="5"/>
  <c r="AJ54" s="1"/>
  <c r="A36" i="10"/>
  <c r="G11" i="9"/>
  <c r="F13" s="1"/>
  <c r="C116" i="10"/>
  <c r="Q1467" i="5"/>
  <c r="I917"/>
  <c r="AJ18" s="1"/>
  <c r="C204" i="10"/>
  <c r="A204" s="1"/>
  <c r="A92"/>
  <c r="A184"/>
  <c r="A248"/>
  <c r="I458" i="5"/>
  <c r="AJ9" s="1"/>
  <c r="B116" i="10"/>
  <c r="A116" s="1"/>
  <c r="A208"/>
  <c r="A124"/>
  <c r="A176"/>
  <c r="A140"/>
  <c r="A168"/>
  <c r="K14" i="9"/>
  <c r="H20" s="1"/>
  <c r="I2600" i="5"/>
  <c r="AJ51" s="1"/>
  <c r="Q2589"/>
  <c r="J2597"/>
  <c r="I1478"/>
  <c r="AJ29" s="1"/>
  <c r="Q3259"/>
  <c r="I1835"/>
  <c r="AJ36" s="1"/>
  <c r="I2396"/>
  <c r="AJ47" s="1"/>
  <c r="N6" i="9"/>
  <c r="D26" s="1"/>
  <c r="M13"/>
  <c r="G25" s="1"/>
  <c r="N20"/>
  <c r="K26" s="1"/>
  <c r="M5"/>
  <c r="C25" s="1"/>
  <c r="C28" i="10"/>
  <c r="J353" i="5"/>
  <c r="I356"/>
  <c r="AJ7" s="1"/>
  <c r="B28" i="10"/>
  <c r="I1376" i="5"/>
  <c r="AJ27" s="1"/>
  <c r="M11" i="9"/>
  <c r="F25" s="1"/>
  <c r="I11"/>
  <c r="F17" s="1"/>
  <c r="H11"/>
  <c r="F15" s="1"/>
  <c r="I3212" i="5"/>
  <c r="AJ63" s="1"/>
  <c r="Q855"/>
  <c r="J863"/>
  <c r="B252" i="10"/>
  <c r="C252"/>
  <c r="Q3201" i="5"/>
  <c r="L9" i="9"/>
  <c r="E23" s="1"/>
  <c r="K9"/>
  <c r="E21" s="1"/>
  <c r="C68" i="10"/>
  <c r="A68" s="1"/>
  <c r="I866" i="5"/>
  <c r="AJ17" s="1"/>
  <c r="I560"/>
  <c r="AJ11" s="1"/>
  <c r="L14" i="9"/>
  <c r="H22" s="1"/>
  <c r="B44" i="10"/>
  <c r="A44" s="1"/>
  <c r="K17" i="9"/>
  <c r="I21" s="1"/>
  <c r="Q549" i="5"/>
  <c r="E7" i="9"/>
  <c r="D9" s="1"/>
  <c r="J557" i="5"/>
  <c r="I3161"/>
  <c r="AJ62" s="1"/>
  <c r="B12" i="10"/>
  <c r="A12" s="1"/>
  <c r="I152" i="5"/>
  <c r="AJ3" s="1"/>
  <c r="J2036"/>
  <c r="J149"/>
  <c r="Q141"/>
  <c r="B160" i="10"/>
  <c r="A160" s="1"/>
  <c r="I2243" i="5"/>
  <c r="AJ44" s="1"/>
  <c r="H8" i="9"/>
  <c r="E14" s="1"/>
  <c r="Q2028" i="5"/>
  <c r="B112" i="10"/>
  <c r="J6" i="9"/>
  <c r="D18" s="1"/>
  <c r="B76" i="10"/>
  <c r="I2039" i="5"/>
  <c r="AJ40" s="1"/>
  <c r="I2345"/>
  <c r="AJ46" s="1"/>
  <c r="M17" i="9"/>
  <c r="I25" s="1"/>
  <c r="I1631" i="5"/>
  <c r="AJ32" s="1"/>
  <c r="I968"/>
  <c r="AJ19" s="1"/>
  <c r="C76" i="10"/>
  <c r="Q957" i="5"/>
  <c r="J14" i="9"/>
  <c r="H18" s="1"/>
  <c r="K4"/>
  <c r="C20" s="1"/>
  <c r="Q1416" i="5"/>
  <c r="C112" i="10"/>
  <c r="L13" i="9"/>
  <c r="G23" s="1"/>
  <c r="I1427" i="5"/>
  <c r="AJ28" s="1"/>
  <c r="B236" i="10"/>
  <c r="A236" s="1"/>
  <c r="I4" i="9"/>
  <c r="C16" s="1"/>
  <c r="M22"/>
  <c r="L24" s="1"/>
  <c r="J3005" i="5"/>
  <c r="I3008"/>
  <c r="AJ59" s="1"/>
  <c r="I1988"/>
  <c r="AJ39" s="1"/>
  <c r="J11" i="9"/>
  <c r="F19" s="1"/>
  <c r="I1580" i="5"/>
  <c r="AJ31" s="1"/>
  <c r="J2699"/>
  <c r="J1985"/>
  <c r="Q2691"/>
  <c r="Q1977"/>
  <c r="Q2283"/>
  <c r="B212" i="10"/>
  <c r="A212" s="1"/>
  <c r="C156"/>
  <c r="Q2997" i="5"/>
  <c r="B156" i="10"/>
  <c r="I2702" i="5"/>
  <c r="AJ53" s="1"/>
  <c r="H12" i="9"/>
  <c r="G14" s="1"/>
  <c r="Q92" s="1"/>
  <c r="M19"/>
  <c r="J25" s="1"/>
  <c r="J1322" i="5"/>
  <c r="Q1314"/>
  <c r="I1325"/>
  <c r="AJ26" s="1"/>
  <c r="B104" i="10"/>
  <c r="A104" s="1"/>
  <c r="I2294" i="5"/>
  <c r="AJ45" s="1"/>
  <c r="I9" i="9"/>
  <c r="E17" s="1"/>
  <c r="K13"/>
  <c r="G21" s="1"/>
  <c r="I1682" i="5"/>
  <c r="AJ33" s="1"/>
  <c r="B180" i="10"/>
  <c r="A180" s="1"/>
  <c r="I2651" i="5"/>
  <c r="AJ52" s="1"/>
  <c r="I1172"/>
  <c r="AJ23" s="1"/>
  <c r="B32" i="10"/>
  <c r="A32" s="1"/>
  <c r="J2291" i="5"/>
  <c r="E4" i="9"/>
  <c r="C8" s="1"/>
  <c r="G6"/>
  <c r="D12" s="1"/>
  <c r="L6"/>
  <c r="D22" s="1"/>
  <c r="I3110" i="5"/>
  <c r="AJ61" s="1"/>
  <c r="N9" i="9"/>
  <c r="E27" s="1"/>
  <c r="J404" i="5"/>
  <c r="Q396"/>
  <c r="I815"/>
  <c r="AJ16" s="1"/>
  <c r="I3314"/>
  <c r="AJ65" s="1"/>
  <c r="Q2793"/>
  <c r="J2954"/>
  <c r="J2801"/>
  <c r="I2804"/>
  <c r="AJ55" s="1"/>
  <c r="C220" i="10"/>
  <c r="A220" s="1"/>
  <c r="C64"/>
  <c r="A64" s="1"/>
  <c r="M20" i="9"/>
  <c r="K24" s="1"/>
  <c r="Q804" i="5"/>
  <c r="J812"/>
  <c r="Q2181"/>
  <c r="Q294"/>
  <c r="J1934"/>
  <c r="I662"/>
  <c r="AJ13" s="1"/>
  <c r="B24" i="10"/>
  <c r="A24" s="1"/>
  <c r="I305" i="5"/>
  <c r="AJ6" s="1"/>
  <c r="J302"/>
  <c r="I14" i="9"/>
  <c r="H16" s="1"/>
  <c r="J1118" i="5"/>
  <c r="I407"/>
  <c r="AJ8" s="1"/>
  <c r="I2192"/>
  <c r="AJ43" s="1"/>
  <c r="I2141"/>
  <c r="AJ42" s="1"/>
  <c r="C56" i="10"/>
  <c r="A56" s="1"/>
  <c r="B172"/>
  <c r="A172" s="1"/>
  <c r="J2189" i="5"/>
  <c r="Q702"/>
  <c r="J710"/>
  <c r="M7" i="9"/>
  <c r="D25" s="1"/>
  <c r="Q2946" i="5"/>
  <c r="B232" i="10"/>
  <c r="A232" s="1"/>
  <c r="I2957" i="5"/>
  <c r="AJ58" s="1"/>
  <c r="J2852"/>
  <c r="G4" i="9"/>
  <c r="C12" s="1"/>
  <c r="B224" i="10"/>
  <c r="A224" s="1"/>
  <c r="Q2844" i="5"/>
  <c r="I2855"/>
  <c r="AJ56" s="1"/>
  <c r="Q3048"/>
  <c r="Q2895"/>
  <c r="L18" i="9"/>
  <c r="J22" s="1"/>
  <c r="J17"/>
  <c r="I19" s="1"/>
  <c r="I13"/>
  <c r="G17" s="1"/>
  <c r="C240" i="10"/>
  <c r="N12" i="9"/>
  <c r="G26" s="1"/>
  <c r="D4"/>
  <c r="C6" s="1"/>
  <c r="O44" s="1"/>
  <c r="C100" i="10"/>
  <c r="I1274" i="5"/>
  <c r="AJ25" s="1"/>
  <c r="N10" i="9"/>
  <c r="F26" s="1"/>
  <c r="J251" i="5"/>
  <c r="N11" i="9"/>
  <c r="F27" s="1"/>
  <c r="I764" i="5"/>
  <c r="AJ15" s="1"/>
  <c r="L5" i="9"/>
  <c r="C23" s="1"/>
  <c r="I3059" i="5"/>
  <c r="AJ60" s="1"/>
  <c r="B240" i="10"/>
  <c r="F6" i="9"/>
  <c r="D10" s="1"/>
  <c r="P67" s="1"/>
  <c r="J1271" i="5"/>
  <c r="J2903"/>
  <c r="I254"/>
  <c r="AJ5" s="1"/>
  <c r="L16" i="9"/>
  <c r="I22" s="1"/>
  <c r="K19"/>
  <c r="J21" s="1"/>
  <c r="K18"/>
  <c r="J20" s="1"/>
  <c r="C152" i="10"/>
  <c r="A152" s="1"/>
  <c r="G8" i="9"/>
  <c r="E12" s="1"/>
  <c r="Q243" i="5"/>
  <c r="J16" i="9"/>
  <c r="Q104" s="1"/>
  <c r="Q1926" i="5"/>
  <c r="B100" i="10"/>
  <c r="C20"/>
  <c r="A20" s="1"/>
  <c r="C228"/>
  <c r="A228" s="1"/>
  <c r="F7" i="9"/>
  <c r="D11" s="1"/>
  <c r="D5"/>
  <c r="C7" s="1"/>
  <c r="N18"/>
  <c r="J26" s="1"/>
  <c r="N19"/>
  <c r="J27" s="1"/>
  <c r="N25"/>
  <c r="M27" s="1"/>
  <c r="I7"/>
  <c r="D17" s="1"/>
  <c r="I6"/>
  <c r="D16" s="1"/>
  <c r="J4"/>
  <c r="N14"/>
  <c r="H26" s="1"/>
  <c r="N15"/>
  <c r="H27" s="1"/>
  <c r="N16"/>
  <c r="I26" s="1"/>
  <c r="N17"/>
  <c r="I27" s="1"/>
  <c r="C88" i="10"/>
  <c r="A88" s="1"/>
  <c r="I1937" i="5"/>
  <c r="AJ38" s="1"/>
  <c r="N24" i="9"/>
  <c r="M26" s="1"/>
  <c r="I713" i="5"/>
  <c r="AJ14" s="1"/>
  <c r="N22" i="9"/>
  <c r="L26" s="1"/>
  <c r="N23"/>
  <c r="L27" s="1"/>
  <c r="Q1110" i="5"/>
  <c r="M15" i="9"/>
  <c r="H25" s="1"/>
  <c r="M14"/>
  <c r="H24" s="1"/>
  <c r="Q2902" i="5"/>
  <c r="I2906"/>
  <c r="AJ57" s="1"/>
  <c r="C80" i="10"/>
  <c r="A80" s="1"/>
  <c r="J1016" i="5"/>
  <c r="I1019"/>
  <c r="AJ20" s="1"/>
  <c r="Q1008"/>
  <c r="H5" i="9"/>
  <c r="C15" s="1"/>
  <c r="H4"/>
  <c r="C14" s="1"/>
  <c r="I1121" i="5"/>
  <c r="AJ22" s="1"/>
  <c r="J5" i="9"/>
  <c r="C19" s="1"/>
  <c r="M5" i="4"/>
  <c r="F12" i="9"/>
  <c r="O68"/>
  <c r="P68"/>
  <c r="Q68"/>
  <c r="G18"/>
  <c r="O5" i="4" l="1"/>
  <c r="A156" i="10"/>
  <c r="A100"/>
  <c r="A112"/>
  <c r="A252"/>
  <c r="A28"/>
  <c r="A76"/>
  <c r="A240"/>
  <c r="N5" i="4"/>
  <c r="Q79" i="9"/>
  <c r="P92"/>
  <c r="P79"/>
  <c r="O92"/>
  <c r="O79"/>
  <c r="O127"/>
  <c r="Q32"/>
  <c r="P127"/>
  <c r="Q127"/>
  <c r="P126"/>
  <c r="O146"/>
  <c r="O95"/>
  <c r="Q107"/>
  <c r="Q125"/>
  <c r="Q158"/>
  <c r="K11" i="4"/>
  <c r="Q33" i="9"/>
  <c r="Q91"/>
  <c r="O91"/>
  <c r="P44"/>
  <c r="Q98"/>
  <c r="O96"/>
  <c r="P94"/>
  <c r="P91"/>
  <c r="P31"/>
  <c r="O75"/>
  <c r="K6" i="4"/>
  <c r="O66" i="9"/>
  <c r="O31"/>
  <c r="O33"/>
  <c r="P107"/>
  <c r="Q44"/>
  <c r="P33"/>
  <c r="P32"/>
  <c r="O32"/>
  <c r="Q31"/>
  <c r="L6" i="4"/>
  <c r="O163" i="9"/>
  <c r="K14" i="4"/>
  <c r="P6"/>
  <c r="O126" i="9"/>
  <c r="P108"/>
  <c r="K7" i="4"/>
  <c r="P35" i="9"/>
  <c r="M6" i="4"/>
  <c r="Q47" i="9"/>
  <c r="Q147"/>
  <c r="O41"/>
  <c r="K12" i="4"/>
  <c r="L7"/>
  <c r="Q51" i="9"/>
  <c r="J8" i="4"/>
  <c r="P74" i="9"/>
  <c r="J6" i="4"/>
  <c r="M7"/>
  <c r="O6"/>
  <c r="P49" i="9"/>
  <c r="N6" i="4"/>
  <c r="O45" i="9"/>
  <c r="O164"/>
  <c r="P38"/>
  <c r="Q45"/>
  <c r="O109"/>
  <c r="P14" i="4"/>
  <c r="N7"/>
  <c r="Q74" i="9"/>
  <c r="J7" i="4"/>
  <c r="O10"/>
  <c r="P8"/>
  <c r="Q143" i="9"/>
  <c r="P7" i="4"/>
  <c r="O7"/>
  <c r="Q106" i="9"/>
  <c r="Q29"/>
  <c r="O74"/>
  <c r="Q71"/>
  <c r="P5" i="4"/>
  <c r="P51" i="9"/>
  <c r="O107"/>
  <c r="P102"/>
  <c r="O103"/>
  <c r="O133"/>
  <c r="P140"/>
  <c r="L15" i="4"/>
  <c r="O135" i="9"/>
  <c r="P131"/>
  <c r="O129"/>
  <c r="O108"/>
  <c r="N14" i="4"/>
  <c r="P104" i="9"/>
  <c r="Q108"/>
  <c r="Q109"/>
  <c r="O134"/>
  <c r="Q132"/>
  <c r="O125"/>
  <c r="Q133"/>
  <c r="P130"/>
  <c r="O131"/>
  <c r="Q126"/>
  <c r="Q134"/>
  <c r="P165"/>
  <c r="P109"/>
  <c r="Q111"/>
  <c r="M15" i="4"/>
  <c r="O144" i="9"/>
  <c r="Q65"/>
  <c r="Q103"/>
  <c r="I18"/>
  <c r="Q116" s="1"/>
  <c r="O105"/>
  <c r="Q129"/>
  <c r="Q130"/>
  <c r="P129"/>
  <c r="P125"/>
  <c r="P20" s="1"/>
  <c r="O132"/>
  <c r="Q135"/>
  <c r="Q137"/>
  <c r="P103"/>
  <c r="O104"/>
  <c r="O130"/>
  <c r="P132"/>
  <c r="P133"/>
  <c r="Q131"/>
  <c r="P134"/>
  <c r="Q162"/>
  <c r="J10" i="4"/>
  <c r="Q128" i="9"/>
  <c r="O128"/>
  <c r="P128"/>
  <c r="Q110"/>
  <c r="P42"/>
  <c r="Q101"/>
  <c r="Q16" s="1"/>
  <c r="O111"/>
  <c r="O49"/>
  <c r="P45"/>
  <c r="P105"/>
  <c r="O9" i="4"/>
  <c r="P15"/>
  <c r="O147" i="9"/>
  <c r="Q144"/>
  <c r="P141"/>
  <c r="M12" i="4"/>
  <c r="O106" i="9"/>
  <c r="P138"/>
  <c r="Q36"/>
  <c r="P66"/>
  <c r="O69"/>
  <c r="P65"/>
  <c r="P10" s="1"/>
  <c r="P75"/>
  <c r="Q69"/>
  <c r="P69"/>
  <c r="O102"/>
  <c r="P13" i="4"/>
  <c r="O51" i="9"/>
  <c r="P110"/>
  <c r="O46"/>
  <c r="Q48"/>
  <c r="Q41"/>
  <c r="Q46"/>
  <c r="Q49"/>
  <c r="O43"/>
  <c r="P43"/>
  <c r="P142"/>
  <c r="P143"/>
  <c r="P147"/>
  <c r="P145"/>
  <c r="O37"/>
  <c r="C18"/>
  <c r="Q66"/>
  <c r="O70"/>
  <c r="Q70"/>
  <c r="O73"/>
  <c r="P72"/>
  <c r="Q72"/>
  <c r="P70"/>
  <c r="P50"/>
  <c r="P111"/>
  <c r="O48"/>
  <c r="P48"/>
  <c r="O42"/>
  <c r="P168"/>
  <c r="Q67"/>
  <c r="O15" i="4"/>
  <c r="P106" i="9"/>
  <c r="Q105"/>
  <c r="K10" i="4"/>
  <c r="Q161" i="9"/>
  <c r="Q26" s="1"/>
  <c r="Q146"/>
  <c r="O143"/>
  <c r="P146"/>
  <c r="P101"/>
  <c r="Q102"/>
  <c r="N10" i="4"/>
  <c r="Q73" i="9"/>
  <c r="Q75"/>
  <c r="O71"/>
  <c r="O72"/>
  <c r="O65"/>
  <c r="P73"/>
  <c r="P71"/>
  <c r="Q42"/>
  <c r="Q50"/>
  <c r="O47"/>
  <c r="O101"/>
  <c r="O110"/>
  <c r="P41"/>
  <c r="P6" s="1"/>
  <c r="P47"/>
  <c r="O50"/>
  <c r="Q43"/>
  <c r="P139"/>
  <c r="P46"/>
  <c r="L9" i="4"/>
  <c r="P135" i="9"/>
  <c r="O67"/>
  <c r="Q169"/>
  <c r="O167"/>
  <c r="Q163"/>
  <c r="P171"/>
  <c r="O165"/>
  <c r="O170"/>
  <c r="Q170"/>
  <c r="Q165"/>
  <c r="O171"/>
  <c r="P167"/>
  <c r="Q156"/>
  <c r="Q4"/>
  <c r="R30" s="1"/>
  <c r="Q97"/>
  <c r="Q35"/>
  <c r="P164"/>
  <c r="P162"/>
  <c r="O139"/>
  <c r="P159"/>
  <c r="O159"/>
  <c r="P93"/>
  <c r="O168"/>
  <c r="P161"/>
  <c r="Q168"/>
  <c r="O169"/>
  <c r="O161"/>
  <c r="O166"/>
  <c r="O142"/>
  <c r="O145"/>
  <c r="P137"/>
  <c r="P144"/>
  <c r="O137"/>
  <c r="P163"/>
  <c r="Q139"/>
  <c r="Q138"/>
  <c r="O140"/>
  <c r="Q164"/>
  <c r="P170"/>
  <c r="Q167"/>
  <c r="Q171"/>
  <c r="P169"/>
  <c r="P166"/>
  <c r="Q166"/>
  <c r="Q145"/>
  <c r="Q141"/>
  <c r="Q142"/>
  <c r="O141"/>
  <c r="O138"/>
  <c r="O162"/>
  <c r="Q140"/>
  <c r="M14" i="4"/>
  <c r="K15"/>
  <c r="P12"/>
  <c r="O39" i="9"/>
  <c r="Q38"/>
  <c r="P36"/>
  <c r="Q39"/>
  <c r="J11" i="4"/>
  <c r="O14"/>
  <c r="N9"/>
  <c r="L8"/>
  <c r="Q90" i="9"/>
  <c r="Q93"/>
  <c r="O98"/>
  <c r="O35"/>
  <c r="P30"/>
  <c r="O34"/>
  <c r="P97"/>
  <c r="J9" i="4"/>
  <c r="P99" i="9"/>
  <c r="Q95"/>
  <c r="M11" i="4"/>
  <c r="O89" i="9"/>
  <c r="O14" s="1"/>
  <c r="J13" i="4"/>
  <c r="M9"/>
  <c r="P10"/>
  <c r="P37" i="9"/>
  <c r="O38"/>
  <c r="O29"/>
  <c r="M10" i="4"/>
  <c r="N13"/>
  <c r="O8"/>
  <c r="O99" i="9"/>
  <c r="P9" i="4"/>
  <c r="L13"/>
  <c r="O11"/>
  <c r="Q94" i="9"/>
  <c r="Q96"/>
  <c r="O94"/>
  <c r="P96"/>
  <c r="J14" i="4"/>
  <c r="L10"/>
  <c r="N11"/>
  <c r="M8"/>
  <c r="M13"/>
  <c r="N8"/>
  <c r="K8"/>
  <c r="O12"/>
  <c r="N15"/>
  <c r="Q99" i="9"/>
  <c r="O93"/>
  <c r="P11" i="4"/>
  <c r="J12"/>
  <c r="J15"/>
  <c r="L14"/>
  <c r="Q37" i="9"/>
  <c r="O36"/>
  <c r="P29"/>
  <c r="P4" s="1"/>
  <c r="P39"/>
  <c r="O13" i="4"/>
  <c r="K9"/>
  <c r="N12"/>
  <c r="K13"/>
  <c r="P89" i="9"/>
  <c r="P14" s="1"/>
  <c r="L11" i="4"/>
  <c r="L12"/>
  <c r="P90" i="9"/>
  <c r="Q89"/>
  <c r="P98"/>
  <c r="Q34"/>
  <c r="O30"/>
  <c r="P34"/>
  <c r="Q30"/>
  <c r="O90"/>
  <c r="P95"/>
  <c r="O97"/>
  <c r="Q151"/>
  <c r="Q154"/>
  <c r="O157"/>
  <c r="Q150"/>
  <c r="Q159"/>
  <c r="Q155"/>
  <c r="Q149"/>
  <c r="O149"/>
  <c r="Q152"/>
  <c r="O154"/>
  <c r="O152"/>
  <c r="P158"/>
  <c r="P153"/>
  <c r="O155"/>
  <c r="P149"/>
  <c r="P150"/>
  <c r="O151"/>
  <c r="P156"/>
  <c r="Q153"/>
  <c r="P155"/>
  <c r="Q157"/>
  <c r="O156"/>
  <c r="O150"/>
  <c r="P151"/>
  <c r="P152"/>
  <c r="O158"/>
  <c r="P157"/>
  <c r="P154"/>
  <c r="O153"/>
  <c r="Q55"/>
  <c r="P58"/>
  <c r="O58"/>
  <c r="Q54"/>
  <c r="P54"/>
  <c r="O55"/>
  <c r="O54"/>
  <c r="O57"/>
  <c r="P57"/>
  <c r="P55"/>
  <c r="Q57"/>
  <c r="Q58"/>
  <c r="P56"/>
  <c r="O56"/>
  <c r="Q56"/>
  <c r="O60"/>
  <c r="Q60"/>
  <c r="Q62"/>
  <c r="Q59"/>
  <c r="O62"/>
  <c r="P61"/>
  <c r="P53"/>
  <c r="Q63"/>
  <c r="Q53"/>
  <c r="P60"/>
  <c r="O63"/>
  <c r="O59"/>
  <c r="O61"/>
  <c r="P59"/>
  <c r="Q61"/>
  <c r="P62"/>
  <c r="O53"/>
  <c r="P63"/>
  <c r="O82"/>
  <c r="Q78"/>
  <c r="Q85"/>
  <c r="O81"/>
  <c r="Q77"/>
  <c r="Q87"/>
  <c r="O87"/>
  <c r="P80"/>
  <c r="Q83"/>
  <c r="O77"/>
  <c r="Q84"/>
  <c r="P83"/>
  <c r="P78"/>
  <c r="P87"/>
  <c r="P86"/>
  <c r="Q86"/>
  <c r="Q82"/>
  <c r="P81"/>
  <c r="P82"/>
  <c r="P85"/>
  <c r="P84"/>
  <c r="O86"/>
  <c r="O80"/>
  <c r="O83"/>
  <c r="O85"/>
  <c r="Q81"/>
  <c r="P77"/>
  <c r="P12" s="1"/>
  <c r="O78"/>
  <c r="O84"/>
  <c r="Q80"/>
  <c r="O10" l="1"/>
  <c r="O4"/>
  <c r="O6"/>
  <c r="Q12"/>
  <c r="P16"/>
  <c r="Q10"/>
  <c r="Q20"/>
  <c r="R127" s="1"/>
  <c r="O12"/>
  <c r="Q14"/>
  <c r="R90" s="1"/>
  <c r="P22"/>
  <c r="O26"/>
  <c r="O16"/>
  <c r="O20"/>
  <c r="O116"/>
  <c r="R36"/>
  <c r="Q115"/>
  <c r="O114"/>
  <c r="P116"/>
  <c r="R32"/>
  <c r="P115"/>
  <c r="R34"/>
  <c r="R39"/>
  <c r="R35"/>
  <c r="R33"/>
  <c r="R135"/>
  <c r="Q120"/>
  <c r="P113"/>
  <c r="P18" s="1"/>
  <c r="Q6"/>
  <c r="R49" s="1"/>
  <c r="O120"/>
  <c r="R38"/>
  <c r="R29"/>
  <c r="Q22"/>
  <c r="R147" s="1"/>
  <c r="R69"/>
  <c r="O117"/>
  <c r="R75"/>
  <c r="R68"/>
  <c r="R103"/>
  <c r="R104"/>
  <c r="R108"/>
  <c r="Q119"/>
  <c r="Q113"/>
  <c r="Q18" s="1"/>
  <c r="R113" s="1"/>
  <c r="O121"/>
  <c r="P122"/>
  <c r="P118"/>
  <c r="P123"/>
  <c r="P117"/>
  <c r="O113"/>
  <c r="R110"/>
  <c r="R101"/>
  <c r="R16" s="1"/>
  <c r="R109"/>
  <c r="O122"/>
  <c r="O118"/>
  <c r="Q122"/>
  <c r="P120"/>
  <c r="P119"/>
  <c r="P121"/>
  <c r="Q114"/>
  <c r="Q24"/>
  <c r="R159" s="1"/>
  <c r="R102"/>
  <c r="R111"/>
  <c r="O115"/>
  <c r="R107"/>
  <c r="O119"/>
  <c r="Q123"/>
  <c r="Q118"/>
  <c r="Q121"/>
  <c r="Q117"/>
  <c r="O123"/>
  <c r="P114"/>
  <c r="R37"/>
  <c r="R31"/>
  <c r="P26"/>
  <c r="R125"/>
  <c r="R20" s="1"/>
  <c r="R73"/>
  <c r="R71"/>
  <c r="R162"/>
  <c r="R161"/>
  <c r="P24"/>
  <c r="R133"/>
  <c r="R128"/>
  <c r="O8"/>
  <c r="O22"/>
  <c r="Q8"/>
  <c r="R54" s="1"/>
  <c r="R78"/>
  <c r="R86"/>
  <c r="R77"/>
  <c r="R87"/>
  <c r="R82"/>
  <c r="R79"/>
  <c r="R80"/>
  <c r="R81"/>
  <c r="R84"/>
  <c r="R83"/>
  <c r="R85"/>
  <c r="O24"/>
  <c r="R163"/>
  <c r="R164"/>
  <c r="R95"/>
  <c r="R91"/>
  <c r="R99"/>
  <c r="P8"/>
  <c r="R72" l="1"/>
  <c r="R66"/>
  <c r="R92"/>
  <c r="R97"/>
  <c r="R98"/>
  <c r="R89"/>
  <c r="R67"/>
  <c r="R70"/>
  <c r="R4"/>
  <c r="R94"/>
  <c r="R96"/>
  <c r="R126"/>
  <c r="R74"/>
  <c r="R134"/>
  <c r="R65"/>
  <c r="R10" s="1"/>
  <c r="R149"/>
  <c r="R46"/>
  <c r="R41"/>
  <c r="R6" s="1"/>
  <c r="R44"/>
  <c r="R150"/>
  <c r="R139"/>
  <c r="R151"/>
  <c r="R42"/>
  <c r="R48"/>
  <c r="R47"/>
  <c r="R50"/>
  <c r="R152"/>
  <c r="R45"/>
  <c r="R43"/>
  <c r="R51"/>
  <c r="R26"/>
  <c r="R63"/>
  <c r="R123"/>
  <c r="R140"/>
  <c r="R146"/>
  <c r="R138"/>
  <c r="R137"/>
  <c r="R22" s="1"/>
  <c r="R61"/>
  <c r="O18"/>
  <c r="R53"/>
  <c r="R55"/>
  <c r="R56"/>
  <c r="R57"/>
  <c r="R58"/>
  <c r="R62"/>
  <c r="R60"/>
  <c r="R59"/>
  <c r="R120"/>
  <c r="R116"/>
  <c r="R121"/>
  <c r="R14"/>
  <c r="R114"/>
  <c r="R122"/>
  <c r="R115"/>
  <c r="R18" s="1"/>
  <c r="R12"/>
  <c r="R24" l="1"/>
  <c r="R8"/>
</calcChain>
</file>

<file path=xl/comments1.xml><?xml version="1.0" encoding="utf-8"?>
<comments xmlns="http://schemas.openxmlformats.org/spreadsheetml/2006/main">
  <authors>
    <author>Randy Kendle</author>
  </authors>
  <commentList>
    <comment ref="AC10" authorId="0">
      <text>
        <r>
          <rPr>
            <b/>
            <sz val="9"/>
            <color indexed="81"/>
            <rFont val="Tahoma"/>
            <family val="2"/>
          </rPr>
          <t>Click on the dropdown arrow</t>
        </r>
      </text>
    </comment>
    <comment ref="AC13" authorId="0">
      <text>
        <r>
          <rPr>
            <b/>
            <sz val="9"/>
            <color indexed="81"/>
            <rFont val="Tahoma"/>
            <family val="2"/>
          </rPr>
          <t>Click on the dropdown arrow</t>
        </r>
      </text>
    </comment>
  </commentList>
</comments>
</file>

<file path=xl/sharedStrings.xml><?xml version="1.0" encoding="utf-8"?>
<sst xmlns="http://schemas.openxmlformats.org/spreadsheetml/2006/main" count="39851" uniqueCount="11123">
  <si>
    <t>Patel, Viral</t>
  </si>
  <si>
    <t>Patino, Ryan</t>
  </si>
  <si>
    <t>Patria, Scotty</t>
  </si>
  <si>
    <t>Paulson, Brian</t>
  </si>
  <si>
    <t>Paymon, Chris</t>
  </si>
  <si>
    <t>Payne, Zach</t>
  </si>
  <si>
    <t>Pearce, David</t>
  </si>
  <si>
    <t>Pearson, Dane</t>
  </si>
  <si>
    <t>Peaten, Royce</t>
  </si>
  <si>
    <t>Pechter, Scott</t>
  </si>
  <si>
    <t>Peek, Chuck</t>
  </si>
  <si>
    <t>Pei, Trusheng</t>
  </si>
  <si>
    <t>Pekkala, Troy</t>
  </si>
  <si>
    <t>Pell, Evan</t>
  </si>
  <si>
    <t>Peng, Alex</t>
  </si>
  <si>
    <t>Peng, Di</t>
  </si>
  <si>
    <t>Peng, Dong</t>
  </si>
  <si>
    <t>Peng, Haijiang</t>
  </si>
  <si>
    <t>Peng, Xing</t>
  </si>
  <si>
    <t>Peng, Yiping</t>
  </si>
  <si>
    <t>Peng, Zeyu</t>
  </si>
  <si>
    <t>Perez, Mary Laura</t>
  </si>
  <si>
    <t>Perez, William</t>
  </si>
  <si>
    <t>Perhoc, Ines</t>
  </si>
  <si>
    <t>Perkel, David</t>
  </si>
  <si>
    <t>Pertsch, Alexander</t>
  </si>
  <si>
    <t>Perumperichillira, James</t>
  </si>
  <si>
    <t>Pessa, Kurt</t>
  </si>
  <si>
    <t>Peters, Danny</t>
  </si>
  <si>
    <t>Peters, Janella</t>
  </si>
  <si>
    <t>Pfleiderer, Jeff</t>
  </si>
  <si>
    <t>Phachantry, P.J.</t>
  </si>
  <si>
    <t>Phadke, Akshay</t>
  </si>
  <si>
    <t>Pham, Mike</t>
  </si>
  <si>
    <t>Pham, Tu</t>
  </si>
  <si>
    <t>Pham, Tuan</t>
  </si>
  <si>
    <t>Pham, Yen</t>
  </si>
  <si>
    <t>Phan, Nam</t>
  </si>
  <si>
    <t>Phan, Van Thanh</t>
  </si>
  <si>
    <t>Phejati, Charn</t>
  </si>
  <si>
    <t>Philips, Robin</t>
  </si>
  <si>
    <t>Phillips, Sam</t>
  </si>
  <si>
    <t>Phisitkraiyahorn, Marvin</t>
  </si>
  <si>
    <t>Phongkusolchit, Kiattisak</t>
  </si>
  <si>
    <t>Phung, TieuAnh</t>
  </si>
  <si>
    <t>Pichla, Grant</t>
  </si>
  <si>
    <t>Pierzak, Robert</t>
  </si>
  <si>
    <t>Ping, Hua</t>
  </si>
  <si>
    <t>Ping, Whitney</t>
  </si>
  <si>
    <t>Pinkster, Scott</t>
  </si>
  <si>
    <t>Piskulic, Joseph</t>
  </si>
  <si>
    <t>Platt, David</t>
  </si>
  <si>
    <t>Player, Kartik</t>
  </si>
  <si>
    <t>Player, Vic</t>
  </si>
  <si>
    <t>Plyler, Daniel</t>
  </si>
  <si>
    <t>Po, Lex</t>
  </si>
  <si>
    <t>Pokol, Stephen</t>
  </si>
  <si>
    <t>Poku, Nicholas</t>
  </si>
  <si>
    <t>Polanco, Pedro</t>
  </si>
  <si>
    <t>Polapsagada, Teja</t>
  </si>
  <si>
    <t>Poliakova, Inna</t>
  </si>
  <si>
    <t>Pollock, Colin</t>
  </si>
  <si>
    <t>Poluse, Annette</t>
  </si>
  <si>
    <t>Pomianowski, Joe</t>
  </si>
  <si>
    <t>Ponczak, Brian</t>
  </si>
  <si>
    <t>Pongsriiam, Prapanpong</t>
  </si>
  <si>
    <t>Poon, Allen</t>
  </si>
  <si>
    <t>Poon, Derrick</t>
  </si>
  <si>
    <t>Poor, Mike</t>
  </si>
  <si>
    <t>wasin_mike@hotmail.com</t>
  </si>
  <si>
    <t>Pope, Jonathan</t>
  </si>
  <si>
    <t>Portmann, Kevin</t>
  </si>
  <si>
    <t>Portnoy, Dan</t>
  </si>
  <si>
    <t>Porush, Alex</t>
  </si>
  <si>
    <t>Posner, Aaron</t>
  </si>
  <si>
    <t>Possi, Chris</t>
  </si>
  <si>
    <t>Pottergaum, Nick</t>
  </si>
  <si>
    <t>Pourmirzaie, Roxy</t>
  </si>
  <si>
    <t>Powell, Tyler</t>
  </si>
  <si>
    <t>Power, Ian</t>
  </si>
  <si>
    <t>Powers, Ray</t>
  </si>
  <si>
    <t>Pradhan, Anindya</t>
  </si>
  <si>
    <t>Pradlhan, Praqyan</t>
  </si>
  <si>
    <t>Pranckun, Matt</t>
  </si>
  <si>
    <t>Prater, Teddy</t>
  </si>
  <si>
    <t>Pratti, Jason</t>
  </si>
  <si>
    <t>Presley, Aldis</t>
  </si>
  <si>
    <t>Presley, Micah</t>
  </si>
  <si>
    <t>Prinsloo, Quinton</t>
  </si>
  <si>
    <t>Printz, Jesse</t>
  </si>
  <si>
    <t>Privette, William</t>
  </si>
  <si>
    <t>Prokofyev, Dmitriy</t>
  </si>
  <si>
    <t>Pruce, Alan</t>
  </si>
  <si>
    <t>Pryor, Brent</t>
  </si>
  <si>
    <t>Pugmire, Edward Mathew</t>
  </si>
  <si>
    <t>Pujari, Sumiran</t>
  </si>
  <si>
    <t>Pulgarin, Julian</t>
  </si>
  <si>
    <t>Punjani, Azim</t>
  </si>
  <si>
    <t>Pyo, Peter</t>
  </si>
  <si>
    <t>Qamar, Daniyal</t>
  </si>
  <si>
    <t>Qamaruzzaman, Aamna</t>
  </si>
  <si>
    <t>Qi, Bei</t>
  </si>
  <si>
    <t>Qi, Bing</t>
  </si>
  <si>
    <t>Lan, Cyril</t>
  </si>
  <si>
    <t>Lan, Ou</t>
  </si>
  <si>
    <t>Land, David</t>
  </si>
  <si>
    <t>Land, Robert</t>
  </si>
  <si>
    <t>Landry, David</t>
  </si>
  <si>
    <t>Lang, Ming</t>
  </si>
  <si>
    <t>Lang, Yue</t>
  </si>
  <si>
    <t>Langoni, Diego</t>
  </si>
  <si>
    <t>Lanier, William</t>
  </si>
  <si>
    <t>Lappell, Ryan</t>
  </si>
  <si>
    <t>Lareau, Nick</t>
  </si>
  <si>
    <t>Larsen, Jesse</t>
  </si>
  <si>
    <t>Larson, Andrew</t>
  </si>
  <si>
    <t>Lasar, David</t>
  </si>
  <si>
    <t>Lashley, Marcus</t>
  </si>
  <si>
    <t>Laskey, Andrew</t>
  </si>
  <si>
    <t>Latta, William</t>
  </si>
  <si>
    <t>Lau, Condon</t>
  </si>
  <si>
    <t>Lau, Manny</t>
  </si>
  <si>
    <t>Lau, Ricky</t>
  </si>
  <si>
    <t>Lau, Suet Yee</t>
  </si>
  <si>
    <t>Lau, Winson</t>
  </si>
  <si>
    <t>Laut, Roman</t>
  </si>
  <si>
    <t>Law, King</t>
  </si>
  <si>
    <t>Lawrence, Peter</t>
  </si>
  <si>
    <t>Laws, Tyler</t>
  </si>
  <si>
    <t>Layton, Sean</t>
  </si>
  <si>
    <t>Le, Ben</t>
  </si>
  <si>
    <t>Le, Dan</t>
  </si>
  <si>
    <t>Le, Duc</t>
  </si>
  <si>
    <t>Le, Lap</t>
  </si>
  <si>
    <t>Le, Phuong</t>
  </si>
  <si>
    <t>Le, Stephen</t>
  </si>
  <si>
    <t>Le, Tang</t>
  </si>
  <si>
    <t>Le, Thai</t>
  </si>
  <si>
    <t>Le, Vu</t>
  </si>
  <si>
    <t>Le, Walter</t>
  </si>
  <si>
    <t>Lee, Adam</t>
  </si>
  <si>
    <t>Lee, Andy</t>
  </si>
  <si>
    <t>Lee, Ban Woong</t>
  </si>
  <si>
    <t>Lee, Bryon</t>
  </si>
  <si>
    <t>Lee, Chris</t>
  </si>
  <si>
    <t>Lee, Dorrie</t>
  </si>
  <si>
    <t>Lee, Eric</t>
  </si>
  <si>
    <t>Lee, Frank</t>
  </si>
  <si>
    <t>Lee, Isaac</t>
  </si>
  <si>
    <t>Lee, Jason</t>
  </si>
  <si>
    <t>Lee, Jia Jian</t>
  </si>
  <si>
    <t>Lee, Ka Kit</t>
  </si>
  <si>
    <t>Lee, Kelvin</t>
  </si>
  <si>
    <t>Lee, Kenny</t>
  </si>
  <si>
    <t>Lee, Kevin</t>
  </si>
  <si>
    <t>Lee, Malcolm</t>
  </si>
  <si>
    <t>Lee, Matt</t>
  </si>
  <si>
    <t>Lee, Michelle</t>
  </si>
  <si>
    <t>Lee, Nancy</t>
  </si>
  <si>
    <t>Lee, Sara</t>
  </si>
  <si>
    <t>Lee, Stephanie</t>
  </si>
  <si>
    <t>Lee, Sung Kung</t>
  </si>
  <si>
    <t>Lee, Tina</t>
  </si>
  <si>
    <t>Lee, Winston</t>
  </si>
  <si>
    <t>Lehmann, Nicholas</t>
  </si>
  <si>
    <t>Lei, Jianbo</t>
  </si>
  <si>
    <t>Lei, Lani</t>
  </si>
  <si>
    <t>Lei, Lei</t>
  </si>
  <si>
    <t>Lei, Maggie</t>
  </si>
  <si>
    <t>Lei, Ming</t>
  </si>
  <si>
    <t>Lei, Qian</t>
  </si>
  <si>
    <t>Lei, Yong Yin</t>
  </si>
  <si>
    <t>Lemerman, Josh</t>
  </si>
  <si>
    <t>Lendrum, Patrick</t>
  </si>
  <si>
    <t>Leon, B</t>
  </si>
  <si>
    <t>Leone, Michael</t>
  </si>
  <si>
    <t>Leong, Sio Kei</t>
  </si>
  <si>
    <t>Leong, Victor</t>
  </si>
  <si>
    <t>Leparulo, Willy</t>
  </si>
  <si>
    <t>Lesieur, Sebastien</t>
  </si>
  <si>
    <t>Leung, Benjamin</t>
  </si>
  <si>
    <t>Leung, Daniel</t>
  </si>
  <si>
    <t>Leung, Dennis</t>
  </si>
  <si>
    <t>Leung, Ming</t>
  </si>
  <si>
    <t>mleung@duke.poly.edu</t>
  </si>
  <si>
    <t>Leung, Pat</t>
  </si>
  <si>
    <t>Leung, Terence</t>
  </si>
  <si>
    <t>Leung, Victor</t>
  </si>
  <si>
    <t>Leung, Weiyu</t>
  </si>
  <si>
    <t>Leventhal, Eric</t>
  </si>
  <si>
    <t>Levine, Cameron</t>
  </si>
  <si>
    <t>Levy, Josh</t>
  </si>
  <si>
    <t>Lewis, Alan</t>
  </si>
  <si>
    <t>Leyhr, Tobias</t>
  </si>
  <si>
    <t>Li, Acky</t>
  </si>
  <si>
    <t>Li, Ang</t>
  </si>
  <si>
    <t>Li, April</t>
  </si>
  <si>
    <t>Li, Bin</t>
  </si>
  <si>
    <t>Erwin, Jordan</t>
  </si>
  <si>
    <t>Escobar, Jorge</t>
  </si>
  <si>
    <t>Escudero, Juan Carlos</t>
  </si>
  <si>
    <t>Eshetu, Abiy</t>
  </si>
  <si>
    <t>Esperon, Don</t>
  </si>
  <si>
    <t>Espinoza-Toro, Carlos</t>
  </si>
  <si>
    <t>Estep-Sprout, Drew</t>
  </si>
  <si>
    <t>Eugenio, Yussel</t>
  </si>
  <si>
    <t>Evans, Brent</t>
  </si>
  <si>
    <t>Evans, Johnese</t>
  </si>
  <si>
    <t>Fabrikant, Justin</t>
  </si>
  <si>
    <t>Failor, Matthew</t>
  </si>
  <si>
    <t>Faisol, Shafiul</t>
  </si>
  <si>
    <t>Fan, Alden</t>
  </si>
  <si>
    <t>Fan, Caleb</t>
  </si>
  <si>
    <t>Fan, Irene</t>
  </si>
  <si>
    <t>Fan, Jianfei</t>
  </si>
  <si>
    <t>Fan, Lei</t>
  </si>
  <si>
    <t>Fan, Shaohua</t>
  </si>
  <si>
    <t>Fan, Wei</t>
  </si>
  <si>
    <t>Fang, Joe</t>
  </si>
  <si>
    <t>Fang, Xuhiu</t>
  </si>
  <si>
    <t>Fang, Zhou</t>
  </si>
  <si>
    <t>Farag, Adam</t>
  </si>
  <si>
    <t>Farah, Farah</t>
  </si>
  <si>
    <t>Farmer, Lee</t>
  </si>
  <si>
    <t>Farouk, Asfand</t>
  </si>
  <si>
    <t>Fausett, Adam</t>
  </si>
  <si>
    <t>Fei, Peng</t>
  </si>
  <si>
    <t>Feinzilberg, Kim</t>
  </si>
  <si>
    <t>Feldman, Justin</t>
  </si>
  <si>
    <t>Feng, Anqi</t>
  </si>
  <si>
    <t>Feng, Ye</t>
  </si>
  <si>
    <t>Fenrich, Matt</t>
  </si>
  <si>
    <t>Feroze, Avaz</t>
  </si>
  <si>
    <t>Ferrero, Alejandro</t>
  </si>
  <si>
    <t>Ferreter, Scott</t>
  </si>
  <si>
    <t>Fies, Barry</t>
  </si>
  <si>
    <t>Fifer, William</t>
  </si>
  <si>
    <t>Filic, Goran</t>
  </si>
  <si>
    <t>Filipowicz, Peter</t>
  </si>
  <si>
    <t>Filozov, Felix</t>
  </si>
  <si>
    <t>Finkelberg, Michael</t>
  </si>
  <si>
    <t>Finkelstein, Eric</t>
  </si>
  <si>
    <t>Fischbach, Kai</t>
  </si>
  <si>
    <t>Fischbach, Rachel</t>
  </si>
  <si>
    <t>Fischer, Ian</t>
  </si>
  <si>
    <t>Fischer, Sina</t>
  </si>
  <si>
    <t>Fischler, Matt</t>
  </si>
  <si>
    <t>Fisher, Greg</t>
  </si>
  <si>
    <t>Fisher, Jordan</t>
  </si>
  <si>
    <t>Fisk, Samantha</t>
  </si>
  <si>
    <t>Fitterman, Ben</t>
  </si>
  <si>
    <t>Fitzgerald, Bobby</t>
  </si>
  <si>
    <t>Florence, Josh</t>
  </si>
  <si>
    <t>Flores, Nolan</t>
  </si>
  <si>
    <t>Flowers, Hal</t>
  </si>
  <si>
    <t>Flynn, Brian</t>
  </si>
  <si>
    <t>Fong, Atha</t>
  </si>
  <si>
    <t>Fong, Conan</t>
  </si>
  <si>
    <t>Fong, Kristi</t>
  </si>
  <si>
    <t>Fong, Kyna</t>
  </si>
  <si>
    <t>Fong, Yeshiraka</t>
  </si>
  <si>
    <t>Fonollosa, Allen</t>
  </si>
  <si>
    <t>Fontaine, Pam</t>
  </si>
  <si>
    <t>Fontenot, Jake</t>
  </si>
  <si>
    <t>Foo, Richard</t>
  </si>
  <si>
    <t>Fordham, Scott</t>
  </si>
  <si>
    <t>Forgo, Chuck</t>
  </si>
  <si>
    <t>Formal, Adam</t>
  </si>
  <si>
    <t>a.formal@gmail.com</t>
  </si>
  <si>
    <t>Forman, Rachel</t>
  </si>
  <si>
    <t>Foster, Aisha</t>
  </si>
  <si>
    <t>Frank, Aron</t>
  </si>
  <si>
    <t>Frank, David</t>
  </si>
  <si>
    <t>Frank, Kris</t>
  </si>
  <si>
    <t>Frankel, Adam</t>
  </si>
  <si>
    <t>Frankel, Drew</t>
  </si>
  <si>
    <t>Franklin, Sam</t>
  </si>
  <si>
    <t>Frase, Tom</t>
  </si>
  <si>
    <t>Frean, Tim</t>
  </si>
  <si>
    <t>Freeman, Brett</t>
  </si>
  <si>
    <t>Friedlich, Brian</t>
  </si>
  <si>
    <t>Friedrich, Robert</t>
  </si>
  <si>
    <t>Friel, Justin</t>
  </si>
  <si>
    <t>Friend, Chance</t>
  </si>
  <si>
    <t>Fritschy, Kenny</t>
  </si>
  <si>
    <t>Frye, Taylor</t>
  </si>
  <si>
    <t>Fu, Bo</t>
  </si>
  <si>
    <t>Fu, Heng</t>
  </si>
  <si>
    <t>Fu, Henry</t>
  </si>
  <si>
    <t>Fu, Liuhong</t>
  </si>
  <si>
    <t>Fu, Siu Chee</t>
  </si>
  <si>
    <t>Fuchs, Peter</t>
  </si>
  <si>
    <t>Fuente, Alex</t>
  </si>
  <si>
    <t>Fujiwara, Iku</t>
  </si>
  <si>
    <t>Fukushima, Karin</t>
  </si>
  <si>
    <t>Fung, Chan Man</t>
  </si>
  <si>
    <t>Fung, Helen</t>
  </si>
  <si>
    <t>Fung, Sarah</t>
  </si>
  <si>
    <t>Furuhashi, Kensaku</t>
  </si>
  <si>
    <t>Gadalamaria, Ivone</t>
  </si>
  <si>
    <t>Gadgil, Mandar</t>
  </si>
  <si>
    <t>Gaillard, Patrick</t>
  </si>
  <si>
    <t>Gainsburg, Izzy</t>
  </si>
  <si>
    <t>Gaither, Riondo</t>
  </si>
  <si>
    <t>Galego, Jon</t>
  </si>
  <si>
    <t>Gallagher, Matt</t>
  </si>
  <si>
    <t>Gallagher, Rob</t>
  </si>
  <si>
    <t>Galuski, Colin</t>
  </si>
  <si>
    <t>Galvez, Guillermo</t>
  </si>
  <si>
    <t>Gambon, Andrew</t>
  </si>
  <si>
    <t>Gan, Paul</t>
  </si>
  <si>
    <t>Gan, Zhihua</t>
  </si>
  <si>
    <t>Gandhi, Pranav</t>
  </si>
  <si>
    <t>Ganesan, Ashwin</t>
  </si>
  <si>
    <t>Gangopadhyay, Daibashish</t>
  </si>
  <si>
    <t>Ganju, Roop</t>
  </si>
  <si>
    <t>Gao, Annie</t>
  </si>
  <si>
    <t>Gao, Chao</t>
  </si>
  <si>
    <t>Gao, Jie</t>
  </si>
  <si>
    <t>Gao, Lulu</t>
  </si>
  <si>
    <t>Garcia, Alberto</t>
  </si>
  <si>
    <t>Garcia, Andrew</t>
  </si>
  <si>
    <t>Garcia, Sean</t>
  </si>
  <si>
    <t>Garcia, Yaitza</t>
  </si>
  <si>
    <t>Garland, Kyle</t>
  </si>
  <si>
    <t>Garrett, Dustin</t>
  </si>
  <si>
    <t>Garvey, Gavin</t>
  </si>
  <si>
    <t>Gasch, Jessie</t>
  </si>
  <si>
    <t>Gautam, Meka</t>
  </si>
  <si>
    <t>Gayle, Sean</t>
  </si>
  <si>
    <t>Ge, Renping</t>
  </si>
  <si>
    <t>Ge, Ruiyi</t>
  </si>
  <si>
    <t>Ge, Wu</t>
  </si>
  <si>
    <t>Geanacopoulos, Kiel</t>
  </si>
  <si>
    <t>Geggel, Tom</t>
  </si>
  <si>
    <t>Geiger-Gresham, Brandon</t>
  </si>
  <si>
    <t>Gennuso, Greg</t>
  </si>
  <si>
    <t>Geren, Kathryn</t>
  </si>
  <si>
    <t>Gerik, Whittington</t>
  </si>
  <si>
    <t>Gerner, Thomas</t>
  </si>
  <si>
    <t>Ghessi, Brian</t>
  </si>
  <si>
    <t>Gholston, Zackery</t>
  </si>
  <si>
    <t>Gibbs, Daman</t>
  </si>
  <si>
    <t>Giles, Blake</t>
  </si>
  <si>
    <t>Gillespie, Corey</t>
  </si>
  <si>
    <t>Gillespie, John</t>
  </si>
  <si>
    <t>Gillespie, Nick</t>
  </si>
  <si>
    <t>Gilliard, Robert</t>
  </si>
  <si>
    <t>Gillis, Chris</t>
  </si>
  <si>
    <t>Gimber, Tedd</t>
  </si>
  <si>
    <t>Gingrich, Alex</t>
  </si>
  <si>
    <t>Giombi, Eli</t>
  </si>
  <si>
    <t>Giu, Eric</t>
  </si>
  <si>
    <t>Glad, Brady</t>
  </si>
  <si>
    <t>Glaser, Achim</t>
  </si>
  <si>
    <t>Gleason, Andrew</t>
  </si>
  <si>
    <t>Glick, Kyle</t>
  </si>
  <si>
    <t>Glover, Jared</t>
  </si>
  <si>
    <t>Go, Sandra</t>
  </si>
  <si>
    <t>Goan, Shen</t>
  </si>
  <si>
    <t>Godfrey, Laura</t>
  </si>
  <si>
    <t>Godin, Yuri</t>
  </si>
  <si>
    <t>Goff, Jason</t>
  </si>
  <si>
    <t>Gokhale, Nachiket</t>
  </si>
  <si>
    <t>Gokhale, Seema</t>
  </si>
  <si>
    <t>Golde, Michael</t>
  </si>
  <si>
    <t>Golden, Chris</t>
  </si>
  <si>
    <t>Golden, Jacob</t>
  </si>
  <si>
    <t>Golden, Phillip</t>
  </si>
  <si>
    <t>Golez, Raymond</t>
  </si>
  <si>
    <t>Gomez, Gloria</t>
  </si>
  <si>
    <t>Gong, Xiaoxiang</t>
  </si>
  <si>
    <t>Gongora, Ben</t>
  </si>
  <si>
    <t>Gongrily, Deepro</t>
  </si>
  <si>
    <t>Good, David</t>
  </si>
  <si>
    <t>Gooding, Andrew</t>
  </si>
  <si>
    <t>Goodman, Adam</t>
  </si>
  <si>
    <t>Gopal, Pham</t>
  </si>
  <si>
    <t>Gore, Siddharth</t>
  </si>
  <si>
    <t>siddarth.gore@gmail.com</t>
  </si>
  <si>
    <t>Goren, Jeremy</t>
  </si>
  <si>
    <t>Gottehrer, Beth</t>
  </si>
  <si>
    <t>Gottesman, Andrew</t>
  </si>
  <si>
    <t>Gou, Howard</t>
  </si>
  <si>
    <t>Goyal, Navneet</t>
  </si>
  <si>
    <t>Goyal, Siddarth</t>
  </si>
  <si>
    <t>Graf, Marlon</t>
  </si>
  <si>
    <t>Grasso, Jeff</t>
  </si>
  <si>
    <t>Green, Brandon</t>
  </si>
  <si>
    <t>Green, Vince</t>
  </si>
  <si>
    <t>Greene, Travis</t>
  </si>
  <si>
    <t>Greengold, Eric</t>
  </si>
  <si>
    <t>Greenhouse, Jeremy</t>
  </si>
  <si>
    <t>Greenman, Nick</t>
  </si>
  <si>
    <t>Greenwell, Jimmy</t>
  </si>
  <si>
    <t>Greer, Ryan</t>
  </si>
  <si>
    <t>Greggel, Tom</t>
  </si>
  <si>
    <t>Greif, Jesse</t>
  </si>
  <si>
    <t>Griffin, Taylor</t>
  </si>
  <si>
    <t>Grimm, John</t>
  </si>
  <si>
    <t>Griset, Christian</t>
  </si>
  <si>
    <t>Groseclose, Dennis</t>
  </si>
  <si>
    <t>Grosvenor, Kevin</t>
  </si>
  <si>
    <t>Gruenwald, Tim</t>
  </si>
  <si>
    <t>Grugzecki, Kyle</t>
  </si>
  <si>
    <t>Gruich, Lauren</t>
  </si>
  <si>
    <t>Grunspan, Dan</t>
  </si>
  <si>
    <t>Gu, Jiang</t>
  </si>
  <si>
    <t>Gu, Peidi</t>
  </si>
  <si>
    <t>Guan, Longke</t>
  </si>
  <si>
    <t>Guan, Xiang</t>
  </si>
  <si>
    <t>Guerin, Antoine</t>
  </si>
  <si>
    <t>Gulati, Sumedha</t>
  </si>
  <si>
    <t>Gulsoy, Gulso</t>
  </si>
  <si>
    <t>Gunatslake, Sameera</t>
  </si>
  <si>
    <t>Gunderson, Rachel</t>
  </si>
  <si>
    <t>Gunduz, Gurhan</t>
  </si>
  <si>
    <t>Gung, Yuan Yuan</t>
  </si>
  <si>
    <t>Gunter, Kacy</t>
  </si>
  <si>
    <t>Guo, Charlie</t>
  </si>
  <si>
    <t>Guo, Haisu</t>
  </si>
  <si>
    <t>Guo, Hong</t>
  </si>
  <si>
    <t>Guo, Hui</t>
  </si>
  <si>
    <t>Guo, Jeff</t>
  </si>
  <si>
    <t>Guo, Jia</t>
  </si>
  <si>
    <t>Guo, Jiaqi</t>
  </si>
  <si>
    <t>Guo, Jilin</t>
  </si>
  <si>
    <t>Guo, Jun</t>
  </si>
  <si>
    <t>Guo, Ke</t>
  </si>
  <si>
    <t>Guo, Li</t>
  </si>
  <si>
    <t>Guo, Mond</t>
  </si>
  <si>
    <t>Guo, Yi</t>
  </si>
  <si>
    <t>Gupta, Anish</t>
  </si>
  <si>
    <t>Gupta, Rahul</t>
  </si>
  <si>
    <t>Gurganus, Brandon</t>
  </si>
  <si>
    <t>Gururaj, Sagar</t>
  </si>
  <si>
    <t>Gusov, Esther</t>
  </si>
  <si>
    <t>Gustafson, Cristin</t>
  </si>
  <si>
    <t>Guszkiewicz, Jacek</t>
  </si>
  <si>
    <t>Guyette, Matt</t>
  </si>
  <si>
    <t>Hadsell, Michael</t>
  </si>
  <si>
    <t>Haibach, Michael</t>
  </si>
  <si>
    <t>Haider, Al</t>
  </si>
  <si>
    <t>Hairgrove, Logan</t>
  </si>
  <si>
    <t>Hajamis, Sanjeet</t>
  </si>
  <si>
    <t>Hajbabaie, Ali</t>
  </si>
  <si>
    <t>Hajiaghahyi, Mahdi</t>
  </si>
  <si>
    <t>Hale, Andrew</t>
  </si>
  <si>
    <t>Hales, Derek</t>
  </si>
  <si>
    <t>Halma, Gordie</t>
  </si>
  <si>
    <t>Halpern-Leistner, Daniel</t>
  </si>
  <si>
    <t>Ham, Glory</t>
  </si>
  <si>
    <t>Hamber, Will</t>
  </si>
  <si>
    <t>Hamberg, Mike</t>
  </si>
  <si>
    <t>Hamilton, Russell</t>
  </si>
  <si>
    <t>Hamze, Hisham</t>
  </si>
  <si>
    <t>Hamze, Karim</t>
  </si>
  <si>
    <t>Han, Bowei</t>
  </si>
  <si>
    <t>Han, Chao</t>
  </si>
  <si>
    <t>Han, Sifei</t>
  </si>
  <si>
    <t>Han, Song</t>
  </si>
  <si>
    <t>Han, Xue</t>
  </si>
  <si>
    <t>Hang, Andrew</t>
  </si>
  <si>
    <t>Han-Hsuan, Lin</t>
  </si>
  <si>
    <t>Hannon, Mike</t>
  </si>
  <si>
    <t>Hansen, Barry</t>
  </si>
  <si>
    <t>Hanzlik, Maggie</t>
  </si>
  <si>
    <t>Hao, Jiayi</t>
  </si>
  <si>
    <t>Hao, Qiang</t>
  </si>
  <si>
    <t>Harakas, Matt</t>
  </si>
  <si>
    <t>Harbor, Ben</t>
  </si>
  <si>
    <t>Harden, Jeremy</t>
  </si>
  <si>
    <t>Hardy, Phil</t>
  </si>
  <si>
    <t>Harimoto, Tetsuhiro</t>
  </si>
  <si>
    <t>Harishansapong, Supachoke</t>
  </si>
  <si>
    <t>Harris, Katie</t>
  </si>
  <si>
    <t>Hartgraves, Kevin</t>
  </si>
  <si>
    <t>Hartop, Francesca</t>
  </si>
  <si>
    <t>Hasan, Sharik</t>
  </si>
  <si>
    <t>Hasanuddin, Harrison</t>
  </si>
  <si>
    <t>Hashiro, Yuta</t>
  </si>
  <si>
    <t>Hasturk, Mert</t>
  </si>
  <si>
    <t>Hatcher, Cody</t>
  </si>
  <si>
    <t>Hawkins, Daniel</t>
  </si>
  <si>
    <t>Hayakawa, Ryochi</t>
  </si>
  <si>
    <t>Hayden, Ryan</t>
  </si>
  <si>
    <t>Hays, Ben</t>
  </si>
  <si>
    <t>Hazinski, Mark</t>
  </si>
  <si>
    <t>He, Haiyang</t>
  </si>
  <si>
    <t>He, Kai</t>
  </si>
  <si>
    <t>He, Li</t>
  </si>
  <si>
    <t>He, Lilin</t>
  </si>
  <si>
    <t>He, Minlong</t>
  </si>
  <si>
    <t>He, Weinian</t>
  </si>
  <si>
    <t>He, William</t>
  </si>
  <si>
    <t>He, Yu</t>
  </si>
  <si>
    <t>Heggie, Kevin</t>
  </si>
  <si>
    <t>Heistand, Will</t>
  </si>
  <si>
    <t>Helal, Yaser</t>
  </si>
  <si>
    <t>Hem, Phila</t>
  </si>
  <si>
    <t>Hemani, Mohammed</t>
  </si>
  <si>
    <t>Heng, Serene</t>
  </si>
  <si>
    <t>Heng, Wu</t>
  </si>
  <si>
    <t>Heo, Rich</t>
  </si>
  <si>
    <t>Heravi, Cyrus</t>
  </si>
  <si>
    <t>Hermans, Olaf</t>
  </si>
  <si>
    <t>Hernandez, David</t>
  </si>
  <si>
    <t>Hernandez, Heriberto</t>
  </si>
  <si>
    <t>Hernandez, Sean</t>
  </si>
  <si>
    <t>Hernandez-Janis, Antonio</t>
  </si>
  <si>
    <t>Herring, Ethan</t>
  </si>
  <si>
    <t>Herwick, Brandon</t>
  </si>
  <si>
    <t>and their scores will be recorded accurately…BUT that will affect their ranking (Place column "R"),</t>
  </si>
  <si>
    <t>because you have now added another match outside of the standard set of matches you</t>
  </si>
  <si>
    <t>intended to play in the example above with cell T1 set to 4.</t>
  </si>
  <si>
    <t>For example, if Team A is Lindenwood University then the player listed in cell C4 will be assigned the</t>
  </si>
  <si>
    <t>code "A1" indicating that this player is their number 1 player and will always play in the number 1</t>
  </si>
  <si>
    <t>position if they are selected to compete.</t>
  </si>
  <si>
    <t>You continue to enter the names of the players that are assigned codes "A2" through "A8".</t>
  </si>
  <si>
    <t>this player has previously competed collegiately.</t>
  </si>
  <si>
    <t>If the Tournament Director is convinced that this is a brand new college player, then you must change</t>
  </si>
  <si>
    <t>the "#N/A" to a negative number.  Start with "-1" (without the quotes).  For any other player that</t>
  </si>
  <si>
    <t>shows "#N/A" simply give them the next sequential negative number (eg., -2).  This is necessary</t>
  </si>
  <si>
    <t>individual college results.</t>
  </si>
  <si>
    <t>Note:  If you have assigned a player a negative number and realize later that they actual can be found in</t>
  </si>
  <si>
    <t>on top of your negative number.</t>
  </si>
  <si>
    <t>The next school lineup is entered into the next team letter (eg., "B")…etc.</t>
  </si>
  <si>
    <t>A Tournament Director should request all the lineups from the school team's a minimum of two days in</t>
  </si>
  <si>
    <t>advance of the competition so they have time to enter the players' names, investigate any</t>
  </si>
  <si>
    <t>discrepancies, and print the needed Match Rosters.</t>
  </si>
  <si>
    <t>Simply print out all the pages where schools will be competing against each other.  For instance, if you</t>
  </si>
  <si>
    <t>have 6 schools in your Division competition (A-F), then you would print out these sheets for</t>
  </si>
  <si>
    <t>Baquiran, Keisler</t>
  </si>
  <si>
    <t>Barbosa, Jose</t>
  </si>
  <si>
    <t>Barbot, Jake</t>
  </si>
  <si>
    <t>Barbour, Robert</t>
  </si>
  <si>
    <t>Bard, Jenny</t>
  </si>
  <si>
    <t>Barge, Chris</t>
  </si>
  <si>
    <t>Barker, Bradley</t>
  </si>
  <si>
    <t>Barnes, Robert</t>
  </si>
  <si>
    <t>Barns, John</t>
  </si>
  <si>
    <t>Barone, Eric</t>
  </si>
  <si>
    <t>Barreto, Efrain</t>
  </si>
  <si>
    <t>Barrett, Patsy</t>
  </si>
  <si>
    <t>Barros, Matt</t>
  </si>
  <si>
    <t>Barry, Kurt</t>
  </si>
  <si>
    <t>Barry, Steve</t>
  </si>
  <si>
    <t>Bartl, Mike</t>
  </si>
  <si>
    <t>Bartram, Tiffany</t>
  </si>
  <si>
    <t>Barz, Joel</t>
  </si>
  <si>
    <t>Basnet, Barkha</t>
  </si>
  <si>
    <t>Batabyal, Sourav</t>
  </si>
  <si>
    <t>Bateman, Alex</t>
  </si>
  <si>
    <t>Bates, Allen</t>
  </si>
  <si>
    <t>Bauer, Ray</t>
  </si>
  <si>
    <t>Baulier, Brian</t>
  </si>
  <si>
    <t>Baum, Zach</t>
  </si>
  <si>
    <t>Baumgaetner, Daniel</t>
  </si>
  <si>
    <t>Baumgartner, Ryan</t>
  </si>
  <si>
    <t>Bautista, Brendon</t>
  </si>
  <si>
    <t>Bayarsaikhan, Munkhbold</t>
  </si>
  <si>
    <t>Bayona, Juan</t>
  </si>
  <si>
    <t>Bayuk, Diego</t>
  </si>
  <si>
    <t>Beanchamp, Tim</t>
  </si>
  <si>
    <t>Beaulieu, Frankie</t>
  </si>
  <si>
    <t>Beaumont, John</t>
  </si>
  <si>
    <t>Bebyn, Eric</t>
  </si>
  <si>
    <t>Becirbegovic, Vermin</t>
  </si>
  <si>
    <t>Beck, Ian</t>
  </si>
  <si>
    <t>Beck, Rory</t>
  </si>
  <si>
    <t>Becker, Chris</t>
  </si>
  <si>
    <t>Beckus, Krissy</t>
  </si>
  <si>
    <t>Bedard, Tim</t>
  </si>
  <si>
    <t>Bedi, Vijit</t>
  </si>
  <si>
    <t>Behl, Sebastian</t>
  </si>
  <si>
    <t>Behnam, Abrahm</t>
  </si>
  <si>
    <t>Bekkerman, Anton</t>
  </si>
  <si>
    <t>Belinfanti-Knight, Andrew</t>
  </si>
  <si>
    <t>Bell, Jon</t>
  </si>
  <si>
    <t>Bell, Josh</t>
  </si>
  <si>
    <t>Bello, Tyler</t>
  </si>
  <si>
    <t>Belmonte, Jonathan</t>
  </si>
  <si>
    <t>Belostetinic, Dan</t>
  </si>
  <si>
    <t>Belsito, Mike</t>
  </si>
  <si>
    <t>Beltzer, Clifford</t>
  </si>
  <si>
    <t>Bembridge, Kevin</t>
  </si>
  <si>
    <t>Bembridge, Kurt</t>
  </si>
  <si>
    <t>Bendix, Peter</t>
  </si>
  <si>
    <t>Beneke, Mitchel</t>
  </si>
  <si>
    <t>Bennett, Jermaine</t>
  </si>
  <si>
    <t>Bequette, Stephen</t>
  </si>
  <si>
    <t>Bergstrom, Andreas</t>
  </si>
  <si>
    <t>Bergstrom, Erin</t>
  </si>
  <si>
    <t>Bergstrom, Ian</t>
  </si>
  <si>
    <t>Berkman, Acar</t>
  </si>
  <si>
    <t>Berkovits, Diana</t>
  </si>
  <si>
    <t>Berlinkov, Iakov</t>
  </si>
  <si>
    <t>Berman, Andrew</t>
  </si>
  <si>
    <t>Bernhard, Mike</t>
  </si>
  <si>
    <t>Bernstein, Jedidiah</t>
  </si>
  <si>
    <t>Berry, Evan</t>
  </si>
  <si>
    <t>Berry, Kyle</t>
  </si>
  <si>
    <t>Bertole, Florian</t>
  </si>
  <si>
    <t>Bertone, Augusto</t>
  </si>
  <si>
    <t>Betea, Dan</t>
  </si>
  <si>
    <t>Bhabra, Anirudh</t>
  </si>
  <si>
    <t>Bhaduri, Abhishek</t>
  </si>
  <si>
    <t>Bhagavatula, Sai Krishna</t>
  </si>
  <si>
    <t>Bhandari, Suyogya</t>
  </si>
  <si>
    <t>Bhasker, Ezekiel</t>
  </si>
  <si>
    <t>Bhatia, Shiven</t>
  </si>
  <si>
    <t>Bhattacharya, Abhik</t>
  </si>
  <si>
    <t>Bhuiyan, Sodrul</t>
  </si>
  <si>
    <t>Bi, Keying</t>
  </si>
  <si>
    <t>Bi, Peng</t>
  </si>
  <si>
    <t>Bian, Li</t>
  </si>
  <si>
    <t>Bianchi, Bruno</t>
  </si>
  <si>
    <t>Bilik, Naran</t>
  </si>
  <si>
    <t>Billau, Jacob</t>
  </si>
  <si>
    <t>Billy, Johnny</t>
  </si>
  <si>
    <t>Binder, Brian</t>
  </si>
  <si>
    <t>Bindiganle, Shashank</t>
  </si>
  <si>
    <t>Birkelof, Kent</t>
  </si>
  <si>
    <t>Bishop, Will</t>
  </si>
  <si>
    <t>Bista, Manoj</t>
  </si>
  <si>
    <t>Biswal, Pratik</t>
  </si>
  <si>
    <t>Bivins, Ryan</t>
  </si>
  <si>
    <t>Blackstone, Nathan</t>
  </si>
  <si>
    <t>Blanchette, Lou</t>
  </si>
  <si>
    <t>Blancke, Keagan</t>
  </si>
  <si>
    <t>Hand the printed MATCH_ROSTER sheets to each school captain so they can cirlce their players for that particular competition and designate the doubles players.</t>
  </si>
  <si>
    <t>Print out the TEAM_MATCHES page that shows all 4 singles and the doubles.</t>
  </si>
  <si>
    <t>Print out the TEAM_MATCHES page that shows the 3 match slips for singles 2-4.</t>
  </si>
  <si>
    <t>Separate the match slips 2-4 by cutting them and handing them to the competing players.</t>
  </si>
  <si>
    <t>For the Red box #1, have each team captain sign it indicating the final result is accurate.</t>
  </si>
  <si>
    <t>Simply copy a blank ID cell and paste it into the cell where the negative number is shown.  Deleting the negative number will not make the computer display the correct ID because the formula is no longer present.  You must copy and paste a blank ID cell.</t>
  </si>
  <si>
    <t>Enter the scores into the spreadsheet when the captains return the match slips.</t>
  </si>
  <si>
    <t>Do I have to have a printer at the competition site to use this software?</t>
  </si>
  <si>
    <t>No.  You can still use paper and pencil to assign the teams against their opponents.  When you get back the results, you simply enter the data into the computer.</t>
  </si>
  <si>
    <t>Note the cell where you made the change.  If you need to get the formula back for cells R4, R6, or R8, then you need to copy and paste from one of those cells.  If you need to fix cells R10, R12, or R14, then you need to copy and paste from one of those cells.  If you need to fix cells R16, R18, or R20, then you need to copy and paste from one of those cells.  If you need to fix cells R22, R24, or R26, then you need to copy and paste from one of those cells.</t>
  </si>
  <si>
    <t>How do I print a particular match slip…say Team D vs Team F?</t>
  </si>
  <si>
    <t>to see if the player has a different spelling.  The player might go by Robert or Bob or Bobby or RJ etc.</t>
  </si>
  <si>
    <t>Moving Quickly to a Contest</t>
  </si>
  <si>
    <t>by using the FIND button or by holding down the CTRL key and at the same time pressing F.</t>
  </si>
  <si>
    <t>To avoid scrolling through all 66 possible contests (A-L), you can quickly go the contest you are looking for</t>
  </si>
  <si>
    <t>Simply click on the "Options &lt;&lt;" button labeled Red box #1 and make sure you select "Values" from the</t>
  </si>
  <si>
    <r>
      <t>"</t>
    </r>
    <r>
      <rPr>
        <u/>
        <sz val="10"/>
        <rFont val="Arial"/>
        <family val="2"/>
      </rPr>
      <t>L</t>
    </r>
    <r>
      <rPr>
        <sz val="10"/>
        <rFont val="Arial"/>
        <family val="2"/>
      </rPr>
      <t>ook in:" field (Red box #2) instead of the default answer of "Formulas".  Then simply type in what</t>
    </r>
  </si>
  <si>
    <t>you are looking for in the "Find what:" field (Red box #3) and click the "Find Next" button (Red</t>
  </si>
  <si>
    <t>the Find and Replace dialogue box by clicking on the "Close" button (Red box #5).</t>
  </si>
  <si>
    <t>Q1</t>
  </si>
  <si>
    <t>Q2</t>
  </si>
  <si>
    <t>Q3</t>
  </si>
  <si>
    <t>Q4</t>
  </si>
  <si>
    <t>Q5</t>
  </si>
  <si>
    <t>Q6</t>
  </si>
  <si>
    <t>Q7</t>
  </si>
  <si>
    <t>Q8</t>
  </si>
  <si>
    <t>Q9</t>
  </si>
  <si>
    <t>A9</t>
  </si>
  <si>
    <t>Q10</t>
  </si>
  <si>
    <t>A10</t>
  </si>
  <si>
    <t>Q11</t>
  </si>
  <si>
    <t>A11</t>
  </si>
  <si>
    <t>Jiang, Xingyun</t>
  </si>
  <si>
    <t>Jiao, JiaNing</t>
  </si>
  <si>
    <t>Jie, Min</t>
  </si>
  <si>
    <t>Jie, Peizhu</t>
  </si>
  <si>
    <t>Jimenez, Diego</t>
  </si>
  <si>
    <t>Jin, Chen</t>
  </si>
  <si>
    <t>Jin, Jiayu</t>
  </si>
  <si>
    <t>Jin, Yalin</t>
  </si>
  <si>
    <t>Jin, Yingzi</t>
  </si>
  <si>
    <t>Jindal, Parth</t>
  </si>
  <si>
    <t>Jing, Qiguo</t>
  </si>
  <si>
    <t>Jing, Yi</t>
  </si>
  <si>
    <t>Jittavanich, Kotchanun</t>
  </si>
  <si>
    <t>Jiwarajka, Ayush</t>
  </si>
  <si>
    <t>Jiwariyavej, Vissuta</t>
  </si>
  <si>
    <t>Jo, Sung Hoon</t>
  </si>
  <si>
    <t>Johanson, Erik</t>
  </si>
  <si>
    <t>John, Esha</t>
  </si>
  <si>
    <t>John, Michelle</t>
  </si>
  <si>
    <t>Johnson, Aaron</t>
  </si>
  <si>
    <t>Johnson, Ben</t>
  </si>
  <si>
    <t>Johnson, Charlie</t>
  </si>
  <si>
    <t>Johnson, Chris</t>
  </si>
  <si>
    <t>Johnson, Kelvin</t>
  </si>
  <si>
    <t>Johnson, Larry</t>
  </si>
  <si>
    <t>Johnson, Lawrence</t>
  </si>
  <si>
    <t>Johnson, Mike</t>
  </si>
  <si>
    <t>Johnson, Ronnie</t>
  </si>
  <si>
    <t>Johnson, Todd</t>
  </si>
  <si>
    <t>Johnson, Zach</t>
  </si>
  <si>
    <t>Johnston, Amanda</t>
  </si>
  <si>
    <t>Jones, Adam</t>
  </si>
  <si>
    <t>Jones, Craig</t>
  </si>
  <si>
    <t>Jones, Ray</t>
  </si>
  <si>
    <t>Jones, Spencer</t>
  </si>
  <si>
    <t>Jones, Zach</t>
  </si>
  <si>
    <t>Jongbauer, Thomas</t>
  </si>
  <si>
    <t>Joo, Attila</t>
  </si>
  <si>
    <t>Jordan, Phillip</t>
  </si>
  <si>
    <t>Joseph, Jefferson</t>
  </si>
  <si>
    <t>Joseph, Nikhil</t>
  </si>
  <si>
    <t>Joshi, Kunal</t>
  </si>
  <si>
    <t>Joshi, Prashant</t>
  </si>
  <si>
    <t>Joshi, Rimesh Man</t>
  </si>
  <si>
    <t>Joshi, Rishab</t>
  </si>
  <si>
    <t>Joshi, Sagar</t>
  </si>
  <si>
    <t>Joshua, Mike</t>
  </si>
  <si>
    <t>Joy, Cal</t>
  </si>
  <si>
    <t>Joyce, Stephen</t>
  </si>
  <si>
    <t>Joynes, Kevin</t>
  </si>
  <si>
    <t>Juan, Ying</t>
  </si>
  <si>
    <t>Juliana, Indjomar</t>
  </si>
  <si>
    <t>Jun, Jian</t>
  </si>
  <si>
    <t>Junco, Jon</t>
  </si>
  <si>
    <t>Jung, Sung So</t>
  </si>
  <si>
    <t>Junge, Matthew</t>
  </si>
  <si>
    <t>Juoperri, Brad</t>
  </si>
  <si>
    <t>Jusoh, Wan Wan</t>
  </si>
  <si>
    <t>Justice, Philip</t>
  </si>
  <si>
    <t>Jyotula, Bolshevik</t>
  </si>
  <si>
    <t>Kacar, Ali Alperen</t>
  </si>
  <si>
    <t>Kadiyala, Pradeep</t>
  </si>
  <si>
    <t>Kahler, Ian</t>
  </si>
  <si>
    <t>Kaiser, Todd</t>
  </si>
  <si>
    <t>Kaluarachchi, Harini</t>
  </si>
  <si>
    <t>Kaluarachchi, Supipi</t>
  </si>
  <si>
    <t>Kalung, Tsui</t>
  </si>
  <si>
    <t>Kamath, Hemant</t>
  </si>
  <si>
    <t>Kamath, Seema</t>
  </si>
  <si>
    <t>Kanai, Ahni</t>
  </si>
  <si>
    <t>Kanchwala, Abbas</t>
  </si>
  <si>
    <t>Kanemitsu, Yoshi</t>
  </si>
  <si>
    <t>Kang, Cody</t>
  </si>
  <si>
    <t>Kang, Gyu Suck</t>
  </si>
  <si>
    <t>Kang, Julian</t>
  </si>
  <si>
    <t>Kania, Mike</t>
  </si>
  <si>
    <t>Kantor, Evan</t>
  </si>
  <si>
    <t>Kao, Will</t>
  </si>
  <si>
    <t>Kapali, Srikanth</t>
  </si>
  <si>
    <t>Kaplansky, Brad</t>
  </si>
  <si>
    <t>Kapoor, Aditya</t>
  </si>
  <si>
    <t>Kar, Rahul</t>
  </si>
  <si>
    <t>Karkare, Kirit</t>
  </si>
  <si>
    <t>Karki, Bibek</t>
  </si>
  <si>
    <t>bibek_karki@brown.edu</t>
  </si>
  <si>
    <t>Karki, Sandhya</t>
  </si>
  <si>
    <t>Kartha, Vivek</t>
  </si>
  <si>
    <t>Kasdorf, Chris</t>
  </si>
  <si>
    <t>Kashvin, Ronen</t>
  </si>
  <si>
    <t>Kathoice, Darran</t>
  </si>
  <si>
    <t>Katzman, Dan</t>
  </si>
  <si>
    <t>Kawamura, Take</t>
  </si>
  <si>
    <t>Kazwell, Justin</t>
  </si>
  <si>
    <t>Keen, Eric</t>
  </si>
  <si>
    <t>Keinath, Jenelle</t>
  </si>
  <si>
    <t>Keller, Drew</t>
  </si>
  <si>
    <t>Kelley, Mike</t>
  </si>
  <si>
    <t>Kelm, Zachary</t>
  </si>
  <si>
    <t>Kemp, Nick</t>
  </si>
  <si>
    <t>Kenahlioglu, Murat</t>
  </si>
  <si>
    <t>Kendle, Brad</t>
  </si>
  <si>
    <t>Keng, Shian Ling</t>
  </si>
  <si>
    <t>Kennedy, Clark</t>
  </si>
  <si>
    <t>Kennedy, Sara</t>
  </si>
  <si>
    <t>Kent, Ben</t>
  </si>
  <si>
    <t>Kerpan, John</t>
  </si>
  <si>
    <t>Keshat, Ilan</t>
  </si>
  <si>
    <t>Ketterer, Nicolas</t>
  </si>
  <si>
    <t>Key, Chance</t>
  </si>
  <si>
    <t>Khachaturyan, Leonid</t>
  </si>
  <si>
    <t>Khalek, Aneece</t>
  </si>
  <si>
    <t>Khan, Abdul Rahman</t>
  </si>
  <si>
    <t>Khan, Minal</t>
  </si>
  <si>
    <t>Khan, Sarah</t>
  </si>
  <si>
    <t>Khan, Taimour Nasir</t>
  </si>
  <si>
    <t>Khan, Terrence</t>
  </si>
  <si>
    <t>Khandaker, Nobel</t>
  </si>
  <si>
    <t>Khandelwal, Ankesh</t>
  </si>
  <si>
    <t>Khandelwal, Harsh</t>
  </si>
  <si>
    <t>Khandelwal, Mohit</t>
  </si>
  <si>
    <t>Khandelwal, Sid</t>
  </si>
  <si>
    <t>Khanna, Sudhanshu</t>
  </si>
  <si>
    <t>Kharche, Gunjan</t>
  </si>
  <si>
    <t>Khare, Rahul</t>
  </si>
  <si>
    <t>Kharsikar, Anneha</t>
  </si>
  <si>
    <t>Kheaton, Vrinda</t>
  </si>
  <si>
    <t>Kheireddin, Bassem</t>
  </si>
  <si>
    <t>Kheyfets, Arthur</t>
  </si>
  <si>
    <t>Khoi, To Ding</t>
  </si>
  <si>
    <t>Khubchandani, Rohan</t>
  </si>
  <si>
    <t>Khurana, Rahul</t>
  </si>
  <si>
    <t>Kido, Koji</t>
  </si>
  <si>
    <t>Kilty, Steve</t>
  </si>
  <si>
    <t>Kim, Dong Hyun</t>
  </si>
  <si>
    <t>Kim, Ed</t>
  </si>
  <si>
    <t>Kim, Hyun</t>
  </si>
  <si>
    <t>Kim, Issac</t>
  </si>
  <si>
    <t>Kim, Jack</t>
  </si>
  <si>
    <t>Kim, Joe</t>
  </si>
  <si>
    <t>Kim, John</t>
  </si>
  <si>
    <t>Kim, Jung Soon</t>
  </si>
  <si>
    <t>Kim, Nathan</t>
  </si>
  <si>
    <t>Kim, Sehwan</t>
  </si>
  <si>
    <t>Kim, Sung</t>
  </si>
  <si>
    <t>Kim, Sungyong</t>
  </si>
  <si>
    <t>Kimball, Teiki</t>
  </si>
  <si>
    <t>Kinder, Brad</t>
  </si>
  <si>
    <t>King, Chris</t>
  </si>
  <si>
    <t>King, Chuck</t>
  </si>
  <si>
    <t>Kingman, Jeff</t>
  </si>
  <si>
    <t>Kinomo, Makoto</t>
  </si>
  <si>
    <t>Kirchhoff, Andrew</t>
  </si>
  <si>
    <t>Kirsch, Jason</t>
  </si>
  <si>
    <t>Kittner, Jonathan</t>
  </si>
  <si>
    <t>Klein, Daniel</t>
  </si>
  <si>
    <t>Knabe, Amanda</t>
  </si>
  <si>
    <t>Knight, Sean</t>
  </si>
  <si>
    <t>Ko, Sharon</t>
  </si>
  <si>
    <t>Koch, Jake</t>
  </si>
  <si>
    <t>Koda, Sayuri</t>
  </si>
  <si>
    <t>Kodama, Akira</t>
  </si>
  <si>
    <t>Kohli, Erol</t>
  </si>
  <si>
    <t>Kohli, Gayrajan</t>
  </si>
  <si>
    <t>Kohrs, Jerald</t>
  </si>
  <si>
    <t>Kokardekar, Arshad</t>
  </si>
  <si>
    <t>Koliv, Alper</t>
  </si>
  <si>
    <t>Kolk, David</t>
  </si>
  <si>
    <t>Kolkowitz, Shimon</t>
  </si>
  <si>
    <t>Komlanvi, Edem</t>
  </si>
  <si>
    <t>Komljenovic, Nick</t>
  </si>
  <si>
    <t>Kong, Dehui</t>
  </si>
  <si>
    <t>Kong, George</t>
  </si>
  <si>
    <t>Konwar, Pallavi</t>
  </si>
  <si>
    <t>Korenbaum, Mike</t>
  </si>
  <si>
    <t>Kornweiss, Steve</t>
  </si>
  <si>
    <t>Kort, Nick</t>
  </si>
  <si>
    <t>Koshy, Jacob</t>
  </si>
  <si>
    <t>Kosmachuck, Roman</t>
  </si>
  <si>
    <t>Kostitsyna, Irina</t>
  </si>
  <si>
    <t>Kotecha, Ritesh</t>
  </si>
  <si>
    <t>Kothari, Aliasgar</t>
  </si>
  <si>
    <t>Kothari, Shiva</t>
  </si>
  <si>
    <t>Kotin, Jeremy</t>
  </si>
  <si>
    <t>Kovacevich, Jeffrey</t>
  </si>
  <si>
    <t>Kovachy, Timothy</t>
  </si>
  <si>
    <t>Koy, Josh</t>
  </si>
  <si>
    <t>Koychev, Anton</t>
  </si>
  <si>
    <t>Koyle, Robert</t>
  </si>
  <si>
    <t>Kozhan, Rostyslav</t>
  </si>
  <si>
    <t>Kramer, Jason</t>
  </si>
  <si>
    <t>Kranjac, Dinko</t>
  </si>
  <si>
    <t>Krantz, Jeremy</t>
  </si>
  <si>
    <t>Krasnyaski, Sergei</t>
  </si>
  <si>
    <t>Krause, Jon</t>
  </si>
  <si>
    <t>Kraut, Nadine</t>
  </si>
  <si>
    <t>Krefati, Sammy</t>
  </si>
  <si>
    <t>Krenn, Robert</t>
  </si>
  <si>
    <t>Krishnan, Venkat</t>
  </si>
  <si>
    <t>Krohn, Chad</t>
  </si>
  <si>
    <t>Kroner, David</t>
  </si>
  <si>
    <t>Kroner, Oliver</t>
  </si>
  <si>
    <t>Kruse, Jason</t>
  </si>
  <si>
    <t>Kshatriya, Mehul</t>
  </si>
  <si>
    <t>Ku, Po</t>
  </si>
  <si>
    <t>Kuan, Chris</t>
  </si>
  <si>
    <t>Kuang, Bob</t>
  </si>
  <si>
    <t>Kuchar, Kevin</t>
  </si>
  <si>
    <t>Kuei, James</t>
  </si>
  <si>
    <t>Kuglin, Corey</t>
  </si>
  <si>
    <t>Kuhn, Larry</t>
  </si>
  <si>
    <t>Kuiiy, Hareshkumar</t>
  </si>
  <si>
    <t>Kuitko, Sergy</t>
  </si>
  <si>
    <t>Kulkarni, Ketki</t>
  </si>
  <si>
    <t>Kulkarni, Rhushikesh</t>
  </si>
  <si>
    <t>Chou, Wil</t>
  </si>
  <si>
    <t>Chougule, Pratik</t>
  </si>
  <si>
    <t>Chow, Christine</t>
  </si>
  <si>
    <t>Chow, Jason</t>
  </si>
  <si>
    <t>Chow, Stephanie</t>
  </si>
  <si>
    <t>Choy, Jeremy</t>
  </si>
  <si>
    <t>Choy, Ron</t>
  </si>
  <si>
    <t>cly@mit.edu</t>
  </si>
  <si>
    <t>Christ, Hunter</t>
  </si>
  <si>
    <t>Christo, Joel</t>
  </si>
  <si>
    <t>Christo, Lee</t>
  </si>
  <si>
    <t>dtrini1@hotmail.com</t>
  </si>
  <si>
    <t>Chu, Alex</t>
  </si>
  <si>
    <t>Chu, Bernard</t>
  </si>
  <si>
    <t>Chu, Darren</t>
  </si>
  <si>
    <t>Chu, David</t>
  </si>
  <si>
    <t>Chu, Khiet</t>
  </si>
  <si>
    <t>Chu, Lam</t>
  </si>
  <si>
    <t>Chua, Audrina</t>
  </si>
  <si>
    <t>Chua, Bun-Hiay</t>
  </si>
  <si>
    <t>Chua, Jemuel</t>
  </si>
  <si>
    <t>Chuang, Peter</t>
  </si>
  <si>
    <t>Chuan-Heng, A.</t>
  </si>
  <si>
    <t>Chueh, Tim</t>
  </si>
  <si>
    <t>Chun, Jun</t>
  </si>
  <si>
    <t>Chung, Andrew</t>
  </si>
  <si>
    <t>Chung, David</t>
  </si>
  <si>
    <t>Chung, Jah Ying</t>
  </si>
  <si>
    <t>Chutphatong, Kasipoon</t>
  </si>
  <si>
    <t>Chyau, Stephen</t>
  </si>
  <si>
    <t>Chyu, Alex</t>
  </si>
  <si>
    <t>Cigeroglu, Ender</t>
  </si>
  <si>
    <t>Cimbak, Josh</t>
  </si>
  <si>
    <t>Cincotta, Sam</t>
  </si>
  <si>
    <t>Clark, Christopher</t>
  </si>
  <si>
    <t>Clark, Josh</t>
  </si>
  <si>
    <t>Clark, Ryan</t>
  </si>
  <si>
    <t>Clarke, Amanda</t>
  </si>
  <si>
    <t>Clemons, Josh</t>
  </si>
  <si>
    <t>Clenry, Will</t>
  </si>
  <si>
    <t>Clevenson, Hannah</t>
  </si>
  <si>
    <t>Clifton, Jared</t>
  </si>
  <si>
    <t>Clinkscales, Chris</t>
  </si>
  <si>
    <t>Coan, Nicholas</t>
  </si>
  <si>
    <t>Cobanovic, Goran</t>
  </si>
  <si>
    <t>Cobb, Ryan</t>
  </si>
  <si>
    <t>Cocco, Felipe</t>
  </si>
  <si>
    <t>Cochran, Gordy</t>
  </si>
  <si>
    <t>Coeffler, Burke</t>
  </si>
  <si>
    <t>Coenen, Tom</t>
  </si>
  <si>
    <t>Coffey, Ryan</t>
  </si>
  <si>
    <t>Cohen, Michael</t>
  </si>
  <si>
    <t>Coker, Wes</t>
  </si>
  <si>
    <t>Cole, Julie</t>
  </si>
  <si>
    <t>Coleman, Kellie</t>
  </si>
  <si>
    <t>Coleman, Tim</t>
  </si>
  <si>
    <t>Collier, Sean</t>
  </si>
  <si>
    <t>Colon, Carlos</t>
  </si>
  <si>
    <t>Colucci, Eugene</t>
  </si>
  <si>
    <t>Colvin, Chase</t>
  </si>
  <si>
    <t>Combs, Adam</t>
  </si>
  <si>
    <t>Compajnoli, Christina</t>
  </si>
  <si>
    <t>Conley, Shane</t>
  </si>
  <si>
    <t>Connors, Kelly</t>
  </si>
  <si>
    <t>Contractor, Roshan</t>
  </si>
  <si>
    <t>Contreras, Cliff</t>
  </si>
  <si>
    <t>Conway, Chris</t>
  </si>
  <si>
    <t>Cook, Chris</t>
  </si>
  <si>
    <t>Cook, Kenny</t>
  </si>
  <si>
    <t>Cook, Scott</t>
  </si>
  <si>
    <t>Cooper, Paul</t>
  </si>
  <si>
    <t>Cooper, Zack</t>
  </si>
  <si>
    <t>Coorey, Joseph</t>
  </si>
  <si>
    <t>Coppola, Dennis</t>
  </si>
  <si>
    <t>dennis.coppola@gmail.com</t>
  </si>
  <si>
    <t>Corpron, Ben</t>
  </si>
  <si>
    <t>Correa, Michael</t>
  </si>
  <si>
    <t>Cortez, Brandon</t>
  </si>
  <si>
    <t>Corwin, Ivan</t>
  </si>
  <si>
    <t>Coste, Santiago</t>
  </si>
  <si>
    <t>Cotcamp, Dustin</t>
  </si>
  <si>
    <t>Cote, Jordan</t>
  </si>
  <si>
    <t>Cote, Pierre-Olivier</t>
  </si>
  <si>
    <t>Cotton, Andy</t>
  </si>
  <si>
    <t>Cox, Ryan</t>
  </si>
  <si>
    <t>Crachilov, Constantin</t>
  </si>
  <si>
    <t>Craig, Kate</t>
  </si>
  <si>
    <t>Croitoru, Dorian</t>
  </si>
  <si>
    <t>Crowder, Terrence</t>
  </si>
  <si>
    <t>Crutchfield, Ryan</t>
  </si>
  <si>
    <t>Cu, Mike</t>
  </si>
  <si>
    <t>Cuckler, Bob</t>
  </si>
  <si>
    <t>Cui, Jing</t>
  </si>
  <si>
    <t>Cui, Shifu</t>
  </si>
  <si>
    <t>Cui, Tianyi</t>
  </si>
  <si>
    <t>Cui, Wei</t>
  </si>
  <si>
    <t>Cui, Yi</t>
  </si>
  <si>
    <t>Cummings, Brett</t>
  </si>
  <si>
    <t>Curran, John</t>
  </si>
  <si>
    <t>Czarny, A</t>
  </si>
  <si>
    <t>Dabale, Love</t>
  </si>
  <si>
    <t>Daghighi, Parham</t>
  </si>
  <si>
    <t>Dai, Chentuo</t>
  </si>
  <si>
    <t>Robinson, Chris</t>
  </si>
  <si>
    <t>Robinson, Tim</t>
  </si>
  <si>
    <t>Rocha, Paulo</t>
  </si>
  <si>
    <t>Roche, Josh</t>
  </si>
  <si>
    <t>Rock, Renata</t>
  </si>
  <si>
    <t>Rodeman, Bill</t>
  </si>
  <si>
    <t>Rodriguez, Kevin</t>
  </si>
  <si>
    <t>Roedel, Jeffrey</t>
  </si>
  <si>
    <t>Roeder, James</t>
  </si>
  <si>
    <t>Roger, Lukas</t>
  </si>
  <si>
    <t>Rogier, Eric</t>
  </si>
  <si>
    <t>Rohatgi, Ranjan</t>
  </si>
  <si>
    <t>Rohrer, Cynthia</t>
  </si>
  <si>
    <t>Rolfes, Jeff</t>
  </si>
  <si>
    <t>Rollins, Chris</t>
  </si>
  <si>
    <t>Roman, Manny</t>
  </si>
  <si>
    <t>Roman, Richard</t>
  </si>
  <si>
    <t>Romito, Vince</t>
  </si>
  <si>
    <t>Root, Nicholas</t>
  </si>
  <si>
    <t>Roseli, Joseph</t>
  </si>
  <si>
    <t>Rosemore, Zak</t>
  </si>
  <si>
    <t>Rosen, Ben</t>
  </si>
  <si>
    <t>Rosenburg, Shmulik</t>
  </si>
  <si>
    <t>Rosenfield, Matt</t>
  </si>
  <si>
    <t>Rosenkranz, Josh</t>
  </si>
  <si>
    <t>Rosenthal, Will</t>
  </si>
  <si>
    <t>Ross, James</t>
  </si>
  <si>
    <t>Ross, Julian</t>
  </si>
  <si>
    <t>Roth, Ben</t>
  </si>
  <si>
    <t>Roufeh, Tahereh</t>
  </si>
  <si>
    <t>Rowe, Peter-John</t>
  </si>
  <si>
    <t>Roy, Apratim</t>
  </si>
  <si>
    <t>Roy, Mike</t>
  </si>
  <si>
    <t>Roy, Sumon</t>
  </si>
  <si>
    <t>Ruan, An</t>
  </si>
  <si>
    <t>Ruan, Huojun</t>
  </si>
  <si>
    <t>Rubin, Greg</t>
  </si>
  <si>
    <t>Rubin, Jason</t>
  </si>
  <si>
    <t>Rubuke, Timmy</t>
  </si>
  <si>
    <t>Rudesill, David</t>
  </si>
  <si>
    <t>Rudibaugh, Rachel</t>
  </si>
  <si>
    <t>Ruhlman, David</t>
  </si>
  <si>
    <t>Ruiz-Ayala, Ivan</t>
  </si>
  <si>
    <t>Rupplan, Max</t>
  </si>
  <si>
    <t>Rush, David</t>
  </si>
  <si>
    <t>Russel, Rebecca</t>
  </si>
  <si>
    <t>Russell, Tommy</t>
  </si>
  <si>
    <t>Russell, Tyler</t>
  </si>
  <si>
    <t>Ryan, Michael</t>
  </si>
  <si>
    <t>Saadat, Soheil</t>
  </si>
  <si>
    <t>Sabhnani, Girishkuman</t>
  </si>
  <si>
    <t>Sablotne, Kim</t>
  </si>
  <si>
    <t>Sacco, Raymond</t>
  </si>
  <si>
    <t>Sachdev, Vibhu</t>
  </si>
  <si>
    <t>Safakabhsh, Peyman</t>
  </si>
  <si>
    <t>Saha, Jishnu</t>
  </si>
  <si>
    <t>Sahu, Amaresh</t>
  </si>
  <si>
    <t>Saint-Jean, Felipe</t>
  </si>
  <si>
    <t>felipe.saint-jean@yale.edu</t>
  </si>
  <si>
    <t>Saito, David</t>
  </si>
  <si>
    <t>Sajja, Pavan</t>
  </si>
  <si>
    <t>Sakairi, Ai</t>
  </si>
  <si>
    <t>Sakur, Arung</t>
  </si>
  <si>
    <t>Salako, Khiresto</t>
  </si>
  <si>
    <t>Salazar, James</t>
  </si>
  <si>
    <t>Saldanha, Ajit</t>
  </si>
  <si>
    <t>Saleh, Mohammad</t>
  </si>
  <si>
    <t>Salem, Mohammed</t>
  </si>
  <si>
    <t>Salyers, Tyler</t>
  </si>
  <si>
    <t>Samant, Jay</t>
  </si>
  <si>
    <t>Sameed, Muhammed</t>
  </si>
  <si>
    <t>Samuels, Jessica</t>
  </si>
  <si>
    <t>Sanchez, Luis</t>
  </si>
  <si>
    <t>Sang, Alan</t>
  </si>
  <si>
    <t>Sang, Tian</t>
  </si>
  <si>
    <t>Sanghai, Shailesh</t>
  </si>
  <si>
    <t>Sankerithi, Siva</t>
  </si>
  <si>
    <t>Sanli, Kivanc</t>
  </si>
  <si>
    <t>Santana, Eddy</t>
  </si>
  <si>
    <t>Santiago, Luis</t>
  </si>
  <si>
    <t>Santiago, Michel</t>
  </si>
  <si>
    <t>Santos, Pedro</t>
  </si>
  <si>
    <t>p_santos@mit.edu</t>
  </si>
  <si>
    <t>Santosa, Raymond</t>
  </si>
  <si>
    <t>Sapp, Shaun</t>
  </si>
  <si>
    <t>Saran, Salih</t>
  </si>
  <si>
    <t>salihsaran@yahoo.com</t>
  </si>
  <si>
    <t>Sarchi, Andrea</t>
  </si>
  <si>
    <t>Sarkar, Kumar</t>
  </si>
  <si>
    <t>Sarkar, Subhrendu</t>
  </si>
  <si>
    <t>jns2111@columbia.edu</t>
  </si>
  <si>
    <t>Sarnlertsophon, Kristine</t>
  </si>
  <si>
    <t>Sathe, Kaustubh</t>
  </si>
  <si>
    <t>Saucier, Stephen</t>
  </si>
  <si>
    <t>Saunders, Brent</t>
  </si>
  <si>
    <t>Savage, Ned</t>
  </si>
  <si>
    <t>Savai, Rajiv</t>
  </si>
  <si>
    <t>Savell, Jesse</t>
  </si>
  <si>
    <t>Savey, Josh</t>
  </si>
  <si>
    <t>Savjani, Ricky</t>
  </si>
  <si>
    <t>Sawyer, Eric</t>
  </si>
  <si>
    <t>Sayed, A</t>
  </si>
  <si>
    <t>Sayeed, Salman</t>
  </si>
  <si>
    <t>Scarborough, Jamison</t>
  </si>
  <si>
    <t>Schechter, David</t>
  </si>
  <si>
    <t>Schellong, Stefan</t>
  </si>
  <si>
    <t>Schenz-Davis, Nathan</t>
  </si>
  <si>
    <t>Schleberg, Eric</t>
  </si>
  <si>
    <t>Schlossman, Mike</t>
  </si>
  <si>
    <t>Schnell, Krista</t>
  </si>
  <si>
    <t>Schonefeld, Sally</t>
  </si>
  <si>
    <t>Schopick, Ben</t>
  </si>
  <si>
    <t>Schram, Kristen</t>
  </si>
  <si>
    <t>Schrimpf, Paul</t>
  </si>
  <si>
    <t>Schroder, Volker</t>
  </si>
  <si>
    <t>Schuman, Garrett</t>
  </si>
  <si>
    <t>Schurr, Ryan</t>
  </si>
  <si>
    <t>Schuvieger, Florian</t>
  </si>
  <si>
    <t>Schvam, Kristen</t>
  </si>
  <si>
    <t>Schwartz, Steven</t>
  </si>
  <si>
    <t>sgschwart@radford.edu</t>
  </si>
  <si>
    <t>Schwegler, John</t>
  </si>
  <si>
    <t>Schwenk, Bryan</t>
  </si>
  <si>
    <t>Schwind, Geoff</t>
  </si>
  <si>
    <t>Sclair, Joshua</t>
  </si>
  <si>
    <t>Scott, Aaron</t>
  </si>
  <si>
    <t>Scott, Andre</t>
  </si>
  <si>
    <t>scotta791@aol.com</t>
  </si>
  <si>
    <t>Scott, Josh</t>
  </si>
  <si>
    <t>Scott, Whitney</t>
  </si>
  <si>
    <t>Scuricm, Beau</t>
  </si>
  <si>
    <t>Seal, Pradipta</t>
  </si>
  <si>
    <t>A</t>
  </si>
  <si>
    <t>B</t>
  </si>
  <si>
    <t>C</t>
  </si>
  <si>
    <t>D</t>
  </si>
  <si>
    <t>E</t>
  </si>
  <si>
    <t>F</t>
  </si>
  <si>
    <t>G</t>
  </si>
  <si>
    <t>H</t>
  </si>
  <si>
    <t>I</t>
  </si>
  <si>
    <t>J</t>
  </si>
  <si>
    <t>K</t>
  </si>
  <si>
    <t>L</t>
  </si>
  <si>
    <t>ID</t>
  </si>
  <si>
    <t>Rating</t>
  </si>
  <si>
    <t>Name of Player</t>
  </si>
  <si>
    <t>A2</t>
  </si>
  <si>
    <t>A5</t>
  </si>
  <si>
    <t>A6</t>
  </si>
  <si>
    <t>A7</t>
  </si>
  <si>
    <t>A8</t>
  </si>
  <si>
    <t>A1</t>
  </si>
  <si>
    <t>A3</t>
  </si>
  <si>
    <t>A4</t>
  </si>
  <si>
    <t>B1</t>
  </si>
  <si>
    <t>B2</t>
  </si>
  <si>
    <t>B3</t>
  </si>
  <si>
    <t>B4</t>
  </si>
  <si>
    <t>B5</t>
  </si>
  <si>
    <t>B6</t>
  </si>
  <si>
    <t>B7</t>
  </si>
  <si>
    <t>B8</t>
  </si>
  <si>
    <t>C1</t>
  </si>
  <si>
    <t>C2</t>
  </si>
  <si>
    <t>C3</t>
  </si>
  <si>
    <t>C4</t>
  </si>
  <si>
    <t>C5</t>
  </si>
  <si>
    <t>C6</t>
  </si>
  <si>
    <t>C7</t>
  </si>
  <si>
    <t>C8</t>
  </si>
  <si>
    <t>D1</t>
  </si>
  <si>
    <t>D2</t>
  </si>
  <si>
    <t>D3</t>
  </si>
  <si>
    <t>D4</t>
  </si>
  <si>
    <t>D5</t>
  </si>
  <si>
    <t>D6</t>
  </si>
  <si>
    <t>D7</t>
  </si>
  <si>
    <t>D8</t>
  </si>
  <si>
    <t>E1</t>
  </si>
  <si>
    <t>E2</t>
  </si>
  <si>
    <t>E3</t>
  </si>
  <si>
    <t>E4</t>
  </si>
  <si>
    <t>E5</t>
  </si>
  <si>
    <t>E6</t>
  </si>
  <si>
    <t>E7</t>
  </si>
  <si>
    <t>E8</t>
  </si>
  <si>
    <t>F1</t>
  </si>
  <si>
    <t>F2</t>
  </si>
  <si>
    <t>F3</t>
  </si>
  <si>
    <t>F4</t>
  </si>
  <si>
    <t>F5</t>
  </si>
  <si>
    <t>F6</t>
  </si>
  <si>
    <t>F7</t>
  </si>
  <si>
    <t>F8</t>
  </si>
  <si>
    <t>G1</t>
  </si>
  <si>
    <t>G2</t>
  </si>
  <si>
    <t>G3</t>
  </si>
  <si>
    <t>G4</t>
  </si>
  <si>
    <t>G5</t>
  </si>
  <si>
    <t>G6</t>
  </si>
  <si>
    <t>G7</t>
  </si>
  <si>
    <t>G8</t>
  </si>
  <si>
    <t>H1</t>
  </si>
  <si>
    <t>H2</t>
  </si>
  <si>
    <t>H3</t>
  </si>
  <si>
    <t>H4</t>
  </si>
  <si>
    <t>H5</t>
  </si>
  <si>
    <t>H6</t>
  </si>
  <si>
    <t>H7</t>
  </si>
  <si>
    <t>H8</t>
  </si>
  <si>
    <t>I1</t>
  </si>
  <si>
    <t>I2</t>
  </si>
  <si>
    <t>I3</t>
  </si>
  <si>
    <t>I4</t>
  </si>
  <si>
    <t>I5</t>
  </si>
  <si>
    <t>I6</t>
  </si>
  <si>
    <t>I7</t>
  </si>
  <si>
    <t>I8</t>
  </si>
  <si>
    <t>J1</t>
  </si>
  <si>
    <t>J2</t>
  </si>
  <si>
    <t>J3</t>
  </si>
  <si>
    <t>J4</t>
  </si>
  <si>
    <t>J5</t>
  </si>
  <si>
    <t>J6</t>
  </si>
  <si>
    <t>J7</t>
  </si>
  <si>
    <t>J8</t>
  </si>
  <si>
    <t>K1</t>
  </si>
  <si>
    <t>K2</t>
  </si>
  <si>
    <t>K3</t>
  </si>
  <si>
    <t>K4</t>
  </si>
  <si>
    <t>K5</t>
  </si>
  <si>
    <t>K6</t>
  </si>
  <si>
    <t>K7</t>
  </si>
  <si>
    <t>K8</t>
  </si>
  <si>
    <t>L1</t>
  </si>
  <si>
    <t>L2</t>
  </si>
  <si>
    <t>L3</t>
  </si>
  <si>
    <t>L4</t>
  </si>
  <si>
    <t>L5</t>
  </si>
  <si>
    <t>L6</t>
  </si>
  <si>
    <t>L7</t>
  </si>
  <si>
    <t>L8</t>
  </si>
  <si>
    <t>NCTTA Team Match Player Selection Form</t>
  </si>
  <si>
    <t>Singles</t>
  </si>
  <si>
    <t>Doubles</t>
  </si>
  <si>
    <t>Captain's Signature</t>
  </si>
  <si>
    <t>Time received by Meet Director:</t>
  </si>
  <si>
    <t>Team</t>
  </si>
  <si>
    <t>Name of Event:</t>
  </si>
  <si>
    <t>Location:</t>
  </si>
  <si>
    <t>Date:</t>
  </si>
  <si>
    <t>Vs.</t>
  </si>
  <si>
    <t>1st Singles</t>
  </si>
  <si>
    <t>2nd Singles</t>
  </si>
  <si>
    <t>3rd Singles</t>
  </si>
  <si>
    <t>4th Singles</t>
  </si>
  <si>
    <t>Umpire's Signature</t>
  </si>
  <si>
    <t>FINAL SCORE (circle winner)</t>
  </si>
  <si>
    <t>School/Team</t>
  </si>
  <si>
    <t>Win</t>
  </si>
  <si>
    <t>Loss</t>
  </si>
  <si>
    <t>MP</t>
  </si>
  <si>
    <t>Place</t>
  </si>
  <si>
    <t xml:space="preserve">    League Sponsor</t>
  </si>
  <si>
    <t>For each individual match, please circle the name and letter of the winner.</t>
  </si>
  <si>
    <t>Circle the four (4) players that will represent your school</t>
  </si>
  <si>
    <r>
      <t xml:space="preserve">If a team match </t>
    </r>
    <r>
      <rPr>
        <i/>
        <sz val="10"/>
        <rFont val="Arial"/>
        <family val="2"/>
      </rPr>
      <t>has not</t>
    </r>
    <r>
      <rPr>
        <sz val="10"/>
        <rFont val="Arial"/>
        <family val="2"/>
      </rPr>
      <t xml:space="preserve"> been decided in singles, then the player shown below will play doubles</t>
    </r>
  </si>
  <si>
    <t>with the teammate in the number one position</t>
  </si>
  <si>
    <t>Enter Division Name</t>
  </si>
  <si>
    <t>Enter Date</t>
  </si>
  <si>
    <t>Lastname, Firstname</t>
  </si>
  <si>
    <t>Name</t>
  </si>
  <si>
    <t>Email</t>
  </si>
  <si>
    <t>A, Sivaram</t>
  </si>
  <si>
    <t>M</t>
  </si>
  <si>
    <t>Aanei, Ioana</t>
  </si>
  <si>
    <t>Abadie, Spencer</t>
  </si>
  <si>
    <t>Aballa, Jake</t>
  </si>
  <si>
    <t>Abaluck, Jason</t>
  </si>
  <si>
    <t>Abbas, Hussian</t>
  </si>
  <si>
    <t>Abdeljabbar, Alrazi</t>
  </si>
  <si>
    <t>Abdulghani, Mohammed</t>
  </si>
  <si>
    <t>Abed, Ahmed</t>
  </si>
  <si>
    <t>Abel, Stuart</t>
  </si>
  <si>
    <t>Abend, Brian</t>
  </si>
  <si>
    <t>Abraham, Greshe</t>
  </si>
  <si>
    <t>Abrameto, Rob</t>
  </si>
  <si>
    <t>Abrami, Greg</t>
  </si>
  <si>
    <t>Abril, Vladimir</t>
  </si>
  <si>
    <t>Achanta, Kamalesh</t>
  </si>
  <si>
    <t>Ackerman, Jason</t>
  </si>
  <si>
    <t>Ade, Arllen</t>
  </si>
  <si>
    <t>Adeleye, Ayomikum</t>
  </si>
  <si>
    <t>Adesiyan, Adebisi</t>
  </si>
  <si>
    <t>Adhikari, Mithilesh</t>
  </si>
  <si>
    <t>Adijanto, Lawrence</t>
  </si>
  <si>
    <t>Adiprasetya, Joas</t>
  </si>
  <si>
    <t>Adrian, Matt</t>
  </si>
  <si>
    <t>Adrighetto, Luca</t>
  </si>
  <si>
    <t>Afthinos, Alexandros</t>
  </si>
  <si>
    <t>Afzal, Muhammed Adel</t>
  </si>
  <si>
    <t>Aga, Cyrus</t>
  </si>
  <si>
    <t>Agarwal, Abhinav</t>
  </si>
  <si>
    <t>Agarwal, Gautam</t>
  </si>
  <si>
    <t>Agarwal, Utsav</t>
  </si>
  <si>
    <t>Agarwal, Vivek</t>
  </si>
  <si>
    <t>Aggarwal, Akhil</t>
  </si>
  <si>
    <t>Aguang, Dai</t>
  </si>
  <si>
    <t>Agueda, Dave</t>
  </si>
  <si>
    <t>Aguilar, Dean</t>
  </si>
  <si>
    <t>Aguilar, Jacob</t>
  </si>
  <si>
    <t>Aguilar, Keifer</t>
  </si>
  <si>
    <t>Aguirre, Ramon</t>
  </si>
  <si>
    <t>Ahmad, Adam</t>
  </si>
  <si>
    <t>Ahmad, Ibrahim</t>
  </si>
  <si>
    <t>Ahmed, Bilal</t>
  </si>
  <si>
    <t>Ahmed, Zubair</t>
  </si>
  <si>
    <t>Ahn, Jiwoong</t>
  </si>
  <si>
    <t>Ahuja, Saran</t>
  </si>
  <si>
    <t>Ajilore, Tunde</t>
  </si>
  <si>
    <t>Ajjampur, Madhav</t>
  </si>
  <si>
    <t>Ajmani, Sumeet</t>
  </si>
  <si>
    <t>Ajomale, Ajibola</t>
  </si>
  <si>
    <t>Ajoy, Manuel</t>
  </si>
  <si>
    <t>Ajoy, Rosa</t>
  </si>
  <si>
    <t>Akepanidtaworn, Klakow</t>
  </si>
  <si>
    <t>Alacam, Burak</t>
  </si>
  <si>
    <t>Al-Alami, Nadeem</t>
  </si>
  <si>
    <t>Alderman, Chris</t>
  </si>
  <si>
    <t>Aldwairi, Monther</t>
  </si>
  <si>
    <t>Alexandrov, Vic</t>
  </si>
  <si>
    <t>Algaa, Zuchi</t>
  </si>
  <si>
    <t>Alhamuod, Mohammed</t>
  </si>
  <si>
    <t>Alhasan, Sadiq</t>
  </si>
  <si>
    <t>Ali, Adel</t>
  </si>
  <si>
    <t>Ali, Azhar</t>
  </si>
  <si>
    <t>Ali, Azrai</t>
  </si>
  <si>
    <t>Ali, Syed</t>
  </si>
  <si>
    <t>Allen, Chris</t>
  </si>
  <si>
    <t>Allen, Matt</t>
  </si>
  <si>
    <t>Almadi, Mohammed</t>
  </si>
  <si>
    <t>Alomar, Walter</t>
  </si>
  <si>
    <t>Alshakhs, Ali</t>
  </si>
  <si>
    <t>Al-Shamali, Saleh</t>
  </si>
  <si>
    <t>Alvarado, Roberto</t>
  </si>
  <si>
    <t>Alvarez, Xavier</t>
  </si>
  <si>
    <t>Ambresh, Balaji</t>
  </si>
  <si>
    <t>Ameer, Prince</t>
  </si>
  <si>
    <t>Amin, Avant</t>
  </si>
  <si>
    <t>Amin, Sarah</t>
  </si>
  <si>
    <t>Amirkhany, Amir</t>
  </si>
  <si>
    <t>Amjed, Asad Ali</t>
  </si>
  <si>
    <t>Amoako, Henry</t>
  </si>
  <si>
    <t>Amonoo, Thompson</t>
  </si>
  <si>
    <t>Amren, Michael</t>
  </si>
  <si>
    <t>An, Jirnan</t>
  </si>
  <si>
    <t>An, Shunyu</t>
  </si>
  <si>
    <t>An, Tommy</t>
  </si>
  <si>
    <t>Anand, Akshay</t>
  </si>
  <si>
    <t>Anderson, Ben</t>
  </si>
  <si>
    <t>Anderson, Byron</t>
  </si>
  <si>
    <t>Anderson, Evan</t>
  </si>
  <si>
    <t>Anderson, Jared</t>
  </si>
  <si>
    <t>Anderson, Mary</t>
  </si>
  <si>
    <t>Anderson, Tyler</t>
  </si>
  <si>
    <t>Andrade, Jose</t>
  </si>
  <si>
    <t>Andreeva, Villy</t>
  </si>
  <si>
    <t>Aniolowski, Chris</t>
  </si>
  <si>
    <t>Aniz, Hissan</t>
  </si>
  <si>
    <t>Anselmo, Giancarlo</t>
  </si>
  <si>
    <t>Anupongpaibool, Noppachai</t>
  </si>
  <si>
    <t>Aoyagi, Yasuhiro</t>
  </si>
  <si>
    <t>Aprikyan, Andrew</t>
  </si>
  <si>
    <t>Arai, Sho</t>
  </si>
  <si>
    <t>Aramphoryphan, Taneenop</t>
  </si>
  <si>
    <t>Aranguren, Jose</t>
  </si>
  <si>
    <t>Arayametee, Supanida</t>
  </si>
  <si>
    <t>Archastr, Victor</t>
  </si>
  <si>
    <t>Arczynski, John</t>
  </si>
  <si>
    <t>Areeb, Mohamad</t>
  </si>
  <si>
    <t>Arenas, Carlos</t>
  </si>
  <si>
    <t>Armstrong, Payton</t>
  </si>
  <si>
    <t>Arnold, Christian</t>
  </si>
  <si>
    <t>Arora, Ankit</t>
  </si>
  <si>
    <t>Arora, Jasleen</t>
  </si>
  <si>
    <t>Aroskar, Amey</t>
  </si>
  <si>
    <t>Artel, Arsun</t>
  </si>
  <si>
    <t>Arzan, Eliezer</t>
  </si>
  <si>
    <t>Asgarali, Khaleel</t>
  </si>
  <si>
    <t>Ashinoff, Zachary</t>
  </si>
  <si>
    <t>Aten, Justin</t>
  </si>
  <si>
    <t>Atifmal, Mogadas</t>
  </si>
  <si>
    <t>Atifmal, Mosadiq</t>
  </si>
  <si>
    <t>Au, Chung</t>
  </si>
  <si>
    <t>Aust, Glenn</t>
  </si>
  <si>
    <t>Avasarala, Bhargav</t>
  </si>
  <si>
    <t>Averbukh, Ilya</t>
  </si>
  <si>
    <t>Avery, Shawn</t>
  </si>
  <si>
    <t>Avey, Michel</t>
  </si>
  <si>
    <t>Avey, William</t>
  </si>
  <si>
    <t>Avila, Dustin</t>
  </si>
  <si>
    <t>Ayuso, Hector</t>
  </si>
  <si>
    <t>Azamy, Nabel</t>
  </si>
  <si>
    <t>Azan, Iftikar</t>
  </si>
  <si>
    <t>Baab, Luke</t>
  </si>
  <si>
    <t>Baba, Daniel</t>
  </si>
  <si>
    <t>Babbar, Yogesh</t>
  </si>
  <si>
    <t>Babic, Bogdan</t>
  </si>
  <si>
    <t>Bachman, Jon</t>
  </si>
  <si>
    <t>Bachoura, Patrick</t>
  </si>
  <si>
    <t>Bachwani, Rekha</t>
  </si>
  <si>
    <t>Baeg, Junghoon</t>
  </si>
  <si>
    <t>Bagalasca, Allan</t>
  </si>
  <si>
    <t>Bagaria, Hitesh</t>
  </si>
  <si>
    <t>Bai, Chao</t>
  </si>
  <si>
    <t>Bai, Yun</t>
  </si>
  <si>
    <t>Bailey, Tres</t>
  </si>
  <si>
    <t>Bailey, Vincent</t>
  </si>
  <si>
    <t>Bajaber, Abdullah</t>
  </si>
  <si>
    <t>Baker, Austin</t>
  </si>
  <si>
    <t>Baker, Chris</t>
  </si>
  <si>
    <t>Baker, Devin</t>
  </si>
  <si>
    <t>Balasubramanian, Ganesh</t>
  </si>
  <si>
    <t>Balganesh, Shyamkrishna</t>
  </si>
  <si>
    <t>Balioglu, Yunus</t>
  </si>
  <si>
    <t>Balla, Paul</t>
  </si>
  <si>
    <t>Bandara, Nilantha</t>
  </si>
  <si>
    <t>Bandelies, Etienne</t>
  </si>
  <si>
    <t>Banjari, Mohammed</t>
  </si>
  <si>
    <t>Bao, Han</t>
  </si>
  <si>
    <t>Bao, Ning</t>
  </si>
  <si>
    <t>Bao, Wenzhong</t>
  </si>
  <si>
    <t>Manara, Marc</t>
  </si>
  <si>
    <t>Manasse, Evan</t>
  </si>
  <si>
    <t>Mang, Mark</t>
  </si>
  <si>
    <t>Manik, A</t>
  </si>
  <si>
    <t>Mann, Gaston</t>
  </si>
  <si>
    <t>Manoos, Christian</t>
  </si>
  <si>
    <t>Manzoor, Awab</t>
  </si>
  <si>
    <t>Mao, Wendou</t>
  </si>
  <si>
    <t>Mar, John</t>
  </si>
  <si>
    <t>Mar, Philip</t>
  </si>
  <si>
    <t>Marantz, Cameron</t>
  </si>
  <si>
    <t>Marasigan, Adrian</t>
  </si>
  <si>
    <t>Marathe, Radhika</t>
  </si>
  <si>
    <t>Maredia, Rahil</t>
  </si>
  <si>
    <t>Margiotta, Jonatas</t>
  </si>
  <si>
    <t>Margolies, Allen</t>
  </si>
  <si>
    <t>Marin, Mike</t>
  </si>
  <si>
    <t>Maro, Will</t>
  </si>
  <si>
    <t>Martelli, Jean-Thomas</t>
  </si>
  <si>
    <t>Martin, Andrew</t>
  </si>
  <si>
    <t>Martin, Drew</t>
  </si>
  <si>
    <t>Martin, Elizabeth</t>
  </si>
  <si>
    <t>Martin, John</t>
  </si>
  <si>
    <t>Martin, Ryan</t>
  </si>
  <si>
    <t>Martinez, Andrew</t>
  </si>
  <si>
    <t>Martinez, Howell</t>
  </si>
  <si>
    <t>martinez@bu.edu</t>
  </si>
  <si>
    <t>Maru, Saunya</t>
  </si>
  <si>
    <t>Marubu, Christine</t>
  </si>
  <si>
    <t>Mascialino, Gregory</t>
  </si>
  <si>
    <t>Mason, Gabriel</t>
  </si>
  <si>
    <t>Masood, Amir</t>
  </si>
  <si>
    <t>Masood, Sameer</t>
  </si>
  <si>
    <t>Mastriano, Alex</t>
  </si>
  <si>
    <t>Masucci, Jared</t>
  </si>
  <si>
    <t>Mathew, Brinda</t>
  </si>
  <si>
    <t>Matta, Ziad</t>
  </si>
  <si>
    <t>Mattelson, Eric</t>
  </si>
  <si>
    <t>Matthews, George</t>
  </si>
  <si>
    <t>Mattione, Mark</t>
  </si>
  <si>
    <t>Mauceri, Sean</t>
  </si>
  <si>
    <t>Mavalvala, Yashaan</t>
  </si>
  <si>
    <t>Maxted, Katuso</t>
  </si>
  <si>
    <t>May, Patrick</t>
  </si>
  <si>
    <t>Mayfield, Matt</t>
  </si>
  <si>
    <t>Mazalewski, William</t>
  </si>
  <si>
    <t>Mazumder, Jit</t>
  </si>
  <si>
    <t>McAdams, Sarah</t>
  </si>
  <si>
    <t>McCarthy, Andy</t>
  </si>
  <si>
    <t>McCarthy, Jack</t>
  </si>
  <si>
    <t>McCarty, Leland</t>
  </si>
  <si>
    <t>McCluskey, Ryan</t>
  </si>
  <si>
    <t>McCorkhill, Chris</t>
  </si>
  <si>
    <t>McCormick, Caleb</t>
  </si>
  <si>
    <t>McDonie, Samuel</t>
  </si>
  <si>
    <t>McGregor, Hugh</t>
  </si>
  <si>
    <t>McGriff, Donnie</t>
  </si>
  <si>
    <t>McGuire, Charlie</t>
  </si>
  <si>
    <t>McInerney, John</t>
  </si>
  <si>
    <t>McKay, Bailey</t>
  </si>
  <si>
    <t>Mckentire, Paul</t>
  </si>
  <si>
    <t>McKervey, Nate</t>
  </si>
  <si>
    <t>McKinnon, Nate</t>
  </si>
  <si>
    <t>McLouren, Matthew Cole</t>
  </si>
  <si>
    <t>McNally, Will</t>
  </si>
  <si>
    <t>McNamara, Brian</t>
  </si>
  <si>
    <t>Megally, Alfred</t>
  </si>
  <si>
    <t>Mehl, Mike</t>
  </si>
  <si>
    <t>Mehta, Dhawal</t>
  </si>
  <si>
    <t>Mehta, Maharshi</t>
  </si>
  <si>
    <t>Mehta, Mohit</t>
  </si>
  <si>
    <t>Mehta, Subal</t>
  </si>
  <si>
    <t>Mehta, Viral</t>
  </si>
  <si>
    <t>Mehtab, Omar</t>
  </si>
  <si>
    <t>Mellars, David</t>
  </si>
  <si>
    <t>Mellinger, Daniel</t>
  </si>
  <si>
    <t>Mendelson, Michael</t>
  </si>
  <si>
    <t>Mendoza, Neil</t>
  </si>
  <si>
    <t>Meng, Ling</t>
  </si>
  <si>
    <t>Mercer, Anthony</t>
  </si>
  <si>
    <t>Merker, Roy</t>
  </si>
  <si>
    <t>Merz, Patrick</t>
  </si>
  <si>
    <t>Meyer, Marius</t>
  </si>
  <si>
    <t>Mhatre, Amit</t>
  </si>
  <si>
    <t>Mianroud, Saman</t>
  </si>
  <si>
    <t>Mibuari, Eric</t>
  </si>
  <si>
    <t>Michaud, John</t>
  </si>
  <si>
    <t>Hu, Xiaoming</t>
  </si>
  <si>
    <t>Hu, Xiran</t>
  </si>
  <si>
    <t>Hu, Ye</t>
  </si>
  <si>
    <t>Hu, Yike</t>
  </si>
  <si>
    <t>Hu, Yung Shuai</t>
  </si>
  <si>
    <t>Hua, Danny</t>
  </si>
  <si>
    <t>Hua, Liyang</t>
  </si>
  <si>
    <t>Huan, Hui</t>
  </si>
  <si>
    <t>Huang, Aihua</t>
  </si>
  <si>
    <t>Huang, Albert</t>
  </si>
  <si>
    <t>Huang, Ben</t>
  </si>
  <si>
    <t>Huang, Henry</t>
  </si>
  <si>
    <t>Huang, Hui</t>
  </si>
  <si>
    <t>Huang, Jian</t>
  </si>
  <si>
    <t>Huang, Johnny</t>
  </si>
  <si>
    <t>Huang, Judy</t>
  </si>
  <si>
    <t>Huang, Kun</t>
  </si>
  <si>
    <t>Huang, Kuo-Hua</t>
  </si>
  <si>
    <t>Huang, Miaoling</t>
  </si>
  <si>
    <t>Huang, Mike</t>
  </si>
  <si>
    <t>Huang, Rose</t>
  </si>
  <si>
    <t>Huang, Sidi</t>
  </si>
  <si>
    <t>Huang, Weihan</t>
  </si>
  <si>
    <t>Huang, WeiJan</t>
  </si>
  <si>
    <t>Huang, WeiJun</t>
  </si>
  <si>
    <t>Huang, Wilson</t>
  </si>
  <si>
    <t>Huang, Xiaoxia</t>
  </si>
  <si>
    <t>Huang, Xinyu</t>
  </si>
  <si>
    <t>Huang, Zhaodan</t>
  </si>
  <si>
    <t>Huang, Zhen</t>
  </si>
  <si>
    <t>Huang, Zhongyuan</t>
  </si>
  <si>
    <t>Huber, Thomas</t>
  </si>
  <si>
    <t>Huckaba, Aron</t>
  </si>
  <si>
    <t>Huerta, Jose</t>
  </si>
  <si>
    <t>Huff, Carter</t>
  </si>
  <si>
    <t>Hugh, Adam</t>
  </si>
  <si>
    <t>Hugh, Judy</t>
  </si>
  <si>
    <t>Hughes, Luke</t>
  </si>
  <si>
    <t>Hui, Jessica</t>
  </si>
  <si>
    <t>Hulberr, Andrew</t>
  </si>
  <si>
    <t>Humber, William</t>
  </si>
  <si>
    <t>Hung, Putzer</t>
  </si>
  <si>
    <t>Hunter, Emma</t>
  </si>
  <si>
    <t>Huntley, Chris</t>
  </si>
  <si>
    <t>Huo, Ran</t>
  </si>
  <si>
    <t>Hupta, Bharat</t>
  </si>
  <si>
    <t>Hurak, Brad</t>
  </si>
  <si>
    <t>Hurtubise, Jay</t>
  </si>
  <si>
    <t>Hussain, Noman</t>
  </si>
  <si>
    <t>Hussein, Taufiq</t>
  </si>
  <si>
    <t>Huyge, Patrick</t>
  </si>
  <si>
    <t>Huynh, Andrew</t>
  </si>
  <si>
    <t>Hwang, Brian</t>
  </si>
  <si>
    <t>Hwang, Christine</t>
  </si>
  <si>
    <t>Hwang, Colin</t>
  </si>
  <si>
    <t>Hwang, Jun</t>
  </si>
  <si>
    <t>Hwang, Liang-Dar</t>
  </si>
  <si>
    <t>Hwei, Yek Ming</t>
  </si>
  <si>
    <t>Hy, Soklamar</t>
  </si>
  <si>
    <t>Hyma, Evan</t>
  </si>
  <si>
    <t>Ibrahim, Samir</t>
  </si>
  <si>
    <t>Idros, Syamsul</t>
  </si>
  <si>
    <t>Iftikhar, Harun</t>
  </si>
  <si>
    <t>Ijadare, Davis</t>
  </si>
  <si>
    <t>Ilicack, Emin</t>
  </si>
  <si>
    <t>Ilko, Dustin</t>
  </si>
  <si>
    <t>Ilson, Richard</t>
  </si>
  <si>
    <t>Ilya, Sukharnikov</t>
  </si>
  <si>
    <t>Imamura, Sachi</t>
  </si>
  <si>
    <t>Imtanes, Victoria</t>
  </si>
  <si>
    <t>Indacochea, Pablo</t>
  </si>
  <si>
    <t>Inmon, Matt</t>
  </si>
  <si>
    <t>Inoue, Masakatsu</t>
  </si>
  <si>
    <t>Ip, Spencer</t>
  </si>
  <si>
    <t>Iregor, Tolga</t>
  </si>
  <si>
    <t>Irez, Kagan</t>
  </si>
  <si>
    <t>Irigoyen, Andre</t>
  </si>
  <si>
    <t>Irwin, Matt</t>
  </si>
  <si>
    <t>Isbell, Jason</t>
  </si>
  <si>
    <t>Ishikawa, Masa</t>
  </si>
  <si>
    <t>Ivanov, Maxim</t>
  </si>
  <si>
    <t>Ivanskiv, Roman</t>
  </si>
  <si>
    <t>Iwamoto, Adam</t>
  </si>
  <si>
    <t>Izen, Seth</t>
  </si>
  <si>
    <t>Jackson, Frank</t>
  </si>
  <si>
    <t>Jacobs, David</t>
  </si>
  <si>
    <t>Jahangir, Sajid</t>
  </si>
  <si>
    <t>Jain, Girish</t>
  </si>
  <si>
    <t>Jain, Ujjwal</t>
  </si>
  <si>
    <t>Jalal, Sameen</t>
  </si>
  <si>
    <t>James, Aaron</t>
  </si>
  <si>
    <t>James, Teota</t>
  </si>
  <si>
    <t>James, Tom</t>
  </si>
  <si>
    <t>James, William Scott</t>
  </si>
  <si>
    <t>Jan, Elise</t>
  </si>
  <si>
    <t>Jang, Leonard</t>
  </si>
  <si>
    <t>Jang, Xiole</t>
  </si>
  <si>
    <t>Jao, Fang-Kai</t>
  </si>
  <si>
    <t>kylejao@gmail.com</t>
  </si>
  <si>
    <t>Jarrin, David</t>
  </si>
  <si>
    <t>Jaryaraman, Balaji</t>
  </si>
  <si>
    <t>Javdan, Ben</t>
  </si>
  <si>
    <t>Jenkins, Drew</t>
  </si>
  <si>
    <t>Jenson, Soon</t>
  </si>
  <si>
    <t>Jeong, Blake</t>
  </si>
  <si>
    <t>Jeong, Josh</t>
  </si>
  <si>
    <t>Jeong, Youngho</t>
  </si>
  <si>
    <t>Jephson, Brent</t>
  </si>
  <si>
    <t>Ji, Steven</t>
  </si>
  <si>
    <t>Jia, Judy</t>
  </si>
  <si>
    <t>Jiang, David</t>
  </si>
  <si>
    <t>Jiang, Shuai</t>
  </si>
  <si>
    <t>Ng, Dennis</t>
  </si>
  <si>
    <t>Ng, Gary</t>
  </si>
  <si>
    <t>Ng, Greg</t>
  </si>
  <si>
    <t>Ng, Jenn</t>
  </si>
  <si>
    <t>Ng, Jonathan</t>
  </si>
  <si>
    <t>Ng, Kim</t>
  </si>
  <si>
    <t>Ng, Laura</t>
  </si>
  <si>
    <t>Ng, Mervin</t>
  </si>
  <si>
    <t>Ng, Nicholas</t>
  </si>
  <si>
    <t>Ng, Pak Shun</t>
  </si>
  <si>
    <t>Ng, Patrick</t>
  </si>
  <si>
    <t>Ng, Sum</t>
  </si>
  <si>
    <t>Ng, Yu-Hsuan</t>
  </si>
  <si>
    <t>Ngai, Denise</t>
  </si>
  <si>
    <t>Nguapha, Jeremiah</t>
  </si>
  <si>
    <t>Nguyen, Andy</t>
  </si>
  <si>
    <t>Nguyen, Hai</t>
  </si>
  <si>
    <t>Nguyen, Henry</t>
  </si>
  <si>
    <t>Nguyen, Hoa</t>
  </si>
  <si>
    <t>Nguyen, Hong A</t>
  </si>
  <si>
    <t>Nguyen, James</t>
  </si>
  <si>
    <t>Nguyen, Jeff</t>
  </si>
  <si>
    <t>Nguyen, Khanh</t>
  </si>
  <si>
    <t>Nguyen, Long</t>
  </si>
  <si>
    <t>Nguyen, Maika</t>
  </si>
  <si>
    <t>Nguyen, Michael</t>
  </si>
  <si>
    <t>Nguyen, Mike</t>
  </si>
  <si>
    <t>Nguyen, Steve</t>
  </si>
  <si>
    <t>Nguyen, Tam</t>
  </si>
  <si>
    <t>Nguyen, Thomas</t>
  </si>
  <si>
    <t>Nguyen, Thuong Thuong</t>
  </si>
  <si>
    <t>Nheil, Dylan</t>
  </si>
  <si>
    <t>Ni, Helen</t>
  </si>
  <si>
    <t>Ni, Shanna</t>
  </si>
  <si>
    <t>Nickles, Walker</t>
  </si>
  <si>
    <t>Nie, Xin</t>
  </si>
  <si>
    <t>Nikaukary, Mark</t>
  </si>
  <si>
    <t>Nikopolitidis, Panos</t>
  </si>
  <si>
    <t>Ninut, Dan</t>
  </si>
  <si>
    <t>Niphadkar, Nifish</t>
  </si>
  <si>
    <t>Nishina, Shigeaki</t>
  </si>
  <si>
    <t>shgaki@gmail.com</t>
  </si>
  <si>
    <t>Nitsch, Mike</t>
  </si>
  <si>
    <t>Niu, Ying</t>
  </si>
  <si>
    <t>Niu, Yuan Yuan</t>
  </si>
  <si>
    <t>Nixon, Anthony</t>
  </si>
  <si>
    <t>Njer, Marius</t>
  </si>
  <si>
    <t>Noble, Christy</t>
  </si>
  <si>
    <t>Nobrega, Romulo</t>
  </si>
  <si>
    <t>Noh, Seung</t>
  </si>
  <si>
    <t>Noll, Jens</t>
  </si>
  <si>
    <t>Nord, Sean</t>
  </si>
  <si>
    <t>Norquist, Erik</t>
  </si>
  <si>
    <t>Nothnagle, Chris</t>
  </si>
  <si>
    <t>Nowicki, Michael</t>
  </si>
  <si>
    <t>Nutt, Chris</t>
  </si>
  <si>
    <t>Nwaerema, Ugochukwu</t>
  </si>
  <si>
    <t>Nygard, Mark</t>
  </si>
  <si>
    <t>Obiozor, Francis</t>
  </si>
  <si>
    <t>Ogden, Jesse</t>
  </si>
  <si>
    <t>Ogunkorode, Femi</t>
  </si>
  <si>
    <t>Oguntebi, James</t>
  </si>
  <si>
    <t>Ohaya, Kelechi</t>
  </si>
  <si>
    <t>Ojha, Ajitesh</t>
  </si>
  <si>
    <t>Oktawiec, Julia</t>
  </si>
  <si>
    <t>Olinsky, Ben</t>
  </si>
  <si>
    <t>Oliver, Nate</t>
  </si>
  <si>
    <t>Oliver, Ryan</t>
  </si>
  <si>
    <t>Olorunsola, Tobi</t>
  </si>
  <si>
    <t>Olsen, Michael</t>
  </si>
  <si>
    <t>Olson, Dane</t>
  </si>
  <si>
    <t>Olson, Tim</t>
  </si>
  <si>
    <t>Oltmanns, Marilena</t>
  </si>
  <si>
    <t>Olupo, Jeff</t>
  </si>
  <si>
    <t>Omar, Sara</t>
  </si>
  <si>
    <t>Omigbodun, Akin</t>
  </si>
  <si>
    <t>On, Grace</t>
  </si>
  <si>
    <t>Onderko, Drew</t>
  </si>
  <si>
    <t>Onta, Suraj</t>
  </si>
  <si>
    <t>Oo, Zaw Min</t>
  </si>
  <si>
    <t>Ordana, Ian</t>
  </si>
  <si>
    <t>Orlik, Tom</t>
  </si>
  <si>
    <t>Ormaza, Michael</t>
  </si>
  <si>
    <t>Ortiz, Jose</t>
  </si>
  <si>
    <t>Osadare, Olajide</t>
  </si>
  <si>
    <t>Oseredczuk, Chris</t>
  </si>
  <si>
    <t>Osmancevic, Sanjin</t>
  </si>
  <si>
    <t>sanjino@comcast.net</t>
  </si>
  <si>
    <t>Osorio, Felipe</t>
  </si>
  <si>
    <t>Osuagwu, Ikenna</t>
  </si>
  <si>
    <t>Osugi, Eddie</t>
  </si>
  <si>
    <t>Osumi, Kenichi</t>
  </si>
  <si>
    <t>Oswal, Pratik</t>
  </si>
  <si>
    <t>Otten, Claudia</t>
  </si>
  <si>
    <t>Ou, Nan</t>
  </si>
  <si>
    <t>Ouiala, Everth</t>
  </si>
  <si>
    <t>Overton, Andy</t>
  </si>
  <si>
    <t>Ovsepyan, Naira</t>
  </si>
  <si>
    <t>Owens, Eric</t>
  </si>
  <si>
    <t>Owens, Jud</t>
  </si>
  <si>
    <t>Pacholka, Brett</t>
  </si>
  <si>
    <t>Pachon, Alex</t>
  </si>
  <si>
    <t>Padilla, Ryan</t>
  </si>
  <si>
    <t>Pagan, Jose</t>
  </si>
  <si>
    <t>Page, Stephen</t>
  </si>
  <si>
    <t>Paige, Zack</t>
  </si>
  <si>
    <t>Pajapali, Ramesh</t>
  </si>
  <si>
    <t>Pak, Jonathan</t>
  </si>
  <si>
    <t>Pan, Bin</t>
  </si>
  <si>
    <t>Pan, Jie</t>
  </si>
  <si>
    <t>Pan, Jimmy</t>
  </si>
  <si>
    <t>Pan, Ling</t>
  </si>
  <si>
    <t>Pan, Shuo</t>
  </si>
  <si>
    <t>Pana, Colin</t>
  </si>
  <si>
    <t>Panchal, Dev</t>
  </si>
  <si>
    <t>Pandyo, Dhaval</t>
  </si>
  <si>
    <t>Pang, Dylan</t>
  </si>
  <si>
    <t>Panjwani, Ali</t>
  </si>
  <si>
    <t>Papadopoulos, Constantinos</t>
  </si>
  <si>
    <t>Papageorge, Nico</t>
  </si>
  <si>
    <t>Papamichail, Dimitris</t>
  </si>
  <si>
    <t>Parikh, Simit</t>
  </si>
  <si>
    <t>Paris-Salb, Ian</t>
  </si>
  <si>
    <t>Pariyani, Imran</t>
  </si>
  <si>
    <t>Park, Dae</t>
  </si>
  <si>
    <t>Park, Dan</t>
  </si>
  <si>
    <t>Park, Ilhyeon</t>
  </si>
  <si>
    <t>Park, Insu</t>
  </si>
  <si>
    <t>Park, Jinwan</t>
  </si>
  <si>
    <t>Park, Jonathan</t>
  </si>
  <si>
    <t>Park, Kahyun</t>
  </si>
  <si>
    <t>Parker, Ross</t>
  </si>
  <si>
    <t>Parnichyakorn, Noon</t>
  </si>
  <si>
    <t>Parsons, Darren</t>
  </si>
  <si>
    <t>Partain, Juan</t>
  </si>
  <si>
    <t>Parthasarathy, Ramya</t>
  </si>
  <si>
    <t>Partyka, Tim</t>
  </si>
  <si>
    <t>Pascual, Lem</t>
  </si>
  <si>
    <t>Passen, Brett</t>
  </si>
  <si>
    <t>Passiatore, Matt</t>
  </si>
  <si>
    <t>Patalano, Chris</t>
  </si>
  <si>
    <t>Patel, Neal</t>
  </si>
  <si>
    <t>Patel, Nilu</t>
  </si>
  <si>
    <t>Patel, Purnesh</t>
  </si>
  <si>
    <t>Patel, Raxesh</t>
  </si>
  <si>
    <t>Patel, Robin</t>
  </si>
  <si>
    <t>Patel, Shriya</t>
  </si>
  <si>
    <t>Yang, Bruce</t>
  </si>
  <si>
    <t>Yang, Chen</t>
  </si>
  <si>
    <t>Yang, Chi-Han</t>
  </si>
  <si>
    <t>Yang, Daniel</t>
  </si>
  <si>
    <t>Yang, Eddie</t>
  </si>
  <si>
    <t>Yang, Howard</t>
  </si>
  <si>
    <t>Yang, Jed</t>
  </si>
  <si>
    <t>Yang, Jeff</t>
  </si>
  <si>
    <t>Yang, Jianjun</t>
  </si>
  <si>
    <t>Yang, John</t>
  </si>
  <si>
    <t>Yang, Michael</t>
  </si>
  <si>
    <t>Yang, Michelle</t>
  </si>
  <si>
    <t>Yang, Na</t>
  </si>
  <si>
    <t>Yang, Nicole</t>
  </si>
  <si>
    <t>Yang, Shizhi</t>
  </si>
  <si>
    <t>Yang, Shuo</t>
  </si>
  <si>
    <t>Yang, Wilson</t>
  </si>
  <si>
    <t>Yang, Xiao Fan</t>
  </si>
  <si>
    <t>Yang, Xin</t>
  </si>
  <si>
    <t>Yang, Yubin</t>
  </si>
  <si>
    <t>Yao, Emery</t>
  </si>
  <si>
    <t>Yao, Norman</t>
  </si>
  <si>
    <t>Yao, Pengfei</t>
  </si>
  <si>
    <t>Yao, Tianyi Michael</t>
  </si>
  <si>
    <t>Yao, Yin Yi</t>
  </si>
  <si>
    <t>Yao, Yuan</t>
  </si>
  <si>
    <t>Yaowu, Yuan</t>
  </si>
  <si>
    <t>Yasenov, Yasen</t>
  </si>
  <si>
    <t>Yau, Rob</t>
  </si>
  <si>
    <t>Yax, Tom</t>
  </si>
  <si>
    <t>Ye, Alan</t>
  </si>
  <si>
    <t>Ye, Bin</t>
  </si>
  <si>
    <t>Ye, Bo</t>
  </si>
  <si>
    <t>Ye, Johnny</t>
  </si>
  <si>
    <t>Ye, Lingxiang</t>
  </si>
  <si>
    <t>Ye, Song</t>
  </si>
  <si>
    <t>Ye, Tian</t>
  </si>
  <si>
    <t>Ye, Yuan</t>
  </si>
  <si>
    <t>Ye, Yumin</t>
  </si>
  <si>
    <t>Yeager, Steve</t>
  </si>
  <si>
    <t>Yeah, John</t>
  </si>
  <si>
    <t>Yee, Brandon</t>
  </si>
  <si>
    <t>Yee, Victor</t>
  </si>
  <si>
    <t>Yee, Wain</t>
  </si>
  <si>
    <t>Yeh, Andy</t>
  </si>
  <si>
    <t>Yeh, Melody</t>
  </si>
  <si>
    <t>Yen, Raymond</t>
  </si>
  <si>
    <t>Yeow, Wai Kit</t>
  </si>
  <si>
    <t>Yepes, Oscar</t>
  </si>
  <si>
    <t>Yerubandi, Vijay</t>
  </si>
  <si>
    <t>Yeshua, Oren</t>
  </si>
  <si>
    <t>Yeung, Ben</t>
  </si>
  <si>
    <t>Yeuny, Priscilla</t>
  </si>
  <si>
    <t>Yi, Chung</t>
  </si>
  <si>
    <t>Yi, Dennis</t>
  </si>
  <si>
    <t>Yi, Frankie</t>
  </si>
  <si>
    <t>Yi, Xiaoke</t>
  </si>
  <si>
    <t>Yi, Yunho</t>
  </si>
  <si>
    <t>Yick, Jessica</t>
  </si>
  <si>
    <t>Yim, Anson</t>
  </si>
  <si>
    <t>Yim, Stephanie</t>
  </si>
  <si>
    <t>Ying, Chen Wei</t>
  </si>
  <si>
    <t>Qi, Liang</t>
  </si>
  <si>
    <t>Qi, Yue</t>
  </si>
  <si>
    <t>Qian, Richard</t>
  </si>
  <si>
    <t>Qiang, Yi</t>
  </si>
  <si>
    <t>Qin, Henry</t>
  </si>
  <si>
    <t>Qin, Liqiao</t>
  </si>
  <si>
    <t>Qing, Gong</t>
  </si>
  <si>
    <t>QingQing, Li</t>
  </si>
  <si>
    <t>Qiu, Stuart</t>
  </si>
  <si>
    <t>Qiu, Tian</t>
  </si>
  <si>
    <t>Qu, Peng</t>
  </si>
  <si>
    <t>Qu, Xiaoge</t>
  </si>
  <si>
    <t>Quach, Alan</t>
  </si>
  <si>
    <t>Quayle, Emily</t>
  </si>
  <si>
    <t>Queen, Matt</t>
  </si>
  <si>
    <t>whoa6@hotmail.com</t>
  </si>
  <si>
    <t>Quesada, Chris</t>
  </si>
  <si>
    <t>Quinn, Sean</t>
  </si>
  <si>
    <t>Quinto, Michelle</t>
  </si>
  <si>
    <t>Quon, Kevin</t>
  </si>
  <si>
    <t>Qureshi, Ali</t>
  </si>
  <si>
    <t>Raab, Matt</t>
  </si>
  <si>
    <t>Rabin, David</t>
  </si>
  <si>
    <t>Rachmadi, Dhadhie</t>
  </si>
  <si>
    <t>Radu, Aleksander</t>
  </si>
  <si>
    <t>Radu, Iuliana</t>
  </si>
  <si>
    <t>Ragothaman, Vijay</t>
  </si>
  <si>
    <t>Rahman, Samir</t>
  </si>
  <si>
    <t>Rahmel, Adam</t>
  </si>
  <si>
    <t>Rahmes, Arthur</t>
  </si>
  <si>
    <t>Raiche, Alon</t>
  </si>
  <si>
    <t>Raja, Vikram</t>
  </si>
  <si>
    <t>Ramachandran, Ranganathan</t>
  </si>
  <si>
    <t>Ramachandran, Rukmani</t>
  </si>
  <si>
    <t>Ramakrishna, Vandana</t>
  </si>
  <si>
    <t>Ramanathan, Tara</t>
  </si>
  <si>
    <t>Rameseder, Stefan</t>
  </si>
  <si>
    <t>Ramirez, Fernando</t>
  </si>
  <si>
    <t>Ramirez, Jorge</t>
  </si>
  <si>
    <t>Ramnath, Srivatsan</t>
  </si>
  <si>
    <t>Ramstrand, Marcus</t>
  </si>
  <si>
    <t>Ramsubramanian, Nikhil</t>
  </si>
  <si>
    <t>Ranadive, Amogh</t>
  </si>
  <si>
    <t>Rangan, Ram</t>
  </si>
  <si>
    <t>Ranz, Austin</t>
  </si>
  <si>
    <t>Ranz-Schleifer, Naomi</t>
  </si>
  <si>
    <t>Rao, Ashwin</t>
  </si>
  <si>
    <t>Raod, Rami</t>
  </si>
  <si>
    <t>Rardin, Eric</t>
  </si>
  <si>
    <t>Rashkovich, Sam</t>
  </si>
  <si>
    <t>Rastegargovr, Hamed</t>
  </si>
  <si>
    <t>Rattan, Manav</t>
  </si>
  <si>
    <t>Rault, Molly</t>
  </si>
  <si>
    <t>Rawlinson, Taylor</t>
  </si>
  <si>
    <t>Ray, Supratim</t>
  </si>
  <si>
    <t>Raza, Sardar</t>
  </si>
  <si>
    <t>Razdan, Rahul</t>
  </si>
  <si>
    <t>Razo, Mario</t>
  </si>
  <si>
    <t>Read, Doug</t>
  </si>
  <si>
    <t>Redfurn, Baruch</t>
  </si>
  <si>
    <t>Reeb, Robert</t>
  </si>
  <si>
    <t>Reed, Jasna</t>
  </si>
  <si>
    <t>Reilly, David</t>
  </si>
  <si>
    <t>Reilly, Nathan</t>
  </si>
  <si>
    <t>Reiman, Devra</t>
  </si>
  <si>
    <t>Reinecke, James</t>
  </si>
  <si>
    <t>Ren, Jeremy</t>
  </si>
  <si>
    <t>Ren, Wei</t>
  </si>
  <si>
    <t>Ren, Yin</t>
  </si>
  <si>
    <t>Requintina, Matt</t>
  </si>
  <si>
    <t>Rereanez, Marco</t>
  </si>
  <si>
    <t>Revyakin, Mikhail</t>
  </si>
  <si>
    <t>Rhodes, Erik</t>
  </si>
  <si>
    <t>Richards, Matt</t>
  </si>
  <si>
    <t>Richardson, Lonnie</t>
  </si>
  <si>
    <t>Richardson, Tim</t>
  </si>
  <si>
    <t>Richter, Bryan</t>
  </si>
  <si>
    <t>Ricker, Kent</t>
  </si>
  <si>
    <t>Riether, Kyle</t>
  </si>
  <si>
    <t>Riley, Patrick</t>
  </si>
  <si>
    <t>Rimal, Sabal</t>
  </si>
  <si>
    <t>Ringer, Laura</t>
  </si>
  <si>
    <t>Ritscher, Stephan</t>
  </si>
  <si>
    <t>Rivera, Bryan</t>
  </si>
  <si>
    <t>Rivera, Lorna</t>
  </si>
  <si>
    <t>Riveros, Raul</t>
  </si>
  <si>
    <t>Rivkin, Ilya</t>
  </si>
  <si>
    <t>Roberts, Courtney</t>
  </si>
  <si>
    <t>Roberts, Jeff</t>
  </si>
  <si>
    <t>To enter a player's name, you simply click on the green box and then click on the downarrow.</t>
  </si>
  <si>
    <t>Select any name that appears alphabetically.</t>
  </si>
  <si>
    <t>For doubles, the player in the 1st singles position will automatically appear as one of the doubles players.</t>
  </si>
  <si>
    <t>Simply click on the green box and then click on the downarrow.  Select any player but the 1st</t>
  </si>
  <si>
    <t>singles player.</t>
  </si>
  <si>
    <t>Enter the circled players from the school captain onto the TEAM_MATCHES sheet in the highlighted green cells using the dropdown list.  Enter the doubles player name into the green cell for doubles near the bottom of the match sheet.</t>
  </si>
  <si>
    <t>the CALCULATE button any time you want to execute the formulas in the spreadsheet.</t>
  </si>
  <si>
    <t>Q12</t>
  </si>
  <si>
    <t>A12</t>
  </si>
  <si>
    <t>How can I speed up the spreadsheet when I enter the scores?</t>
  </si>
  <si>
    <t>Excel 2007 may run this spreadsheet slower than Excel 2003 when you enter scores.  To avoid any delay, simple change the Calculation mode to "manual" instead of "automatic".  Then press F9 or click on the CALCULATE button when you want the spreadsheet to update its formulas.</t>
  </si>
  <si>
    <t>Q13</t>
  </si>
  <si>
    <t>A13</t>
  </si>
  <si>
    <t>How do I print the DRAW sheet in just black and white?</t>
  </si>
  <si>
    <t>Go to Print Preview.  Click on Page Setup.  Check the box for Black/White ink. Click OK. Click PRINT. Click OK.</t>
  </si>
  <si>
    <t>Q14</t>
  </si>
  <si>
    <t>A14</t>
  </si>
  <si>
    <t>How do I print just the large team matches sheet and not the individual match slips for players 2-4?</t>
  </si>
  <si>
    <t>The DRAW sheet now shows the team result between Team A and Team L.</t>
  </si>
  <si>
    <t>The spreadsheet will do score and match validation to look for any data errors.  It will highlight in red</t>
  </si>
  <si>
    <t>anything that does not look appropriate.</t>
  </si>
  <si>
    <t>The first score is highlighted because an individual game must reach at least 11 points.</t>
  </si>
  <si>
    <t>The second score is highlighted because you have to win by at least 2 points.</t>
  </si>
  <si>
    <t>The third score is highlighted because you must win by exactly 2 points if one score is above 11.</t>
  </si>
  <si>
    <t>The fourth score is highlighted because only whole numbers are valid.</t>
  </si>
  <si>
    <t>The fifth score is highlighted because negative numbers are invalid.</t>
  </si>
  <si>
    <t>Click on FORMULAS.  Under Calculation options, click the radio button for Manual.  Then click OK.</t>
  </si>
  <si>
    <t>Entering Scores</t>
  </si>
  <si>
    <t>Seang, Sereyvitou</t>
  </si>
  <si>
    <t>Sebestyen, Kristian</t>
  </si>
  <si>
    <t>Sedler, Alex</t>
  </si>
  <si>
    <t>Sedlock, Matt</t>
  </si>
  <si>
    <t>See, Yieping</t>
  </si>
  <si>
    <t>Segawa, Hide</t>
  </si>
  <si>
    <t>Segrest, James</t>
  </si>
  <si>
    <t>Seibel, Allison</t>
  </si>
  <si>
    <t>Seid, Sean</t>
  </si>
  <si>
    <t>Sekganedi, Kagiso</t>
  </si>
  <si>
    <t>Selimdenir, Muhamet</t>
  </si>
  <si>
    <t>Sellars, Austin</t>
  </si>
  <si>
    <t>Seltzer, Lesley</t>
  </si>
  <si>
    <t>Sene, Ivan</t>
  </si>
  <si>
    <t>Serra, David</t>
  </si>
  <si>
    <t>Setanamanit, Noon</t>
  </si>
  <si>
    <t>Seth, Chintan</t>
  </si>
  <si>
    <t>Setton, Tedi</t>
  </si>
  <si>
    <t>Shabazz, Stacia</t>
  </si>
  <si>
    <t>Shah, Dhaval</t>
  </si>
  <si>
    <t>Shah, Mitesh</t>
  </si>
  <si>
    <t>Shah, Nilay</t>
  </si>
  <si>
    <t>Shah, Vivek</t>
  </si>
  <si>
    <t>Shahheidari, Reza</t>
  </si>
  <si>
    <t>Shahriar, Hasan</t>
  </si>
  <si>
    <t>Shahzad, Nazam</t>
  </si>
  <si>
    <t>Shaikh, Faisal</t>
  </si>
  <si>
    <t>Shakya, Shakti</t>
  </si>
  <si>
    <t>Shalakhova, Yelena</t>
  </si>
  <si>
    <t>Shaman, Matt</t>
  </si>
  <si>
    <t>Shamseldin, Sam</t>
  </si>
  <si>
    <t>Shan, Xiaoqiu</t>
  </si>
  <si>
    <t>Shan, Ying</t>
  </si>
  <si>
    <t>Shandilya, Ashutosh</t>
  </si>
  <si>
    <t>Shankar, Subu</t>
  </si>
  <si>
    <t>Shannon, Drake</t>
  </si>
  <si>
    <t>Shao, Binbin</t>
  </si>
  <si>
    <t>Shao, Xiaoyun</t>
  </si>
  <si>
    <t>Shao, Yishi</t>
  </si>
  <si>
    <t>Sharf, Roman</t>
  </si>
  <si>
    <t>Sharma, Bishal</t>
  </si>
  <si>
    <t>Shayanfar, Ali</t>
  </si>
  <si>
    <t>Sheerin, Brad</t>
  </si>
  <si>
    <t>Shehi, Elvis</t>
  </si>
  <si>
    <t>Shekar, Sukesh</t>
  </si>
  <si>
    <t>Shen, Duan</t>
  </si>
  <si>
    <t>Shen, Fangyang</t>
  </si>
  <si>
    <t>Shen, Jun</t>
  </si>
  <si>
    <t>Shen, Kai</t>
  </si>
  <si>
    <t>Shen, Patrick</t>
  </si>
  <si>
    <t>Shen, Sam</t>
  </si>
  <si>
    <t>Shen, Xinwei</t>
  </si>
  <si>
    <t>Shen, Yichen</t>
  </si>
  <si>
    <t>Shen, Ying</t>
  </si>
  <si>
    <t>Sheppard, Ethan</t>
  </si>
  <si>
    <t>Sherman, Ian</t>
  </si>
  <si>
    <t>Sherpa, Dawa</t>
  </si>
  <si>
    <t>Sherpa, Tashi</t>
  </si>
  <si>
    <t>Sheung, Janet</t>
  </si>
  <si>
    <t>Shevade, Manasi</t>
  </si>
  <si>
    <t>Sheynfeld, Oleg</t>
  </si>
  <si>
    <t>Shi, Guining</t>
  </si>
  <si>
    <t>Shi, Jimmy</t>
  </si>
  <si>
    <t>Shi, Lewis</t>
  </si>
  <si>
    <t>Shiao, Sue</t>
  </si>
  <si>
    <t>Shieh, Bernard</t>
  </si>
  <si>
    <t>Shih, Chi-Jen</t>
  </si>
  <si>
    <t>Shih, Stephanie</t>
  </si>
  <si>
    <t>Shin, Julian</t>
  </si>
  <si>
    <t>Shin, Wook</t>
  </si>
  <si>
    <t>Shing, Gloria</t>
  </si>
  <si>
    <t>Shiota, Atsushi</t>
  </si>
  <si>
    <t>Shiwek, Daniel</t>
  </si>
  <si>
    <t>Short, Andre</t>
  </si>
  <si>
    <t>Shou, Arnold</t>
  </si>
  <si>
    <t>Shresta, Subodh</t>
  </si>
  <si>
    <t>Shrestha, Ashik</t>
  </si>
  <si>
    <t>Shringer, Rashmi</t>
  </si>
  <si>
    <t>Shteyler, Vadim</t>
  </si>
  <si>
    <t>Shub, Ed</t>
  </si>
  <si>
    <t>Shudu, Deji</t>
  </si>
  <si>
    <t>Shulman, Ian</t>
  </si>
  <si>
    <t>Shur, Alon</t>
  </si>
  <si>
    <t>Sicay, Denver</t>
  </si>
  <si>
    <t>Siegler, Steven</t>
  </si>
  <si>
    <t>Sifre, Marc</t>
  </si>
  <si>
    <t>Sigafuos, Dan</t>
  </si>
  <si>
    <t>Silverman, Brad</t>
  </si>
  <si>
    <t>Sim, Kwang Ngia</t>
  </si>
  <si>
    <t>Simcox, Bryan</t>
  </si>
  <si>
    <t>Simmons, Mark</t>
  </si>
  <si>
    <t>Simpson, Rafael</t>
  </si>
  <si>
    <t>Sing, Chan Yuen</t>
  </si>
  <si>
    <t>Singer, Greg</t>
  </si>
  <si>
    <t>Singh, Alok</t>
  </si>
  <si>
    <t>Singh, Bikramjeet</t>
  </si>
  <si>
    <t>Singh, Gurinder</t>
  </si>
  <si>
    <t>Singh, Jasnoor</t>
  </si>
  <si>
    <t>Singh, Kanway Vikas</t>
  </si>
  <si>
    <t>Singh, Karun</t>
  </si>
  <si>
    <t>Singh, Rohit</t>
  </si>
  <si>
    <t>Singhal, Achal</t>
  </si>
  <si>
    <t>Singhal, Aman</t>
  </si>
  <si>
    <t>Singh-Alvarado, Alexander</t>
  </si>
  <si>
    <t>Siperstein, Jason</t>
  </si>
  <si>
    <t>Sit, Henry</t>
  </si>
  <si>
    <t>Sit, Wing</t>
  </si>
  <si>
    <t>Siu, Kelvin</t>
  </si>
  <si>
    <t>Siu, Michael</t>
  </si>
  <si>
    <t>Siv, Catherine</t>
  </si>
  <si>
    <t>Sjogren, Simon</t>
  </si>
  <si>
    <t>Skopas, Rand</t>
  </si>
  <si>
    <t>Skoufis, James</t>
  </si>
  <si>
    <t>Slaff, Steven</t>
  </si>
  <si>
    <t>Slattery, Michal</t>
  </si>
  <si>
    <t>Slimani, Zakaria</t>
  </si>
  <si>
    <t>Sloan, Daniel</t>
  </si>
  <si>
    <t>dsloan@lclark.edu</t>
  </si>
  <si>
    <t>Slocombe, Andrew</t>
  </si>
  <si>
    <t>Small, Nicholas</t>
  </si>
  <si>
    <t>Smerella, Andriy</t>
  </si>
  <si>
    <t>Smetana, Kurt</t>
  </si>
  <si>
    <t>Smith, Avi</t>
  </si>
  <si>
    <t>Smith, Brandon</t>
  </si>
  <si>
    <t>Smith, Jeff</t>
  </si>
  <si>
    <t>Smith, John</t>
  </si>
  <si>
    <t>Smueny, Jason</t>
  </si>
  <si>
    <t>Snyder, Mike</t>
  </si>
  <si>
    <t>Snyder, Sean</t>
  </si>
  <si>
    <t>Snyder, Seth</t>
  </si>
  <si>
    <t>Sobolewski, Pawel</t>
  </si>
  <si>
    <t>Soh, Xuan Yong</t>
  </si>
  <si>
    <t>Soluiman, Mohamed</t>
  </si>
  <si>
    <t>Song, Datong</t>
  </si>
  <si>
    <t>Song, Kai</t>
  </si>
  <si>
    <t>Song, Wenjun</t>
  </si>
  <si>
    <t>Song, Xuan</t>
  </si>
  <si>
    <t>Sonnenfeld, Yoel</t>
  </si>
  <si>
    <t>Sonwalkar, Mukul</t>
  </si>
  <si>
    <t>Soo, Yi Jun</t>
  </si>
  <si>
    <t>South, Elvis</t>
  </si>
  <si>
    <t>Soutzoglou, Nick</t>
  </si>
  <si>
    <t>Soysa, Shalindra</t>
  </si>
  <si>
    <t>Sparandara, Michael</t>
  </si>
  <si>
    <t>Spaven, Cortney</t>
  </si>
  <si>
    <t>Spenadel, Rachel</t>
  </si>
  <si>
    <t>Spencer, Michael</t>
  </si>
  <si>
    <t>Spencer, Zach</t>
  </si>
  <si>
    <t>Spenser, Skuttle</t>
  </si>
  <si>
    <t>Sperlazzo, Frank</t>
  </si>
  <si>
    <t>Sporn, Scott</t>
  </si>
  <si>
    <t>Springer, John</t>
  </si>
  <si>
    <t>Sprouse, Jason</t>
  </si>
  <si>
    <t>Srelbers, Dan</t>
  </si>
  <si>
    <t>Sriboonlue, Varin</t>
  </si>
  <si>
    <t>Sridhar, Sheryas</t>
  </si>
  <si>
    <t>Srinivasan, Akil</t>
  </si>
  <si>
    <t>Srinivasan, Arvind</t>
  </si>
  <si>
    <t>Srinivasan, Srikanth</t>
  </si>
  <si>
    <t>Srirangam, Ravi</t>
  </si>
  <si>
    <t>Srivastava, Abhishek</t>
  </si>
  <si>
    <t>Srivastava, Varad</t>
  </si>
  <si>
    <t>Stafford, Kenneth</t>
  </si>
  <si>
    <t>Stallard, Michael</t>
  </si>
  <si>
    <t>Stambaugh, Neil</t>
  </si>
  <si>
    <t>Stanley, Laura</t>
  </si>
  <si>
    <t>Staples, Matthew</t>
  </si>
  <si>
    <t>Steinheiser, Adam</t>
  </si>
  <si>
    <t>Steinhoff, Andrew</t>
  </si>
  <si>
    <t>Stelzer, Kevin</t>
  </si>
  <si>
    <t>Stenchikova, Svetlana</t>
  </si>
  <si>
    <t>Stetelman, Stephen</t>
  </si>
  <si>
    <t>Stevens, Jonathan</t>
  </si>
  <si>
    <t>Stevens, Mike</t>
  </si>
  <si>
    <t>Stewart, Zane</t>
  </si>
  <si>
    <t>Stidham, Doug</t>
  </si>
  <si>
    <t>Stier, Chris</t>
  </si>
  <si>
    <t>Stingl, Uli</t>
  </si>
  <si>
    <t>Stockemer, Daniel</t>
  </si>
  <si>
    <t>Stojanovic, Milorad</t>
  </si>
  <si>
    <t>Stone, Sam</t>
  </si>
  <si>
    <t>Storace, Douglas</t>
  </si>
  <si>
    <t>Storey, Mark</t>
  </si>
  <si>
    <t>Storms, Dan</t>
  </si>
  <si>
    <t>Stoughton, Eli</t>
  </si>
  <si>
    <t>Stout, Vinnie</t>
  </si>
  <si>
    <t>Straka, Peter</t>
  </si>
  <si>
    <t>Stritzinger, Nate</t>
  </si>
  <si>
    <t>Stroo, Casey</t>
  </si>
  <si>
    <t>Struck, Tom</t>
  </si>
  <si>
    <t>Strunk, Joshua</t>
  </si>
  <si>
    <t>Stuart, Chris</t>
  </si>
  <si>
    <t>Sturtz, Jonathan</t>
  </si>
  <si>
    <t>Stux, Arnie</t>
  </si>
  <si>
    <t>Styles, Kareema</t>
  </si>
  <si>
    <t>Su, Bo</t>
  </si>
  <si>
    <t>Su, David</t>
  </si>
  <si>
    <t>Su, Ernest</t>
  </si>
  <si>
    <t>Su, Wenbo</t>
  </si>
  <si>
    <t>Subbiah, Siva</t>
  </si>
  <si>
    <t>Subramaniam, Senthil</t>
  </si>
  <si>
    <t>Subramanian, Ganesh</t>
  </si>
  <si>
    <t>Sudianto, Jimmy</t>
  </si>
  <si>
    <t>Suen, Ka</t>
  </si>
  <si>
    <t>Sugiarto, Mark</t>
  </si>
  <si>
    <t>Sui, Jinhao</t>
  </si>
  <si>
    <t>Sukhumavasi, Woraporn</t>
  </si>
  <si>
    <t>Sukumar, Eric</t>
  </si>
  <si>
    <t>Sullivan, Patrick</t>
  </si>
  <si>
    <t>Sumananonet, Chat</t>
  </si>
  <si>
    <t>Sumitani, Andrew</t>
  </si>
  <si>
    <t>Sun, Bin</t>
  </si>
  <si>
    <t>Sun, Chris</t>
  </si>
  <si>
    <t>Sun, Connie</t>
  </si>
  <si>
    <t>Sun, Daniel</t>
  </si>
  <si>
    <t>Sun, David</t>
  </si>
  <si>
    <t>Sun, Guenzhe</t>
  </si>
  <si>
    <t>Sun, Jason</t>
  </si>
  <si>
    <t>Sun, Jike</t>
  </si>
  <si>
    <t>Sun, Lihan</t>
  </si>
  <si>
    <t>Sun, Lu</t>
  </si>
  <si>
    <t>Sun, Ming</t>
  </si>
  <si>
    <t>Sun, Shengzhi</t>
  </si>
  <si>
    <t>Sun, Sunny</t>
  </si>
  <si>
    <t>Sun, Tadaaki</t>
  </si>
  <si>
    <t>Sundaram, Ananth</t>
  </si>
  <si>
    <t>Sundararaman, Swaminathan</t>
  </si>
  <si>
    <t>Sunder, John Erik</t>
  </si>
  <si>
    <t>Sunderavaman, Swami</t>
  </si>
  <si>
    <t>Sura, Amol</t>
  </si>
  <si>
    <t>Sureka, Aditya</t>
  </si>
  <si>
    <t>Sutanto, Felix</t>
  </si>
  <si>
    <t>Sutrisno, Andre</t>
  </si>
  <si>
    <t>Swampillai, Jensen</t>
  </si>
  <si>
    <t>Swanson, Denny</t>
  </si>
  <si>
    <t>Swierstok, Bart</t>
  </si>
  <si>
    <t>Swislow, Benjamin</t>
  </si>
  <si>
    <t>Switzer, David</t>
  </si>
  <si>
    <t>Sy, Adrian</t>
  </si>
  <si>
    <t>Sydney, Matthius</t>
  </si>
  <si>
    <t>Sylvetsky, Rebecca</t>
  </si>
  <si>
    <t>Sze, Jeff</t>
  </si>
  <si>
    <t>Szeto, Gene</t>
  </si>
  <si>
    <t>Szpringiel, Krzystof</t>
  </si>
  <si>
    <t>T, Ashish</t>
  </si>
  <si>
    <t>Tabaler, Mondi</t>
  </si>
  <si>
    <t>Tacy, Kyle</t>
  </si>
  <si>
    <t>Tadaki, Ikaika</t>
  </si>
  <si>
    <t>Tahaye, Anthony</t>
  </si>
  <si>
    <t>Tai, Cedric</t>
  </si>
  <si>
    <t>Tai, Ya Chun</t>
  </si>
  <si>
    <t>Taite, Alex</t>
  </si>
  <si>
    <t>Takach, Joe</t>
  </si>
  <si>
    <t>Hi, Ming</t>
  </si>
  <si>
    <t>Hibler, Brian</t>
  </si>
  <si>
    <t>Hickerson, Orin</t>
  </si>
  <si>
    <t>Hickman, Cory</t>
  </si>
  <si>
    <t>Hielta, Victor</t>
  </si>
  <si>
    <t>Hii, Samuel</t>
  </si>
  <si>
    <t>Hijaz, Samer</t>
  </si>
  <si>
    <t>Hill, Chris</t>
  </si>
  <si>
    <t>Hiller, Joseph</t>
  </si>
  <si>
    <t>Hirata, Jonathan</t>
  </si>
  <si>
    <t>Hiriyannaiah, Santosh</t>
  </si>
  <si>
    <t>Hirsch, Adam</t>
  </si>
  <si>
    <t>Hirt, Travis</t>
  </si>
  <si>
    <t>Ho, Alex</t>
  </si>
  <si>
    <t>Ho, Chan</t>
  </si>
  <si>
    <t>Ho, Chia-Wen</t>
  </si>
  <si>
    <t>Ho, Courtney</t>
  </si>
  <si>
    <t>Ho, Jackie</t>
  </si>
  <si>
    <t>Ho, Judy</t>
  </si>
  <si>
    <t>Ho, Julian</t>
  </si>
  <si>
    <t>Ho, Kaman</t>
  </si>
  <si>
    <t>Ho, Louisa</t>
  </si>
  <si>
    <t>Ho, Manto</t>
  </si>
  <si>
    <t>Ho, The Vinh</t>
  </si>
  <si>
    <t>Hober, Jeff</t>
  </si>
  <si>
    <t>Hock, Gail</t>
  </si>
  <si>
    <t>Hoefer, Will</t>
  </si>
  <si>
    <t>Hoffine, Dalton</t>
  </si>
  <si>
    <t>Hoffman, Ben</t>
  </si>
  <si>
    <t>Hoffman, Greg</t>
  </si>
  <si>
    <t>Holden, Matt</t>
  </si>
  <si>
    <t>Holifield, Timothy</t>
  </si>
  <si>
    <t>Hollenbeck, Brian</t>
  </si>
  <si>
    <t>Hollingsworth, Joshua</t>
  </si>
  <si>
    <t>Holloway, Katie</t>
  </si>
  <si>
    <t>Holm, Andrew</t>
  </si>
  <si>
    <t>Holson, Thomas</t>
  </si>
  <si>
    <t>Holy, Dave</t>
  </si>
  <si>
    <t>Holy, Honza</t>
  </si>
  <si>
    <t>Holzerkamp, Markus</t>
  </si>
  <si>
    <t>Holzhanswer, Till</t>
  </si>
  <si>
    <t>Homer, Zack</t>
  </si>
  <si>
    <t>Homolka, Evan</t>
  </si>
  <si>
    <t>Hona, Subin</t>
  </si>
  <si>
    <t>Hong, Anh</t>
  </si>
  <si>
    <t>Hong, David</t>
  </si>
  <si>
    <t>Hong, Inki</t>
  </si>
  <si>
    <t>Hong, Ryan</t>
  </si>
  <si>
    <t>Hooks, Kyle</t>
  </si>
  <si>
    <t>Hope, Maggie</t>
  </si>
  <si>
    <t>Horn, Tom</t>
  </si>
  <si>
    <t>Hou, Helen</t>
  </si>
  <si>
    <t>Hou, Jian</t>
  </si>
  <si>
    <t>Hou, Taylor</t>
  </si>
  <si>
    <t>Hou, Ying Ying</t>
  </si>
  <si>
    <t>House, Taylor</t>
  </si>
  <si>
    <t>Houser, Jordan</t>
  </si>
  <si>
    <t>Hovis, Ryan</t>
  </si>
  <si>
    <t>Howard, Zachary</t>
  </si>
  <si>
    <t>Howes, Sam</t>
  </si>
  <si>
    <t>Hristova, Olimpija</t>
  </si>
  <si>
    <t>Hsiang, Jeff</t>
  </si>
  <si>
    <t>Hsieh, Jennifer</t>
  </si>
  <si>
    <t>Hsieh, Meng Feng</t>
  </si>
  <si>
    <t>Hsin, Jeff</t>
  </si>
  <si>
    <t>Hsu, Andy</t>
  </si>
  <si>
    <t>Hsu, Casey</t>
  </si>
  <si>
    <t>Hsu, Chih Chen</t>
  </si>
  <si>
    <t>Hsu, Chih-Hao</t>
  </si>
  <si>
    <t>Hsu, Clark</t>
  </si>
  <si>
    <t>Hsu, David</t>
  </si>
  <si>
    <t>Hsu, Joanie</t>
  </si>
  <si>
    <t>Hsu, Kiley</t>
  </si>
  <si>
    <t>Hsu, Michael</t>
  </si>
  <si>
    <t>Hsu, Nate</t>
  </si>
  <si>
    <t>Hsu, Ryan</t>
  </si>
  <si>
    <t>Hsu, Tom</t>
  </si>
  <si>
    <t>Htet, Kyaw</t>
  </si>
  <si>
    <t>Htun, Khine</t>
  </si>
  <si>
    <t>Htun, Khy</t>
  </si>
  <si>
    <t>Hu, Bill</t>
  </si>
  <si>
    <t>Hu, Di</t>
  </si>
  <si>
    <t>Hu, Eric</t>
  </si>
  <si>
    <t>Hu, Jasmine</t>
  </si>
  <si>
    <t>Hu, Jing</t>
  </si>
  <si>
    <t>Hu, Jingting</t>
  </si>
  <si>
    <t>Hu, Jingzhe</t>
  </si>
  <si>
    <t>Hu, Lanhua</t>
  </si>
  <si>
    <t>Hu, Lingzhi</t>
  </si>
  <si>
    <t>Hu, Michelle</t>
  </si>
  <si>
    <t>Hu, Patrick</t>
  </si>
  <si>
    <t>Hu, Ruili</t>
  </si>
  <si>
    <t>Hu, TJ</t>
  </si>
  <si>
    <t>Tan, Ricky</t>
  </si>
  <si>
    <t>Tan, Shaomin</t>
  </si>
  <si>
    <t>Tan, Wenkai</t>
  </si>
  <si>
    <t>Tan, Yanqiang</t>
  </si>
  <si>
    <t>Tang, Brian</t>
  </si>
  <si>
    <t>Tang, Danny</t>
  </si>
  <si>
    <t>Tang, Darren</t>
  </si>
  <si>
    <t>Tang, Dennis</t>
  </si>
  <si>
    <t>Tang, Ken</t>
  </si>
  <si>
    <t>Tang, Morgan</t>
  </si>
  <si>
    <t>Tang, Simon</t>
  </si>
  <si>
    <t>Tang, Vincent</t>
  </si>
  <si>
    <t>Tanmantiong, Earl</t>
  </si>
  <si>
    <t>Tantillo, Brooke</t>
  </si>
  <si>
    <t>Tao, Chong</t>
  </si>
  <si>
    <t>Tao, Fang</t>
  </si>
  <si>
    <t>Tao, Tao</t>
  </si>
  <si>
    <t>Tao, Wucheng</t>
  </si>
  <si>
    <t>Tarasula, Jurij</t>
  </si>
  <si>
    <t>Tarr, Andrew</t>
  </si>
  <si>
    <t>Tatge, Andrew</t>
  </si>
  <si>
    <t>Tavares, Marcus</t>
  </si>
  <si>
    <t>Tay-Lee, Guido</t>
  </si>
  <si>
    <t>Taylor, Brian</t>
  </si>
  <si>
    <t>Taylor, Mike</t>
  </si>
  <si>
    <t>Taylor, Shane</t>
  </si>
  <si>
    <t>Taylor, Steven</t>
  </si>
  <si>
    <t>Tchernis, Rusty</t>
  </si>
  <si>
    <t>Tchizmarov, Atanas</t>
  </si>
  <si>
    <t>Teal, Ben</t>
  </si>
  <si>
    <t>Telford, Taylor</t>
  </si>
  <si>
    <t>Tello, Giancarlo</t>
  </si>
  <si>
    <t>Telsey, Daniel</t>
  </si>
  <si>
    <t>Templeton, Jason</t>
  </si>
  <si>
    <t>Teng, Charley</t>
  </si>
  <si>
    <t>Teng, Howard</t>
  </si>
  <si>
    <t>Teng, Peng</t>
  </si>
  <si>
    <t>Teng, Wei</t>
  </si>
  <si>
    <t>Tentler, Igor</t>
  </si>
  <si>
    <t>Teo, Eng Wah</t>
  </si>
  <si>
    <t>Terao, Michael</t>
  </si>
  <si>
    <t>Terenbein, Alexander</t>
  </si>
  <si>
    <t>Terrelonge, David</t>
  </si>
  <si>
    <t>Thadani, Prakash</t>
  </si>
  <si>
    <t>Thai, Brian</t>
  </si>
  <si>
    <t>Thai, Long</t>
  </si>
  <si>
    <t>Thakur, Abhelaksh</t>
  </si>
  <si>
    <t>Than, Khoi</t>
  </si>
  <si>
    <t>Thandapani, Palaniraja</t>
  </si>
  <si>
    <t>Thanki, Pratik</t>
  </si>
  <si>
    <t>Thao, Keng</t>
  </si>
  <si>
    <t>Thesleff, Sebastian</t>
  </si>
  <si>
    <t>Thibado, Jason</t>
  </si>
  <si>
    <t>Thomas, Bill</t>
  </si>
  <si>
    <t>Thomas, Justin</t>
  </si>
  <si>
    <t>Thomas, Patrick</t>
  </si>
  <si>
    <t>Thomlinson, Sam</t>
  </si>
  <si>
    <t>Thompson, John</t>
  </si>
  <si>
    <t>Thompson, Matt</t>
  </si>
  <si>
    <t>Thomsson, Kaj</t>
  </si>
  <si>
    <t>Thong, Eric</t>
  </si>
  <si>
    <t>Thorn, Kristen</t>
  </si>
  <si>
    <t>Thyagarajan, Vivek</t>
  </si>
  <si>
    <t>Tian, Dihong</t>
  </si>
  <si>
    <t>Tian, Jun</t>
  </si>
  <si>
    <t>Tian, Michael</t>
  </si>
  <si>
    <t>Tian, Xie</t>
  </si>
  <si>
    <t>Tian, Yuan</t>
  </si>
  <si>
    <t>Tian, Yuzhen</t>
  </si>
  <si>
    <t>Ticu, Mirabela</t>
  </si>
  <si>
    <t>Tien, Kenny</t>
  </si>
  <si>
    <t>Tin, Cheryl</t>
  </si>
  <si>
    <t>Ting, See Hyiik</t>
  </si>
  <si>
    <t>Tirosh, Boaz</t>
  </si>
  <si>
    <t>Tish, Nick</t>
  </si>
  <si>
    <t>Titov, Anton</t>
  </si>
  <si>
    <t>Titze, Virginia</t>
  </si>
  <si>
    <t>Tiwari, Peeyush</t>
  </si>
  <si>
    <t>To, Khoi</t>
  </si>
  <si>
    <t>Todd, Alexander</t>
  </si>
  <si>
    <t>Toehre, Ulysses</t>
  </si>
  <si>
    <t>Tom, Benjamin</t>
  </si>
  <si>
    <t>Tomura, Kenta</t>
  </si>
  <si>
    <t>Tong, Fan</t>
  </si>
  <si>
    <t>Tong, Xin</t>
  </si>
  <si>
    <t>Tope, Sam</t>
  </si>
  <si>
    <t>Topping, James</t>
  </si>
  <si>
    <t>Torrez, Eric</t>
  </si>
  <si>
    <t>Toth, Bence</t>
  </si>
  <si>
    <t>Totrov, Sasha</t>
  </si>
  <si>
    <t>Townsend, Erik</t>
  </si>
  <si>
    <t>Townsend, Joseph</t>
  </si>
  <si>
    <t>Tran, An</t>
  </si>
  <si>
    <t>Tran, Dan</t>
  </si>
  <si>
    <t>Tran, Jin</t>
  </si>
  <si>
    <t>Tran, Kha</t>
  </si>
  <si>
    <t>Tran, Scott</t>
  </si>
  <si>
    <t>Tran, Toan</t>
  </si>
  <si>
    <t>Tran, Val</t>
  </si>
  <si>
    <t>Treloar, Luke</t>
  </si>
  <si>
    <t>Tricoff, Jessica</t>
  </si>
  <si>
    <t>Trinh, Brian</t>
  </si>
  <si>
    <t>Trinh, Emily</t>
  </si>
  <si>
    <t>Trinh-Tran, Tien</t>
  </si>
  <si>
    <t>Trong, Yung</t>
  </si>
  <si>
    <t>Trudgeon, Thomas</t>
  </si>
  <si>
    <t>Truelson, Anders</t>
  </si>
  <si>
    <t>Truong, Carson</t>
  </si>
  <si>
    <t>Truong, Thomas</t>
  </si>
  <si>
    <t>Truong, Vic</t>
  </si>
  <si>
    <t>Truong, Vincent</t>
  </si>
  <si>
    <t>Tsai, Sammy</t>
  </si>
  <si>
    <t>Tsai, Shih</t>
  </si>
  <si>
    <t>Blank, Kevin</t>
  </si>
  <si>
    <t>Blankenship, Dan</t>
  </si>
  <si>
    <t>Blankenship, Noelle</t>
  </si>
  <si>
    <t>Blasberg, Shai</t>
  </si>
  <si>
    <t>Blimline, Mike</t>
  </si>
  <si>
    <t>Blue, David</t>
  </si>
  <si>
    <t>Blukis, Jake</t>
  </si>
  <si>
    <t>Bo, Lex</t>
  </si>
  <si>
    <t>Boardman, Davin</t>
  </si>
  <si>
    <t>Boateng, Jonas</t>
  </si>
  <si>
    <t>Bobek, Clinton</t>
  </si>
  <si>
    <t>Bobkov, Timotey</t>
  </si>
  <si>
    <t>Bodien, Matt</t>
  </si>
  <si>
    <t>Boen, Bryan</t>
  </si>
  <si>
    <t>Bokeria, Levan</t>
  </si>
  <si>
    <t>Bolaji, James</t>
  </si>
  <si>
    <t>Bondhugula, Vinay</t>
  </si>
  <si>
    <t>Borad, Ben</t>
  </si>
  <si>
    <t>Bosika, Mimi</t>
  </si>
  <si>
    <t>Boundouki, Rami</t>
  </si>
  <si>
    <t>Bounds, Matt</t>
  </si>
  <si>
    <t>Bounnakham, Adam</t>
  </si>
  <si>
    <t>Boutot, Matthew</t>
  </si>
  <si>
    <t>Boyd, Derek</t>
  </si>
  <si>
    <t>Boyd, Dylan</t>
  </si>
  <si>
    <t>Boyes, Karl</t>
  </si>
  <si>
    <t>Bozov, Radoslav</t>
  </si>
  <si>
    <t>Brady, Tyler</t>
  </si>
  <si>
    <t>Brana, Marc</t>
  </si>
  <si>
    <t>Brand, Jonathan</t>
  </si>
  <si>
    <t>Breaux, Chris</t>
  </si>
  <si>
    <t>Breck, Brian</t>
  </si>
  <si>
    <t>Breeder, Josh</t>
  </si>
  <si>
    <t>Breindel, Eric</t>
  </si>
  <si>
    <t>Breines, Dave</t>
  </si>
  <si>
    <t>Brenn, Matt</t>
  </si>
  <si>
    <t>Brew, Joe</t>
  </si>
  <si>
    <t>Brewster, Damien</t>
  </si>
  <si>
    <t>Brian, William</t>
  </si>
  <si>
    <t>Britto, Andre</t>
  </si>
  <si>
    <t>Brockmeyer, James</t>
  </si>
  <si>
    <t>Brookins, Phil</t>
  </si>
  <si>
    <t>Brossman, Matt</t>
  </si>
  <si>
    <t>Brower, Matt</t>
  </si>
  <si>
    <t>Brown, Adam</t>
  </si>
  <si>
    <t>Brown, Christian</t>
  </si>
  <si>
    <t>Brown, Joseph</t>
  </si>
  <si>
    <t>Brown, Kyle</t>
  </si>
  <si>
    <t>Brown, Matt</t>
  </si>
  <si>
    <t>Brown, Michael</t>
  </si>
  <si>
    <t>Brown, Stephen</t>
  </si>
  <si>
    <t>Browne, Cameron</t>
  </si>
  <si>
    <t>Brownstein, Josh</t>
  </si>
  <si>
    <t>Brulet, Ben</t>
  </si>
  <si>
    <t>Bruns, Jon</t>
  </si>
  <si>
    <t>Bryant, Adeel</t>
  </si>
  <si>
    <t>Bryant, Josh</t>
  </si>
  <si>
    <t>Bu, Maoxuan</t>
  </si>
  <si>
    <t>Buchanan, Crystal</t>
  </si>
  <si>
    <t>Buckner, Johnathan</t>
  </si>
  <si>
    <t>Budwick, Justin</t>
  </si>
  <si>
    <t>Bulovic, Jurica</t>
  </si>
  <si>
    <t>Bump, Merle</t>
  </si>
  <si>
    <t>Bunker, Michael</t>
  </si>
  <si>
    <t>Buragadda, Naveen</t>
  </si>
  <si>
    <t>Burris, Dusty</t>
  </si>
  <si>
    <t>Bush, Chris</t>
  </si>
  <si>
    <t>Bustabud, Kevin</t>
  </si>
  <si>
    <t>Bustos, Juan</t>
  </si>
  <si>
    <t>Butani, Aneesh</t>
  </si>
  <si>
    <t>Butts, Fabian</t>
  </si>
  <si>
    <t>Butts, Vanessa</t>
  </si>
  <si>
    <t>Buuch, Jeff</t>
  </si>
  <si>
    <t>Buus, Fie</t>
  </si>
  <si>
    <t>Caballero, Andre</t>
  </si>
  <si>
    <t>Cabrera, David</t>
  </si>
  <si>
    <t>Cai, Jin</t>
  </si>
  <si>
    <t>Cai, Le</t>
  </si>
  <si>
    <t>Cai, Xi</t>
  </si>
  <si>
    <t>Cai, Ying</t>
  </si>
  <si>
    <t>Cai, Zhen</t>
  </si>
  <si>
    <t>Cai, Zujian</t>
  </si>
  <si>
    <t>Call, Roger</t>
  </si>
  <si>
    <t>Callo, Albert</t>
  </si>
  <si>
    <t>Calvin, Kelvin</t>
  </si>
  <si>
    <t>Camp, Jon</t>
  </si>
  <si>
    <t>Campbell, Anna</t>
  </si>
  <si>
    <t>Campbell, David</t>
  </si>
  <si>
    <t>Campbell, Hugh</t>
  </si>
  <si>
    <t>Campbell, James</t>
  </si>
  <si>
    <t>Campbell, John</t>
  </si>
  <si>
    <t>Can, Luc</t>
  </si>
  <si>
    <t>Cantarelli, Fred</t>
  </si>
  <si>
    <t>Canton, Eddie</t>
  </si>
  <si>
    <t>Cao, Anyuan</t>
  </si>
  <si>
    <t>Cao, Chau Quang</t>
  </si>
  <si>
    <t>Cao, Emily</t>
  </si>
  <si>
    <t>Cao, Lina</t>
  </si>
  <si>
    <t>Cao, Mengchen</t>
  </si>
  <si>
    <t>Cao, Yuejian</t>
  </si>
  <si>
    <t>Caplin, Andi</t>
  </si>
  <si>
    <t>Caplin, Courtney</t>
  </si>
  <si>
    <t>Cappa, Ben</t>
  </si>
  <si>
    <t>Carey, Christopher</t>
  </si>
  <si>
    <t>Carillo, Darren</t>
  </si>
  <si>
    <t>Carlson, Adam</t>
  </si>
  <si>
    <t>Carothers, Chris</t>
  </si>
  <si>
    <t>Carpenter, Chris</t>
  </si>
  <si>
    <t>Carter, Ashley</t>
  </si>
  <si>
    <t>Carter, Brian</t>
  </si>
  <si>
    <t>Carter, Nico</t>
  </si>
  <si>
    <t>Cartwright, Tony</t>
  </si>
  <si>
    <t>Caruso, Matt</t>
  </si>
  <si>
    <t>Caruso, Thomas</t>
  </si>
  <si>
    <t>Casillas, Will</t>
  </si>
  <si>
    <t>Cassam-Chenai, Gamil</t>
  </si>
  <si>
    <t>Castillejo, Stephen</t>
  </si>
  <si>
    <t>Castillo, Alann</t>
  </si>
  <si>
    <t>Castor, David</t>
  </si>
  <si>
    <t>Cavallaro, Billie</t>
  </si>
  <si>
    <t>Ceriales, Fritz</t>
  </si>
  <si>
    <t>Cha, Joey</t>
  </si>
  <si>
    <t>Chaet, Jon</t>
  </si>
  <si>
    <t>Chaille, Andrew</t>
  </si>
  <si>
    <t>Chaiya, Tatsanee</t>
  </si>
  <si>
    <t>Chakilam, Krishana</t>
  </si>
  <si>
    <t>Chakraborty, Souray</t>
  </si>
  <si>
    <t>Chalupa, Andrew</t>
  </si>
  <si>
    <t>Chambers, Joe</t>
  </si>
  <si>
    <t>Chan, Alfred</t>
  </si>
  <si>
    <t>Chan, Brian</t>
  </si>
  <si>
    <t>Chan, Chun</t>
  </si>
  <si>
    <t>Chan, Clement</t>
  </si>
  <si>
    <t>Chan, Derek</t>
  </si>
  <si>
    <t>Chan, Elaine</t>
  </si>
  <si>
    <t>Chan, Henry</t>
  </si>
  <si>
    <t>Chan, Hinyan</t>
  </si>
  <si>
    <t>Chan, Jefferson</t>
  </si>
  <si>
    <t>Chan, Lung</t>
  </si>
  <si>
    <t>Chan, Patrick</t>
  </si>
  <si>
    <t>Chan, Steven</t>
  </si>
  <si>
    <t>Chan, Yee Shern</t>
  </si>
  <si>
    <t>Chandolia, Harsh</t>
  </si>
  <si>
    <t>Chandra, Gaurav</t>
  </si>
  <si>
    <t>Chandramowlishwar, Aparna</t>
  </si>
  <si>
    <t>Chang, Ashley</t>
  </si>
  <si>
    <t>Chang, Calvin</t>
  </si>
  <si>
    <t>Chang, Chihway</t>
  </si>
  <si>
    <t>Chang, Cory</t>
  </si>
  <si>
    <t>Chang, David</t>
  </si>
  <si>
    <t>Chang, Frank</t>
  </si>
  <si>
    <t>Chang, Hsifeng</t>
  </si>
  <si>
    <t>Chang, Jenny</t>
  </si>
  <si>
    <t>Chang, Jihwoan</t>
  </si>
  <si>
    <t>Chang, Joshua</t>
  </si>
  <si>
    <t>Chang, Kai-Chieh</t>
  </si>
  <si>
    <t>Chang, Lynn</t>
  </si>
  <si>
    <t>Chang, Miles</t>
  </si>
  <si>
    <t>Chang, Mu-Tien</t>
  </si>
  <si>
    <t>Chang, Po Yao</t>
  </si>
  <si>
    <t>Chang, Simon</t>
  </si>
  <si>
    <t>Chang, Wendy</t>
  </si>
  <si>
    <t>Chang, Yung-Hsi</t>
  </si>
  <si>
    <t>Chantat, Eksombatchai</t>
  </si>
  <si>
    <t>Chao, Isaac</t>
  </si>
  <si>
    <t>Chao, Raylien</t>
  </si>
  <si>
    <t>Chao, Wassim</t>
  </si>
  <si>
    <t>Chapman, Joel</t>
  </si>
  <si>
    <t>Chapman, Tim</t>
  </si>
  <si>
    <t>Charlie, Don</t>
  </si>
  <si>
    <t>Chatenay, Julie</t>
  </si>
  <si>
    <t>Chattannassamee, Pan</t>
  </si>
  <si>
    <t>Chatwai, Priya</t>
  </si>
  <si>
    <t>Chavez, Martin</t>
  </si>
  <si>
    <t>Chawla, Rishabh</t>
  </si>
  <si>
    <t>Chea, Lyroth</t>
  </si>
  <si>
    <t>Cheese, Zack</t>
  </si>
  <si>
    <t>Chen, Alan</t>
  </si>
  <si>
    <t>Chen, Albert</t>
  </si>
  <si>
    <t>Chen, Changjin</t>
  </si>
  <si>
    <t>Chen, Che-Fung</t>
  </si>
  <si>
    <t>Chen, Chen</t>
  </si>
  <si>
    <t>Chen, Christopher</t>
  </si>
  <si>
    <t>Chen, Chu</t>
  </si>
  <si>
    <t>Chen, Chun-Han</t>
  </si>
  <si>
    <t>Chen, Dao Peng</t>
  </si>
  <si>
    <t>Chen, Er Qun</t>
  </si>
  <si>
    <t>Chen, Eric</t>
  </si>
  <si>
    <t>Chen, Ethan</t>
  </si>
  <si>
    <t>Chen, Eva</t>
  </si>
  <si>
    <t>Chen, Fan</t>
  </si>
  <si>
    <t>Chen, Frank</t>
  </si>
  <si>
    <t>Chen, Grace</t>
  </si>
  <si>
    <t>Chen, Huafeng (Jason)</t>
  </si>
  <si>
    <t>Chen, Huiling</t>
  </si>
  <si>
    <t>Chen, Jenny</t>
  </si>
  <si>
    <t>Chen, Jeremiah</t>
  </si>
  <si>
    <t>Chen, Jill</t>
  </si>
  <si>
    <t>Chen, John</t>
  </si>
  <si>
    <t>Chen, Junqiang</t>
  </si>
  <si>
    <t>Chen, Justin</t>
  </si>
  <si>
    <t>Chen, Kenle</t>
  </si>
  <si>
    <t>Chen, Le</t>
  </si>
  <si>
    <t>Chen, Mark</t>
  </si>
  <si>
    <t>Chen, Mary</t>
  </si>
  <si>
    <t>Chen, Nancy</t>
  </si>
  <si>
    <t>Chen, Peter</t>
  </si>
  <si>
    <t>Chen, Qiming</t>
  </si>
  <si>
    <t>Chen, Rongjie</t>
  </si>
  <si>
    <t>Chen, Shuai</t>
  </si>
  <si>
    <t>Chen, Siwei (Leslie)</t>
  </si>
  <si>
    <t>Chen, Stephen</t>
  </si>
  <si>
    <t>Chen, Terrence</t>
  </si>
  <si>
    <t>Chen, Tina</t>
  </si>
  <si>
    <t>Chen, Weihao</t>
  </si>
  <si>
    <t>Chen, Wei-Huan</t>
  </si>
  <si>
    <t>Chen, Woah</t>
  </si>
  <si>
    <t>Chen, Xiaomo</t>
  </si>
  <si>
    <t>Chen, Xiaoyan</t>
  </si>
  <si>
    <t>Chen, Yi</t>
  </si>
  <si>
    <t>Chen, Yiwen</t>
  </si>
  <si>
    <t>Chen, Yong Xiang</t>
  </si>
  <si>
    <t>Chen, Yuan</t>
  </si>
  <si>
    <t>Chen, Yun</t>
  </si>
  <si>
    <t>Chen, Zhe</t>
  </si>
  <si>
    <t>Cheng, Alan</t>
  </si>
  <si>
    <t>Cheng, Landi</t>
  </si>
  <si>
    <t>Cheng, Petrina</t>
  </si>
  <si>
    <t>Cheng, Poley</t>
  </si>
  <si>
    <t>Cheng, Shan</t>
  </si>
  <si>
    <t>Cheng, Siukwo</t>
  </si>
  <si>
    <t>Cheng, Victor</t>
  </si>
  <si>
    <t>Cheng, Wei</t>
  </si>
  <si>
    <t>Cherry, Jason</t>
  </si>
  <si>
    <t>Cherterener, Inna</t>
  </si>
  <si>
    <t>Cheung, Aaron</t>
  </si>
  <si>
    <t>Cheung, Alice</t>
  </si>
  <si>
    <t>Cheung, Cheramie</t>
  </si>
  <si>
    <t>Cheung, Chris</t>
  </si>
  <si>
    <t>Cheung, Kwok</t>
  </si>
  <si>
    <t>Cheung, Michael</t>
  </si>
  <si>
    <t>Cheung, Peter</t>
  </si>
  <si>
    <t>Chez, Brandon</t>
  </si>
  <si>
    <t>Chi, Zheng</t>
  </si>
  <si>
    <t>Chia, Elbert</t>
  </si>
  <si>
    <t>Chiang, David</t>
  </si>
  <si>
    <t>chiang, han ting</t>
  </si>
  <si>
    <t>Chien, Chang</t>
  </si>
  <si>
    <t>Chien, Taiyee</t>
  </si>
  <si>
    <t>Childress, Karen</t>
  </si>
  <si>
    <t>Childs, Jared</t>
  </si>
  <si>
    <t>Chin, Eric</t>
  </si>
  <si>
    <t>Chin, Jason</t>
  </si>
  <si>
    <t>Chindeleritch, Leonid</t>
  </si>
  <si>
    <t>Ching, Casey</t>
  </si>
  <si>
    <t>Ching, James</t>
  </si>
  <si>
    <t>Chiou, Kenny</t>
  </si>
  <si>
    <t>Chiu, Carlos</t>
  </si>
  <si>
    <t>Chiu, Christine</t>
  </si>
  <si>
    <t>Chiu, Fred</t>
  </si>
  <si>
    <t>Chiu, Leo</t>
  </si>
  <si>
    <t>Chiu, Rico</t>
  </si>
  <si>
    <t>Cho, Elizabeth</t>
  </si>
  <si>
    <t>Choi, Nak Cheon</t>
  </si>
  <si>
    <t>Choi, Raymond</t>
  </si>
  <si>
    <t>Chokkalingam, Arun</t>
  </si>
  <si>
    <t>Choksi, Yash</t>
  </si>
  <si>
    <t>Chong, William</t>
  </si>
  <si>
    <t>Chor, Brian</t>
  </si>
  <si>
    <t>Chotzen, Uri</t>
  </si>
  <si>
    <t>Chou, Franklin</t>
  </si>
  <si>
    <t>Chou, Jeff</t>
  </si>
  <si>
    <t>Chou, Kenny</t>
  </si>
  <si>
    <t>Enter your Division Name on the DRAW sheet in Cell B1.</t>
  </si>
  <si>
    <t>Enter your Hosting Location with City and State on the DRAW sheet in Cell D1.</t>
  </si>
  <si>
    <t>Enter the date of your tournament on the DRAW sheet in Cell P1.</t>
  </si>
  <si>
    <t>Enter a number from 1 to 11 on the DRAW sheet in Cell T1 for the number of round robin groups.</t>
  </si>
  <si>
    <t>If any players' ID comes up as #N/A, then look through the RATINGLIST sheet to see if it is spelled differently.  Correct any misspellings to make it match what is in the RATINGLIST sheet.</t>
  </si>
  <si>
    <t>If the player cannot be found in the RATINGLIST sheet, then we assume they are a new college player and are given a unique negative number.  Simply type a negative number into Column A.</t>
  </si>
  <si>
    <t>Print out all the pages on the MATCH_ROSTERS sheet for the matches that need to be played.</t>
  </si>
  <si>
    <t>What do I do if I mistakenly entered a negative number for a player's ID, but now I see the player is in the RATINGLIST sheet by another spelling?</t>
  </si>
  <si>
    <t>If I manually break a tie on the DRAW sheet in Column R by typing in the placement for a particular team and then realize that I shouldn't have done that, how do I get the formula back that will automatically rank the win/loss records of the teams?</t>
  </si>
  <si>
    <t>Click on the TEAM_MATCHES sheet.  Find Team D vs Team F.  Note the page numbers displayed on the sheet.  Click on the Print icon.  When the Print dialogue box appears, type in the page number into the FROM box (eg., 27) and then type the other number (eg., 28) into the TO box.  Then click the OK button.  This will print the match slip for the entire contest and the three individual match slips for singles 2-4.</t>
  </si>
  <si>
    <t>that they are going to use for that particular school competition.  In the picture above, the captain</t>
  </si>
  <si>
    <t>Dai, Johnny</t>
  </si>
  <si>
    <t>Dai, Shulun</t>
  </si>
  <si>
    <t>Dal, Amitesh</t>
  </si>
  <si>
    <t>Dalcin, Guilherme</t>
  </si>
  <si>
    <t>Dale, Josh</t>
  </si>
  <si>
    <t>Dallas, Matt</t>
  </si>
  <si>
    <t>Dami, William</t>
  </si>
  <si>
    <t>Damm, Martin</t>
  </si>
  <si>
    <t>Dan, Hua</t>
  </si>
  <si>
    <t>Dana, Liz</t>
  </si>
  <si>
    <t>Danahy, Ethan</t>
  </si>
  <si>
    <t>Danzer, Joe</t>
  </si>
  <si>
    <t>Dara, Yasin</t>
  </si>
  <si>
    <t>Dart, John</t>
  </si>
  <si>
    <t>Dasgupta, Anamika</t>
  </si>
  <si>
    <t>Date, Justin</t>
  </si>
  <si>
    <t>Davaille, Jean-Philippe</t>
  </si>
  <si>
    <t>Dave, Rohit</t>
  </si>
  <si>
    <t>David, Joseph</t>
  </si>
  <si>
    <t>Davidson, Rod</t>
  </si>
  <si>
    <t>Davis, Aven</t>
  </si>
  <si>
    <t>Davis, Mitchell</t>
  </si>
  <si>
    <t>Davlatov, Ismat</t>
  </si>
  <si>
    <t>Dechavez, Jeremy</t>
  </si>
  <si>
    <t>Deep, Kumar</t>
  </si>
  <si>
    <t>DeGurian, Drew</t>
  </si>
  <si>
    <t>Del Cornal, Julio</t>
  </si>
  <si>
    <t>Del Rio, Oscar</t>
  </si>
  <si>
    <t>Delaunoy, Amael</t>
  </si>
  <si>
    <t>Delgado, David</t>
  </si>
  <si>
    <t>Delgado, Matt</t>
  </si>
  <si>
    <t>Della Noce, Rodrigo</t>
  </si>
  <si>
    <t>Delmonte, Alan</t>
  </si>
  <si>
    <t>Delzo, Marisol</t>
  </si>
  <si>
    <t>Demaranville, John</t>
  </si>
  <si>
    <t>Den, Raymond</t>
  </si>
  <si>
    <t>Deng, Li</t>
  </si>
  <si>
    <t>Denning, William</t>
  </si>
  <si>
    <t>Dennis, Mark</t>
  </si>
  <si>
    <t>Deole, Utpal</t>
  </si>
  <si>
    <t>Dequach, Jennifer</t>
  </si>
  <si>
    <t>Dersek, John</t>
  </si>
  <si>
    <t>Desai, Pathik</t>
  </si>
  <si>
    <t>Desai, Pranav</t>
  </si>
  <si>
    <t>DesArmo, Joel</t>
  </si>
  <si>
    <t>Desir, Jeff</t>
  </si>
  <si>
    <t>Devack, Matt</t>
  </si>
  <si>
    <t>Devalapalli, Aditya</t>
  </si>
  <si>
    <t>Dewan, Ramita</t>
  </si>
  <si>
    <t>Dewan, Rohit</t>
  </si>
  <si>
    <t>Dewerling, Jonathon</t>
  </si>
  <si>
    <t>Deyko, Andrey</t>
  </si>
  <si>
    <t>DeZubay, James Tyler</t>
  </si>
  <si>
    <t>Dhanani, Adil</t>
  </si>
  <si>
    <t>Dhar, Manjima</t>
  </si>
  <si>
    <t>Di Costanzo, Mark</t>
  </si>
  <si>
    <t>Diaz, George</t>
  </si>
  <si>
    <t>Dickey, Ed</t>
  </si>
  <si>
    <t>Diefendorfer, John</t>
  </si>
  <si>
    <t>Diepenbrock, Jeremy</t>
  </si>
  <si>
    <t>Difatta, Jason</t>
  </si>
  <si>
    <t>Ding, Elan</t>
  </si>
  <si>
    <t>Ding, Haipeng</t>
  </si>
  <si>
    <t>Ding, Jack</t>
  </si>
  <si>
    <t>Ding, Linda</t>
  </si>
  <si>
    <t>Ding, Mengjie</t>
  </si>
  <si>
    <t>Ding, Shang Jie</t>
  </si>
  <si>
    <t>Ding, Xu</t>
  </si>
  <si>
    <t>Dinh, Thi</t>
  </si>
  <si>
    <t>Dischinger, Matt</t>
  </si>
  <si>
    <t>Ditch, Anthony</t>
  </si>
  <si>
    <t>Dixon, Jay</t>
  </si>
  <si>
    <t>Do, Dang</t>
  </si>
  <si>
    <t>Dogra, Rajdeep</t>
  </si>
  <si>
    <t>Donaldson, Thomas</t>
  </si>
  <si>
    <t>Dong, Mi</t>
  </si>
  <si>
    <t>Dong, Peter</t>
  </si>
  <si>
    <t>Dong, Vera</t>
  </si>
  <si>
    <t>Dong, Xiao</t>
  </si>
  <si>
    <t>Donner, Steve</t>
  </si>
  <si>
    <t>Donohue, Evan</t>
  </si>
  <si>
    <t>Dookram, Yuvraaj</t>
  </si>
  <si>
    <t>Doyon, Greg</t>
  </si>
  <si>
    <t>Dragos, Bennett</t>
  </si>
  <si>
    <t>Drazan, Jan</t>
  </si>
  <si>
    <t>Drewtlaw, Eric</t>
  </si>
  <si>
    <t>Drffel, James</t>
  </si>
  <si>
    <t>Driskill, Ryan</t>
  </si>
  <si>
    <t>Drouillet, Jean Hugo</t>
  </si>
  <si>
    <t>Drsek, Rob</t>
  </si>
  <si>
    <t>Du, Changsi</t>
  </si>
  <si>
    <t>Du, Wei</t>
  </si>
  <si>
    <t>Du, Yicheng</t>
  </si>
  <si>
    <t>Duan, Jiwu</t>
  </si>
  <si>
    <t>Duan, Tianzhou</t>
  </si>
  <si>
    <t>Duggal, Jyoti</t>
  </si>
  <si>
    <t>Dumas, Fred</t>
  </si>
  <si>
    <t>Dunay, Aimee</t>
  </si>
  <si>
    <t>Duncan, Caleb</t>
  </si>
  <si>
    <t>Dunkel, Bryan</t>
  </si>
  <si>
    <t>Dunlap, Caleb</t>
  </si>
  <si>
    <t>Duong, De</t>
  </si>
  <si>
    <t>Duong, Minh</t>
  </si>
  <si>
    <t>Duong, William</t>
  </si>
  <si>
    <t>Durant, Jonathan</t>
  </si>
  <si>
    <t>Dutton, Kevin</t>
  </si>
  <si>
    <t>Dwight, Daquanne</t>
  </si>
  <si>
    <t>Dye, Keith</t>
  </si>
  <si>
    <t>Dyszel, Anthony</t>
  </si>
  <si>
    <t>Early, Chris</t>
  </si>
  <si>
    <t>Early, Julie</t>
  </si>
  <si>
    <t>Easley, Matt</t>
  </si>
  <si>
    <t>Eason, Scott</t>
  </si>
  <si>
    <t>Eav, Wendy</t>
  </si>
  <si>
    <t>Ebbers, Patrick</t>
  </si>
  <si>
    <t>Eddy, Drew</t>
  </si>
  <si>
    <t>Eder, Joshua</t>
  </si>
  <si>
    <t>Edu, Folusho</t>
  </si>
  <si>
    <t>Edwardson, Jeremy</t>
  </si>
  <si>
    <t>Egay, Sergey</t>
  </si>
  <si>
    <t>Ek, Andreas</t>
  </si>
  <si>
    <t>Elfarra, Khaled</t>
  </si>
  <si>
    <t>Elias, Linnette</t>
  </si>
  <si>
    <t>Elkharat, Mohammed</t>
  </si>
  <si>
    <t>Ellis, Daniel</t>
  </si>
  <si>
    <t>Elochukwu, Obimdike</t>
  </si>
  <si>
    <t>Elprin, Jeremy</t>
  </si>
  <si>
    <t>Elsas, Ralf</t>
  </si>
  <si>
    <t>Elwood, Jed</t>
  </si>
  <si>
    <t>Emani, Amir</t>
  </si>
  <si>
    <t>Emery, Bryan</t>
  </si>
  <si>
    <t>Eng, Brian</t>
  </si>
  <si>
    <t>Eng, Parker</t>
  </si>
  <si>
    <t>Eppakayala, Vijay Kumar</t>
  </si>
  <si>
    <t>Eppink, Jenna</t>
  </si>
  <si>
    <t>Epstein, Judah</t>
  </si>
  <si>
    <t>Era, Keita</t>
  </si>
  <si>
    <t>Enter Hosting Location (City, ST)</t>
  </si>
  <si>
    <t>1=12 team RR</t>
  </si>
  <si>
    <t>For the Red box #1, enter the Division name…such as "Lower Midwest Division" without the quotes.</t>
  </si>
  <si>
    <t xml:space="preserve">For the Red box #2, list each school team that will be competing…such as "Lindenwood A", </t>
  </si>
  <si>
    <t>"Murray State A", etc. without the quotes.</t>
  </si>
  <si>
    <t>For the Red box #3, enter the name of the hosting location with the city and state…such as "Lindenwood</t>
  </si>
  <si>
    <t>University (St. Charles, MO)" without the quotes.</t>
  </si>
  <si>
    <t>For the Red box #4, enter the date of the competition…such as "2/6/2011" without the quotes.</t>
  </si>
  <si>
    <t>The Red box #5 is used to control the "R" column which lists the Place of each competing team.</t>
  </si>
  <si>
    <t>If cell T1 has a "1", then all the teams will be ranked against each other from 1st to 12th (A to L) with the</t>
  </si>
  <si>
    <t>best team ranked #1 and the worst team ranked 12th if the entire round robin is full with 12 teams.</t>
  </si>
  <si>
    <t>If cell T1 has a "2", then the full round robin will be divided in half (A-F) and (G-L).</t>
  </si>
  <si>
    <r>
      <t>There will be</t>
    </r>
    <r>
      <rPr>
        <sz val="10"/>
        <color indexed="10"/>
        <rFont val="Arial"/>
        <family val="2"/>
      </rPr>
      <t xml:space="preserve"> two</t>
    </r>
    <r>
      <rPr>
        <sz val="10"/>
        <rFont val="Arial"/>
        <family val="2"/>
      </rPr>
      <t xml:space="preserve"> teams ranked #1 one for each 6-team round robin.</t>
    </r>
  </si>
  <si>
    <r>
      <t>There will be</t>
    </r>
    <r>
      <rPr>
        <sz val="10"/>
        <color indexed="10"/>
        <rFont val="Arial"/>
        <family val="2"/>
      </rPr>
      <t xml:space="preserve"> three</t>
    </r>
    <r>
      <rPr>
        <sz val="10"/>
        <rFont val="Arial"/>
        <family val="2"/>
      </rPr>
      <t xml:space="preserve"> teams ranked #1 one for each 4-team round robin.</t>
    </r>
  </si>
  <si>
    <t>If cell T1 has a "4", then the full round robin will be divided in fourths (A-C), (D-F), (G-I) and (J-L).</t>
  </si>
  <si>
    <r>
      <t>There will be</t>
    </r>
    <r>
      <rPr>
        <sz val="10"/>
        <color indexed="10"/>
        <rFont val="Arial"/>
        <family val="2"/>
      </rPr>
      <t xml:space="preserve"> four</t>
    </r>
    <r>
      <rPr>
        <sz val="10"/>
        <rFont val="Arial"/>
        <family val="2"/>
      </rPr>
      <t xml:space="preserve"> teams ranked #1 one for each 3-team round robin.</t>
    </r>
  </si>
  <si>
    <t>If cell T1 has a "3", then the full round robin will be divided in thirds (A-D), (E-H) and (I-L).</t>
  </si>
  <si>
    <t>Note:  This does NOT mean that Team A cannot play Team J, for example.  They certainly can play</t>
  </si>
  <si>
    <t>For the Regional competition, it is expected that 8 schools will be competing in two round robin groups of 4.</t>
  </si>
  <si>
    <t>Then you can take the top 2 teams from (A-D) and the top 2 teams from (E-H) to play single elimination</t>
  </si>
  <si>
    <t>crossover semifinals to determine the best team in the Region.</t>
  </si>
  <si>
    <t>Green cells are an indication where a Tournament Director needs to enter data.</t>
  </si>
  <si>
    <t>For the Red box #1, you enter the last name, then a comma, then a space, then the first name of each</t>
  </si>
  <si>
    <t>player into Column C highlighted in green.  The names are entered in the school's chosen lineup order.</t>
  </si>
  <si>
    <t>Almeida, Nikhil</t>
  </si>
  <si>
    <t>Brown-Joel, Jonah</t>
  </si>
  <si>
    <t>Charvet, Francois</t>
  </si>
  <si>
    <t>Hurak, Doug</t>
  </si>
  <si>
    <t>Lai, Cathy</t>
  </si>
  <si>
    <t>Lau, Grace</t>
  </si>
  <si>
    <t>Kwok, Oi Yan</t>
  </si>
  <si>
    <t>Myers, Jordan</t>
  </si>
  <si>
    <t>Tan, Xiaoli</t>
  </si>
  <si>
    <t>Wei, Wei</t>
  </si>
  <si>
    <t>Ly, Jimmy</t>
  </si>
  <si>
    <t>Lin, Xifan</t>
  </si>
  <si>
    <t>Teotia, Seemant</t>
  </si>
  <si>
    <t>Worku, Yohannes</t>
  </si>
  <si>
    <t>Batton, James</t>
  </si>
  <si>
    <t>Hsiang, Andrew</t>
  </si>
  <si>
    <t>Kalra, Harpreet</t>
  </si>
  <si>
    <t>Pruthi, Akhil</t>
  </si>
  <si>
    <t>Linder, Jeff</t>
  </si>
  <si>
    <t>Pandey, Rajiv</t>
  </si>
  <si>
    <t>Delaney, Andrew</t>
  </si>
  <si>
    <t>Ho, Eric</t>
  </si>
  <si>
    <t>Leong, Deborah</t>
  </si>
  <si>
    <t>Roosta, Ahmad</t>
  </si>
  <si>
    <t>Tao, Jen-hu</t>
  </si>
  <si>
    <t>Del Vecchio, Martin</t>
  </si>
  <si>
    <t>Khan, Uroosa</t>
  </si>
  <si>
    <t>Le, Vy</t>
  </si>
  <si>
    <t>Lipman, Margaret</t>
  </si>
  <si>
    <t>Noname, Laura</t>
  </si>
  <si>
    <t>Park, Eunice</t>
  </si>
  <si>
    <t>Sievert, Sarah</t>
  </si>
  <si>
    <t>Stauffer, Steven</t>
  </si>
  <si>
    <t>Umrani, Ajit</t>
  </si>
  <si>
    <t>Witmer, Jared</t>
  </si>
  <si>
    <t>Yermakova, Liza</t>
  </si>
  <si>
    <t>Chen, Charles</t>
  </si>
  <si>
    <t>Hsieh, Shaila</t>
  </si>
  <si>
    <t>Machida, Melissa</t>
  </si>
  <si>
    <t>Reddy, Konda</t>
  </si>
  <si>
    <t>Tsai, Sunny</t>
  </si>
  <si>
    <t>Wang, Jack</t>
  </si>
  <si>
    <t>Xu, Guang</t>
  </si>
  <si>
    <t>Ely, Cameron</t>
  </si>
  <si>
    <t>Miller, Brad</t>
  </si>
  <si>
    <t>Barnes, Cory</t>
  </si>
  <si>
    <t>Hooker, Andrew</t>
  </si>
  <si>
    <t>Krusemeyer, Mark</t>
  </si>
  <si>
    <t>Liu, Ernest</t>
  </si>
  <si>
    <t>Noname, Gabe</t>
  </si>
  <si>
    <t>Raim, Jacob</t>
  </si>
  <si>
    <t>White, Byron</t>
  </si>
  <si>
    <t>Haworth, Gavin</t>
  </si>
  <si>
    <t>Sherpa, Pemba</t>
  </si>
  <si>
    <t>Cheng, Haiyan</t>
  </si>
  <si>
    <t>Kelkar, Nikhil</t>
  </si>
  <si>
    <t>Lefkowitz, Lisa</t>
  </si>
  <si>
    <t>Lin, Hui</t>
  </si>
  <si>
    <t>Aikey, Tim</t>
  </si>
  <si>
    <t>Gibson, Casey</t>
  </si>
  <si>
    <t>Xie, Xipeng</t>
  </si>
  <si>
    <t>Xuan, Simon</t>
  </si>
  <si>
    <t>Shan, Shan</t>
  </si>
  <si>
    <t>Cowles, Rod</t>
  </si>
  <si>
    <t>Gholizadeh, Reza</t>
  </si>
  <si>
    <t>Morita, Hideo</t>
  </si>
  <si>
    <t>Ko, David</t>
  </si>
  <si>
    <t>Leung, Stephen</t>
  </si>
  <si>
    <t>Kelkar, Rohit</t>
  </si>
  <si>
    <t>Lee, David</t>
  </si>
  <si>
    <t>Liu, Wilson</t>
  </si>
  <si>
    <t>Newkirk, Evan</t>
  </si>
  <si>
    <t>Thananart, Klongcheongsan</t>
  </si>
  <si>
    <t>Simpson, Michael</t>
  </si>
  <si>
    <t>Treuhaft, Jay</t>
  </si>
  <si>
    <t>Lu, Kevin</t>
  </si>
  <si>
    <t>Le, Phu</t>
  </si>
  <si>
    <t>Musselman, Miles</t>
  </si>
  <si>
    <t>Sills, Andrew</t>
  </si>
  <si>
    <t>Warmke, Laura</t>
  </si>
  <si>
    <t>Annor, Samuel</t>
  </si>
  <si>
    <t>Curran, Matthew</t>
  </si>
  <si>
    <t>Mercier, Ed</t>
  </si>
  <si>
    <t>Vuong, Vinh</t>
  </si>
  <si>
    <t>Cutler, Jake</t>
  </si>
  <si>
    <t>Lo, Robin</t>
  </si>
  <si>
    <t>Dave, Kedar</t>
  </si>
  <si>
    <t>Pirjanian, Aram</t>
  </si>
  <si>
    <t>Qu, Tiffany</t>
  </si>
  <si>
    <t>Saikku, Reetta</t>
  </si>
  <si>
    <t>Silva, Arlys</t>
  </si>
  <si>
    <t>Jalilalghadr, Farzin</t>
  </si>
  <si>
    <t>Dang, Eric</t>
  </si>
  <si>
    <t>Fu, Wujun</t>
  </si>
  <si>
    <t>Li, Junran</t>
  </si>
  <si>
    <t>Sharma, Arvind</t>
  </si>
  <si>
    <t>Bhujle, Tejas</t>
  </si>
  <si>
    <t>Cheng, Vincent</t>
  </si>
  <si>
    <t>Hillebrand, Raphael</t>
  </si>
  <si>
    <t>LeCouple, Thomas</t>
  </si>
  <si>
    <t>Plyler, Mark</t>
  </si>
  <si>
    <t>Wang, Kathy</t>
  </si>
  <si>
    <t>Meredith, Scott</t>
  </si>
  <si>
    <t>Schulz, Kevin</t>
  </si>
  <si>
    <t>Arnold, Ben</t>
  </si>
  <si>
    <t>Bobbin, Mike</t>
  </si>
  <si>
    <t>Chupp, Adam</t>
  </si>
  <si>
    <t>Heiser, Maria</t>
  </si>
  <si>
    <t>Au, Gargitt</t>
  </si>
  <si>
    <t>Harper, Nick</t>
  </si>
  <si>
    <t>Hoops, Alex</t>
  </si>
  <si>
    <t>Liu, Carol</t>
  </si>
  <si>
    <t>Ren, Chen</t>
  </si>
  <si>
    <t>Talagrand, Daniel</t>
  </si>
  <si>
    <t>Vasist, Neal</t>
  </si>
  <si>
    <t>Yang, Adam</t>
  </si>
  <si>
    <t>Day, Tiffany</t>
  </si>
  <si>
    <t>Gauseline, Heather</t>
  </si>
  <si>
    <t>Konishi, Mai</t>
  </si>
  <si>
    <t>Cheng, Brian</t>
  </si>
  <si>
    <t>Du, Jesse</t>
  </si>
  <si>
    <t>Endo, Mario</t>
  </si>
  <si>
    <t>McGrath, Alan</t>
  </si>
  <si>
    <t>Wang, Josh</t>
  </si>
  <si>
    <t>Wong, Tiffany</t>
  </si>
  <si>
    <t>Viet, Diana</t>
  </si>
  <si>
    <t>Nemana, Sailu</t>
  </si>
  <si>
    <t>Wang, Michael</t>
  </si>
  <si>
    <t>Waits, Joseph</t>
  </si>
  <si>
    <t>Ghil, Kristal</t>
  </si>
  <si>
    <t>Loewenstein, Yael</t>
  </si>
  <si>
    <t>McWethy, Amy</t>
  </si>
  <si>
    <t>Shandling, Ari</t>
  </si>
  <si>
    <t>Khan, Sadiq</t>
  </si>
  <si>
    <t>Gardner, Michael</t>
  </si>
  <si>
    <t>Lin, Shu-Ping</t>
  </si>
  <si>
    <t>Pike, Trevor</t>
  </si>
  <si>
    <t>Sheynfeld, Alec</t>
  </si>
  <si>
    <t>Ahnaf, Iqbal</t>
  </si>
  <si>
    <t>Ciucu, Florin</t>
  </si>
  <si>
    <t>Halle, Carla</t>
  </si>
  <si>
    <t>Loh, Ji Nin</t>
  </si>
  <si>
    <t>Shenk, Tim</t>
  </si>
  <si>
    <t>Sherman, Katie</t>
  </si>
  <si>
    <t>Hurwitz, Jeremy</t>
  </si>
  <si>
    <t>Del Vecchio, David</t>
  </si>
  <si>
    <t>Fang, Quanlei</t>
  </si>
  <si>
    <t>Guvendik, Bora</t>
  </si>
  <si>
    <t>Liu, Lin</t>
  </si>
  <si>
    <t>Luo, Ming</t>
  </si>
  <si>
    <t>Mitra, Rudrajit</t>
  </si>
  <si>
    <t>Sirvole, Kishore</t>
  </si>
  <si>
    <t>Vakili, Bijan</t>
  </si>
  <si>
    <t>Dayioglu, Serkan</t>
  </si>
  <si>
    <t>Golic, Biljana</t>
  </si>
  <si>
    <t>Yan, Arlen</t>
  </si>
  <si>
    <t>Lintz, Eileen</t>
  </si>
  <si>
    <t>Wan, Zailong</t>
  </si>
  <si>
    <t>Poncin, Serge</t>
  </si>
  <si>
    <t>Baldan, Can</t>
  </si>
  <si>
    <t>Brindley, Chris</t>
  </si>
  <si>
    <t>Guzdowski, Steven</t>
  </si>
  <si>
    <t>Hart, Brian</t>
  </si>
  <si>
    <t>Myers, Charlie</t>
  </si>
  <si>
    <t>Robertson, Pat</t>
  </si>
  <si>
    <t>Russ, Nick</t>
  </si>
  <si>
    <t>Stevenson, Matt</t>
  </si>
  <si>
    <t>Tan, Honghui</t>
  </si>
  <si>
    <t>Wu, Haisang</t>
  </si>
  <si>
    <t>Chiang, Harvey</t>
  </si>
  <si>
    <t>Baer, Josh</t>
  </si>
  <si>
    <t>Bobbin, David</t>
  </si>
  <si>
    <t>Bush, Albert</t>
  </si>
  <si>
    <t>Dunevant, Brandon</t>
  </si>
  <si>
    <t>Fallon, Andy</t>
  </si>
  <si>
    <t>Gilbert, Ross</t>
  </si>
  <si>
    <t>Givens, Kent</t>
  </si>
  <si>
    <t>Mohoric, Rachael</t>
  </si>
  <si>
    <t>Pais, Errol</t>
  </si>
  <si>
    <t>Paley, Dan</t>
  </si>
  <si>
    <t>Roberts, Matt</t>
  </si>
  <si>
    <t>Roy, Abhishek</t>
  </si>
  <si>
    <t>Schulman, Arthur</t>
  </si>
  <si>
    <t>Silberman, Kfir</t>
  </si>
  <si>
    <t>Gan, Lucia</t>
  </si>
  <si>
    <t>Houser, Terry</t>
  </si>
  <si>
    <t>Hueske, Ashly</t>
  </si>
  <si>
    <t>Jiang, Wen</t>
  </si>
  <si>
    <t>Mehta, Neil</t>
  </si>
  <si>
    <t>Siddiqui, Adeel</t>
  </si>
  <si>
    <t>Sudarsan, Rajesh</t>
  </si>
  <si>
    <t>Han, Shaojie</t>
  </si>
  <si>
    <t>Lynch, Jared</t>
  </si>
  <si>
    <t>Song, Bo</t>
  </si>
  <si>
    <t>Patterson, Emily</t>
  </si>
  <si>
    <t>Bansal, Raj</t>
  </si>
  <si>
    <t>Kasson, Scott</t>
  </si>
  <si>
    <t>Nissley, Matt</t>
  </si>
  <si>
    <t>Foderaro, Drew</t>
  </si>
  <si>
    <t>Keswani, Vijay</t>
  </si>
  <si>
    <t>Kwiatkowski, Rick</t>
  </si>
  <si>
    <t>Miyazaki, Homare</t>
  </si>
  <si>
    <t>Gary, Lee</t>
  </si>
  <si>
    <t>Shukla, Alpesh</t>
  </si>
  <si>
    <t>Agata, Leine</t>
  </si>
  <si>
    <t>Amon, Max</t>
  </si>
  <si>
    <t>Beemon, Cicero</t>
  </si>
  <si>
    <t>Bhattacharya, Anish</t>
  </si>
  <si>
    <t>Chen, Chun-Yuan</t>
  </si>
  <si>
    <t>Chung, Yu-Min</t>
  </si>
  <si>
    <t>Coslet, Nathan</t>
  </si>
  <si>
    <t>Dugan, Todd</t>
  </si>
  <si>
    <t>Flora, Charanpreet</t>
  </si>
  <si>
    <t>Hope, Gabriel</t>
  </si>
  <si>
    <t>Hsu, Simon</t>
  </si>
  <si>
    <t>Lather, Henry</t>
  </si>
  <si>
    <t>Lee, Jae Tae</t>
  </si>
  <si>
    <t>Lee, Poh Wah</t>
  </si>
  <si>
    <t>Lee, Wan-Yu</t>
  </si>
  <si>
    <t>Lim, Song Jae</t>
  </si>
  <si>
    <t>Lopez, Sean</t>
  </si>
  <si>
    <t>Meindl, Sebastian</t>
  </si>
  <si>
    <t>Paster, Ethan</t>
  </si>
  <si>
    <t>Qinran, Pan</t>
  </si>
  <si>
    <t>Simon, Scott</t>
  </si>
  <si>
    <t>Thomas, Matthew</t>
  </si>
  <si>
    <t>Vargas, Leo</t>
  </si>
  <si>
    <t>Wong, Chun Kit</t>
  </si>
  <si>
    <t>Chengyu@pdx.edu</t>
  </si>
  <si>
    <t>jeremydubow@yahoo.com</t>
  </si>
  <si>
    <t>Huanl@pdx.edu</t>
  </si>
  <si>
    <t>rezhnar@gmail.com</t>
  </si>
  <si>
    <t>kytao@pdx.edu</t>
  </si>
  <si>
    <t>independentjac@gmail.com</t>
  </si>
  <si>
    <t>katesuda@pdx.edu</t>
  </si>
  <si>
    <t>ssj@brandeis.edu</t>
  </si>
  <si>
    <t>jjk67@cornell.edu</t>
  </si>
  <si>
    <t>kha.peter.k@gmail.com</t>
  </si>
  <si>
    <t>chuk891@yahoo.com</t>
  </si>
  <si>
    <t>Frayne@augsburg.edu</t>
  </si>
  <si>
    <t>fanz@math.ksu.edu</t>
  </si>
  <si>
    <t>suha73@yahoo.com</t>
  </si>
  <si>
    <t>rad.chris.con@gmail.com</t>
  </si>
  <si>
    <t>brianyoder@gmail.com</t>
  </si>
  <si>
    <t>jmw6z@Virginia.EDU</t>
  </si>
  <si>
    <t>yx8g@Virginia.EDU</t>
  </si>
  <si>
    <t>yujieshui@hotmail.com</t>
  </si>
  <si>
    <t>tberry6294@yahoo.com</t>
  </si>
  <si>
    <t>csugm@hotmail.com</t>
  </si>
  <si>
    <t>kk7t@Virginia.EDU</t>
  </si>
  <si>
    <t>taplin@myadvantageplus.com</t>
  </si>
  <si>
    <t>qtran1788@yahoo.com</t>
  </si>
  <si>
    <t>Michael.Cottingham@usm.edu</t>
  </si>
  <si>
    <t>sixleaves@aol.com</t>
  </si>
  <si>
    <t>sundeepb@ksu.edu</t>
  </si>
  <si>
    <t>cochrane@math.ksu.edu</t>
  </si>
  <si>
    <t>siva@ksu.edu</t>
  </si>
  <si>
    <t>yohannes.worku@gmail.com</t>
  </si>
  <si>
    <t>mpd3u@Virginia.EDU</t>
  </si>
  <si>
    <t>hotrodvet@yahoo.com</t>
  </si>
  <si>
    <t>sannor@comcast.net</t>
  </si>
  <si>
    <t>ehshen@mit.edu</t>
  </si>
  <si>
    <t>MLJHoops23@yahoo.com</t>
  </si>
  <si>
    <t>scottydogg84@gmail.com</t>
  </si>
  <si>
    <t>bearsfan775@yahoo.com</t>
  </si>
  <si>
    <t>benjamind.arnold@gmail.com</t>
  </si>
  <si>
    <t>hurwitz@mit.edu</t>
  </si>
  <si>
    <t>ddelvecc@virginia.edu</t>
  </si>
  <si>
    <t>eslintz@hotmail.com</t>
  </si>
  <si>
    <t>mas5xz@Virginia.EDU</t>
  </si>
  <si>
    <t>dwp3d@virginia.edu</t>
  </si>
  <si>
    <t>ais@virginia.edu</t>
  </si>
  <si>
    <t>matt.nisley@gmail.com</t>
  </si>
  <si>
    <t>lee.gary@uchsc.edu</t>
  </si>
  <si>
    <t>sreekanth.peyyeti@gmail.com</t>
  </si>
  <si>
    <t>Kulkarni, Sumedh</t>
  </si>
  <si>
    <t>Kumar, Abijith</t>
  </si>
  <si>
    <t>Kumar, Ashwin</t>
  </si>
  <si>
    <t>Kumar, Haresh</t>
  </si>
  <si>
    <t>Kumar, Manoj</t>
  </si>
  <si>
    <t>Kumar, Niraj</t>
  </si>
  <si>
    <t>Kumar, Sharath</t>
  </si>
  <si>
    <t>Kunnathur, Ajit</t>
  </si>
  <si>
    <t>Kuo, Sharon</t>
  </si>
  <si>
    <t>Kuo, Yu Ling</t>
  </si>
  <si>
    <t>Kurtz, Josh</t>
  </si>
  <si>
    <t>Kutcher, John</t>
  </si>
  <si>
    <t>Kuyendall, Jordan</t>
  </si>
  <si>
    <t>Kwan, Dylan</t>
  </si>
  <si>
    <t>Kwang, Poon</t>
  </si>
  <si>
    <t>Kwok, Elaine</t>
  </si>
  <si>
    <t>Kwong, Joyce</t>
  </si>
  <si>
    <t>Ladyko, Dmitriy</t>
  </si>
  <si>
    <t>Lagar, David</t>
  </si>
  <si>
    <t>Lai, Anthony</t>
  </si>
  <si>
    <t>Lai, Danilo</t>
  </si>
  <si>
    <t>Lai, David</t>
  </si>
  <si>
    <t>Lai, Ivan</t>
  </si>
  <si>
    <t>Lai, Lipeng</t>
  </si>
  <si>
    <t>Lai, William</t>
  </si>
  <si>
    <t>Lake, Kyle</t>
  </si>
  <si>
    <t>Lakhani, Karim</t>
  </si>
  <si>
    <t>Lakhany, Raheel</t>
  </si>
  <si>
    <t>Lakshamanan, Anand</t>
  </si>
  <si>
    <t>Lakshmanan, Ranji</t>
  </si>
  <si>
    <t>Lam, Alex</t>
  </si>
  <si>
    <t>Lam, Brian</t>
  </si>
  <si>
    <t>Lam, Frank</t>
  </si>
  <si>
    <t>Lam, Gary</t>
  </si>
  <si>
    <t>Lam, Godfrey</t>
  </si>
  <si>
    <t>Lam, Jason</t>
  </si>
  <si>
    <t>Lam, Johnny</t>
  </si>
  <si>
    <t>Lam, Kai</t>
  </si>
  <si>
    <t>Lam, Keith</t>
  </si>
  <si>
    <t>Lam, Kevin</t>
  </si>
  <si>
    <t>Lam, Kien</t>
  </si>
  <si>
    <t>Lam, Rex</t>
  </si>
  <si>
    <t>Lam, Vincent</t>
  </si>
  <si>
    <t>Lamb, Howard</t>
  </si>
  <si>
    <t>Lamb, Jack</t>
  </si>
  <si>
    <t>Lambert, Calen</t>
  </si>
  <si>
    <t>Lambert, Isaac</t>
  </si>
  <si>
    <t>Lamia, Fred</t>
  </si>
  <si>
    <t>Lamichhane, Kamal</t>
  </si>
  <si>
    <t>Lamp, John</t>
  </si>
  <si>
    <t>Lamsal, Atin</t>
  </si>
  <si>
    <t>Lamstein, Josh</t>
  </si>
  <si>
    <t>Ying, David</t>
  </si>
  <si>
    <t>Ying, Jun</t>
  </si>
  <si>
    <t>Yip, Danny</t>
  </si>
  <si>
    <t>Yip, Ivan</t>
  </si>
  <si>
    <t>Yip, Jimmy</t>
  </si>
  <si>
    <t>Yip, Sam</t>
  </si>
  <si>
    <t>Yiting, Peng</t>
  </si>
  <si>
    <t>Yiu, Joy</t>
  </si>
  <si>
    <t>Yiu, Man</t>
  </si>
  <si>
    <t>Yoduguri, Ragadeep Reddy</t>
  </si>
  <si>
    <t>Yong, Sze Zheng</t>
  </si>
  <si>
    <t>szyong@mit.edu</t>
  </si>
  <si>
    <t>Yoo, Jin</t>
  </si>
  <si>
    <t>Yoon, Chris</t>
  </si>
  <si>
    <t>Li, Bintao</t>
  </si>
  <si>
    <t>Li, Brian</t>
  </si>
  <si>
    <t>Li, Bruce</t>
  </si>
  <si>
    <t>Li, Changyi</t>
  </si>
  <si>
    <t>Li, Charles</t>
  </si>
  <si>
    <t>Li, Charmaine</t>
  </si>
  <si>
    <t>Li, Chengquan</t>
  </si>
  <si>
    <t>Li, Cindy</t>
  </si>
  <si>
    <t>Li, Congbai</t>
  </si>
  <si>
    <t>Li, Congshan</t>
  </si>
  <si>
    <t>Li, Debbie</t>
  </si>
  <si>
    <t>Li, Desiree</t>
  </si>
  <si>
    <t>Li, Deyu</t>
  </si>
  <si>
    <t>Li, Fayang</t>
  </si>
  <si>
    <t>Li, Fitch</t>
  </si>
  <si>
    <t>Li, Haiyi</t>
  </si>
  <si>
    <t>Li, Henry</t>
  </si>
  <si>
    <t>Li, Hongrui</t>
  </si>
  <si>
    <t>Li, Hongyi</t>
  </si>
  <si>
    <t>Li, Jeffrey</t>
  </si>
  <si>
    <t>Li, Jiang</t>
  </si>
  <si>
    <t>Li, Jing</t>
  </si>
  <si>
    <t>Li, Ling</t>
  </si>
  <si>
    <t>lingli@mit.edu</t>
  </si>
  <si>
    <t>Li, Lok Ming</t>
  </si>
  <si>
    <t>Li, Mengsi</t>
  </si>
  <si>
    <t>Li, Michael</t>
  </si>
  <si>
    <t>Li, Mike</t>
  </si>
  <si>
    <t>Li, Renge</t>
  </si>
  <si>
    <t>Li, Richard</t>
  </si>
  <si>
    <t>Li, Rongye</t>
  </si>
  <si>
    <t>Li, Ronny</t>
  </si>
  <si>
    <t>Li, Ruijian</t>
  </si>
  <si>
    <t>Li, Shu</t>
  </si>
  <si>
    <t>Li, Song</t>
  </si>
  <si>
    <t>Li, Tao</t>
  </si>
  <si>
    <t>Li, Tian</t>
  </si>
  <si>
    <t>Li, Wei</t>
  </si>
  <si>
    <t>Li, Weiyi</t>
  </si>
  <si>
    <t>Li, Wilbur</t>
  </si>
  <si>
    <t>Li, Wong</t>
  </si>
  <si>
    <t>Li, Xia</t>
  </si>
  <si>
    <t>Li, Xue Me</t>
  </si>
  <si>
    <t>Li, Yaru</t>
  </si>
  <si>
    <t>Li, Yating</t>
  </si>
  <si>
    <t>Li, Yibo</t>
  </si>
  <si>
    <t>Li, Yimeng</t>
  </si>
  <si>
    <t>Li, Yuanchen</t>
  </si>
  <si>
    <t>Li, Yue</t>
  </si>
  <si>
    <t>Li, Yun</t>
  </si>
  <si>
    <t>Li, Yungfeng</t>
  </si>
  <si>
    <t>Li, Zhuangjie</t>
  </si>
  <si>
    <t>Li, Ziyi</t>
  </si>
  <si>
    <t>Liang, Bei Bei</t>
  </si>
  <si>
    <t>Liang, Biqing</t>
  </si>
  <si>
    <t>Liang, Huigang</t>
  </si>
  <si>
    <t>Liang, Keming</t>
  </si>
  <si>
    <t>Liang, Li Li</t>
  </si>
  <si>
    <t>Liang, Limin</t>
  </si>
  <si>
    <t>Liang, Peter</t>
  </si>
  <si>
    <t>Liang, Wenyi</t>
  </si>
  <si>
    <t>Liang, Xinya</t>
  </si>
  <si>
    <t>Liang, Xiu</t>
  </si>
  <si>
    <t>Lians, Shiyan</t>
  </si>
  <si>
    <t>Liao, Jeff</t>
  </si>
  <si>
    <t>Liao, Kuo-Ting</t>
  </si>
  <si>
    <t>Liao, Zhiyu</t>
  </si>
  <si>
    <t>Liaw, Constanze</t>
  </si>
  <si>
    <t>Lich, Brian</t>
  </si>
  <si>
    <t>Liddell, Thomas</t>
  </si>
  <si>
    <t>Liem, Jason</t>
  </si>
  <si>
    <t>Liew, Henry</t>
  </si>
  <si>
    <t>Liew, Juliza</t>
  </si>
  <si>
    <t>Lilly, Josh</t>
  </si>
  <si>
    <t>Lim, Benedict</t>
  </si>
  <si>
    <t>Lim, Heon Seok</t>
  </si>
  <si>
    <t>Lin, Alan</t>
  </si>
  <si>
    <t>Lin, Albert</t>
  </si>
  <si>
    <t>Lin, Alicia</t>
  </si>
  <si>
    <t>Lin, Allen</t>
  </si>
  <si>
    <t>Lin, Ann</t>
  </si>
  <si>
    <t>Lin, Brian</t>
  </si>
  <si>
    <t>Lin, C.C.</t>
  </si>
  <si>
    <t>Lin, Cheyun</t>
  </si>
  <si>
    <t>Lin, Chris</t>
  </si>
  <si>
    <t>Lin, Danmo</t>
  </si>
  <si>
    <t>Lin, Fan-Chi</t>
  </si>
  <si>
    <t>Lin, Gina</t>
  </si>
  <si>
    <t>Lin, Huai</t>
  </si>
  <si>
    <t>Lin, Jan</t>
  </si>
  <si>
    <t>Lin, Jessica</t>
  </si>
  <si>
    <t>Lin, Jiang</t>
  </si>
  <si>
    <t>Lin, Jing</t>
  </si>
  <si>
    <t>Lin, Jun</t>
  </si>
  <si>
    <t>Lin, Mark</t>
  </si>
  <si>
    <t>Lin, Pan</t>
  </si>
  <si>
    <t>Lin, Ricky</t>
  </si>
  <si>
    <t>Lin, Ruibang</t>
  </si>
  <si>
    <t>Lin, Shihong</t>
  </si>
  <si>
    <t>Lin, Terry</t>
  </si>
  <si>
    <t>Lin, Victor</t>
  </si>
  <si>
    <t>Lin, Vivienna</t>
  </si>
  <si>
    <t>Lin, Wei</t>
  </si>
  <si>
    <t>Lin, Wei-An</t>
  </si>
  <si>
    <t>Lin, Wei-Liang</t>
  </si>
  <si>
    <t>Lin, William</t>
  </si>
  <si>
    <t>Lin, Xin</t>
  </si>
  <si>
    <t>Lin, Yi</t>
  </si>
  <si>
    <t>Lin, Yi-Der</t>
  </si>
  <si>
    <t>Lin, Yu-Shen</t>
  </si>
  <si>
    <t>Lin, Zhilong</t>
  </si>
  <si>
    <t>zhilonglin@gmail.com</t>
  </si>
  <si>
    <t>Lin, Zhiwei</t>
  </si>
  <si>
    <t>Lindquist, Nate</t>
  </si>
  <si>
    <t>Lindstrom, Matthias</t>
  </si>
  <si>
    <t>Ling, Kevin</t>
  </si>
  <si>
    <t>Ling, Norman</t>
  </si>
  <si>
    <t>Linke, Nick</t>
  </si>
  <si>
    <t>Lippell, Ryan</t>
  </si>
  <si>
    <t>Lippolis, Domenico</t>
  </si>
  <si>
    <t>Lipschutz, Mike</t>
  </si>
  <si>
    <t>Lipton, Justin</t>
  </si>
  <si>
    <t>Lipworth, Roy</t>
  </si>
  <si>
    <t>Liu, Anthony</t>
  </si>
  <si>
    <t>Liu, Bo</t>
  </si>
  <si>
    <t>Liu, Cindy</t>
  </si>
  <si>
    <t>Liu, Dan</t>
  </si>
  <si>
    <t>Liu, Danzhou</t>
  </si>
  <si>
    <t>Liu, Erica</t>
  </si>
  <si>
    <t>Liu, Hanwei</t>
  </si>
  <si>
    <t>Liu, Irene</t>
  </si>
  <si>
    <t>Liu, James</t>
  </si>
  <si>
    <t>Liu, Jesse</t>
  </si>
  <si>
    <t>Liu, Jianyi</t>
  </si>
  <si>
    <t>Liu, Jie</t>
  </si>
  <si>
    <t>Liu, Jinlong</t>
  </si>
  <si>
    <t>Liu, Joel</t>
  </si>
  <si>
    <t>Liu, John</t>
  </si>
  <si>
    <t>Liu, Lewis Yu</t>
  </si>
  <si>
    <t>Liu, Liang</t>
  </si>
  <si>
    <t>Liu, Michael</t>
  </si>
  <si>
    <t>Liu, Peter</t>
  </si>
  <si>
    <t>Liu, Rose</t>
  </si>
  <si>
    <t>Liu, Siyuan</t>
  </si>
  <si>
    <t>Liu, Stephanie</t>
  </si>
  <si>
    <t>Liu, Tammy</t>
  </si>
  <si>
    <t>Liu, Teddy</t>
  </si>
  <si>
    <t>Liu, Wallace</t>
  </si>
  <si>
    <t>Liu, Winson</t>
  </si>
  <si>
    <t>Liu, Xiaoling</t>
  </si>
  <si>
    <t>Liu, Yar</t>
  </si>
  <si>
    <t>Liu, Yi</t>
  </si>
  <si>
    <t>Liu, Yiran Lucy</t>
  </si>
  <si>
    <t>Livings, David</t>
  </si>
  <si>
    <t>Lizama, Raphael</t>
  </si>
  <si>
    <t>Llarch, William</t>
  </si>
  <si>
    <t>Llona, Dave</t>
  </si>
  <si>
    <t>Lo, Adrianne</t>
  </si>
  <si>
    <t>Lo, Herman</t>
  </si>
  <si>
    <t>Lo, Jonathan</t>
  </si>
  <si>
    <t>Lo, Leroy</t>
  </si>
  <si>
    <t>Lo, Matthew</t>
  </si>
  <si>
    <t>Lock, Eric</t>
  </si>
  <si>
    <t>Loeffler, David</t>
  </si>
  <si>
    <t>Loehr, Jared</t>
  </si>
  <si>
    <t>Lok, Terry</t>
  </si>
  <si>
    <t>Lonergan, Sean</t>
  </si>
  <si>
    <t>Long, Yu</t>
  </si>
  <si>
    <t>Look, Roger</t>
  </si>
  <si>
    <t>Lopez, Alex</t>
  </si>
  <si>
    <t>Lorilla, Leandro</t>
  </si>
  <si>
    <t>Loritta, Ian</t>
  </si>
  <si>
    <t>Loseke, Daniel</t>
  </si>
  <si>
    <t>Loseke, John</t>
  </si>
  <si>
    <t>Louie, Dave</t>
  </si>
  <si>
    <t>Louis, Matt</t>
  </si>
  <si>
    <t>Louvier, Andrew</t>
  </si>
  <si>
    <t>alouvie1@gmail.com</t>
  </si>
  <si>
    <t>Love, Matt</t>
  </si>
  <si>
    <t>Lowe, Nathaniel</t>
  </si>
  <si>
    <t>Lozada, Yamir</t>
  </si>
  <si>
    <t>Lu, Allen</t>
  </si>
  <si>
    <t>Lu, Chih-Yu</t>
  </si>
  <si>
    <t>Lu, Dan</t>
  </si>
  <si>
    <t>Lu, Danielle</t>
  </si>
  <si>
    <t>Lu, Dong</t>
  </si>
  <si>
    <t>Lu, Enoch</t>
  </si>
  <si>
    <t>Lu, Guojian</t>
  </si>
  <si>
    <t>Lu, Hongyan</t>
  </si>
  <si>
    <t>Lu, Jack</t>
  </si>
  <si>
    <t>Lu, Jie</t>
  </si>
  <si>
    <t>Lu, Joan</t>
  </si>
  <si>
    <t>Lu, Lishun</t>
  </si>
  <si>
    <t>Lu, Patrick</t>
  </si>
  <si>
    <t>Lu, Qi</t>
  </si>
  <si>
    <t>Lu, Tenyfei</t>
  </si>
  <si>
    <t>Lu, Xinyu</t>
  </si>
  <si>
    <t>Lu, Xuming</t>
  </si>
  <si>
    <t>Lu, Yang</t>
  </si>
  <si>
    <t>Lucas, Adam</t>
  </si>
  <si>
    <t>Ludevig, Neal</t>
  </si>
  <si>
    <t>Lui, Jun</t>
  </si>
  <si>
    <t>Luisi, Giannina</t>
  </si>
  <si>
    <t>Luke, Matt</t>
  </si>
  <si>
    <t>Lukinova, Evgeniya</t>
  </si>
  <si>
    <t>Luli, Kevin</t>
  </si>
  <si>
    <t>Lungin, Margarita</t>
  </si>
  <si>
    <t>Luo, Gang</t>
  </si>
  <si>
    <t>Luo, Sonny</t>
  </si>
  <si>
    <t>Luo, Wei</t>
  </si>
  <si>
    <t>Luo, Xiaofan</t>
  </si>
  <si>
    <t>Lurty, Scott</t>
  </si>
  <si>
    <t>Luthra, Varun</t>
  </si>
  <si>
    <t>Lutz, Doug</t>
  </si>
  <si>
    <t>Luu, Summer</t>
  </si>
  <si>
    <t>Luyendijk, Kees</t>
  </si>
  <si>
    <t>Ly, Alan</t>
  </si>
  <si>
    <t>Lynch, Ian</t>
  </si>
  <si>
    <t>M, Nivedita</t>
  </si>
  <si>
    <t>Ma, Bin</t>
  </si>
  <si>
    <t>Ma, Bobby</t>
  </si>
  <si>
    <t>Ma, Chao</t>
  </si>
  <si>
    <t>Ma, Elisha</t>
  </si>
  <si>
    <t>Ma, Hanloong</t>
  </si>
  <si>
    <t>Ma, Howard</t>
  </si>
  <si>
    <t>Ma, Hui</t>
  </si>
  <si>
    <t>Ma, Jeff</t>
  </si>
  <si>
    <t>Ma, Kei Shun</t>
  </si>
  <si>
    <t>Ma, Liang</t>
  </si>
  <si>
    <t>Ma, Max</t>
  </si>
  <si>
    <t>Ma, Ming</t>
  </si>
  <si>
    <t>Ma, Qianli</t>
  </si>
  <si>
    <t>Ma, Qing</t>
  </si>
  <si>
    <t>Ma, Simon</t>
  </si>
  <si>
    <t>Ma, Xiaoqiang</t>
  </si>
  <si>
    <t>Ma, Yinglie</t>
  </si>
  <si>
    <t>Ma, Yu</t>
  </si>
  <si>
    <t>Ma, Yunpeng</t>
  </si>
  <si>
    <t>Ma, Yunteo</t>
  </si>
  <si>
    <t>Maamoun, Adam</t>
  </si>
  <si>
    <t>Macaluso, Anthony</t>
  </si>
  <si>
    <t>Mace, Roy</t>
  </si>
  <si>
    <t>Macks, Steven</t>
  </si>
  <si>
    <t>Maekaroon, Snehada</t>
  </si>
  <si>
    <t>Maene, Tommy</t>
  </si>
  <si>
    <t>Magnum, Sushil</t>
  </si>
  <si>
    <t>Maguire, Andy</t>
  </si>
  <si>
    <t>Mahajan, Arjun</t>
  </si>
  <si>
    <t>Mahajan, Swapnil</t>
  </si>
  <si>
    <t>Mahale, Anil</t>
  </si>
  <si>
    <t>Mahan, Jared</t>
  </si>
  <si>
    <t>Mahaney, Matthew</t>
  </si>
  <si>
    <t>Mahchi, Lorenzo</t>
  </si>
  <si>
    <t>Mahesh, Panta</t>
  </si>
  <si>
    <t>Maheshwari, Keshav</t>
  </si>
  <si>
    <t>Mahmood, Hassan</t>
  </si>
  <si>
    <t>Mahoney, Marshall</t>
  </si>
  <si>
    <t>Mai, Dennis</t>
  </si>
  <si>
    <t>Mai, Haohui</t>
  </si>
  <si>
    <t>Maier, Ulf</t>
  </si>
  <si>
    <t>Mairal, Sarang</t>
  </si>
  <si>
    <t>Majors, Bruce</t>
  </si>
  <si>
    <t>Majumber, Sinut</t>
  </si>
  <si>
    <t>Majumder, Mainak</t>
  </si>
  <si>
    <t>Mak, Kenneth</t>
  </si>
  <si>
    <t>Malamy, Alex</t>
  </si>
  <si>
    <t>Malboubi, Saeid</t>
  </si>
  <si>
    <t>Malhotra, Sanchit</t>
  </si>
  <si>
    <t>Malik, Abhishek</t>
  </si>
  <si>
    <t>Malik, Fahd</t>
  </si>
  <si>
    <t>Malinge, Yan</t>
  </si>
  <si>
    <t>Malinkevich, Felix</t>
  </si>
  <si>
    <t>Malinnikov, Vladimir</t>
  </si>
  <si>
    <t>Mallet-Hutson, Lovie</t>
  </si>
  <si>
    <t>Maloney, James</t>
  </si>
  <si>
    <t>Man, Alex</t>
  </si>
  <si>
    <t>A-B, A-C, A-D, A-E, A-F, B-C, B-D, B-E, B-F, C-D, C-E, C-F, D-E, D-F, E-F.</t>
  </si>
  <si>
    <t>There will be one sheet for each school against every other school.</t>
  </si>
  <si>
    <t>For the Red box #1, you simply have the school's team captain/coach circle the names of the players</t>
  </si>
  <si>
    <t>selected players A1, A2, A5, A8 to represent his school against their opponent.</t>
  </si>
  <si>
    <t>For the Red box #2, the captain needs to identify what player will play doubles with his 1st singles</t>
  </si>
  <si>
    <t>player if the singles are tied 2-2.</t>
  </si>
  <si>
    <t>Cut the three match slips shown below and give them to the players.</t>
  </si>
  <si>
    <t>Have the captain transfer the scores from these individual match slips to the single team sheet</t>
  </si>
  <si>
    <t>shown above.</t>
  </si>
  <si>
    <t>Enter the scores for each match into the spreadsheet.</t>
  </si>
  <si>
    <t>The team score is automatically displayed at the bottom of the sheet.</t>
  </si>
  <si>
    <t>This spreadsheet is required to be filled out by Tournament Directors when they are submitting their</t>
  </si>
  <si>
    <t>SUMMARY</t>
  </si>
  <si>
    <t>results from both the Division and Regional team competitions.</t>
  </si>
  <si>
    <t>KEY SECTIONS</t>
  </si>
  <si>
    <t>HISTORY/REVISION LOG</t>
  </si>
  <si>
    <t>Date</t>
  </si>
  <si>
    <t>Version</t>
  </si>
  <si>
    <t>Description</t>
  </si>
  <si>
    <t>Instructions for NCTTA Teams Template</t>
  </si>
  <si>
    <r>
      <t xml:space="preserve">Errors, enhancements, or questions should be submitted to </t>
    </r>
    <r>
      <rPr>
        <b/>
        <sz val="10"/>
        <color indexed="10"/>
        <rFont val="Arial"/>
        <family val="2"/>
      </rPr>
      <t>Randy Kendle</t>
    </r>
    <r>
      <rPr>
        <sz val="10"/>
        <rFont val="Arial"/>
        <family val="2"/>
      </rPr>
      <t>.</t>
    </r>
  </si>
  <si>
    <t>cell: 314-800-5377</t>
  </si>
  <si>
    <r>
      <rPr>
        <b/>
        <sz val="10"/>
        <color indexed="10"/>
        <rFont val="Arial"/>
        <family val="2"/>
      </rPr>
      <t>NOTE</t>
    </r>
    <r>
      <rPr>
        <sz val="10"/>
        <rFont val="Arial"/>
        <family val="2"/>
      </rPr>
      <t xml:space="preserve">:  There are </t>
    </r>
    <r>
      <rPr>
        <sz val="10"/>
        <color indexed="10"/>
        <rFont val="Arial"/>
        <family val="2"/>
      </rPr>
      <t>hidden formulas</t>
    </r>
    <r>
      <rPr>
        <sz val="10"/>
        <rFont val="Arial"/>
        <family val="2"/>
      </rPr>
      <t xml:space="preserve"> throughout this spreadsheet!  No changes (eg., deleting of rows/columns,</t>
    </r>
  </si>
  <si>
    <t>inserting of rows/columns, etc.) should be made without contacting Randy Kendle first.</t>
  </si>
  <si>
    <t>Row</t>
  </si>
  <si>
    <t>FREQUENTLY ASKED QUESTIONS (FAQs)</t>
  </si>
  <si>
    <t>If I need help, who do I turn to?</t>
  </si>
  <si>
    <t>Randy Kendle (cell: 314-800-5377) athlete_rep@nctta.org</t>
  </si>
  <si>
    <t>Can I print these pages to have a paper copy?</t>
  </si>
  <si>
    <t>Yes.</t>
  </si>
  <si>
    <t>If I find an error or have a suggestion to make, who do I pass that along to?</t>
  </si>
  <si>
    <t>Does this spreadsheet break ties between teams that have the same win/loss record?</t>
  </si>
  <si>
    <t>No.  The Tournament Director will need to break the ties according to USATT guidelines.</t>
  </si>
  <si>
    <t>What happens when a team is short a player…only has 3 players?</t>
  </si>
  <si>
    <t>You list the fourth player as "Missing Player" without the quotes.  When the spreadsheet sees the name Missing Player, it knows to default the 4th singles and default the doubles also. No results will be uploaded, because no match was actually played.</t>
  </si>
  <si>
    <t>STEP-BY-STEP QUICK GUIDE</t>
  </si>
  <si>
    <t>What happens if I have more than 12 teams including the "unofficial B" teams?</t>
  </si>
  <si>
    <t>Copy this spreadsheet and give it a different name (eg., Unofficial B.xls).  Then follow the same process for each spreadsheet.  Simply enter all the "official" teams into one spreadsheet and enter all the "unofficial" teams in the other spreadsheet.  Then submit both spreadsheets when the competition is complete.</t>
  </si>
  <si>
    <t>List all the competing school teams into Column B.</t>
  </si>
  <si>
    <t>Tsang, Terry</t>
  </si>
  <si>
    <t>Tsang, Wayne</t>
  </si>
  <si>
    <t>Tsaw, Jackson</t>
  </si>
  <si>
    <t>Tse, Calvin</t>
  </si>
  <si>
    <t>Tse, Stephen</t>
  </si>
  <si>
    <t>Tsou, Erik</t>
  </si>
  <si>
    <t>Tu, Longfei</t>
  </si>
  <si>
    <t>Tu, Yixi</t>
  </si>
  <si>
    <t>Tuffaha, Omar</t>
  </si>
  <si>
    <t>Tufts, Jeremy</t>
  </si>
  <si>
    <t>Tuladhar, Amrit</t>
  </si>
  <si>
    <t>Tuleta, Dan</t>
  </si>
  <si>
    <t>Tulpule, Mandar</t>
  </si>
  <si>
    <t>Tuma, Preston</t>
  </si>
  <si>
    <t>Turgeon, Guillaume</t>
  </si>
  <si>
    <t>Turner, Cameron</t>
  </si>
  <si>
    <t>Turner, Jon</t>
  </si>
  <si>
    <t>Turner, Mike</t>
  </si>
  <si>
    <t>Twieg, Mike</t>
  </si>
  <si>
    <t>Tyler, Rashad</t>
  </si>
  <si>
    <t>Ubillus, Gonzalo</t>
  </si>
  <si>
    <t>Uchida, Kenta</t>
  </si>
  <si>
    <t>Udaze, John</t>
  </si>
  <si>
    <t>Ullman, Ryan</t>
  </si>
  <si>
    <t>Ung, Andy</t>
  </si>
  <si>
    <t>Ungson, Nick</t>
  </si>
  <si>
    <t>Unisicker, Rebecca</t>
  </si>
  <si>
    <t>Unruh, Kevin</t>
  </si>
  <si>
    <t>Upadhyaya, Kamal</t>
  </si>
  <si>
    <t>Urbisci, Tony</t>
  </si>
  <si>
    <t>Urroz, Jason</t>
  </si>
  <si>
    <t>Utsalo, Eugene</t>
  </si>
  <si>
    <t>Vaid, Rishi</t>
  </si>
  <si>
    <t>Vaishnav, Avantika</t>
  </si>
  <si>
    <t>Valchinor, Angel</t>
  </si>
  <si>
    <t>Valdez, Jon</t>
  </si>
  <si>
    <t>Valentine, Michael</t>
  </si>
  <si>
    <t>Valenzuela, Gerardo</t>
  </si>
  <si>
    <t>Valery, Claudia</t>
  </si>
  <si>
    <t>Valuvala, Gotham</t>
  </si>
  <si>
    <t>Valvis, Alex</t>
  </si>
  <si>
    <t>VanCourt, Michael</t>
  </si>
  <si>
    <t>Vang, Nikey</t>
  </si>
  <si>
    <t>Vanniamparembil, Prashanth</t>
  </si>
  <si>
    <t>Vargas, Jordi</t>
  </si>
  <si>
    <t>Vargasun, Matt</t>
  </si>
  <si>
    <t>Varghese, Dave</t>
  </si>
  <si>
    <t>Varshney, Abhinav</t>
  </si>
  <si>
    <t>Vasilca, Oliviu</t>
  </si>
  <si>
    <t>Vasquez, Roger</t>
  </si>
  <si>
    <t>Vassey, Josh</t>
  </si>
  <si>
    <t>Vasudeva Rao, Deepak</t>
  </si>
  <si>
    <t>Vaughan, Angus</t>
  </si>
  <si>
    <t>Veibridge, Mason</t>
  </si>
  <si>
    <t>Venhataraman, Sriram</t>
  </si>
  <si>
    <t>Verma, Manish</t>
  </si>
  <si>
    <t>Verma, Nishant</t>
  </si>
  <si>
    <t>Vesel, Richard</t>
  </si>
  <si>
    <t>Vettese, Michael</t>
  </si>
  <si>
    <t>Vidanapathirana, Sujith</t>
  </si>
  <si>
    <t>Vijay, Vikrant</t>
  </si>
  <si>
    <t>Vijaykumar, Vimal</t>
  </si>
  <si>
    <t>Vijmasi, Thirugnana</t>
  </si>
  <si>
    <t>VillaVencia, Francisco</t>
  </si>
  <si>
    <t>Villavicencio, Christian</t>
  </si>
  <si>
    <t>Vincent, Amanda</t>
  </si>
  <si>
    <t>Vincent, Daniel</t>
  </si>
  <si>
    <t>Vinson, Turner</t>
  </si>
  <si>
    <t>Vinton, Aaron</t>
  </si>
  <si>
    <t>Virji, Nazim</t>
  </si>
  <si>
    <t>Viswanathan, Praveen</t>
  </si>
  <si>
    <t>Vo, Johnny</t>
  </si>
  <si>
    <t>Vo, Jon</t>
  </si>
  <si>
    <t>Von Holt, Patrick</t>
  </si>
  <si>
    <t>Von Wilpert, Jason</t>
  </si>
  <si>
    <t>Vongmongkol, Tom</t>
  </si>
  <si>
    <t>Voss, Peter</t>
  </si>
  <si>
    <t>Voukis, Marinos</t>
  </si>
  <si>
    <t>Vu, Dan</t>
  </si>
  <si>
    <t>Vu, Leo</t>
  </si>
  <si>
    <t>Vukonu, Taylor</t>
  </si>
  <si>
    <t>Vuong, Ruthi</t>
  </si>
  <si>
    <t>Vuppu, Sandeep</t>
  </si>
  <si>
    <t>Wagner, Richard</t>
  </si>
  <si>
    <t>Waichiago, Alfred</t>
  </si>
  <si>
    <t>Wakana, Toshiyuki</t>
  </si>
  <si>
    <t>Wakeley, Robert</t>
  </si>
  <si>
    <t>Walavalkar, Miheer</t>
  </si>
  <si>
    <t>Waldman, Louis</t>
  </si>
  <si>
    <t>Walk, Daniel</t>
  </si>
  <si>
    <t>Walker, Alan</t>
  </si>
  <si>
    <t>Walker, Chris</t>
  </si>
  <si>
    <t>Walker, Jordan</t>
  </si>
  <si>
    <t>Walker, Michael</t>
  </si>
  <si>
    <t>Walker, Scott</t>
  </si>
  <si>
    <t>Walker, William</t>
  </si>
  <si>
    <t>Wallace, John</t>
  </si>
  <si>
    <t>Walsh, Dan</t>
  </si>
  <si>
    <t>Walton, Daniel</t>
  </si>
  <si>
    <t>Walts, Austin</t>
  </si>
  <si>
    <t>Wan, Alex</t>
  </si>
  <si>
    <t>Wan, Clemens</t>
  </si>
  <si>
    <t>Wan, Rui</t>
  </si>
  <si>
    <t>Wan, Stephen</t>
  </si>
  <si>
    <t>Wang, Belinda</t>
  </si>
  <si>
    <t>Wang, Beverly</t>
  </si>
  <si>
    <t>Wang, Bofei</t>
  </si>
  <si>
    <t>Wang, Bolun</t>
  </si>
  <si>
    <t>Wang, Cathy</t>
  </si>
  <si>
    <t>Wang, Chaoyang</t>
  </si>
  <si>
    <t>Wang, Charlie</t>
  </si>
  <si>
    <t>Wang, Chris</t>
  </si>
  <si>
    <t>Wang, Chun Kai</t>
  </si>
  <si>
    <t>Wang, Clement</t>
  </si>
  <si>
    <t>Wang, Corinna</t>
  </si>
  <si>
    <t>Wang, Elaine</t>
  </si>
  <si>
    <t>Wang, Fan</t>
  </si>
  <si>
    <t>Wang, Harry</t>
  </si>
  <si>
    <t>Wang, Harvey</t>
  </si>
  <si>
    <t>Wang, He</t>
  </si>
  <si>
    <t>Wang, Hongzhi</t>
  </si>
  <si>
    <t>Wang, I-Chao</t>
  </si>
  <si>
    <t>Wang, Jakey</t>
  </si>
  <si>
    <t>Wang, Jeff</t>
  </si>
  <si>
    <t>Wang, Jichuan</t>
  </si>
  <si>
    <t>Wang, Jingbin</t>
  </si>
  <si>
    <t>Wang, Jinglu</t>
  </si>
  <si>
    <t>Wang, Joe</t>
  </si>
  <si>
    <t>Wang, Kaiyuan</t>
  </si>
  <si>
    <t>Wang, Le</t>
  </si>
  <si>
    <t>Wang, Leping</t>
  </si>
  <si>
    <t>Wang, Liyao</t>
  </si>
  <si>
    <t>Wang, Lucy</t>
  </si>
  <si>
    <t>Wang, Peng</t>
  </si>
  <si>
    <t>Wang, Pengyu</t>
  </si>
  <si>
    <t>Wang, Peter</t>
  </si>
  <si>
    <t>Wang, Philip</t>
  </si>
  <si>
    <t>Wang, Richard</t>
  </si>
  <si>
    <t>Wang, Ruidi</t>
  </si>
  <si>
    <t>Wang, Shicong</t>
  </si>
  <si>
    <t>Wang, Shishi</t>
  </si>
  <si>
    <t>Wang, Sida</t>
  </si>
  <si>
    <t>Wang, Tao</t>
  </si>
  <si>
    <t>Wang, Tianqing</t>
  </si>
  <si>
    <t>Wang, Tim</t>
  </si>
  <si>
    <t>Wang, Vivian</t>
  </si>
  <si>
    <t>Wang, Wei</t>
  </si>
  <si>
    <t>Wang, Wenting</t>
  </si>
  <si>
    <t>Wang, Wesley</t>
  </si>
  <si>
    <t>Wang, Xiaodan</t>
  </si>
  <si>
    <t>Wang, Xiaoyun</t>
  </si>
  <si>
    <t>Wang, Xing</t>
  </si>
  <si>
    <t>Wang, Yam-Ying</t>
  </si>
  <si>
    <t>Wang, Yi Xing</t>
  </si>
  <si>
    <t>Wang, Yiwen</t>
  </si>
  <si>
    <t>Wang, Yong</t>
  </si>
  <si>
    <t>Wang, Yue</t>
  </si>
  <si>
    <t>Wang, Yuke</t>
  </si>
  <si>
    <t>Wang, Zhe</t>
  </si>
  <si>
    <t>Wang, Zheng</t>
  </si>
  <si>
    <t>Wang, Zi</t>
  </si>
  <si>
    <t>Ward, Joe</t>
  </si>
  <si>
    <t>Waring, Scott</t>
  </si>
  <si>
    <t>Warren, Andrew</t>
  </si>
  <si>
    <t>Warriax, Jessie</t>
  </si>
  <si>
    <t>Wasserlauf, Don</t>
  </si>
  <si>
    <t>Wat, Katie</t>
  </si>
  <si>
    <t>Waterhouse, Ian</t>
  </si>
  <si>
    <t>Watkins, Jim</t>
  </si>
  <si>
    <t>Watson, Chris</t>
  </si>
  <si>
    <t>Watson, David</t>
  </si>
  <si>
    <t>Watson, Kevin</t>
  </si>
  <si>
    <t>Watson, Matt</t>
  </si>
  <si>
    <t>Wattenford, Mylo</t>
  </si>
  <si>
    <t>Way, Arthur Wu Ching</t>
  </si>
  <si>
    <t>Wei, Barbara</t>
  </si>
  <si>
    <t>Wei, Bobby</t>
  </si>
  <si>
    <t>Wei, Daniel</t>
  </si>
  <si>
    <t>Wei, Xin</t>
  </si>
  <si>
    <t>Wei, Zhenqiang</t>
  </si>
  <si>
    <t>Weiner, Alex</t>
  </si>
  <si>
    <t>Weinstein, Guy</t>
  </si>
  <si>
    <t>Weinstock, Greg</t>
  </si>
  <si>
    <t>Weinzettle, Christina</t>
  </si>
  <si>
    <t>Weisel, Tyler</t>
  </si>
  <si>
    <t>Weisgarber, Mike</t>
  </si>
  <si>
    <t>Weiss, Danielle</t>
  </si>
  <si>
    <t>Weiss, Eric</t>
  </si>
  <si>
    <t>Weisz, Dan</t>
  </si>
  <si>
    <t>Wellborn, Chris</t>
  </si>
  <si>
    <t>Wells, Joe</t>
  </si>
  <si>
    <t>Wen, Yunxia</t>
  </si>
  <si>
    <t>West, Ledger</t>
  </si>
  <si>
    <t>Wester, Thaddeus</t>
  </si>
  <si>
    <t>Westerfield, Mark</t>
  </si>
  <si>
    <t>Westerman, Stuart</t>
  </si>
  <si>
    <t>White, Andrew</t>
  </si>
  <si>
    <t>White, Brian</t>
  </si>
  <si>
    <t>White, Darcy</t>
  </si>
  <si>
    <t>White, Darren</t>
  </si>
  <si>
    <t>White, Jacob</t>
  </si>
  <si>
    <t>Wiesler, Paul</t>
  </si>
  <si>
    <t>Wiggins, Marcus</t>
  </si>
  <si>
    <t>Wilkes, Liz</t>
  </si>
  <si>
    <t>Williams, Daniel</t>
  </si>
  <si>
    <t>Williams, Jack</t>
  </si>
  <si>
    <t>Williams, Nate</t>
  </si>
  <si>
    <t>Williams, Ross</t>
  </si>
  <si>
    <t>Williams, Ted</t>
  </si>
  <si>
    <t>Wilson, Aaron</t>
  </si>
  <si>
    <t>Wilson, Candice</t>
  </si>
  <si>
    <t>Wilson, Jeff</t>
  </si>
  <si>
    <t>Winborne, Bethany</t>
  </si>
  <si>
    <t>Wind, Anthony</t>
  </si>
  <si>
    <t>Wines, Brett</t>
  </si>
  <si>
    <t>Wing, Daryl</t>
  </si>
  <si>
    <t>Wingerd, Thomas</t>
  </si>
  <si>
    <t>twingerd@lclark.edu</t>
  </si>
  <si>
    <t>Wingfield, Kevin</t>
  </si>
  <si>
    <t>Winner, Adam</t>
  </si>
  <si>
    <t>Wisdom, Dustin</t>
  </si>
  <si>
    <t>Wissinger, Ty</t>
  </si>
  <si>
    <t>Wittington, Mark</t>
  </si>
  <si>
    <t>Wloka, Bart</t>
  </si>
  <si>
    <t>Woehrlin, Keith</t>
  </si>
  <si>
    <t>Woerner, Ryan</t>
  </si>
  <si>
    <t>Wolgamott, Labon</t>
  </si>
  <si>
    <t>Won, Briant</t>
  </si>
  <si>
    <t>Wong, Anthony</t>
  </si>
  <si>
    <t>Wong, David</t>
  </si>
  <si>
    <t>Wong, Derek</t>
  </si>
  <si>
    <t>Wong, Edmond</t>
  </si>
  <si>
    <t>Wong, Gabriel</t>
  </si>
  <si>
    <t>Wong, Hou Si</t>
  </si>
  <si>
    <t>Wong, Justin</t>
  </si>
  <si>
    <t>Wong, Man</t>
  </si>
  <si>
    <t>Wong, Michael</t>
  </si>
  <si>
    <t>Wong, Roger</t>
  </si>
  <si>
    <t>Wong, Ryan</t>
  </si>
  <si>
    <t>Wong, Tony</t>
  </si>
  <si>
    <t>Wong, Wanda</t>
  </si>
  <si>
    <t>Wong, Wun Shuen</t>
  </si>
  <si>
    <t>Woo, George</t>
  </si>
  <si>
    <t>Woo, Michael</t>
  </si>
  <si>
    <t>Woodrum, Dustin</t>
  </si>
  <si>
    <t>Woods, Michael</t>
  </si>
  <si>
    <t>Worrell, Sabrina</t>
  </si>
  <si>
    <t>Worz, Ian</t>
  </si>
  <si>
    <t>Wright, Adam</t>
  </si>
  <si>
    <t>Wright, Jeremy</t>
  </si>
  <si>
    <t>Wright, Kevia</t>
  </si>
  <si>
    <t>Wu, Abel</t>
  </si>
  <si>
    <t>Wu, Albert</t>
  </si>
  <si>
    <t>Wu, Andrew</t>
  </si>
  <si>
    <t>Wu, Benny</t>
  </si>
  <si>
    <t>Wu, Cheng-Hsun</t>
  </si>
  <si>
    <t>Wu, Dai</t>
  </si>
  <si>
    <t>Wu, Di</t>
  </si>
  <si>
    <t>Wu, Fredrick</t>
  </si>
  <si>
    <t>Wu, Haijing</t>
  </si>
  <si>
    <t>Wu, Hang</t>
  </si>
  <si>
    <t>Wu, Hong</t>
  </si>
  <si>
    <t>Wu, Ian</t>
  </si>
  <si>
    <t>Wu, Jackie</t>
  </si>
  <si>
    <t>Wu, Jason</t>
  </si>
  <si>
    <t>Wu, Jiaqi</t>
  </si>
  <si>
    <t>Wu, Jon</t>
  </si>
  <si>
    <t>Wu, Katherine</t>
  </si>
  <si>
    <t>Wu, Matt</t>
  </si>
  <si>
    <t>Wu, Michael</t>
  </si>
  <si>
    <t>Wu, Patrick</t>
  </si>
  <si>
    <t>Wu, Qinyi</t>
  </si>
  <si>
    <t>Wu, Qufei</t>
  </si>
  <si>
    <t>Wu, Rich</t>
  </si>
  <si>
    <t>Wu, Rita</t>
  </si>
  <si>
    <t>Wu, Wen</t>
  </si>
  <si>
    <t>Wu, Ya</t>
  </si>
  <si>
    <t>Wu, Yonghui</t>
  </si>
  <si>
    <t>Wu, Yunhui</t>
  </si>
  <si>
    <t>Xi, Chen</t>
  </si>
  <si>
    <t>Xia, Gang</t>
  </si>
  <si>
    <t>Xiang, Joy</t>
  </si>
  <si>
    <t>Xiang, Yong</t>
  </si>
  <si>
    <t>Xiangyi, Li</t>
  </si>
  <si>
    <t>Xiao, Chen</t>
  </si>
  <si>
    <t>Xiao, Cong</t>
  </si>
  <si>
    <t>Xiao, Han</t>
  </si>
  <si>
    <t>Xiao, Ma</t>
  </si>
  <si>
    <t>Xiao, Shiangyang</t>
  </si>
  <si>
    <t>Xie, Jian</t>
  </si>
  <si>
    <t>Xie, Jining</t>
  </si>
  <si>
    <t>Xie, Linfeng</t>
  </si>
  <si>
    <t>Xie, Tongyu</t>
  </si>
  <si>
    <t>Xin, Pam</t>
  </si>
  <si>
    <t>Xing, George</t>
  </si>
  <si>
    <t>Xiong, Hongyou</t>
  </si>
  <si>
    <t>Xiong, Xing</t>
  </si>
  <si>
    <t>Xiong, Yiyan</t>
  </si>
  <si>
    <t>Xu, Charly</t>
  </si>
  <si>
    <t>Xu, Chuck</t>
  </si>
  <si>
    <t>Xu, Chunwei</t>
  </si>
  <si>
    <t>Xu, Jessie</t>
  </si>
  <si>
    <t>Xu, Ji</t>
  </si>
  <si>
    <t>Xu, Jie</t>
  </si>
  <si>
    <t>Xu, John</t>
  </si>
  <si>
    <t>Xu, Li</t>
  </si>
  <si>
    <t>Xu, Linjun</t>
  </si>
  <si>
    <t>Xu, Neil</t>
  </si>
  <si>
    <t>Xu, Nick</t>
  </si>
  <si>
    <t>Xu, Shanshan</t>
  </si>
  <si>
    <t>Xu, Silas</t>
  </si>
  <si>
    <t>Xu, Tao</t>
  </si>
  <si>
    <t>Xu, Weilun</t>
  </si>
  <si>
    <t>Xu, Xidong</t>
  </si>
  <si>
    <t>Xu, Yang</t>
  </si>
  <si>
    <t>Xu, Yinfei</t>
  </si>
  <si>
    <t>Xu, Ying</t>
  </si>
  <si>
    <t>yingxu@ksu.edu</t>
  </si>
  <si>
    <t>Xu, Yun</t>
  </si>
  <si>
    <t>Xu, Ziheng</t>
  </si>
  <si>
    <t>Xue, Nina</t>
  </si>
  <si>
    <t>Xue, Wenfei</t>
  </si>
  <si>
    <t>Yabe, Marina</t>
  </si>
  <si>
    <t>Yacoub, Georges</t>
  </si>
  <si>
    <t>Yafeng, Gao</t>
  </si>
  <si>
    <t>Yakubova, Zarina</t>
  </si>
  <si>
    <t>Yamamoto, Jeff</t>
  </si>
  <si>
    <t>Yamazato, Fernando</t>
  </si>
  <si>
    <t>Yamin, Mohammad</t>
  </si>
  <si>
    <t>Yan, Dong</t>
  </si>
  <si>
    <t>Yan, Grace</t>
  </si>
  <si>
    <t>Yan, Jie</t>
  </si>
  <si>
    <t>Yan, Kitty</t>
  </si>
  <si>
    <t>Yan, Rui</t>
  </si>
  <si>
    <t>Yan, Xiaobo</t>
  </si>
  <si>
    <t>Yan, Xing</t>
  </si>
  <si>
    <t>Yan, Xiting</t>
  </si>
  <si>
    <t>Yang, Ben</t>
  </si>
  <si>
    <t>Yang, Bin</t>
  </si>
  <si>
    <t>Yang, Bob</t>
  </si>
  <si>
    <t>Chao, Min (NY)</t>
  </si>
  <si>
    <t>Chen, Jennifer (TX)</t>
  </si>
  <si>
    <t>Chen, Leon (TX)</t>
  </si>
  <si>
    <t>Chen, Xiang (KS)</t>
  </si>
  <si>
    <t>David, Brian (OR)</t>
  </si>
  <si>
    <t>Kim, Andrew (CA)</t>
  </si>
  <si>
    <t>Kumar, Abhishek (NY)</t>
  </si>
  <si>
    <t>Lam, Calvin (CA)</t>
  </si>
  <si>
    <t>Le, Tuan (CA)</t>
  </si>
  <si>
    <t>Li, David (NC)</t>
  </si>
  <si>
    <t>Li, Huan (FL)</t>
  </si>
  <si>
    <t>Li, Kenneth (MI)</t>
  </si>
  <si>
    <t>Li, Xiaoyu (NC)</t>
  </si>
  <si>
    <t>Lin, Xihui (WI)</t>
  </si>
  <si>
    <t>Lin, Xing (KS)</t>
  </si>
  <si>
    <t>Lin, Xing (OH)</t>
  </si>
  <si>
    <t>Liu, Charles (NY)</t>
  </si>
  <si>
    <t>Liu, William (CA)</t>
  </si>
  <si>
    <t>Ly, Tue (OH)</t>
  </si>
  <si>
    <t>Mao, Matthew (IL)</t>
  </si>
  <si>
    <t>Onyshuk, Joel (MN)</t>
  </si>
  <si>
    <t>Reid, Matt (MS)</t>
  </si>
  <si>
    <t>Wang, David (NY)</t>
  </si>
  <si>
    <t>Wu, Jack (PA)</t>
  </si>
  <si>
    <t>Wu, Xuan (CA)</t>
  </si>
  <si>
    <t>Wu, Yifan (NY)</t>
  </si>
  <si>
    <t>Yang, Jin (NJ)</t>
  </si>
  <si>
    <t>Yang, Jin (NY)</t>
  </si>
  <si>
    <t>Yang, Li (CA)</t>
  </si>
  <si>
    <t>Yang, Li (FL)</t>
  </si>
  <si>
    <t>Team_Matches!A1</t>
  </si>
  <si>
    <t>Team_Matches!A52</t>
  </si>
  <si>
    <t>Team_Matches!A103</t>
  </si>
  <si>
    <t>Team_Matches!A154</t>
  </si>
  <si>
    <t>Team_Matches!A205</t>
  </si>
  <si>
    <t>Team_Matches!A256</t>
  </si>
  <si>
    <t>Team_Matches!A307</t>
  </si>
  <si>
    <t>Team_Matches!A358</t>
  </si>
  <si>
    <t>Team_Matches!A409</t>
  </si>
  <si>
    <t>Team_Matches!A460</t>
  </si>
  <si>
    <t>Team_Matches!A511</t>
  </si>
  <si>
    <t>Team_Matches!A562</t>
  </si>
  <si>
    <t>Team_Matches!A613</t>
  </si>
  <si>
    <t>Team_Matches!A664</t>
  </si>
  <si>
    <t>Team_Matches!A715</t>
  </si>
  <si>
    <t>Team_Matches!A766</t>
  </si>
  <si>
    <t>Team_Matches!A817</t>
  </si>
  <si>
    <t>Team_Matches!A868</t>
  </si>
  <si>
    <t>Team_Matches!A919</t>
  </si>
  <si>
    <t>Team_Matches!A970</t>
  </si>
  <si>
    <t>Team_Matches!A1021</t>
  </si>
  <si>
    <t>Team_Matches!A1072</t>
  </si>
  <si>
    <t>Team_Matches!A1123</t>
  </si>
  <si>
    <t>Team_Matches!A1174</t>
  </si>
  <si>
    <t>Team_Matches!A1225</t>
  </si>
  <si>
    <t>Team_Matches!A1276</t>
  </si>
  <si>
    <t>Team_Matches!A1327</t>
  </si>
  <si>
    <t>Team_Matches!A1378</t>
  </si>
  <si>
    <t>Team_Matches!A1429</t>
  </si>
  <si>
    <t>Team_Matches!A1480</t>
  </si>
  <si>
    <t>Team_Matches!A1531</t>
  </si>
  <si>
    <t>Team_Matches!A1582</t>
  </si>
  <si>
    <t>Team_Matches!A1633</t>
  </si>
  <si>
    <t>Team_Matches!A1684</t>
  </si>
  <si>
    <t>Team_Matches!A1735</t>
  </si>
  <si>
    <t>Team_Matches!A1786</t>
  </si>
  <si>
    <t>Team_Matches!A1837</t>
  </si>
  <si>
    <t>Team_Matches!A1888</t>
  </si>
  <si>
    <t>Team_Matches!A1939</t>
  </si>
  <si>
    <t>Team_Matches!A1990</t>
  </si>
  <si>
    <t>Team_Matches!A2041</t>
  </si>
  <si>
    <t>Team_Matches!A2092</t>
  </si>
  <si>
    <t>Team_Matches!A2143</t>
  </si>
  <si>
    <t>Team_Matches!A2194</t>
  </si>
  <si>
    <t>Team_Matches!A2245</t>
  </si>
  <si>
    <t>Team_Matches!A2296</t>
  </si>
  <si>
    <t>Team_Matches!A2347</t>
  </si>
  <si>
    <t>Team_Matches!A2398</t>
  </si>
  <si>
    <t>Team_Matches!A2449</t>
  </si>
  <si>
    <t>Team_Matches!A2500</t>
  </si>
  <si>
    <t>Team_Matches!A2551</t>
  </si>
  <si>
    <t>Team_Matches!A2602</t>
  </si>
  <si>
    <t>Team_Matches!A2653</t>
  </si>
  <si>
    <t>Team_Matches!A2704</t>
  </si>
  <si>
    <t>Team_Matches!A2755</t>
  </si>
  <si>
    <t>Team_Matches!A2806</t>
  </si>
  <si>
    <t>Team_Matches!A2857</t>
  </si>
  <si>
    <t>Team_Matches!A2908</t>
  </si>
  <si>
    <t>Team_Matches!A2959</t>
  </si>
  <si>
    <t>Team_Matches!A3010</t>
  </si>
  <si>
    <t>Team_Matches!A3061</t>
  </si>
  <si>
    <t>Team_Matches!A3112</t>
  </si>
  <si>
    <t>Team_Matches!A3163</t>
  </si>
  <si>
    <t>Team_Matches!A3214</t>
  </si>
  <si>
    <t>Team_Matches!A3265</t>
  </si>
  <si>
    <t>Team_Matches!A3316</t>
  </si>
  <si>
    <t>Match_Rosters!A1</t>
  </si>
  <si>
    <t>Match_Rosters!A1089</t>
  </si>
  <si>
    <t>Match_Rosters!A2177</t>
  </si>
  <si>
    <t>Match_Rosters!A3265</t>
  </si>
  <si>
    <t>Option #2</t>
  </si>
  <si>
    <t>Option #1</t>
  </si>
  <si>
    <t xml:space="preserve">On the DRAW sheet you can click on one of the letter "T"s to take you quickly to the "T"eam_Matches </t>
  </si>
  <si>
    <t>You can also click on one of the letter "M"s to take you quickly to the "M"atch_Rosters sheet.</t>
  </si>
  <si>
    <t>In the example below, you would be taken directly to the the match between H and J.</t>
  </si>
  <si>
    <t>sheet. In the example below, you would be taken directly to the match between C and K.</t>
  </si>
  <si>
    <t>Start Time</t>
  </si>
  <si>
    <t>Interval (Min)</t>
  </si>
  <si>
    <t>Setting Match Times</t>
  </si>
  <si>
    <t>On the DRAW sheet, you can set the start time of Round 1 by clicking on the green box and then</t>
  </si>
  <si>
    <t>clicking on the dropdown arrow.  The time starts at 8:00 AM and goes in 5 minute increments</t>
  </si>
  <si>
    <t>up until 9:00 PM.</t>
  </si>
  <si>
    <t>Once you have set the start time for Round 1, you then decide how many minutes later will Round 2 start.</t>
  </si>
  <si>
    <t>Simply click on the green box for Interval and select the number of minutes between each round.</t>
  </si>
  <si>
    <t>Q15</t>
  </si>
  <si>
    <t>A15</t>
  </si>
  <si>
    <t>What can I do with the match time if we take a break and are no longer on the original schedule?</t>
  </si>
  <si>
    <t>Simply go back to the DRAW sheet and adjust the start time by the amount of the break time.  For example, if you started at 9:00am, played several rounds, and then took a 30 minute break, just add that 30 minutes to the original start time and the rest of the match times will be accurate again.</t>
  </si>
  <si>
    <r>
      <t xml:space="preserve">Start Time and Interval </t>
    </r>
    <r>
      <rPr>
        <b/>
        <sz val="10"/>
        <rFont val="Arial"/>
        <family val="2"/>
      </rPr>
      <t>MUST</t>
    </r>
    <r>
      <rPr>
        <sz val="10"/>
        <rFont val="Arial"/>
        <family val="2"/>
      </rPr>
      <t xml:space="preserve"> be selected from the dropdown arrow.</t>
    </r>
  </si>
  <si>
    <t>Round 1</t>
  </si>
  <si>
    <t>Round 11</t>
  </si>
  <si>
    <t>Round 3</t>
  </si>
  <si>
    <t>Round 4</t>
  </si>
  <si>
    <t>Round 5</t>
  </si>
  <si>
    <t>Round 6</t>
  </si>
  <si>
    <t>Round 7</t>
  </si>
  <si>
    <t>Round 8</t>
  </si>
  <si>
    <t>Round 9</t>
  </si>
  <si>
    <t>Round 10</t>
  </si>
  <si>
    <t>Round 2</t>
  </si>
  <si>
    <t>Match 1</t>
  </si>
  <si>
    <t>Match 2</t>
  </si>
  <si>
    <t>Match 3</t>
  </si>
  <si>
    <t>Match 4</t>
  </si>
  <si>
    <t>Match 5</t>
  </si>
  <si>
    <t>Match 6</t>
  </si>
  <si>
    <t>Match Times - Two teams advance</t>
  </si>
  <si>
    <t>The PLAYERS sheet shows the start times for the matches based on the input from the DRAW sheet.</t>
  </si>
  <si>
    <t>The number of teams is based upon the value in Cell T1 of the DRAW sheet.</t>
  </si>
  <si>
    <t>The start time and its intervals are also set on the DRAW sheet.</t>
  </si>
  <si>
    <t>The next page shows the sequence of matches for two teams advancing.  It shows round robin formats</t>
  </si>
  <si>
    <t>from three teams to 12 teams.</t>
  </si>
  <si>
    <t>Do the hyperlinks on the DRAW sheet work in OfficeCalc?</t>
  </si>
  <si>
    <t>No.  To move quickly to a particular page in OfficeCalc, you will have to use the FIND button as described in the INSTRUCTIONS sheet for "Moving Quickly to a Contest".</t>
  </si>
  <si>
    <t>Select the Starting Time from the dropdown arrow in Cell AC10.</t>
  </si>
  <si>
    <t>Select the Interval time from the dropdown arrow in cell AC13.</t>
  </si>
  <si>
    <t>Repeat steps 10-17 for every contest.</t>
  </si>
  <si>
    <t>Q16</t>
  </si>
  <si>
    <t>A16</t>
  </si>
  <si>
    <t>I noticed at the top of the spreadsheet it says "[Compatibility Mode]".  How do I get rid of that so it will run in my version of Excel?</t>
  </si>
  <si>
    <t>Click on the Excel logo at the top left-hand corner of your application; Select Save As.  Click on the first choice for Excel Workbook.  Select the location where you want to save the file and enter a filename.  Click on the Save button.  Now exit out of Excel and reopen this new file.</t>
  </si>
  <si>
    <t>Last Negative Number Used</t>
  </si>
  <si>
    <t>The last negative number that you used will be displayed at the top of the Players sheet.  This will allow</t>
  </si>
  <si>
    <t>you to know what negative number you should use next.</t>
  </si>
  <si>
    <t>assign this player a negative number, you need to make sure that this player has the SAME</t>
  </si>
  <si>
    <t>If you have a player playing on multiple teams (eg., Lindenwood A and Lindenwood B) and you</t>
  </si>
  <si>
    <t>negative number for both teams (eg., -8 and -8).</t>
  </si>
  <si>
    <t>Go to Print Preview. Click on Page Setup. Click on the Sheet tab. Click the radio button for "Down, then Over" for Page Order.  Click OK.  Click Print.  Click OK.  The second page number will now be the correct page to print (eg., Page 13, not Pages 25-26).</t>
  </si>
  <si>
    <t>Director's Signature:</t>
  </si>
  <si>
    <t>Takahashi, Yumi</t>
  </si>
  <si>
    <t>Takami, Naoko</t>
  </si>
  <si>
    <t>Takamuku, Kohei</t>
  </si>
  <si>
    <t>Talton, Delvin</t>
  </si>
  <si>
    <t>Tam, Gordon</t>
  </si>
  <si>
    <t>Tam, Leslie</t>
  </si>
  <si>
    <t>Tam, Terry</t>
  </si>
  <si>
    <t>Tan, Bingying</t>
  </si>
  <si>
    <t>Tan, Cynthia</t>
  </si>
  <si>
    <t>Tan, Jim</t>
  </si>
  <si>
    <t>Tan, Josephine</t>
  </si>
  <si>
    <t>Tan, Kai</t>
  </si>
  <si>
    <t>Michel, Cyril</t>
  </si>
  <si>
    <t>Micka, Digger</t>
  </si>
  <si>
    <t>Mighty, Jerome</t>
  </si>
  <si>
    <t>Miglietti, Andrew</t>
  </si>
  <si>
    <t>Migoko, Yussuf</t>
  </si>
  <si>
    <t>Mikami, Saori</t>
  </si>
  <si>
    <t>Mikus, Casey</t>
  </si>
  <si>
    <t>Milars, Matt</t>
  </si>
  <si>
    <t>Miller, Jacob</t>
  </si>
  <si>
    <t>Miller, Richard</t>
  </si>
  <si>
    <t>Miller, Sun Lie</t>
  </si>
  <si>
    <t>Miller, Tim</t>
  </si>
  <si>
    <t>Millican, Emily</t>
  </si>
  <si>
    <t>Milwicz, Steve</t>
  </si>
  <si>
    <t>Min, Eric</t>
  </si>
  <si>
    <t>Minami, Koyo</t>
  </si>
  <si>
    <t>Ming, Lewis</t>
  </si>
  <si>
    <t>Ming, Yiu</t>
  </si>
  <si>
    <t>Minkov, Svetozar</t>
  </si>
  <si>
    <t>Minsker, Stas</t>
  </si>
  <si>
    <t>Mintac, Philip</t>
  </si>
  <si>
    <t>Mintz, Randy</t>
  </si>
  <si>
    <t>Mintzmyer, Ellen</t>
  </si>
  <si>
    <t>Mirchev, Milen</t>
  </si>
  <si>
    <t>Mirtchev, Slavi</t>
  </si>
  <si>
    <t>Misra, Deapesh</t>
  </si>
  <si>
    <t>Misra, Sambuddha</t>
  </si>
  <si>
    <t>Mistry, Romanch</t>
  </si>
  <si>
    <t>Mitchel, Brad</t>
  </si>
  <si>
    <t>Mitra, Nick</t>
  </si>
  <si>
    <t>Mittal, Ruchita</t>
  </si>
  <si>
    <t>Mizobuchi, Livia</t>
  </si>
  <si>
    <t>Mizukoshi, Daichi</t>
  </si>
  <si>
    <t>Mo, Lei</t>
  </si>
  <si>
    <t>Mobley, Ethan</t>
  </si>
  <si>
    <t>Mocas, Collin</t>
  </si>
  <si>
    <t>Modic, Ben</t>
  </si>
  <si>
    <t>Mohan, Sumit</t>
  </si>
  <si>
    <t>Mohlenhoff, Jonathan</t>
  </si>
  <si>
    <t>Moise, Mike</t>
  </si>
  <si>
    <t>Mojaver, Sasan</t>
  </si>
  <si>
    <t>Mok, Yilang</t>
  </si>
  <si>
    <t>Mokarim, Zohair</t>
  </si>
  <si>
    <t>Molano, Andres</t>
  </si>
  <si>
    <t>andresmogo@gmail.com</t>
  </si>
  <si>
    <t>Mondini, Beto</t>
  </si>
  <si>
    <t>Monsalve, Raul</t>
  </si>
  <si>
    <t>Monsorno, Rick</t>
  </si>
  <si>
    <t>Montague, Alex</t>
  </si>
  <si>
    <t>Montalbano, Michael</t>
  </si>
  <si>
    <t>Montano, Freddy</t>
  </si>
  <si>
    <t>Montano, Maria</t>
  </si>
  <si>
    <t>Mooradian, Robert</t>
  </si>
  <si>
    <t>Moore, Doug</t>
  </si>
  <si>
    <t>Moore, Joseph</t>
  </si>
  <si>
    <t>Moran, Patrick</t>
  </si>
  <si>
    <t>Morgan, Jared</t>
  </si>
  <si>
    <t>Morgan, Jeff</t>
  </si>
  <si>
    <t>Morgan, Karim</t>
  </si>
  <si>
    <t>Morgan, Matthew</t>
  </si>
  <si>
    <t>Morrell, Mark</t>
  </si>
  <si>
    <t>Morris, Adrian</t>
  </si>
  <si>
    <t>Morris, Chris</t>
  </si>
  <si>
    <t>Morris, Dan</t>
  </si>
  <si>
    <t>Morrow, John</t>
  </si>
  <si>
    <t>Mortimer, Steve</t>
  </si>
  <si>
    <t>Moshe, A</t>
  </si>
  <si>
    <t>Mosher, Shad</t>
  </si>
  <si>
    <t>Mostrag, Mariusz</t>
  </si>
  <si>
    <t>Motohari, Seyed Afolfazl</t>
  </si>
  <si>
    <t>Mou, Chengpeng</t>
  </si>
  <si>
    <t>Moxey, Chris</t>
  </si>
  <si>
    <t>Moy, Lexton</t>
  </si>
  <si>
    <t>Moy, Susie</t>
  </si>
  <si>
    <t>Moy, Yu Cheung</t>
  </si>
  <si>
    <t>Moyant, Kyle</t>
  </si>
  <si>
    <t>Mozur, Joey</t>
  </si>
  <si>
    <t>Mrzlak, Brendon</t>
  </si>
  <si>
    <t>Mu, Weiyi</t>
  </si>
  <si>
    <t>Muchel, Ryan</t>
  </si>
  <si>
    <t>Mueller, Bertold</t>
  </si>
  <si>
    <t>Mueller, Martin</t>
  </si>
  <si>
    <t>Mueller, Nathan</t>
  </si>
  <si>
    <t>Mugaho, David</t>
  </si>
  <si>
    <t>Mulder, Jeroen</t>
  </si>
  <si>
    <t>Mullen, Ryan</t>
  </si>
  <si>
    <t>Muller, Ruben</t>
  </si>
  <si>
    <t>Mumford, Holly</t>
  </si>
  <si>
    <t>Mumtaz, John</t>
  </si>
  <si>
    <t>Muradov, Farkhod</t>
  </si>
  <si>
    <t>Murali, Rohit</t>
  </si>
  <si>
    <t>Muralidhar, Pavan</t>
  </si>
  <si>
    <t>Muralikrishnan, Sivraj</t>
  </si>
  <si>
    <t>Murray, Ryan</t>
  </si>
  <si>
    <t>Murthy, Raghothom</t>
  </si>
  <si>
    <t>Musker, Jackson</t>
  </si>
  <si>
    <t>Musker, Patrick</t>
  </si>
  <si>
    <t>Muth, Pete</t>
  </si>
  <si>
    <t>Myers, Blake</t>
  </si>
  <si>
    <t>Myers, Nate</t>
  </si>
  <si>
    <t>Myers, Nathan</t>
  </si>
  <si>
    <t>Myint, Kyaw Zeyar</t>
  </si>
  <si>
    <t>Myrick, Zack</t>
  </si>
  <si>
    <t>Na, Jongwon</t>
  </si>
  <si>
    <t>Nabil, A</t>
  </si>
  <si>
    <t>Nadler, Zach</t>
  </si>
  <si>
    <t>Nadtochig, Kirill</t>
  </si>
  <si>
    <t>Nagata, Kevin</t>
  </si>
  <si>
    <t>Nagatomo, Taka</t>
  </si>
  <si>
    <t>Naimoli, Peter</t>
  </si>
  <si>
    <t>pnaimoli@mit.edu</t>
  </si>
  <si>
    <t>Naing, Andy</t>
  </si>
  <si>
    <t>Nair, Sujoy</t>
  </si>
  <si>
    <t>Nakayama, Takahiro</t>
  </si>
  <si>
    <t>Nam, Ashley</t>
  </si>
  <si>
    <t>Nam, Gwan</t>
  </si>
  <si>
    <t>Nam, Hoyon</t>
  </si>
  <si>
    <t>Nanca, Ryan</t>
  </si>
  <si>
    <t>Nanivadekar, Ameya</t>
  </si>
  <si>
    <t>Napier, Walter</t>
  </si>
  <si>
    <t>Narayan, Bravishma</t>
  </si>
  <si>
    <t>Narula, Ankit</t>
  </si>
  <si>
    <t>Nash, Alan</t>
  </si>
  <si>
    <t>Nass, Zachary</t>
  </si>
  <si>
    <t>Nath, Maneesh</t>
  </si>
  <si>
    <t>Nations, Stuwart</t>
  </si>
  <si>
    <t>Navas, Klaus</t>
  </si>
  <si>
    <t>Nawab, Aditya</t>
  </si>
  <si>
    <t>Ndiwane, James</t>
  </si>
  <si>
    <t>Nelson, Angela</t>
  </si>
  <si>
    <t>Nelson, Dave</t>
  </si>
  <si>
    <t>Nelson, Steven</t>
  </si>
  <si>
    <t>Nendo, Partloiv</t>
  </si>
  <si>
    <t>Nene, Amit</t>
  </si>
  <si>
    <t>Nerrie, Erik</t>
  </si>
  <si>
    <t>Nevfield, Jason</t>
  </si>
  <si>
    <t>Newkirk, Jarrod</t>
  </si>
  <si>
    <t>Newman, Patrick</t>
  </si>
  <si>
    <t>Newsome, Josh</t>
  </si>
  <si>
    <t>Newton, Tyler</t>
  </si>
  <si>
    <t>Ng, Alex</t>
  </si>
  <si>
    <t>Ng, Ana</t>
  </si>
  <si>
    <t>Ng, Andres</t>
  </si>
  <si>
    <t>Pages 1-2</t>
  </si>
  <si>
    <t>Pages 3-4</t>
  </si>
  <si>
    <t>Pages 5-6</t>
  </si>
  <si>
    <t>Pages 7-8</t>
  </si>
  <si>
    <t>Pages 9-10</t>
  </si>
  <si>
    <t>Pages 11-12</t>
  </si>
  <si>
    <t>Pages 13-14</t>
  </si>
  <si>
    <t>Pages 15-16</t>
  </si>
  <si>
    <t>Pages 17-18</t>
  </si>
  <si>
    <t>Pages 19-20</t>
  </si>
  <si>
    <t>Pages 21-22</t>
  </si>
  <si>
    <t>Pages 23-24</t>
  </si>
  <si>
    <t>Pages 25-26</t>
  </si>
  <si>
    <t>Pages 27-28</t>
  </si>
  <si>
    <t>Pages 29-30</t>
  </si>
  <si>
    <t>Pages 31-32</t>
  </si>
  <si>
    <t>Pages 33-34</t>
  </si>
  <si>
    <t>Pages 35-36</t>
  </si>
  <si>
    <t>Pages 37-38</t>
  </si>
  <si>
    <t>Pages 39-40</t>
  </si>
  <si>
    <t>Pages 41-42</t>
  </si>
  <si>
    <t>Pages 43-44</t>
  </si>
  <si>
    <t>Pages 45-46</t>
  </si>
  <si>
    <t>Pages 47-48</t>
  </si>
  <si>
    <t>Pages 49-50</t>
  </si>
  <si>
    <t>Pages 51-52</t>
  </si>
  <si>
    <t>Pages 53-54</t>
  </si>
  <si>
    <t>Pages 55-56</t>
  </si>
  <si>
    <t>Pages 57-58</t>
  </si>
  <si>
    <t>Pages 59-60</t>
  </si>
  <si>
    <t>Pages 61-62</t>
  </si>
  <si>
    <t>Pages 63-64</t>
  </si>
  <si>
    <t>Pages 65-66</t>
  </si>
  <si>
    <t>Pages 67-68</t>
  </si>
  <si>
    <t>Pages 69-70</t>
  </si>
  <si>
    <t>Pages 71-72</t>
  </si>
  <si>
    <t>Pages 73-74</t>
  </si>
  <si>
    <t>Pages 75-76</t>
  </si>
  <si>
    <t>Pages 77-78</t>
  </si>
  <si>
    <t>Pages 79-80</t>
  </si>
  <si>
    <t>Pages 81-82</t>
  </si>
  <si>
    <t>Pages 83-84</t>
  </si>
  <si>
    <t>Pages 85-86</t>
  </si>
  <si>
    <t>Pages 87-88</t>
  </si>
  <si>
    <t>Pages 89-90</t>
  </si>
  <si>
    <t>Pages 91-92</t>
  </si>
  <si>
    <t>Pages 93-94</t>
  </si>
  <si>
    <t>Pages 95-96</t>
  </si>
  <si>
    <t>Pages 97-98</t>
  </si>
  <si>
    <t>Pages 99-100</t>
  </si>
  <si>
    <t>Pages 101-102</t>
  </si>
  <si>
    <t>Pages 103-104</t>
  </si>
  <si>
    <t>Pages 105-106</t>
  </si>
  <si>
    <t>Pages 107-108</t>
  </si>
  <si>
    <t>Pages 109-110</t>
  </si>
  <si>
    <t>Pages 111-112</t>
  </si>
  <si>
    <t>Pages 113-114</t>
  </si>
  <si>
    <t>Pages 115-116</t>
  </si>
  <si>
    <t>Pages 117-118</t>
  </si>
  <si>
    <t>Pages 119-120</t>
  </si>
  <si>
    <t>Pages 121-122</t>
  </si>
  <si>
    <t>Pages 123-124</t>
  </si>
  <si>
    <t>Pages 125-126</t>
  </si>
  <si>
    <t>Pages 127-128</t>
  </si>
  <si>
    <t>Pages 129-130</t>
  </si>
  <si>
    <t>Pages 131-132</t>
  </si>
  <si>
    <t>Page 1</t>
  </si>
  <si>
    <t>Page 132</t>
  </si>
  <si>
    <t>Page 2</t>
  </si>
  <si>
    <t>Page 3</t>
  </si>
  <si>
    <t>Page 4</t>
  </si>
  <si>
    <t>Page 5</t>
  </si>
  <si>
    <t>Page 6</t>
  </si>
  <si>
    <t>Page 7</t>
  </si>
  <si>
    <t>Page 8</t>
  </si>
  <si>
    <t>Page 9</t>
  </si>
  <si>
    <t>Page 10</t>
  </si>
  <si>
    <t>Page 11</t>
  </si>
  <si>
    <t>Page 12</t>
  </si>
  <si>
    <t>Page 13</t>
  </si>
  <si>
    <t>Page 14</t>
  </si>
  <si>
    <t>Page 15</t>
  </si>
  <si>
    <t>Page 16</t>
  </si>
  <si>
    <t>Page 17</t>
  </si>
  <si>
    <t>Page 18</t>
  </si>
  <si>
    <t>Page 19</t>
  </si>
  <si>
    <t>Page 20</t>
  </si>
  <si>
    <t>Page 21</t>
  </si>
  <si>
    <t>Page 22</t>
  </si>
  <si>
    <t>Page 23</t>
  </si>
  <si>
    <t>Page 24</t>
  </si>
  <si>
    <t>Page 25</t>
  </si>
  <si>
    <t>Page 26</t>
  </si>
  <si>
    <t>Page 27</t>
  </si>
  <si>
    <t>Page 28</t>
  </si>
  <si>
    <t>Page 29</t>
  </si>
  <si>
    <t>Page 30</t>
  </si>
  <si>
    <t>Page 31</t>
  </si>
  <si>
    <t>Page 32</t>
  </si>
  <si>
    <t>Page 33</t>
  </si>
  <si>
    <t>Page 34</t>
  </si>
  <si>
    <t>Page 35</t>
  </si>
  <si>
    <t>Page 36</t>
  </si>
  <si>
    <t>Page 37</t>
  </si>
  <si>
    <t>Page 38</t>
  </si>
  <si>
    <t>Page 39</t>
  </si>
  <si>
    <t>Page 40</t>
  </si>
  <si>
    <t>Page 41</t>
  </si>
  <si>
    <t>Page 42</t>
  </si>
  <si>
    <t>Page 43</t>
  </si>
  <si>
    <t>Page 44</t>
  </si>
  <si>
    <t>Page 45</t>
  </si>
  <si>
    <t>Page 46</t>
  </si>
  <si>
    <t>Page 47</t>
  </si>
  <si>
    <t>Page 48</t>
  </si>
  <si>
    <t>Page 50</t>
  </si>
  <si>
    <t>Page 49</t>
  </si>
  <si>
    <t>Page 51</t>
  </si>
  <si>
    <t>Page 52</t>
  </si>
  <si>
    <t>Page 53</t>
  </si>
  <si>
    <t>Page 54</t>
  </si>
  <si>
    <t>Page 55</t>
  </si>
  <si>
    <t>Page 56</t>
  </si>
  <si>
    <t>Page 57</t>
  </si>
  <si>
    <t>Page 58</t>
  </si>
  <si>
    <t>Page 59</t>
  </si>
  <si>
    <t>Page 60</t>
  </si>
  <si>
    <t>Page 61</t>
  </si>
  <si>
    <t>Page 62</t>
  </si>
  <si>
    <t>Page 63</t>
  </si>
  <si>
    <t>Page 64</t>
  </si>
  <si>
    <t>Page 65</t>
  </si>
  <si>
    <t>Page 66</t>
  </si>
  <si>
    <t>Page 67</t>
  </si>
  <si>
    <t>Page 68</t>
  </si>
  <si>
    <t>Page 70</t>
  </si>
  <si>
    <t>Page 69</t>
  </si>
  <si>
    <t>Page 71</t>
  </si>
  <si>
    <t>Page 72</t>
  </si>
  <si>
    <t>Page 73</t>
  </si>
  <si>
    <t>Page 74</t>
  </si>
  <si>
    <t>Page 75</t>
  </si>
  <si>
    <t>Page 76</t>
  </si>
  <si>
    <t>Page 77</t>
  </si>
  <si>
    <t>Page 78</t>
  </si>
  <si>
    <t>Page 79</t>
  </si>
  <si>
    <t>Page 80</t>
  </si>
  <si>
    <t>Page 81</t>
  </si>
  <si>
    <t>Page 82</t>
  </si>
  <si>
    <t>Page 83</t>
  </si>
  <si>
    <t>Page 84</t>
  </si>
  <si>
    <t>Page 85</t>
  </si>
  <si>
    <t>Page 86</t>
  </si>
  <si>
    <t>Page 87</t>
  </si>
  <si>
    <t>Page 88</t>
  </si>
  <si>
    <t>Page 89</t>
  </si>
  <si>
    <t>Page 90</t>
  </si>
  <si>
    <t>Page 91</t>
  </si>
  <si>
    <t>Page 92</t>
  </si>
  <si>
    <t>Page 93</t>
  </si>
  <si>
    <t>Page 94</t>
  </si>
  <si>
    <t>Page 95</t>
  </si>
  <si>
    <t>Page 96</t>
  </si>
  <si>
    <t>Page 97</t>
  </si>
  <si>
    <t>Page 98</t>
  </si>
  <si>
    <t>Page 99</t>
  </si>
  <si>
    <t>Page 100</t>
  </si>
  <si>
    <t>Page 101</t>
  </si>
  <si>
    <t>Page 102</t>
  </si>
  <si>
    <t>Page 103</t>
  </si>
  <si>
    <t>Page 104</t>
  </si>
  <si>
    <t>Page 105</t>
  </si>
  <si>
    <t>Page 106</t>
  </si>
  <si>
    <t>Page 107</t>
  </si>
  <si>
    <t>Page 108</t>
  </si>
  <si>
    <t>Page 109</t>
  </si>
  <si>
    <t>Page 110</t>
  </si>
  <si>
    <t>Page 111</t>
  </si>
  <si>
    <t>Page 112</t>
  </si>
  <si>
    <t>Page 113</t>
  </si>
  <si>
    <t>Page 114</t>
  </si>
  <si>
    <t>Page 115</t>
  </si>
  <si>
    <t>Page 116</t>
  </si>
  <si>
    <t>Page 117</t>
  </si>
  <si>
    <t>Page 118</t>
  </si>
  <si>
    <t>Page 119</t>
  </si>
  <si>
    <t>Page 120</t>
  </si>
  <si>
    <t>Page 121</t>
  </si>
  <si>
    <t>Page 122</t>
  </si>
  <si>
    <t>Page 123</t>
  </si>
  <si>
    <t>Page 124</t>
  </si>
  <si>
    <t>Page 125</t>
  </si>
  <si>
    <t>Page 126</t>
  </si>
  <si>
    <t>Page 127</t>
  </si>
  <si>
    <t>Page 128</t>
  </si>
  <si>
    <t>Page 129</t>
  </si>
  <si>
    <t>Page 130</t>
  </si>
  <si>
    <t>Page 131</t>
  </si>
  <si>
    <t>5=5-team RR</t>
  </si>
  <si>
    <t>6=6-team RR</t>
  </si>
  <si>
    <t>7=7-team RR</t>
  </si>
  <si>
    <t>8=8-team RR</t>
  </si>
  <si>
    <t>9=9-team RR</t>
  </si>
  <si>
    <t>10=10-team RR</t>
  </si>
  <si>
    <t>11=11-team RR</t>
  </si>
  <si>
    <t>Round</t>
  </si>
  <si>
    <t>Match</t>
  </si>
  <si>
    <t>A-C</t>
  </si>
  <si>
    <t>A-B</t>
  </si>
  <si>
    <t>B-C</t>
  </si>
  <si>
    <t>bye-B</t>
  </si>
  <si>
    <t>C-bye</t>
  </si>
  <si>
    <t>A-bye</t>
  </si>
  <si>
    <t>A-D</t>
  </si>
  <si>
    <t>B-D</t>
  </si>
  <si>
    <t>C-D</t>
  </si>
  <si>
    <r>
      <t>A-</t>
    </r>
    <r>
      <rPr>
        <sz val="8"/>
        <color indexed="8"/>
        <rFont val="Arial"/>
        <family val="2"/>
      </rPr>
      <t>bye</t>
    </r>
  </si>
  <si>
    <t>A-E</t>
  </si>
  <si>
    <t>B-E</t>
  </si>
  <si>
    <t>C-E</t>
  </si>
  <si>
    <r>
      <t>C-</t>
    </r>
    <r>
      <rPr>
        <sz val="8"/>
        <color indexed="8"/>
        <rFont val="Arial"/>
        <family val="2"/>
      </rPr>
      <t>bye</t>
    </r>
  </si>
  <si>
    <t>bye-D</t>
  </si>
  <si>
    <t>E-bye</t>
  </si>
  <si>
    <t>D-E</t>
  </si>
  <si>
    <t>A-F</t>
  </si>
  <si>
    <t>C-F</t>
  </si>
  <si>
    <t>D-F</t>
  </si>
  <si>
    <t>B-F</t>
  </si>
  <si>
    <t>E-F</t>
  </si>
  <si>
    <t>A-G</t>
  </si>
  <si>
    <t>B-G</t>
  </si>
  <si>
    <t>bye-F</t>
  </si>
  <si>
    <t>E-G</t>
  </si>
  <si>
    <t>C-G</t>
  </si>
  <si>
    <t>D-G</t>
  </si>
  <si>
    <r>
      <t>G-</t>
    </r>
    <r>
      <rPr>
        <sz val="8"/>
        <color indexed="8"/>
        <rFont val="Arial"/>
        <family val="2"/>
      </rPr>
      <t>bye</t>
    </r>
  </si>
  <si>
    <t>F-G</t>
  </si>
  <si>
    <t>A-H</t>
  </si>
  <si>
    <t>F-H</t>
  </si>
  <si>
    <t>C-H</t>
  </si>
  <si>
    <t>E-H</t>
  </si>
  <si>
    <t>D-H</t>
  </si>
  <si>
    <t>B-H</t>
  </si>
  <si>
    <t>G-H</t>
  </si>
  <si>
    <t>A-I</t>
  </si>
  <si>
    <t>B-I</t>
  </si>
  <si>
    <t>bye-H</t>
  </si>
  <si>
    <t>G-I</t>
  </si>
  <si>
    <r>
      <t>E-</t>
    </r>
    <r>
      <rPr>
        <sz val="8"/>
        <color indexed="8"/>
        <rFont val="Arial"/>
        <family val="2"/>
      </rPr>
      <t>bye</t>
    </r>
  </si>
  <si>
    <t>D-I</t>
  </si>
  <si>
    <t>E-I</t>
  </si>
  <si>
    <t>B–E</t>
  </si>
  <si>
    <t>C-I</t>
  </si>
  <si>
    <t>F-I</t>
  </si>
  <si>
    <r>
      <t>I-</t>
    </r>
    <r>
      <rPr>
        <sz val="8"/>
        <color indexed="8"/>
        <rFont val="Arial"/>
        <family val="2"/>
      </rPr>
      <t>bye</t>
    </r>
  </si>
  <si>
    <t>H-I</t>
  </si>
  <si>
    <t>A-J</t>
  </si>
  <si>
    <t>H-J</t>
  </si>
  <si>
    <t>C-J</t>
  </si>
  <si>
    <t>F-J</t>
  </si>
  <si>
    <t>E-J</t>
  </si>
  <si>
    <t>G-J</t>
  </si>
  <si>
    <t>D-J</t>
  </si>
  <si>
    <t>B-J</t>
  </si>
  <si>
    <t>I-J</t>
  </si>
  <si>
    <t>A-K</t>
  </si>
  <si>
    <t>B-K</t>
  </si>
  <si>
    <t>J-bye</t>
  </si>
  <si>
    <t>I-K</t>
  </si>
  <si>
    <t>H-bye</t>
  </si>
  <si>
    <t>G-K</t>
  </si>
  <si>
    <t>D-K</t>
  </si>
  <si>
    <t>F-bye</t>
  </si>
  <si>
    <t>G-bye</t>
  </si>
  <si>
    <t>F-K</t>
  </si>
  <si>
    <t>E-K</t>
  </si>
  <si>
    <t>C-K</t>
  </si>
  <si>
    <t>I-bye</t>
  </si>
  <si>
    <t>H-K</t>
  </si>
  <si>
    <t>D-bye</t>
  </si>
  <si>
    <t>B-bye</t>
  </si>
  <si>
    <t>K-bye</t>
  </si>
  <si>
    <t>J-K</t>
  </si>
  <si>
    <t>A-L</t>
  </si>
  <si>
    <t>J-L</t>
  </si>
  <si>
    <t>C-L</t>
  </si>
  <si>
    <t>H-L</t>
  </si>
  <si>
    <t>E-L</t>
  </si>
  <si>
    <t>F-L</t>
  </si>
  <si>
    <t>G-L</t>
  </si>
  <si>
    <t>I-L</t>
  </si>
  <si>
    <t>D-L</t>
  </si>
  <si>
    <t>B-L</t>
  </si>
  <si>
    <t>K-L</t>
  </si>
  <si>
    <t>box #4).  If you are looking for Team "D" vs Team "G", then type D-G in Red box #3.  Then close</t>
  </si>
  <si>
    <t>How to Set the Score Validation to Manual Instead of Calculating After Every Score is Entered</t>
  </si>
  <si>
    <t>For Excel 2007…click on the logo in the top left corner and then click on the "Excel Options" button at</t>
  </si>
  <si>
    <t>the bottom.</t>
  </si>
  <si>
    <t xml:space="preserve">When you have done that, a CALCULATE button will appear in the bottom left corner.  Simply click </t>
  </si>
  <si>
    <t>If cell T1 has a number from 5-11, then that number of teams will be used for the round robin competition.</t>
  </si>
  <si>
    <t>In that case, you will want to set cell T1 to "3" so that teams (A-D) will compute a ranking from 1-4</t>
  </si>
  <si>
    <t>and teams (E-H) will compute a ranking from 1-4.</t>
  </si>
  <si>
    <t>Match Sequence - Two teams advance</t>
  </si>
  <si>
    <t>The sequence of the team matches will be in the order as shown below for that particular number.</t>
  </si>
  <si>
    <t>3-team</t>
  </si>
  <si>
    <t>4-team</t>
  </si>
  <si>
    <t>5-team</t>
  </si>
  <si>
    <t>6-team</t>
  </si>
  <si>
    <t>7-team</t>
  </si>
  <si>
    <t>8-team</t>
  </si>
  <si>
    <t>9-team</t>
  </si>
  <si>
    <t>10-team</t>
  </si>
  <si>
    <t>11-team</t>
  </si>
  <si>
    <t>12-team</t>
  </si>
  <si>
    <t>4 players' names as they cannot have any other lineup with just 4 players.  Only the doubles</t>
  </si>
  <si>
    <t>partner will need to be entered.</t>
  </si>
  <si>
    <r>
      <t xml:space="preserve">Go to the </t>
    </r>
    <r>
      <rPr>
        <b/>
        <sz val="10"/>
        <rFont val="Arial"/>
        <family val="2"/>
      </rPr>
      <t>DRAW</t>
    </r>
    <r>
      <rPr>
        <sz val="10"/>
        <rFont val="Arial"/>
        <family val="2"/>
      </rPr>
      <t xml:space="preserve"> sheet circled in </t>
    </r>
    <r>
      <rPr>
        <sz val="10"/>
        <color indexed="10"/>
        <rFont val="Arial"/>
        <family val="2"/>
      </rPr>
      <t>red</t>
    </r>
    <r>
      <rPr>
        <sz val="10"/>
        <rFont val="Arial"/>
        <family val="2"/>
      </rPr>
      <t xml:space="preserve">.  </t>
    </r>
  </si>
  <si>
    <r>
      <t xml:space="preserve">Go to the </t>
    </r>
    <r>
      <rPr>
        <b/>
        <sz val="10"/>
        <rFont val="Arial"/>
        <family val="2"/>
      </rPr>
      <t>PLAYERS</t>
    </r>
    <r>
      <rPr>
        <sz val="10"/>
        <rFont val="Arial"/>
        <family val="2"/>
      </rPr>
      <t xml:space="preserve"> sheet circled in </t>
    </r>
    <r>
      <rPr>
        <sz val="10"/>
        <color indexed="10"/>
        <rFont val="Arial"/>
        <family val="2"/>
      </rPr>
      <t>red</t>
    </r>
    <r>
      <rPr>
        <sz val="10"/>
        <rFont val="Arial"/>
        <family val="2"/>
      </rPr>
      <t xml:space="preserve">.  </t>
    </r>
  </si>
  <si>
    <t>If this player cannot be found in the Sheet labeled "RatingList", then "#N/A" will be displayed.</t>
  </si>
  <si>
    <r>
      <t xml:space="preserve">If "#N/A" appears, the Tournament Director </t>
    </r>
    <r>
      <rPr>
        <b/>
        <sz val="10"/>
        <rFont val="Arial"/>
        <family val="2"/>
      </rPr>
      <t>must</t>
    </r>
    <r>
      <rPr>
        <sz val="10"/>
        <rFont val="Arial"/>
        <family val="2"/>
      </rPr>
      <t xml:space="preserve"> manually peruse the list of players in the RatingList sheet</t>
    </r>
  </si>
  <si>
    <t>the RatingList sheet, then you need to replace the Excel formula you just overwrote with your</t>
  </si>
  <si>
    <r>
      <t xml:space="preserve">Go to the </t>
    </r>
    <r>
      <rPr>
        <b/>
        <sz val="10"/>
        <rFont val="Arial"/>
        <family val="2"/>
      </rPr>
      <t>MATCH_ROSTERS</t>
    </r>
    <r>
      <rPr>
        <sz val="10"/>
        <rFont val="Arial"/>
        <family val="2"/>
      </rPr>
      <t xml:space="preserve"> sheet circled in </t>
    </r>
    <r>
      <rPr>
        <sz val="10"/>
        <color indexed="10"/>
        <rFont val="Arial"/>
        <family val="2"/>
      </rPr>
      <t>red</t>
    </r>
    <r>
      <rPr>
        <sz val="10"/>
        <rFont val="Arial"/>
        <family val="2"/>
      </rPr>
      <t xml:space="preserve">.  </t>
    </r>
  </si>
  <si>
    <t>The names will appear here according to what you entered on the PLAYERS sheet.</t>
  </si>
  <si>
    <r>
      <t xml:space="preserve">Go to the </t>
    </r>
    <r>
      <rPr>
        <b/>
        <sz val="10"/>
        <rFont val="Arial"/>
        <family val="2"/>
      </rPr>
      <t>TEAM_MATCHES</t>
    </r>
    <r>
      <rPr>
        <sz val="10"/>
        <rFont val="Arial"/>
        <family val="2"/>
      </rPr>
      <t xml:space="preserve"> sheet circled in </t>
    </r>
    <r>
      <rPr>
        <sz val="10"/>
        <color indexed="10"/>
        <rFont val="Arial"/>
        <family val="2"/>
      </rPr>
      <t>red</t>
    </r>
    <r>
      <rPr>
        <sz val="10"/>
        <rFont val="Arial"/>
        <family val="2"/>
      </rPr>
      <t xml:space="preserve">.  </t>
    </r>
  </si>
  <si>
    <t>If a team only has 4 players, then the Team_Matches sheet will automatically be pre-populated with those</t>
  </si>
  <si>
    <t>The players' names will automatically be populated from the Match_Rosters sheet.</t>
  </si>
  <si>
    <t>2=Two 6-team RRs</t>
  </si>
  <si>
    <t>3=Three 4-team RRs</t>
  </si>
  <si>
    <t>4=Four 3-team RRs</t>
  </si>
  <si>
    <t>The winner, represented by "W", shows "Error" because the winning player "L" did not win exactly 3 games.</t>
  </si>
  <si>
    <t>Team "A" has put their 3rd position player ahead of their 2nd position player which is against the rules.</t>
  </si>
  <si>
    <t>The Doubles partner for Team "A" has to be someone other than the 1st Singles player.</t>
  </si>
  <si>
    <t>Darer, Adam</t>
  </si>
  <si>
    <t>Liao, Liang</t>
  </si>
  <si>
    <t>Sun, Yuan</t>
  </si>
  <si>
    <t>Ukawuba, Israel</t>
  </si>
  <si>
    <t>Westran, Colton</t>
  </si>
  <si>
    <t>Yin, Xiaofeng</t>
  </si>
  <si>
    <t>Bo, Tan</t>
  </si>
  <si>
    <t>Chow, David</t>
  </si>
  <si>
    <t>Ghimire, Kundan</t>
  </si>
  <si>
    <t>Guan, Sharon</t>
  </si>
  <si>
    <t>Huang, Jeff</t>
  </si>
  <si>
    <t>Khare, Monik</t>
  </si>
  <si>
    <t>Lei, Xiao</t>
  </si>
  <si>
    <t>Li, Steven</t>
  </si>
  <si>
    <t>Lien, Sang</t>
  </si>
  <si>
    <t>Lindquist, Robin</t>
  </si>
  <si>
    <t>Rao, Bowen</t>
  </si>
  <si>
    <t>Scipio, Danien</t>
  </si>
  <si>
    <t>Tembe, Ajinkya</t>
  </si>
  <si>
    <t>Tsai, Augustus</t>
  </si>
  <si>
    <t>Chen, Hong-Yan</t>
  </si>
  <si>
    <t>Chen, Xue Hong</t>
  </si>
  <si>
    <t>Daniels, Shaquilla</t>
  </si>
  <si>
    <t>Dhala, Zubair</t>
  </si>
  <si>
    <t>Etzweiler, Andrew</t>
  </si>
  <si>
    <t>Fu, Chi Kong</t>
  </si>
  <si>
    <t>Gautam, Satish</t>
  </si>
  <si>
    <t>Giandelsman, Sean</t>
  </si>
  <si>
    <t>Guo, Shu Yu</t>
  </si>
  <si>
    <t>Gurklys, Paulius</t>
  </si>
  <si>
    <t>Harrington, Jared</t>
  </si>
  <si>
    <t>He, Feng</t>
  </si>
  <si>
    <t>He, Jing</t>
  </si>
  <si>
    <t>Jakkaraju, Sriram</t>
  </si>
  <si>
    <t>Langkammer, Jonathan</t>
  </si>
  <si>
    <t>Leary, Emily</t>
  </si>
  <si>
    <t>Liu, Yitan</t>
  </si>
  <si>
    <t>Nguyen, Duong</t>
  </si>
  <si>
    <t>Sim, Dan</t>
  </si>
  <si>
    <t>Sit, James</t>
  </si>
  <si>
    <t>Tsang, Brian</t>
  </si>
  <si>
    <t>Wang, Jie</t>
  </si>
  <si>
    <t>Yang, Haoshu</t>
  </si>
  <si>
    <t>Yegnaraman, Santhosh</t>
  </si>
  <si>
    <t>Ali, Haider</t>
  </si>
  <si>
    <t>Brosch, Tom</t>
  </si>
  <si>
    <t>Chang, Anshih</t>
  </si>
  <si>
    <t>Chhim, Sochittra</t>
  </si>
  <si>
    <t>Chopra, Shubham</t>
  </si>
  <si>
    <t>Coatsworth, Kevin</t>
  </si>
  <si>
    <t>Dai, Chengyu</t>
  </si>
  <si>
    <t>Dubow, Jeremy</t>
  </si>
  <si>
    <t>Gowen, Ryan</t>
  </si>
  <si>
    <t>Huang, Yingling</t>
  </si>
  <si>
    <t>Kilfoil, Nick</t>
  </si>
  <si>
    <t>Kinsley, Amanda</t>
  </si>
  <si>
    <t>Lai, Calan</t>
  </si>
  <si>
    <t>Lauer, George</t>
  </si>
  <si>
    <t>Leong, Pun Kuan</t>
  </si>
  <si>
    <t>Ng, Gordon</t>
  </si>
  <si>
    <t>Ong, Grace</t>
  </si>
  <si>
    <t>Pei, Dognxiao</t>
  </si>
  <si>
    <t>Pham, Duc</t>
  </si>
  <si>
    <t>Rikitake, Shun</t>
  </si>
  <si>
    <t>Stanley, Jason</t>
  </si>
  <si>
    <t>Sun, Michael</t>
  </si>
  <si>
    <t>Tao, Kylie</t>
  </si>
  <si>
    <t>Tillo, Jake</t>
  </si>
  <si>
    <t>Tran, Huy</t>
  </si>
  <si>
    <t>Tuntikul, Katesuda</t>
  </si>
  <si>
    <t>Wang, Zheyu</t>
  </si>
  <si>
    <t>Adona, Frankie</t>
  </si>
  <si>
    <t>Aquino, Rebecca</t>
  </si>
  <si>
    <t>Bowery, Brandon</t>
  </si>
  <si>
    <t>Boyle, Chris</t>
  </si>
  <si>
    <t>Corbin, Datus</t>
  </si>
  <si>
    <t>Dodard, David</t>
  </si>
  <si>
    <t>Gort, Matthew</t>
  </si>
  <si>
    <t>Herbst, Holger</t>
  </si>
  <si>
    <t>Holmes, Matt</t>
  </si>
  <si>
    <t>Locke, Richard</t>
  </si>
  <si>
    <t>May, Justin</t>
  </si>
  <si>
    <t>Neimark, Dashiel</t>
  </si>
  <si>
    <t>Poon, Ka Chun</t>
  </si>
  <si>
    <t>Rawji, Adam</t>
  </si>
  <si>
    <t>Riley, Chris</t>
  </si>
  <si>
    <t>Rivera, Edwin</t>
  </si>
  <si>
    <t>Rivera, Rafael</t>
  </si>
  <si>
    <t>Roeder, Christian</t>
  </si>
  <si>
    <t>Soto, Erwin</t>
  </si>
  <si>
    <t>Vazquez, Xavier</t>
  </si>
  <si>
    <t>White, Tyler</t>
  </si>
  <si>
    <t>Beeyu, Jason</t>
  </si>
  <si>
    <t>Cai, Jessica</t>
  </si>
  <si>
    <t>Cooper, Jesse</t>
  </si>
  <si>
    <t>Degens, Jasper</t>
  </si>
  <si>
    <t>Dise, Tim</t>
  </si>
  <si>
    <t>Guo, Shen</t>
  </si>
  <si>
    <t>Hong, Chris</t>
  </si>
  <si>
    <t>Huang, David</t>
  </si>
  <si>
    <t>Huang, Shengyun</t>
  </si>
  <si>
    <t>Huang, Yanhong</t>
  </si>
  <si>
    <t>Juvekar, Shashank</t>
  </si>
  <si>
    <t>Kanskulthorn, Beau</t>
  </si>
  <si>
    <t>Kha, Peter</t>
  </si>
  <si>
    <t>Lei, Keng</t>
  </si>
  <si>
    <t>Lepro, Paul</t>
  </si>
  <si>
    <t>Li, Katie</t>
  </si>
  <si>
    <t>Muller, Charles</t>
  </si>
  <si>
    <t>Nash, Jared</t>
  </si>
  <si>
    <t>Pachter, Jeremy</t>
  </si>
  <si>
    <t>Rodionov, Edward</t>
  </si>
  <si>
    <t>Sarnkingthong, Saai</t>
  </si>
  <si>
    <t>Scaramucci, AJ</t>
  </si>
  <si>
    <t>Spero, Emma</t>
  </si>
  <si>
    <t>Tse, Jeannie</t>
  </si>
  <si>
    <t>Xu, Zheng</t>
  </si>
  <si>
    <t>Yan, Han</t>
  </si>
  <si>
    <t>Ahmed, Nabil</t>
  </si>
  <si>
    <t>Brosberg, Adam</t>
  </si>
  <si>
    <t>Cai, Hailan</t>
  </si>
  <si>
    <t>Chin, Jennifer</t>
  </si>
  <si>
    <t>Cui, Qin</t>
  </si>
  <si>
    <t>Hu, Hao</t>
  </si>
  <si>
    <t>Huang, Ting</t>
  </si>
  <si>
    <t>Hui, Ryan</t>
  </si>
  <si>
    <t>Koprowski, Chris</t>
  </si>
  <si>
    <t>Leong, Jennifer</t>
  </si>
  <si>
    <t>Lim, Kenneth</t>
  </si>
  <si>
    <t>Liu, Peinan</t>
  </si>
  <si>
    <t>Lung, Pey</t>
  </si>
  <si>
    <t>Madan, Rishabh</t>
  </si>
  <si>
    <t>Ng, Mabel</t>
  </si>
  <si>
    <t>Shay, Elizabeth</t>
  </si>
  <si>
    <t>Tanions, Paulo</t>
  </si>
  <si>
    <t>Tian, Gaibin</t>
  </si>
  <si>
    <t>Toh, Wenhui</t>
  </si>
  <si>
    <t>Tsai, Hansel</t>
  </si>
  <si>
    <t>Xu, Shu</t>
  </si>
  <si>
    <t>Andrie, Tim</t>
  </si>
  <si>
    <t>Boer, Laura</t>
  </si>
  <si>
    <t>Buszmann, Alex</t>
  </si>
  <si>
    <t>Chase, Tyler</t>
  </si>
  <si>
    <t>Chugani, Shweta</t>
  </si>
  <si>
    <t>Croft, Emily</t>
  </si>
  <si>
    <t>Dettmann, Aaron</t>
  </si>
  <si>
    <t>Frayne, Elliot</t>
  </si>
  <si>
    <t>Gorter, Michael</t>
  </si>
  <si>
    <t>Hahn, John</t>
  </si>
  <si>
    <t>Hart, Sam</t>
  </si>
  <si>
    <t>Hicks, Dustin</t>
  </si>
  <si>
    <t>Hilt, Michael</t>
  </si>
  <si>
    <t>Johnson, Kyle</t>
  </si>
  <si>
    <t>Kokal, Joe</t>
  </si>
  <si>
    <t>Koopmans, Clare</t>
  </si>
  <si>
    <t>Laylan, Kyle</t>
  </si>
  <si>
    <t>Mehrkens, Jessica</t>
  </si>
  <si>
    <t>Nelson, Amy</t>
  </si>
  <si>
    <t>Nguyen, Brenda</t>
  </si>
  <si>
    <t>Nguyen, Quang</t>
  </si>
  <si>
    <t>Olson, Erik</t>
  </si>
  <si>
    <t>Pallin, Eric</t>
  </si>
  <si>
    <t>Paubuccian, Felix</t>
  </si>
  <si>
    <t>Peng, Peng</t>
  </si>
  <si>
    <t>Quach, Khang</t>
  </si>
  <si>
    <t>Rollins, Coleman</t>
  </si>
  <si>
    <t>Sand, Yash</t>
  </si>
  <si>
    <t>Schuring, Jason</t>
  </si>
  <si>
    <t>Syverud, David</t>
  </si>
  <si>
    <t>Wang, Xiaopeng</t>
  </si>
  <si>
    <t>Ward, Virgil</t>
  </si>
  <si>
    <t>Chan, Stanley</t>
  </si>
  <si>
    <t>Chelli, Mangal</t>
  </si>
  <si>
    <t>De Almeida, Ariana</t>
  </si>
  <si>
    <t>Djukanovic, Milos</t>
  </si>
  <si>
    <t>Feng, Jing Tian</t>
  </si>
  <si>
    <t>Fernandez, Chad</t>
  </si>
  <si>
    <t>Gong, Anthony</t>
  </si>
  <si>
    <t>Hinse, Pierre-Luc</t>
  </si>
  <si>
    <t>Hoe, Jimmy</t>
  </si>
  <si>
    <t>Hu, Rui</t>
  </si>
  <si>
    <t>Huang, Eric</t>
  </si>
  <si>
    <t>Jovanov, Kevin</t>
  </si>
  <si>
    <t>Khurana, Jasleen</t>
  </si>
  <si>
    <t>Li, Jane</t>
  </si>
  <si>
    <t>Li, Winchi</t>
  </si>
  <si>
    <t>Liu, Jason</t>
  </si>
  <si>
    <t>Liu, Lance</t>
  </si>
  <si>
    <t>Liu, Xiaolei</t>
  </si>
  <si>
    <t>Lu, Geoff</t>
  </si>
  <si>
    <t>Marin, Myles</t>
  </si>
  <si>
    <t>Nasir, Dawood</t>
  </si>
  <si>
    <t>Ohsaki, Ketsuke</t>
  </si>
  <si>
    <t>Panday, Varsha</t>
  </si>
  <si>
    <t>Randhawa, Jesse</t>
  </si>
  <si>
    <t>Salama, Mathew</t>
  </si>
  <si>
    <t>See, Ashley</t>
  </si>
  <si>
    <t>Shi, Harry</t>
  </si>
  <si>
    <t>Song, Bobby</t>
  </si>
  <si>
    <t>Tabatabaei, Alireza</t>
  </si>
  <si>
    <t>Tang, Raymond</t>
  </si>
  <si>
    <t>Wang, Cheryl</t>
  </si>
  <si>
    <t>Wang, Olivia</t>
  </si>
  <si>
    <t>Wang, Seqian</t>
  </si>
  <si>
    <t>Wang, Simon</t>
  </si>
  <si>
    <t>Xu, Zehua</t>
  </si>
  <si>
    <t>Yiu, Edmund</t>
  </si>
  <si>
    <t>Ananias, Giancarlos</t>
  </si>
  <si>
    <t>Deodhar, Aseem</t>
  </si>
  <si>
    <t>Ding, Xinjian</t>
  </si>
  <si>
    <t>Im, David</t>
  </si>
  <si>
    <t>Jang, Jaewoong</t>
  </si>
  <si>
    <t>Lawrence, Brandon</t>
  </si>
  <si>
    <t>Lee, Jun-Hyok</t>
  </si>
  <si>
    <t>Li, Yao</t>
  </si>
  <si>
    <t>Liu, Xiajoun</t>
  </si>
  <si>
    <t>Nieh, Horne Shane Albert</t>
  </si>
  <si>
    <t>Palani, Ashwin</t>
  </si>
  <si>
    <t>Qin, Jun</t>
  </si>
  <si>
    <t>Rao, Guruprasad</t>
  </si>
  <si>
    <t>Saha, Sudip</t>
  </si>
  <si>
    <t>Sivadas, Vishak</t>
  </si>
  <si>
    <t>Yen, Claire</t>
  </si>
  <si>
    <t>Diesch, Scott</t>
  </si>
  <si>
    <t>Duggan, Patrick</t>
  </si>
  <si>
    <t>Fanning, Payton</t>
  </si>
  <si>
    <t>Hu, Xiaoyan</t>
  </si>
  <si>
    <t>Jaheem, Joseph</t>
  </si>
  <si>
    <t>Johnston, Zach</t>
  </si>
  <si>
    <t>Kukday, Sayali</t>
  </si>
  <si>
    <t>Len, Hwa</t>
  </si>
  <si>
    <t>Maier, Noah</t>
  </si>
  <si>
    <t>Quintanilla, Daniel</t>
  </si>
  <si>
    <t>Ra, Christine</t>
  </si>
  <si>
    <t>Rhyne, Brett</t>
  </si>
  <si>
    <t>Salinas, Jesus Jose</t>
  </si>
  <si>
    <t>Toro, Hector</t>
  </si>
  <si>
    <t>Vester, Geoffrey David</t>
  </si>
  <si>
    <t>Xie, Peng</t>
  </si>
  <si>
    <t>Chai, Jessica</t>
  </si>
  <si>
    <t>Chao, Gao</t>
  </si>
  <si>
    <t>Cheung, Tiffany</t>
  </si>
  <si>
    <t>Chin, Preston</t>
  </si>
  <si>
    <t>Dahlen, Todd</t>
  </si>
  <si>
    <t>Dinh, Sang</t>
  </si>
  <si>
    <t>Higashi, Koji</t>
  </si>
  <si>
    <t>Hwang, Hank</t>
  </si>
  <si>
    <t>Lai, Terence</t>
  </si>
  <si>
    <t>Lai, Yuxin</t>
  </si>
  <si>
    <t>Lan, Janice</t>
  </si>
  <si>
    <t>Lee, Joseph</t>
  </si>
  <si>
    <t>Lee, Liling</t>
  </si>
  <si>
    <t>Li, Butian</t>
  </si>
  <si>
    <t>Liu, Ryan</t>
  </si>
  <si>
    <t>Mudrow, Greg</t>
  </si>
  <si>
    <t>Park, Paul</t>
  </si>
  <si>
    <t>Reiter, Kajetan</t>
  </si>
  <si>
    <t>Tu, Truong</t>
  </si>
  <si>
    <t>Weerasinha, Newton</t>
  </si>
  <si>
    <t>Wei, Mark</t>
  </si>
  <si>
    <t>Yang, Jiachen</t>
  </si>
  <si>
    <t>Adeluy, Adedotun</t>
  </si>
  <si>
    <t>Benedetto, Zack</t>
  </si>
  <si>
    <t>Brousset, Milagros</t>
  </si>
  <si>
    <t>Cao, Quy</t>
  </si>
  <si>
    <t>Chong, Alex</t>
  </si>
  <si>
    <t>Dong, Kai</t>
  </si>
  <si>
    <t>Dunning, Jacob</t>
  </si>
  <si>
    <t>Feng, Ziqian</t>
  </si>
  <si>
    <t>He, Xiaoyan</t>
  </si>
  <si>
    <t>Jackson, Marcus</t>
  </si>
  <si>
    <t>Jang, Shih-Ching</t>
  </si>
  <si>
    <t>Judkis, William</t>
  </si>
  <si>
    <t>Lao, Yi</t>
  </si>
  <si>
    <t>Ma, Kevin</t>
  </si>
  <si>
    <t>Meibalan, Elamaran</t>
  </si>
  <si>
    <t>Nadmichettu, Raghu</t>
  </si>
  <si>
    <t>Patel, Arjun</t>
  </si>
  <si>
    <t>Potteiger, Timothy</t>
  </si>
  <si>
    <t>Ranz, Holden</t>
  </si>
  <si>
    <t>Reder, Gabriel</t>
  </si>
  <si>
    <t>Sadler, Alex</t>
  </si>
  <si>
    <t>Steinmetz, Jake</t>
  </si>
  <si>
    <t>Szczur, Thomas</t>
  </si>
  <si>
    <t>Turka, Andrew</t>
  </si>
  <si>
    <t>Wong, Don</t>
  </si>
  <si>
    <t>Yan, Ming</t>
  </si>
  <si>
    <t>Yiyun, Gao</t>
  </si>
  <si>
    <t>Arra, Manoj</t>
  </si>
  <si>
    <t>Camhi, Alex</t>
  </si>
  <si>
    <t>Chu, Carolyn</t>
  </si>
  <si>
    <t>Cruz, Mason</t>
  </si>
  <si>
    <t>Dearstyne, Steven</t>
  </si>
  <si>
    <t>DeMaio, Jon</t>
  </si>
  <si>
    <t>Dolch, Kevin</t>
  </si>
  <si>
    <t>Duggan, John</t>
  </si>
  <si>
    <t>Edla, Rahul</t>
  </si>
  <si>
    <t>Hao, Sun</t>
  </si>
  <si>
    <t>Leung, Lorene</t>
  </si>
  <si>
    <t>Liang, Yifan</t>
  </si>
  <si>
    <t>Loredo, Herbert</t>
  </si>
  <si>
    <t>Page, Tom</t>
  </si>
  <si>
    <t>Reid, Griffin</t>
  </si>
  <si>
    <t>Surkhadia, Harshil</t>
  </si>
  <si>
    <t>Thummala, Krishna</t>
  </si>
  <si>
    <t>Uebler, Kyle</t>
  </si>
  <si>
    <t>Wang, Chong</t>
  </si>
  <si>
    <t>Wu, John</t>
  </si>
  <si>
    <t>Wu, Victor</t>
  </si>
  <si>
    <t>Yanga, Dennis</t>
  </si>
  <si>
    <t>Alsadah, Mohammed</t>
  </si>
  <si>
    <t>Boril, Hynek</t>
  </si>
  <si>
    <t>Burgess, Chris</t>
  </si>
  <si>
    <t>Chen, Daniel</t>
  </si>
  <si>
    <t>Chou, Yi</t>
  </si>
  <si>
    <t>Crow, Kevin</t>
  </si>
  <si>
    <t>Dhananjay, Pradeep</t>
  </si>
  <si>
    <t>Dinh, Tien</t>
  </si>
  <si>
    <t>Everett, Bruce</t>
  </si>
  <si>
    <t>Faulkner, Andrew</t>
  </si>
  <si>
    <t>Holtz, Julien</t>
  </si>
  <si>
    <t>Jang, Jaypaul</t>
  </si>
  <si>
    <t>Kim, Ungsic</t>
  </si>
  <si>
    <t>Kiran, Shrestha</t>
  </si>
  <si>
    <t>Li, Yang</t>
  </si>
  <si>
    <t>Maiwai, Che</t>
  </si>
  <si>
    <t>McCaslin, Justin</t>
  </si>
  <si>
    <t>Merryfield, Spencer</t>
  </si>
  <si>
    <t>Nguyen, Hoang</t>
  </si>
  <si>
    <t>Nicolae, Gabriel</t>
  </si>
  <si>
    <t>Pop, Emanuela</t>
  </si>
  <si>
    <t>Rather, William</t>
  </si>
  <si>
    <t>Savage, Jon</t>
  </si>
  <si>
    <t>Stiles, John</t>
  </si>
  <si>
    <t>Tran, Linda</t>
  </si>
  <si>
    <t>Walsh, Diego</t>
  </si>
  <si>
    <t>Winham, William</t>
  </si>
  <si>
    <t>Angeles, Kyle</t>
  </si>
  <si>
    <t>Bunch, Thomas</t>
  </si>
  <si>
    <t>Campbell, Phillip</t>
  </si>
  <si>
    <t>Chan, Trevor</t>
  </si>
  <si>
    <t>Chan, Tson</t>
  </si>
  <si>
    <t>Cranford, Jake</t>
  </si>
  <si>
    <t>Djuric, Vladimir</t>
  </si>
  <si>
    <t>Harrison, Spencer</t>
  </si>
  <si>
    <t>He, Jie</t>
  </si>
  <si>
    <t>Lane, William</t>
  </si>
  <si>
    <t>Li, Hangfei</t>
  </si>
  <si>
    <t>Overcast, Rory</t>
  </si>
  <si>
    <t>Sblano, Justin</t>
  </si>
  <si>
    <t>Smith, Clay</t>
  </si>
  <si>
    <t>Veazy, Brooks</t>
  </si>
  <si>
    <t>Wong, Jue</t>
  </si>
  <si>
    <t>Avdeev, Sergey</t>
  </si>
  <si>
    <t>Bates, Jason</t>
  </si>
  <si>
    <t>Catlin, Richard</t>
  </si>
  <si>
    <t>Chiang, Martin</t>
  </si>
  <si>
    <t>Coltrane, Denton</t>
  </si>
  <si>
    <t>Deng, Xiapeng</t>
  </si>
  <si>
    <t>Fan, Zhaobing</t>
  </si>
  <si>
    <t>Hao, Zheng</t>
  </si>
  <si>
    <t>Jiang, Hao</t>
  </si>
  <si>
    <t>Linville, Ren</t>
  </si>
  <si>
    <t>Liu, Andy</t>
  </si>
  <si>
    <t>Nomura, Steven</t>
  </si>
  <si>
    <t>Qi, Zang</t>
  </si>
  <si>
    <t>Rainen, Scott</t>
  </si>
  <si>
    <t>Cochran, Joey</t>
  </si>
  <si>
    <t>Ghosh, Amitabha</t>
  </si>
  <si>
    <t>Saiyed, Zubair</t>
  </si>
  <si>
    <t>Yi, Andres</t>
  </si>
  <si>
    <t>Lin, Andy</t>
  </si>
  <si>
    <t>Chang, Sara</t>
  </si>
  <si>
    <t>Cheung, Fred</t>
  </si>
  <si>
    <t>Cooper, George</t>
  </si>
  <si>
    <t>Pevzner, Yuri</t>
  </si>
  <si>
    <t>Figueroa, Wayne</t>
  </si>
  <si>
    <t>Kamin, Eli</t>
  </si>
  <si>
    <t>McDaniel, Adam</t>
  </si>
  <si>
    <t>Pham, Dung</t>
  </si>
  <si>
    <t>Ardahan, Suha</t>
  </si>
  <si>
    <t>Conrad, Chris</t>
  </si>
  <si>
    <t>Yoder, Brian</t>
  </si>
  <si>
    <t>Long, Chris</t>
  </si>
  <si>
    <t>Thurston, Travis</t>
  </si>
  <si>
    <t>Williamson, John</t>
  </si>
  <si>
    <t>Xue, Yu-Ming</t>
  </si>
  <si>
    <t>Shui, Yujie</t>
  </si>
  <si>
    <t>Chhor, Carolin</t>
  </si>
  <si>
    <t>Lee, Karen</t>
  </si>
  <si>
    <t>Schang, Kenny</t>
  </si>
  <si>
    <t>Tsang, So Ling (Fion)</t>
  </si>
  <si>
    <t>Lin, Jiamin</t>
  </si>
  <si>
    <t>Starrett, Steve</t>
  </si>
  <si>
    <t>Yang, Mason</t>
  </si>
  <si>
    <t>Brooks, Matt</t>
  </si>
  <si>
    <t>Lacasse, Daniel</t>
  </si>
  <si>
    <t>Fier, Kerrington</t>
  </si>
  <si>
    <t>Hu, Charles</t>
  </si>
  <si>
    <t>Kam, Kristie</t>
  </si>
  <si>
    <t>Lee, Gangyong</t>
  </si>
  <si>
    <t>Olson, Steve</t>
  </si>
  <si>
    <t>Oyarzabal, Randy</t>
  </si>
  <si>
    <t>Shvelidze, Yelena</t>
  </si>
  <si>
    <t>Berry, Sam</t>
  </si>
  <si>
    <t>Notestein, Dan</t>
  </si>
  <si>
    <t>Gui, Min</t>
  </si>
  <si>
    <t>Kathuria, Kunal</t>
  </si>
  <si>
    <t>Kim, Wonhyung</t>
  </si>
  <si>
    <t>Wong, Jonathan</t>
  </si>
  <si>
    <t>Sang, Lifeng</t>
  </si>
  <si>
    <t>Finney, Kelley</t>
  </si>
  <si>
    <t>Li, Tanner</t>
  </si>
  <si>
    <t>Taplin, George</t>
  </si>
  <si>
    <t>Tran, Quan</t>
  </si>
  <si>
    <t>Ahmed, Faisal</t>
  </si>
  <si>
    <t>Duong, Duy</t>
  </si>
  <si>
    <t>Khaled, Arindam</t>
  </si>
  <si>
    <t>Ngo, Anh</t>
  </si>
  <si>
    <t>Cottingham, Mike</t>
  </si>
  <si>
    <t>Wang, Lei</t>
  </si>
  <si>
    <t>Lee, Yul</t>
  </si>
  <si>
    <t>Martin, Dan</t>
  </si>
  <si>
    <t>Maw, Htet</t>
  </si>
  <si>
    <t>Retnamma, Renjith</t>
  </si>
  <si>
    <t>Titrud, Tim</t>
  </si>
  <si>
    <t>Bowlander, Bob</t>
  </si>
  <si>
    <t>Huang, Zhihao</t>
  </si>
  <si>
    <t>Ku, Helen</t>
  </si>
  <si>
    <t>Tan, Elcin</t>
  </si>
  <si>
    <t>Bobrow, Adam</t>
  </si>
  <si>
    <t>Chang, Connie</t>
  </si>
  <si>
    <t>Chen, Wesley</t>
  </si>
  <si>
    <t>Nawata, Noriyuki</t>
  </si>
  <si>
    <t>Bollineni, Sundeep</t>
  </si>
  <si>
    <t>Cochrane, Todd</t>
  </si>
  <si>
    <t>Sukumaran, Sivakumar</t>
  </si>
  <si>
    <t>Truelson, Thor</t>
  </si>
  <si>
    <t>Gender</t>
  </si>
  <si>
    <t>displayed if it can be found in the RatingList sheet.</t>
  </si>
  <si>
    <t>Enter "M" or "F" in Column (E) if the gender shows "#N/A".</t>
  </si>
  <si>
    <t>For Red box #5, enter "C" for a Coed team, "W" for a women's team, or "JV" for a junior varsity team.</t>
  </si>
  <si>
    <t>For Red box #6, enter the e-mail addresses for each player.</t>
  </si>
  <si>
    <t>List the players' names and e-mails on the PLAYERS sheet in the given lineup order.</t>
  </si>
  <si>
    <t>The completed spreadsheet should be sent in its entirety to results@nctta.org</t>
  </si>
  <si>
    <t>NCTTA Team Contest</t>
  </si>
  <si>
    <t>Scoresheet</t>
  </si>
  <si>
    <t>Acree, Chris</t>
  </si>
  <si>
    <t>Addison, John</t>
  </si>
  <si>
    <t>Afshin, Taghvaeipour</t>
  </si>
  <si>
    <t>Aftreth, Joel</t>
  </si>
  <si>
    <t>Agnew, Chris</t>
  </si>
  <si>
    <t>Aguiling, Mon-Albert</t>
  </si>
  <si>
    <t>Ahmed, Faryal</t>
  </si>
  <si>
    <t>Aliceo, Jason</t>
  </si>
  <si>
    <t>Alster, Eli</t>
  </si>
  <si>
    <t>Altman, Ren</t>
  </si>
  <si>
    <t>Anazco, Renzo Castellares</t>
  </si>
  <si>
    <t>Anderson, Hayden</t>
  </si>
  <si>
    <t>Ang, Samantha</t>
  </si>
  <si>
    <t>Aquino, Carl</t>
  </si>
  <si>
    <t>Arevalo, Juan Martin</t>
  </si>
  <si>
    <t>Ariza, Pablo</t>
  </si>
  <si>
    <t>Arora, Sameer</t>
  </si>
  <si>
    <t>Ashur, Nick</t>
  </si>
  <si>
    <t>Bagley, Ari</t>
  </si>
  <si>
    <t>Bahmani, Pouria</t>
  </si>
  <si>
    <t>Barton, Dave (Mercer)</t>
  </si>
  <si>
    <t>Barton, David (UGA)</t>
  </si>
  <si>
    <t>Bassetti, Federico</t>
  </si>
  <si>
    <t>Baura, Tanmoy</t>
  </si>
  <si>
    <t>Bayer, Billy</t>
  </si>
  <si>
    <t>Beckstrom, Kyle</t>
  </si>
  <si>
    <t>Bentley, Jordan</t>
  </si>
  <si>
    <t>Berman, Adam (NJ)</t>
  </si>
  <si>
    <t>Berman, Adam (NY)</t>
  </si>
  <si>
    <t>Bista, Abhiyan</t>
  </si>
  <si>
    <t>Biswas, Ranjan</t>
  </si>
  <si>
    <t>Biu, Leong-Chen</t>
  </si>
  <si>
    <t>Blystone, Christian</t>
  </si>
  <si>
    <t>Boltz, Aaron</t>
  </si>
  <si>
    <t>Booth, Richard</t>
  </si>
  <si>
    <t>Brea, Courtney</t>
  </si>
  <si>
    <t>Brewster, Justen</t>
  </si>
  <si>
    <t>Brian, Neilon</t>
  </si>
  <si>
    <t>Bronack, Jeff</t>
  </si>
  <si>
    <t>Brundidge, Chastin</t>
  </si>
  <si>
    <t>Bye, Kyle</t>
  </si>
  <si>
    <t>Cai, Yuliang (Bill)</t>
  </si>
  <si>
    <t>Camou, Bernardo</t>
  </si>
  <si>
    <t>Chakraborty, Brahmananda</t>
  </si>
  <si>
    <t>Chan, Hanson</t>
  </si>
  <si>
    <t>Chan, Isaac</t>
  </si>
  <si>
    <t>Chan, Ryan (CA)</t>
  </si>
  <si>
    <t>Chan, Tim (SoCal)</t>
  </si>
  <si>
    <t>Chapagai, Neermal</t>
  </si>
  <si>
    <t>Charan, Kriti</t>
  </si>
  <si>
    <t>francoischarvet@yahoo.fr</t>
  </si>
  <si>
    <t>Chau, Viet</t>
  </si>
  <si>
    <t>Chen, Bang-Yuan (Frank)</t>
  </si>
  <si>
    <t>Chen, Guanting</t>
  </si>
  <si>
    <t>Chen, Jennifer (VA)</t>
  </si>
  <si>
    <t>Chen, Jian (GA)</t>
  </si>
  <si>
    <t>Chen, Jian (VA)</t>
  </si>
  <si>
    <t>jc585@cornell.edu</t>
  </si>
  <si>
    <t>Chen, Qijun</t>
  </si>
  <si>
    <t>Cheung, Carson</t>
  </si>
  <si>
    <t>Chou, Jonathan</t>
  </si>
  <si>
    <t>Choudhury, Udit</t>
  </si>
  <si>
    <t>Chow, John</t>
  </si>
  <si>
    <t>Chu, Joshua</t>
  </si>
  <si>
    <t>Cope, Derek</t>
  </si>
  <si>
    <t>Cross, Brad</t>
  </si>
  <si>
    <t>Crouzet, Christian</t>
  </si>
  <si>
    <t>Dai, Jianing</t>
  </si>
  <si>
    <t>Darley, David</t>
  </si>
  <si>
    <t>Das, Jayanta</t>
  </si>
  <si>
    <t>Das, Kishen</t>
  </si>
  <si>
    <t>Datyelian, Andre</t>
  </si>
  <si>
    <t>DeJesus, David</t>
  </si>
  <si>
    <t>Demuro, Dan</t>
  </si>
  <si>
    <t>Deng, Weiping</t>
  </si>
  <si>
    <t>Deng, Zhonghai (Tiger)</t>
  </si>
  <si>
    <t>Deng, Ziwen</t>
  </si>
  <si>
    <t>Devoss, Devon</t>
  </si>
  <si>
    <t>Dharmarajan, Vignesh</t>
  </si>
  <si>
    <t>Djuraeva, Madina</t>
  </si>
  <si>
    <t>Do, Giang</t>
  </si>
  <si>
    <t>Do, Jennifer</t>
  </si>
  <si>
    <t>Du, Randel</t>
  </si>
  <si>
    <t>DuMonthier, Ross</t>
  </si>
  <si>
    <t>Dumra, Sachin</t>
  </si>
  <si>
    <t>Dusablon, Katie</t>
  </si>
  <si>
    <t>Dushi, Matthew</t>
  </si>
  <si>
    <t>Eazsol, Kyle</t>
  </si>
  <si>
    <t>Edwin, Lionel</t>
  </si>
  <si>
    <t>hehly@yahoo.com</t>
  </si>
  <si>
    <t>Engelhardt, Jamie</t>
  </si>
  <si>
    <t>Eskombatchai, Pong</t>
  </si>
  <si>
    <t>Fan, Chuanyun</t>
  </si>
  <si>
    <t>Fatemi, Nic</t>
  </si>
  <si>
    <t>Ferreira, Eric</t>
  </si>
  <si>
    <t>Fischer, Nick</t>
  </si>
  <si>
    <t>Fita, Lukasz</t>
  </si>
  <si>
    <t>Fung, Gavin Kwan Ho</t>
  </si>
  <si>
    <t>Gan, Wenying</t>
  </si>
  <si>
    <t>Gao, Zhongwei (Anderson)</t>
  </si>
  <si>
    <t>Gaur, Ruchir</t>
  </si>
  <si>
    <t>Gauronspas, Kevin</t>
  </si>
  <si>
    <t>Gebremariam, Tiku</t>
  </si>
  <si>
    <t>Giombi, Riya</t>
  </si>
  <si>
    <t>Gleason, David</t>
  </si>
  <si>
    <t>Gong, Yue</t>
  </si>
  <si>
    <t>Gorsky, Evan</t>
  </si>
  <si>
    <t>Goyal, Vipul</t>
  </si>
  <si>
    <t>Grantham, Ryan</t>
  </si>
  <si>
    <t>Gu, Peng (FL)</t>
  </si>
  <si>
    <t>Gu, Peng (NE)</t>
  </si>
  <si>
    <t>penggu@gmail.com</t>
  </si>
  <si>
    <t>Guang, Yang</t>
  </si>
  <si>
    <t>Guo, Magnus</t>
  </si>
  <si>
    <t>Guo, Peng</t>
  </si>
  <si>
    <t>Habib, Sahil</t>
  </si>
  <si>
    <t>Hageman, Daniel</t>
  </si>
  <si>
    <t>Harris, Brett</t>
  </si>
  <si>
    <t>Harris, Ethan</t>
  </si>
  <si>
    <t>Hazinski, Shu Fu (Sara)</t>
  </si>
  <si>
    <t>Helton, Bill</t>
  </si>
  <si>
    <t>Hoang, Minh</t>
  </si>
  <si>
    <t>Hosseini, Seyed Mohammed</t>
  </si>
  <si>
    <t>Hou, Ben</t>
  </si>
  <si>
    <t>Howard, Ben</t>
  </si>
  <si>
    <t>Howard, Katie</t>
  </si>
  <si>
    <t>Hsu, Calvin</t>
  </si>
  <si>
    <t>Hsu, Jessica</t>
  </si>
  <si>
    <t>Hu, Joan</t>
  </si>
  <si>
    <t>Huang, Xian Meng (Sam)</t>
  </si>
  <si>
    <t>Hung, Shaw-chin</t>
  </si>
  <si>
    <t>In Ho, Chak</t>
  </si>
  <si>
    <t>Jackson, Brian</t>
  </si>
  <si>
    <t>Jaoude, Mike</t>
  </si>
  <si>
    <t>Ji, Xinye</t>
  </si>
  <si>
    <t>Jindal, Amit</t>
  </si>
  <si>
    <t>Johnson, Jett</t>
  </si>
  <si>
    <t>Johnson, Lindami</t>
  </si>
  <si>
    <t>Johnston, Raymond</t>
  </si>
  <si>
    <t>Kapadia, Jay</t>
  </si>
  <si>
    <t>Karalius, Billy</t>
  </si>
  <si>
    <t>Karki, Ranjan</t>
  </si>
  <si>
    <t>Ke, Mark</t>
  </si>
  <si>
    <t>Keene, Spencer</t>
  </si>
  <si>
    <t>Kennedy, Scott</t>
  </si>
  <si>
    <t>Khan, Mohammad</t>
  </si>
  <si>
    <t>Kim, Tae</t>
  </si>
  <si>
    <t>Kleczynski, Josh</t>
  </si>
  <si>
    <t>Krager, Chris</t>
  </si>
  <si>
    <t>Kumar, Abhishek (GA)</t>
  </si>
  <si>
    <t>Kuvadia, Nemish</t>
  </si>
  <si>
    <t>Lalani, Shakil</t>
  </si>
  <si>
    <t>Last Name, Mario</t>
  </si>
  <si>
    <t>Lau, Jonathan</t>
  </si>
  <si>
    <t>Lau, Maxine</t>
  </si>
  <si>
    <t>Lavender, Alex</t>
  </si>
  <si>
    <t>Lawson, Darryl</t>
  </si>
  <si>
    <t>Lazzaro, Steve</t>
  </si>
  <si>
    <t>Le, Anh (CA)</t>
  </si>
  <si>
    <t>Le, Anh Thu (KS)</t>
  </si>
  <si>
    <t>Le, Tuan (IL)</t>
  </si>
  <si>
    <t>Lee, Anthony</t>
  </si>
  <si>
    <t>Lee, Colleen (CA)</t>
  </si>
  <si>
    <t>Lee, Colleen (NY)</t>
  </si>
  <si>
    <t>Lee, Jeffrey</t>
  </si>
  <si>
    <t>Lee, Jonathan (CA)</t>
  </si>
  <si>
    <t>Lee, Jonathan (TX)</t>
  </si>
  <si>
    <t>Lee, Sam (CA)</t>
  </si>
  <si>
    <t>Lee, Sam (KS)</t>
  </si>
  <si>
    <t>yurooya@yahoo.co.kr</t>
  </si>
  <si>
    <t>Lei, Can</t>
  </si>
  <si>
    <t>kenglei@bu.edu</t>
  </si>
  <si>
    <t>Leswing, Kif</t>
  </si>
  <si>
    <t>Lewis, Robert</t>
  </si>
  <si>
    <t>Li, Shun</t>
  </si>
  <si>
    <t>Li, Tang</t>
  </si>
  <si>
    <t>Li, Tony</t>
  </si>
  <si>
    <t>Li, Ziru (MI)</t>
  </si>
  <si>
    <t>Li, Ziru (WI)</t>
  </si>
  <si>
    <t>Liag, Zhen</t>
  </si>
  <si>
    <t>Liang, Zhicheng (Johnson)</t>
  </si>
  <si>
    <t>Lieberman, Ari</t>
  </si>
  <si>
    <t>Ling, Chen (CA)</t>
  </si>
  <si>
    <t>Ling, Chen (FL)</t>
  </si>
  <si>
    <t>Liu, Gang</t>
  </si>
  <si>
    <t>Liu, Junchen</t>
  </si>
  <si>
    <t>Liu, Lisa (MD)</t>
  </si>
  <si>
    <t>Liu, Weiyan (William)</t>
  </si>
  <si>
    <t>Liu, Yang (FL)</t>
  </si>
  <si>
    <t>Liu, Yang (TX)</t>
  </si>
  <si>
    <t>Liu, Yifan</t>
  </si>
  <si>
    <t>Lombardo, Michael</t>
  </si>
  <si>
    <t>Lu, Weiling (Jacklyn)</t>
  </si>
  <si>
    <t>Lui, Kevin (CA)</t>
  </si>
  <si>
    <t>Lui, Kevin (NE)</t>
  </si>
  <si>
    <t>Luo, Pengkui</t>
  </si>
  <si>
    <t>Luo, Yang (CA)</t>
  </si>
  <si>
    <t>Luo, Yang (NJ)</t>
  </si>
  <si>
    <t>Lyratzakis, Dimitris</t>
  </si>
  <si>
    <t>Ma, Yi</t>
  </si>
  <si>
    <t>Madan, Ankesh</t>
  </si>
  <si>
    <t>Mahapatra, Aninoy</t>
  </si>
  <si>
    <t>Mahler, Anthony</t>
  </si>
  <si>
    <t>Malhi, Haider</t>
  </si>
  <si>
    <t>Martinez, Rachel</t>
  </si>
  <si>
    <t>Maxson, Grant</t>
  </si>
  <si>
    <t>Mayer, James</t>
  </si>
  <si>
    <t>McBride, Nolan</t>
  </si>
  <si>
    <t>Mccormick, Mike</t>
  </si>
  <si>
    <t>McLean, Tim</t>
  </si>
  <si>
    <t>Meng, Socheath</t>
  </si>
  <si>
    <t>Mera, Calvin</t>
  </si>
  <si>
    <t>Meslar, Sean</t>
  </si>
  <si>
    <t>Methathanasakun, Phuwadet</t>
  </si>
  <si>
    <t>Mireau, Nathan</t>
  </si>
  <si>
    <t>Moore, Conrad</t>
  </si>
  <si>
    <t>Moore, James</t>
  </si>
  <si>
    <t>Morisaki, Ryoma</t>
  </si>
  <si>
    <t>Mugerian, George</t>
  </si>
  <si>
    <t>Mussche, David</t>
  </si>
  <si>
    <t>Nabong, Nygel</t>
  </si>
  <si>
    <t>Nam, Junky</t>
  </si>
  <si>
    <t>Nasses, Athar</t>
  </si>
  <si>
    <t>Ngai, Matt</t>
  </si>
  <si>
    <t>Nguyen, Cuong</t>
  </si>
  <si>
    <t>Nguyen, Hong N</t>
  </si>
  <si>
    <t>Oleyourryk, Matt</t>
  </si>
  <si>
    <t>Ong, Mitchell</t>
  </si>
  <si>
    <t>Pan, TunChun (Crystal)</t>
  </si>
  <si>
    <t>Park, Kabin</t>
  </si>
  <si>
    <t>Pavelski, Aaron</t>
  </si>
  <si>
    <t>Peplinski, Matt</t>
  </si>
  <si>
    <t>Perea, Christian</t>
  </si>
  <si>
    <t>Peres-De-Silva, Ashwin</t>
  </si>
  <si>
    <t>Perfall, Cal</t>
  </si>
  <si>
    <t>Pomin, Victor</t>
  </si>
  <si>
    <t>Pomper, Ben</t>
  </si>
  <si>
    <t>Pratt, Harrison</t>
  </si>
  <si>
    <t>Qi, Benjamin</t>
  </si>
  <si>
    <t>Qiu, Huan (Ken)</t>
  </si>
  <si>
    <t>Qiuyu, Yuhan</t>
  </si>
  <si>
    <t>Raman, Ananth</t>
  </si>
  <si>
    <t>Rana, Matthew</t>
  </si>
  <si>
    <t>Reese, Nick</t>
  </si>
  <si>
    <t>rhodesej@gmail.com</t>
  </si>
  <si>
    <t>Rista, Abhiyan</t>
  </si>
  <si>
    <t>Robertson, Nikki</t>
  </si>
  <si>
    <t>Robertson, Zach</t>
  </si>
  <si>
    <t>Romano, Rob</t>
  </si>
  <si>
    <t>Rossop, Mark</t>
  </si>
  <si>
    <t>Russin, Tyler</t>
  </si>
  <si>
    <t>Rust, Alex</t>
  </si>
  <si>
    <t>Sadr, Sanam</t>
  </si>
  <si>
    <t>Salehian, Haseamoddin</t>
  </si>
  <si>
    <t>Salinas, Caesar</t>
  </si>
  <si>
    <t>Sanders, Seth</t>
  </si>
  <si>
    <t>Scarp, Armas</t>
  </si>
  <si>
    <t>Seifried, Brian</t>
  </si>
  <si>
    <t>Seil, Jacob</t>
  </si>
  <si>
    <t>Sekar, Harish</t>
  </si>
  <si>
    <t>Shao, Diane</t>
  </si>
  <si>
    <t>Shcherbina, Sergey</t>
  </si>
  <si>
    <t>Sheldon, Matt</t>
  </si>
  <si>
    <t>Shepherd, Matt</t>
  </si>
  <si>
    <t>Shi, Peichang (MO)</t>
  </si>
  <si>
    <t>Shi, Peichang (OH)</t>
  </si>
  <si>
    <t>Shin, Minsik</t>
  </si>
  <si>
    <t>Shriram, Abhinav</t>
  </si>
  <si>
    <t>Shropshire, Stephen</t>
  </si>
  <si>
    <t>Singh, Aman</t>
  </si>
  <si>
    <t>Smanaka, David</t>
  </si>
  <si>
    <t>Smith, Chris</t>
  </si>
  <si>
    <t>Smith, Greg</t>
  </si>
  <si>
    <t>So, Kenneth</t>
  </si>
  <si>
    <t>Song, Luke</t>
  </si>
  <si>
    <t>Soojong, Jo</t>
  </si>
  <si>
    <t>Sosa, Luis</t>
  </si>
  <si>
    <t>jstanle@pdx.edu</t>
  </si>
  <si>
    <t>Stening, Alex</t>
  </si>
  <si>
    <t>Stevenson, Michael</t>
  </si>
  <si>
    <t>Stover, Lincoln</t>
  </si>
  <si>
    <t>Stratton, Kyle</t>
  </si>
  <si>
    <t>Suky, Kiran</t>
  </si>
  <si>
    <t>Sullivan, Sean</t>
  </si>
  <si>
    <t>Sung, Jack</t>
  </si>
  <si>
    <t>Swartz, Natham</t>
  </si>
  <si>
    <t>Tallaksen, Kevin</t>
  </si>
  <si>
    <t>Tan, Shih Yik</t>
  </si>
  <si>
    <t>Tang, Saide</t>
  </si>
  <si>
    <t>Tavarez, Joe</t>
  </si>
  <si>
    <t>Termini, Jacob</t>
  </si>
  <si>
    <t>Thai, Beng</t>
  </si>
  <si>
    <t>Thaisrivongs, Emily</t>
  </si>
  <si>
    <t>Thomas, Jackson</t>
  </si>
  <si>
    <t>Thompson, Tanner</t>
  </si>
  <si>
    <t>Tian, He</t>
  </si>
  <si>
    <t>Tian, Maosha</t>
  </si>
  <si>
    <t>Tong, Le (FL)</t>
  </si>
  <si>
    <t>Tong, Le (NJ)</t>
  </si>
  <si>
    <t>Tracer, Andrew</t>
  </si>
  <si>
    <t>dtrand@gmail.com</t>
  </si>
  <si>
    <t>Tran, Lawrence</t>
  </si>
  <si>
    <t>Tremblay, Maxime</t>
  </si>
  <si>
    <t>Truong, Huy</t>
  </si>
  <si>
    <t>Tsai, Yu-Tang</t>
  </si>
  <si>
    <t>Tsang, Kenneth</t>
  </si>
  <si>
    <t>Tuglo, Emmanuel</t>
  </si>
  <si>
    <t>Vaddad, Naveen</t>
  </si>
  <si>
    <t>Verghese, Sarah</t>
  </si>
  <si>
    <t>Waliu, Linshu</t>
  </si>
  <si>
    <t>Wan, Da</t>
  </si>
  <si>
    <t>Wan, Yiping</t>
  </si>
  <si>
    <t>Wang, Cao</t>
  </si>
  <si>
    <t>Wang, Carrie</t>
  </si>
  <si>
    <t>Wang, Dixi</t>
  </si>
  <si>
    <t>Wang, Eric</t>
  </si>
  <si>
    <t>Wang, Jinshu</t>
  </si>
  <si>
    <t>Wang, Jun (OH)</t>
  </si>
  <si>
    <t>Wang, Jun (VA)</t>
  </si>
  <si>
    <t>Wang, Menglu</t>
  </si>
  <si>
    <t>Wang, Qing (MD)</t>
  </si>
  <si>
    <t>Wang, Qing (TX)</t>
  </si>
  <si>
    <t>Wang, Shen</t>
  </si>
  <si>
    <t>Wang, Shuo</t>
  </si>
  <si>
    <t>Wang, Whee</t>
  </si>
  <si>
    <t>Wang, Yilin (Crystal)</t>
  </si>
  <si>
    <t>wangyin.us@gmail.com</t>
  </si>
  <si>
    <t>Wang, Yu Jian</t>
  </si>
  <si>
    <t>Wang, Zhijian</t>
  </si>
  <si>
    <t>Weng, Jo-Hao</t>
  </si>
  <si>
    <t>Weston, Caitie</t>
  </si>
  <si>
    <t>Wilbanks, Matt</t>
  </si>
  <si>
    <t>Wilke, Brandon</t>
  </si>
  <si>
    <t>Wilson II, Everton</t>
  </si>
  <si>
    <t>Wilson, Albert</t>
  </si>
  <si>
    <t>Won, Da</t>
  </si>
  <si>
    <t>Wong, Andrew</t>
  </si>
  <si>
    <t>Wong, Cedric (NYC)</t>
  </si>
  <si>
    <t>Wong, Cedric (UNY)</t>
  </si>
  <si>
    <t>Wong, Judy</t>
  </si>
  <si>
    <t>Wong, Kyle</t>
  </si>
  <si>
    <t>Wood, Ming</t>
  </si>
  <si>
    <t>Woodson, Caleb</t>
  </si>
  <si>
    <t>Wu, Jessica</t>
  </si>
  <si>
    <t>Wu, Peter</t>
  </si>
  <si>
    <t>Xiao, Daihui</t>
  </si>
  <si>
    <t>Xu, Alice</t>
  </si>
  <si>
    <t>Xu, Emily</t>
  </si>
  <si>
    <t>Xu, Jingrui</t>
  </si>
  <si>
    <t>Xu, Wenhui</t>
  </si>
  <si>
    <t>Yang, Lucy</t>
  </si>
  <si>
    <t>Yang, Zijun</t>
  </si>
  <si>
    <t>Ye, Dee</t>
  </si>
  <si>
    <t>Yencha, Chris</t>
  </si>
  <si>
    <t>Yin, Jerry</t>
  </si>
  <si>
    <t>Yohannes, Filmon</t>
  </si>
  <si>
    <t>Yoshida, Karin</t>
  </si>
  <si>
    <t>Cheng, Stephanie (MD)</t>
  </si>
  <si>
    <t>Cheng, Stephanie (NY)</t>
  </si>
  <si>
    <t>Graham, Sam (GA)</t>
  </si>
  <si>
    <t>Guo, Kenneth (GA)</t>
  </si>
  <si>
    <t>Lee, Jessica (S)</t>
  </si>
  <si>
    <t>Lee, Jessica (UCB)</t>
  </si>
  <si>
    <t>Lee, Max (CA)</t>
  </si>
  <si>
    <t>Lee, Max (NY)</t>
  </si>
  <si>
    <t>Li, Jason (KY)</t>
  </si>
  <si>
    <t>Li, Jason (VA)</t>
  </si>
  <si>
    <t>Morris, Ryan (NY)</t>
  </si>
  <si>
    <t>Peng, Kevin (CA)</t>
  </si>
  <si>
    <t>Smith, Alex (GA)</t>
  </si>
  <si>
    <t>Smith, Alex (MD)</t>
  </si>
  <si>
    <t>Wang, Alex (MA)</t>
  </si>
  <si>
    <t>Wang, Alex (MD)</t>
  </si>
  <si>
    <t>Wang, Yin (MA)</t>
  </si>
  <si>
    <t>Wang, Zibing (MD)</t>
  </si>
  <si>
    <t>Wong, Alex (CA)</t>
  </si>
  <si>
    <t>Wong, Alex (GA)</t>
  </si>
  <si>
    <t>Added e-mail addresses to RESULTS sheet.  Updated version number.</t>
  </si>
  <si>
    <t>Added placeholders (xx) to title line of RESULTS sheet.  Updated version number.</t>
  </si>
  <si>
    <t>Achrekar, Harsh</t>
  </si>
  <si>
    <t>Bunn, Michael</t>
  </si>
  <si>
    <t>Burkley, Zak</t>
  </si>
  <si>
    <t>Camou, Gaston</t>
  </si>
  <si>
    <t>Cei, Allen</t>
  </si>
  <si>
    <t>Chen, Rebecca</t>
  </si>
  <si>
    <t>Dichter, Michal</t>
  </si>
  <si>
    <t>Diribssa, Sisay</t>
  </si>
  <si>
    <t>Ensign-Lewis, Joe</t>
  </si>
  <si>
    <t>Gancharov, Eugene</t>
  </si>
  <si>
    <t>Guevara, Alexandre</t>
  </si>
  <si>
    <t>Handy, Dan</t>
  </si>
  <si>
    <t>Jortner, Brian</t>
  </si>
  <si>
    <t>Keelapudi, Balasubramaniam</t>
  </si>
  <si>
    <t>Kjesbo, Tyler</t>
  </si>
  <si>
    <t>Kliger, Zach</t>
  </si>
  <si>
    <t>Krause, Nathaniel</t>
  </si>
  <si>
    <t>Lachwani, Vishal</t>
  </si>
  <si>
    <t>Levine, Mike</t>
  </si>
  <si>
    <t>Li, Shen</t>
  </si>
  <si>
    <t>Li, Sina</t>
  </si>
  <si>
    <t>Li, Zheng</t>
  </si>
  <si>
    <t>Mathur, Rachit</t>
  </si>
  <si>
    <t>McQuay, Kendall</t>
  </si>
  <si>
    <t>Packard, Brandon</t>
  </si>
  <si>
    <t>Packard, Preston</t>
  </si>
  <si>
    <t>Pagels, David</t>
  </si>
  <si>
    <t>Pai, Sidhant</t>
  </si>
  <si>
    <t>Parkinson, Bryce</t>
  </si>
  <si>
    <t>Porter, Jonathon</t>
  </si>
  <si>
    <t>Roh, Erin</t>
  </si>
  <si>
    <t>Seshadri, Sathvik</t>
  </si>
  <si>
    <t>Sharninghausen, Liam</t>
  </si>
  <si>
    <t>Shillito, Alex</t>
  </si>
  <si>
    <t>Snyder, David Wesley</t>
  </si>
  <si>
    <t>Stebelton, Neil</t>
  </si>
  <si>
    <t>Thompson, Brad</t>
  </si>
  <si>
    <t>Tran, Tan</t>
  </si>
  <si>
    <t>Tsai, Ping Cheng</t>
  </si>
  <si>
    <t>Ukositkul, Nirut</t>
  </si>
  <si>
    <t>Valentin-Torres, Alice</t>
  </si>
  <si>
    <t>Wang, Jianyu</t>
  </si>
  <si>
    <t>Wu, Mingru</t>
  </si>
  <si>
    <t>Xu, Long Xue</t>
  </si>
  <si>
    <t>Kim, David (NE)</t>
  </si>
  <si>
    <t>Ly, Tue (FL)</t>
  </si>
  <si>
    <t>Refreshed RATINGLIST sheet after cleaning up JV overwrites.  Updated version number.</t>
  </si>
  <si>
    <t>Chan, Ryan (ON)</t>
  </si>
  <si>
    <t>Chan, Tim (NY)</t>
  </si>
  <si>
    <t>Chang, J (FL)</t>
  </si>
  <si>
    <t>Chang, Jake (CA)</t>
  </si>
  <si>
    <t>Chen, Jen (CA)</t>
  </si>
  <si>
    <t>Chen, Leon (GA)</t>
  </si>
  <si>
    <t>Chen, Xiang (NE)</t>
  </si>
  <si>
    <t>David, Brian (MS)</t>
  </si>
  <si>
    <t>Kim, Andrew (VA)</t>
  </si>
  <si>
    <t>Lam, Calvin (GA)</t>
  </si>
  <si>
    <t>Lee, C (TX)</t>
  </si>
  <si>
    <t>Lee, Calvin (NY)</t>
  </si>
  <si>
    <t>Lee, Ken (GA)</t>
  </si>
  <si>
    <t>Lee, Kenneth (WI)</t>
  </si>
  <si>
    <t>Lee, Sean (UCB)</t>
  </si>
  <si>
    <t>Li, David (MD)</t>
  </si>
  <si>
    <t>Li, Guo (KS)</t>
  </si>
  <si>
    <t>Li, Guo Ping (CA)</t>
  </si>
  <si>
    <t>Li, Huan (OR)</t>
  </si>
  <si>
    <t>Li, Ken (ON)</t>
  </si>
  <si>
    <t>Li, Kenneth (NY)</t>
  </si>
  <si>
    <t>Li, Min (VA)</t>
  </si>
  <si>
    <t>Li, Xiaoyu (KS)</t>
  </si>
  <si>
    <t>Liao, Yu-chen (Steven)</t>
  </si>
  <si>
    <t>Lin, Xihui (TX)</t>
  </si>
  <si>
    <t>Liu, Charles (OR)</t>
  </si>
  <si>
    <t>Liu, Jen (BU)</t>
  </si>
  <si>
    <t>Liu, Jenny (MIT)</t>
  </si>
  <si>
    <t>Mao, Matthew (CA)</t>
  </si>
  <si>
    <t>Martinez, John (KS)</t>
  </si>
  <si>
    <t>Pham, Christine (KS)</t>
  </si>
  <si>
    <t>Reid, Matt (NY)</t>
  </si>
  <si>
    <t>Robbins, Parker</t>
  </si>
  <si>
    <t>Ruzmetov, Talant</t>
  </si>
  <si>
    <t>Shen, E (FL)</t>
  </si>
  <si>
    <t>Shen, Emily (MA)</t>
  </si>
  <si>
    <t>Tran, Phuong (WI)</t>
  </si>
  <si>
    <t>VanHorn, William Ben</t>
  </si>
  <si>
    <t>Wang, David (MI)</t>
  </si>
  <si>
    <t>Wong, Phil (WI)</t>
  </si>
  <si>
    <t>Wong, Philip (MA)</t>
  </si>
  <si>
    <t>Wu, Daniel (FL)</t>
  </si>
  <si>
    <t>Wu, Jack (CA)</t>
  </si>
  <si>
    <t>Wu, Yifan (MA)</t>
  </si>
  <si>
    <t>Changed all club IDs to 98 in RESULTS sheet.  Removed duplicates from RATINGLIST sheet.  Updated version number.</t>
  </si>
  <si>
    <t>Bolded/Red the Round-Matches and the school names on the TEAM_MATCHES sheet.  Added text about entering defaults.  Updated version number.</t>
  </si>
  <si>
    <t>Enter defaults by</t>
  </si>
  <si>
    <t>displaying 11-0 in</t>
  </si>
  <si>
    <t>the 5th game only.</t>
  </si>
  <si>
    <t>Lightened the green boxes.  Adjusted the DRAW sheet to make non-RR matches not affect the results.  Updated the version number.</t>
  </si>
  <si>
    <t>Match_Rosters!A69</t>
  </si>
  <si>
    <t>Match_Rosters!A137</t>
  </si>
  <si>
    <t>Match_Rosters!A205</t>
  </si>
  <si>
    <t>Match_Rosters!A273</t>
  </si>
  <si>
    <t>Match_Rosters!A341</t>
  </si>
  <si>
    <t>Match_Rosters!A409</t>
  </si>
  <si>
    <t>Match_Rosters!A477</t>
  </si>
  <si>
    <t>Match_Rosters!A545</t>
  </si>
  <si>
    <t>Match_Rosters!A613</t>
  </si>
  <si>
    <t>Match_Rosters!A681</t>
  </si>
  <si>
    <t>Match_Rosters!A749</t>
  </si>
  <si>
    <t>Match_Rosters!A817</t>
  </si>
  <si>
    <t>Match_Rosters!A885</t>
  </si>
  <si>
    <t>Match_Rosters!A953</t>
  </si>
  <si>
    <t>Match_Rosters!A1021</t>
  </si>
  <si>
    <t>Match_Rosters!A1157</t>
  </si>
  <si>
    <t>Match_Rosters!A1225</t>
  </si>
  <si>
    <t>Match_Rosters!A1293</t>
  </si>
  <si>
    <t>Match_Rosters!A1361</t>
  </si>
  <si>
    <t>Match_Rosters!A1429</t>
  </si>
  <si>
    <t>Match_Rosters!A1497</t>
  </si>
  <si>
    <t>Match_Rosters!A1565</t>
  </si>
  <si>
    <t>Match_Rosters!A1633</t>
  </si>
  <si>
    <t>Match_Rosters!A1701</t>
  </si>
  <si>
    <t>Match_Rosters!A1769</t>
  </si>
  <si>
    <t>Match_Rosters!A1837</t>
  </si>
  <si>
    <t>Match_Rosters!A1905</t>
  </si>
  <si>
    <t>Match_Rosters!A1973</t>
  </si>
  <si>
    <t>Match_Rosters!A2041</t>
  </si>
  <si>
    <t>Match_Rosters!A2109</t>
  </si>
  <si>
    <t>Match_Rosters!A2245</t>
  </si>
  <si>
    <t>Match_Rosters!A2313</t>
  </si>
  <si>
    <t>Match_Rosters!A2381</t>
  </si>
  <si>
    <t>Match_Rosters!A2449</t>
  </si>
  <si>
    <t>Match_Rosters!A2517</t>
  </si>
  <si>
    <t>Match_Rosters!A2585</t>
  </si>
  <si>
    <t>Match_Rosters!A2653</t>
  </si>
  <si>
    <t>Match_Rosters!A2721</t>
  </si>
  <si>
    <t>Match_Rosters!A2789</t>
  </si>
  <si>
    <t>Match_Rosters!A2857</t>
  </si>
  <si>
    <t>Match_Rosters!A2925</t>
  </si>
  <si>
    <t>Match_Rosters!A2993</t>
  </si>
  <si>
    <t>Match_Rosters!A3061</t>
  </si>
  <si>
    <t>Match_Rosters!A3129</t>
  </si>
  <si>
    <t>Match_Rosters!A3197</t>
  </si>
  <si>
    <t>Match_Rosters!A3333</t>
  </si>
  <si>
    <t>Match_Rosters!A3401</t>
  </si>
  <si>
    <t>Match_Rosters!A3469</t>
  </si>
  <si>
    <t>Match_Rosters!A3537</t>
  </si>
  <si>
    <t>Match_Rosters!A3605</t>
  </si>
  <si>
    <t>Match_Rosters!A3673</t>
  </si>
  <si>
    <t>Match_Rosters!A3741</t>
  </si>
  <si>
    <t>Match_Rosters!A3809</t>
  </si>
  <si>
    <t>Match_Rosters!A3877</t>
  </si>
  <si>
    <t>Match_Rosters!A3945</t>
  </si>
  <si>
    <t>Match_Rosters!A4013</t>
  </si>
  <si>
    <t>Match_Rosters!A4081</t>
  </si>
  <si>
    <t>Match_Rosters!A4149</t>
  </si>
  <si>
    <t>Match_Rosters!A4217</t>
  </si>
  <si>
    <t>Match_Rosters!A4285</t>
  </si>
  <si>
    <t>Match_Rosters!A4353</t>
  </si>
  <si>
    <t>Match_Rosters!A4421</t>
  </si>
  <si>
    <t>The Rating Column (D) is unlocked and can be modified with a temporary estimated rating.</t>
  </si>
  <si>
    <t>For Red box #7, the team strength will be displayed using the formula (A+B)*1.5 + C + D.</t>
  </si>
  <si>
    <t>Regional Competition</t>
  </si>
  <si>
    <t>For the regional competition, you need to divide the 8 teams into two groups of 4.  For example, let's say</t>
  </si>
  <si>
    <t>Div 1, School 1 (9600)</t>
  </si>
  <si>
    <t>Div 2, School 1 (9400)</t>
  </si>
  <si>
    <t>Div 3, School 1 (9300)</t>
  </si>
  <si>
    <t>Div 2, School 2 (9200)</t>
  </si>
  <si>
    <t>Div 4, School 1 (9100)</t>
  </si>
  <si>
    <t>Div 2, School 3 (9000)</t>
  </si>
  <si>
    <t>Div 3, School 2 (8900)</t>
  </si>
  <si>
    <t>Div 1, School 2 (8800)</t>
  </si>
  <si>
    <t>that the top 8 teams look like what is shown below.  The number in parentheses is the team strength.</t>
  </si>
  <si>
    <t>That is calculated using the formula (A + B)*1.5 + C + D.</t>
  </si>
  <si>
    <t>You will notice that the 4th highest rated team is not the</t>
  </si>
  <si>
    <t>winner of Div 4, but rather the 2nd place finisher from Div 2.</t>
  </si>
  <si>
    <t>You will also notice that Division 2 was so strong that three</t>
  </si>
  <si>
    <t>teams made it to the regional competition and only one</t>
  </si>
  <si>
    <t>team made it from Division 4.</t>
  </si>
  <si>
    <t>You divide these 8 teams into two groups of 4 by using the snake method.</t>
  </si>
  <si>
    <t>Then you look at the two groups for geographic separation which means making sure teams from the same</t>
  </si>
  <si>
    <t>Division are not in the same round robin group, when possible.</t>
  </si>
  <si>
    <t>You will notice that in Group A both the winner and runner-up from Division 1 are in the same group.</t>
  </si>
  <si>
    <t>Group B has a similar problem with schools from the same Division in the same group.</t>
  </si>
  <si>
    <t>To fix this problem, you move schools to the other group that are on the same row starting at the bottom.</t>
  </si>
  <si>
    <t>Switching #8 with #7 fixes the problem for Div 1 and also solves the problem with Div 3 at the same time.</t>
  </si>
  <si>
    <t xml:space="preserve">The only problem left to resolve is that Div 2 has three schools so two of the schools will end up in the </t>
  </si>
  <si>
    <t>same group.  The rules state that the highest rated school is to be in a group of its own which means</t>
  </si>
  <si>
    <t>Div 2, School 2 and Div 2, School 3 need to be in the same group.  Switch #6 with #5.</t>
  </si>
  <si>
    <t>Now all the schools from the same Division have been separated and won't compete against each other</t>
  </si>
  <si>
    <t>unless they make it to the single elimination crossover play.</t>
  </si>
  <si>
    <t>Finally, the winner of Group A plays the 2nd place team in Group B; winner of Group B plays the 2nd place</t>
  </si>
  <si>
    <t>team in Group A.  The winners of these matches play for 1st and 2nd.  The losers play for 3rd-4th.</t>
  </si>
  <si>
    <t>The third place teams from each group play each other for 5th-6th and the fourth place teams from</t>
  </si>
  <si>
    <t>each group play each other for 7th-8th place.</t>
  </si>
  <si>
    <t>Adjusted the DRAW sheet to lock cells R4 and R6.  Widened the date field in column D of the TEAM_MATCHES sheet.  Unlocked the ratings column in the PLAYERS sheet.  Modified the help text to indicate temporary estimated ratings can be entered.  Added team strength rating to PLAYERS sheet.  Added the instructions for regional competition.  Updated the INSTRUCTIONS sheet.  Updated the version number.</t>
  </si>
  <si>
    <t>You may need to scroll down to see the top of the page.</t>
  </si>
  <si>
    <t>Changed "N" to a "Y" for the Player Info field for all players.  Added text to the INSTRUCTIONS sheet on scrolling down a bit when using the grid on the DRAW sheet.  Updated the version number.</t>
  </si>
  <si>
    <t>Refreshed RATINGLIST sheet with results from Fall 2011 meets.  Adjusted formula for reporting 4th singles missing player 11-0 to only appear if other scores are reported.</t>
  </si>
  <si>
    <t>Abate, Abebe</t>
  </si>
  <si>
    <t>aabate2@uic.edu</t>
  </si>
  <si>
    <t>hdachrekar@gmail.com</t>
  </si>
  <si>
    <t>caacree@crimson.ua.edu</t>
  </si>
  <si>
    <t>Adhikari, Yash</t>
  </si>
  <si>
    <t>leineagata@yahoo.com.br</t>
  </si>
  <si>
    <t>Aggarwal, Pankaj</t>
  </si>
  <si>
    <t>Albaddi, Muhamed</t>
  </si>
  <si>
    <t>fido_geranamo@yahoo.com</t>
  </si>
  <si>
    <t>Aldrich, Derek</t>
  </si>
  <si>
    <t>Alhamad, Ali</t>
  </si>
  <si>
    <t>Altenburg, Reed</t>
  </si>
  <si>
    <t>Alzarough, Alshebani</t>
  </si>
  <si>
    <t>Amankona-Diawno, Felix</t>
  </si>
  <si>
    <t>Amazan, Pouchon</t>
  </si>
  <si>
    <t>PouchonJean_Amazan@student.uml.edu</t>
  </si>
  <si>
    <t>tjan@princeton.edu</t>
  </si>
  <si>
    <t>Ang, Mei Er</t>
  </si>
  <si>
    <t>angelesk@bellsouth.net</t>
  </si>
  <si>
    <t>Arcaro, Dan</t>
  </si>
  <si>
    <t>Aroh, Kosi</t>
  </si>
  <si>
    <t>Au, Terence</t>
  </si>
  <si>
    <t>adityavasta@gmail.com</t>
  </si>
  <si>
    <t>michelavey@mail.usf.edu</t>
  </si>
  <si>
    <t>Avila, Nick</t>
  </si>
  <si>
    <t>Baghaki, Ali</t>
  </si>
  <si>
    <t>Bai, Carl</t>
  </si>
  <si>
    <t>Balcos, Emilio</t>
  </si>
  <si>
    <t>Ball, Andreas</t>
  </si>
  <si>
    <t>Bao, WenCheng</t>
  </si>
  <si>
    <t>Barly, Itay</t>
  </si>
  <si>
    <t>Barr, Eli</t>
  </si>
  <si>
    <t>ebarr15@wooster.edu</t>
  </si>
  <si>
    <t>Barua, Tanmoy</t>
  </si>
  <si>
    <t>Batbold, Eja</t>
  </si>
  <si>
    <t>eb247@lionmail.lindenwood.edu</t>
  </si>
  <si>
    <t>Baudron, Marc</t>
  </si>
  <si>
    <t>boldoobs@yahoo.com</t>
  </si>
  <si>
    <t>Bayer, Cal</t>
  </si>
  <si>
    <t>tjb5178@psu.edu</t>
  </si>
  <si>
    <t>Bender, Florian</t>
  </si>
  <si>
    <t>benderflorian@aol.com</t>
  </si>
  <si>
    <t>Benjamin, Lindsey</t>
  </si>
  <si>
    <t>Bennett, Simone</t>
  </si>
  <si>
    <t>sbennett@drew.edu</t>
  </si>
  <si>
    <t>jdb676@msstate.edu</t>
  </si>
  <si>
    <t>Berg, Marissa</t>
  </si>
  <si>
    <t>Berger, Zvi</t>
  </si>
  <si>
    <t>Bertholey, Sylvain</t>
  </si>
  <si>
    <t>Bhaway, Sarang</t>
  </si>
  <si>
    <t>rkm23@zips.uakron.edu</t>
  </si>
  <si>
    <t>Bilyalov, Rustem</t>
  </si>
  <si>
    <t>Blanchard, Tom</t>
  </si>
  <si>
    <t>blanchard.thomas@gmail.com</t>
  </si>
  <si>
    <t>boatenj@uah.edu</t>
  </si>
  <si>
    <t>Bonham, Ethan</t>
  </si>
  <si>
    <t>Boroff, Jacob</t>
  </si>
  <si>
    <t>jboroff15@wooster.edu</t>
  </si>
  <si>
    <t>Breeden, Andrew</t>
  </si>
  <si>
    <t>andrewbreeden66@gmail.com</t>
  </si>
  <si>
    <t>Brincks, Corey</t>
  </si>
  <si>
    <t>brosch.tom@gmail.com</t>
  </si>
  <si>
    <t>Brown, Kendall</t>
  </si>
  <si>
    <t>Brown, Nicholas</t>
  </si>
  <si>
    <t>tabletennis.slu@gmail.com</t>
  </si>
  <si>
    <t>Buckelew, Bart</t>
  </si>
  <si>
    <t>Buel, Lynsay</t>
  </si>
  <si>
    <t>Bui, Brian</t>
  </si>
  <si>
    <t>Bukhair, Hassan</t>
  </si>
  <si>
    <t>hsn.bok@gmail.com</t>
  </si>
  <si>
    <t>Burganns, Ben</t>
  </si>
  <si>
    <t>Burkholder, Steve</t>
  </si>
  <si>
    <t>Burkit, Aliya</t>
  </si>
  <si>
    <t>aliaburkit@gmail.com</t>
  </si>
  <si>
    <t>zburkley@gmail.com</t>
  </si>
  <si>
    <t>Burns, Eric</t>
  </si>
  <si>
    <t>Byrne, Nathalie</t>
  </si>
  <si>
    <t>Cacciatore, Walker</t>
  </si>
  <si>
    <t>cacciawm@clarkson.edu</t>
  </si>
  <si>
    <t>Campbell, Mcian</t>
  </si>
  <si>
    <t>fred.cantarelli@hotmail.com</t>
  </si>
  <si>
    <t>Cao, Danng</t>
  </si>
  <si>
    <t>Carobine, Maria</t>
  </si>
  <si>
    <t>mcarobin@ashland.edu</t>
  </si>
  <si>
    <t>Chaikovsky, Aleksey</t>
  </si>
  <si>
    <t>Chak, Supriya</t>
  </si>
  <si>
    <t>Chan, Eunice</t>
  </si>
  <si>
    <t>echan295@uwo.ca</t>
  </si>
  <si>
    <t>Chan, Raymond</t>
  </si>
  <si>
    <t>raychan1@umbc.edu</t>
  </si>
  <si>
    <t>timothtc@uci.edu</t>
  </si>
  <si>
    <t>Chang, Chuan</t>
  </si>
  <si>
    <t>hujing3@msu.edu</t>
  </si>
  <si>
    <t>Chatzinoff, Jill</t>
  </si>
  <si>
    <t>Chau, Eric</t>
  </si>
  <si>
    <t>Chen, Aaron</t>
  </si>
  <si>
    <t>aychen3@emory.edu</t>
  </si>
  <si>
    <t>xchen27@crimson.ua.edu</t>
  </si>
  <si>
    <t>Chen, Ann</t>
  </si>
  <si>
    <t>Chen, Anthony</t>
  </si>
  <si>
    <t>chujui@gmail.com</t>
  </si>
  <si>
    <t>chen274@law.illinois.edu</t>
  </si>
  <si>
    <t>Chen, Dan</t>
  </si>
  <si>
    <t>Chen, Hao</t>
  </si>
  <si>
    <t>Chen, Jieyu</t>
  </si>
  <si>
    <t>Chen, Judy</t>
  </si>
  <si>
    <t>Chen, Michael</t>
  </si>
  <si>
    <t>nancy.chen@college.harvard.edu</t>
  </si>
  <si>
    <t>Chen, Simon</t>
  </si>
  <si>
    <t>schen82@uic.edu</t>
  </si>
  <si>
    <t>Chen, Stephanie</t>
  </si>
  <si>
    <t>86244388@qq.com</t>
  </si>
  <si>
    <t>Chen, Yan</t>
  </si>
  <si>
    <t>Chen, Yingzhe</t>
  </si>
  <si>
    <t>yc495@cornell.edu</t>
  </si>
  <si>
    <t>Chen, Zianya</t>
  </si>
  <si>
    <t>Cheng, Bichu</t>
  </si>
  <si>
    <t>cbcatca@gmail.com</t>
  </si>
  <si>
    <t>Cheng, James</t>
  </si>
  <si>
    <t>Cheng, Ting-Chung</t>
  </si>
  <si>
    <t>tcheng9@wisc.edu</t>
  </si>
  <si>
    <t>Cheong, Jia Hwei</t>
  </si>
  <si>
    <t>Cheung, Jason</t>
  </si>
  <si>
    <t>smallthumb@hotmail.com</t>
  </si>
  <si>
    <t>Cheung, Kevin</t>
  </si>
  <si>
    <t>kic5197@psu.edu</t>
  </si>
  <si>
    <t>Chew, Shih Yuin</t>
  </si>
  <si>
    <t>schew@wisc.edu</t>
  </si>
  <si>
    <t>Chia, Ayron</t>
  </si>
  <si>
    <t>Chia, Brian</t>
  </si>
  <si>
    <t>cchia@umich.edu</t>
  </si>
  <si>
    <t>Ching, Madeline</t>
  </si>
  <si>
    <t>Chirmule, Shardul</t>
  </si>
  <si>
    <t>Chiu, YuChen</t>
  </si>
  <si>
    <t>Cho, Gloria</t>
  </si>
  <si>
    <t>gloria.e.cho@gmail.com</t>
  </si>
  <si>
    <t>Choi, Daniel</t>
  </si>
  <si>
    <t>StarWind24@gmail.com</t>
  </si>
  <si>
    <t>Chou, Andy</t>
  </si>
  <si>
    <t>achou47@yahoo.com</t>
  </si>
  <si>
    <t>dc43@njit.edu</t>
  </si>
  <si>
    <t>Chu, Yo-Hsuan</t>
  </si>
  <si>
    <t>Clegg, Casey</t>
  </si>
  <si>
    <t>Clemente, Jian</t>
  </si>
  <si>
    <t>Collins, Jeff</t>
  </si>
  <si>
    <t>Colluru, Viswa Teja</t>
  </si>
  <si>
    <t>colluru@wisc.edu</t>
  </si>
  <si>
    <t>Cooper, Jahan</t>
  </si>
  <si>
    <t>Cordone, Guthrie</t>
  </si>
  <si>
    <t>cordonga@clarkson.edu</t>
  </si>
  <si>
    <t>Cretu, Razvan</t>
  </si>
  <si>
    <t>Cui, Hailan</t>
  </si>
  <si>
    <t>yustdream@gmail.com</t>
  </si>
  <si>
    <t>Cui, Xiao</t>
  </si>
  <si>
    <t>Cwikla, Kamil</t>
  </si>
  <si>
    <t>Daixue, Yang</t>
  </si>
  <si>
    <t>Dan, Hannah</t>
  </si>
  <si>
    <t>Daniels, Dylan</t>
  </si>
  <si>
    <t>adarer@oberlin.edu</t>
  </si>
  <si>
    <t>Dariu, Yang</t>
  </si>
  <si>
    <t>De Alcuaz, William</t>
  </si>
  <si>
    <t>De Jesus, Adrian</t>
  </si>
  <si>
    <t>Dejene, Brouk</t>
  </si>
  <si>
    <t>dejesusd@canisius.edu</t>
  </si>
  <si>
    <t>Del Rosario, Vittorio</t>
  </si>
  <si>
    <t>wdeng@mail.usf.edu</t>
  </si>
  <si>
    <t>xiapengdeng@gmail.com</t>
  </si>
  <si>
    <t>Denton, Daniel</t>
  </si>
  <si>
    <t>Desai, Ishan</t>
  </si>
  <si>
    <t>ishan.desai@mail.darton.edu</t>
  </si>
  <si>
    <t>Dewji, Chip</t>
  </si>
  <si>
    <t>Ding, Sam</t>
  </si>
  <si>
    <t>vd8@students.uwf.edu</t>
  </si>
  <si>
    <t>kaidong1@umbc.edu</t>
  </si>
  <si>
    <t>Dong, Xiaokai</t>
  </si>
  <si>
    <t>yuvedboss@gmail.com</t>
  </si>
  <si>
    <t>Doub, Luke</t>
  </si>
  <si>
    <t>capwrd_s13@hotmail.com</t>
  </si>
  <si>
    <t>Drsek, John</t>
  </si>
  <si>
    <t>Dudani, Shelly</t>
  </si>
  <si>
    <t>sdudani@indiana.edu</t>
  </si>
  <si>
    <t>duggan22@canisius.edu</t>
  </si>
  <si>
    <t>Duncan, Zac</t>
  </si>
  <si>
    <t>Estock, Zach</t>
  </si>
  <si>
    <t>zack.estock@gmail.com</t>
  </si>
  <si>
    <t>Evans, Jesse</t>
  </si>
  <si>
    <t>Evens, Elias</t>
  </si>
  <si>
    <t>Fabbri, Cameron</t>
  </si>
  <si>
    <t>fabbricm@clarkson.edu</t>
  </si>
  <si>
    <t>Fan, Wesley</t>
  </si>
  <si>
    <t>Farishta, Akil</t>
  </si>
  <si>
    <t>Fein, Michael</t>
  </si>
  <si>
    <t>Feng, Jason</t>
  </si>
  <si>
    <t>Feng, Jung Tian</t>
  </si>
  <si>
    <t>Feng, Zimin</t>
  </si>
  <si>
    <t>Filmer, Nicholas</t>
  </si>
  <si>
    <t>filmernd@clarkson.edu</t>
  </si>
  <si>
    <t>charanpreetflora@gmail.com</t>
  </si>
  <si>
    <t>Forng, Katherine</t>
  </si>
  <si>
    <t>kforng1@umbc.edu</t>
  </si>
  <si>
    <t>arfrank@indiana.edu</t>
  </si>
  <si>
    <t>zecker5@hotmail.com</t>
  </si>
  <si>
    <t>Fu, Haiyan</t>
  </si>
  <si>
    <t>Fu, Yiling</t>
  </si>
  <si>
    <t>eklinesa@oberlin.edu</t>
  </si>
  <si>
    <t>karinfukushima@yahoo.com.br</t>
  </si>
  <si>
    <t>Fuller, Shawn</t>
  </si>
  <si>
    <t>SMF5331@psu.edu</t>
  </si>
  <si>
    <t>gxiang1@vt.edu</t>
  </si>
  <si>
    <t>Gao, Xindi</t>
  </si>
  <si>
    <t>xg73@cornell.edu</t>
  </si>
  <si>
    <t>kanita.g.1993@gmail.com</t>
  </si>
  <si>
    <t>Gates, Rhys</t>
  </si>
  <si>
    <t>satzgtm@gmail.com</t>
  </si>
  <si>
    <t>ruiyi_on_board@hotmail.com</t>
  </si>
  <si>
    <t>seangandelsman@yahoo.com</t>
  </si>
  <si>
    <t>Gibson, Ryan</t>
  </si>
  <si>
    <t>Gieuw, Matthew</t>
  </si>
  <si>
    <t>mgieuw@gmail.com</t>
  </si>
  <si>
    <t>Goldman, Aaron</t>
  </si>
  <si>
    <t>aaron.goldman.15@dartmouth.edu</t>
  </si>
  <si>
    <t>Goodarzi, Bahareh</t>
  </si>
  <si>
    <t>Goodrich, Hope</t>
  </si>
  <si>
    <t>Gopaluni, Siva</t>
  </si>
  <si>
    <t>ssuknowit@siu.edu</t>
  </si>
  <si>
    <t>Gosain, Arjun</t>
  </si>
  <si>
    <t>Gottumukkala, Aakarsh</t>
  </si>
  <si>
    <t>agottumukkala13@wooster.edu</t>
  </si>
  <si>
    <t>Graff, Will</t>
  </si>
  <si>
    <t>Grenier, Adam</t>
  </si>
  <si>
    <t>agrenie@emory.edu</t>
  </si>
  <si>
    <t>Gu, Tammy</t>
  </si>
  <si>
    <t>tammy.gu1@gmail.com</t>
  </si>
  <si>
    <t>Guan, Yinglong</t>
  </si>
  <si>
    <t>Guerineau, Albin</t>
  </si>
  <si>
    <t>Aguevara@oberlin.edu</t>
  </si>
  <si>
    <t>Gumea, TianQing</t>
  </si>
  <si>
    <t>Guo, Flower</t>
  </si>
  <si>
    <t>Guo, James</t>
  </si>
  <si>
    <t>jilin.guo@utah.edu</t>
  </si>
  <si>
    <t>Guo, Meng</t>
  </si>
  <si>
    <t>Guo, Xixi</t>
  </si>
  <si>
    <t>Gupta, Tanay</t>
  </si>
  <si>
    <t>txg4279@g.rit.edu</t>
  </si>
  <si>
    <t>Haddad, Gabriel</t>
  </si>
  <si>
    <t>cool-gabo@hotmail.com</t>
  </si>
  <si>
    <t>Haidl, Peter</t>
  </si>
  <si>
    <t>Hajiyani, Shoeb</t>
  </si>
  <si>
    <t>Halm, Gordon</t>
  </si>
  <si>
    <t>gordonhalm@yahoo.com</t>
  </si>
  <si>
    <t>Hamidi, Behzad</t>
  </si>
  <si>
    <t>hamidi.behzad@gmail.com</t>
  </si>
  <si>
    <t>Hammersmith, Steven</t>
  </si>
  <si>
    <t>Han, John</t>
  </si>
  <si>
    <t>Han, Zheyi</t>
  </si>
  <si>
    <t>zh52@cornell.edu</t>
  </si>
  <si>
    <t>Hantehzadeh, Reza</t>
  </si>
  <si>
    <t>reza@siu.edu</t>
  </si>
  <si>
    <t>Haralalka, Div</t>
  </si>
  <si>
    <t>dharalalka15@wooster.edu</t>
  </si>
  <si>
    <t>brettmharris@ufl.edu</t>
  </si>
  <si>
    <t>smhrt@dordt.edu</t>
  </si>
  <si>
    <t>Hastilow, Karissa</t>
  </si>
  <si>
    <t>Hayes, Mike</t>
  </si>
  <si>
    <t>Heng, Pei</t>
  </si>
  <si>
    <t>peiheng@wustl.edu</t>
  </si>
  <si>
    <t>taitea1121@yahoo.com</t>
  </si>
  <si>
    <t>Higgins, Dan</t>
  </si>
  <si>
    <t>dthiggins@email.wm.edu</t>
  </si>
  <si>
    <t>Hill Pierre-Louis, Djedjy</t>
  </si>
  <si>
    <t>dhillpierre@drew.edu</t>
  </si>
  <si>
    <t>Hiu, Ching Lau</t>
  </si>
  <si>
    <t>Ho, Joanne</t>
  </si>
  <si>
    <t>joanneho14@yahoo.com.sg</t>
  </si>
  <si>
    <t>Ho, Ken</t>
  </si>
  <si>
    <t>Ho, Shou Jie</t>
  </si>
  <si>
    <t>Holman, John</t>
  </si>
  <si>
    <t>Horvath, Joe</t>
  </si>
  <si>
    <t>Hou, Nick</t>
  </si>
  <si>
    <t>Hou, Qiaolu</t>
  </si>
  <si>
    <t>Hovis, Jordan</t>
  </si>
  <si>
    <t>samuelhowes@gmail.com</t>
  </si>
  <si>
    <t>Hsien, Paula</t>
  </si>
  <si>
    <t>pyaohsien@msn.com</t>
  </si>
  <si>
    <t>Hsien, Peggy</t>
  </si>
  <si>
    <t>peggyhsien@hotmail.com</t>
  </si>
  <si>
    <t>Hu, Mark</t>
  </si>
  <si>
    <t>Hu, Nikki</t>
  </si>
  <si>
    <t>rhu8@uwo.ca</t>
  </si>
  <si>
    <t>hu25@wisc.edu</t>
  </si>
  <si>
    <t>Huang, Brian</t>
  </si>
  <si>
    <t>Huang, Jason</t>
  </si>
  <si>
    <t>ttdragongmail.com</t>
  </si>
  <si>
    <t>Huang, Junxian</t>
  </si>
  <si>
    <t>hjx@umich.edu</t>
  </si>
  <si>
    <t>Huang, Kangkang</t>
  </si>
  <si>
    <t>Huang, Kevin Kanyuan</t>
  </si>
  <si>
    <t>Huang, Po-Ju</t>
  </si>
  <si>
    <t>Huang, Shanshan</t>
  </si>
  <si>
    <t>shengyun.huang.13@dartmouth.edu</t>
  </si>
  <si>
    <t>Huang, Tsung-Rey</t>
  </si>
  <si>
    <t>thuang5@wisc.edu</t>
  </si>
  <si>
    <t>Huang, Weiqiao</t>
  </si>
  <si>
    <t>xianmenghuang@gmail.com</t>
  </si>
  <si>
    <t>huang.y@husky.neu.edu</t>
  </si>
  <si>
    <t>Hufstedler, Chris</t>
  </si>
  <si>
    <t>Hui, HongChua</t>
  </si>
  <si>
    <t>Hung, Allen</t>
  </si>
  <si>
    <t>wlhung@umich.edu</t>
  </si>
  <si>
    <t>Huston, Amber</t>
  </si>
  <si>
    <t>Hwang, Yu-Ru</t>
  </si>
  <si>
    <t>yhwang36@gatech.edu</t>
  </si>
  <si>
    <t>Hyung, Lance</t>
  </si>
  <si>
    <t>Hyunh, Lance</t>
  </si>
  <si>
    <t>andreirigoyen@hotmail.com</t>
  </si>
  <si>
    <t>anirudh@mail.usf.edu</t>
  </si>
  <si>
    <t>Jabbari, Neda</t>
  </si>
  <si>
    <t>neda.jabbari@gmail.com</t>
  </si>
  <si>
    <t>mmj5127@psu.edu</t>
  </si>
  <si>
    <t>Jackson, Stephanie</t>
  </si>
  <si>
    <t>Jain, Anika</t>
  </si>
  <si>
    <t>Jain, Anubhav</t>
  </si>
  <si>
    <t>Jain, Nimit</t>
  </si>
  <si>
    <t>Jajodia, Anish</t>
  </si>
  <si>
    <t>Jakobik, Pawel</t>
  </si>
  <si>
    <t>pj62@njit.edu</t>
  </si>
  <si>
    <t>James, Liz</t>
  </si>
  <si>
    <t>Janz, Michael</t>
  </si>
  <si>
    <t>jaoudem@canisius.edu</t>
  </si>
  <si>
    <t>Jatain, Satish</t>
  </si>
  <si>
    <t>jixinye@msu.edu</t>
  </si>
  <si>
    <t>Jiang, Qichen</t>
  </si>
  <si>
    <t>qjiang@ashland.edu</t>
  </si>
  <si>
    <t>Jiang, Yang</t>
  </si>
  <si>
    <t>Jiant, Michael</t>
  </si>
  <si>
    <t>mnjiang@email.wm.edu</t>
  </si>
  <si>
    <t>Jin, Ethan</t>
  </si>
  <si>
    <t>Jin, Wenhui</t>
  </si>
  <si>
    <t>amitjind@indiana.edu</t>
  </si>
  <si>
    <t>Johnson, Cory</t>
  </si>
  <si>
    <t>coryjames.johnson@gmail.com</t>
  </si>
  <si>
    <t>Johnson, Ryan</t>
  </si>
  <si>
    <t>rjohnson@drew.edu</t>
  </si>
  <si>
    <t>Jones, Cory</t>
  </si>
  <si>
    <t>Kalra, Ashish</t>
  </si>
  <si>
    <t>Karunaguth, Arjun</t>
  </si>
  <si>
    <t>keenes@lafayette.edu</t>
  </si>
  <si>
    <t>Kerby, Sara</t>
  </si>
  <si>
    <t>skerby@drew.edu</t>
  </si>
  <si>
    <t>Kermanshah, Arya</t>
  </si>
  <si>
    <t>AOK5269@psu.edu</t>
  </si>
  <si>
    <t>Kerpan, Nicholas</t>
  </si>
  <si>
    <t>Key Manesh, Mohammad</t>
  </si>
  <si>
    <t>jcr45@zips.uakron.edu</t>
  </si>
  <si>
    <t>Kiang, Daniel</t>
  </si>
  <si>
    <t>dkiang1@umbc.edu</t>
  </si>
  <si>
    <t>Kim, David Young</t>
  </si>
  <si>
    <t>Kim, Eric</t>
  </si>
  <si>
    <t>kimeric2@seas.upenn.edu</t>
  </si>
  <si>
    <t>Kim, Jang Soo</t>
  </si>
  <si>
    <t>kimjs@umn.edu</t>
  </si>
  <si>
    <t>Kim, Jung Jin</t>
  </si>
  <si>
    <t>Kirsch, Theodore</t>
  </si>
  <si>
    <t>tkirsch@drew.edu</t>
  </si>
  <si>
    <t>Kitay, Michael</t>
  </si>
  <si>
    <t>klecz1jj@cmich.edu</t>
  </si>
  <si>
    <t>Kline-Salamon, Efrata</t>
  </si>
  <si>
    <t>Koleilat, Sarah</t>
  </si>
  <si>
    <t>skoleilat@llm12.law.harvard.edu</t>
  </si>
  <si>
    <t>Kong, Casey</t>
  </si>
  <si>
    <t>pku@caltech.edu</t>
  </si>
  <si>
    <t>Kulkarni, Kanchan</t>
  </si>
  <si>
    <t>Kumar, Satya</t>
  </si>
  <si>
    <t>ikunjara@gmail.com</t>
  </si>
  <si>
    <t>Kuo, Grace</t>
  </si>
  <si>
    <t>grace3kuo@gmail.com</t>
  </si>
  <si>
    <t>Kwan, Darren</t>
  </si>
  <si>
    <t>Kwan, Timothy</t>
  </si>
  <si>
    <t>tnkwan@uci.edu</t>
  </si>
  <si>
    <t>Ladyzhensky, Nikita</t>
  </si>
  <si>
    <t>LaFreniere, Tyler</t>
  </si>
  <si>
    <t>lafrents@clarkson.edu</t>
  </si>
  <si>
    <t>mlakahny@uwo.ca</t>
  </si>
  <si>
    <t>lam_gary@hotmail.com</t>
  </si>
  <si>
    <t>Lam, Shermaine Joey</t>
  </si>
  <si>
    <t>sjlam@emory.edu</t>
  </si>
  <si>
    <t>Lan, Zengjun</t>
  </si>
  <si>
    <t>diego_langoni@hotmail.com</t>
  </si>
  <si>
    <t>Lapuh, Nathan</t>
  </si>
  <si>
    <t>Lau, Hollie</t>
  </si>
  <si>
    <t>Lau, Judy</t>
  </si>
  <si>
    <t>Lau, Mike</t>
  </si>
  <si>
    <t>Lawson, Gray</t>
  </si>
  <si>
    <t>xlr8s13@aol.com</t>
  </si>
  <si>
    <t>slazzaro@slu.edu</t>
  </si>
  <si>
    <t>stle@eden.rutgers.edu</t>
  </si>
  <si>
    <t>Lee, Carmen</t>
  </si>
  <si>
    <t>misscarmenlee@hotmail.com</t>
  </si>
  <si>
    <t>Lee, Donie</t>
  </si>
  <si>
    <t>Lee, Haydon</t>
  </si>
  <si>
    <t>haydonlee@gmail.com</t>
  </si>
  <si>
    <t>Lee, Hiu Wai</t>
  </si>
  <si>
    <t>jesspei@gmail.com</t>
  </si>
  <si>
    <t>leepwm@siu.edu</t>
  </si>
  <si>
    <t>Lee, Sam (NY)</t>
  </si>
  <si>
    <t>Lei, Yuhang</t>
  </si>
  <si>
    <t>Lenchtner, Ned</t>
  </si>
  <si>
    <t>Lerner, Brian</t>
  </si>
  <si>
    <t>Lesieur, Sabastien</t>
  </si>
  <si>
    <t>Leung, Eric</t>
  </si>
  <si>
    <t>Leung, Megan</t>
  </si>
  <si>
    <t>terence.leung@uwaterloo.ca</t>
  </si>
  <si>
    <t>Lewis, Andrew</t>
  </si>
  <si>
    <t>licongsh@msu.edu</t>
  </si>
  <si>
    <t>Li, Derek</t>
  </si>
  <si>
    <t>Li, Eric</t>
  </si>
  <si>
    <t>eri-li@hotmail.com</t>
  </si>
  <si>
    <t>jane.li@mail.mcgill.ca</t>
  </si>
  <si>
    <t>Li, Janiel</t>
  </si>
  <si>
    <t>Li, Jessica</t>
  </si>
  <si>
    <t>hanjin.li@kwantlen.net</t>
  </si>
  <si>
    <t>Li, Kin He</t>
  </si>
  <si>
    <t>Li, Lionel</t>
  </si>
  <si>
    <t>lionel.lichunfong@hotmail.com</t>
  </si>
  <si>
    <t>Li, Qin</t>
  </si>
  <si>
    <t>Li, Ronald</t>
  </si>
  <si>
    <t>Li, Simon</t>
  </si>
  <si>
    <t>magna_storm@hotmail.com</t>
  </si>
  <si>
    <t>Li, Taozhi</t>
  </si>
  <si>
    <t>litaozhi@umich.edu</t>
  </si>
  <si>
    <t>Li, Yanheng</t>
  </si>
  <si>
    <t>liy19@rpi.edu</t>
  </si>
  <si>
    <t>yl1983@vt.edu</t>
  </si>
  <si>
    <t>Li, Yi</t>
  </si>
  <si>
    <t>Li, Youwei</t>
  </si>
  <si>
    <t>sharkblade87@yahoo.com</t>
  </si>
  <si>
    <t>Li, Yueh</t>
  </si>
  <si>
    <t>Li, Zhi</t>
  </si>
  <si>
    <t>Li, Zhuojie</t>
  </si>
  <si>
    <t>zli32@wisc.edu</t>
  </si>
  <si>
    <t>Liang, Molly</t>
  </si>
  <si>
    <t>Liang, Solomon</t>
  </si>
  <si>
    <t>juliza.liew@mail.mcgill.ca</t>
  </si>
  <si>
    <t>Lim, Edwin</t>
  </si>
  <si>
    <t>edwin_lim@hotmail.com</t>
  </si>
  <si>
    <t>lin14@fas.harvard.edu</t>
  </si>
  <si>
    <t>Lin, Austin</t>
  </si>
  <si>
    <t>gylin@wisc.edu</t>
  </si>
  <si>
    <t>Lin, Joan</t>
  </si>
  <si>
    <t>Lin, Yong Jian</t>
  </si>
  <si>
    <t>yongjian.lin@kwantlen.net</t>
  </si>
  <si>
    <t>Lin, Yuefan</t>
  </si>
  <si>
    <t>Lin, Yufan</t>
  </si>
  <si>
    <t>yufan.lin.14@dartmouth.edu</t>
  </si>
  <si>
    <t>Lin, Zhidong</t>
  </si>
  <si>
    <t>Ling, Sinto</t>
  </si>
  <si>
    <t>Liu, Jian</t>
  </si>
  <si>
    <t>ljian@wharton.upenn.edu</t>
  </si>
  <si>
    <t>jliu15@binghamton.edu</t>
  </si>
  <si>
    <t>Liu, Minjing</t>
  </si>
  <si>
    <t>Liu, Qianfu</t>
  </si>
  <si>
    <t>lqfdzs@126.com</t>
  </si>
  <si>
    <t>Liu, Ruini</t>
  </si>
  <si>
    <t>yliu592@uwo.ca</t>
  </si>
  <si>
    <t>Lombardom@rider.edu</t>
  </si>
  <si>
    <t>Louis, Denny</t>
  </si>
  <si>
    <t>Lu, Jacklyn</t>
  </si>
  <si>
    <t>luweiling_happy@hotmail.com</t>
  </si>
  <si>
    <t>Lu, Shunzhi</t>
  </si>
  <si>
    <t>evgeniya@uoregon.edu</t>
  </si>
  <si>
    <t>Luo, Sisi</t>
  </si>
  <si>
    <t>Ly, Tue (NE)</t>
  </si>
  <si>
    <t>Ma, George</t>
  </si>
  <si>
    <t>gcm52@cornell.edu</t>
  </si>
  <si>
    <t>kma@princeton.edu</t>
  </si>
  <si>
    <t>mam2@rpi.edu</t>
  </si>
  <si>
    <t>Ma, Seigo</t>
  </si>
  <si>
    <t>Macari, Matt</t>
  </si>
  <si>
    <t>MacIntire, Nathanael</t>
  </si>
  <si>
    <t>njm5281@psu.edu</t>
  </si>
  <si>
    <t>Mader, Brandon</t>
  </si>
  <si>
    <t>maderb@rpi.edu</t>
  </si>
  <si>
    <t>Madyda, Brian</t>
  </si>
  <si>
    <t>bwmadyda@crimson.ua.edu</t>
  </si>
  <si>
    <t>Maglich, Joe</t>
  </si>
  <si>
    <t>Magol, Narius</t>
  </si>
  <si>
    <t>narius.magol@kwantlen.net</t>
  </si>
  <si>
    <t>mai4@cs.uiuc.edu</t>
  </si>
  <si>
    <t>Mall, Jonathan</t>
  </si>
  <si>
    <t>jsm5297@psu.edu</t>
  </si>
  <si>
    <t>Mangalara, Jayachandra</t>
  </si>
  <si>
    <t>Maniates-Selvin, Jasper</t>
  </si>
  <si>
    <t>mntsslvn@gmail.com</t>
  </si>
  <si>
    <t>Mann, Travis</t>
  </si>
  <si>
    <t>Marcus, Ryan</t>
  </si>
  <si>
    <t>Marfut, Bret</t>
  </si>
  <si>
    <t>Mark, Eric</t>
  </si>
  <si>
    <t>marke@indiana.edu</t>
  </si>
  <si>
    <t>Martins, Luiz</t>
  </si>
  <si>
    <t>kmaxted12@wooster.edu</t>
  </si>
  <si>
    <t>Maxwell, Jarvis</t>
  </si>
  <si>
    <t>jarvis_maxwell@yahoo.com</t>
  </si>
  <si>
    <t>Mayer, Michael</t>
  </si>
  <si>
    <t>Mazza, Nicholas</t>
  </si>
  <si>
    <t>McAlees, Brandon</t>
  </si>
  <si>
    <t>McCann, Joseph</t>
  </si>
  <si>
    <t>McClellan, Grayson</t>
  </si>
  <si>
    <t>Mei, Di</t>
  </si>
  <si>
    <t>Meng, Qingyang</t>
  </si>
  <si>
    <t>Mete, Tepe</t>
  </si>
  <si>
    <t>mtepe@vt.edu</t>
  </si>
  <si>
    <t>Miculescu, Mara</t>
  </si>
  <si>
    <t>Millspaugh, Jeff</t>
  </si>
  <si>
    <t>Mimbs, Jeffrey</t>
  </si>
  <si>
    <t>Ming, Jerry</t>
  </si>
  <si>
    <t>Moauro, Luke</t>
  </si>
  <si>
    <t>Moji, Kuye</t>
  </si>
  <si>
    <t>Molino, Jeff</t>
  </si>
  <si>
    <t>jeffreymolino@gmail.com</t>
  </si>
  <si>
    <t>raul@physics.miami.edu</t>
  </si>
  <si>
    <t>mostragm@fuma.org</t>
  </si>
  <si>
    <t>martin.mueller@gatech.edu</t>
  </si>
  <si>
    <t>gmulles@mail.usf.edu</t>
  </si>
  <si>
    <t>Musselman, Brook</t>
  </si>
  <si>
    <t>brook.musselman@emu.edu</t>
  </si>
  <si>
    <t>anani@seas.upenn.edu</t>
  </si>
  <si>
    <t>Natto, Richard</t>
  </si>
  <si>
    <t>terrorizer_17@yahoo.com</t>
  </si>
  <si>
    <t>dneimark@ufl.edu</t>
  </si>
  <si>
    <t>Neppolo, Vishnu</t>
  </si>
  <si>
    <t>yfu@oberlin.edu</t>
  </si>
  <si>
    <t>Ng, Pak Yung</t>
  </si>
  <si>
    <t>Ng, Stone</t>
  </si>
  <si>
    <t>Stone.ng@oberlin.edu</t>
  </si>
  <si>
    <t>Ngo, Tran</t>
  </si>
  <si>
    <t>nguy1593@umn.edu</t>
  </si>
  <si>
    <t>duongnguyen83@yahoo.com</t>
  </si>
  <si>
    <t>Nguyen, Khoa</t>
  </si>
  <si>
    <t>Nguyen, Minh (NE)</t>
  </si>
  <si>
    <t>Nicholson, Scott</t>
  </si>
  <si>
    <t>Nie, Wenjie</t>
  </si>
  <si>
    <t>ugosboya@netscape.net</t>
  </si>
  <si>
    <t>Nwakpuda, Victor</t>
  </si>
  <si>
    <t>Oliphant, Mike</t>
  </si>
  <si>
    <t>zawoo@mail.med.upenn.edu</t>
  </si>
  <si>
    <t>Oyefeso, Adedotun</t>
  </si>
  <si>
    <t>ao63@njit.edu</t>
  </si>
  <si>
    <t>page12@canisius.edu</t>
  </si>
  <si>
    <t>Pambuccian, Felix</t>
  </si>
  <si>
    <t>Pan, HongKai</t>
  </si>
  <si>
    <t>hpan7@wisc.edu</t>
  </si>
  <si>
    <t>vpanday@uwo.ca</t>
  </si>
  <si>
    <t>papageng@dukes.jmu.edu</t>
  </si>
  <si>
    <t>Pardo, Steven</t>
  </si>
  <si>
    <t>s.pardo2@umiami.edu</t>
  </si>
  <si>
    <t>Pasricha, Manu</t>
  </si>
  <si>
    <t>Patel, Jamin</t>
  </si>
  <si>
    <t>jamin.patel@mail.darton.edu</t>
  </si>
  <si>
    <t>Patterson, Kyle</t>
  </si>
  <si>
    <t>Pech, Keith</t>
  </si>
  <si>
    <t>Peng, Bo</t>
  </si>
  <si>
    <t>cpereal@ncsu.edu</t>
  </si>
  <si>
    <t>Petix, Ashley</t>
  </si>
  <si>
    <t>apetix@drew.edu</t>
  </si>
  <si>
    <t>Petroj, Vanessa</t>
  </si>
  <si>
    <t>Phadnis, Anish</t>
  </si>
  <si>
    <t>Pham, Anh Quang</t>
  </si>
  <si>
    <t>Pham, Brian</t>
  </si>
  <si>
    <t>Phung, Diana</t>
  </si>
  <si>
    <t>Pierce, Jake</t>
  </si>
  <si>
    <t>Pierce, Matt</t>
  </si>
  <si>
    <t>Pietrovito, Geoffrey</t>
  </si>
  <si>
    <t>Pilot, Cody</t>
  </si>
  <si>
    <t>codypilot@hotmail.com</t>
  </si>
  <si>
    <t>Polar, Ricardo</t>
  </si>
  <si>
    <t>karlospkc89@yahoo.com</t>
  </si>
  <si>
    <t>Potnis, Tanmay</t>
  </si>
  <si>
    <t>Potti, Akilesh</t>
  </si>
  <si>
    <t>avp39@cornell.edu</t>
  </si>
  <si>
    <t>Pourmehr, Darien</t>
  </si>
  <si>
    <t>Prasad, Supraja</t>
  </si>
  <si>
    <t>spras1@umbc.edu</t>
  </si>
  <si>
    <t>Prehn, Evan</t>
  </si>
  <si>
    <t>ep192@msstate.edu</t>
  </si>
  <si>
    <t>Propst, Kevin</t>
  </si>
  <si>
    <t>Puruolte, David</t>
  </si>
  <si>
    <t>Pynn-Coates, Nigel</t>
  </si>
  <si>
    <t>Qi, Sun</t>
  </si>
  <si>
    <t>vincentcara611@gmail.com</t>
  </si>
  <si>
    <t>Qiao, Sean</t>
  </si>
  <si>
    <t>Qin, Yuchen</t>
  </si>
  <si>
    <t>Qiuyu@rider.edu</t>
  </si>
  <si>
    <t>Quach-Mach, Edwin</t>
  </si>
  <si>
    <t>crq1@students.uwf.edu</t>
  </si>
  <si>
    <t>Rahman, Andres Garcia</t>
  </si>
  <si>
    <t>Rahman, Shamsol Akd</t>
  </si>
  <si>
    <t>Raja, Omer</t>
  </si>
  <si>
    <t>Raju, Kannan</t>
  </si>
  <si>
    <t>Ramachandran, Revathy</t>
  </si>
  <si>
    <t>Ramanathan, Harish</t>
  </si>
  <si>
    <t>hramana@uwo.ca</t>
  </si>
  <si>
    <t>Ramaswamey, Naren</t>
  </si>
  <si>
    <t>Ramdess, Vishal</t>
  </si>
  <si>
    <t>Ramesh, Venkat</t>
  </si>
  <si>
    <t>ventt1992@gmail.com</t>
  </si>
  <si>
    <t>Ramkissoon, Kurk</t>
  </si>
  <si>
    <t>kor5118@psu.edu</t>
  </si>
  <si>
    <t>holden.ranz@gmail.com</t>
  </si>
  <si>
    <t>Rao, Navin</t>
  </si>
  <si>
    <t>Ravisankar, Vibutesh</t>
  </si>
  <si>
    <t>greder@princeton.edu</t>
  </si>
  <si>
    <t>Ring, Ellen</t>
  </si>
  <si>
    <t>vegetius@gmail.com</t>
  </si>
  <si>
    <t>ls63@zips.uakron.edu</t>
  </si>
  <si>
    <t>Rohafza, Mahdi</t>
  </si>
  <si>
    <t>mr342@njit.edu</t>
  </si>
  <si>
    <t>Rojas, Ignacio</t>
  </si>
  <si>
    <t>ignacio.rojas@aggiemail.usu.edu</t>
  </si>
  <si>
    <t>Rokhvarg, Inna</t>
  </si>
  <si>
    <t>Rosenbloom, Luke</t>
  </si>
  <si>
    <t>jrosenk1@binghamton.edu</t>
  </si>
  <si>
    <t>Ryberg, Cole</t>
  </si>
  <si>
    <t>Sacks, Jeffrey</t>
  </si>
  <si>
    <t>Sadvakassov, Kenes</t>
  </si>
  <si>
    <t>sudip.saha.cs@gmail.com</t>
  </si>
  <si>
    <t>asahu@princeton.edu</t>
  </si>
  <si>
    <t>Salerno, Krystal</t>
  </si>
  <si>
    <t>Sanduz, Jake</t>
  </si>
  <si>
    <t>Sangoi, Tejas</t>
  </si>
  <si>
    <t>Santage, Mitchell</t>
  </si>
  <si>
    <t>Santiago, John</t>
  </si>
  <si>
    <t>johnsan@eden.rutgers.edu</t>
  </si>
  <si>
    <t>Santiago, Valerie</t>
  </si>
  <si>
    <t>Sarlo, Rodrigo</t>
  </si>
  <si>
    <t>Saxton, Jason</t>
  </si>
  <si>
    <t>saxtonja@clarkson.edu</t>
  </si>
  <si>
    <t>Schenke, Matt</t>
  </si>
  <si>
    <t>Schnieder, Mariah</t>
  </si>
  <si>
    <t>Schultz, Austin</t>
  </si>
  <si>
    <t>austin.schultz@rockets.utoledo.edu</t>
  </si>
  <si>
    <t>Schwartz, Eric</t>
  </si>
  <si>
    <t>ems388@cornell.edu</t>
  </si>
  <si>
    <t>Sclar, Sara</t>
  </si>
  <si>
    <t>Scott, Ian</t>
  </si>
  <si>
    <t>Segawa, Tsuyoshi</t>
  </si>
  <si>
    <t>krgharish25@siu.edu</t>
  </si>
  <si>
    <t>Sengezer, Engin</t>
  </si>
  <si>
    <t>engincem@gmail.com</t>
  </si>
  <si>
    <t>Shah, Ankit</t>
  </si>
  <si>
    <t>Shah, Sreshth</t>
  </si>
  <si>
    <t>sshah15@wooster.edu</t>
  </si>
  <si>
    <t>Shahverdi, Steve</t>
  </si>
  <si>
    <t>Shang, Xaio</t>
  </si>
  <si>
    <t>Sheldom4@ferris.edu</t>
  </si>
  <si>
    <t>Shen, Charlie</t>
  </si>
  <si>
    <t>Sheng, Zhe</t>
  </si>
  <si>
    <t>shengz@lafayette.edu</t>
  </si>
  <si>
    <t>Shi, JianFeng</t>
  </si>
  <si>
    <t>Shi, Libang</t>
  </si>
  <si>
    <t>lshi@drew.edu</t>
  </si>
  <si>
    <t>msshin629@gmail.com</t>
  </si>
  <si>
    <t>sshropsh@slu.edu</t>
  </si>
  <si>
    <t>subbyte@gmail.com</t>
  </si>
  <si>
    <t>Shulze, Marcus</t>
  </si>
  <si>
    <t>Sidhar, Harpreet</t>
  </si>
  <si>
    <t>sps26@njit.edu</t>
  </si>
  <si>
    <t>Smith, Kyle</t>
  </si>
  <si>
    <t>msnyder8@slu.edu</t>
  </si>
  <si>
    <t>So, Jessica</t>
  </si>
  <si>
    <t>jts282@cornell.edu</t>
  </si>
  <si>
    <t>So, Tiffany</t>
  </si>
  <si>
    <t>tffny.s@gmail.com</t>
  </si>
  <si>
    <t>wsong52@uwo.ca</t>
  </si>
  <si>
    <t>Song, Daisy</t>
  </si>
  <si>
    <t>Song, Dawei</t>
  </si>
  <si>
    <t>songdaw@seas.upenn.edu</t>
  </si>
  <si>
    <t>Soni, Ritesh</t>
  </si>
  <si>
    <t>kanin@mail.usf.edu</t>
  </si>
  <si>
    <t>Sramek, Kylie</t>
  </si>
  <si>
    <t>Srivastava, Rishabh</t>
  </si>
  <si>
    <t>Steinberg, Jay</t>
  </si>
  <si>
    <t>Stevens, Chase</t>
  </si>
  <si>
    <t>sastone1@gmail.com</t>
  </si>
  <si>
    <t>Su, Jing</t>
  </si>
  <si>
    <t>jing.su@mail.mcgill.ca</t>
  </si>
  <si>
    <t>suen@caltech.edu</t>
  </si>
  <si>
    <t>Suh, Stephanie</t>
  </si>
  <si>
    <t>Summerell, Bradley</t>
  </si>
  <si>
    <t>bradley.summerell@gmail.com</t>
  </si>
  <si>
    <t>Sun, Charlie</t>
  </si>
  <si>
    <t>Sun, Jaymz</t>
  </si>
  <si>
    <t>Sundareshwar, Arjun</t>
  </si>
  <si>
    <t>asundareshwar@gmail.com</t>
  </si>
  <si>
    <t>Surya, Joshua</t>
  </si>
  <si>
    <t>surya2@illinois.edu</t>
  </si>
  <si>
    <t>Swzaxi, Mashbat</t>
  </si>
  <si>
    <t>mashka888@yahoo.com</t>
  </si>
  <si>
    <t>alitn@mie.utoronto.ca</t>
  </si>
  <si>
    <t>Tabora, Jose</t>
  </si>
  <si>
    <t>joxed_taborier@hotmail.com</t>
  </si>
  <si>
    <t>Takahashi, Riu</t>
  </si>
  <si>
    <t>Tan, Mengyao</t>
  </si>
  <si>
    <t>Tang, Haine</t>
  </si>
  <si>
    <t>Tanious, Bawlou</t>
  </si>
  <si>
    <t>bgt2@njit.edu</t>
  </si>
  <si>
    <t>brooke.tantillo@gmail.com</t>
  </si>
  <si>
    <t>Tariq, Mohommaed Hassan</t>
  </si>
  <si>
    <t>Tasi, Ming Hsien</t>
  </si>
  <si>
    <t>Tatari, Leman</t>
  </si>
  <si>
    <t>Tee, Kai Yang</t>
  </si>
  <si>
    <t>kaiyang.tee11@gmail.com</t>
  </si>
  <si>
    <t>Teo, Darius</t>
  </si>
  <si>
    <t>darius.teo@caltech.edu</t>
  </si>
  <si>
    <t>Thapa, Diwas</t>
  </si>
  <si>
    <t>diwas.thapa@hotmail.com</t>
  </si>
  <si>
    <t>Thevein, Isabelle</t>
  </si>
  <si>
    <t>Thu, Aye</t>
  </si>
  <si>
    <t>Tian, James</t>
  </si>
  <si>
    <t>Ting, Hong-Fu</t>
  </si>
  <si>
    <t>Tiosso, Igor (Scotty)</t>
  </si>
  <si>
    <t>igor.tiosso@emu.edu</t>
  </si>
  <si>
    <t>Tobash, Mike</t>
  </si>
  <si>
    <t>Toh, Wen</t>
  </si>
  <si>
    <t>Tomoiaga, George</t>
  </si>
  <si>
    <t>Tong, Niu</t>
  </si>
  <si>
    <t>Toomer, Landry</t>
  </si>
  <si>
    <t>Tran, Hien</t>
  </si>
  <si>
    <t>Tranberg, Christopher</t>
  </si>
  <si>
    <t>christranberg92@gmail.com</t>
  </si>
  <si>
    <t>Trzeciak, Alex</t>
  </si>
  <si>
    <t>ctsang2@wisc.edu</t>
  </si>
  <si>
    <t>jkctse@college.harvard.edu</t>
  </si>
  <si>
    <t>Turose, Chase</t>
  </si>
  <si>
    <t>turosecr@clarkson.edu</t>
  </si>
  <si>
    <t>Uganski, Alex</t>
  </si>
  <si>
    <t>Vadivel, Muralidharan</t>
  </si>
  <si>
    <t>Valdez, Josias</t>
  </si>
  <si>
    <t>Josias.Valdez@yahoo.com</t>
  </si>
  <si>
    <t>Van Rest, Karsten</t>
  </si>
  <si>
    <t>kvanrest15@wooster.edu</t>
  </si>
  <si>
    <t>Vannaman, Elena Olga</t>
  </si>
  <si>
    <t>Varela, Luis</t>
  </si>
  <si>
    <t>varela_1@hotmail.com</t>
  </si>
  <si>
    <t>leonanvargas@gmail.com</t>
  </si>
  <si>
    <t>Vempati, Sri Krishna</t>
  </si>
  <si>
    <t>Vieweger, Mario</t>
  </si>
  <si>
    <t>Villorente, Kirkfred</t>
  </si>
  <si>
    <t>sidd.viswanathan@gmail.com</t>
  </si>
  <si>
    <t>Vlasic, Brana</t>
  </si>
  <si>
    <t>hasko.vonkriegstein@utoronto.ca</t>
  </si>
  <si>
    <t>Walk, Efraim</t>
  </si>
  <si>
    <t>Wan, Alvin</t>
  </si>
  <si>
    <t>Wan, Charlie</t>
  </si>
  <si>
    <t>Wang, Aaron Ze Xuan</t>
  </si>
  <si>
    <t>zexuan.wang@utoronto.ca</t>
  </si>
  <si>
    <t>Wang, Fang</t>
  </si>
  <si>
    <t>wangfang@ufl.edu</t>
  </si>
  <si>
    <t>Wang, George</t>
  </si>
  <si>
    <t>gwang@email.wm.edu</t>
  </si>
  <si>
    <t>Wang, Jianghao</t>
  </si>
  <si>
    <t>411267568@qq.com</t>
  </si>
  <si>
    <t>Wang, Jingfeng</t>
  </si>
  <si>
    <t>Wang, Kun</t>
  </si>
  <si>
    <t>wanglu3@msu.edu</t>
  </si>
  <si>
    <t>Wang, Mark</t>
  </si>
  <si>
    <t>Wang, Meng-Yu</t>
  </si>
  <si>
    <t>oliviaw419@gmail.com</t>
  </si>
  <si>
    <t>Wang, Vince</t>
  </si>
  <si>
    <t>Wang, Weilan (William)</t>
  </si>
  <si>
    <t>wangweilan1992@gmail.com</t>
  </si>
  <si>
    <t>peter1987wxp@hotmail.com</t>
  </si>
  <si>
    <t>yuwenlala@gmail.com</t>
  </si>
  <si>
    <t>Wang, Yishu</t>
  </si>
  <si>
    <t>ywang78@slu.edu</t>
  </si>
  <si>
    <t>wg1222@gmail.com</t>
  </si>
  <si>
    <t>zwang3@ncsu.edu</t>
  </si>
  <si>
    <t>Warrier, Rohit</t>
  </si>
  <si>
    <t>warrierr@umich.edu</t>
  </si>
  <si>
    <t>We, Xing</t>
  </si>
  <si>
    <t>Weaver, Ben</t>
  </si>
  <si>
    <t>Webster, Larry</t>
  </si>
  <si>
    <t>weblarrywebster@yahoo.com</t>
  </si>
  <si>
    <t>markwei@gmail.com</t>
  </si>
  <si>
    <t>Weingarten, Matthew</t>
  </si>
  <si>
    <t>cwestran@gmail.com</t>
  </si>
  <si>
    <t>Wiley, Stephanie</t>
  </si>
  <si>
    <t>littleredpandabr@aim.com</t>
  </si>
  <si>
    <t>Williams, Ashok</t>
  </si>
  <si>
    <t>ashok2@umbc.edu</t>
  </si>
  <si>
    <t>evowill@hotmail.com</t>
  </si>
  <si>
    <t>awilson@valdosta.edu</t>
  </si>
  <si>
    <t>briantwong@gmail.com</t>
  </si>
  <si>
    <t>derekwong@sympatico.ca</t>
  </si>
  <si>
    <t>dw13@umbc.edu</t>
  </si>
  <si>
    <t>Wong, Sylvia</t>
  </si>
  <si>
    <t>ianworz@yahoo.com</t>
  </si>
  <si>
    <t>Wu, Helena</t>
  </si>
  <si>
    <t>Wu, Jue</t>
  </si>
  <si>
    <t>jw252@njit.edu</t>
  </si>
  <si>
    <t>Wu, Yang Zheng Yan</t>
  </si>
  <si>
    <t>Wu, Zhuo Hua</t>
  </si>
  <si>
    <t>Xi, Huang</t>
  </si>
  <si>
    <t>Xiang, Gao</t>
  </si>
  <si>
    <t>Xiaohuan, Zhu</t>
  </si>
  <si>
    <t>Xie, Jingjing</t>
  </si>
  <si>
    <t>Xie, Lingfu</t>
  </si>
  <si>
    <t>xuexie456@yahoo.com</t>
  </si>
  <si>
    <t>Xie, Zhiqiao</t>
  </si>
  <si>
    <t>emilyxu@gatech.edu</t>
  </si>
  <si>
    <t>Xu, Haining</t>
  </si>
  <si>
    <t>Xu, Lu</t>
  </si>
  <si>
    <t>luxu1@illinois.edu</t>
  </si>
  <si>
    <t>Xu, Shiyu</t>
  </si>
  <si>
    <t>shiyu.xu@siu.edu</t>
  </si>
  <si>
    <t>shuxu31@gmail.com</t>
  </si>
  <si>
    <t>fernandoyamazato@yahoo.com.br</t>
  </si>
  <si>
    <t>Yang, Liu</t>
  </si>
  <si>
    <t>lryang@uwaterloo.ca</t>
  </si>
  <si>
    <t>Yao, Jenny</t>
  </si>
  <si>
    <t>Ye, Chuling</t>
  </si>
  <si>
    <t>chulingye@hotmail.com</t>
  </si>
  <si>
    <t>Ye1@mail.usf.edu</t>
  </si>
  <si>
    <t>Ye, Liting</t>
  </si>
  <si>
    <t>Yee, Diane</t>
  </si>
  <si>
    <t>dyee@drew.edu</t>
  </si>
  <si>
    <t>smitty47@gwmail.gwu.edu</t>
  </si>
  <si>
    <t>Ying, Jianing</t>
  </si>
  <si>
    <t>yyiu5@uwo.ca</t>
  </si>
  <si>
    <t/>
  </si>
  <si>
    <t>Corrected truncated RatingList sheet brought to my attention by David Livings (South RD).</t>
  </si>
  <si>
    <t>Yost, Paul</t>
  </si>
  <si>
    <t>Yost, Tom</t>
  </si>
  <si>
    <t>Youn, Andy</t>
  </si>
  <si>
    <t>Young, Calvin</t>
  </si>
  <si>
    <t>Young, Evan</t>
  </si>
  <si>
    <t>Young, Michael</t>
  </si>
  <si>
    <t>Young, Peter</t>
  </si>
  <si>
    <t>Young, Reiki</t>
  </si>
  <si>
    <t>Young, Scott</t>
  </si>
  <si>
    <t>Young, Stephen</t>
  </si>
  <si>
    <t>styoung@valdosta.edu</t>
  </si>
  <si>
    <t>Yousefian, Omid</t>
  </si>
  <si>
    <t>Youses, Ali</t>
  </si>
  <si>
    <t>Yu, Albert</t>
  </si>
  <si>
    <t>Yu, Benny Chun</t>
  </si>
  <si>
    <t>Yu, Betty</t>
  </si>
  <si>
    <t>Yu, Cecilia</t>
  </si>
  <si>
    <t>Yu, Chengwei</t>
  </si>
  <si>
    <t>Yu, Congrong</t>
  </si>
  <si>
    <t>Yu, Felix</t>
  </si>
  <si>
    <t>fy2117@columbia.edu</t>
  </si>
  <si>
    <t>Yu, Fiona</t>
  </si>
  <si>
    <t>Yu, Haili</t>
  </si>
  <si>
    <t>Yu, Han</t>
  </si>
  <si>
    <t>Yu, Huifing</t>
  </si>
  <si>
    <t>Yu, Lillian</t>
  </si>
  <si>
    <t>Yu, Liping</t>
  </si>
  <si>
    <t>Yu, Lola</t>
  </si>
  <si>
    <t>Yu, Marcus</t>
  </si>
  <si>
    <t>Yu, Peng Cheng</t>
  </si>
  <si>
    <t>Yu, Peter</t>
  </si>
  <si>
    <t>Yu, Qi</t>
  </si>
  <si>
    <t>Yu, Robert</t>
  </si>
  <si>
    <t>Yu, Ron</t>
  </si>
  <si>
    <t>Yu, Rong</t>
  </si>
  <si>
    <t>rongyu815gmail.com</t>
  </si>
  <si>
    <t>Yu, Ryu</t>
  </si>
  <si>
    <t>Yu, Sida</t>
  </si>
  <si>
    <t>Yu, Simon</t>
  </si>
  <si>
    <t>Yu, Stephanie</t>
  </si>
  <si>
    <t>Yu, Thomas</t>
  </si>
  <si>
    <t>Yu, Xueqiu</t>
  </si>
  <si>
    <t>yu.xu@husky.neu.edu</t>
  </si>
  <si>
    <t>Yu, Yang (Sam)</t>
  </si>
  <si>
    <t>Yu, Yi</t>
  </si>
  <si>
    <t>Yu, Yugo</t>
  </si>
  <si>
    <t>Yu, Ziwen</t>
  </si>
  <si>
    <t>Yuan, Hongyuan</t>
  </si>
  <si>
    <t>Yuan, Jeff (2004)</t>
  </si>
  <si>
    <t>Yuan, Jeffrey</t>
  </si>
  <si>
    <t>Yuan, Jingze</t>
  </si>
  <si>
    <t>Yuan, Patrick</t>
  </si>
  <si>
    <t>Yuan, Yujun</t>
  </si>
  <si>
    <t>Yuanning, Yu</t>
  </si>
  <si>
    <t>Yue, Xingxuan</t>
  </si>
  <si>
    <t>Yuen, Alex</t>
  </si>
  <si>
    <t>Yuen, Andrew</t>
  </si>
  <si>
    <t>Yuen, Sara</t>
  </si>
  <si>
    <t>Yuen, Stephanie</t>
  </si>
  <si>
    <t>Yun, Sheng</t>
  </si>
  <si>
    <t>Yuntao, Yuntao</t>
  </si>
  <si>
    <t>Zabit, Joe</t>
  </si>
  <si>
    <t>Zadeh, Vahid</t>
  </si>
  <si>
    <t>Zadel, Alexandra</t>
  </si>
  <si>
    <t>Zagar, Jamie</t>
  </si>
  <si>
    <t>Zamir, Ben</t>
  </si>
  <si>
    <t>Zamudio, Eva</t>
  </si>
  <si>
    <t>Zanjani, Vakid</t>
  </si>
  <si>
    <t>Zanko, Adrei</t>
  </si>
  <si>
    <t>Zapata, Emiliano</t>
  </si>
  <si>
    <t>Zavada, Carlos</t>
  </si>
  <si>
    <t>Zavala, Olmo</t>
  </si>
  <si>
    <t>Zavodsky, Matt</t>
  </si>
  <si>
    <t>Zehra, Saher</t>
  </si>
  <si>
    <t>Zeiter, John</t>
  </si>
  <si>
    <t>Zeledon, Diego</t>
  </si>
  <si>
    <t>Zeller, Jason</t>
  </si>
  <si>
    <t>Zempter, Andrew</t>
  </si>
  <si>
    <t>Zeng, Jingkun</t>
  </si>
  <si>
    <t>zengjingkun@gmail.com</t>
  </si>
  <si>
    <t>Zeng, Pei Heng</t>
  </si>
  <si>
    <t>Zeng, Quan</t>
  </si>
  <si>
    <t>Zeng, Sunny</t>
  </si>
  <si>
    <t>Zeng, Yeqin</t>
  </si>
  <si>
    <t>Zenn, Jake</t>
  </si>
  <si>
    <t>Zha, Wenhao</t>
  </si>
  <si>
    <t>Zhai, Yingbo</t>
  </si>
  <si>
    <t>Zhan, Dennis</t>
  </si>
  <si>
    <t>Zhan, Jing</t>
  </si>
  <si>
    <t>Zhang, Andrew</t>
  </si>
  <si>
    <t>Zhang, Billy</t>
  </si>
  <si>
    <t>Zhang, Bruce</t>
  </si>
  <si>
    <t>Zhang, Chad</t>
  </si>
  <si>
    <t>Zhang, Chenyi</t>
  </si>
  <si>
    <t>Zhang, Chuandong</t>
  </si>
  <si>
    <t>Zhang, Chunfu</t>
  </si>
  <si>
    <t>Zhang, Dave</t>
  </si>
  <si>
    <t>Zhang, Dennis</t>
  </si>
  <si>
    <t>Zhang, Devin</t>
  </si>
  <si>
    <t>Zhang, Hang</t>
  </si>
  <si>
    <t>Zhang, Hao (NYC)</t>
  </si>
  <si>
    <t>Zhang, Hao (WI)</t>
  </si>
  <si>
    <t>Zhang, Honghao</t>
  </si>
  <si>
    <t>Zhang, Jackie</t>
  </si>
  <si>
    <t>Zhang, Jason</t>
  </si>
  <si>
    <t>Zhang, Jeffrey</t>
  </si>
  <si>
    <t>jzhang42@vt.edu</t>
  </si>
  <si>
    <t>Zhang, Jenny</t>
  </si>
  <si>
    <t>Zhang, Jessie</t>
  </si>
  <si>
    <t>Zhang, Jian</t>
  </si>
  <si>
    <t>jz137@msstate.edu</t>
  </si>
  <si>
    <t>Zhang, Jing</t>
  </si>
  <si>
    <t>jingzhang687@ufl.edu</t>
  </si>
  <si>
    <t>Zhang, Jingyao</t>
  </si>
  <si>
    <t>Zhang, Joey</t>
  </si>
  <si>
    <t>Zhang, Junyou</t>
  </si>
  <si>
    <t>Zhang, Li</t>
  </si>
  <si>
    <t>Zhang, Lingyun</t>
  </si>
  <si>
    <t>Zhang, Lipeng</t>
  </si>
  <si>
    <t>jed38@zips.uakron.edu</t>
  </si>
  <si>
    <t>Zhang, Luwen</t>
  </si>
  <si>
    <t>Zhang, Michael Yue</t>
  </si>
  <si>
    <t>michaelz.zhang@utoronto.ca</t>
  </si>
  <si>
    <t>Zhang, Nanyi</t>
  </si>
  <si>
    <t>Zhang, Peigang</t>
  </si>
  <si>
    <t>Zhang, Quu</t>
  </si>
  <si>
    <t>Zhang, Ran</t>
  </si>
  <si>
    <t>Zhang, Shao Xin</t>
  </si>
  <si>
    <t>Zhang, Shiqing</t>
  </si>
  <si>
    <t>Zhang, Shuqi</t>
  </si>
  <si>
    <t>Zhang, Ting</t>
  </si>
  <si>
    <t>Zhang, Tom</t>
  </si>
  <si>
    <t>Zhang, Weifang</t>
  </si>
  <si>
    <t>zwflittlestar@hotmail.com</t>
  </si>
  <si>
    <t>Zhang, Weiping</t>
  </si>
  <si>
    <t>Zhang, Wenwen</t>
  </si>
  <si>
    <t>Zhang, WenXin</t>
  </si>
  <si>
    <t>Zhang, Xi (FL)</t>
  </si>
  <si>
    <t>Zhang, Xi Ni (WI)</t>
  </si>
  <si>
    <t>Zhang, Xialing</t>
  </si>
  <si>
    <t>xz357@cornell.edu</t>
  </si>
  <si>
    <t>Zhang, Xiaodan</t>
  </si>
  <si>
    <t>Zhang, Xiaohong</t>
  </si>
  <si>
    <t>Zhang, Xinjie</t>
  </si>
  <si>
    <t>Zhang, Xinya</t>
  </si>
  <si>
    <t>Zhang, Xinzhi</t>
  </si>
  <si>
    <t>Zhang, Xiodan</t>
  </si>
  <si>
    <t>xiaodan@gatech.edu</t>
  </si>
  <si>
    <t>Zhang, Yahao</t>
  </si>
  <si>
    <t>Zhang, Yichi</t>
  </si>
  <si>
    <t>Zhang, Ying</t>
  </si>
  <si>
    <t>yz11r@my.fsu.edu</t>
  </si>
  <si>
    <t>Zhang, Yiyuan</t>
  </si>
  <si>
    <t>Zhang, Yuan</t>
  </si>
  <si>
    <t>Zhang, ZhenYu</t>
  </si>
  <si>
    <t>Zhang, Zhichun</t>
  </si>
  <si>
    <t>Zhang, Zixi</t>
  </si>
  <si>
    <t>Zhao, Anthony</t>
  </si>
  <si>
    <t>zhaojind@uwec.edu</t>
  </si>
  <si>
    <t>Zhao, Feng</t>
  </si>
  <si>
    <t>Zhao, Hang</t>
  </si>
  <si>
    <t>zhaohang@umich.edu</t>
  </si>
  <si>
    <t>Zhao, Huan</t>
  </si>
  <si>
    <t>Zhao, Jeffrey</t>
  </si>
  <si>
    <t>Zhao, John (NY)</t>
  </si>
  <si>
    <t>Zhao, John (OR)</t>
  </si>
  <si>
    <t>Zhao, Junduo</t>
  </si>
  <si>
    <t>Zhao, Kevin</t>
  </si>
  <si>
    <t>Zhao, Ran</t>
  </si>
  <si>
    <t>Zhao, Rita</t>
  </si>
  <si>
    <t>Zhao, Steven</t>
  </si>
  <si>
    <t>stzhao@eden.rutgers.edu</t>
  </si>
  <si>
    <t>Zhao, Sunny</t>
  </si>
  <si>
    <t>Zhao, Venus (Hui)</t>
  </si>
  <si>
    <t>Zhao, Xiaopeng</t>
  </si>
  <si>
    <t>Zhao, Youyeng</t>
  </si>
  <si>
    <t>Zhao, Yubo</t>
  </si>
  <si>
    <t>zhao.yub@husky.neu.edu</t>
  </si>
  <si>
    <t>Zhao, Zhigen</t>
  </si>
  <si>
    <t>Zhao, Ziling</t>
  </si>
  <si>
    <t>Zhen, Bo</t>
  </si>
  <si>
    <t>Zhen, Dai</t>
  </si>
  <si>
    <t>Zhen, Lu</t>
  </si>
  <si>
    <t>Zheng, Andrew</t>
  </si>
  <si>
    <t>Zheng, Bennet</t>
  </si>
  <si>
    <t>Zheng, Gui</t>
  </si>
  <si>
    <t>Zheng, Jacky</t>
  </si>
  <si>
    <t>Zheng, Jun</t>
  </si>
  <si>
    <t>Zheng, Liuzhen</t>
  </si>
  <si>
    <t>Zheng, Pan</t>
  </si>
  <si>
    <t>Zheng, Pei Pei</t>
  </si>
  <si>
    <t>Zheng, Perry</t>
  </si>
  <si>
    <t>Zheng, Sarah</t>
  </si>
  <si>
    <t>shannon.zheng@hotmail.com</t>
  </si>
  <si>
    <t>Zheng, Wei (VA)</t>
  </si>
  <si>
    <t>Zheng, Wei Wei (FL)</t>
  </si>
  <si>
    <t>Zheng, Yichen</t>
  </si>
  <si>
    <t>Zheng, Yingyi</t>
  </si>
  <si>
    <t>Zheu, Hanquin</t>
  </si>
  <si>
    <t>Zhi, Wang</t>
  </si>
  <si>
    <t>Zhian, Samaneh</t>
  </si>
  <si>
    <t>szhian@pdx.edu</t>
  </si>
  <si>
    <t>Zhifeng, Shi</t>
  </si>
  <si>
    <t>Zhipeng, Duan</t>
  </si>
  <si>
    <t>Zhirong, Chen</t>
  </si>
  <si>
    <t>Zhong, Lingzi</t>
  </si>
  <si>
    <t>Zhong, Rocksheng</t>
  </si>
  <si>
    <t>Zhong, Shi</t>
  </si>
  <si>
    <t>Zhong, William</t>
  </si>
  <si>
    <t>Zhong, Xu</t>
  </si>
  <si>
    <t>Zhou, Angela</t>
  </si>
  <si>
    <t>Zhou, Dale</t>
  </si>
  <si>
    <t>Zhou, Dan</t>
  </si>
  <si>
    <t>Zhou, Hao</t>
  </si>
  <si>
    <t>Zhou, Jie (MS)</t>
  </si>
  <si>
    <t>Zhou, Jie (NY)</t>
  </si>
  <si>
    <t>Zhou, Jinyuan</t>
  </si>
  <si>
    <t>Zhou, Kevin</t>
  </si>
  <si>
    <t>Zhou, Mei Mei</t>
  </si>
  <si>
    <t>Zhou, Min Cheng</t>
  </si>
  <si>
    <t>Zhou, Niki</t>
  </si>
  <si>
    <t>Zhou, Norman</t>
  </si>
  <si>
    <t>Zhou, Qi</t>
  </si>
  <si>
    <t>Zhou, Ran</t>
  </si>
  <si>
    <t>Zhou, Rongsheng</t>
  </si>
  <si>
    <t>Zhou, Vivien</t>
  </si>
  <si>
    <t>Zhou, Wanglong</t>
  </si>
  <si>
    <t>Zhou, Wentao</t>
  </si>
  <si>
    <t>Zhou, Xiaodong</t>
  </si>
  <si>
    <t>Zhou, Xinghua</t>
  </si>
  <si>
    <t>Zhou, Xun</t>
  </si>
  <si>
    <t>Zhou, Yuan</t>
  </si>
  <si>
    <t>Zhou, Yusheng(Alvin)</t>
  </si>
  <si>
    <t>Zhou, Zhaoqun</t>
  </si>
  <si>
    <t>Zhou, Zhenghi</t>
  </si>
  <si>
    <t>Zhou, Zhiyong</t>
  </si>
  <si>
    <t>Zhu, Alex</t>
  </si>
  <si>
    <t>Zhu, Chunming</t>
  </si>
  <si>
    <t>Zhu, David</t>
  </si>
  <si>
    <t>Zhu, Emmeline</t>
  </si>
  <si>
    <t>Zhu, Hong</t>
  </si>
  <si>
    <t>Zhu, Jairo</t>
  </si>
  <si>
    <t>Zhu, Jinkui</t>
  </si>
  <si>
    <t>Zhu, Junran</t>
  </si>
  <si>
    <t>Zhu, Kevin</t>
  </si>
  <si>
    <t>Zhu, Manli</t>
  </si>
  <si>
    <t>Zhu, Qing</t>
  </si>
  <si>
    <t>Zhu, Quodong</t>
  </si>
  <si>
    <t>Zhu, Vanck (NY)</t>
  </si>
  <si>
    <t>Zhu, Violet</t>
  </si>
  <si>
    <t>Zhu, Xuetao</t>
  </si>
  <si>
    <t>Zhu, Yenan</t>
  </si>
  <si>
    <t>Zhu, Yi</t>
  </si>
  <si>
    <t>Zhu, Zhen Hai</t>
  </si>
  <si>
    <t>Zhu, Zhongrun</t>
  </si>
  <si>
    <t>zhuxx413@umn.edu</t>
  </si>
  <si>
    <t>Zhuang, Jun</t>
  </si>
  <si>
    <t>Zhuang, Zhong</t>
  </si>
  <si>
    <t>Zobrist, Yoram</t>
  </si>
  <si>
    <t>Zocchi, Mark</t>
  </si>
  <si>
    <t>Zolja, Peter</t>
  </si>
  <si>
    <t>Zook, Ethan</t>
  </si>
  <si>
    <t>Zook, Lester</t>
  </si>
  <si>
    <t>Zou, Gang</t>
  </si>
  <si>
    <t>Zou, Xuanmo</t>
  </si>
  <si>
    <t>Zou, Yang</t>
  </si>
  <si>
    <t>libihua@gmail.com</t>
  </si>
  <si>
    <t>Zou, Yaozhong</t>
  </si>
  <si>
    <t>Zou, Yue</t>
  </si>
  <si>
    <t>Zou, Yukai</t>
  </si>
  <si>
    <t>Zu, Edward Xe Hua</t>
  </si>
  <si>
    <t>Zuo, Charlie</t>
  </si>
  <si>
    <t>Zwiebel, Cassidy</t>
  </si>
  <si>
    <t>Changed Fall 2011 to Spring 2012 in RESULTS sheet.  Made Cell O1 on the DRAW sheet visible and editable.</t>
  </si>
  <si>
    <t>Changed cell entry colors to light yellow to give more contrast when writing in pencil. Made Cell T1 on the DRAW sheet equal 3 for Regional competitions.  Added automatically displaying e-mails addresses, when known.  Refreshed with SP12 ratings, except SoCal teams.</t>
  </si>
  <si>
    <t>jaddison3@gatech.edu</t>
  </si>
  <si>
    <t>ayash@bu.edu</t>
  </si>
  <si>
    <t>aikeyt@gmail.com</t>
  </si>
  <si>
    <t>salhasan@masonlive.gmu.edu</t>
  </si>
  <si>
    <t>Alicia, Miranda</t>
  </si>
  <si>
    <t>ALICIAMM@uwec.edu</t>
  </si>
  <si>
    <t>walteralomar@yahoo.com</t>
  </si>
  <si>
    <t>Alsabaa, Ameer</t>
  </si>
  <si>
    <t>alsab1aa@cmich.edu</t>
  </si>
  <si>
    <t>alzar1a@cmich.edu</t>
  </si>
  <si>
    <t>gananias@masonlive.gmu.edu</t>
  </si>
  <si>
    <t>Andrews, Kendall</t>
  </si>
  <si>
    <t>kand2115@gmail.com</t>
  </si>
  <si>
    <t>andrietd@uwec.edu</t>
  </si>
  <si>
    <t>Araba, Petar</t>
  </si>
  <si>
    <t>p5_ar@yahoo.com</t>
  </si>
  <si>
    <t>djarcaro@bu.edu</t>
  </si>
  <si>
    <t>carlbai@gmail.com</t>
  </si>
  <si>
    <t>Bai, Zhedi</t>
  </si>
  <si>
    <t>jrather@txwes.edu</t>
  </si>
  <si>
    <t>Bandarupalli, Saicharan</t>
  </si>
  <si>
    <t>Banh, Dalton</t>
  </si>
  <si>
    <t>mohammed.banjari@gmail.com</t>
  </si>
  <si>
    <t>Beauchamp, James</t>
  </si>
  <si>
    <t>beauchamp_james@columbusstate.edu</t>
  </si>
  <si>
    <t>Beckstrom, Don</t>
  </si>
  <si>
    <t>vbedi1@binghamton.edu</t>
  </si>
  <si>
    <t>Berfier, Slava</t>
  </si>
  <si>
    <t>marissab@uoregon.edu</t>
  </si>
  <si>
    <t>Bhatta, Ambika</t>
  </si>
  <si>
    <t>Ambika_bhatta@student.uml.edu</t>
  </si>
  <si>
    <t>Bhattachar, Adithya</t>
  </si>
  <si>
    <t>bhattaca@purdue.edu</t>
  </si>
  <si>
    <t>Bilinski, Ed</t>
  </si>
  <si>
    <t>rbilyalov@crimson.ua.edu</t>
  </si>
  <si>
    <t>Blakely, Michael</t>
  </si>
  <si>
    <t>michael.blakely@mavs.uta.edu</t>
  </si>
  <si>
    <t>Blatchford, Sam</t>
  </si>
  <si>
    <t>sam2blatchford@gmail.com</t>
  </si>
  <si>
    <t>Blevins, Greg</t>
  </si>
  <si>
    <t>gblevins11@mail.bw.edu</t>
  </si>
  <si>
    <t>Bouie, Christopher</t>
  </si>
  <si>
    <t>lucky7cb@yahoo.com</t>
  </si>
  <si>
    <t>Bowser, Zack</t>
  </si>
  <si>
    <t>Braxton, Chase</t>
  </si>
  <si>
    <t>braxton_chase@columbusstate.edu</t>
  </si>
  <si>
    <t>brinckcv@muohio.edu</t>
  </si>
  <si>
    <t>browerma@muohio.edu</t>
  </si>
  <si>
    <t>Bukhari, Hassan</t>
  </si>
  <si>
    <t>bukha1h@cmich.edu</t>
  </si>
  <si>
    <t>jurica_bulovic@brown.edu</t>
  </si>
  <si>
    <t>Butchko, Jake</t>
  </si>
  <si>
    <t>jbutchko11@mail.bw.edu</t>
  </si>
  <si>
    <t>davidr_cd@yahoo.com</t>
  </si>
  <si>
    <t>Cai, Meijun</t>
  </si>
  <si>
    <t>mcai@pratt.edu</t>
  </si>
  <si>
    <t>Calvert, Amanda</t>
  </si>
  <si>
    <t>Carpenter, Andrew</t>
  </si>
  <si>
    <t>acarpen6@wvup.edu</t>
  </si>
  <si>
    <t>Cha, KwanJoon</t>
  </si>
  <si>
    <t>trevorcfchan@yahoo.ca</t>
  </si>
  <si>
    <t>tsonchan@hotmail.com</t>
  </si>
  <si>
    <t>Chang, Bliss</t>
  </si>
  <si>
    <t>bcranger@uab.edu</t>
  </si>
  <si>
    <t>cory.chang.13@dartmouth.edu</t>
  </si>
  <si>
    <t>mutien27@gmail.com</t>
  </si>
  <si>
    <t>Chao, Chris</t>
  </si>
  <si>
    <t>cjchao@valdosta.edu</t>
  </si>
  <si>
    <t>Chau, Kevin</t>
  </si>
  <si>
    <t>chaukg@mymail.vcu.edu</t>
  </si>
  <si>
    <t>chauv@mymail.vcu.edu</t>
  </si>
  <si>
    <t>Chehade, Edouard</t>
  </si>
  <si>
    <t>eddo_C@hotmail.com</t>
  </si>
  <si>
    <t>Chen, Arthur</t>
  </si>
  <si>
    <t>Chen, Jingjing</t>
  </si>
  <si>
    <t>wucheng1@u.washington.edu</t>
  </si>
  <si>
    <t>shih_jye@yahoo.com</t>
  </si>
  <si>
    <t>chen.2719@osu.edu</t>
  </si>
  <si>
    <t>Chen, QuenHo</t>
  </si>
  <si>
    <t>Chen, Tzurei</t>
  </si>
  <si>
    <t>Chen, Xun</t>
  </si>
  <si>
    <t>xunchen369@gmail.com</t>
  </si>
  <si>
    <t>yan_chen@mit.edu</t>
  </si>
  <si>
    <t>yingzhe@bu.edu</t>
  </si>
  <si>
    <t>alanch1@umbc.edu</t>
  </si>
  <si>
    <t>Cheng, Mike</t>
  </si>
  <si>
    <t>CHANGMJ@uwec.edu</t>
  </si>
  <si>
    <t>poleyc@eden.rutgers.edu</t>
  </si>
  <si>
    <t>bchia@u.washington.edu</t>
  </si>
  <si>
    <t>Chieu, Albert</t>
  </si>
  <si>
    <t>shardul.chirmule@mavs.uta.edu</t>
  </si>
  <si>
    <t>Choi, Shinik</t>
  </si>
  <si>
    <t>jchua@vcu.edu</t>
  </si>
  <si>
    <t>Cieslewicz, Chad</t>
  </si>
  <si>
    <t>clemen11@canisius.edu</t>
  </si>
  <si>
    <t>Coffey, David</t>
  </si>
  <si>
    <t>coffe2dj@dukes.jmu.edu</t>
  </si>
  <si>
    <t>pierre-olivier.cote@furman.edu</t>
  </si>
  <si>
    <t>Cotton, Dayton</t>
  </si>
  <si>
    <t>CROFTEH@uwec.edu</t>
  </si>
  <si>
    <t>cruz5@canisius.edu</t>
  </si>
  <si>
    <t>Cvitanic, Toni</t>
  </si>
  <si>
    <t>dylan_s_daniels@brown.edu</t>
  </si>
  <si>
    <t>Dasgupta, Natun</t>
  </si>
  <si>
    <t>Davidson, Jeremy</t>
  </si>
  <si>
    <t>Debiais, Sylvain</t>
  </si>
  <si>
    <t>Sylvain_Debiais@student.uml.edu</t>
  </si>
  <si>
    <t>DeFilipo, Max</t>
  </si>
  <si>
    <t>delrosa4@seattleu.edu</t>
  </si>
  <si>
    <t>Deng, Rachel</t>
  </si>
  <si>
    <t>mdichter@brandeis.edu</t>
  </si>
  <si>
    <t>Ding, Hingyuan</t>
  </si>
  <si>
    <t>Do, Lam</t>
  </si>
  <si>
    <t>Doan, Ann</t>
  </si>
  <si>
    <t>william.duong@mail.utexas.edu</t>
  </si>
  <si>
    <t>dusab1kl@cmich.edu</t>
  </si>
  <si>
    <t>dld3754@rit.edu</t>
  </si>
  <si>
    <t>Elmallah, Fady</t>
  </si>
  <si>
    <t>fady_fendy@hotmail.com</t>
  </si>
  <si>
    <t>Enz, Nicholas</t>
  </si>
  <si>
    <t>enz.nick@gmail.com</t>
  </si>
  <si>
    <t>Fabien, Fabrice</t>
  </si>
  <si>
    <t>wfan@bu.edu</t>
  </si>
  <si>
    <t>michael.p.fanning@live.mercer.edu</t>
  </si>
  <si>
    <t>Feng, Ruiyi</t>
  </si>
  <si>
    <t>ruiyifong@gmail.com</t>
  </si>
  <si>
    <t>Fernandez, Timothy</t>
  </si>
  <si>
    <t>tifera4@uab.edu</t>
  </si>
  <si>
    <t>fischen2@muohio.edu</t>
  </si>
  <si>
    <t>Francisco, Ramon-Paolo</t>
  </si>
  <si>
    <t>gavin321@uw.edu</t>
  </si>
  <si>
    <t>Gabourel, Jaimen</t>
  </si>
  <si>
    <t>Gammon, Corey</t>
  </si>
  <si>
    <t>gaoboqian@gmail.com</t>
  </si>
  <si>
    <t>lulu.amanda.gao@gmail.com</t>
  </si>
  <si>
    <t>gaoz@onid.orst.edu</t>
  </si>
  <si>
    <t>arjun.gosain18@gmail.com</t>
  </si>
  <si>
    <t>Gove, Taevin</t>
  </si>
  <si>
    <t>Grabowski, Seth</t>
  </si>
  <si>
    <t>will_graff@yahoo.com</t>
  </si>
  <si>
    <t>Grant, Giancarlo</t>
  </si>
  <si>
    <t>gsbaby12@yahoo.com</t>
  </si>
  <si>
    <t>yguan@ncsu.edu</t>
  </si>
  <si>
    <t>Gubler, Ryan</t>
  </si>
  <si>
    <t>ryansgubler@yahoo.com</t>
  </si>
  <si>
    <t>Gui, Minshan</t>
  </si>
  <si>
    <t>Guo, Chuan</t>
  </si>
  <si>
    <t>chuanguo@eden.rutgers.edu</t>
  </si>
  <si>
    <t>amyguomeng@gmail.com</t>
  </si>
  <si>
    <t>mondpower@gmail.com</t>
  </si>
  <si>
    <t>guoshen@brandeis.edu</t>
  </si>
  <si>
    <t>shawtygskater@yahoo.com</t>
  </si>
  <si>
    <t>jhahn113@mb.rctc.edu</t>
  </si>
  <si>
    <t>haidl_peter@yahoo.de</t>
  </si>
  <si>
    <t>yg27@cornell.edu</t>
  </si>
  <si>
    <t>qiang_hao@brown.edu</t>
  </si>
  <si>
    <t>Harmon, Matt</t>
  </si>
  <si>
    <t>Hassan, Abu Sufian</t>
  </si>
  <si>
    <t>abusufian2@yahoo.com</t>
  </si>
  <si>
    <t>Hassan, Hassan</t>
  </si>
  <si>
    <t>Hawthorne, Patrick</t>
  </si>
  <si>
    <t>Herr, Logan</t>
  </si>
  <si>
    <t>herrls@dukes.jmu.edu</t>
  </si>
  <si>
    <t>Hershy, Andrew</t>
  </si>
  <si>
    <t>ahershy@uab.edu</t>
  </si>
  <si>
    <t>Hess, Anthony</t>
  </si>
  <si>
    <t>anthonycollege@live.com</t>
  </si>
  <si>
    <t>Hewlett, Mike</t>
  </si>
  <si>
    <t>msh22@students.uwf.edu</t>
  </si>
  <si>
    <t>hoang.54@osu.edu</t>
  </si>
  <si>
    <t>Hollimon, John</t>
  </si>
  <si>
    <t>hollimon@uab.edu</t>
  </si>
  <si>
    <t>chong@bu.edu</t>
  </si>
  <si>
    <t>ghope92@gmail.com</t>
  </si>
  <si>
    <t>Horak, Alexander</t>
  </si>
  <si>
    <t>alexamh@umich.edu</t>
  </si>
  <si>
    <t>Hou, Chao</t>
  </si>
  <si>
    <t>ch28@umbc.edu</t>
  </si>
  <si>
    <t>ngc.hou91@gmail.com</t>
  </si>
  <si>
    <t>hlingzhi@physics.wustl.edu</t>
  </si>
  <si>
    <t>bhuang91@yahoo.com</t>
  </si>
  <si>
    <t>dxuhuang@gmail.com</t>
  </si>
  <si>
    <t>Huang, Justin</t>
  </si>
  <si>
    <t>khuang8@mail.depaul.edu</t>
  </si>
  <si>
    <t>Huang, Shengyun (Wendy)</t>
  </si>
  <si>
    <t>Huang, Xinyin</t>
  </si>
  <si>
    <t>Huang, Zijian</t>
  </si>
  <si>
    <t>huangzijian1991@126.com</t>
  </si>
  <si>
    <t>hjwpsy@126.com</t>
  </si>
  <si>
    <t>ryanhui@eden.rutgers.edu</t>
  </si>
  <si>
    <t>Hulme, Harry</t>
  </si>
  <si>
    <t>Harry_Hulme@student.uml.edu</t>
  </si>
  <si>
    <t>huston.136@buckeyemail.osu.edu</t>
  </si>
  <si>
    <t>srip@ncsu.edu</t>
  </si>
  <si>
    <t>ejames11@mail.bw.edu</t>
  </si>
  <si>
    <t>wsjames@ncsu.edu</t>
  </si>
  <si>
    <t>Jaturasil, Nitis</t>
  </si>
  <si>
    <t>jaturas2@illinois.edu</t>
  </si>
  <si>
    <t>Javanmardi, Cameron</t>
  </si>
  <si>
    <t>Jetha, Sohum</t>
  </si>
  <si>
    <t>sohum.jetha@mail.darton.edu</t>
  </si>
  <si>
    <t>Jiangshu@msu.edu</t>
  </si>
  <si>
    <t>rpjiorle@email.wm.edu</t>
  </si>
  <si>
    <t>esha.john@tufts.edu</t>
  </si>
  <si>
    <t>Johnston.524@osu.edu</t>
  </si>
  <si>
    <t>zjjohnston@valdosta.edu</t>
  </si>
  <si>
    <t>Jones, Ceasar</t>
  </si>
  <si>
    <t>caj7431@rit.edu</t>
  </si>
  <si>
    <t>Jones, Julian</t>
  </si>
  <si>
    <t>Will.judkis@gmail.com</t>
  </si>
  <si>
    <t>Kang, Jee Hae</t>
  </si>
  <si>
    <t>jeehae5775@naver.com</t>
  </si>
  <si>
    <t>Kang, Soojin</t>
  </si>
  <si>
    <t>skang11@mail.bw.edu</t>
  </si>
  <si>
    <t>zorako@bu.edu</t>
  </si>
  <si>
    <t>brad_k49@yahoo.com</t>
  </si>
  <si>
    <t>Kharia, Prateek</t>
  </si>
  <si>
    <t>Klein, Jerry</t>
  </si>
  <si>
    <t>Klett, Caleb</t>
  </si>
  <si>
    <t>kolkowit@fas.harvard.edu</t>
  </si>
  <si>
    <t>Kondapally, Pranayra</t>
  </si>
  <si>
    <t>prk235@uab.edu</t>
  </si>
  <si>
    <t>KOOPMACO@uwec.edu</t>
  </si>
  <si>
    <t>chriskop@eden.rutgers.edu</t>
  </si>
  <si>
    <t>Krispin, Walter</t>
  </si>
  <si>
    <t>wjkrispi@ncsu.edu</t>
  </si>
  <si>
    <t>kueij@uw.edu</t>
  </si>
  <si>
    <t>rhushikeshkulkarni@gmail.com</t>
  </si>
  <si>
    <t>lakek@onid.orst.edu</t>
  </si>
  <si>
    <t>clam5@student.gsu.edu</t>
  </si>
  <si>
    <t>janlan@stanford.edu</t>
  </si>
  <si>
    <t>d.landry@uah.edu</t>
  </si>
  <si>
    <t>Langenderfer, Kurt</t>
  </si>
  <si>
    <t>langenderfer.21@osu.edu</t>
  </si>
  <si>
    <t>judylau@uw.edu</t>
  </si>
  <si>
    <t>lau14@illinois.edu</t>
  </si>
  <si>
    <t>lauerg@seattleu.edu</t>
  </si>
  <si>
    <t>Law, Peter</t>
  </si>
  <si>
    <t>hotailaw@gmail.com</t>
  </si>
  <si>
    <t>pble@ucdavis.edu</t>
  </si>
  <si>
    <t>Lee, Ben</t>
  </si>
  <si>
    <t>leebj@dukes.jmu.edu</t>
  </si>
  <si>
    <t>Lee, Paul</t>
  </si>
  <si>
    <t>leepeter@uab.edu</t>
  </si>
  <si>
    <t>slee141@binghamton.edu</t>
  </si>
  <si>
    <t>sean.lee@students.sjsu.edu</t>
  </si>
  <si>
    <t>yinjin@mit.edu</t>
  </si>
  <si>
    <t>lei_xiao@126.com</t>
  </si>
  <si>
    <t>hlew1@student.gsu.edu</t>
  </si>
  <si>
    <t>kpun@uoregon.edu</t>
  </si>
  <si>
    <t>alexandra.lesieur@mail.mcgill.ca</t>
  </si>
  <si>
    <t>sebastien.lesieur@mail.mcgill.ca</t>
  </si>
  <si>
    <t>Letchworth, Jesse</t>
  </si>
  <si>
    <t>Levenson, Logan</t>
  </si>
  <si>
    <t>llevenson9@gmail.com</t>
  </si>
  <si>
    <t>Rlewis2@ithaca.edu</t>
  </si>
  <si>
    <t>Li, Andrew</t>
  </si>
  <si>
    <t>andrew_li@brown.edu</t>
  </si>
  <si>
    <t>k_nguyen93@yahoo.com</t>
  </si>
  <si>
    <t>Li, Kathryn</t>
  </si>
  <si>
    <t>rli4@mail.depaul.edu</t>
  </si>
  <si>
    <t>Li, Ting</t>
  </si>
  <si>
    <t>Li, Yueh-Fen</t>
  </si>
  <si>
    <t>liao.199@buckeyemail.osu.edu</t>
  </si>
  <si>
    <t>zliang@mc.edu</t>
  </si>
  <si>
    <t>Liao, Yichen</t>
  </si>
  <si>
    <t>Lii, Ann</t>
  </si>
  <si>
    <t>acl86@cornell.edu</t>
  </si>
  <si>
    <t>lint8@seattleu.edu</t>
  </si>
  <si>
    <t>blin14@terpmail.umd.edu</t>
  </si>
  <si>
    <t>lin.1183@buckeyemail.osu.edu</t>
  </si>
  <si>
    <t>linyider@gmail.com</t>
  </si>
  <si>
    <t>Ling, Cathy</t>
  </si>
  <si>
    <t>cathyllamm@hotmail.com</t>
  </si>
  <si>
    <t>Litt, Kenneth</t>
  </si>
  <si>
    <t>mjliu@bu.edu</t>
  </si>
  <si>
    <t>Livingston, Jeff</t>
  </si>
  <si>
    <t>Lo, Cheung</t>
  </si>
  <si>
    <t>cheunglo.drexel@gmail.com</t>
  </si>
  <si>
    <t>Loke, Sooie-Hoe</t>
  </si>
  <si>
    <t>lokes@onid.orst.edu</t>
  </si>
  <si>
    <t>Loomis, Alex</t>
  </si>
  <si>
    <t>LOOMISAS@uwec.edu</t>
  </si>
  <si>
    <t>loseked@gmail.com</t>
  </si>
  <si>
    <t>Lovenheim, Ben</t>
  </si>
  <si>
    <t>blove@brandeis.edu</t>
  </si>
  <si>
    <t>lu.jie1@neu.edu</t>
  </si>
  <si>
    <t>lulishun@hotmail.com</t>
  </si>
  <si>
    <t>louislu9992@hotmail.com</t>
  </si>
  <si>
    <t>Lu, Xiaotian</t>
  </si>
  <si>
    <t>luxiaot1@msu.edu</t>
  </si>
  <si>
    <t>Lui, Charles</t>
  </si>
  <si>
    <t>luic@onid.orst.edu</t>
  </si>
  <si>
    <t>Lung, Michael</t>
  </si>
  <si>
    <t>Ma, Liqi</t>
  </si>
  <si>
    <t>Ma, Ruixiang</t>
  </si>
  <si>
    <t>ma.189@osu.edu</t>
  </si>
  <si>
    <t>maglicjm@muohio.edu</t>
  </si>
  <si>
    <t>amahapat@usc.edu</t>
  </si>
  <si>
    <t>Makino, Michael</t>
  </si>
  <si>
    <t>makinom@lafayette.edu</t>
  </si>
  <si>
    <t>ajm39.njit.edu</t>
  </si>
  <si>
    <t>Marcus, Uko</t>
  </si>
  <si>
    <t>Mard, Christian</t>
  </si>
  <si>
    <t>Marin, Ely</t>
  </si>
  <si>
    <t>marinmb44@gmail.com</t>
  </si>
  <si>
    <t>tabletennisspin@gmail.com</t>
  </si>
  <si>
    <t>Matharasi, Anurag</t>
  </si>
  <si>
    <t>Mayers, Anne</t>
  </si>
  <si>
    <t>annemayers@hotmail.com</t>
  </si>
  <si>
    <t>Mazgaj, Eddie</t>
  </si>
  <si>
    <t>eddie.mazgaj@furman.edu</t>
  </si>
  <si>
    <t>mazzan@rider.edu</t>
  </si>
  <si>
    <t>btm5798@rit.edu</t>
  </si>
  <si>
    <t>McClelland, Grayson</t>
  </si>
  <si>
    <t>McKinney, Chauncey</t>
  </si>
  <si>
    <t>mclean.75@osu.edu</t>
  </si>
  <si>
    <t>McNerney, Graham</t>
  </si>
  <si>
    <t>Mei Er Ang, Natalie</t>
  </si>
  <si>
    <t>ang.28@osu.edu</t>
  </si>
  <si>
    <t>Mei, Liangbi</t>
  </si>
  <si>
    <t>Meneses, Jorge</t>
  </si>
  <si>
    <t>Meng, Qingmin</t>
  </si>
  <si>
    <t>Merritt, Jeremy</t>
  </si>
  <si>
    <t>jbmerrit@ncsu.edu</t>
  </si>
  <si>
    <t>Michaud, Travis</t>
  </si>
  <si>
    <t>tm11s@my.fsu.edu</t>
  </si>
  <si>
    <t>jrmiller@valdosta.edu</t>
  </si>
  <si>
    <t>Moheb, Mahmood</t>
  </si>
  <si>
    <t>Mohn, James-Wah</t>
  </si>
  <si>
    <t>Muraoka, Kenta</t>
  </si>
  <si>
    <t>muraokak@seattleu.edu</t>
  </si>
  <si>
    <t>Muth, Chris</t>
  </si>
  <si>
    <t>NELSAMYN@uwec.edu</t>
  </si>
  <si>
    <t>hockeyreaper@hotmail.com</t>
  </si>
  <si>
    <t>Ngo, Tue</t>
  </si>
  <si>
    <t>hnguyen63@student.gsu.edu</t>
  </si>
  <si>
    <t>nanguyen@cise.ufl.edu</t>
  </si>
  <si>
    <t>Nhel-Tan, Ollida</t>
  </si>
  <si>
    <t>ketotan@gmail.com</t>
  </si>
  <si>
    <t>neojie1986@gmail.com</t>
  </si>
  <si>
    <t>Nishizawa, Yurino</t>
  </si>
  <si>
    <t>lqvsnike@hotmail.com</t>
  </si>
  <si>
    <t>marilena@mit.edu</t>
  </si>
  <si>
    <t>Torton1@ithaca.edu</t>
  </si>
  <si>
    <t>Ovalles, Edwin</t>
  </si>
  <si>
    <t>exv9695@rit.edu</t>
  </si>
  <si>
    <t>jpachter@brandeis.edu</t>
  </si>
  <si>
    <t>passenbt@muohio.edu</t>
  </si>
  <si>
    <t>shriyap3@eden.rutgers.edu</t>
  </si>
  <si>
    <t>Patterson, Amy</t>
  </si>
  <si>
    <t>kpatters11@mail.bw.edu</t>
  </si>
  <si>
    <t>Peck, Devin</t>
  </si>
  <si>
    <t>Pei, Hao-chun</t>
  </si>
  <si>
    <t>vanessa.petroj@uconn.edu</t>
  </si>
  <si>
    <t>Petzold, Dustin</t>
  </si>
  <si>
    <t>Peyear, Thasin</t>
  </si>
  <si>
    <t>Pham, Thi</t>
  </si>
  <si>
    <t>tphamgia1@student.gsu.edu</t>
  </si>
  <si>
    <t>Phillips, Austin</t>
  </si>
  <si>
    <t>phillips_austin@columbusstate.edu</t>
  </si>
  <si>
    <t>diana.phung@utah.edu</t>
  </si>
  <si>
    <t>Jpierce@valdosta.edu</t>
  </si>
  <si>
    <t>Pitts, Will</t>
  </si>
  <si>
    <t>ricardo.polar-hito@polymtl.ca</t>
  </si>
  <si>
    <t>Poppell, Samuel</t>
  </si>
  <si>
    <t>swpoppell@crimson.ua.edu</t>
  </si>
  <si>
    <t>dpourmehr1@student.gsu.edu</t>
  </si>
  <si>
    <t>Powell, Dylan</t>
  </si>
  <si>
    <t>Prather, Katie</t>
  </si>
  <si>
    <t>kmariep13@gmail.com</t>
  </si>
  <si>
    <t>hmpratt@valdosta.edu</t>
  </si>
  <si>
    <t>Preller, Drew</t>
  </si>
  <si>
    <t>Pumper, Jon</t>
  </si>
  <si>
    <t>PUMPERJR@uwec.edu</t>
  </si>
  <si>
    <t>pqu@bama.ua.edu</t>
  </si>
  <si>
    <t>alanq@stanford.edu</t>
  </si>
  <si>
    <t>danielq234@yahoo.com</t>
  </si>
  <si>
    <t>kannan.raju@duke.edu</t>
  </si>
  <si>
    <t>Rash, Bruce</t>
  </si>
  <si>
    <t>Rattu, Mohammad</t>
  </si>
  <si>
    <t>Reddy, Anvesh</t>
  </si>
  <si>
    <t>Regalado, Daniel</t>
  </si>
  <si>
    <t>daniel.regalado1@gmail.com</t>
  </si>
  <si>
    <t>Reid, Chris</t>
  </si>
  <si>
    <t>Greid1@ithaca.edu</t>
  </si>
  <si>
    <t>jmreinecke@crimson.ua.edu</t>
  </si>
  <si>
    <t>Kriethe1@ithaca.edu</t>
  </si>
  <si>
    <t>Roodgar, Morteza</t>
  </si>
  <si>
    <t>mroodgar@ucdavis.edu</t>
  </si>
  <si>
    <t>Brosen1@ithaca.edu</t>
  </si>
  <si>
    <t>lukehr@gwmail.gwu.edu</t>
  </si>
  <si>
    <t>pgr9876@rit.edu</t>
  </si>
  <si>
    <t>pingpongprince@gmail.com</t>
  </si>
  <si>
    <t>Sacks, Jeffery</t>
  </si>
  <si>
    <t>Sammy, Alexander</t>
  </si>
  <si>
    <t>Sampath, Avinash</t>
  </si>
  <si>
    <t>Sankaranarayanan, Preethi</t>
  </si>
  <si>
    <t>Sato, Colin</t>
  </si>
  <si>
    <t>Scheiner, Grayson</t>
  </si>
  <si>
    <t>SCHENKMC@uwec.edu</t>
  </si>
  <si>
    <t>Schiefer, Alex</t>
  </si>
  <si>
    <t>schiefab@gwmail.gwu.edu</t>
  </si>
  <si>
    <t>Schultz, Kassey</t>
  </si>
  <si>
    <t>Schulze, Markus</t>
  </si>
  <si>
    <t>mxsst2@francis.edu</t>
  </si>
  <si>
    <t>Schwind, Brian</t>
  </si>
  <si>
    <t>tsegawa@mit.edu</t>
  </si>
  <si>
    <t>bseifried@gatech.edu</t>
  </si>
  <si>
    <t>sathvik@bu.edu</t>
  </si>
  <si>
    <t>ahs6958@rit.edu</t>
  </si>
  <si>
    <t>Shai, Feng</t>
  </si>
  <si>
    <t>Shang, Xiao</t>
  </si>
  <si>
    <t>Shell, David</t>
  </si>
  <si>
    <t>David_Shell@student.uml.edu</t>
  </si>
  <si>
    <t>cjshih@mit.edu</t>
  </si>
  <si>
    <t>Shu, Xiaokui</t>
  </si>
  <si>
    <t>ian.shulman@uconn.edu</t>
  </si>
  <si>
    <t>Sin, Henry</t>
  </si>
  <si>
    <t>henrysin89@hotmail.com</t>
  </si>
  <si>
    <t>Spears, Eric</t>
  </si>
  <si>
    <t>comradespears@gmail.com</t>
  </si>
  <si>
    <t>Sripraserth, Kanin</t>
  </si>
  <si>
    <t>STEVENCN@uwec.edu</t>
  </si>
  <si>
    <t>StrattonK@rider.edu</t>
  </si>
  <si>
    <t>quanying.su@sjsu.edu</t>
  </si>
  <si>
    <t>Su, Xiaomeng</t>
  </si>
  <si>
    <t>Subramanyam, Srinivas</t>
  </si>
  <si>
    <t>srini_bs@mit.edu</t>
  </si>
  <si>
    <t>Sufian, Abu</t>
  </si>
  <si>
    <t>abusuFian2@yahoo.com</t>
  </si>
  <si>
    <t>csun93@gmail.com</t>
  </si>
  <si>
    <t>msun@uoregon.edu</t>
  </si>
  <si>
    <t>Swisher, Michael</t>
  </si>
  <si>
    <t>Michael_swisher@hotmail.com</t>
  </si>
  <si>
    <t>takahashi.45@buckeyemail.osu.edu</t>
  </si>
  <si>
    <t>Takano, Max</t>
  </si>
  <si>
    <t>tallaksenk@rider.edu</t>
  </si>
  <si>
    <t>ktan1@crimson.ua.edu</t>
  </si>
  <si>
    <t>yanqiang_tan@brown.edu</t>
  </si>
  <si>
    <t>Tang, Le</t>
  </si>
  <si>
    <t>Tanguy, Nicolas</t>
  </si>
  <si>
    <t>ltatari1@student.gsu.edu</t>
  </si>
  <si>
    <t>Tate, Jake</t>
  </si>
  <si>
    <t>jtate11@mail.bw.edu</t>
  </si>
  <si>
    <t>Taylor, Ben</t>
  </si>
  <si>
    <t>he.tian@mavs.uta.edu</t>
  </si>
  <si>
    <t>dragoneye776@gmail.com</t>
  </si>
  <si>
    <t>tiang@mymail.vcu.edu</t>
  </si>
  <si>
    <t>To, Harrison</t>
  </si>
  <si>
    <t>tho@uab.edu</t>
  </si>
  <si>
    <t>Landrytoomer@gmail.com</t>
  </si>
  <si>
    <t>Topiel, Benjamin</t>
  </si>
  <si>
    <t>bentopiel@gmail.com</t>
  </si>
  <si>
    <t>Torres, Roberto</t>
  </si>
  <si>
    <t>Tran, Benedict</t>
  </si>
  <si>
    <t>bdt2722@rit.edu</t>
  </si>
  <si>
    <t>kktran@stanford.edu</t>
  </si>
  <si>
    <t>ptran@purdue.edu</t>
  </si>
  <si>
    <t>Truong, Tuan (FL)</t>
  </si>
  <si>
    <t>atrzecia@mail.bw.edu</t>
  </si>
  <si>
    <t>truong.tu@students.sjsu.edu</t>
  </si>
  <si>
    <t>Vannaman, Elena</t>
  </si>
  <si>
    <t>Vasta, Aditya</t>
  </si>
  <si>
    <t>vesel.2@osu.edu</t>
  </si>
  <si>
    <t>branavlasic@gmail.com</t>
  </si>
  <si>
    <t>Walsh, Zach</t>
  </si>
  <si>
    <t>Wang, Anran</t>
  </si>
  <si>
    <t>amberwang7@gmail.com</t>
  </si>
  <si>
    <t>cyw2@case.edu</t>
  </si>
  <si>
    <t>jianghao@uoregon.edu</t>
  </si>
  <si>
    <t>mrkman55@yahoo.com</t>
  </si>
  <si>
    <t>mwang4848@gmail.com</t>
  </si>
  <si>
    <t>Wang, Yiding</t>
  </si>
  <si>
    <t>mydreamwangyiding@gmail.com</t>
  </si>
  <si>
    <t>yilinw@u.washington.edu</t>
  </si>
  <si>
    <t>WARDV@uwec.edu</t>
  </si>
  <si>
    <t>Wheeler, Chris</t>
  </si>
  <si>
    <t>Williams, Raheem</t>
  </si>
  <si>
    <t>sylviasiwing@yahoo.com</t>
  </si>
  <si>
    <t>Wong, Timothy</t>
  </si>
  <si>
    <t>tphwong@umich.edu</t>
  </si>
  <si>
    <t>wuch@mit.edu</t>
  </si>
  <si>
    <t>Wu, Naiyi</t>
  </si>
  <si>
    <t>yifanwu@college.harvard.edu</t>
  </si>
  <si>
    <t>xie@mc.edu</t>
  </si>
  <si>
    <t>Xu, Roy</t>
  </si>
  <si>
    <t>weilun.xu@furman.edu</t>
  </si>
  <si>
    <t>zheng.xu@uconn.edu</t>
  </si>
  <si>
    <t>Yamamoto, Hiroshi</t>
  </si>
  <si>
    <t>zyang@mc.edu</t>
  </si>
  <si>
    <t>Yeh, Martin</t>
  </si>
  <si>
    <t>myeh6@gatech.edu</t>
  </si>
  <si>
    <t>claire.yen11@gmail.com</t>
  </si>
  <si>
    <t>jyick@ucsd.edu</t>
  </si>
  <si>
    <t>dbyip@ucdavis.edu</t>
  </si>
  <si>
    <t>Yong, Lydia Jun Roo</t>
  </si>
  <si>
    <t>ripcurl_pop25@hotmail.com</t>
  </si>
  <si>
    <t>rkyoung@pdx.edu</t>
  </si>
  <si>
    <t>Yu, Jin</t>
  </si>
  <si>
    <t>Yu, Junzhe</t>
  </si>
  <si>
    <t>jyu44@emory.edu</t>
  </si>
  <si>
    <t>yus4@rpi.edu</t>
  </si>
  <si>
    <t>yu@mc.edu</t>
  </si>
  <si>
    <t>hyyuan36@stanford.edu</t>
  </si>
  <si>
    <t>Yuan, Sun</t>
  </si>
  <si>
    <t>suny9@muohio.edu</t>
  </si>
  <si>
    <t>ackyuen@ucdavis.edu</t>
  </si>
  <si>
    <t>Zanko, Andrei</t>
  </si>
  <si>
    <t>Zhan, Tiannan</t>
  </si>
  <si>
    <t>tzhan@brynmawr.edu</t>
  </si>
  <si>
    <t>axz45@case.edu</t>
  </si>
  <si>
    <t>zhang241@purdue.edu</t>
  </si>
  <si>
    <t>jtzhang@mit.edu</t>
  </si>
  <si>
    <t>Zhang, Jianbo</t>
  </si>
  <si>
    <t>Zhang, Jie</t>
  </si>
  <si>
    <t>joyspring99@yahoo.com</t>
  </si>
  <si>
    <t>Zhang, Lin</t>
  </si>
  <si>
    <t>zhang.983@buckeyemail.osu.edu</t>
  </si>
  <si>
    <t>zhang1w@cmich.edu</t>
  </si>
  <si>
    <t>ttpei@hotmail.com</t>
  </si>
  <si>
    <t>Zheng, Zheng Tao (Tony)</t>
  </si>
  <si>
    <t>zhengzx@dukes.jmu.edu</t>
  </si>
  <si>
    <t>Zheng, Zhiyuan</t>
  </si>
  <si>
    <t>zzheng7@emory.edu</t>
  </si>
  <si>
    <t>zshi@email.wm.edu</t>
  </si>
  <si>
    <t>williamzhongshi@yahoo.com</t>
  </si>
  <si>
    <t>dalejn@gmail.com</t>
  </si>
  <si>
    <t>mzhou@ucdavis.edu</t>
  </si>
  <si>
    <t>yzhou92@gatech.edu</t>
  </si>
  <si>
    <t>zhulinlin1992@hotmail.com</t>
  </si>
  <si>
    <t>Zhuang, Jiajia</t>
  </si>
  <si>
    <t>jun.zhuang@uconn.edu</t>
  </si>
  <si>
    <t>zougang@msu.edu</t>
  </si>
  <si>
    <t>Zou, Jiayun (Jeff)</t>
  </si>
  <si>
    <t>Zwolski, Justin</t>
  </si>
  <si>
    <t>jaz1344@rit.edu</t>
  </si>
  <si>
    <t>Corrected error in team strength calculation for Cells K71-K78 on PLAYER sheet.</t>
  </si>
  <si>
    <t>Added ISERROR for non-existent email addresses in Column F.</t>
  </si>
  <si>
    <t>Highlighted team name on MATCH_ROSTERS sheet for easier identification.</t>
  </si>
  <si>
    <t>Corrected formula error on the right side of the MATCH_ROSTERS sheet that displays the team on the left.  To fix the error, I highlighted Columns G-J and changed $D to $I.</t>
  </si>
  <si>
    <t>treasurer@nctta.org</t>
  </si>
  <si>
    <t>Randy Kendle (cell: 314-800-5377) treasurer@nctta.org</t>
  </si>
  <si>
    <t>2.00</t>
  </si>
  <si>
    <t>PlayerId</t>
  </si>
  <si>
    <t>SchoolName</t>
  </si>
  <si>
    <t>*, Paiboon</t>
  </si>
  <si>
    <t>University of Kentucky</t>
  </si>
  <si>
    <t>, Alireza</t>
  </si>
  <si>
    <t>Northeastern University</t>
  </si>
  <si>
    <t>, Amit</t>
  </si>
  <si>
    <t>, Amlan</t>
  </si>
  <si>
    <t>Yale University</t>
  </si>
  <si>
    <t>, Chris</t>
  </si>
  <si>
    <t>University of Toronto</t>
  </si>
  <si>
    <t>, Dan</t>
  </si>
  <si>
    <t>Amherst College</t>
  </si>
  <si>
    <t>, Emily</t>
  </si>
  <si>
    <t>University of Florida</t>
  </si>
  <si>
    <t>, Jacob</t>
  </si>
  <si>
    <t>Cornell University</t>
  </si>
  <si>
    <t>, John</t>
  </si>
  <si>
    <t>Shawnee State University</t>
  </si>
  <si>
    <t>, Keng</t>
  </si>
  <si>
    <t>Auburn University</t>
  </si>
  <si>
    <t>, Michael</t>
  </si>
  <si>
    <t>, Nelish</t>
  </si>
  <si>
    <t>, Peyman</t>
  </si>
  <si>
    <t>, Sidanshu</t>
  </si>
  <si>
    <t>, Wilson</t>
  </si>
  <si>
    <t>?, Chris</t>
  </si>
  <si>
    <t>Georgia Southern University</t>
  </si>
  <si>
    <t>?, Murdeze</t>
  </si>
  <si>
    <t>York University</t>
  </si>
  <si>
    <t>?, Shabber</t>
  </si>
  <si>
    <t>??, Parag</t>
  </si>
  <si>
    <t>University of California at San Diego</t>
  </si>
  <si>
    <t>???, Ivan</t>
  </si>
  <si>
    <t>???, Jason</t>
  </si>
  <si>
    <t>California Institute of Technology</t>
  </si>
  <si>
    <t>A., John</t>
  </si>
  <si>
    <t>Gwynedd Mercy College</t>
  </si>
  <si>
    <t>University of New Orleans</t>
  </si>
  <si>
    <t>Harvard University</t>
  </si>
  <si>
    <t>University of Illinois-Chicago</t>
  </si>
  <si>
    <t>Abbas, Abbas</t>
  </si>
  <si>
    <t>Florida State University</t>
  </si>
  <si>
    <t>University of South Florida</t>
  </si>
  <si>
    <t>Illinois Institute of Technology</t>
  </si>
  <si>
    <t>George Mason University</t>
  </si>
  <si>
    <t>University of Southern Mississippi</t>
  </si>
  <si>
    <t>Middlebury College</t>
  </si>
  <si>
    <t>New York University</t>
  </si>
  <si>
    <t>Abraham, Teddy</t>
  </si>
  <si>
    <t>Stevens Institute of Technology</t>
  </si>
  <si>
    <t>SUNY Buffalo</t>
  </si>
  <si>
    <t>Abrameto, Robert</t>
  </si>
  <si>
    <t>Pennsylvania State University</t>
  </si>
  <si>
    <t>Abrams, Marc</t>
  </si>
  <si>
    <t>University of Central Florida</t>
  </si>
  <si>
    <t>Mississippi State University</t>
  </si>
  <si>
    <t>Abulack, Jason</t>
  </si>
  <si>
    <t>University of Massachusetts-Lowell</t>
  </si>
  <si>
    <t>Fork Union Military Academy</t>
  </si>
  <si>
    <t>University of Alabama</t>
  </si>
  <si>
    <t>Adam, Stewart</t>
  </si>
  <si>
    <t>Dartmouth College</t>
  </si>
  <si>
    <t>Adams, Brad</t>
  </si>
  <si>
    <t>Morehouse College</t>
  </si>
  <si>
    <t>Adams, Terrance</t>
  </si>
  <si>
    <t>Georgia State University</t>
  </si>
  <si>
    <t>Georgia Institute of Technology</t>
  </si>
  <si>
    <t>Liberty University</t>
  </si>
  <si>
    <t>Howard University</t>
  </si>
  <si>
    <t>Adeleye, Babatola</t>
  </si>
  <si>
    <t>Saint Francis University</t>
  </si>
  <si>
    <t>Northern Kentucky University (ON PROBATION)</t>
  </si>
  <si>
    <t>Hampden-Sydney College</t>
  </si>
  <si>
    <t>Boston University</t>
  </si>
  <si>
    <t>University of Pennsylvania</t>
  </si>
  <si>
    <t>University of North Florida</t>
  </si>
  <si>
    <t>Adorno, Zach</t>
  </si>
  <si>
    <t>Ferris State University</t>
  </si>
  <si>
    <t>Adrian, Rhesa</t>
  </si>
  <si>
    <t>University of California, Santa Cruz</t>
  </si>
  <si>
    <t>McGill University</t>
  </si>
  <si>
    <t>Johns Hopkins University</t>
  </si>
  <si>
    <t>University of California, Los Angeles</t>
  </si>
  <si>
    <t>University of Western Ontario</t>
  </si>
  <si>
    <t>Washington University</t>
  </si>
  <si>
    <t>Emory University</t>
  </si>
  <si>
    <t>Agarwal, Rahul</t>
  </si>
  <si>
    <t>Bradley University</t>
  </si>
  <si>
    <t>Virginia Commonwealth University</t>
  </si>
  <si>
    <t>Lindenwood University</t>
  </si>
  <si>
    <t>Clemson University</t>
  </si>
  <si>
    <t>Polytechnic University</t>
  </si>
  <si>
    <t>University of Kansas</t>
  </si>
  <si>
    <t>Agrawal, Vaibhav</t>
  </si>
  <si>
    <t>Agrawal, Vineet</t>
  </si>
  <si>
    <t>Agudelo, Carlos</t>
  </si>
  <si>
    <t>Palmer</t>
  </si>
  <si>
    <t>Baylor University</t>
  </si>
  <si>
    <t>Hardin-Simmons University</t>
  </si>
  <si>
    <t>Tufts University</t>
  </si>
  <si>
    <t>University of Texas-Dallas</t>
  </si>
  <si>
    <t>Brooklyn College</t>
  </si>
  <si>
    <t>Ahmed, Nandita</t>
  </si>
  <si>
    <t>Wellesley College</t>
  </si>
  <si>
    <t>Stanford University</t>
  </si>
  <si>
    <t>University of Virginia</t>
  </si>
  <si>
    <t>Eastern Mennonite University</t>
  </si>
  <si>
    <t>Brown University</t>
  </si>
  <si>
    <t>Ahuja, Sunni</t>
  </si>
  <si>
    <t>Texas Wesleyan University</t>
  </si>
  <si>
    <t>Carleton College</t>
  </si>
  <si>
    <t>University of South Alabama</t>
  </si>
  <si>
    <t>University of Chicago</t>
  </si>
  <si>
    <t>Akhmetshin, Alexei</t>
  </si>
  <si>
    <t>Columbia University</t>
  </si>
  <si>
    <t>Akinnvu, Akinyemi</t>
  </si>
  <si>
    <t>Troy State University</t>
  </si>
  <si>
    <t>Rensselaer Polytechnic Institute</t>
  </si>
  <si>
    <t>Alaimo, Gianni</t>
  </si>
  <si>
    <t>University of Miami (FL)</t>
  </si>
  <si>
    <t>Alala, Amit</t>
  </si>
  <si>
    <t>Indiana University</t>
  </si>
  <si>
    <t>Washington &amp; Lee University</t>
  </si>
  <si>
    <t>Alduaig, Meshal</t>
  </si>
  <si>
    <t>University of Maryland, Baltimore County</t>
  </si>
  <si>
    <t>North Carolina State University</t>
  </si>
  <si>
    <t>Rutgers University</t>
  </si>
  <si>
    <t>Portland State University</t>
  </si>
  <si>
    <t>University of Wisconsin - Milwaukee</t>
  </si>
  <si>
    <t>Seattle University</t>
  </si>
  <si>
    <t>University of Wisconsin-Eau Claire</t>
  </si>
  <si>
    <t>Alimchandani, Manish</t>
  </si>
  <si>
    <t>Florida Institute of Technology</t>
  </si>
  <si>
    <t>Almad, Veena</t>
  </si>
  <si>
    <t>Drexel</t>
  </si>
  <si>
    <t>Almarzouq, Mohammad</t>
  </si>
  <si>
    <t>Almeeky, Abdullah</t>
  </si>
  <si>
    <t>Universidad de Puerto Rico</t>
  </si>
  <si>
    <t>Alonso, Andres</t>
  </si>
  <si>
    <t>Cooper Union</t>
  </si>
  <si>
    <t>Central Michigan</t>
  </si>
  <si>
    <t>University of North Texas</t>
  </si>
  <si>
    <t>Alston, Corey</t>
  </si>
  <si>
    <t>Florida A&amp;M University</t>
  </si>
  <si>
    <t>Alvarado, Carlos</t>
  </si>
  <si>
    <t>Kilgore College</t>
  </si>
  <si>
    <t>Northwestern University</t>
  </si>
  <si>
    <t>Amaruchkul, Kannapha</t>
  </si>
  <si>
    <t>Princeton University</t>
  </si>
  <si>
    <t>Purdue University</t>
  </si>
  <si>
    <t>SUNY Stonybrook</t>
  </si>
  <si>
    <t>Amiyangsu, Ray</t>
  </si>
  <si>
    <t>Saint Louis University</t>
  </si>
  <si>
    <t>Ampomsem, King</t>
  </si>
  <si>
    <t>Radford</t>
  </si>
  <si>
    <t>Amponsem, Oheme</t>
  </si>
  <si>
    <t>Ananchotiku, Bo</t>
  </si>
  <si>
    <t>Ananth, Bevinahally</t>
  </si>
  <si>
    <t>University of Michigan</t>
  </si>
  <si>
    <t>Anderson, David</t>
  </si>
  <si>
    <t>Duke University</t>
  </si>
  <si>
    <t>Northwestern College</t>
  </si>
  <si>
    <t>University of Illinois</t>
  </si>
  <si>
    <t>Utah State University</t>
  </si>
  <si>
    <t>Ohio State University</t>
  </si>
  <si>
    <t>University of West Florida</t>
  </si>
  <si>
    <t>Angoles, Kyle</t>
  </si>
  <si>
    <t>University of Minnesota-Twin Cities</t>
  </si>
  <si>
    <t>Eastern Michigan University</t>
  </si>
  <si>
    <t>University of Washington</t>
  </si>
  <si>
    <t>Mercer University</t>
  </si>
  <si>
    <t>Arafed, Syed</t>
  </si>
  <si>
    <t>SUNY Cortland</t>
  </si>
  <si>
    <t>Case Western Reserve University</t>
  </si>
  <si>
    <t>Aranguren, Jose L</t>
  </si>
  <si>
    <t>University of Missouri-St. Louis</t>
  </si>
  <si>
    <t>University of Wisconsin-Madison</t>
  </si>
  <si>
    <t>James Madison University</t>
  </si>
  <si>
    <t>Ardala, Cyrous</t>
  </si>
  <si>
    <t>University of North Carolina-Chapel Hill</t>
  </si>
  <si>
    <t>Ardi, A</t>
  </si>
  <si>
    <t>Universite du Quebec a Montreal</t>
  </si>
  <si>
    <t>Armisto, Tony</t>
  </si>
  <si>
    <t>Baruch College</t>
  </si>
  <si>
    <t>University of Maryland at College Park</t>
  </si>
  <si>
    <t>Queens University</t>
  </si>
  <si>
    <t>Rochester Institute of Technology</t>
  </si>
  <si>
    <t>Ashan, Imran</t>
  </si>
  <si>
    <t>Daemen College</t>
  </si>
  <si>
    <t>Ashiqali, Raju</t>
  </si>
  <si>
    <t>Asmuth, John</t>
  </si>
  <si>
    <t>Santa Monica College</t>
  </si>
  <si>
    <t>Attiogbe, Anthony</t>
  </si>
  <si>
    <t>Wesleyan University</t>
  </si>
  <si>
    <t>Au, Yee-Tung</t>
  </si>
  <si>
    <t>Aurora, Sameer</t>
  </si>
  <si>
    <t>University of Nebraska-Lincoln</t>
  </si>
  <si>
    <t>University of Sciences in Philadelphia</t>
  </si>
  <si>
    <t>Massachusetts Institute of Technology</t>
  </si>
  <si>
    <t>University of British Columbia</t>
  </si>
  <si>
    <t>Azarny, Nabil</t>
  </si>
  <si>
    <t>Aziz, Sharjeel</t>
  </si>
  <si>
    <t>B, Lukas</t>
  </si>
  <si>
    <t>B, Robert</t>
  </si>
  <si>
    <t>B, Tyler</t>
  </si>
  <si>
    <t>Baalmann, Joseph</t>
  </si>
  <si>
    <t>Newman University</t>
  </si>
  <si>
    <t>Texas A&amp;M University</t>
  </si>
  <si>
    <t>University of Nebraska-Omaha</t>
  </si>
  <si>
    <t>Babuin, Mike</t>
  </si>
  <si>
    <t>Baca, Luis</t>
  </si>
  <si>
    <t>University of Tampa</t>
  </si>
  <si>
    <t>Bachwano, Kekha</t>
  </si>
  <si>
    <t>Badruddin, Ali</t>
  </si>
  <si>
    <t>Bae, Eunju</t>
  </si>
  <si>
    <t>California State University-Fullerton</t>
  </si>
  <si>
    <t>Bagalasca, Allen</t>
  </si>
  <si>
    <t>Concordia University</t>
  </si>
  <si>
    <t>Yeshiva University</t>
  </si>
  <si>
    <t>University of Texas at Austin</t>
  </si>
  <si>
    <t>Bailey, A</t>
  </si>
  <si>
    <t>Bailey, Keith</t>
  </si>
  <si>
    <t>University of California at Davis</t>
  </si>
  <si>
    <t>The Citadel</t>
  </si>
  <si>
    <t>Oregon State University</t>
  </si>
  <si>
    <t>Michigan State University</t>
  </si>
  <si>
    <t>Virginia Polytechnic University</t>
  </si>
  <si>
    <t>Banerjee, Sujit</t>
  </si>
  <si>
    <t>University of Southern California</t>
  </si>
  <si>
    <t>Banks, Russel</t>
  </si>
  <si>
    <t>Piedmont Virginia Community College</t>
  </si>
  <si>
    <t>University of California, Merced</t>
  </si>
  <si>
    <t>University of California, Riverside</t>
  </si>
  <si>
    <t>Barber, Ed</t>
  </si>
  <si>
    <t>Daytona State College</t>
  </si>
  <si>
    <t>Lewis and Clark College</t>
  </si>
  <si>
    <t>Pepperdine University</t>
  </si>
  <si>
    <t>Barnes, Jenni</t>
  </si>
  <si>
    <t>Furman University</t>
  </si>
  <si>
    <t>College of Wooster</t>
  </si>
  <si>
    <t>Clark Atlanta University</t>
  </si>
  <si>
    <t>University of Massachusetts at Amherst</t>
  </si>
  <si>
    <t>Bartlett, Gary</t>
  </si>
  <si>
    <t>Bartlett, Nick</t>
  </si>
  <si>
    <t>University of Georgia</t>
  </si>
  <si>
    <t>Ashland University</t>
  </si>
  <si>
    <t>Maryville College</t>
  </si>
  <si>
    <t>Basnet, Suman</t>
  </si>
  <si>
    <t>Bastrzy, Marta</t>
  </si>
  <si>
    <t>Guilford College</t>
  </si>
  <si>
    <t>Bates, Joshua</t>
  </si>
  <si>
    <t>University of the Pacific</t>
  </si>
  <si>
    <t>Battle, Dwevon</t>
  </si>
  <si>
    <t>Universite de Montreal</t>
  </si>
  <si>
    <t>County College of Morris</t>
  </si>
  <si>
    <t>Bavly, Larry</t>
  </si>
  <si>
    <t>George Washington University</t>
  </si>
  <si>
    <t>University of Massachusetts, Boston</t>
  </si>
  <si>
    <t>Beall, Jane</t>
  </si>
  <si>
    <t>Beasley, Kenneth</t>
  </si>
  <si>
    <t>Columbus State University</t>
  </si>
  <si>
    <t>Southern Methodist University</t>
  </si>
  <si>
    <t>Bryant University</t>
  </si>
  <si>
    <t>Beck, Brian</t>
  </si>
  <si>
    <t>Georgia College and State University</t>
  </si>
  <si>
    <t>Beck, Gonzalo</t>
  </si>
  <si>
    <t>Becker, Bill</t>
  </si>
  <si>
    <t>University of Oregon</t>
  </si>
  <si>
    <t>Becker, Eva</t>
  </si>
  <si>
    <t>Wichita State university</t>
  </si>
  <si>
    <t>Bedgood, Tyler</t>
  </si>
  <si>
    <t>Binghamton University</t>
  </si>
  <si>
    <t>University of Akron</t>
  </si>
  <si>
    <t>Miami University (OH)</t>
  </si>
  <si>
    <t>Bendre, Nedam</t>
  </si>
  <si>
    <t>Lafayette</t>
  </si>
  <si>
    <t>Ben-Moche, Dan</t>
  </si>
  <si>
    <t>Drew University</t>
  </si>
  <si>
    <t>Beno, Dan</t>
  </si>
  <si>
    <t>Beranek, Nick</t>
  </si>
  <si>
    <t>Ithaca College</t>
  </si>
  <si>
    <t>Berkowitz, Jonathan</t>
  </si>
  <si>
    <t>Bernardo, David</t>
  </si>
  <si>
    <t>Kean University</t>
  </si>
  <si>
    <t>Bernstein, Josh</t>
  </si>
  <si>
    <t>Bernstein, Max</t>
  </si>
  <si>
    <t>Darton College</t>
  </si>
  <si>
    <t>Betts, Edgar</t>
  </si>
  <si>
    <t>University of California Irvine</t>
  </si>
  <si>
    <t>Bhat, Mohit</t>
  </si>
  <si>
    <t>Bhika, Anand</t>
  </si>
  <si>
    <t>Bhushan, Alok</t>
  </si>
  <si>
    <t>Billington, Rob</t>
  </si>
  <si>
    <t>Binder, Mark</t>
  </si>
  <si>
    <t>Bisker, Oleg</t>
  </si>
  <si>
    <t>University of Connecticut</t>
  </si>
  <si>
    <t>De Anza College</t>
  </si>
  <si>
    <t>University of Texas Arlington</t>
  </si>
  <si>
    <t>Washington College</t>
  </si>
  <si>
    <t>University of Alabama-Huntsville</t>
  </si>
  <si>
    <t>Baldwin Wallace College</t>
  </si>
  <si>
    <t>Kansas State University</t>
  </si>
  <si>
    <t>St. Johns River Community College</t>
  </si>
  <si>
    <t>Bodur, Yasar</t>
  </si>
  <si>
    <t>Bolton, Kirk</t>
  </si>
  <si>
    <t>Bong Geun, Kim</t>
  </si>
  <si>
    <t>Borin, Milan</t>
  </si>
  <si>
    <t>Botero, Peter</t>
  </si>
  <si>
    <t>Florida International University</t>
  </si>
  <si>
    <t>Bouchard, Briana</t>
  </si>
  <si>
    <t>Bourdel, Thomas</t>
  </si>
  <si>
    <t>West Georgia University</t>
  </si>
  <si>
    <t>Boyer, Bryan</t>
  </si>
  <si>
    <t>Mississippi College</t>
  </si>
  <si>
    <t>Bragg, Lewis</t>
  </si>
  <si>
    <t>Brand, Kenneth</t>
  </si>
  <si>
    <t>Bravo, Francisco</t>
  </si>
  <si>
    <t>breen, james</t>
  </si>
  <si>
    <t>Ursinus College</t>
  </si>
  <si>
    <t>University of the South--Sewanee</t>
  </si>
  <si>
    <t>Brewster, Damian</t>
  </si>
  <si>
    <t>Augusta State University</t>
  </si>
  <si>
    <t>Briggs, Dan</t>
  </si>
  <si>
    <t>Briones, Paul</t>
  </si>
  <si>
    <t>Briscoe, Ken</t>
  </si>
  <si>
    <t>Syracuse University</t>
  </si>
  <si>
    <t>Brock, Adam</t>
  </si>
  <si>
    <t>Brody, John</t>
  </si>
  <si>
    <t>Methodist College</t>
  </si>
  <si>
    <t>Boston College</t>
  </si>
  <si>
    <t>Brookshire, cooper</t>
  </si>
  <si>
    <t>Brown, Cameron</t>
  </si>
  <si>
    <t>Valdosta State University</t>
  </si>
  <si>
    <t>Brown, Korkut</t>
  </si>
  <si>
    <t>Brown, Levoid</t>
  </si>
  <si>
    <t>Brown, Noberto</t>
  </si>
  <si>
    <t>Brown, Rodger</t>
  </si>
  <si>
    <t>Iowa State University</t>
  </si>
  <si>
    <t>Broxterman, Mark</t>
  </si>
  <si>
    <t>Brunger, John</t>
  </si>
  <si>
    <t>Bruns, John</t>
  </si>
  <si>
    <t>Bryce, Duncan</t>
  </si>
  <si>
    <t>Buckley, Kevin</t>
  </si>
  <si>
    <t>University of St. Thomas</t>
  </si>
  <si>
    <t>Bui, Hoa</t>
  </si>
  <si>
    <t>Bui, Tri</t>
  </si>
  <si>
    <t>Portland Community College</t>
  </si>
  <si>
    <t>Bukiet, Aviva</t>
  </si>
  <si>
    <t>Buningale, Ashay</t>
  </si>
  <si>
    <t>Brigham Young University</t>
  </si>
  <si>
    <t>Tyler Junior College</t>
  </si>
  <si>
    <t>Burhani, Hussain</t>
  </si>
  <si>
    <t>University of California, Berkeley</t>
  </si>
  <si>
    <t>Westminster College</t>
  </si>
  <si>
    <t>East Texas Baptist University</t>
  </si>
  <si>
    <t>Grand View College</t>
  </si>
  <si>
    <t>Bush, Devon</t>
  </si>
  <si>
    <t>Butora, Ivan</t>
  </si>
  <si>
    <t>Jones County Junior College</t>
  </si>
  <si>
    <t>C, Joey</t>
  </si>
  <si>
    <t>University of Ottawa</t>
  </si>
  <si>
    <t>C, Shyam</t>
  </si>
  <si>
    <t>C., David</t>
  </si>
  <si>
    <t>Clarkson University</t>
  </si>
  <si>
    <t>PrattMWP</t>
  </si>
  <si>
    <t>Cai, Yuefei</t>
  </si>
  <si>
    <t>Governors State University</t>
  </si>
  <si>
    <t>Caione, Joe</t>
  </si>
  <si>
    <t>California State University Eastbay</t>
  </si>
  <si>
    <t>Canfield, Mike</t>
  </si>
  <si>
    <t>Cao, Bo</t>
  </si>
  <si>
    <t>Cao, Boyu</t>
  </si>
  <si>
    <t>Cao, Trac</t>
  </si>
  <si>
    <t>Carlton, Travis</t>
  </si>
  <si>
    <t>West Virginia University-Parkersburg</t>
  </si>
  <si>
    <t>Carpenter, Clara</t>
  </si>
  <si>
    <t>Tarleton State</t>
  </si>
  <si>
    <t>Carter, Eric</t>
  </si>
  <si>
    <t>Oberlin College</t>
  </si>
  <si>
    <t>Casi, Trent</t>
  </si>
  <si>
    <t>Wake Forest</t>
  </si>
  <si>
    <t>Cavanagh, Christian</t>
  </si>
  <si>
    <t>Cehvva, Konda</t>
  </si>
  <si>
    <t>Chadda, Rahul</t>
  </si>
  <si>
    <t>Chae, Jim</t>
  </si>
  <si>
    <t>Chai, Chih-Yu</t>
  </si>
  <si>
    <t>Chai, Jijie</t>
  </si>
  <si>
    <t>Chai, Jocephine</t>
  </si>
  <si>
    <t>Chan, Aaron</t>
  </si>
  <si>
    <t>Chan, Albert</t>
  </si>
  <si>
    <t>Chan, Chee-Kai</t>
  </si>
  <si>
    <t>Chan, Cornelius</t>
  </si>
  <si>
    <t>Chan, Jeff</t>
  </si>
  <si>
    <t>Chan, Jonny</t>
  </si>
  <si>
    <t>Chan, Joseph</t>
  </si>
  <si>
    <t>Chan, Keng Yong</t>
  </si>
  <si>
    <t>Chan, Ryan</t>
  </si>
  <si>
    <t>Chan, Sam</t>
  </si>
  <si>
    <t>McMaster University</t>
  </si>
  <si>
    <t>Chan, Wes</t>
  </si>
  <si>
    <t>chana, Sova</t>
  </si>
  <si>
    <t>Chandramouli, Shankaren</t>
  </si>
  <si>
    <t>Chang Cheah, Zi</t>
  </si>
  <si>
    <t>University of Alabama-Birmingham</t>
  </si>
  <si>
    <t>Chang, Eddie</t>
  </si>
  <si>
    <t>Chang, Jack</t>
  </si>
  <si>
    <t>Chang, Karen</t>
  </si>
  <si>
    <t>Chang, Kwei-Cheng</t>
  </si>
  <si>
    <t>Chang, Sam</t>
  </si>
  <si>
    <t>Chang, Ting Chia</t>
  </si>
  <si>
    <t>Chang, Wan-Yin</t>
  </si>
  <si>
    <t>Chao, Ling-Ya</t>
  </si>
  <si>
    <t>Chaplin, Courtney</t>
  </si>
  <si>
    <t>Rochester Community &amp; Technical College</t>
  </si>
  <si>
    <t>Chatterjee, Uday</t>
  </si>
  <si>
    <t>San Jose State University</t>
  </si>
  <si>
    <t>Chau, Joey</t>
  </si>
  <si>
    <t>Chaudry, Abrar</t>
  </si>
  <si>
    <t>Chen, Andy</t>
  </si>
  <si>
    <t>Kwantlen Polytechnic University</t>
  </si>
  <si>
    <t>chen, Bong Yuen</t>
  </si>
  <si>
    <t>Chen, Bosi</t>
  </si>
  <si>
    <t>Chen, Celia</t>
  </si>
  <si>
    <t>Brandeis University</t>
  </si>
  <si>
    <t>Chen, Chun-Te</t>
  </si>
  <si>
    <t>College of William and Mary</t>
  </si>
  <si>
    <t>Chen, Dao-Peng</t>
  </si>
  <si>
    <t>chen, davie</t>
  </si>
  <si>
    <t>Chen, Dietrich</t>
  </si>
  <si>
    <t>University of Waterloo</t>
  </si>
  <si>
    <t>Chen, Fang (Nicole)</t>
  </si>
  <si>
    <t>Chen, Guofeng</t>
  </si>
  <si>
    <t>Chen, Haunyuan</t>
  </si>
  <si>
    <t>Chen, Howard</t>
  </si>
  <si>
    <t>Northwest Polytechnic University</t>
  </si>
  <si>
    <t>University of Texas Southwestern Medical School</t>
  </si>
  <si>
    <t>Chen, Joe-Joe</t>
  </si>
  <si>
    <t>Chen, Kathy</t>
  </si>
  <si>
    <t>Chen, Lap Pan</t>
  </si>
  <si>
    <t>Penn State Berks</t>
  </si>
  <si>
    <t>Chen, Max</t>
  </si>
  <si>
    <t>Chen, Ming</t>
  </si>
  <si>
    <t>Chen, Pan</t>
  </si>
  <si>
    <t>Chen, Patrick</t>
  </si>
  <si>
    <t>Chen, Pen-Pen</t>
  </si>
  <si>
    <t>Bellvue Community College</t>
  </si>
  <si>
    <t>Chen, Po-hsu</t>
  </si>
  <si>
    <t>Chen, Ronald</t>
  </si>
  <si>
    <t>Chen, RuiJun</t>
  </si>
  <si>
    <t>Chen, Shi</t>
  </si>
  <si>
    <t>Chen, Summers</t>
  </si>
  <si>
    <t>Chen, Tina Hung-Yu</t>
  </si>
  <si>
    <t>City College of San Francisco</t>
  </si>
  <si>
    <t>Chen, Xaoping</t>
  </si>
  <si>
    <t>Chen, Yu</t>
  </si>
  <si>
    <t>Chen, Zilong</t>
  </si>
  <si>
    <t>Cheng, Davy</t>
  </si>
  <si>
    <t>Bergen Community College</t>
  </si>
  <si>
    <t>Cheng, Jermiah</t>
  </si>
  <si>
    <t>Life Chiropractic College</t>
  </si>
  <si>
    <t>Cheng, Kevin</t>
  </si>
  <si>
    <t>Cheng, Sam</t>
  </si>
  <si>
    <t>Cheng, Vince</t>
  </si>
  <si>
    <t>ChengHie, Wei</t>
  </si>
  <si>
    <t>Chenng, Sin Sze</t>
  </si>
  <si>
    <t>Simon Fraser University</t>
  </si>
  <si>
    <t>Cheunkar, Nhui</t>
  </si>
  <si>
    <t>Chi, Robert</t>
  </si>
  <si>
    <t>Chiang, Chieh-Yin</t>
  </si>
  <si>
    <t>California State University, Fresno</t>
  </si>
  <si>
    <t>Chien, Shelley</t>
  </si>
  <si>
    <t>Fashion Institute of Technology</t>
  </si>
  <si>
    <t>ching, ka</t>
  </si>
  <si>
    <t>Chiou, David</t>
  </si>
  <si>
    <t>Chiswick-Patterson, Mike</t>
  </si>
  <si>
    <t>Chiu, Felicia</t>
  </si>
  <si>
    <t>Chiu, Wensy</t>
  </si>
  <si>
    <t>Chkhartishvili, Lasha</t>
  </si>
  <si>
    <t>Choi, Mark</t>
  </si>
  <si>
    <t>ChongChitmate, Top</t>
  </si>
  <si>
    <t>Chopra, Shubhan</t>
  </si>
  <si>
    <t>Chou, Daniel</t>
  </si>
  <si>
    <t>Chou, Jonathon</t>
  </si>
  <si>
    <t>Chou, Shuo Che</t>
  </si>
  <si>
    <t>Chou, Shuo Che (Albert)</t>
  </si>
  <si>
    <t>Chow, Allan</t>
  </si>
  <si>
    <t>Chowdhary, Sudip</t>
  </si>
  <si>
    <t>Chu, Benjamin</t>
  </si>
  <si>
    <t>New Jersey Institute of Technology</t>
  </si>
  <si>
    <t>Chu, Kelvin</t>
  </si>
  <si>
    <t>Chu, Nam</t>
  </si>
  <si>
    <t>Chun, Jonathan</t>
  </si>
  <si>
    <t>Chung, Aaron</t>
  </si>
  <si>
    <t>Chung, Che Ming</t>
  </si>
  <si>
    <t>Chung, Chiang</t>
  </si>
  <si>
    <t>Chung, Ngai-Chi</t>
  </si>
  <si>
    <t>Church, Andy</t>
  </si>
  <si>
    <t>Rhodes College</t>
  </si>
  <si>
    <t>Christopher Newport University</t>
  </si>
  <si>
    <t>Marshall University</t>
  </si>
  <si>
    <t>Cintron, Axia</t>
  </si>
  <si>
    <t>Canisius College</t>
  </si>
  <si>
    <t>Clifton, Greg</t>
  </si>
  <si>
    <t>Lane Community College</t>
  </si>
  <si>
    <t>Cochran, Gordan</t>
  </si>
  <si>
    <t>Indiana Tech</t>
  </si>
  <si>
    <t>Holy Cross College</t>
  </si>
  <si>
    <t>Dalton State College</t>
  </si>
  <si>
    <t>Coleman, Joshua</t>
  </si>
  <si>
    <t>Hagerstown Community College</t>
  </si>
  <si>
    <t>Collins, Reed</t>
  </si>
  <si>
    <t>Conover, Brian</t>
  </si>
  <si>
    <t>Corriveau, Marie</t>
  </si>
  <si>
    <t>Cousins, Benjamin</t>
  </si>
  <si>
    <t>Craft, Daniel</t>
  </si>
  <si>
    <t>California State University-Northridge</t>
  </si>
  <si>
    <t>Craig, Rebecca</t>
  </si>
  <si>
    <t>Crawford, Nathan</t>
  </si>
  <si>
    <t>Crespo, A</t>
  </si>
  <si>
    <t>Miami-Dade Community College</t>
  </si>
  <si>
    <t>Crespo, Magda</t>
  </si>
  <si>
    <t>Cronin, John</t>
  </si>
  <si>
    <t>Cross, James</t>
  </si>
  <si>
    <t>Crossley, Kyle</t>
  </si>
  <si>
    <t>Crumbley, Steven</t>
  </si>
  <si>
    <t>Cucu, Mihai</t>
  </si>
  <si>
    <t>Cui, Hongliang</t>
  </si>
  <si>
    <t>Cutter, Jake</t>
  </si>
  <si>
    <t>Czarij, A</t>
  </si>
  <si>
    <t>Dai, Nan</t>
  </si>
  <si>
    <t>Dalal, Nupur</t>
  </si>
  <si>
    <t>Damani, Ashiq</t>
  </si>
  <si>
    <t>Dang, Hoan</t>
  </si>
  <si>
    <t>Data, Avneesh</t>
  </si>
  <si>
    <t>California State University, Sacramento</t>
  </si>
  <si>
    <t>Daubin, Scott</t>
  </si>
  <si>
    <t>David, Kassi</t>
  </si>
  <si>
    <t>Davids, Shaka</t>
  </si>
  <si>
    <t>Davis, Craston</t>
  </si>
  <si>
    <t>De Silva, Gayan</t>
  </si>
  <si>
    <t>De Vera, Anand</t>
  </si>
  <si>
    <t>Deal, Robert</t>
  </si>
  <si>
    <t>Decker, Mike</t>
  </si>
  <si>
    <t>Deeken, Jason</t>
  </si>
  <si>
    <t>Degrauwe, Virginie</t>
  </si>
  <si>
    <t>Central Seattle Community College</t>
  </si>
  <si>
    <t>Dell, Mike</t>
  </si>
  <si>
    <t>Washburn University (ON PROBATION)</t>
  </si>
  <si>
    <t>Dempsey, Chris</t>
  </si>
  <si>
    <t>Denkenberger, Tom</t>
  </si>
  <si>
    <t>Deprez, Sebastian</t>
  </si>
  <si>
    <t>Dersting, Nate</t>
  </si>
  <si>
    <t>Deshmoukh, Ajay</t>
  </si>
  <si>
    <t>Deshpande, Pushkar</t>
  </si>
  <si>
    <t>DeSouza, Di Di</t>
  </si>
  <si>
    <t>Desta, Yemane</t>
  </si>
  <si>
    <t>Devia, Selim</t>
  </si>
  <si>
    <t>Dhedia, Harini</t>
  </si>
  <si>
    <t>Diciero, Philip</t>
  </si>
  <si>
    <t>University of Cincinnati</t>
  </si>
  <si>
    <t>Dicristina, Micheal</t>
  </si>
  <si>
    <t>Ding, Jackie</t>
  </si>
  <si>
    <t>Diuguid, Jonathan</t>
  </si>
  <si>
    <t>Do, Chi-Wai</t>
  </si>
  <si>
    <t>Doan, Thomas</t>
  </si>
  <si>
    <t>Dobrowski, Rafael</t>
  </si>
  <si>
    <t>Stetson University</t>
  </si>
  <si>
    <t>Doe, John</t>
  </si>
  <si>
    <t>Domingo, Jeremy</t>
  </si>
  <si>
    <t>Dones, Michael</t>
  </si>
  <si>
    <t>Dong, Jiaer</t>
  </si>
  <si>
    <t>Dong, Steve</t>
  </si>
  <si>
    <t>Doshi, Chintan</t>
  </si>
  <si>
    <t>Drew, Jonathan</t>
  </si>
  <si>
    <t>Druszkiewicz, Jakub</t>
  </si>
  <si>
    <t>Du, Zhi</t>
  </si>
  <si>
    <t>Duan, James</t>
  </si>
  <si>
    <t>Dukes, Jeffrey</t>
  </si>
  <si>
    <t>University of South Carolina</t>
  </si>
  <si>
    <t>Dumitrescu, Mihail</t>
  </si>
  <si>
    <t>Duncan, Michael</t>
  </si>
  <si>
    <t>Dung, (Kenny) Thai Viet</t>
  </si>
  <si>
    <t>Kennesaw State</t>
  </si>
  <si>
    <t>Dutrieville, David</t>
  </si>
  <si>
    <t>Normandale Community College</t>
  </si>
  <si>
    <t>Occidental College</t>
  </si>
  <si>
    <t>Duvvuri, Uma</t>
  </si>
  <si>
    <t>E, Chi</t>
  </si>
  <si>
    <t>Ebb, William</t>
  </si>
  <si>
    <t>Ebert, Sabastian</t>
  </si>
  <si>
    <t>Ebrahimn, Basil</t>
  </si>
  <si>
    <t>Edge, Jacob</t>
  </si>
  <si>
    <t>Ehly, Hank</t>
  </si>
  <si>
    <t>Ellwood, Jed</t>
  </si>
  <si>
    <t>Eppink., Jenna</t>
  </si>
  <si>
    <t>Eskew, Philip</t>
  </si>
  <si>
    <t>Esserman, David</t>
  </si>
  <si>
    <t>Esserman, Marc</t>
  </si>
  <si>
    <t>Ettelson, Leon</t>
  </si>
  <si>
    <t>SUNY Purchase</t>
  </si>
  <si>
    <t>Eulakhov, Vitaly</t>
  </si>
  <si>
    <t>Eulnkhov, Vitely</t>
  </si>
  <si>
    <t>Campbell University</t>
  </si>
  <si>
    <t>Falls, Danovan</t>
  </si>
  <si>
    <t>Fan, Michael</t>
  </si>
  <si>
    <t>Fang, David</t>
  </si>
  <si>
    <t>Fang, Gao</t>
  </si>
  <si>
    <t>Fangjia, Chen</t>
  </si>
  <si>
    <t>Southwestern Baptist Theological Seminar</t>
  </si>
  <si>
    <t>Fasman, Lillian</t>
  </si>
  <si>
    <t>Fawaz, Ryan</t>
  </si>
  <si>
    <t>Fay, Bill</t>
  </si>
  <si>
    <t>Fazio, Katie</t>
  </si>
  <si>
    <t>Feigenbaum, Zack</t>
  </si>
  <si>
    <t>Felciano, Kyle</t>
  </si>
  <si>
    <t>Feng, Chenzhuo</t>
  </si>
  <si>
    <t>Ferguson, Leland</t>
  </si>
  <si>
    <t>Finkelberg, Mike</t>
  </si>
  <si>
    <t>Finkelstein, Mercedes</t>
  </si>
  <si>
    <t>Foley, Derrick</t>
  </si>
  <si>
    <t>Foo, Siew-Chien</t>
  </si>
  <si>
    <t>Francis, William</t>
  </si>
  <si>
    <t>frank, sam</t>
  </si>
  <si>
    <t>Franklin, Joshua</t>
  </si>
  <si>
    <t>Augsburg College</t>
  </si>
  <si>
    <t>Frederick, Essien</t>
  </si>
  <si>
    <t>Freed, Leah</t>
  </si>
  <si>
    <t>French-Last-Name, Christophe</t>
  </si>
  <si>
    <t>Frieglj, Marko</t>
  </si>
  <si>
    <t>Frigattenslozen, Beny</t>
  </si>
  <si>
    <t>Hamilton College</t>
  </si>
  <si>
    <t>Penn State Abington</t>
  </si>
  <si>
    <t>Fung, Charles</t>
  </si>
  <si>
    <t>Golden Gate University</t>
  </si>
  <si>
    <t>Fung, Raymond</t>
  </si>
  <si>
    <t>Gajdeczka, Michael</t>
  </si>
  <si>
    <t>Gamsey, Jeff</t>
  </si>
  <si>
    <t>Gan, Chee Lip</t>
  </si>
  <si>
    <t>Gandhi, Ruituraj</t>
  </si>
  <si>
    <t>University of North Carolina - Charlotte</t>
  </si>
  <si>
    <t>Ganesh, Vijay</t>
  </si>
  <si>
    <t>Gao, Kaijian</t>
  </si>
  <si>
    <t>Gao, Yayun</t>
  </si>
  <si>
    <t>Garber, Leonard</t>
  </si>
  <si>
    <t>Garber, Ted</t>
  </si>
  <si>
    <t>Garcia, Joey</t>
  </si>
  <si>
    <t>Gardner, Chris</t>
  </si>
  <si>
    <t>Garrido, Jo</t>
  </si>
  <si>
    <t>Geier, Joerg</t>
  </si>
  <si>
    <t>Geiger, Brandon</t>
  </si>
  <si>
    <t>Geiger, Josh</t>
  </si>
  <si>
    <t>Gensheimer, Michael</t>
  </si>
  <si>
    <t>Gerig, Daniel</t>
  </si>
  <si>
    <t>Geun, Kim Bong</t>
  </si>
  <si>
    <t>Ghate, Amy</t>
  </si>
  <si>
    <t>Ghee, Sevron</t>
  </si>
  <si>
    <t>Ghersi, Yonathon</t>
  </si>
  <si>
    <t>Gho, Wie-Chong</t>
  </si>
  <si>
    <t>Gholmieh, Wael</t>
  </si>
  <si>
    <t>Giannini, Rob</t>
  </si>
  <si>
    <t>Gibbons, Rory</t>
  </si>
  <si>
    <t>Gieger-Gresham, Brandon</t>
  </si>
  <si>
    <t>Gigras, Piyush</t>
  </si>
  <si>
    <t>giguelay, hugo</t>
  </si>
  <si>
    <t>Giuliani, James</t>
  </si>
  <si>
    <t>Giutierrez Julie, Ricardo</t>
  </si>
  <si>
    <t>Givens, Peter</t>
  </si>
  <si>
    <t>Goble, Bandon</t>
  </si>
  <si>
    <t>Godec, Nick</t>
  </si>
  <si>
    <t>Goh, Joel</t>
  </si>
  <si>
    <t>Goh, Sue Mae</t>
  </si>
  <si>
    <t>Goldberg, Alex</t>
  </si>
  <si>
    <t>Goldberg, G G</t>
  </si>
  <si>
    <t>Golic, Biba</t>
  </si>
  <si>
    <t>Gombos, Ludovic</t>
  </si>
  <si>
    <t>Goncharov, Eugene</t>
  </si>
  <si>
    <t>Gonyea, Tianqing</t>
  </si>
  <si>
    <t>Goodrich, Jared</t>
  </si>
  <si>
    <t>Gorence, Nathaniel</t>
  </si>
  <si>
    <t>Dordt College</t>
  </si>
  <si>
    <t>Gousse, Joel</t>
  </si>
  <si>
    <t>Goyal, Giddarth</t>
  </si>
  <si>
    <t>Green, James</t>
  </si>
  <si>
    <t>Gregg, Tyler</t>
  </si>
  <si>
    <t>Griffith, Elwin</t>
  </si>
  <si>
    <t>Clayton State University</t>
  </si>
  <si>
    <t>Gruber, David</t>
  </si>
  <si>
    <t>GS, Jan</t>
  </si>
  <si>
    <t>Gu, JiaXing</t>
  </si>
  <si>
    <t>Guerrera, Yanelys</t>
  </si>
  <si>
    <t>Guinness, Joe</t>
  </si>
  <si>
    <t>Guo, Wei</t>
  </si>
  <si>
    <t>Gupta, Arjun</t>
  </si>
  <si>
    <t>Gupta, Nitin</t>
  </si>
  <si>
    <t>Gurson, Sean</t>
  </si>
  <si>
    <t>Gururaj, Sridhar</t>
  </si>
  <si>
    <t>Guy-Williams, Denton</t>
  </si>
  <si>
    <t>Guzman, Gennady</t>
  </si>
  <si>
    <t>Guzner, Gennadiy</t>
  </si>
  <si>
    <t>H, Bakhtyar</t>
  </si>
  <si>
    <t>Haffner, Philippe</t>
  </si>
  <si>
    <t>Haihua, Qin</t>
  </si>
  <si>
    <t>Hair, Jaimes</t>
  </si>
  <si>
    <t>Lee University</t>
  </si>
  <si>
    <t>Halpern, Benjamin</t>
  </si>
  <si>
    <t>Hamid, Fauzi</t>
  </si>
  <si>
    <t>University of Toledo</t>
  </si>
  <si>
    <t>Han, Doochou</t>
  </si>
  <si>
    <t>Hana, David</t>
  </si>
  <si>
    <t>Wright State University</t>
  </si>
  <si>
    <t>Highline Community College</t>
  </si>
  <si>
    <t>Harel, Jonathan</t>
  </si>
  <si>
    <t>Haridas, Vivek</t>
  </si>
  <si>
    <t>Harlaka, Sahil</t>
  </si>
  <si>
    <t>Hasibuan, Daniel</t>
  </si>
  <si>
    <t>Hastono, Alexandra</t>
  </si>
  <si>
    <t>Ohio Wesleyan</t>
  </si>
  <si>
    <t>Havarich, Cody</t>
  </si>
  <si>
    <t>Hawkins, Austin</t>
  </si>
  <si>
    <t>Hawkins, Jimithy</t>
  </si>
  <si>
    <t>He, Michael</t>
  </si>
  <si>
    <t>He, Yongning</t>
  </si>
  <si>
    <t>Heinhold, Loren</t>
  </si>
  <si>
    <t>Hellman, Matt</t>
  </si>
  <si>
    <t>Hellmann, Zach</t>
  </si>
  <si>
    <t>Higgins, Steward</t>
  </si>
  <si>
    <t>Hilaro, Amanda</t>
  </si>
  <si>
    <t>Hills, Ron</t>
  </si>
  <si>
    <t>Him Tsui, Ming</t>
  </si>
  <si>
    <t>Ho Duc, Hong Linh</t>
  </si>
  <si>
    <t>Ho, Kar</t>
  </si>
  <si>
    <t>Ho, The Vihn</t>
  </si>
  <si>
    <t>Ho, Thientu</t>
  </si>
  <si>
    <t>Ho, Yun Nan</t>
  </si>
  <si>
    <t>Hoang, Hua</t>
  </si>
  <si>
    <t>Hoarfrost, Ryan</t>
  </si>
  <si>
    <t>Hoffman, Mark</t>
  </si>
  <si>
    <t>Hollins, Tommy</t>
  </si>
  <si>
    <t>Holmes, J</t>
  </si>
  <si>
    <t>Hon, Taylor</t>
  </si>
  <si>
    <t>Hoops, Alen</t>
  </si>
  <si>
    <t>Horne, Jed</t>
  </si>
  <si>
    <t>Hou, Haihu</t>
  </si>
  <si>
    <t>Hou, Pei-Ching</t>
  </si>
  <si>
    <t>Hou, Yuqing</t>
  </si>
  <si>
    <t>Howell, Michael</t>
  </si>
  <si>
    <t>Hsia, CS</t>
  </si>
  <si>
    <t>Hsian, Chuan-heng</t>
  </si>
  <si>
    <t>Hsieh, George</t>
  </si>
  <si>
    <t>Hsieh, Peter</t>
  </si>
  <si>
    <t>Hsu, Eric</t>
  </si>
  <si>
    <t>Hsu, Fong</t>
  </si>
  <si>
    <t>Hsu, Shih-hung</t>
  </si>
  <si>
    <t>Htet, Kyaw Min</t>
  </si>
  <si>
    <t>Hu, Huiyi</t>
  </si>
  <si>
    <t>Hu, Jason</t>
  </si>
  <si>
    <t>Hu, Jiaqian</t>
  </si>
  <si>
    <t>Hu, Mr</t>
  </si>
  <si>
    <t>Hu, Nora</t>
  </si>
  <si>
    <t>Hu, Wei Cheng</t>
  </si>
  <si>
    <t>Hu, Zonghai</t>
  </si>
  <si>
    <t>Hua Gan, Zhi</t>
  </si>
  <si>
    <t>Hua, Peter</t>
  </si>
  <si>
    <t>Hua, Sha</t>
  </si>
  <si>
    <t>Hua, Yao</t>
  </si>
  <si>
    <t>Huan, Qinghua</t>
  </si>
  <si>
    <t>Huang, Haiyun</t>
  </si>
  <si>
    <t>Huang, Haosheng</t>
  </si>
  <si>
    <t>Huang, Haosi "Phil"</t>
  </si>
  <si>
    <t>Huang, Helen</t>
  </si>
  <si>
    <t>DePaul University</t>
  </si>
  <si>
    <t>Huang, Keegan</t>
  </si>
  <si>
    <t>Huang, Kevin</t>
  </si>
  <si>
    <t>Huang, Li-Fu</t>
  </si>
  <si>
    <t>Huang, Peter</t>
  </si>
  <si>
    <t>Bryn Mawr College</t>
  </si>
  <si>
    <t>Huang, Shuai-Sheng</t>
  </si>
  <si>
    <t>Huang, Usher</t>
  </si>
  <si>
    <t>Huang, Yolanda</t>
  </si>
  <si>
    <t>Huang, Yutao</t>
  </si>
  <si>
    <t>Murray State University</t>
  </si>
  <si>
    <t>Huda, Shahen</t>
  </si>
  <si>
    <t>Huerta, Alejandria</t>
  </si>
  <si>
    <t>Hughes, Nathaniel</t>
  </si>
  <si>
    <t>Hui, Cheuk</t>
  </si>
  <si>
    <t>Hui, JingWen</t>
  </si>
  <si>
    <t>Hungria, Andy</t>
  </si>
  <si>
    <t>Hung-Yu, Chen</t>
  </si>
  <si>
    <t>Wheeling Jesuit University</t>
  </si>
  <si>
    <t>Hurak, Matt</t>
  </si>
  <si>
    <t>Hussain, Fared</t>
  </si>
  <si>
    <t>Hussain, Saleem</t>
  </si>
  <si>
    <t>Hwang, Simon</t>
  </si>
  <si>
    <t>Hwang, Sunhwan</t>
  </si>
  <si>
    <t>Hyunh, Tam</t>
  </si>
  <si>
    <t>Ian, Gerard</t>
  </si>
  <si>
    <t>Ian, Spencer</t>
  </si>
  <si>
    <t>Ibiyeye, Abdukasheed</t>
  </si>
  <si>
    <t>Ibrahim, Azmy</t>
  </si>
  <si>
    <t>Ichim, Stefan</t>
  </si>
  <si>
    <t>Ighani, Toraj</t>
  </si>
  <si>
    <t>Imani, Sitarum</t>
  </si>
  <si>
    <t>Imerson, Stepanie</t>
  </si>
  <si>
    <t>Inoi, Yuhei</t>
  </si>
  <si>
    <t>Iqbal, Khuran</t>
  </si>
  <si>
    <t>Iram, Surtaj</t>
  </si>
  <si>
    <t>Isaacson, Makr</t>
  </si>
  <si>
    <t>Colgate University</t>
  </si>
  <si>
    <t>Iyenkar, Anirbda</t>
  </si>
  <si>
    <t>Iyes, Gautam</t>
  </si>
  <si>
    <t>Jablowski, David</t>
  </si>
  <si>
    <t>Jackson, John</t>
  </si>
  <si>
    <t>Jaffer, Murtaza</t>
  </si>
  <si>
    <t>Jain, Anshul</t>
  </si>
  <si>
    <t>Jain, Gaurav</t>
  </si>
  <si>
    <t>Jain, Johnathan</t>
  </si>
  <si>
    <t>Jaipuna, Shreevats</t>
  </si>
  <si>
    <t>Jakka, Prasad</t>
  </si>
  <si>
    <t>James, William</t>
  </si>
  <si>
    <t>Jameson, Allen</t>
  </si>
  <si>
    <t>Jelesijevic, Tomiskav</t>
  </si>
  <si>
    <t>Jemmot, Justin</t>
  </si>
  <si>
    <t>Jenkins, Kibbie</t>
  </si>
  <si>
    <t>Jerath, Nive</t>
  </si>
  <si>
    <t>Ji, James</t>
  </si>
  <si>
    <t>Jia, S.</t>
  </si>
  <si>
    <t>Jia, Steve</t>
  </si>
  <si>
    <t>Jian, Wu</t>
  </si>
  <si>
    <t>Jiang, Han</t>
  </si>
  <si>
    <t>Jiang, YuanHang</t>
  </si>
  <si>
    <t>Jianjie Zhou, Jason</t>
  </si>
  <si>
    <t>Jianq, Wenxi</t>
  </si>
  <si>
    <t>Jibrle, Ryan</t>
  </si>
  <si>
    <t>Jie, Huang</t>
  </si>
  <si>
    <t>Jin, Yin</t>
  </si>
  <si>
    <t>Jivani, Rizwan</t>
  </si>
  <si>
    <t>Jiwarayka, Ayush</t>
  </si>
  <si>
    <t>Joen, Simon (Seon-taek)</t>
  </si>
  <si>
    <t>Johnson, Kayiita</t>
  </si>
  <si>
    <t>Johnston, Issac</t>
  </si>
  <si>
    <t>Jones, Luke</t>
  </si>
  <si>
    <t>Jones, Mark</t>
  </si>
  <si>
    <t>Jones, Sam</t>
  </si>
  <si>
    <t>Joseph, Alex</t>
  </si>
  <si>
    <t>Bluefield College</t>
  </si>
  <si>
    <t>Judge, Josh</t>
  </si>
  <si>
    <t>Jung, Laura</t>
  </si>
  <si>
    <t>K, Rohit</t>
  </si>
  <si>
    <t>Kadavi, Jeffrey</t>
  </si>
  <si>
    <t>Kadokura, Alex</t>
  </si>
  <si>
    <t>Kaduthur, Srinivasan</t>
  </si>
  <si>
    <t>Kagan, Alex</t>
  </si>
  <si>
    <t>Kagucia, Wangeci</t>
  </si>
  <si>
    <t>Kajaria, Akhilesh</t>
  </si>
  <si>
    <t>Kalkman, Schuyler</t>
  </si>
  <si>
    <t>Kalkstein, Noah</t>
  </si>
  <si>
    <t>Kalra, Ankush</t>
  </si>
  <si>
    <t>Kalra, Dil</t>
  </si>
  <si>
    <t>Kalra, Sona</t>
  </si>
  <si>
    <t>Kamburov, Dobromir</t>
  </si>
  <si>
    <t>Kamman, Steve</t>
  </si>
  <si>
    <t>Kan Tang, Hok</t>
  </si>
  <si>
    <t>Kan, Heng-Chuan</t>
  </si>
  <si>
    <t>Kang, Enoch (CA)</t>
  </si>
  <si>
    <t>Kansagra, Sujay</t>
  </si>
  <si>
    <t>Kanteti, Siriam</t>
  </si>
  <si>
    <t>Kanuga, Krishna</t>
  </si>
  <si>
    <t>Kao, Harry</t>
  </si>
  <si>
    <t>Kao, Hung-Chih</t>
  </si>
  <si>
    <t>Kapadia, Peshaan</t>
  </si>
  <si>
    <t>Kapoor, Amesh</t>
  </si>
  <si>
    <t>Karczmarek, Michal</t>
  </si>
  <si>
    <t>Karimipour, Medhi</t>
  </si>
  <si>
    <t>Karsucki, Peter</t>
  </si>
  <si>
    <t>Kasdorf, Mark</t>
  </si>
  <si>
    <t>Kay, Kendrick</t>
  </si>
  <si>
    <t>Kazalicki, Majita</t>
  </si>
  <si>
    <t>Kazantsev, Mikhail</t>
  </si>
  <si>
    <t>Kempe, David</t>
  </si>
  <si>
    <t>Kessler, Daniel</t>
  </si>
  <si>
    <t>Khan, Amed</t>
  </si>
  <si>
    <t>Khan, Faisal</t>
  </si>
  <si>
    <t>khan, Usman</t>
  </si>
  <si>
    <t>Khare, Apoorva</t>
  </si>
  <si>
    <t>Khimani, Husein</t>
  </si>
  <si>
    <t>Khurana, Pranay</t>
  </si>
  <si>
    <t>Kim, Don</t>
  </si>
  <si>
    <t>Kim, Songki</t>
  </si>
  <si>
    <t>Kim, Sungill</t>
  </si>
  <si>
    <t>Kirill, A</t>
  </si>
  <si>
    <t>Kirk, Chris</t>
  </si>
  <si>
    <t>Klein, Jeff</t>
  </si>
  <si>
    <t>kleinburg, Jeff</t>
  </si>
  <si>
    <t>Kniazeo, Vitali</t>
  </si>
  <si>
    <t>Florida Atlantic University</t>
  </si>
  <si>
    <t>Ko, Lawrence</t>
  </si>
  <si>
    <t>Koch, Dan</t>
  </si>
  <si>
    <t>Koch, Thor</t>
  </si>
  <si>
    <t>Kocher, Brandon</t>
  </si>
  <si>
    <t>Kohler, Julia</t>
  </si>
  <si>
    <t>University of Missouri at Kansas City</t>
  </si>
  <si>
    <t>Kokkinomagonlos, Elena</t>
  </si>
  <si>
    <t>kokoska, mark</t>
  </si>
  <si>
    <t>Kokotov, Dan</t>
  </si>
  <si>
    <t>East Carolina University</t>
  </si>
  <si>
    <t>Kothari, Drew</t>
  </si>
  <si>
    <t>Krahmann, Gerd</t>
  </si>
  <si>
    <t>Krause, Jonathan</t>
  </si>
  <si>
    <t>Saginaw Valley State University</t>
  </si>
  <si>
    <t>Krech, Aaron</t>
  </si>
  <si>
    <t>Kresters, Marcus</t>
  </si>
  <si>
    <t>Krichver, Igor</t>
  </si>
  <si>
    <t>Krishman, Rajkumar</t>
  </si>
  <si>
    <t>Kroner, Constantin</t>
  </si>
  <si>
    <t>Kruavac, Armin</t>
  </si>
  <si>
    <t>Ku, Pauline</t>
  </si>
  <si>
    <t>Kuhlku, Kyle</t>
  </si>
  <si>
    <t>Kumai, Siddhartha</t>
  </si>
  <si>
    <t>Kumar, P.R.</t>
  </si>
  <si>
    <t>KunjaraNaAyudhya, Indhava</t>
  </si>
  <si>
    <t>Kuo, Eric</t>
  </si>
  <si>
    <t>Kuo, Yu Chieh (Josh)</t>
  </si>
  <si>
    <t>Kuo, Yu-Ling</t>
  </si>
  <si>
    <t>Kuppursjah, Omprakash</t>
  </si>
  <si>
    <t>Kurdmongkoltham, Petch</t>
  </si>
  <si>
    <t>Kwan, Tim</t>
  </si>
  <si>
    <t>Kwok, Kenny</t>
  </si>
  <si>
    <t>Kyi, Lawrence</t>
  </si>
  <si>
    <t>Kyoungah, Ro</t>
  </si>
  <si>
    <t>LaBarre, Brian</t>
  </si>
  <si>
    <t>Lachambre, Martine</t>
  </si>
  <si>
    <t>Lackaff, Thomas</t>
  </si>
  <si>
    <t>Western Washington University</t>
  </si>
  <si>
    <t>Lahr, Garrett</t>
  </si>
  <si>
    <t>Lai, Ching-yu</t>
  </si>
  <si>
    <t>Lajos, Szoboszlai</t>
  </si>
  <si>
    <t>Lam, Charlie</t>
  </si>
  <si>
    <t>Lam, Dennis</t>
  </si>
  <si>
    <t>Lam, Jerome</t>
  </si>
  <si>
    <t>Lam, Jonathon</t>
  </si>
  <si>
    <t>lam, Richard</t>
  </si>
  <si>
    <t>Lam, Thomas</t>
  </si>
  <si>
    <t>Lam, Wing</t>
  </si>
  <si>
    <t>LaMonica, Jeremy</t>
  </si>
  <si>
    <t>Lan, Tsai</t>
  </si>
  <si>
    <t>Lan, Zinning</t>
  </si>
  <si>
    <t>Lantz, Eric</t>
  </si>
  <si>
    <t>Last Name, Yongxiang</t>
  </si>
  <si>
    <t>Last, First</t>
  </si>
  <si>
    <t>Georgetown University</t>
  </si>
  <si>
    <t>Lastname, Ashishi</t>
  </si>
  <si>
    <t>Lau, Martin</t>
  </si>
  <si>
    <t>Lau, Terrence</t>
  </si>
  <si>
    <t>Lau, Wilson</t>
  </si>
  <si>
    <t>Lauten, Jacob</t>
  </si>
  <si>
    <t>Lazarus, Michael</t>
  </si>
  <si>
    <t>Le, Dinh</t>
  </si>
  <si>
    <t>Le, Dung</t>
  </si>
  <si>
    <t>Le, Minh</t>
  </si>
  <si>
    <t>Le, Sang</t>
  </si>
  <si>
    <t>Le, Weijie</t>
  </si>
  <si>
    <t>Lee, Charlie</t>
  </si>
  <si>
    <t>Lee, Diane</t>
  </si>
  <si>
    <t>Lee, Dorne</t>
  </si>
  <si>
    <t>Lee, Ed</t>
  </si>
  <si>
    <t>Lee, Eu Han</t>
  </si>
  <si>
    <t>Lee, Frederick</t>
  </si>
  <si>
    <t>Lee, Gary</t>
  </si>
  <si>
    <t>Lee, Jackie</t>
  </si>
  <si>
    <t>Lee, Jennifer</t>
  </si>
  <si>
    <t>Lee, John</t>
  </si>
  <si>
    <t>Lee, Jon</t>
  </si>
  <si>
    <t>Lee, Kit Yee</t>
  </si>
  <si>
    <t>lee, mee</t>
  </si>
  <si>
    <t>Lee, Mike</t>
  </si>
  <si>
    <t>Lee, Philip</t>
  </si>
  <si>
    <t>Lee, Richard</t>
  </si>
  <si>
    <t>Lee, Sean (SJSU)</t>
  </si>
  <si>
    <t>Lee, SeWeon</t>
  </si>
  <si>
    <t>Lee, Terrence</t>
  </si>
  <si>
    <t>Lee, Thomas</t>
  </si>
  <si>
    <t>Lee, Vinson</t>
  </si>
  <si>
    <t>Lee, Vivian</t>
  </si>
  <si>
    <t>Lee, William</t>
  </si>
  <si>
    <t>Lee, Yin jin</t>
  </si>
  <si>
    <t>Lehman, Corey</t>
  </si>
  <si>
    <t>Lehouillier, Jeff</t>
  </si>
  <si>
    <t>Lem, Jerome</t>
  </si>
  <si>
    <t>Humboldt State University</t>
  </si>
  <si>
    <t>Leng, Jie</t>
  </si>
  <si>
    <t>Leomeng, Victor</t>
  </si>
  <si>
    <t>Leonard, Brooks</t>
  </si>
  <si>
    <t>Leonard, Kayode</t>
  </si>
  <si>
    <t>Leonard, Ronald</t>
  </si>
  <si>
    <t>Leong, Candy</t>
  </si>
  <si>
    <t>Levinson, Howard</t>
  </si>
  <si>
    <t>Lew, Brian</t>
  </si>
  <si>
    <t>Lewandowski, Dan</t>
  </si>
  <si>
    <t>Li, Amerson</t>
  </si>
  <si>
    <t>Li, George</t>
  </si>
  <si>
    <t>Li, Haiqing</t>
  </si>
  <si>
    <t>Li, Jackson</t>
  </si>
  <si>
    <t>University of Louisville</t>
  </si>
  <si>
    <t>Li, Jian</t>
  </si>
  <si>
    <t>Li, Lei</t>
  </si>
  <si>
    <t>Li, Mee</t>
  </si>
  <si>
    <t>Li, Meihua</t>
  </si>
  <si>
    <t>Li, Min (OH)</t>
  </si>
  <si>
    <t>Li, Paul</t>
  </si>
  <si>
    <t>Li, Qi</t>
  </si>
  <si>
    <t>Li, Yong</t>
  </si>
  <si>
    <t>Li, Yueyang (Alice)</t>
  </si>
  <si>
    <t>Li, Zhong</t>
  </si>
  <si>
    <t>Li, Zhuanjie</t>
  </si>
  <si>
    <t>lian liu, Fu</t>
  </si>
  <si>
    <t>Lian, Zihong</t>
  </si>
  <si>
    <t>Liang, Alex</t>
  </si>
  <si>
    <t>Liang, Alice</t>
  </si>
  <si>
    <t>Liang, Nianfeng</t>
  </si>
  <si>
    <t>Liang, Zhi-Pei</t>
  </si>
  <si>
    <t>Liao, Christine</t>
  </si>
  <si>
    <t>Libin, Leonid</t>
  </si>
  <si>
    <t>Lin, Andre</t>
  </si>
  <si>
    <t>Lin, CC</t>
  </si>
  <si>
    <t>Lin, Elanor</t>
  </si>
  <si>
    <t>Lin, Yi-Ling</t>
  </si>
  <si>
    <t>Lindsey-van der Puije, Peter</t>
  </si>
  <si>
    <t>Lippolis, Dom</t>
  </si>
  <si>
    <t>Listkeiwisk, Patrick</t>
  </si>
  <si>
    <t>Liu, Andrew</t>
  </si>
  <si>
    <t>Liu, Cong</t>
  </si>
  <si>
    <t>Liu, Dong</t>
  </si>
  <si>
    <t>Liu, Feng</t>
  </si>
  <si>
    <t>Liu, Habin</t>
  </si>
  <si>
    <t>Liu, Hauqian</t>
  </si>
  <si>
    <t>Liu, Hsuan</t>
  </si>
  <si>
    <t>Liu, Jiake</t>
  </si>
  <si>
    <t>Liu, Larry</t>
  </si>
  <si>
    <t>Liu, Li</t>
  </si>
  <si>
    <t>Liu, Qiuying</t>
  </si>
  <si>
    <t>Liu, Shaw</t>
  </si>
  <si>
    <t>Liu, Shih Yuan</t>
  </si>
  <si>
    <t>Liu, Tiecheng</t>
  </si>
  <si>
    <t>Liu, Xiang</t>
  </si>
  <si>
    <t>Liu, Xiao</t>
  </si>
  <si>
    <t>Liu, Xin</t>
  </si>
  <si>
    <t>Liu, Yue-ling</t>
  </si>
  <si>
    <t>Livoti, Mike</t>
  </si>
  <si>
    <t>Llamo, Joseph</t>
  </si>
  <si>
    <t>Lo, Al</t>
  </si>
  <si>
    <t>Loeterman, Dan</t>
  </si>
  <si>
    <t>Lok, Terrance</t>
  </si>
  <si>
    <t>Rider University</t>
  </si>
  <si>
    <t>Long, Jinjiang</t>
  </si>
  <si>
    <t>Long, Ma</t>
  </si>
  <si>
    <t>Loong, John</t>
  </si>
  <si>
    <t>Lorilla, Lorenzo</t>
  </si>
  <si>
    <t>Loudisi, Thomas</t>
  </si>
  <si>
    <t>Low, Ted</t>
  </si>
  <si>
    <t>Lu, Ai-chi</t>
  </si>
  <si>
    <t>Lu, Michael</t>
  </si>
  <si>
    <t>Lu, Yao Wei</t>
  </si>
  <si>
    <t>Lubinksi, Ross</t>
  </si>
  <si>
    <t>Lue LIN, Stefan</t>
  </si>
  <si>
    <t>Luisana, Brian</t>
  </si>
  <si>
    <t>Lukanov, Boris</t>
  </si>
  <si>
    <t>Luna, Michael</t>
  </si>
  <si>
    <t>Lung Tsui, Ka</t>
  </si>
  <si>
    <t>Luo, (Robert) Xin</t>
  </si>
  <si>
    <t>Luo, Mingkuang</t>
  </si>
  <si>
    <t>Luu, Haikai</t>
  </si>
  <si>
    <t>Southern Polytechnic State University</t>
  </si>
  <si>
    <t>Lynch, Orlagh</t>
  </si>
  <si>
    <t>m, Lukas</t>
  </si>
  <si>
    <t>M, Matthew</t>
  </si>
  <si>
    <t>Maanaki, Karim</t>
  </si>
  <si>
    <t>Mac, Ryan</t>
  </si>
  <si>
    <t>Maccani, Matt</t>
  </si>
  <si>
    <t>Mackenzie, David</t>
  </si>
  <si>
    <t>MacLeod, John</t>
  </si>
  <si>
    <t>Macneill, Adam</t>
  </si>
  <si>
    <t>Madan, Tilak</t>
  </si>
  <si>
    <t>Madhok, Kartik</t>
  </si>
  <si>
    <t>Maekaroon, Suchada</t>
  </si>
  <si>
    <t>Maghsoodloo, Saeed</t>
  </si>
  <si>
    <t>Mah, Zhao</t>
  </si>
  <si>
    <t>Mah, Zhao Feng</t>
  </si>
  <si>
    <t>Mahaney, Matt</t>
  </si>
  <si>
    <t>Mainak, M.</t>
  </si>
  <si>
    <t>Maity, Abhislek</t>
  </si>
  <si>
    <t>Malladi, Seshi</t>
  </si>
  <si>
    <t>Mallampalli, Hemont</t>
  </si>
  <si>
    <t>Man, Kal</t>
  </si>
  <si>
    <t>Mandslien, Eric</t>
  </si>
  <si>
    <t>Mangalapalli, Karteek</t>
  </si>
  <si>
    <t>Mao, Yuqi</t>
  </si>
  <si>
    <t>Mar, Phillip</t>
  </si>
  <si>
    <t>Mareliao, J.P.</t>
  </si>
  <si>
    <t>Marks, Andrew</t>
  </si>
  <si>
    <t>Marsidi, David</t>
  </si>
  <si>
    <t>Marston, Jeff</t>
  </si>
  <si>
    <t>Martin, Justis</t>
  </si>
  <si>
    <t>Martinez, Dachel</t>
  </si>
  <si>
    <t>Martino, Viry</t>
  </si>
  <si>
    <t>Maschke, Nancy</t>
  </si>
  <si>
    <t>Massler, Jeremy</t>
  </si>
  <si>
    <t>Massoudi, Nahal</t>
  </si>
  <si>
    <t>Masur, Ken</t>
  </si>
  <si>
    <t>Matecic, Mirela</t>
  </si>
  <si>
    <t>Mathew, Roshini</t>
  </si>
  <si>
    <t>Matsumoto, Hironori</t>
  </si>
  <si>
    <t>Matthew, Jacob</t>
  </si>
  <si>
    <t>Matthews, Zack</t>
  </si>
  <si>
    <t>Tallahassee Community College</t>
  </si>
  <si>
    <t>Maynard, Asleigh</t>
  </si>
  <si>
    <t>Mbelu, Olisa</t>
  </si>
  <si>
    <t>McAdamn, Dennis</t>
  </si>
  <si>
    <t>McCloskey, Kyle</t>
  </si>
  <si>
    <t>McConnel, Victor</t>
  </si>
  <si>
    <t>McDowell, Josh</t>
  </si>
  <si>
    <t>McFadden, TOm</t>
  </si>
  <si>
    <t>McGuire, Ethan</t>
  </si>
  <si>
    <t>McMullen, Josh</t>
  </si>
  <si>
    <t>McNish, Robert</t>
  </si>
  <si>
    <t>Mehta, Firoze</t>
  </si>
  <si>
    <t>Meier, Mike</t>
  </si>
  <si>
    <t>Meirdiros, Jimmy</t>
  </si>
  <si>
    <t>Mekuria, Maaza</t>
  </si>
  <si>
    <t>Mekuria, Mazza</t>
  </si>
  <si>
    <t>Menon, John</t>
  </si>
  <si>
    <t>Menon, Vivek</t>
  </si>
  <si>
    <t>St. Mary's College</t>
  </si>
  <si>
    <t>Merritt, Bryce</t>
  </si>
  <si>
    <t>Michael-Ogbe, Ovie</t>
  </si>
  <si>
    <t>Miller, Aaron</t>
  </si>
  <si>
    <t>Mills, Kevin</t>
  </si>
  <si>
    <t>Miloslavov, Svetlomir</t>
  </si>
  <si>
    <t>Min OO, Zaw</t>
  </si>
  <si>
    <t>Mingyin, Yang</t>
  </si>
  <si>
    <t>Mirchen, Milen</t>
  </si>
  <si>
    <t>MissingName, Hassan</t>
  </si>
  <si>
    <t>Mistry, Pranov</t>
  </si>
  <si>
    <t>Mobley, Bill</t>
  </si>
  <si>
    <t>Model, Jon</t>
  </si>
  <si>
    <t>Mohamed, Amal</t>
  </si>
  <si>
    <t>Mokal, Justin</t>
  </si>
  <si>
    <t>Momer, Zack</t>
  </si>
  <si>
    <t>Moore, Francis</t>
  </si>
  <si>
    <t>Moore, Zachary</t>
  </si>
  <si>
    <t>Moravec, Matthew</t>
  </si>
  <si>
    <t>Moredo, Kevin</t>
  </si>
  <si>
    <t>Morikis, Vasilios</t>
  </si>
  <si>
    <t>Morrison, Vanessa</t>
  </si>
  <si>
    <t>Moseley, Kibibi</t>
  </si>
  <si>
    <t>University of North Carolina at Wilmington</t>
  </si>
  <si>
    <t>Mozur, Joe</t>
  </si>
  <si>
    <t>mudrock, Jeff</t>
  </si>
  <si>
    <t>Mui, LC</t>
  </si>
  <si>
    <t>Mukherjee, Koustav</t>
  </si>
  <si>
    <t>Mullings, Phil</t>
  </si>
  <si>
    <t>Murkerjee, Radha</t>
  </si>
  <si>
    <t>Murphy, Pat</t>
  </si>
  <si>
    <t>Muthigi, Aneeth</t>
  </si>
  <si>
    <t>Muzaale, Philip</t>
  </si>
  <si>
    <t>Naing, Htet</t>
  </si>
  <si>
    <t>Nair, Su-Ann</t>
  </si>
  <si>
    <t>Nang, Romith</t>
  </si>
  <si>
    <t>Nasir, Saleh</t>
  </si>
  <si>
    <t>Natarajari, Karthik</t>
  </si>
  <si>
    <t>Nawaz, Sarfraz</t>
  </si>
  <si>
    <t>Nemecek, Britt</t>
  </si>
  <si>
    <t>Nethikunta, Santosh</t>
  </si>
  <si>
    <t>Neufield, Jason</t>
  </si>
  <si>
    <t>Neusch, Jared</t>
  </si>
  <si>
    <t>Newbell, Simeon</t>
  </si>
  <si>
    <t>Newton, Kaye-Anne</t>
  </si>
  <si>
    <t>Newton, William</t>
  </si>
  <si>
    <t>Ng, Aaron</t>
  </si>
  <si>
    <t>Ng, Aik-Ping</t>
  </si>
  <si>
    <t>Ng, Geoffrey</t>
  </si>
  <si>
    <t>Ng, Jonathon</t>
  </si>
  <si>
    <t>Nguyen, Andrew</t>
  </si>
  <si>
    <t>Nguyen, Anh</t>
  </si>
  <si>
    <t>Nguyen, Anthony</t>
  </si>
  <si>
    <t>Nguyen, Diep</t>
  </si>
  <si>
    <t>Nguyen, Francis</t>
  </si>
  <si>
    <t>Nguyen, John</t>
  </si>
  <si>
    <t>Nguyen, Michelle</t>
  </si>
  <si>
    <t>Nguyen, Minh-Chau</t>
  </si>
  <si>
    <t>Nguyen, Minh-Thanh</t>
  </si>
  <si>
    <t>Nguyen, Thao</t>
  </si>
  <si>
    <t>Nguyen, Tom</t>
  </si>
  <si>
    <t>Nguyen, Yuong</t>
  </si>
  <si>
    <t>Nickles, Matt</t>
  </si>
  <si>
    <t>No last name, Greg</t>
  </si>
  <si>
    <t>Noeh, Erik</t>
  </si>
  <si>
    <t>Noname, Mariusz</t>
  </si>
  <si>
    <t>Norman, John</t>
  </si>
  <si>
    <t>Norris, David</t>
  </si>
  <si>
    <t>Nowicki, Michaul</t>
  </si>
  <si>
    <t>Nwaerema, Ugochukwu B.</t>
  </si>
  <si>
    <t>Nyguen, My</t>
  </si>
  <si>
    <t>O Brien, Finbar</t>
  </si>
  <si>
    <t>O Loughlin, Morgan</t>
  </si>
  <si>
    <t>O Neill, Kevin</t>
  </si>
  <si>
    <t>Obeng-Ampofo, Fred</t>
  </si>
  <si>
    <t>OCosta, Saneer</t>
  </si>
  <si>
    <t>ODonnell, Jon</t>
  </si>
  <si>
    <t>Oejten, Lucia</t>
  </si>
  <si>
    <t>Oempsey, Keith</t>
  </si>
  <si>
    <t>Olson, Mark</t>
  </si>
  <si>
    <t>Olubuyide, Muyiwa</t>
  </si>
  <si>
    <t>Olugbile, Michael</t>
  </si>
  <si>
    <t>Omar Idwbi, Hazem</t>
  </si>
  <si>
    <t>ONeill, Sean</t>
  </si>
  <si>
    <t>Ong, Brain</t>
  </si>
  <si>
    <t>Ooi, Harch</t>
  </si>
  <si>
    <t>Orozso, Juan</t>
  </si>
  <si>
    <t>Ortan, Tim</t>
  </si>
  <si>
    <t>Oswal, Patlik</t>
  </si>
  <si>
    <t>Ou, Yangada</t>
  </si>
  <si>
    <t>Ou, Zheqing</t>
  </si>
  <si>
    <t>Oustecky, Steven</t>
  </si>
  <si>
    <t>Oustekcy, Steven</t>
  </si>
  <si>
    <t>Owens, Jeff</t>
  </si>
  <si>
    <t>P, Ravi</t>
  </si>
  <si>
    <t>P., Danny</t>
  </si>
  <si>
    <t>Utah Valley University</t>
  </si>
  <si>
    <t>Pahilwani, Vijay</t>
  </si>
  <si>
    <t>Pak, Michael</t>
  </si>
  <si>
    <t>Palmer, Daniela</t>
  </si>
  <si>
    <t>Pandit, Rohan</t>
  </si>
  <si>
    <t>Paparella, Joesph</t>
  </si>
  <si>
    <t>Parajuli, Shankar</t>
  </si>
  <si>
    <t>Parandekar, Priya</t>
  </si>
  <si>
    <t>Parikh, Neil</t>
  </si>
  <si>
    <t>Park, Hyung-Kun</t>
  </si>
  <si>
    <t>Parker, Araon</t>
  </si>
  <si>
    <t>Parris, Sean</t>
  </si>
  <si>
    <t>Patel, Neel</t>
  </si>
  <si>
    <t>Patel, Nikhil</t>
  </si>
  <si>
    <t>Patel, Pretesh</t>
  </si>
  <si>
    <t>Patel, Saajan</t>
  </si>
  <si>
    <t>Pattermann, Cyrus</t>
  </si>
  <si>
    <t>Paxton, Ryan</t>
  </si>
  <si>
    <t>Peel, Michael</t>
  </si>
  <si>
    <t>Peng, Murray</t>
  </si>
  <si>
    <t>Peng, Shanshan</t>
  </si>
  <si>
    <t>Peng, Yi</t>
  </si>
  <si>
    <t>Perez, Alex</t>
  </si>
  <si>
    <t>Pestronk, Jefferson</t>
  </si>
  <si>
    <t>Petty, Tyrone</t>
  </si>
  <si>
    <t>Pevlor, Matthew</t>
  </si>
  <si>
    <t>Peyyeti, Sreekanth</t>
  </si>
  <si>
    <t>Pham, Ben</t>
  </si>
  <si>
    <t>Pham, Chris</t>
  </si>
  <si>
    <t>Pham, Cuong</t>
  </si>
  <si>
    <t>Pham, Dong-Anh</t>
  </si>
  <si>
    <t>Phipps, Sam</t>
  </si>
  <si>
    <t>Pho, Kevin</t>
  </si>
  <si>
    <t>Phung, Tienanh</t>
  </si>
  <si>
    <t>Pilyugin, Sergei</t>
  </si>
  <si>
    <t>Pini, Johnathen</t>
  </si>
  <si>
    <t>Plaisted, Tom</t>
  </si>
  <si>
    <t>Player, Missing</t>
  </si>
  <si>
    <t>PLayer, Missing</t>
  </si>
  <si>
    <t>player, missing</t>
  </si>
  <si>
    <t>PLAYER, MISSING</t>
  </si>
  <si>
    <t>Pletcher, Ben</t>
  </si>
  <si>
    <t>Podder, Krish</t>
  </si>
  <si>
    <t>Polan, Brad</t>
  </si>
  <si>
    <t>Poldberg, Jon</t>
  </si>
  <si>
    <t>Poluse, Annie</t>
  </si>
  <si>
    <t>Ponzak, Brian</t>
  </si>
  <si>
    <t>Porter, Mason</t>
  </si>
  <si>
    <t>Pouchanski, Sasha</t>
  </si>
  <si>
    <t>Prantik, A</t>
  </si>
  <si>
    <t>Prasad, Vikesh</t>
  </si>
  <si>
    <t>Prater, Marty</t>
  </si>
  <si>
    <t>Price, Colles</t>
  </si>
  <si>
    <t>Prinsloo, Hardus</t>
  </si>
  <si>
    <t>Prutthisathaporn, Manoje</t>
  </si>
  <si>
    <t>Pulavarti, Vikas</t>
  </si>
  <si>
    <t>Purcell, Kingsley</t>
  </si>
  <si>
    <t>Puzyvev, Evgeniy</t>
  </si>
  <si>
    <t>Pyajt, Anna</t>
  </si>
  <si>
    <t>Qian, Guo Chen</t>
  </si>
  <si>
    <t>Qian, Yue-Hong</t>
  </si>
  <si>
    <t>Qie, Xiaohu</t>
  </si>
  <si>
    <t>Qing, Yulan</t>
  </si>
  <si>
    <t>Qiu, Xuejun</t>
  </si>
  <si>
    <t>Quayyum, Saad</t>
  </si>
  <si>
    <t>Que, Jamie</t>
  </si>
  <si>
    <t>Quiala, Evereth</t>
  </si>
  <si>
    <t>Radu, Luliana</t>
  </si>
  <si>
    <t>Rai Rai, Mani</t>
  </si>
  <si>
    <t>Rai, Krishmin</t>
  </si>
  <si>
    <t>Rai, Tage</t>
  </si>
  <si>
    <t>Rajan, Vaibhav</t>
  </si>
  <si>
    <t>Rajkarnikar, shrijan</t>
  </si>
  <si>
    <t>Raju, Balasundar</t>
  </si>
  <si>
    <t>Raldow, Ann</t>
  </si>
  <si>
    <t>Ramakrishnan, (Tiger) Narasimhan</t>
  </si>
  <si>
    <t>Ramsey, Dan</t>
  </si>
  <si>
    <t>Ranganath, Venkatesh Prasad</t>
  </si>
  <si>
    <t>Rao, Deepak</t>
  </si>
  <si>
    <t>Rasheez, Reshna</t>
  </si>
  <si>
    <t>Rathod, Nilesh</t>
  </si>
  <si>
    <t>Rebecca, Myers</t>
  </si>
  <si>
    <t>Redden, Julia</t>
  </si>
  <si>
    <t>Reddy, Monoj</t>
  </si>
  <si>
    <t>Reff, Mike</t>
  </si>
  <si>
    <t>Reid, Mike</t>
  </si>
  <si>
    <t>Reisburg, Paul</t>
  </si>
  <si>
    <t>Repetz, Sebastien</t>
  </si>
  <si>
    <t>Reynolds, Josh</t>
  </si>
  <si>
    <t>Riebman, Elliot</t>
  </si>
  <si>
    <t>Rimer, Esther</t>
  </si>
  <si>
    <t>Rivera, Yamil</t>
  </si>
  <si>
    <t>Roberts, Rusell</t>
  </si>
  <si>
    <t>Robinson, Ryan</t>
  </si>
  <si>
    <t>Roch, Grant</t>
  </si>
  <si>
    <t>Rodrigues, Gustauo</t>
  </si>
  <si>
    <t>Rodriques, Mike</t>
  </si>
  <si>
    <t>Rogers, Dan James</t>
  </si>
  <si>
    <t>Romanenko, Alexander</t>
  </si>
  <si>
    <t>Romanenko, Olexander</t>
  </si>
  <si>
    <t>Rondeleny, Chloe</t>
  </si>
  <si>
    <t>Rosset, Leah</t>
  </si>
  <si>
    <t>Rotimi, Seyi</t>
  </si>
  <si>
    <t>Rottwilm, Phillipp</t>
  </si>
  <si>
    <t>Rudesil, David</t>
  </si>
  <si>
    <t>Ruiz, Alfonso</t>
  </si>
  <si>
    <t>Rykvine, Dmitri</t>
  </si>
  <si>
    <t>S, Kwan</t>
  </si>
  <si>
    <t>S., Pat</t>
  </si>
  <si>
    <t>Sachdeva, Kunal</t>
  </si>
  <si>
    <t>Saenz, Edmundo</t>
  </si>
  <si>
    <t>Sakai, Andrew</t>
  </si>
  <si>
    <t>Salisbury, Barrett</t>
  </si>
  <si>
    <t>Samarvi, Shawket</t>
  </si>
  <si>
    <t>Sanders, Charles</t>
  </si>
  <si>
    <t>Sankrithi, Siva</t>
  </si>
  <si>
    <t>Santos, Kelvin</t>
  </si>
  <si>
    <t>Sarad, K.C.</t>
  </si>
  <si>
    <t>Sarmiento, Carlos</t>
  </si>
  <si>
    <t>Saruhan, Rahman</t>
  </si>
  <si>
    <t>Sasaki, Kazahiro</t>
  </si>
  <si>
    <t>Satchithanantham, Sanjayan</t>
  </si>
  <si>
    <t>Savaliev, Peter</t>
  </si>
  <si>
    <t>Savitsky, Stephen</t>
  </si>
  <si>
    <t>Sawin, Phillip</t>
  </si>
  <si>
    <t>Sawner, TJ</t>
  </si>
  <si>
    <t>Sawyer, Corbin</t>
  </si>
  <si>
    <t>Sawyer, Matt</t>
  </si>
  <si>
    <t>Sayeed, Mezzan</t>
  </si>
  <si>
    <t>Schebesta, Steffan</t>
  </si>
  <si>
    <t>Scheman, Greg</t>
  </si>
  <si>
    <t>Schlandt, Jeffrey</t>
  </si>
  <si>
    <t>Schleppenback, Nick</t>
  </si>
  <si>
    <t>Schnifmann, Oliver</t>
  </si>
  <si>
    <t>Schoenberg, Stacy</t>
  </si>
  <si>
    <t>Schoene, Jesus</t>
  </si>
  <si>
    <t>Schwartz, Robert</t>
  </si>
  <si>
    <t>Schwelger, Phillip</t>
  </si>
  <si>
    <t>Scott, P.</t>
  </si>
  <si>
    <t>Scott, Randolph</t>
  </si>
  <si>
    <t>Sedgewick, Dan</t>
  </si>
  <si>
    <t>Segupta, Jet</t>
  </si>
  <si>
    <t>Seignorel, Paul</t>
  </si>
  <si>
    <t>Senekerimyan, Vahan</t>
  </si>
  <si>
    <t>Sengupta, Shubhashish</t>
  </si>
  <si>
    <t>Sermer, David</t>
  </si>
  <si>
    <t>Setton, Jeremy</t>
  </si>
  <si>
    <t>Setty, Kishore</t>
  </si>
  <si>
    <t>Shade, Tomas</t>
  </si>
  <si>
    <t>Shah, Parijat</t>
  </si>
  <si>
    <t>Shao, FangZhi</t>
  </si>
  <si>
    <t>Shao, Michael</t>
  </si>
  <si>
    <t>Shapiro, Noah</t>
  </si>
  <si>
    <t>Sharda, Rohid</t>
  </si>
  <si>
    <t>Shaw, Jeph</t>
  </si>
  <si>
    <t>Shen, Andrew</t>
  </si>
  <si>
    <t>Shenouda, Michael</t>
  </si>
  <si>
    <t>Shepherd, Brian</t>
  </si>
  <si>
    <t>Sherman, A.</t>
  </si>
  <si>
    <t>Sherman, Yan</t>
  </si>
  <si>
    <t>Shih, Chih</t>
  </si>
  <si>
    <t>Shimansky, Daniel</t>
  </si>
  <si>
    <t>Shin, Heei-Beom</t>
  </si>
  <si>
    <t>Shin, Jin-Kyu</t>
  </si>
  <si>
    <t>Shodhan, Shashin</t>
  </si>
  <si>
    <t>Shonefeld, Yoni</t>
  </si>
  <si>
    <t>Shu, Hubert</t>
  </si>
  <si>
    <t>Shub, Edward</t>
  </si>
  <si>
    <t>Shukla, Jay</t>
  </si>
  <si>
    <t>Shun, Pak</t>
  </si>
  <si>
    <t>Shuster, Eugene</t>
  </si>
  <si>
    <t>Si, Wengusang</t>
  </si>
  <si>
    <t>Silberger, Eric</t>
  </si>
  <si>
    <t>Simon, Matt</t>
  </si>
  <si>
    <t>Singer, Josh</t>
  </si>
  <si>
    <t>Singerman, Dan</t>
  </si>
  <si>
    <t>Siu, Simon</t>
  </si>
  <si>
    <t>Skalli, Youssef</t>
  </si>
  <si>
    <t>Slack, Jackie</t>
  </si>
  <si>
    <t>Slattery, Matt</t>
  </si>
  <si>
    <t>Smith, Anthony</t>
  </si>
  <si>
    <t>Smith, Bryna</t>
  </si>
  <si>
    <t>Smith, El</t>
  </si>
  <si>
    <t>Smithson, Kerby</t>
  </si>
  <si>
    <t>Snavely, John</t>
  </si>
  <si>
    <t>Sng, Zachary</t>
  </si>
  <si>
    <t>Snyder, Mike (MO)</t>
  </si>
  <si>
    <t>So, Simon</t>
  </si>
  <si>
    <t>Solomon, Jake</t>
  </si>
  <si>
    <t>Solomon, Martin</t>
  </si>
  <si>
    <t>Something, Raymond</t>
  </si>
  <si>
    <t>Somu, Srinivas</t>
  </si>
  <si>
    <t>Song, Minghu</t>
  </si>
  <si>
    <t>Song, Xuli</t>
  </si>
  <si>
    <t>Sooknanan, Kurt</t>
  </si>
  <si>
    <t>Speech, Daniel</t>
  </si>
  <si>
    <t>Spencer, A</t>
  </si>
  <si>
    <t>Sporny, Rsamy</t>
  </si>
  <si>
    <t>Srilerteheipanid, Chaiyo</t>
  </si>
  <si>
    <t>Srivastava, Akshad</t>
  </si>
  <si>
    <t>Srivastava, alshat</t>
  </si>
  <si>
    <t>Stallman, Dan</t>
  </si>
  <si>
    <t>Stancil, Kimani</t>
  </si>
  <si>
    <t>Stephen, Arjan</t>
  </si>
  <si>
    <t>Sterling, Benji</t>
  </si>
  <si>
    <t>Stevens, Rick</t>
  </si>
  <si>
    <t>Stiener, Justin</t>
  </si>
  <si>
    <t>Stirbu, Petro</t>
  </si>
  <si>
    <t>Stogner, Duke</t>
  </si>
  <si>
    <t>Stowers, Adam</t>
  </si>
  <si>
    <t>Stowers, Marcel</t>
  </si>
  <si>
    <t>Stutzman, Dutin</t>
  </si>
  <si>
    <t>Su, Jeffery</t>
  </si>
  <si>
    <t>Su, Quanying</t>
  </si>
  <si>
    <t>Suessner, Anna-Kathrin</t>
  </si>
  <si>
    <t>Sullivan, Linse</t>
  </si>
  <si>
    <t>Sumanarat, Sa</t>
  </si>
  <si>
    <t>Summerall, Bradley</t>
  </si>
  <si>
    <t>Summerel, Stephen</t>
  </si>
  <si>
    <t>Summy, Ann</t>
  </si>
  <si>
    <t>Sun, Byron</t>
  </si>
  <si>
    <t>Sun, Cheng-Nan</t>
  </si>
  <si>
    <t>Sun, Qibin</t>
  </si>
  <si>
    <t>Sundberg, Jake</t>
  </si>
  <si>
    <t>Sursack, Teymour</t>
  </si>
  <si>
    <t>Sy, Sunny</t>
  </si>
  <si>
    <t>Szabo-Cammerman, Bogdan</t>
  </si>
  <si>
    <t>Szeto, George</t>
  </si>
  <si>
    <t>Szpackiewics, Marek</t>
  </si>
  <si>
    <t>T, Weishang</t>
  </si>
  <si>
    <t>Ta, Mike</t>
  </si>
  <si>
    <t>Tabachnick, David</t>
  </si>
  <si>
    <t>Tademy, Keith</t>
  </si>
  <si>
    <t>Tahayeri, Anthony</t>
  </si>
  <si>
    <t>Tai, Teyu</t>
  </si>
  <si>
    <t>Tam, Kam Wing</t>
  </si>
  <si>
    <t>Tam, Lick-Kong</t>
  </si>
  <si>
    <t>Tam, Weukai</t>
  </si>
  <si>
    <t>Tan, Baris</t>
  </si>
  <si>
    <t>Tan, Xiaofeng</t>
  </si>
  <si>
    <t>Tang, Dalun</t>
  </si>
  <si>
    <t>Tang, George Chiho</t>
  </si>
  <si>
    <t>Tang, Matt</t>
  </si>
  <si>
    <t>Tang, Yan</t>
  </si>
  <si>
    <t>Tangpong, Charnchai</t>
  </si>
  <si>
    <t>Tanmantiang, Earl</t>
  </si>
  <si>
    <t>Tantillo, Brook</t>
  </si>
  <si>
    <t>Tao, Patrick</t>
  </si>
  <si>
    <t>Tappert, Andrew</t>
  </si>
  <si>
    <t>Targvisti, Samir</t>
  </si>
  <si>
    <t>Tate, Tyler</t>
  </si>
  <si>
    <t>teo, vincent</t>
  </si>
  <si>
    <t>Thai, Bang</t>
  </si>
  <si>
    <t>Thakker, Dipan</t>
  </si>
  <si>
    <t>Thaper, Nitan</t>
  </si>
  <si>
    <t>Thengtrirat, Ekkhaphap</t>
  </si>
  <si>
    <t>Tian, Linwei</t>
  </si>
  <si>
    <t>Time, Lucson</t>
  </si>
  <si>
    <t>Tiruvuri, Srikanth</t>
  </si>
  <si>
    <t>Tolmeson, Autumn</t>
  </si>
  <si>
    <t>Tong, Limin</t>
  </si>
  <si>
    <t>Tonkyn, Eric</t>
  </si>
  <si>
    <t>Torres, Paul</t>
  </si>
  <si>
    <t>Tovar, Andres</t>
  </si>
  <si>
    <t>Tran, Ahn</t>
  </si>
  <si>
    <t>Tran, Dien</t>
  </si>
  <si>
    <t>Tran, Justin</t>
  </si>
  <si>
    <t>Tran, Kevin</t>
  </si>
  <si>
    <t>Tran, Phieu</t>
  </si>
  <si>
    <t>Tran, Shing</t>
  </si>
  <si>
    <t>Tran, Thinh</t>
  </si>
  <si>
    <t>Tran, Thomas</t>
  </si>
  <si>
    <t>Tran, Thuy</t>
  </si>
  <si>
    <t>Tran, Tim</t>
  </si>
  <si>
    <t>Trani, Jeff</t>
  </si>
  <si>
    <t>Tremmel, Ernst</t>
  </si>
  <si>
    <t>Trivedi, Neheet</t>
  </si>
  <si>
    <t>Trivedi, Sachin</t>
  </si>
  <si>
    <t>Truong, Tuan (MN)</t>
  </si>
  <si>
    <t>Tsai, Chung-Ying</t>
  </si>
  <si>
    <t>Tsay, Muju</t>
  </si>
  <si>
    <t>Tseng, Stephen</t>
  </si>
  <si>
    <t>Tsui, Brian</t>
  </si>
  <si>
    <t>Tu, Yupeng</t>
  </si>
  <si>
    <t>Tulpa, Ales</t>
  </si>
  <si>
    <t>Tyre-Karp, Dan</t>
  </si>
  <si>
    <t>Ul Asar, Emad</t>
  </si>
  <si>
    <t>Upadhay, Prashant</t>
  </si>
  <si>
    <t>St. Cloud State</t>
  </si>
  <si>
    <t>Usadi, Benjamin</t>
  </si>
  <si>
    <t>Valero-Elizondo, Luis</t>
  </si>
  <si>
    <t>Van Leeuwen, Tyler</t>
  </si>
  <si>
    <t>Van Ruitbeek, Ben</t>
  </si>
  <si>
    <t>Vance, Nick</t>
  </si>
  <si>
    <t>VandeGriend, Brad</t>
  </si>
  <si>
    <t>VanDenTop, Dale</t>
  </si>
  <si>
    <t>VanEmburgh, Chris</t>
  </si>
  <si>
    <t>Vangala, Raja</t>
  </si>
  <si>
    <t>Veis, Greg</t>
  </si>
  <si>
    <t>Verma, Dhiraj</t>
  </si>
  <si>
    <t>Vermund, Julian</t>
  </si>
  <si>
    <t>Vermuri, Arun</t>
  </si>
  <si>
    <t>Vettes, Brannan</t>
  </si>
  <si>
    <t>ViJay Rao, Kavati Tapan</t>
  </si>
  <si>
    <t>Vikram, Chugh</t>
  </si>
  <si>
    <t>Vikrum, Nik</t>
  </si>
  <si>
    <t>Villagra, David</t>
  </si>
  <si>
    <t>Villegas, Arturo</t>
  </si>
  <si>
    <t>Virgi, Jon</t>
  </si>
  <si>
    <t>Vishwanathan, Siddarth</t>
  </si>
  <si>
    <t>Vogt, Aaron</t>
  </si>
  <si>
    <t>Voie, Chris</t>
  </si>
  <si>
    <t>von Holt, Gerrit</t>
  </si>
  <si>
    <t>Vonkriegstein, Hasko</t>
  </si>
  <si>
    <t>Vora, Yutka</t>
  </si>
  <si>
    <t>Vyas, Ankur</t>
  </si>
  <si>
    <t>W, Gordon</t>
  </si>
  <si>
    <t>W, Paul</t>
  </si>
  <si>
    <t>Wadsell, Mike</t>
  </si>
  <si>
    <t>Wahl, Dan</t>
  </si>
  <si>
    <t>Walambe, Anirudha</t>
  </si>
  <si>
    <t>Wallace, Irby</t>
  </si>
  <si>
    <t>Wang, Aihua</t>
  </si>
  <si>
    <t>Wang, Aiuha</t>
  </si>
  <si>
    <t>Wang, Charles</t>
  </si>
  <si>
    <t>Wang, Chun Yai</t>
  </si>
  <si>
    <t>Wang, Chunyi</t>
  </si>
  <si>
    <t>Wang, David, Jiachen</t>
  </si>
  <si>
    <t>Wang, Guan</t>
  </si>
  <si>
    <t>Wang, Guiyi</t>
  </si>
  <si>
    <t>Wang, Jerry</t>
  </si>
  <si>
    <t>Wang, Jia</t>
  </si>
  <si>
    <t>Wang, Jonathan</t>
  </si>
  <si>
    <t>Wang, Justin</t>
  </si>
  <si>
    <t>Wang, Max</t>
  </si>
  <si>
    <t>Wang, Min-Hui</t>
  </si>
  <si>
    <t>Wang, Mo</t>
  </si>
  <si>
    <t>Wang, Qi</t>
  </si>
  <si>
    <t>Wang, Qianfei</t>
  </si>
  <si>
    <t>Wang, Shanxing</t>
  </si>
  <si>
    <t>Wang, Shougong</t>
  </si>
  <si>
    <t>Wang, Steven</t>
  </si>
  <si>
    <t>Wang, Wei Lanlani</t>
  </si>
  <si>
    <t>Wang, Yida</t>
  </si>
  <si>
    <t>Wang, Yingjie</t>
  </si>
  <si>
    <t>Wang, Yun</t>
  </si>
  <si>
    <t>Wang, Ziging</t>
  </si>
  <si>
    <t>Warner, Sarah</t>
  </si>
  <si>
    <t>Warram, William</t>
  </si>
  <si>
    <t>Watterson, Jerry</t>
  </si>
  <si>
    <t>Webb, Benjamin</t>
  </si>
  <si>
    <t>Webb, Jared</t>
  </si>
  <si>
    <t>weber, yunig</t>
  </si>
  <si>
    <t>Wegerer, Derrick</t>
  </si>
  <si>
    <t>Wei, Fung Kuo</t>
  </si>
  <si>
    <t>Wei, Hongquan</t>
  </si>
  <si>
    <t>Wei, Wilson</t>
  </si>
  <si>
    <t>Weigelt, Andreas</t>
  </si>
  <si>
    <t>Wei-Lin, Min</t>
  </si>
  <si>
    <t>Weiss, Jacob</t>
  </si>
  <si>
    <t>Wellman, Chris</t>
  </si>
  <si>
    <t>Weng, Ruby (Yu-Bie)</t>
  </si>
  <si>
    <t>Weraporasu, Tung</t>
  </si>
  <si>
    <t>Werthamer, Lee</t>
  </si>
  <si>
    <t>West, Rebecca</t>
  </si>
  <si>
    <t>Wetmore, Mike</t>
  </si>
  <si>
    <t>Whitesett, Jeremy</t>
  </si>
  <si>
    <t>Whitney, Michael</t>
  </si>
  <si>
    <t>Wilkin, Garth</t>
  </si>
  <si>
    <t>Wilkinson, TJ</t>
  </si>
  <si>
    <t>Williford, Daron</t>
  </si>
  <si>
    <t>Wilson, Bryan</t>
  </si>
  <si>
    <t>Wilson, Rick</t>
  </si>
  <si>
    <t>Wissner-Gross, Alex</t>
  </si>
  <si>
    <t>Wissner-Gross, Zach</t>
  </si>
  <si>
    <t>Wolf, Mac</t>
  </si>
  <si>
    <t>Wong, Adwin</t>
  </si>
  <si>
    <t>Wong, Alex</t>
  </si>
  <si>
    <t>Wong, Nathalie</t>
  </si>
  <si>
    <t>Wong, Phillip</t>
  </si>
  <si>
    <t>Wong, Yam Ying</t>
  </si>
  <si>
    <t>woo, xavier</t>
  </si>
  <si>
    <t>Woticha, Mohammed</t>
  </si>
  <si>
    <t>Wu, Eric</t>
  </si>
  <si>
    <t>Wu, Henry</t>
  </si>
  <si>
    <t>Wu, Ling-Gang</t>
  </si>
  <si>
    <t>Wu, Lu</t>
  </si>
  <si>
    <t>Wu, Saijun</t>
  </si>
  <si>
    <t>Wu, Samuel</t>
  </si>
  <si>
    <t>Wu, Tan</t>
  </si>
  <si>
    <t>Wu, Yunsong</t>
  </si>
  <si>
    <t>Wyatt, Joshua</t>
  </si>
  <si>
    <t>Xi, Dai</t>
  </si>
  <si>
    <t>Xia, Wei</t>
  </si>
  <si>
    <t>Xiao, Wei</t>
  </si>
  <si>
    <t>Xiao, Yang</t>
  </si>
  <si>
    <t>Xiau Lan, Tsai</t>
  </si>
  <si>
    <t>Xie, Jia</t>
  </si>
  <si>
    <t>Xie, Xiaobo</t>
  </si>
  <si>
    <t>Xin, Suiyi</t>
  </si>
  <si>
    <t>Xiong, Ying</t>
  </si>
  <si>
    <t>Xiongzou, Anqing</t>
  </si>
  <si>
    <t>Xu, Shitao</t>
  </si>
  <si>
    <t>Xu, Weiya</t>
  </si>
  <si>
    <t>Y, Min</t>
  </si>
  <si>
    <t>Y, Rob</t>
  </si>
  <si>
    <t>Ya Tan, Boon</t>
  </si>
  <si>
    <t>Yadgorov, Alex</t>
  </si>
  <si>
    <t>Yamano, Michael</t>
  </si>
  <si>
    <t>Yan, Wei</t>
  </si>
  <si>
    <t>Yan, Yu Yao</t>
  </si>
  <si>
    <t>Yang Charles, Zhaoxuan</t>
  </si>
  <si>
    <t>Yang, Annie</t>
  </si>
  <si>
    <t>Yang, Bo</t>
  </si>
  <si>
    <t>Yang, Chieh Jen</t>
  </si>
  <si>
    <t>Yang, Huan</t>
  </si>
  <si>
    <t>Yang, Lifan</t>
  </si>
  <si>
    <t>Yang, MeiLong (Jack)</t>
  </si>
  <si>
    <t>Yang, Mike</t>
  </si>
  <si>
    <t>Yang, Peter</t>
  </si>
  <si>
    <t>Yang, Scott</t>
  </si>
  <si>
    <t>Yao, Junyi</t>
  </si>
  <si>
    <t>Yao, Michael</t>
  </si>
  <si>
    <t>Yasuoka, Masa</t>
  </si>
  <si>
    <t>Ye, Jinny</t>
  </si>
  <si>
    <t>Yeh, Rodney</t>
  </si>
  <si>
    <t>Yeji, Ajiboye</t>
  </si>
  <si>
    <t>Yen, jeff</t>
  </si>
  <si>
    <t>Yeo, Wenzheng</t>
  </si>
  <si>
    <t>Yeung, Bertrand</t>
  </si>
  <si>
    <t>Yeung, Rita</t>
  </si>
  <si>
    <t>Yeung, Victor</t>
  </si>
  <si>
    <t>Yi Poon, Shou</t>
  </si>
  <si>
    <t>Yim, Sze Kiu</t>
  </si>
  <si>
    <t>Yim, Terrence</t>
  </si>
  <si>
    <t>Yin Tsui, Tsan</t>
  </si>
  <si>
    <t>Yin, Wang</t>
  </si>
  <si>
    <t>Yip, Edward</t>
  </si>
  <si>
    <t>Yip, Henry</t>
  </si>
  <si>
    <t>You, X.</t>
  </si>
  <si>
    <t>Younai, Kevin</t>
  </si>
  <si>
    <t>Younnes, Mohammed</t>
  </si>
  <si>
    <t>Yu, Jixioung</t>
  </si>
  <si>
    <t>Yu, Shun On</t>
  </si>
  <si>
    <t>Yu, Sicong</t>
  </si>
  <si>
    <t>Yu, Siyang</t>
  </si>
  <si>
    <t>Yu, Xiaofang</t>
  </si>
  <si>
    <t>Yu, Zhiyun</t>
  </si>
  <si>
    <t>Yuan, Walter</t>
  </si>
  <si>
    <t>yue, yutao</t>
  </si>
  <si>
    <t>Yuen, Gabe</t>
  </si>
  <si>
    <t>Yuriy, Burago</t>
  </si>
  <si>
    <t>Yusupov, Mekan</t>
  </si>
  <si>
    <t>Yutao, Yutao</t>
  </si>
  <si>
    <t>Zadel., Alexandra</t>
  </si>
  <si>
    <t>Zavala, Jorge</t>
  </si>
  <si>
    <t>Zerak, Ali</t>
  </si>
  <si>
    <t>Zhang, Andy</t>
  </si>
  <si>
    <t>Zhang, Haifeng</t>
  </si>
  <si>
    <t>Zhang, Jessica</t>
  </si>
  <si>
    <t>Zhang, Jiahuang</t>
  </si>
  <si>
    <t>Zhang, John</t>
  </si>
  <si>
    <t>Zhang, Kevin</t>
  </si>
  <si>
    <t>Zhang, Ling</t>
  </si>
  <si>
    <t>Zhang, Martin can</t>
  </si>
  <si>
    <t>Zhang, Mengnan</t>
  </si>
  <si>
    <t>Zhang, Qingxi</t>
  </si>
  <si>
    <t>Zhang, Sean</t>
  </si>
  <si>
    <t>Zhang, Sheng</t>
  </si>
  <si>
    <t>Zhang, WeiWei</t>
  </si>
  <si>
    <t>Zhang, Xiang Qun</t>
  </si>
  <si>
    <t>Zhang, Zack</t>
  </si>
  <si>
    <t>Zhang, Zheshen</t>
  </si>
  <si>
    <t>Zhao, Jianfei</t>
  </si>
  <si>
    <t>Zhao, Jimyi</t>
  </si>
  <si>
    <t>Zhao, Tony</t>
  </si>
  <si>
    <t>Zhao, Xiaodong</t>
  </si>
  <si>
    <t>Zhen, Shen</t>
  </si>
  <si>
    <t>Zheng, Fu</t>
  </si>
  <si>
    <t>Zheng, Ganwen</t>
  </si>
  <si>
    <t>Zheng, Jiaqi</t>
  </si>
  <si>
    <t>Zheng, Yiwei</t>
  </si>
  <si>
    <t>Zheng, Yue</t>
  </si>
  <si>
    <t>Zheung, Shannon</t>
  </si>
  <si>
    <t>Zhizong, Hu</t>
  </si>
  <si>
    <t>Zhong, Katrina</t>
  </si>
  <si>
    <t>Zhou, Xiadong</t>
  </si>
  <si>
    <t>Zhou, Xum</t>
  </si>
  <si>
    <t>Zhou, Ying</t>
  </si>
  <si>
    <t>Zhou, Yinjie</t>
  </si>
  <si>
    <t>Zhou, Zhe</t>
  </si>
  <si>
    <t>Zhu, Shaw</t>
  </si>
  <si>
    <t>Zhu, Shiwei</t>
  </si>
  <si>
    <t>Zhu, Yuqi</t>
  </si>
  <si>
    <t>Zhung, Lia</t>
  </si>
  <si>
    <t>Zorauski, Mike</t>
  </si>
  <si>
    <t>Zundui-Osor, Bilegboatar</t>
  </si>
  <si>
    <t>Brooks (BC), Jeff</t>
  </si>
  <si>
    <t>Brooks (Methodist), Jeff</t>
  </si>
  <si>
    <t>Burkart , Josh</t>
  </si>
  <si>
    <t>Chahal (Tufts), Aman</t>
  </si>
  <si>
    <t>Chahal (W Ontario), Aman</t>
  </si>
  <si>
    <t>Chan (CSU Eastbay), Channing</t>
  </si>
  <si>
    <t>Chan (CSU Fullerton), Channing</t>
  </si>
  <si>
    <t>Chapanond (Columbia), Anurat</t>
  </si>
  <si>
    <t>Chapanond (RPI), Anurat</t>
  </si>
  <si>
    <t>Chen (Emory), Jeff</t>
  </si>
  <si>
    <t>Chen (Northwest Poly), Jeff</t>
  </si>
  <si>
    <t>Chen (Penn State), Lucy</t>
  </si>
  <si>
    <t>Chen (PSU Berks), Lucy</t>
  </si>
  <si>
    <t>Chen (UBC), Sean</t>
  </si>
  <si>
    <t>Chen (UMCP), Sean</t>
  </si>
  <si>
    <t>Cheung (CSU Fullerton), Jessica</t>
  </si>
  <si>
    <t>Cheung (UCSD), Jessica</t>
  </si>
  <si>
    <t>Cheunkar (Penn State), Sarawut</t>
  </si>
  <si>
    <t>Cheunkar (UCLA), Sarawut</t>
  </si>
  <si>
    <t>Chin (FIT), Wayne</t>
  </si>
  <si>
    <t>Combs (Clark Atlanta), Robert</t>
  </si>
  <si>
    <t>Combs (Georgia Tech), Robert</t>
  </si>
  <si>
    <t>Curran, Ming</t>
  </si>
  <si>
    <t>Davies (FIT), Wayne</t>
  </si>
  <si>
    <t>Dever (GWU), Joel</t>
  </si>
  <si>
    <t>Dever (RPI), Joel</t>
  </si>
  <si>
    <t>Fang (GA State), Fiona</t>
  </si>
  <si>
    <t>Fang (Michigan), Andy</t>
  </si>
  <si>
    <t>Fang (RIT), Andy</t>
  </si>
  <si>
    <t>Fang (UGA), Fiona</t>
  </si>
  <si>
    <t>Gao (SUNY SB), Xiang</t>
  </si>
  <si>
    <t>Gao (Virginia Tech), Xiang</t>
  </si>
  <si>
    <t>Greaves (Penn), Giovanni</t>
  </si>
  <si>
    <t>Greaves (UMCP), Giovanni</t>
  </si>
  <si>
    <t>Heath (Columbia), Tim</t>
  </si>
  <si>
    <t>Heath (Michigan), Tim</t>
  </si>
  <si>
    <t>Hollinger (Illinois), Adam</t>
  </si>
  <si>
    <t>Hollinger (Penn State), Adam</t>
  </si>
  <si>
    <t>Hu (UT Austin), Austin</t>
  </si>
  <si>
    <t>Hu (UT Southwestern), Austin</t>
  </si>
  <si>
    <t>Huang (FSU), Michael</t>
  </si>
  <si>
    <t>Huang (Georgia Tech), Michael</t>
  </si>
  <si>
    <t>Jiang (Auburn), Nan</t>
  </si>
  <si>
    <t>Jiang (GA State), Nan</t>
  </si>
  <si>
    <t>Joudaki (Penn), Shahab</t>
  </si>
  <si>
    <t>Joudaki (UCI), Shahab</t>
  </si>
  <si>
    <t>Khadke (RU), Valmik</t>
  </si>
  <si>
    <t>Khadke (Virginia Tech), Valmik</t>
  </si>
  <si>
    <t>Knips, Andrew</t>
  </si>
  <si>
    <t>Lee (UAB), Peter</t>
  </si>
  <si>
    <t>Lee (UCF), Peter</t>
  </si>
  <si>
    <t>Levy , Edward</t>
  </si>
  <si>
    <t>Li (Columbia), Qing</t>
  </si>
  <si>
    <t>Li (JHU), Qing</t>
  </si>
  <si>
    <t>Li (Northwestern), Kevin</t>
  </si>
  <si>
    <t>Li (UMCP), Ming</t>
  </si>
  <si>
    <t>Li (W Ontario), Ming</t>
  </si>
  <si>
    <t>Li (WUSTL), Kevin</t>
  </si>
  <si>
    <t>Lin (Duke), Steven</t>
  </si>
  <si>
    <t>Lin (Princeton), Charles</t>
  </si>
  <si>
    <t>Lin (SUNY SB), Charles</t>
  </si>
  <si>
    <t>Lin (Yale), Steven</t>
  </si>
  <si>
    <t>Liu (Brown), Jun</t>
  </si>
  <si>
    <t>Liu (Harvard), Jimmy</t>
  </si>
  <si>
    <t>Liu (NYU), Lisa</t>
  </si>
  <si>
    <t>Liu (Oregon State), Frank</t>
  </si>
  <si>
    <t>Liu (Queens), Jun</t>
  </si>
  <si>
    <t>Liu (Stanford), Frank</t>
  </si>
  <si>
    <t>Liu (UCLA), Jimmy</t>
  </si>
  <si>
    <t>Liu (UMCP), Lisa</t>
  </si>
  <si>
    <t>Ly (Oregon), Andrea</t>
  </si>
  <si>
    <t>Ly (Portland State), Andrea</t>
  </si>
  <si>
    <t>Ma (KS), Kai</t>
  </si>
  <si>
    <t>Ma (UIC), Kai</t>
  </si>
  <si>
    <t>Masoud (Georgia Tech), Hassan</t>
  </si>
  <si>
    <t>Masoud (SUNY Buffalo), Hassan</t>
  </si>
  <si>
    <t>Nguyen (Florida), Tung</t>
  </si>
  <si>
    <t>Nguyen (GA State), Tu</t>
  </si>
  <si>
    <t>Nguyen (Marshall), Hung</t>
  </si>
  <si>
    <t>Nguyen (Muohio), Hung</t>
  </si>
  <si>
    <t>Nguyen (RCTC), Tu</t>
  </si>
  <si>
    <t>Nguyen (UNF), Tung</t>
  </si>
  <si>
    <t>Nomura (Stanford), Tomohiro</t>
  </si>
  <si>
    <t>Nomura (Yale), Tomohiro</t>
  </si>
  <si>
    <t>Park (HCC), Ji Woong</t>
  </si>
  <si>
    <t>Park (Oregon), Ji Woong</t>
  </si>
  <si>
    <t>Player (Clark Atlanta W), Unnamed</t>
  </si>
  <si>
    <t>Player (Emory), Unnamed</t>
  </si>
  <si>
    <t>Player (Georgia State W), Unnamed</t>
  </si>
  <si>
    <t>Player (Marshall), Unnamed</t>
  </si>
  <si>
    <t>Player (Morehouse), Unnamed</t>
  </si>
  <si>
    <t>Player (NYU), Unnamed</t>
  </si>
  <si>
    <t>Player (Ohio State), Unnamed</t>
  </si>
  <si>
    <t>Player (UGA W), Unnamed</t>
  </si>
  <si>
    <t>Player (West Georgia), Unnamed</t>
  </si>
  <si>
    <t>Pong (Oregon), Vivien</t>
  </si>
  <si>
    <t>Pong (UBC), Vivien</t>
  </si>
  <si>
    <t>Qi (Stevens), Jianjun</t>
  </si>
  <si>
    <t>Qi (Yale), Jianjun</t>
  </si>
  <si>
    <t>Sakr (Northeastern), Mohammed</t>
  </si>
  <si>
    <t>Sakr (UCLA), Mohammed</t>
  </si>
  <si>
    <t>Sarma (Columbia), Justin</t>
  </si>
  <si>
    <t>Sarma (Dartmouth), Justin</t>
  </si>
  <si>
    <t>Satija (Auburn), Aman</t>
  </si>
  <si>
    <t>Satija (Purdue), Aman</t>
  </si>
  <si>
    <t>Shadrin (JHU), Yury</t>
  </si>
  <si>
    <t>Shadrin (Yale), Yury</t>
  </si>
  <si>
    <t>Shah , Vega</t>
  </si>
  <si>
    <t>Shi (UC Berkeley), James</t>
  </si>
  <si>
    <t>Shi (UCLA), James</t>
  </si>
  <si>
    <t>Shrestha (Drexel), Niraj</t>
  </si>
  <si>
    <t>Shrestha (Tufts), Niraj</t>
  </si>
  <si>
    <t>Tep (Portland CC), Heap</t>
  </si>
  <si>
    <t>Tep (Portland State), Heap</t>
  </si>
  <si>
    <t>Thape (Oregon State), Leonidis</t>
  </si>
  <si>
    <t>Thape (Portland State), Leonidis</t>
  </si>
  <si>
    <t>Uddoula (Duke), Asif</t>
  </si>
  <si>
    <t>Uddoula (NC State), Asif</t>
  </si>
  <si>
    <t>Vincent (USM), Daniel</t>
  </si>
  <si>
    <t>Waits (USM), Joseph</t>
  </si>
  <si>
    <t>Wang (Columbia), Gary</t>
  </si>
  <si>
    <t>Wang (Cornell), Kevin</t>
  </si>
  <si>
    <t>Wang (GA State), Meng</t>
  </si>
  <si>
    <t>Wang (Michigan State), Lu</t>
  </si>
  <si>
    <t>Wang (Princeton), Kevin</t>
  </si>
  <si>
    <t>Wang (Toronto), Gary</t>
  </si>
  <si>
    <t>Wang (UGA), Lu</t>
  </si>
  <si>
    <t>Wang (UT Dallas), Meng</t>
  </si>
  <si>
    <t>Wilhelm (Chicago), Daniel</t>
  </si>
  <si>
    <t>Wilhelm (Yale), Daniel</t>
  </si>
  <si>
    <t>Xue (Columbia), Wujian</t>
  </si>
  <si>
    <t>Xue (UNC - Charlotte), Wujian</t>
  </si>
  <si>
    <t>Yasenov (De Anza), Vasco</t>
  </si>
  <si>
    <t>Yasenov (UCSD), Vasco</t>
  </si>
  <si>
    <t>Zhen (Oregon), Sheng</t>
  </si>
  <si>
    <t>Zhen (Portland State), Sheng</t>
  </si>
  <si>
    <t>Zhou , Yi</t>
  </si>
  <si>
    <t>Zhou (UNT), Yi</t>
  </si>
  <si>
    <t>Adjusted formulas in Columns E &amp; F of the PLAYERS sheet to match the reduced columns in the RATINGLIST sheet.  Reduced RATINGLIST columns to Name, ID, Rating, Gender, and E-mail.  Created new upload format for results in Column A of the RESULTS sheet.  Deleted everything above the score results in the RESULTS sheet.  Updated RATINGLIST with Dan's latest info.</t>
  </si>
  <si>
    <t>2.01</t>
  </si>
  <si>
    <t>Removed NULL from RATINGLIST.</t>
  </si>
  <si>
    <t>2.02</t>
  </si>
  <si>
    <t>Southern Illinois University of Carbondale</t>
  </si>
  <si>
    <t>gzusvictory@yahoo.com</t>
  </si>
  <si>
    <t>Ahmad, Bilal</t>
  </si>
  <si>
    <t>ahmad046@umn.edu</t>
  </si>
  <si>
    <t>Ajmera, Vedant</t>
  </si>
  <si>
    <t>ajmera.vedant@gatech.edu</t>
  </si>
  <si>
    <t>Akpabio, Ini</t>
  </si>
  <si>
    <t>Ali, Yousuf</t>
  </si>
  <si>
    <t>Allison, Jamie</t>
  </si>
  <si>
    <t>allisojl@uwec.edu</t>
  </si>
  <si>
    <t>ra10g@my.fsu.edu</t>
  </si>
  <si>
    <t>felixe@u.northwestern.edu</t>
  </si>
  <si>
    <t>Amini, Alireza</t>
  </si>
  <si>
    <t>ar.amini@gmail.com</t>
  </si>
  <si>
    <t>resume.ray@gmail.com</t>
  </si>
  <si>
    <t>Amolraj, Sarah</t>
  </si>
  <si>
    <t>renzo.castellares@gmail.com</t>
  </si>
  <si>
    <t>Anazia, Chris</t>
  </si>
  <si>
    <t>Anderson, James</t>
  </si>
  <si>
    <t>Anderson, Joel</t>
  </si>
  <si>
    <t>University of Utah</t>
  </si>
  <si>
    <t>Andrade, Joe</t>
  </si>
  <si>
    <t>Artoun, Narbeh</t>
  </si>
  <si>
    <t>nartoun00@ccny.cuny.edu</t>
  </si>
  <si>
    <t>City College of New York</t>
  </si>
  <si>
    <t>Aspril, Jack</t>
  </si>
  <si>
    <t>zma100@francis.edu</t>
  </si>
  <si>
    <t>Atchison, Nick</t>
  </si>
  <si>
    <t>nbatchison@crimson.ua.edu</t>
  </si>
  <si>
    <t>saziz@caltech.edu</t>
  </si>
  <si>
    <t>Bacchus, Kenny</t>
  </si>
  <si>
    <t>bacchusk@mail.gvsu.edu</t>
  </si>
  <si>
    <t>Grand Valley State University</t>
  </si>
  <si>
    <t>Baer, Ben</t>
  </si>
  <si>
    <t>brbaer@millersville.edu</t>
  </si>
  <si>
    <t>Millersville University</t>
  </si>
  <si>
    <t>Ali_b1363@yahoo.com</t>
  </si>
  <si>
    <t>Balcom, Thomas</t>
  </si>
  <si>
    <t>Thomas_Balcom@baylor.edu</t>
  </si>
  <si>
    <t>Baldwin, Brad</t>
  </si>
  <si>
    <t>baldwinb@stolaf.edu</t>
  </si>
  <si>
    <t>St. Olaf College</t>
  </si>
  <si>
    <t>Ballou, Nick</t>
  </si>
  <si>
    <t>nballou@tulane.edu</t>
  </si>
  <si>
    <t>Tulane University</t>
  </si>
  <si>
    <t>allezcho@yahoo.com</t>
  </si>
  <si>
    <t>Barrett, Dan</t>
  </si>
  <si>
    <t>Old Dominion University</t>
  </si>
  <si>
    <t>fede.federico.bassetti@gmail.com</t>
  </si>
  <si>
    <t>Batello, Michael</t>
  </si>
  <si>
    <t>Bazzell, Matt</t>
  </si>
  <si>
    <t>m_bazzell14@hotmail.com</t>
  </si>
  <si>
    <t>Beal, Joshua</t>
  </si>
  <si>
    <t>beal.Joshua@gatech.edu</t>
  </si>
  <si>
    <t>Beaver, Casey</t>
  </si>
  <si>
    <t>cbeaver11@hotmail.com</t>
  </si>
  <si>
    <t>belmonjj@gmail.com</t>
  </si>
  <si>
    <t>Benchimol, Alissa</t>
  </si>
  <si>
    <t>alissabenchimol@gmail.com</t>
  </si>
  <si>
    <t>Benoit, Phillip</t>
  </si>
  <si>
    <t>philip.benoit@uconn.edu</t>
  </si>
  <si>
    <t>slava.berfirer@baruchmail.cuny.edu</t>
  </si>
  <si>
    <t>Berganza, Marcela</t>
  </si>
  <si>
    <t>MB886@lionmail.lindenwood.edu</t>
  </si>
  <si>
    <t>elyash90@gmail.com</t>
  </si>
  <si>
    <t>sylvain.bertholey@polymtl.ca</t>
  </si>
  <si>
    <t>Bevinahally, Ananth</t>
  </si>
  <si>
    <t>ananth.bevinahally@facebook.com</t>
  </si>
  <si>
    <t>Bhamaraniyama, Matt</t>
  </si>
  <si>
    <t>mbhamara@ggc.edu</t>
  </si>
  <si>
    <t>Bhargava, Neil</t>
  </si>
  <si>
    <t>bhargne@gwmail.gwu.edu</t>
  </si>
  <si>
    <t>Bhatt, Jay</t>
  </si>
  <si>
    <t>jaybhatt@uab.edu</t>
  </si>
  <si>
    <t>dragonfire360@gmail.com</t>
  </si>
  <si>
    <t>Bin, Lou</t>
  </si>
  <si>
    <t>Bitton, Arielle</t>
  </si>
  <si>
    <t>ariellesports@gmail.com</t>
  </si>
  <si>
    <t>tyb10@my.fsu.edu</t>
  </si>
  <si>
    <t>Boone, Garrett</t>
  </si>
  <si>
    <t>Garrett_Boone@baylor.edu</t>
  </si>
  <si>
    <t>Bordas, Madalina</t>
  </si>
  <si>
    <t>Bourget, Stephen</t>
  </si>
  <si>
    <t>sbourget@student.umass.edu</t>
  </si>
  <si>
    <t>Bourque, Matthew</t>
  </si>
  <si>
    <t>mwbourqu@student.umass.edu</t>
  </si>
  <si>
    <t>zab100@francis.edu</t>
  </si>
  <si>
    <t>Bradford, Jeff</t>
  </si>
  <si>
    <t>bradforje@mail.gvsu.edu</t>
  </si>
  <si>
    <t>Bradley, Cameron</t>
  </si>
  <si>
    <t>crb0022@uah.edu</t>
  </si>
  <si>
    <t>Bradshaw, Hayden</t>
  </si>
  <si>
    <t>haydenbradshaw@my.unt.edu</t>
  </si>
  <si>
    <t>Broderick, William</t>
  </si>
  <si>
    <t>psb06@fsu.edu</t>
  </si>
  <si>
    <t>Brown, Fabiola</t>
  </si>
  <si>
    <t>Montclair State University</t>
  </si>
  <si>
    <t>buib@stthom.edu</t>
  </si>
  <si>
    <t>Bui, Thang</t>
  </si>
  <si>
    <t>shin25306@gmail.com</t>
  </si>
  <si>
    <t>tkb49@msstate.edu</t>
  </si>
  <si>
    <t>Bunn, Mike</t>
  </si>
  <si>
    <t>steven.burkholder@emu.edu</t>
  </si>
  <si>
    <t>Burt, Justin</t>
  </si>
  <si>
    <t>jaburt91@uab.edu</t>
  </si>
  <si>
    <t>Burungale, Ashay</t>
  </si>
  <si>
    <t>ashayburungale@gmail.com</t>
  </si>
  <si>
    <t>Butko, Taras</t>
  </si>
  <si>
    <t>butko.taras@gatech.edu</t>
  </si>
  <si>
    <t>Cai, Christine</t>
  </si>
  <si>
    <t>70620100@qq.com</t>
  </si>
  <si>
    <t>cai00@mc.edu</t>
  </si>
  <si>
    <t>Campbell, Jon</t>
  </si>
  <si>
    <t>phc0002@uah.edu</t>
  </si>
  <si>
    <t>Cannon, Ryan</t>
  </si>
  <si>
    <t>qxc100@francis.edu</t>
  </si>
  <si>
    <t>Cao, Tri</t>
  </si>
  <si>
    <t>Carr, James</t>
  </si>
  <si>
    <t>madeinrussia620@gmail.com</t>
  </si>
  <si>
    <t>Chan, Bu</t>
  </si>
  <si>
    <t>chan.bu@hotmail.coms</t>
  </si>
  <si>
    <t>chancg@uci.edu</t>
  </si>
  <si>
    <t>Chan, John</t>
  </si>
  <si>
    <t>ryanwmchan@gmail.com</t>
  </si>
  <si>
    <t>Chang, Chi</t>
  </si>
  <si>
    <t>chuan.chang001@umb.edu</t>
  </si>
  <si>
    <t>Chang, Jen-Chien</t>
  </si>
  <si>
    <t>Chang, Johnny</t>
  </si>
  <si>
    <t>Chang, Morgan</t>
  </si>
  <si>
    <t>0512morgan@gmail.com</t>
  </si>
  <si>
    <t>Chang, Polly</t>
  </si>
  <si>
    <t>pchang4@uci.edu</t>
  </si>
  <si>
    <t>lingya09731425@gmail.com</t>
  </si>
  <si>
    <t>Chau, Henry</t>
  </si>
  <si>
    <t>Chen, Anthony Hao</t>
  </si>
  <si>
    <t>stephane723@hotmail.com</t>
  </si>
  <si>
    <t>Chen, Ariel</t>
  </si>
  <si>
    <t>Chen, Bou-Yu</t>
  </si>
  <si>
    <t>bwc5155@psu.edu</t>
  </si>
  <si>
    <t>Chen, Che-Hao</t>
  </si>
  <si>
    <t>cauchy.sequence@gmail.com</t>
  </si>
  <si>
    <t>Chen, Connie</t>
  </si>
  <si>
    <t>danccyf@163.com</t>
  </si>
  <si>
    <t>mirabellachen@gmail.com</t>
  </si>
  <si>
    <t>Chen314@purdue.edu</t>
  </si>
  <si>
    <t>Chen, Lauren</t>
  </si>
  <si>
    <t>chen.3803@osu.edu</t>
  </si>
  <si>
    <t>Chen, Mei Lin</t>
  </si>
  <si>
    <t>chenml@mcmaster.ca</t>
  </si>
  <si>
    <t>qimingchen91@hotmail.com</t>
  </si>
  <si>
    <t>Chen, Quen</t>
  </si>
  <si>
    <t>Chen, Quen Ho</t>
  </si>
  <si>
    <t>jou01@ccny.cuny.edu</t>
  </si>
  <si>
    <t>Chen, Tianyu</t>
  </si>
  <si>
    <t>Chen, Wilson</t>
  </si>
  <si>
    <t>Chen, Yibin</t>
  </si>
  <si>
    <t>Chen, Zhaoxiang</t>
  </si>
  <si>
    <t>xiang90@gmail.com</t>
  </si>
  <si>
    <t>Chen, Zhaoyang</t>
  </si>
  <si>
    <t>orange1025cn@yahoo.com.cn</t>
  </si>
  <si>
    <t>yatfung.cheng@yale.edu</t>
  </si>
  <si>
    <t>Cheng, Meiyi</t>
  </si>
  <si>
    <t>meiyic@mit.edu</t>
  </si>
  <si>
    <t>taranalan7@comcast.net</t>
  </si>
  <si>
    <t>cheo0039@umn.edu</t>
  </si>
  <si>
    <t>cac022@ucsd.edu</t>
  </si>
  <si>
    <t>Cheung, Wilson</t>
  </si>
  <si>
    <t>Chi, Benjamin</t>
  </si>
  <si>
    <t>1bc4@queensu.ca</t>
  </si>
  <si>
    <t>ahc5063@psu.edu</t>
  </si>
  <si>
    <t>achieu00@ccny.cuny.edu</t>
  </si>
  <si>
    <t>Chin, Chia-Chun</t>
  </si>
  <si>
    <t>siu851285938@siu.edu</t>
  </si>
  <si>
    <t>Chitre, Apurva</t>
  </si>
  <si>
    <t>achitre1@jhu.edu</t>
  </si>
  <si>
    <t>Choi, Barrie</t>
  </si>
  <si>
    <t>Choi, Seewan</t>
  </si>
  <si>
    <t>Kuerten80@hotmail.com</t>
  </si>
  <si>
    <t>Chong, Samson</t>
  </si>
  <si>
    <t>Choradia, Nirmal</t>
  </si>
  <si>
    <t>nvc1@uab.edu</t>
  </si>
  <si>
    <t>jschow@ucsd.edu</t>
  </si>
  <si>
    <t>Chowdhury, Nayeem</t>
  </si>
  <si>
    <t>nayeem.chowdhury@baruchmail.cuny.edu</t>
  </si>
  <si>
    <t>kingrajesh90@hotmail.com</t>
  </si>
  <si>
    <t>Chu, Tsz Lun (Alan)</t>
  </si>
  <si>
    <t>alanchu3301@yahoo.com.hk</t>
  </si>
  <si>
    <t>University of Missouri</t>
  </si>
  <si>
    <t>Chung, Sang</t>
  </si>
  <si>
    <t>University of Notre Dame</t>
  </si>
  <si>
    <t>Cimmino, James</t>
  </si>
  <si>
    <t>Clark, Daniel</t>
  </si>
  <si>
    <t>dmc79@zips.uakron.edu</t>
  </si>
  <si>
    <t>Clelland, Anne</t>
  </si>
  <si>
    <t>Clelland, Iain</t>
  </si>
  <si>
    <t>Clemente, Colin</t>
  </si>
  <si>
    <t>Collins, Drew</t>
  </si>
  <si>
    <t>dcollins618@gmail.com</t>
  </si>
  <si>
    <t>Southern Illinois University of Edwardsville</t>
  </si>
  <si>
    <t>jnc0923@westminster.edu</t>
  </si>
  <si>
    <t>Coona, Varun</t>
  </si>
  <si>
    <t>Jesse.Cooper@tufts.edu</t>
  </si>
  <si>
    <t>Cooper, Zachary</t>
  </si>
  <si>
    <t>beyoundthewall@yahoo.com</t>
  </si>
  <si>
    <t>dcotte093@mb.rctc.edu</t>
  </si>
  <si>
    <t>Cotton, Eric</t>
  </si>
  <si>
    <t>jtc0009@uah.edu</t>
  </si>
  <si>
    <t>Croitoroo, Mark</t>
  </si>
  <si>
    <t>mjc2241@columbia.edu</t>
  </si>
  <si>
    <t>cross.brad@live.mercer.edu</t>
  </si>
  <si>
    <t>kevincrow01@gmail.com</t>
  </si>
  <si>
    <t>Cui, Chuanlong</t>
  </si>
  <si>
    <t>Cui, Jingzhe</t>
  </si>
  <si>
    <t>cui12@illinois.edu</t>
  </si>
  <si>
    <t>constantine124@gmail.com</t>
  </si>
  <si>
    <t>KamilCwikla2015@u.northwestern.edu</t>
  </si>
  <si>
    <t>Daas, Nikhil</t>
  </si>
  <si>
    <t>das.nikhil.c@gmail.com</t>
  </si>
  <si>
    <t>Dahir, Bashir</t>
  </si>
  <si>
    <t>bdahir123@mb.rctc.edu</t>
  </si>
  <si>
    <t>Dahmen, Thomas</t>
  </si>
  <si>
    <t>Dai, Richie</t>
  </si>
  <si>
    <t>daixl@bu.edu</t>
  </si>
  <si>
    <t>dalcin1@hotmail.com</t>
  </si>
  <si>
    <t>Dallas, Gabriel</t>
  </si>
  <si>
    <t>gabriel_dallas@brown.edu</t>
  </si>
  <si>
    <t>Dam, Duc</t>
  </si>
  <si>
    <t>Dang, Jonathon</t>
  </si>
  <si>
    <t>Dani, Archit</t>
  </si>
  <si>
    <t>archit_09@yahoo.com</t>
  </si>
  <si>
    <t>Daoud, Sarah</t>
  </si>
  <si>
    <t>Das, Sanjib</t>
  </si>
  <si>
    <t>bukun04@gmail.com</t>
  </si>
  <si>
    <t>Dave, Ishaan</t>
  </si>
  <si>
    <t>idave1@tulane.edu</t>
  </si>
  <si>
    <t>william.dealcuaz@gmail.com</t>
  </si>
  <si>
    <t>Delgado, Brian</t>
  </si>
  <si>
    <t>brianelmagno@yahoo.com</t>
  </si>
  <si>
    <t>delgadom@mail.usf.edu</t>
  </si>
  <si>
    <t>daniel.denton@dartmouth.edu</t>
  </si>
  <si>
    <t>Desai, Gaurav</t>
  </si>
  <si>
    <t>vignesh693@yahoo.com</t>
  </si>
  <si>
    <t>hnd211@nyu.edu</t>
  </si>
  <si>
    <t>Dholakia, Ronak</t>
  </si>
  <si>
    <t>Diao, Peter</t>
  </si>
  <si>
    <t>peter_diao@yahoo.ca</t>
  </si>
  <si>
    <t>Didwania, Riya</t>
  </si>
  <si>
    <t>riyadidwania@hotmail.com</t>
  </si>
  <si>
    <t>Didwania, Shriya</t>
  </si>
  <si>
    <t>shriyadidwania@gmail.com</t>
  </si>
  <si>
    <t>Ding, Feng</t>
  </si>
  <si>
    <t>Dinstein, Danielle</t>
  </si>
  <si>
    <t>ddinste1@jhu.edu</t>
  </si>
  <si>
    <t>Dixit, Ninad</t>
  </si>
  <si>
    <t>Dodson, Hunter</t>
  </si>
  <si>
    <t>hcdodson@uab.edu</t>
  </si>
  <si>
    <t>Doerfel, John</t>
  </si>
  <si>
    <t>University of Oklahoma</t>
  </si>
  <si>
    <t>Donoso, Nicolas</t>
  </si>
  <si>
    <t>Dreano, Dan</t>
  </si>
  <si>
    <t>dadreano@gmail.com</t>
  </si>
  <si>
    <t>Du, Robin</t>
  </si>
  <si>
    <t>rdu3@jhu.edu</t>
  </si>
  <si>
    <t>ztd10@msstate.edu</t>
  </si>
  <si>
    <t>Dupois, Denis</t>
  </si>
  <si>
    <t>dnd15@students.uwf.edu</t>
  </si>
  <si>
    <t>Ebinger, Benjamin</t>
  </si>
  <si>
    <t>ebingb@uw.edu</t>
  </si>
  <si>
    <t>ledwin@ncsu.edu</t>
  </si>
  <si>
    <t>bpe5@zips.uakron.edu</t>
  </si>
  <si>
    <t>Ergeshev, Ernis</t>
  </si>
  <si>
    <t>sinree@mail.ru</t>
  </si>
  <si>
    <t>Esquivel, Nicole</t>
  </si>
  <si>
    <t>esquivel.2@osu.edu</t>
  </si>
  <si>
    <t>Fan, Shirley</t>
  </si>
  <si>
    <t>Fang, Wenjing</t>
  </si>
  <si>
    <t>wjfang@mit.edu</t>
  </si>
  <si>
    <t>Fang, Zhiwei</t>
  </si>
  <si>
    <t>fang.zway@gmail.com</t>
  </si>
  <si>
    <t>Fawole, Olutosin</t>
  </si>
  <si>
    <t>Fee, Dennis</t>
  </si>
  <si>
    <t>Dennis.Fee@tufts.edu</t>
  </si>
  <si>
    <t>Fein, Mike</t>
  </si>
  <si>
    <t>Michael.Fein@tufts.edu</t>
  </si>
  <si>
    <t>Ferguson, Lakeisha</t>
  </si>
  <si>
    <t>Ferraro, Zachary</t>
  </si>
  <si>
    <t>Fibich, Don</t>
  </si>
  <si>
    <t>Figg, Brian</t>
  </si>
  <si>
    <t>brianfigg1994@gmail.com</t>
  </si>
  <si>
    <t>Flores, Dan</t>
  </si>
  <si>
    <t>Flores, Max</t>
  </si>
  <si>
    <t>Flowers, James</t>
  </si>
  <si>
    <t>jflower6@jhmi.edu</t>
  </si>
  <si>
    <t>Fluharty, David</t>
  </si>
  <si>
    <t>Forster, Kevin</t>
  </si>
  <si>
    <t>kevin4ster@gmail.com</t>
  </si>
  <si>
    <t>chifu2010@u.northwestern.edu</t>
  </si>
  <si>
    <t>Fu, Yao</t>
  </si>
  <si>
    <t>Fuentes-Afflick, Tomas</t>
  </si>
  <si>
    <t>Galvis, Elkin</t>
  </si>
  <si>
    <t>elkindgalvis@hotmail.com</t>
  </si>
  <si>
    <t>Gao, Di</t>
  </si>
  <si>
    <t>dgdx4@mail.missouri.edu</t>
  </si>
  <si>
    <t>Gao, Kaidi</t>
  </si>
  <si>
    <t>kaidi.gao@duke.edu</t>
  </si>
  <si>
    <t>Gao, Qing</t>
  </si>
  <si>
    <t>Gao, Xiang</t>
  </si>
  <si>
    <t>Garces, German</t>
  </si>
  <si>
    <t>Garcia, Agustin</t>
  </si>
  <si>
    <t>Garcia, Andres</t>
  </si>
  <si>
    <t>cgardner@caltech.edu</t>
  </si>
  <si>
    <t>Ge, Weixun</t>
  </si>
  <si>
    <t>breathin@ccs.neu.edu</t>
  </si>
  <si>
    <t>Gemara, Elyashiv</t>
  </si>
  <si>
    <t>30avp30@gmail.com</t>
  </si>
  <si>
    <t>Geng, Huiwen</t>
  </si>
  <si>
    <t>Ghanipoor, Sahar</t>
  </si>
  <si>
    <t>ryan.gibson.11@cnu.edu</t>
  </si>
  <si>
    <t>Gill, Sarbnoor</t>
  </si>
  <si>
    <t>gillx207@umn.edu</t>
  </si>
  <si>
    <t>Gilliam, Mackenzie</t>
  </si>
  <si>
    <t>slg400@nyu.edu</t>
  </si>
  <si>
    <t>Goldschmidt, Alexander</t>
  </si>
  <si>
    <t>Alex.Goldschmidt@tufts.edu</t>
  </si>
  <si>
    <t>Golston, Levi</t>
  </si>
  <si>
    <t>Goncalves, Fabio Guimaraes</t>
  </si>
  <si>
    <t>guimaraf@onid.orst.edu</t>
  </si>
  <si>
    <t>tqliao@gmail.com</t>
  </si>
  <si>
    <t>Gonzalez, Brendon</t>
  </si>
  <si>
    <t>Bahareh.532@yahoo.com</t>
  </si>
  <si>
    <t>Gospe, Sean</t>
  </si>
  <si>
    <t>gospe@usc.edu</t>
  </si>
  <si>
    <t>Gotsch, Joel</t>
  </si>
  <si>
    <t>joel.gotsch@gmail.com</t>
  </si>
  <si>
    <t>Gouni, Sushanth</t>
  </si>
  <si>
    <t>sushanth41@tamu.edu</t>
  </si>
  <si>
    <t>Groom, Michael</t>
  </si>
  <si>
    <t>Gu, Bin</t>
  </si>
  <si>
    <t>Gu, Yue</t>
  </si>
  <si>
    <t>yg2292@columbia.edu</t>
  </si>
  <si>
    <t>Guan, Erbei</t>
  </si>
  <si>
    <t>Guan, Guanlu</t>
  </si>
  <si>
    <t>guan@stolaf.edu</t>
  </si>
  <si>
    <t>Guan, Jing</t>
  </si>
  <si>
    <t>jg3357@nyu.edu</t>
  </si>
  <si>
    <t>Guan, Shirley</t>
  </si>
  <si>
    <t>Guo, Sylvan</t>
  </si>
  <si>
    <t>Guo, Taiyu</t>
  </si>
  <si>
    <t>guo_taiyu@yahoo.com</t>
  </si>
  <si>
    <t>cici-guo@163.com</t>
  </si>
  <si>
    <t>Gupta, Satya</t>
  </si>
  <si>
    <t>djh130@case.edu</t>
  </si>
  <si>
    <t>Haji, Ali</t>
  </si>
  <si>
    <t>alihajif@gmail.com</t>
  </si>
  <si>
    <t>shammer40@hotmail.com</t>
  </si>
  <si>
    <t>Hao, Huang</t>
  </si>
  <si>
    <t>hhuang4@ncsu.edu</t>
  </si>
  <si>
    <t>Hargis, Luke</t>
  </si>
  <si>
    <t>lhargis@ggc.edu</t>
  </si>
  <si>
    <t>matthew.harmon@live.mercer.edu</t>
  </si>
  <si>
    <t>Harris, Adon</t>
  </si>
  <si>
    <t>aiharr@hotmail.com</t>
  </si>
  <si>
    <t>sjh0009@uah.edu</t>
  </si>
  <si>
    <t>Harshey, Andrey</t>
  </si>
  <si>
    <t>hhassa103@mb.rctc.edu</t>
  </si>
  <si>
    <t>mike.hayes.11@cnu.edu</t>
  </si>
  <si>
    <t>He, Jiasui</t>
  </si>
  <si>
    <t>jhe8@crimson.ua.edu</t>
  </si>
  <si>
    <t>hjbbl07@gmail.com</t>
  </si>
  <si>
    <t>He, Oliver</t>
  </si>
  <si>
    <t>Heden, Ryan</t>
  </si>
  <si>
    <t>Hegde, Kshiteesh</t>
  </si>
  <si>
    <t>hegde014@umn.edu</t>
  </si>
  <si>
    <t>Heilig, Donald</t>
  </si>
  <si>
    <t>Heo, Andrew</t>
  </si>
  <si>
    <t>ajh5649@psu.edu</t>
  </si>
  <si>
    <t>Hewitt-Roach, Travis</t>
  </si>
  <si>
    <t>Hibib, Ashagbon</t>
  </si>
  <si>
    <t>hibib.ashagbon@student.gsu.edu</t>
  </si>
  <si>
    <t>Hidalgo, Dennis</t>
  </si>
  <si>
    <t>Hidalgo, Jared</t>
  </si>
  <si>
    <t>Hilberg, Clinton</t>
  </si>
  <si>
    <t>muttonhead4@hotmail.com</t>
  </si>
  <si>
    <t>kayleeh6@gmail.com</t>
  </si>
  <si>
    <t>Ho, Ching-lun</t>
  </si>
  <si>
    <t>ho.chi@husky.neu.edu</t>
  </si>
  <si>
    <t>Ho, Janice</t>
  </si>
  <si>
    <t>jkh351@nyu.edu</t>
  </si>
  <si>
    <t>hsj_920915@live.com</t>
  </si>
  <si>
    <t>rhoarfrost@gmail.com</t>
  </si>
  <si>
    <t>Hogg, Nick</t>
  </si>
  <si>
    <t>nickjhogg@gmail.com</t>
  </si>
  <si>
    <t>Holmes, Chuck</t>
  </si>
  <si>
    <t>Hong, Wei</t>
  </si>
  <si>
    <t>wqh5042@psu.edu</t>
  </si>
  <si>
    <t>jhorvath09@mail.bw.edu</t>
  </si>
  <si>
    <t>Hossain, Ahsan</t>
  </si>
  <si>
    <t>benat0203@hotmail.com</t>
  </si>
  <si>
    <t>benjamin.howard.09@cnu.edu</t>
  </si>
  <si>
    <t>Howells, Ian</t>
  </si>
  <si>
    <t>Hsu, Chin-Kuei (Richard)</t>
  </si>
  <si>
    <t>richardgene333@gmail.com</t>
  </si>
  <si>
    <t>Hsu, Jeff</t>
  </si>
  <si>
    <t>jvh52@msstate.edu</t>
  </si>
  <si>
    <t>jhsu@caltech.edu</t>
  </si>
  <si>
    <t>startrekrules@gmail.com</t>
  </si>
  <si>
    <t>Hu, Guodong</t>
  </si>
  <si>
    <t>guodong.hu@uconn.edu</t>
  </si>
  <si>
    <t>nhu.hba2013@ivey.ca</t>
  </si>
  <si>
    <t>jack6665@ms45.hinet.net</t>
  </si>
  <si>
    <t>Huang, Karissa</t>
  </si>
  <si>
    <t>kah022@ucsd.edu</t>
  </si>
  <si>
    <t>kevin78050300@gmail.com</t>
  </si>
  <si>
    <t>pojuhuang2015@u.northwestern.edu</t>
  </si>
  <si>
    <t>shuang01@brynmawr.edu</t>
  </si>
  <si>
    <t>Huang, Sunnie</t>
  </si>
  <si>
    <t>Huang, Ting-Yun</t>
  </si>
  <si>
    <t>tingyun@mit.edu</t>
  </si>
  <si>
    <t>Huang, Wei</t>
  </si>
  <si>
    <t>Huang, Ying</t>
  </si>
  <si>
    <t>huang@mc.edu</t>
  </si>
  <si>
    <t>cnknd2005@gmail.com</t>
  </si>
  <si>
    <t>Hurtte, Eddie</t>
  </si>
  <si>
    <t>ehurtte@slu.edu</t>
  </si>
  <si>
    <t>Hussain, Muhammad</t>
  </si>
  <si>
    <t>mhussai09@ccny.cuny.edu</t>
  </si>
  <si>
    <t>hwang.christine@gatech.edu</t>
  </si>
  <si>
    <t>Hwang, Stephanie</t>
  </si>
  <si>
    <t>hwang.stephanie@gatech.edu</t>
  </si>
  <si>
    <t>Hynek, Boril</t>
  </si>
  <si>
    <t>Ikeizumi, Claudia</t>
  </si>
  <si>
    <t>isbell@uoregon.edu</t>
  </si>
  <si>
    <t>Jacks, Lyndsey</t>
  </si>
  <si>
    <t>jackslc@uwec.edu</t>
  </si>
  <si>
    <t>Jacobsen, Peter</t>
  </si>
  <si>
    <t>jacobsen@stolaf.edu</t>
  </si>
  <si>
    <t>ajain304@gatech.edu</t>
  </si>
  <si>
    <t>aj_2306@gwmail.gwu.edu</t>
  </si>
  <si>
    <t>joh12@crimson.ua.edu</t>
  </si>
  <si>
    <t>Jia, Yifeng</t>
  </si>
  <si>
    <t>yifeng.jia@mail.missouri.edu</t>
  </si>
  <si>
    <t>Jian, Lu</t>
  </si>
  <si>
    <t>jlu18@ncsu.edu</t>
  </si>
  <si>
    <t>Jiang, Chenxi</t>
  </si>
  <si>
    <t>chenxi.jiang710@gmail.com</t>
  </si>
  <si>
    <t>Vanderbilt</t>
  </si>
  <si>
    <t>yang.jiang2@mail.mcgill.ca</t>
  </si>
  <si>
    <t>Jiasui, He</t>
  </si>
  <si>
    <t>Jin, Fang</t>
  </si>
  <si>
    <t>Jin, Qing</t>
  </si>
  <si>
    <t>qingj@uoregon.edu</t>
  </si>
  <si>
    <t>Jin, Shuang</t>
  </si>
  <si>
    <t>Jin, Xiao</t>
  </si>
  <si>
    <t>jin.sci6836@gmail.com</t>
  </si>
  <si>
    <t>Jiorle, Ryan</t>
  </si>
  <si>
    <t>Johansen, Bobby</t>
  </si>
  <si>
    <t>michelletab2002@yahoo.com</t>
  </si>
  <si>
    <t>Jordan, John</t>
  </si>
  <si>
    <t>Kabaleeswaran, Dinesh</t>
  </si>
  <si>
    <t>Kacperski, Celina</t>
  </si>
  <si>
    <t>Kahng, Anson</t>
  </si>
  <si>
    <t>ansonkahng@college.harvard.edu</t>
  </si>
  <si>
    <t>Kamakura, Daiki</t>
  </si>
  <si>
    <t>Kamat, Niranjan</t>
  </si>
  <si>
    <t>kamat.14@osu.edu</t>
  </si>
  <si>
    <t>Kang, Geehae</t>
  </si>
  <si>
    <t>wmk08@my.fsu.edu</t>
  </si>
  <si>
    <t>Karandikar, Keyur</t>
  </si>
  <si>
    <t>kkarandi@ucsd.edu</t>
  </si>
  <si>
    <t>Kattiri Vellattu, Deepak</t>
  </si>
  <si>
    <t>kdeepak@ncsu.edu</t>
  </si>
  <si>
    <t>Kawamine, Hirokazu</t>
  </si>
  <si>
    <t>hkawamine@crimson.ua.edu</t>
  </si>
  <si>
    <t>markke888@aol.com</t>
  </si>
  <si>
    <t>john.kerpan001@umb.edu</t>
  </si>
  <si>
    <t>nicholas.kerpan001@umb.edu</t>
  </si>
  <si>
    <t>Ketz, Jessica</t>
  </si>
  <si>
    <t>ketz.8@osu.edu</t>
  </si>
  <si>
    <t>Khanolkar, Gauri</t>
  </si>
  <si>
    <t>gaurikhanolkar@gmail.com</t>
  </si>
  <si>
    <t>Kholer, Julia</t>
  </si>
  <si>
    <t>Kim, Chanul</t>
  </si>
  <si>
    <t>chanul13@gmail.com</t>
  </si>
  <si>
    <t>Kim, Joseph</t>
  </si>
  <si>
    <t>joseph.kim@furman.edu</t>
  </si>
  <si>
    <t>Kim, Minsun</t>
  </si>
  <si>
    <t>minsun.kim@yale.edu</t>
  </si>
  <si>
    <t>Kim, Moo Song</t>
  </si>
  <si>
    <t>kimmoos@onid.orst.edu</t>
  </si>
  <si>
    <t>Kim, Sangyoon</t>
  </si>
  <si>
    <t>Kim, Yoon Tae</t>
  </si>
  <si>
    <t>kimx2011@umn.edu</t>
  </si>
  <si>
    <t>Kimmel, Michael</t>
  </si>
  <si>
    <t>trk0206@westminstercollege.edu</t>
  </si>
  <si>
    <t>daniel.eisenkraftklein@mail.mcgill.ca</t>
  </si>
  <si>
    <t>Ko, Tony</t>
  </si>
  <si>
    <t>Koh, Shaun</t>
  </si>
  <si>
    <t>Kolesar, Emma</t>
  </si>
  <si>
    <t>kolesaek@mcmaster.ca</t>
  </si>
  <si>
    <t>Konduri, Aditya</t>
  </si>
  <si>
    <t>konduri.adi@gmail.com</t>
  </si>
  <si>
    <t>cakong@ucsd.edu</t>
  </si>
  <si>
    <t>Kong, Ling Jie</t>
  </si>
  <si>
    <t>kongx181@umn.edu</t>
  </si>
  <si>
    <t>Kubesh, Ben</t>
  </si>
  <si>
    <t>kubes036@umn.edu</t>
  </si>
  <si>
    <t>kulka101@umn.edu</t>
  </si>
  <si>
    <t>skuma008@ucr.edu</t>
  </si>
  <si>
    <t>Kundapall, Pranayraj</t>
  </si>
  <si>
    <t>Kung, Nathan</t>
  </si>
  <si>
    <t>njk2125@columbia.edu</t>
  </si>
  <si>
    <t>Lab, Brandon</t>
  </si>
  <si>
    <t>bkl13@zips.uakron.edu</t>
  </si>
  <si>
    <t>Lai, Max</t>
  </si>
  <si>
    <t>maximilianlai@hotmail.com</t>
  </si>
  <si>
    <t>Lal, Neeraj</t>
  </si>
  <si>
    <t>Lam, Jessica</t>
  </si>
  <si>
    <t>Landers, Michael</t>
  </si>
  <si>
    <t>mjl568@nyu.edu</t>
  </si>
  <si>
    <t>Landry, Kyle</t>
  </si>
  <si>
    <t>kslandry@foodsci.umass.edu</t>
  </si>
  <si>
    <t>Langkilde, Frederik</t>
  </si>
  <si>
    <t>fvlangkilde@gmail.com</t>
  </si>
  <si>
    <t>Lanzillo, Kyle</t>
  </si>
  <si>
    <t>Lao, Celia</t>
  </si>
  <si>
    <t>celia_lao_25@hotmail.com</t>
  </si>
  <si>
    <t>Laporte, Nestor Alexis Vazquez</t>
  </si>
  <si>
    <t>el_alexis_46@hotmail.com</t>
  </si>
  <si>
    <t>holliee_lolliee@hotmail.com</t>
  </si>
  <si>
    <t>jonathanlau127@gmail.com</t>
  </si>
  <si>
    <t>Law, Hotai</t>
  </si>
  <si>
    <t>hotai.law@uconn.edu</t>
  </si>
  <si>
    <t>dc@nctta.org</t>
  </si>
  <si>
    <t>Laxmi, Anu</t>
  </si>
  <si>
    <t>alaxmil@student.edu</t>
  </si>
  <si>
    <t>Le, Chen</t>
  </si>
  <si>
    <t>lc2873@columbia.edu</t>
  </si>
  <si>
    <t>Le, Khoa</t>
  </si>
  <si>
    <t>Le Coz, Clement</t>
  </si>
  <si>
    <t>clecoz@uoregon.edu</t>
  </si>
  <si>
    <t>yingxuan08@yahoo.com</t>
  </si>
  <si>
    <t>jeffreyl@uci.edu</t>
  </si>
  <si>
    <t>kevinnnnleeee@gmail.com</t>
  </si>
  <si>
    <t>Lee, Lauren</t>
  </si>
  <si>
    <t>jl4947@nyu.edu</t>
  </si>
  <si>
    <t>lee801@purdue.edu</t>
  </si>
  <si>
    <t>plbr081@uab.edu</t>
  </si>
  <si>
    <t>Lee, Peter</t>
  </si>
  <si>
    <t>lee.peter.91@gmail.com</t>
  </si>
  <si>
    <t>b20am20032003@hotmail.com</t>
  </si>
  <si>
    <t>Lee, Sungsup</t>
  </si>
  <si>
    <t>Lei, KaChon (Jeff)</t>
  </si>
  <si>
    <t>Leifheit, Kyle</t>
  </si>
  <si>
    <t>kal81@zips.uakron.edu</t>
  </si>
  <si>
    <t>brooksleonard@aol.com</t>
  </si>
  <si>
    <t>ronaldleonardsr@yahoo.com</t>
  </si>
  <si>
    <t>Lesiak, Jon</t>
  </si>
  <si>
    <t>lesiakj@mail.gvsu.edu</t>
  </si>
  <si>
    <t>lesieur, Alexandra</t>
  </si>
  <si>
    <t>ericleung83@gmail.com</t>
  </si>
  <si>
    <t>Levin, Derek</t>
  </si>
  <si>
    <t>levind@uwec.edu</t>
  </si>
  <si>
    <t>Levinson, Logan</t>
  </si>
  <si>
    <t>Lewis, Curtis</t>
  </si>
  <si>
    <t>lewis.curtis@student.gsu.edu</t>
  </si>
  <si>
    <t>Lewis, Lydia</t>
  </si>
  <si>
    <t>lydia.a@fullerton.edu</t>
  </si>
  <si>
    <t>Lewis, Romario</t>
  </si>
  <si>
    <t>romario1@umbc.edu</t>
  </si>
  <si>
    <t>Li, Allen</t>
  </si>
  <si>
    <t>wli492@usc.edu</t>
  </si>
  <si>
    <t>Li, Amanda</t>
  </si>
  <si>
    <t>ang.li139@gmail.com</t>
  </si>
  <si>
    <t>dl1816@nyu.edu</t>
  </si>
  <si>
    <t>Li, Dian</t>
  </si>
  <si>
    <t>dli@tulane.edu</t>
  </si>
  <si>
    <t>Li, Grant</t>
  </si>
  <si>
    <t>grantli@usc.edu</t>
  </si>
  <si>
    <t>Li, Hannah</t>
  </si>
  <si>
    <t>hannah.li.6020@gmail.com</t>
  </si>
  <si>
    <t>Li, Harry</t>
  </si>
  <si>
    <t>li.yi.xiang@queensu.ca</t>
  </si>
  <si>
    <t>Li, Huan</t>
  </si>
  <si>
    <t>hli41@crimson.ua.edu</t>
  </si>
  <si>
    <t>Li, Jinghao</t>
  </si>
  <si>
    <t>Li, Kevin</t>
  </si>
  <si>
    <t>Li, Longyu</t>
  </si>
  <si>
    <t>lli9@ncsu.edu</t>
  </si>
  <si>
    <t>Li, Qianxi</t>
  </si>
  <si>
    <t>qianxi@uoregon.edu</t>
  </si>
  <si>
    <t>sli016@ucr.edu</t>
  </si>
  <si>
    <t>taoli0201@gmail.com</t>
  </si>
  <si>
    <t>77260791@qq.com</t>
  </si>
  <si>
    <t>li3w@cmich.edu</t>
  </si>
  <si>
    <t>Li, Wen Ting</t>
  </si>
  <si>
    <t>Li, Wenyu</t>
  </si>
  <si>
    <t>winchili@hotmail.com</t>
  </si>
  <si>
    <t>Li, Xiaoyu</t>
  </si>
  <si>
    <t>6xl2@queensu.ca</t>
  </si>
  <si>
    <t>Li, Xihan</t>
  </si>
  <si>
    <t>Li, Xuxi</t>
  </si>
  <si>
    <t>yl609@eden.rutgers.edu</t>
  </si>
  <si>
    <t>li.918@osu.edu</t>
  </si>
  <si>
    <t>zhi.li002@umb.edu</t>
  </si>
  <si>
    <t>alex91208@gmail.com</t>
  </si>
  <si>
    <t>Liang, Fucheng</t>
  </si>
  <si>
    <t>Liang, Jiayu</t>
  </si>
  <si>
    <t>jliang@tulane.edu</t>
  </si>
  <si>
    <t>Liang, Yicheng</t>
  </si>
  <si>
    <t>yliao03@brynmawr.edu</t>
  </si>
  <si>
    <t>yl380@msstate.edu</t>
  </si>
  <si>
    <t>lieberman.ari@uga.edu</t>
  </si>
  <si>
    <t>slien002@ucr.edu</t>
  </si>
  <si>
    <t>Lien, Yi-Ting</t>
  </si>
  <si>
    <t>ylien@uoregon.edu</t>
  </si>
  <si>
    <t>lii.1@osu.edu</t>
  </si>
  <si>
    <t>Lim, Joshua</t>
  </si>
  <si>
    <t>jblim@email.wm.edu</t>
  </si>
  <si>
    <t>kl1207@nyu.edu</t>
  </si>
  <si>
    <t>Lim, Michelle</t>
  </si>
  <si>
    <t>michmichelleelle@hotmail.com</t>
  </si>
  <si>
    <t>Lin, Andrew (Harvard)</t>
  </si>
  <si>
    <t>Lin, Andrew (UCB)</t>
  </si>
  <si>
    <t>Lin, Ian</t>
  </si>
  <si>
    <t>605291363@qq.com</t>
  </si>
  <si>
    <t>Lin, Yuqi</t>
  </si>
  <si>
    <t>Lindsay, Brian</t>
  </si>
  <si>
    <t>kal20@students.uwf.edu</t>
  </si>
  <si>
    <t>Link, Cody</t>
  </si>
  <si>
    <t>link.163@osu.edu</t>
  </si>
  <si>
    <t>Link, Harrison</t>
  </si>
  <si>
    <t>Litsch, Tyler</t>
  </si>
  <si>
    <t>kenneth.litt@uconn.edu</t>
  </si>
  <si>
    <t>cll2102@columbia.edu</t>
  </si>
  <si>
    <t>hunter633@hotmail.com</t>
  </si>
  <si>
    <t>Liu, Jay</t>
  </si>
  <si>
    <t>Liu, Jay (Westminster)</t>
  </si>
  <si>
    <t>Liu, Jimmy</t>
  </si>
  <si>
    <t>hahamasta@gmail.com</t>
  </si>
  <si>
    <t>Liu, Jun</t>
  </si>
  <si>
    <t>4jl54@queensu.ca</t>
  </si>
  <si>
    <t>llq.0612@hotmail.com</t>
  </si>
  <si>
    <t>Liu, Lisa</t>
  </si>
  <si>
    <t>lisa.liu.lul@gmail.com</t>
  </si>
  <si>
    <t>liux1230@umn.edu</t>
  </si>
  <si>
    <t>Liu, Tianxiang</t>
  </si>
  <si>
    <t>tliu@caltech.edu</t>
  </si>
  <si>
    <t>yifanliu2014@u.northwestern.edu</t>
  </si>
  <si>
    <t>Liu, Yiming</t>
  </si>
  <si>
    <t>liuy@stolaf.edu</t>
  </si>
  <si>
    <t>Liu, Zhaoyuan</t>
  </si>
  <si>
    <t>joary_liu@gwmail.gwu.edu</t>
  </si>
  <si>
    <t>Liu, Zheng</t>
  </si>
  <si>
    <t>jliu25@ucla.edu</t>
  </si>
  <si>
    <t>Lo, Catherine</t>
  </si>
  <si>
    <t>clo4@umbc.edu</t>
  </si>
  <si>
    <t>Long, Wai I</t>
  </si>
  <si>
    <t>Long, Yue</t>
  </si>
  <si>
    <t>Loo, Mitchell</t>
  </si>
  <si>
    <t>chapanese@live.com</t>
  </si>
  <si>
    <t>Lopez, Brandon</t>
  </si>
  <si>
    <t>Lopez, Sergio</t>
  </si>
  <si>
    <t>SL052@lionmail.lindenwood.edu</t>
  </si>
  <si>
    <t>Lou, Steven</t>
  </si>
  <si>
    <t>louh1@seattleu.edu</t>
  </si>
  <si>
    <t>Lou, Ziqi</t>
  </si>
  <si>
    <t>Lu, Alvin</t>
  </si>
  <si>
    <t>lutpcb@gmail.com</t>
  </si>
  <si>
    <t>Lu, Scott Yen Chun</t>
  </si>
  <si>
    <t>firecatman0118@gmail.com</t>
  </si>
  <si>
    <t>malung@ucsd.edu</t>
  </si>
  <si>
    <t>Luo, Qingzhou</t>
  </si>
  <si>
    <t>qluo2@illinois.edu</t>
  </si>
  <si>
    <t>Luo, Zhiyuan</t>
  </si>
  <si>
    <t>Luu, Norman</t>
  </si>
  <si>
    <t>Lv, Jiangbo</t>
  </si>
  <si>
    <t>Ly, Tue</t>
  </si>
  <si>
    <t>lntue@brandeis.edu</t>
  </si>
  <si>
    <t>Lyu, Yu-Han</t>
  </si>
  <si>
    <t>Yu-Han.Lyu.GR@Dartmouth.edu</t>
  </si>
  <si>
    <t>Ma, Cody</t>
  </si>
  <si>
    <t>cody_ma@brown.edu</t>
  </si>
  <si>
    <t>liqi.ma001@umb.edu</t>
  </si>
  <si>
    <t>Ma, Sirui</t>
  </si>
  <si>
    <t>sym5441@psu.edu</t>
  </si>
  <si>
    <t>Ma, Yuntao</t>
  </si>
  <si>
    <t>mmacari9@gmail.com</t>
  </si>
  <si>
    <t>Mace, Jantzen</t>
  </si>
  <si>
    <t>Mahendran, Vishnu Ram</t>
  </si>
  <si>
    <t>vmahendr@usc.edu</t>
  </si>
  <si>
    <t>Maldonado, Oscar</t>
  </si>
  <si>
    <t>maldono@stthom.edu</t>
  </si>
  <si>
    <t>Maldonado-Portillo, Monica</t>
  </si>
  <si>
    <t>Malkani, Arnav</t>
  </si>
  <si>
    <t>tfr5015@psu.edu</t>
  </si>
  <si>
    <t>Mao, Charles</t>
  </si>
  <si>
    <t>cmao1@terpmail.umd.edu</t>
  </si>
  <si>
    <t>ryanmarcus2015@u.northwestern.edu</t>
  </si>
  <si>
    <t>mard92@gmail.com</t>
  </si>
  <si>
    <t>Marder, Brandon</t>
  </si>
  <si>
    <t>bam348@drexel.edu</t>
  </si>
  <si>
    <t>Maredia, Nourin</t>
  </si>
  <si>
    <t>Markosov, Artem</t>
  </si>
  <si>
    <t>Marks, Doug</t>
  </si>
  <si>
    <t>dan_john2004@yahoo.com</t>
  </si>
  <si>
    <t>Marwah, Ratan</t>
  </si>
  <si>
    <t>Ratan.Marwah@tufts.edu</t>
  </si>
  <si>
    <t>Masnadi, Naeem</t>
  </si>
  <si>
    <t>nmasnadi@umd.edu</t>
  </si>
  <si>
    <t>Mattson, Ben</t>
  </si>
  <si>
    <t>bmattson14@wooster.edu</t>
  </si>
  <si>
    <t>grantmaxson@gmail.com</t>
  </si>
  <si>
    <t>May, Erik</t>
  </si>
  <si>
    <t>Mazza, Michael</t>
  </si>
  <si>
    <t>mohawks28@csu.fullerton.edu</t>
  </si>
  <si>
    <t>McEwan, Orlando</t>
  </si>
  <si>
    <t>mcewan.18@osu.edu</t>
  </si>
  <si>
    <t>McLaughlin, Cody</t>
  </si>
  <si>
    <t>cdmclaug@gmail.com</t>
  </si>
  <si>
    <t>McMillan, David</t>
  </si>
  <si>
    <t>McNally, Tim</t>
  </si>
  <si>
    <t>mcnallyt@stthom.edu</t>
  </si>
  <si>
    <t>pgmcnerney@crimson.ua.edu</t>
  </si>
  <si>
    <t>McNicoll, Jesse</t>
  </si>
  <si>
    <t>Jesse_McNicoll@baylor.edu</t>
  </si>
  <si>
    <t>d025m707@ku.edu</t>
  </si>
  <si>
    <t>lmei00@ccny.cuny.edu</t>
  </si>
  <si>
    <t>meneco90@hotmail.com</t>
  </si>
  <si>
    <t>Meng, Jassy</t>
  </si>
  <si>
    <t>Meng, Vina</t>
  </si>
  <si>
    <t>coco.vina@hotmail.com</t>
  </si>
  <si>
    <t>Menta, Jash</t>
  </si>
  <si>
    <t>digger05@verizon.net</t>
  </si>
  <si>
    <t>Mieras, James</t>
  </si>
  <si>
    <t>mieras3@yahoo.com</t>
  </si>
  <si>
    <t>Miller, Andrew</t>
  </si>
  <si>
    <t>Miller, Franklin</t>
  </si>
  <si>
    <t>millerf1@umbc.edu</t>
  </si>
  <si>
    <t>mimbs.jeffrey@live.mercer.edu</t>
  </si>
  <si>
    <t>tian.ming@uconn.edu</t>
  </si>
  <si>
    <t>Misner, Austin</t>
  </si>
  <si>
    <t>Mitchell, Donna</t>
  </si>
  <si>
    <t>Miyasaki, Dylan</t>
  </si>
  <si>
    <t>miyasak1@seattleu.edu</t>
  </si>
  <si>
    <t>Mo, George</t>
  </si>
  <si>
    <t>george.mo@yale.edu</t>
  </si>
  <si>
    <t>Mohammed, Yasir</t>
  </si>
  <si>
    <t>yasirahmed13@yahoo.com</t>
  </si>
  <si>
    <t>Moldobaev, Dilmurat</t>
  </si>
  <si>
    <t>dilmurat@mit.edu</t>
  </si>
  <si>
    <t>Montesinos, Juan Jose</t>
  </si>
  <si>
    <t>Montilla, Alberto</t>
  </si>
  <si>
    <t>azayas@gwmail.gwu.edu</t>
  </si>
  <si>
    <t>jmoore72@slu.edu</t>
  </si>
  <si>
    <t>Morgan, Andrew</t>
  </si>
  <si>
    <t>Mosely, Alex</t>
  </si>
  <si>
    <t>Mosier, Cameron</t>
  </si>
  <si>
    <t>Cameron_Mosier@baylor.edu</t>
  </si>
  <si>
    <t>Moskovitz, Jacob</t>
  </si>
  <si>
    <t>Moya, Don</t>
  </si>
  <si>
    <t>Mujumdar, Sahaj</t>
  </si>
  <si>
    <t>Munuswamy, Ragavendra</t>
  </si>
  <si>
    <t>ryarasimunuswamy16@wooster.edu</t>
  </si>
  <si>
    <t>Murali, Srinidhi</t>
  </si>
  <si>
    <t>mural010@umn.edu</t>
  </si>
  <si>
    <t>Mutha, Ajit</t>
  </si>
  <si>
    <t>ajitmutha712@ufl.edu</t>
  </si>
  <si>
    <t>Myers, Darren</t>
  </si>
  <si>
    <t>dwmyers@millersville.edu</t>
  </si>
  <si>
    <t>Nanivadekar, Shruti</t>
  </si>
  <si>
    <t>shruti.1294@gmail.com</t>
  </si>
  <si>
    <t>Narain, Namrata</t>
  </si>
  <si>
    <t>nnarain@college.harvard.edu</t>
  </si>
  <si>
    <t>Jared.Nash@tufts.edu</t>
  </si>
  <si>
    <t>Nathanson, Jake</t>
  </si>
  <si>
    <t>jtnathan@brandeis.edu</t>
  </si>
  <si>
    <t>defensetech@ufl.edu</t>
  </si>
  <si>
    <t>Neelakantan, Mekala</t>
  </si>
  <si>
    <t>mneelaka@ucsd.edu</t>
  </si>
  <si>
    <t>Nelson, Ben</t>
  </si>
  <si>
    <t>nelsben@uwec.edu</t>
  </si>
  <si>
    <t>Ng, Billy</t>
  </si>
  <si>
    <t>choknam@hotmail.com</t>
  </si>
  <si>
    <t>Ng, Jason</t>
  </si>
  <si>
    <t>Jason33160@gmail.com</t>
  </si>
  <si>
    <t>ng10@illinois.edu</t>
  </si>
  <si>
    <t>tue.ngo001@umb.edu</t>
  </si>
  <si>
    <t>hnguyen64@student.gsu.edu</t>
  </si>
  <si>
    <t>Nguyen, Jasmine</t>
  </si>
  <si>
    <t>Nguyen, Minh Hein</t>
  </si>
  <si>
    <t>Nguyen, Nguyen</t>
  </si>
  <si>
    <t>pnguye103@mb.rctc.edu</t>
  </si>
  <si>
    <t>Nguyen, Tue</t>
  </si>
  <si>
    <t>Nhul, Sompos</t>
  </si>
  <si>
    <t>nhulx008@umn.edu</t>
  </si>
  <si>
    <t>Ni, Kang</t>
  </si>
  <si>
    <t>kn66@duke.edu</t>
  </si>
  <si>
    <t>Scott.Nicholson@tufts.edu</t>
  </si>
  <si>
    <t>Nicoletti, Nicholas</t>
  </si>
  <si>
    <t>nicholasnicoletti@hotmail.com</t>
  </si>
  <si>
    <t>Nie, Tian</t>
  </si>
  <si>
    <t>tnie@caltech.edu</t>
  </si>
  <si>
    <t>Nielson, Rob</t>
  </si>
  <si>
    <t>Ning, Fei</t>
  </si>
  <si>
    <t>Nisanov, Pinkhas</t>
  </si>
  <si>
    <t>pinkhasemail@aol.com</t>
  </si>
  <si>
    <t>Nong, Yuandi</t>
  </si>
  <si>
    <t>O'Conner, Shane</t>
  </si>
  <si>
    <t>shaneo@student.umass.edu</t>
  </si>
  <si>
    <t>Oh, Changkeun</t>
  </si>
  <si>
    <t>ohxxx251@umn.edu</t>
  </si>
  <si>
    <t>Oh, Namkyu</t>
  </si>
  <si>
    <t>Olayode, Babatunde</t>
  </si>
  <si>
    <t>odie93@uab.edu</t>
  </si>
  <si>
    <t>Ordonez, Rafael</t>
  </si>
  <si>
    <t>rordonez@email.wm.edu</t>
  </si>
  <si>
    <t>Ou, Jingxu</t>
  </si>
  <si>
    <t>satya923@hotmail.com</t>
  </si>
  <si>
    <t>Ox, Jingxu</t>
  </si>
  <si>
    <t>Pade, Rilwan</t>
  </si>
  <si>
    <t>Palandrano, JP</t>
  </si>
  <si>
    <t>Palwai, Sri Dattha Reddy</t>
  </si>
  <si>
    <t>palwais@onid.orst.edu</t>
  </si>
  <si>
    <t>pambu002@umn.edu</t>
  </si>
  <si>
    <t>Pao, Roxana</t>
  </si>
  <si>
    <t>roxanawingyi.pao@mail.utoronto.ca</t>
  </si>
  <si>
    <t>Park, Yongjoo</t>
  </si>
  <si>
    <t>Parker, Nick</t>
  </si>
  <si>
    <t>parker.nick@student.gsu.edu</t>
  </si>
  <si>
    <t>pasricha.manu@uga.edu</t>
  </si>
  <si>
    <t>sap1030@nyu.edu</t>
  </si>
  <si>
    <t>aylabear420@aol.com</t>
  </si>
  <si>
    <t>kpech10@mail.bw.edu</t>
  </si>
  <si>
    <t>dgp43@drexel.edu</t>
  </si>
  <si>
    <t>Pei, Tugheng</t>
  </si>
  <si>
    <t>peng0165@umn.edu</t>
  </si>
  <si>
    <t>Pereyra, Patricio</t>
  </si>
  <si>
    <t>patricpereyra@gmail.com</t>
  </si>
  <si>
    <t>Perez, Roberto</t>
  </si>
  <si>
    <t>Perras, Federic</t>
  </si>
  <si>
    <t>Petrosyan, Vahan</t>
  </si>
  <si>
    <t>d_petzold300@yahoo.com</t>
  </si>
  <si>
    <t>phadnisanish@gmail.com</t>
  </si>
  <si>
    <t>phamq1@seattleu.edu</t>
  </si>
  <si>
    <t>Phan, Mimi</t>
  </si>
  <si>
    <t>Phillips, Daniel</t>
  </si>
  <si>
    <t>Daniel_Phillips@baylor.edu</t>
  </si>
  <si>
    <t>Phillips, Logan</t>
  </si>
  <si>
    <t>lmphillips@crimson.ua.edu</t>
  </si>
  <si>
    <t>Phu, Nancy</t>
  </si>
  <si>
    <t>geoffrey.pietrovito.09@cnu.edu</t>
  </si>
  <si>
    <t>Pilavin, Spencer</t>
  </si>
  <si>
    <t>Pina, Alfredo</t>
  </si>
  <si>
    <t>apina@siue.edu</t>
  </si>
  <si>
    <t>Pinapati, Richard</t>
  </si>
  <si>
    <t>joshua.a.kersmar.1@nd.edu</t>
  </si>
  <si>
    <t>Piper, Bradley</t>
  </si>
  <si>
    <t>Bradley_Piper@baylor.edu</t>
  </si>
  <si>
    <t>mrvp2000@aol.com</t>
  </si>
  <si>
    <t>nickpoku@yahoo.com</t>
  </si>
  <si>
    <t>lemohican2001@hotmail.com</t>
  </si>
  <si>
    <t>Popkin, Andrew</t>
  </si>
  <si>
    <t>apopkin@uoregon.edu</t>
  </si>
  <si>
    <t>Post, Kyle</t>
  </si>
  <si>
    <t>post.kyle@gatech.edu</t>
  </si>
  <si>
    <t>tpotnis@vt.edu</t>
  </si>
  <si>
    <t>Pratt, Logan</t>
  </si>
  <si>
    <t>loganpratticus@gmail.com</t>
  </si>
  <si>
    <t>Preiss, Austin</t>
  </si>
  <si>
    <t>apreiss21@gmail.com</t>
  </si>
  <si>
    <t>Pu, Shi</t>
  </si>
  <si>
    <t>Qi, Yuchen</t>
  </si>
  <si>
    <t>QiYuchen@emory.edu</t>
  </si>
  <si>
    <t>Qian, Han (Laura)</t>
  </si>
  <si>
    <t>laurencelaura@163.com</t>
  </si>
  <si>
    <t>sean8000@gmail.com</t>
  </si>
  <si>
    <t>Qiu, Yudong</t>
  </si>
  <si>
    <t>qiu.yudong@uga.edu</t>
  </si>
  <si>
    <t>shammech68@gmail.com</t>
  </si>
  <si>
    <t>ozr8029@g.rit.edu</t>
  </si>
  <si>
    <t>kannanraju3@gmail.com</t>
  </si>
  <si>
    <t>Ramakrishnan, Jagdish</t>
  </si>
  <si>
    <t>jagdish@mit.edu</t>
  </si>
  <si>
    <t>Ramakrishnan, Vivek</t>
  </si>
  <si>
    <t>vr2317@columbia.edu</t>
  </si>
  <si>
    <t>frami006@ucr.edu</t>
  </si>
  <si>
    <t>mrana8490@gmail.com</t>
  </si>
  <si>
    <t>cooljr30@hotmail.com</t>
  </si>
  <si>
    <t>Rao, Arhent</t>
  </si>
  <si>
    <t>Bowenrao1991@gmail.com</t>
  </si>
  <si>
    <t>nqr5076@psu.edu</t>
  </si>
  <si>
    <t>mrattu00@ccny.cuny.edu</t>
  </si>
  <si>
    <t>Raymond, Zhao</t>
  </si>
  <si>
    <t>yren2@nd.edu</t>
  </si>
  <si>
    <t>Raza, Irtaza</t>
  </si>
  <si>
    <t>mariorazo23@gmail.com</t>
  </si>
  <si>
    <t>Reft, Luke</t>
  </si>
  <si>
    <t>lreft12@gmail.com</t>
  </si>
  <si>
    <t>Ren, Yihui</t>
  </si>
  <si>
    <t>Riaz, Bilal</t>
  </si>
  <si>
    <t>Richards, Devonte</t>
  </si>
  <si>
    <t>ring.79@osu.edu</t>
  </si>
  <si>
    <t>Rivera, Alonso</t>
  </si>
  <si>
    <t>riccardo08@hotmail.com</t>
  </si>
  <si>
    <t>Roden, Devon</t>
  </si>
  <si>
    <t>rodend@mail.gvsu.edu</t>
  </si>
  <si>
    <t>Roeder, Jonathon</t>
  </si>
  <si>
    <t>jroeder@siue.edu</t>
  </si>
  <si>
    <t>IQR5023@psu.edu</t>
  </si>
  <si>
    <t>Romonti, Ciprian</t>
  </si>
  <si>
    <t>cromonti@mail.usf.edu</t>
  </si>
  <si>
    <t>chewie1130@comcast.net</t>
  </si>
  <si>
    <t>Roychowdany, Shamik</t>
  </si>
  <si>
    <t>shamik.roychowdany@vanderbilt.edu</t>
  </si>
  <si>
    <t>sadvakk@stthom.edu</t>
  </si>
  <si>
    <t>Saha, Krish</t>
  </si>
  <si>
    <t>ksaha1@slu.edu</t>
  </si>
  <si>
    <t>Sahu, Vikash</t>
  </si>
  <si>
    <t>vsahu@terpmail.umd.edu</t>
  </si>
  <si>
    <t>Salamone, Luke</t>
  </si>
  <si>
    <t>Salat, Kevin</t>
  </si>
  <si>
    <t>Samargandi, Mustafa</t>
  </si>
  <si>
    <t>mas188@uakron.edu</t>
  </si>
  <si>
    <t>asampath@masonlive.gmu.edu</t>
  </si>
  <si>
    <t>tsangoi@slu.edu</t>
  </si>
  <si>
    <t>manmanandboyboy_101@msn.com</t>
  </si>
  <si>
    <t>Santos, Nikko</t>
  </si>
  <si>
    <t>saai33@bu.edu</t>
  </si>
  <si>
    <t>jon_savage_90@yahoo.com</t>
  </si>
  <si>
    <t>Savastinuk, John</t>
  </si>
  <si>
    <t>jpsavast@millersville.edu</t>
  </si>
  <si>
    <t>Savino, Devon</t>
  </si>
  <si>
    <t>Alexander.Scaramucci@tufts.edu</t>
  </si>
  <si>
    <t>graysonscheiner@gmail.com</t>
  </si>
  <si>
    <t>Schimpf, Zachary</t>
  </si>
  <si>
    <t>zschimp@siue.edu</t>
  </si>
  <si>
    <t>paul_s@mit.edu</t>
  </si>
  <si>
    <t>Schuler, Gabe</t>
  </si>
  <si>
    <t>gas100@francis.edu</t>
  </si>
  <si>
    <t>Schwartz, Nathan</t>
  </si>
  <si>
    <t>schwartz.nathan@student.gsu.edu</t>
  </si>
  <si>
    <t>Schwind.brian@furman.edu</t>
  </si>
  <si>
    <t>Secrest, Stephen</t>
  </si>
  <si>
    <t>catz_n_pups@hotmail.com</t>
  </si>
  <si>
    <t>Semione, Matthew</t>
  </si>
  <si>
    <t>chintan1019@gmail.com</t>
  </si>
  <si>
    <t>Sevcik, Brad</t>
  </si>
  <si>
    <t>Shah, Aable</t>
  </si>
  <si>
    <t>vs1@uw.edu</t>
  </si>
  <si>
    <t>fs0319@westminstercollege.edu</t>
  </si>
  <si>
    <t>Shane, Jeremy</t>
  </si>
  <si>
    <t>jeremyshane81@yahoo.com</t>
  </si>
  <si>
    <t>Shankar, Tushar</t>
  </si>
  <si>
    <t>tshanker@bu.edu</t>
  </si>
  <si>
    <t>xiang.g.gao@gmail.com</t>
  </si>
  <si>
    <t>bsharma@ncsu.edu</t>
  </si>
  <si>
    <t>Shaw, Matthew</t>
  </si>
  <si>
    <t>shawma@mail.gvsu.edu</t>
  </si>
  <si>
    <t>eos2109@columbia.edu</t>
  </si>
  <si>
    <t>charlieshen2007@gmail.com</t>
  </si>
  <si>
    <t>Sherman, Vadim</t>
  </si>
  <si>
    <t>vsherman@bu.edu</t>
  </si>
  <si>
    <t>Shi, Xiao Chen</t>
  </si>
  <si>
    <t>Shipley, Colin</t>
  </si>
  <si>
    <t>Shipton, Mitchell</t>
  </si>
  <si>
    <t>mshipto@siue.edu</t>
  </si>
  <si>
    <t>Simpson, Jess</t>
  </si>
  <si>
    <t>jess.simpson@sbcglobal.net</t>
  </si>
  <si>
    <t>Simpson, Travis</t>
  </si>
  <si>
    <t>travis.simpson@uconn.edu</t>
  </si>
  <si>
    <t>james.sit102@gmail.com</t>
  </si>
  <si>
    <t>Skolnick, Gabriel</t>
  </si>
  <si>
    <t>gabrielskolnick@yahoo.com</t>
  </si>
  <si>
    <t>Slepchuk, Alec</t>
  </si>
  <si>
    <t>alec.slepchuk@gmail.com</t>
  </si>
  <si>
    <t>Solakov, Billy</t>
  </si>
  <si>
    <t>Solano, Heriberto</t>
  </si>
  <si>
    <t>xiaoweisong@yahoo.com</t>
  </si>
  <si>
    <t>Song, Hao</t>
  </si>
  <si>
    <t>Song, Hongjin</t>
  </si>
  <si>
    <t>hongjins@uoregon.edu</t>
  </si>
  <si>
    <t>Song, Pamela</t>
  </si>
  <si>
    <t>Sorba, Vincent</t>
  </si>
  <si>
    <t>vincentsorba@gmail.com</t>
  </si>
  <si>
    <t>Southard, Houston</t>
  </si>
  <si>
    <t>hws4@zips.uakron.edu</t>
  </si>
  <si>
    <t>ksramek09@mail.bw.edu</t>
  </si>
  <si>
    <t>sriva054@umn.edu</t>
  </si>
  <si>
    <t>Stephens, Skylar</t>
  </si>
  <si>
    <t>Strand, Landon</t>
  </si>
  <si>
    <t>Strother, Brandon</t>
  </si>
  <si>
    <t>brandonstrother@my.unt.edu</t>
  </si>
  <si>
    <t>Su, Eric</t>
  </si>
  <si>
    <t>Su, Mavis</t>
  </si>
  <si>
    <t>Su, Yujian</t>
  </si>
  <si>
    <t>Su, Zhaolun</t>
  </si>
  <si>
    <t>Subasi, Omer</t>
  </si>
  <si>
    <t>omer_subasi25@hotmail.com</t>
  </si>
  <si>
    <t>sts09c@my.fsu.edu</t>
  </si>
  <si>
    <t>Sun, Kevin</t>
  </si>
  <si>
    <t>kevinsun6791@yahoo.com</t>
  </si>
  <si>
    <t>Sun, Qi</t>
  </si>
  <si>
    <t>sunny.sun@duke.edu</t>
  </si>
  <si>
    <t>Sun, Wei</t>
  </si>
  <si>
    <t>Sun, Xiaomin</t>
  </si>
  <si>
    <t>xs2186@columbia.ed</t>
  </si>
  <si>
    <t>Sun, Zhenxu</t>
  </si>
  <si>
    <t>Sur, Shakya</t>
  </si>
  <si>
    <t>ssur@usc.edu</t>
  </si>
  <si>
    <t>Suter, Riley</t>
  </si>
  <si>
    <t>Sutherland, Tyler</t>
  </si>
  <si>
    <t>sutherland.tyler@srudent.gsu.edu</t>
  </si>
  <si>
    <t>Tackie, Nii</t>
  </si>
  <si>
    <t>tacki1na@cmich.edu</t>
  </si>
  <si>
    <t>Taevin, Gove</t>
  </si>
  <si>
    <t>Taguchi, Atsushi</t>
  </si>
  <si>
    <t>atsushi.taguchi@yale.edu</t>
  </si>
  <si>
    <t>Tan, Bowen</t>
  </si>
  <si>
    <t>c.tan0801@gmail.com</t>
  </si>
  <si>
    <t>Tan, Kai Lin</t>
  </si>
  <si>
    <t>mytan520@gmail.com</t>
  </si>
  <si>
    <t>Tang, Daniel</t>
  </si>
  <si>
    <t>hxt5042@psu.edu</t>
  </si>
  <si>
    <t>Tang, Kevin</t>
  </si>
  <si>
    <t>letang@design.upenn.edu</t>
  </si>
  <si>
    <t>Tao, Jenny</t>
  </si>
  <si>
    <t>jennyztao@yahoo.ca</t>
  </si>
  <si>
    <t>hassantariq004@hotmail.com</t>
  </si>
  <si>
    <t>sam_8520@hotmail.com</t>
  </si>
  <si>
    <t>Tatiossian, Kristina</t>
  </si>
  <si>
    <t>btay@ucla.edu</t>
  </si>
  <si>
    <t>Taylor, Louis</t>
  </si>
  <si>
    <t>ltaylor7@tulane.edu</t>
  </si>
  <si>
    <t>Taylor, Quinton</t>
  </si>
  <si>
    <t>ayt061000@utdallas.edu</t>
  </si>
  <si>
    <t>Tee, Kai</t>
  </si>
  <si>
    <t>kaiyang.tee@wustl.edu</t>
  </si>
  <si>
    <t>Tei, Mika</t>
  </si>
  <si>
    <t>mtei1@jhu.edu</t>
  </si>
  <si>
    <t>Teng, Weichen</t>
  </si>
  <si>
    <t>Terry, Ben</t>
  </si>
  <si>
    <t>Beterry12@Gmail.com</t>
  </si>
  <si>
    <t>Tessmer, John</t>
  </si>
  <si>
    <t>JBT656@lionmail.lindenwood.edu</t>
  </si>
  <si>
    <t>Thakur, Chandan</t>
  </si>
  <si>
    <t>i.thevenin@hotmail.fr</t>
  </si>
  <si>
    <t>matster2010@gmail.com</t>
  </si>
  <si>
    <t>Thompson, Eli</t>
  </si>
  <si>
    <t>thompses@muohio.edu</t>
  </si>
  <si>
    <t>Ting, Clark</t>
  </si>
  <si>
    <t>Tittel, Timothy</t>
  </si>
  <si>
    <t>mst100@francis.edu</t>
  </si>
  <si>
    <t>wentoh@nyu.edu</t>
  </si>
  <si>
    <t>Tollison, Alex</t>
  </si>
  <si>
    <t>tollisoa@uwec.edu</t>
  </si>
  <si>
    <t>got5044@psu.edu</t>
  </si>
  <si>
    <t>Tono, Akane</t>
  </si>
  <si>
    <t>tounoakane@hotmail.co.jp</t>
  </si>
  <si>
    <t>Tran, Andrew</t>
  </si>
  <si>
    <t>huy@zip97000.com</t>
  </si>
  <si>
    <t>lawrencetran2013@u.northwestern.edu</t>
  </si>
  <si>
    <t>Tran, Tuyen</t>
  </si>
  <si>
    <t>txt2@zips.uakron.edu</t>
  </si>
  <si>
    <t>Trevino, Bradford</t>
  </si>
  <si>
    <t>bwt45@msstate.edu</t>
  </si>
  <si>
    <t>truonghx@vcu.edu</t>
  </si>
  <si>
    <t>tmt08@my.fsu.edu</t>
  </si>
  <si>
    <t>shihtsai@usc.edu</t>
  </si>
  <si>
    <t>cytsai0923@siu.edu</t>
  </si>
  <si>
    <t>Tsai, Jeffrey</t>
  </si>
  <si>
    <t>Tsai, Kevin (CA)</t>
  </si>
  <si>
    <t>kxt120430@utdallas.edu</t>
  </si>
  <si>
    <t>Tsai, Kevin (TX)</t>
  </si>
  <si>
    <t>Tsang, Sheena</t>
  </si>
  <si>
    <t>Tse, Angus</t>
  </si>
  <si>
    <t>angus_louvius@yahoo.com.hk</t>
  </si>
  <si>
    <t>Tsogkhuu, Bayarjargal</t>
  </si>
  <si>
    <t>t_bayarjargal@yahoo.com</t>
  </si>
  <si>
    <t>tuglo.emmanuel@uga.edu</t>
  </si>
  <si>
    <t>Tungare, Kunal</t>
  </si>
  <si>
    <t>kunal.tungare@gmail.com</t>
  </si>
  <si>
    <t>Tweed-Kent, Christopher</t>
  </si>
  <si>
    <t>cjt14@duke.edu</t>
  </si>
  <si>
    <t>Ulziibayar, Tumenbayar</t>
  </si>
  <si>
    <t>TU899@lionmail.lindenwood.edu</t>
  </si>
  <si>
    <t>Usry, Christian</t>
  </si>
  <si>
    <t>Vaidyanathan, Harish</t>
  </si>
  <si>
    <t>harishsrinivas89@gmail.com</t>
  </si>
  <si>
    <t>Valdez, Jonathan</t>
  </si>
  <si>
    <t>shakezula789@hotmail.com</t>
  </si>
  <si>
    <t>Van Brussel, Avery</t>
  </si>
  <si>
    <t>acv10@students.uwf.edu</t>
  </si>
  <si>
    <t>VanBibber, Brandon</t>
  </si>
  <si>
    <t>vanhor00@mc.edu</t>
  </si>
  <si>
    <t>Vaturi, Sharon</t>
  </si>
  <si>
    <t>Vazeer, Durraiz</t>
  </si>
  <si>
    <t>Vella, Michael</t>
  </si>
  <si>
    <t>Venkateswaran, Krishna</t>
  </si>
  <si>
    <t>krishnav@usc.edu</t>
  </si>
  <si>
    <t>Verbitzky, Alan</t>
  </si>
  <si>
    <t>zeeman099@aol.com</t>
  </si>
  <si>
    <t>Vo, Hung</t>
  </si>
  <si>
    <t>Vong, Pernell</t>
  </si>
  <si>
    <t>Voss, Ryan</t>
  </si>
  <si>
    <t>ryvoss@siue.edu</t>
  </si>
  <si>
    <t>Vu, Dat</t>
  </si>
  <si>
    <t>vuxxx167@umn.edu</t>
  </si>
  <si>
    <t>Vucovich, Brandon</t>
  </si>
  <si>
    <t>btv2@students.uwf.edu</t>
  </si>
  <si>
    <t>rww2101@columbia.edu</t>
  </si>
  <si>
    <t>Wakschlag, Andrew</t>
  </si>
  <si>
    <t>ewaks.613@gmail.com</t>
  </si>
  <si>
    <t>jaw0004@uah.edu</t>
  </si>
  <si>
    <t>Wall, Vanessa</t>
  </si>
  <si>
    <t>vwall@nd.edu</t>
  </si>
  <si>
    <t>da.wan19890325@gmail.com</t>
  </si>
  <si>
    <t>alexwang@mit.edu</t>
  </si>
  <si>
    <t>Wang, Andrew</t>
  </si>
  <si>
    <t>amwang@student.umass.edu</t>
  </si>
  <si>
    <t>wenting0713@gmail.com</t>
  </si>
  <si>
    <t>Wang, Chiao-Hsuan</t>
  </si>
  <si>
    <t>chwang71@umd.edu</t>
  </si>
  <si>
    <t>dw2071@columbia.edu</t>
  </si>
  <si>
    <t>thangbui1294@gmail.com</t>
  </si>
  <si>
    <t>Wang, Henry (KU)</t>
  </si>
  <si>
    <t>Wang, Jiali</t>
  </si>
  <si>
    <t>jvw5178@psu.edu</t>
  </si>
  <si>
    <t>Wang, Jialing</t>
  </si>
  <si>
    <t>wang.jialing@uga.edu</t>
  </si>
  <si>
    <t>Wang, Junyi</t>
  </si>
  <si>
    <t>junyiw63@uw.edu</t>
  </si>
  <si>
    <t>wang.kun@uga.edu</t>
  </si>
  <si>
    <t>Wang, Lingtao</t>
  </si>
  <si>
    <t>lingtao@usc.edu</t>
  </si>
  <si>
    <t>Wang, Mengying</t>
  </si>
  <si>
    <t>mengying.wang001@umb.edu</t>
  </si>
  <si>
    <t>Wang, Qinan</t>
  </si>
  <si>
    <t>wang19@cmich.edu</t>
  </si>
  <si>
    <t>Wang, ShaoZhen</t>
  </si>
  <si>
    <t>shenwang92@gmail.com</t>
  </si>
  <si>
    <t>Wang, Wan Ting</t>
  </si>
  <si>
    <t>Wang, Yuxiang</t>
  </si>
  <si>
    <t>wangzy853@gmail.com</t>
  </si>
  <si>
    <t>Wang (UGA), Henry</t>
  </si>
  <si>
    <t>Wei, Jennifer</t>
  </si>
  <si>
    <t>jennifer.wei@yale.edu</t>
  </si>
  <si>
    <t>WeiJie, Xie</t>
  </si>
  <si>
    <t>atw5062@psu.edu</t>
  </si>
  <si>
    <t>Weiss, Alex</t>
  </si>
  <si>
    <t>weisssander@gmail.com</t>
  </si>
  <si>
    <t>Weiss, John</t>
  </si>
  <si>
    <t>weiss_j@gwmail.gwu.edu</t>
  </si>
  <si>
    <t>Wesley, Stoller</t>
  </si>
  <si>
    <t>Stoller.58@osu.edu</t>
  </si>
  <si>
    <t>cwheeler10@student.edu</t>
  </si>
  <si>
    <t>Wilkinson, Alex</t>
  </si>
  <si>
    <t>Willet, Chris</t>
  </si>
  <si>
    <t>Rahwilliams@valdosta.edu</t>
  </si>
  <si>
    <t>Winter, Thomas</t>
  </si>
  <si>
    <t>Wong, Catharine</t>
  </si>
  <si>
    <t>catharinewong@hotmail.com</t>
  </si>
  <si>
    <t>Wong, Holly</t>
  </si>
  <si>
    <t>wonghc3@mcmaster.ca</t>
  </si>
  <si>
    <t>Wong, Matthew</t>
  </si>
  <si>
    <t>fai19892003@hotmail.com</t>
  </si>
  <si>
    <t>Wu, Jasmin</t>
  </si>
  <si>
    <t>Wujh2@mcmaster,ca</t>
  </si>
  <si>
    <t>johnwu5000@gmail.com</t>
  </si>
  <si>
    <t>Wu, Kenneth</t>
  </si>
  <si>
    <t>Ming-Ru.Wu.GR@Dartmouth.edu</t>
  </si>
  <si>
    <t>nxw102@francis.edu</t>
  </si>
  <si>
    <t>patrick.wu@nyu.edu</t>
  </si>
  <si>
    <t>zhuohuawu0603@gmail.com</t>
  </si>
  <si>
    <t>Wysong, Jeff</t>
  </si>
  <si>
    <t>gxia001@ucr.edu</t>
  </si>
  <si>
    <t>Xia, Hui</t>
  </si>
  <si>
    <t>Xia, Lu</t>
  </si>
  <si>
    <t>Xia, Yi</t>
  </si>
  <si>
    <t>yimaverickxia@gmail.com</t>
  </si>
  <si>
    <t>Xiao, William</t>
  </si>
  <si>
    <t>wxiao@college.harvard.edu</t>
  </si>
  <si>
    <t>Xiao, Yuhan</t>
  </si>
  <si>
    <t>xiao.yuhan@gatech.edu</t>
  </si>
  <si>
    <t>Xing, Peter</t>
  </si>
  <si>
    <t>Xu, Bowen</t>
  </si>
  <si>
    <t>xub@uwec.edu</t>
  </si>
  <si>
    <t>Xu, Can</t>
  </si>
  <si>
    <t>Xu, Dan</t>
  </si>
  <si>
    <t>xzhw39@gmail.com</t>
  </si>
  <si>
    <t>Yan, Jiefan</t>
  </si>
  <si>
    <t>yanjiefan@live.com</t>
  </si>
  <si>
    <t>Yan, Jinhui</t>
  </si>
  <si>
    <t>jiyo71@ucsd.edu</t>
  </si>
  <si>
    <t>Yandon, Robert</t>
  </si>
  <si>
    <t>Yang, Bernie</t>
  </si>
  <si>
    <t>Yang, Ling Kun</t>
  </si>
  <si>
    <t>lingkun.yang@facebok.com</t>
  </si>
  <si>
    <t>sy1162@nyu.edu</t>
  </si>
  <si>
    <t>Yang, Wenxiang</t>
  </si>
  <si>
    <t>Yang, WonJae</t>
  </si>
  <si>
    <t>wjbyang@bu.edu</t>
  </si>
  <si>
    <t>Yang, Wu</t>
  </si>
  <si>
    <t>yzywu7@hotmail.com</t>
  </si>
  <si>
    <t>jenny.yao@duke.edu</t>
  </si>
  <si>
    <t>yao.55@osu.edu</t>
  </si>
  <si>
    <t>yuanyao@usc.edu</t>
  </si>
  <si>
    <t>Ye, Hang</t>
  </si>
  <si>
    <t>yehang1985@gmail.com</t>
  </si>
  <si>
    <t>Yeap, Tony</t>
  </si>
  <si>
    <t>tyeap@ggc.edu</t>
  </si>
  <si>
    <t>Yeo, Minsoo</t>
  </si>
  <si>
    <t>minsooy@uab.edu</t>
  </si>
  <si>
    <t>Yi, Li Li</t>
  </si>
  <si>
    <t>Yi, Xiyu</t>
  </si>
  <si>
    <t>xiyuyi@chem.ucla.edu</t>
  </si>
  <si>
    <t>yim_tt01@hotmail.com</t>
  </si>
  <si>
    <t>Yin, Li</t>
  </si>
  <si>
    <t>You, Justin</t>
  </si>
  <si>
    <t>jyu103@mb.rctc.edu</t>
  </si>
  <si>
    <t>Yu, Jiou</t>
  </si>
  <si>
    <t>jiou.yu@yale.edu</t>
  </si>
  <si>
    <t>919558490@qq.com</t>
  </si>
  <si>
    <t>Yu, Ronald</t>
  </si>
  <si>
    <t>ronaldiscool@gmail.com</t>
  </si>
  <si>
    <t>sy1020@nyu.edu</t>
  </si>
  <si>
    <t>hensha2007@hotmail.com</t>
  </si>
  <si>
    <t>Yuan, Jimmy</t>
  </si>
  <si>
    <t>yuanji@sas.upenn.edu</t>
  </si>
  <si>
    <t>Yuan, Jing</t>
  </si>
  <si>
    <t>jyuan@ncsu.edu</t>
  </si>
  <si>
    <t>jingze.yuan001@umb.edu</t>
  </si>
  <si>
    <t>CZe9359656@aol.com</t>
  </si>
  <si>
    <t>Zhai, Henry Xuehao</t>
  </si>
  <si>
    <t>zhaixuehao88163@gmail.com</t>
  </si>
  <si>
    <t>yz3fq@virginia.edu</t>
  </si>
  <si>
    <t>denniszhan2013@u.northwestern.edu</t>
  </si>
  <si>
    <t>Zhang, Hao</t>
  </si>
  <si>
    <t>8hz6@queensu.ca</t>
  </si>
  <si>
    <t>Zhang, Jiefu</t>
  </si>
  <si>
    <t>jeffzhang@wustl.edu</t>
  </si>
  <si>
    <t>Zhang, Lance</t>
  </si>
  <si>
    <t>luwen8998@26.com</t>
  </si>
  <si>
    <t>Zhang, Nan</t>
  </si>
  <si>
    <t>Zhang, Rockie Zihui</t>
  </si>
  <si>
    <t>Zhang, Rongge</t>
  </si>
  <si>
    <t>rzhan22@uwo.ca</t>
  </si>
  <si>
    <t>Zhang, Sarina</t>
  </si>
  <si>
    <t>8yz16@queensu.ca</t>
  </si>
  <si>
    <t>zhangs10@rpi.edu</t>
  </si>
  <si>
    <t>Zhang, Steven</t>
  </si>
  <si>
    <t>Zhang, Tian Tianjiao</t>
  </si>
  <si>
    <t>zhang.xiaodan@gatech.edu</t>
  </si>
  <si>
    <t>Zhang, Xinlei</t>
  </si>
  <si>
    <t>xzhang62@jhu.edu</t>
  </si>
  <si>
    <t>Zhang, Yifan</t>
  </si>
  <si>
    <t>Zhang, Yiwen</t>
  </si>
  <si>
    <t>zhang.yiwen@uga.edu</t>
  </si>
  <si>
    <t>Zhang, Yupeng</t>
  </si>
  <si>
    <t>yzhang70@slu.edu</t>
  </si>
  <si>
    <t>Zhang, Zhenya</t>
  </si>
  <si>
    <t>Zhao, Franz</t>
  </si>
  <si>
    <t>zmuzik236@gmail.com</t>
  </si>
  <si>
    <t>Zhao, JiaCheng</t>
  </si>
  <si>
    <t>kevin.zhao@drexel.edu</t>
  </si>
  <si>
    <t>ran.zhao@utoronto.ca</t>
  </si>
  <si>
    <t>zhaoyucheng0212@gmail.com</t>
  </si>
  <si>
    <t>Zhao, Sandy</t>
  </si>
  <si>
    <t>Zhao, Wenhui (Clover)</t>
  </si>
  <si>
    <t>Zhen, Nina</t>
  </si>
  <si>
    <t>jv40775@umbc.edu</t>
  </si>
  <si>
    <t>Zhen, Yicun</t>
  </si>
  <si>
    <t>yqz5128@psu.edu</t>
  </si>
  <si>
    <t>andrewzheng2014@u.northwestern.edu</t>
  </si>
  <si>
    <t>jacky.zheng@baruchmail.cuny.edu</t>
  </si>
  <si>
    <t>Zheng, Sammy</t>
  </si>
  <si>
    <t>sammy.zheng@baruchmail.cuny.edu</t>
  </si>
  <si>
    <t>Zheng, Shannon</t>
  </si>
  <si>
    <t>yz6zt@virginia.edu</t>
  </si>
  <si>
    <t>304593996@qq.com</t>
  </si>
  <si>
    <t>Zhong, Yayu</t>
  </si>
  <si>
    <t>yayuz@sas.upenn.edu</t>
  </si>
  <si>
    <t>Zhou, Andi</t>
  </si>
  <si>
    <t>Zhou, Da</t>
  </si>
  <si>
    <t>dz2243@columbia.edu</t>
  </si>
  <si>
    <t>Zhou, Jia</t>
  </si>
  <si>
    <t>vivienzhou2010@hotmail.com</t>
  </si>
  <si>
    <t>Zhou, Yi</t>
  </si>
  <si>
    <t>yizhou@my.unt.edu</t>
  </si>
  <si>
    <t>Zhou, Yu</t>
  </si>
  <si>
    <t>Zhu, Bingcong</t>
  </si>
  <si>
    <t>bz2206@columbia.edu</t>
  </si>
  <si>
    <t>zhu21043@verizon.net</t>
  </si>
  <si>
    <t>Zhu, Hanging</t>
  </si>
  <si>
    <t>Zhu, Li Heng</t>
  </si>
  <si>
    <t>zhuliheng1994@163.com</t>
  </si>
  <si>
    <t>Zhu, Xianhuan</t>
  </si>
  <si>
    <t>Zhu, Xinya</t>
  </si>
  <si>
    <t>xz2308@columbia.edu</t>
  </si>
  <si>
    <t>yxz107@case.edu</t>
  </si>
  <si>
    <t>yzhu@caltech.edu</t>
  </si>
  <si>
    <t>Zhuang, Nuifan</t>
  </si>
  <si>
    <t>zhuang198911@ufl.edu</t>
  </si>
  <si>
    <t>Zuo, Huayu</t>
  </si>
  <si>
    <t>hzgh3@mail.missouri.edu</t>
  </si>
  <si>
    <t>Moved location of "Official/Scrimmage" to print on page 1 only.  Refreshed the RATINGLIST with ratings from the FA12 semester.</t>
  </si>
  <si>
    <t>2.03</t>
  </si>
  <si>
    <t>Updated INSTRUCTIONS to remove references to RatingsCentral.com.  Added opponent's roster to MATCH_ROSTERS.</t>
  </si>
  <si>
    <t>For the Red box #2, the player's NCTTA Player ID will automatically be displayed in Column B if</t>
  </si>
  <si>
    <t>so that the NCTTA can assign them an unique ID number in which to track their</t>
  </si>
  <si>
    <t>negative number.  To do that, simply copy and paste a cell that displays a NCTTA Player ID</t>
  </si>
  <si>
    <t>For Red boxes #3 and #4, a NCTTA collegiate rating and player gender will automatically be</t>
  </si>
  <si>
    <t>E-mail a copy of this spreadsheet(s) to results@nctta.org when you are done and be available for questions as a review of the data is conducted before being uploaded to the NCTTA website.</t>
  </si>
  <si>
    <t>Opponent's Roster</t>
  </si>
  <si>
    <t>2.04</t>
  </si>
  <si>
    <t>Updated RATINGLIST.</t>
  </si>
  <si>
    <t xml:space="preserve">Amlan, </t>
  </si>
  <si>
    <t xml:space="preserve">Atamel, </t>
  </si>
  <si>
    <t>Northern Illinois University</t>
  </si>
  <si>
    <t xml:space="preserve">Chahal, </t>
  </si>
  <si>
    <t xml:space="preserve">Chan, </t>
  </si>
  <si>
    <t xml:space="preserve">Cheung, </t>
  </si>
  <si>
    <t xml:space="preserve">Cook, </t>
  </si>
  <si>
    <t xml:space="preserve">Gander, </t>
  </si>
  <si>
    <t xml:space="preserve">Gopi, </t>
  </si>
  <si>
    <t xml:space="preserve">Green, </t>
  </si>
  <si>
    <t xml:space="preserve">Guo, </t>
  </si>
  <si>
    <t>jordna@gmail.com</t>
  </si>
  <si>
    <t xml:space="preserve">Hiary, </t>
  </si>
  <si>
    <t xml:space="preserve">Kahn, </t>
  </si>
  <si>
    <t xml:space="preserve">Kishanell, </t>
  </si>
  <si>
    <t xml:space="preserve">Koganei, </t>
  </si>
  <si>
    <t xml:space="preserve">Kshsahyin, </t>
  </si>
  <si>
    <t xml:space="preserve">Kwong, </t>
  </si>
  <si>
    <t xml:space="preserve">Lagman, </t>
  </si>
  <si>
    <t xml:space="preserve">Lee, </t>
  </si>
  <si>
    <t xml:space="preserve">Liu, </t>
  </si>
  <si>
    <t xml:space="preserve">Lortrattannmo, </t>
  </si>
  <si>
    <t xml:space="preserve">Lowinger, </t>
  </si>
  <si>
    <t xml:space="preserve">Maguluri, </t>
  </si>
  <si>
    <t xml:space="preserve">Masakazu, </t>
  </si>
  <si>
    <t xml:space="preserve">McCorkle, </t>
  </si>
  <si>
    <t>jmenta38@gatech.edu</t>
  </si>
  <si>
    <t xml:space="preserve">Orescovic, </t>
  </si>
  <si>
    <t xml:space="preserve">Phong, </t>
  </si>
  <si>
    <t xml:space="preserve">Priyam, </t>
  </si>
  <si>
    <t>pauloedrocha@hotmail.com</t>
  </si>
  <si>
    <t xml:space="preserve">Siddarth, </t>
  </si>
  <si>
    <t xml:space="preserve">Simon, </t>
  </si>
  <si>
    <t xml:space="preserve">Singh, </t>
  </si>
  <si>
    <t xml:space="preserve">Stevens, </t>
  </si>
  <si>
    <t>yujian.su@vanderbilt.edu</t>
  </si>
  <si>
    <t xml:space="preserve">Sun, </t>
  </si>
  <si>
    <t>qi.sun@vanderbilt.edu</t>
  </si>
  <si>
    <t xml:space="preserve">Wang, </t>
  </si>
  <si>
    <t xml:space="preserve">Wu, </t>
  </si>
  <si>
    <t xml:space="preserve">Zhou, </t>
  </si>
  <si>
    <t xml:space="preserve">Zox, </t>
  </si>
  <si>
    <t>2.05</t>
  </si>
  <si>
    <t>Adjusted RESULTS Column A formula to replace "#N/A" with zero (0).</t>
  </si>
  <si>
    <t>2.06</t>
  </si>
  <si>
    <t>Updated RATINGLIST after completion of Division competition.</t>
  </si>
  <si>
    <t xml:space="preserve"> </t>
  </si>
  <si>
    <t>Abdulhameed, Alhababi</t>
  </si>
  <si>
    <t>aialhababi@crimson.ua.edu</t>
  </si>
  <si>
    <t>Aguilar, Michael</t>
  </si>
  <si>
    <t>maguilar@pdx.edu</t>
  </si>
  <si>
    <t>monalbert.aguiling@facebook.com</t>
  </si>
  <si>
    <t>St. Thomas</t>
  </si>
  <si>
    <t>Al Milad, Rashad</t>
  </si>
  <si>
    <t>mya08c@my.fsu.edu</t>
  </si>
  <si>
    <t>Anderson, Ato</t>
  </si>
  <si>
    <t>aanderson6@student.govst.edu</t>
  </si>
  <si>
    <t>james.anderson5@rockets.utoledo.edu</t>
  </si>
  <si>
    <t>Annadanam, Anvesh</t>
  </si>
  <si>
    <t>aannada1@jhu.edu</t>
  </si>
  <si>
    <t>Arab, Vahid</t>
  </si>
  <si>
    <t>Armour, Mark</t>
  </si>
  <si>
    <t>marmour11@mail.bw.edu</t>
  </si>
  <si>
    <t>Artman, Kirk</t>
  </si>
  <si>
    <t>kbknowsnot@yahoo.com</t>
  </si>
  <si>
    <t>Bahr, Michael</t>
  </si>
  <si>
    <t>michael.bahr@facebook.com</t>
  </si>
  <si>
    <t>Barker-Cortrecht, Thea</t>
  </si>
  <si>
    <t>thea.barker-cortrecht@email.socc.edu</t>
  </si>
  <si>
    <t>Southwest Oregon Community College</t>
  </si>
  <si>
    <t>albatema@buffalo.edu</t>
  </si>
  <si>
    <t>kjbeckstrom@wichita.edu</t>
  </si>
  <si>
    <t>Bell, TerriLee</t>
  </si>
  <si>
    <t>msterrileebell@aol.com</t>
  </si>
  <si>
    <t>Georgia Gwinnett College</t>
  </si>
  <si>
    <t>Bi, Bo</t>
  </si>
  <si>
    <t>bibo@umich.edu</t>
  </si>
  <si>
    <t>bilinski901@hotmail.com</t>
  </si>
  <si>
    <t>Boggess, Adam</t>
  </si>
  <si>
    <t>AMBoggess01@indianatech.edu</t>
  </si>
  <si>
    <t>hynek@utdallas.edu</t>
  </si>
  <si>
    <t>Bouchet, Dorian</t>
  </si>
  <si>
    <t>dfbouche@uwaterloo.ca</t>
  </si>
  <si>
    <t>courtney.brea@yahoo.com</t>
  </si>
  <si>
    <t>wbroderi@oberlin.edu</t>
  </si>
  <si>
    <t>Penn State Worthington Scranton</t>
  </si>
  <si>
    <t>Brooks, Adam</t>
  </si>
  <si>
    <t>AdamC.Brooks@tufts.edu</t>
  </si>
  <si>
    <t>Brown, Andrew</t>
  </si>
  <si>
    <t>atownbrown@facebook.com</t>
  </si>
  <si>
    <t>Brown, Henry</t>
  </si>
  <si>
    <t>hab43@case.edu</t>
  </si>
  <si>
    <t>bunkerm@onid.orst.edu</t>
  </si>
  <si>
    <t>Calafati, Tony</t>
  </si>
  <si>
    <t>ajcalama@oakland.edu</t>
  </si>
  <si>
    <t>Oakland University</t>
  </si>
  <si>
    <t>rcannon@valdosta.edu</t>
  </si>
  <si>
    <t>Cao, Pianpian</t>
  </si>
  <si>
    <t>caop@purdue.edu</t>
  </si>
  <si>
    <t>Cao, Tam</t>
  </si>
  <si>
    <t>caotam@pdx.edu</t>
  </si>
  <si>
    <t>tmc096020@utdallas.edu</t>
  </si>
  <si>
    <t>carte198@msu.edu</t>
  </si>
  <si>
    <t>cyc337@nyu.edu</t>
  </si>
  <si>
    <t>Chairez, Zach</t>
  </si>
  <si>
    <t>thebandmoneen@gmail.com</t>
  </si>
  <si>
    <t>University of Texas Pan American</t>
  </si>
  <si>
    <t>chanjohn86@gmail.com</t>
  </si>
  <si>
    <t>changa1@seattleu.edu</t>
  </si>
  <si>
    <t>changc65@msu.edu</t>
  </si>
  <si>
    <t>jchung13@masonlive.gwu.edu</t>
  </si>
  <si>
    <t>Chang, Summer</t>
  </si>
  <si>
    <t>Charles, Joey</t>
  </si>
  <si>
    <t>realjdc@facebook.com</t>
  </si>
  <si>
    <t>itzhenry@facebook.com</t>
  </si>
  <si>
    <t>ajchen@syr.edu</t>
  </si>
  <si>
    <t>mchu@pratt.edu</t>
  </si>
  <si>
    <t>dnchen8@gmail.com</t>
  </si>
  <si>
    <t>Chen, Haining</t>
  </si>
  <si>
    <t>chen623@purdue.edu</t>
  </si>
  <si>
    <t>Chen, Hando</t>
  </si>
  <si>
    <t>Chen, Jiangwei</t>
  </si>
  <si>
    <t>Jiangweichen@ufl.edu</t>
  </si>
  <si>
    <t>judychen@utexas.edu</t>
  </si>
  <si>
    <t>Chen, Sihao</t>
  </si>
  <si>
    <t>Chen, Weikai</t>
  </si>
  <si>
    <t>Chen_wei_kai@csu.fullerton.edu</t>
  </si>
  <si>
    <t>wchen@oberlin.edu</t>
  </si>
  <si>
    <t>chzhaoy@gmail.com,</t>
  </si>
  <si>
    <t>Chen, Ziwen</t>
  </si>
  <si>
    <t>ziwenc@uci.edu</t>
  </si>
  <si>
    <t>wcheun01@students.poly.edu</t>
  </si>
  <si>
    <t>Chiang, Ason</t>
  </si>
  <si>
    <t>Cho, Se</t>
  </si>
  <si>
    <t>chos@go.stockton.edu</t>
  </si>
  <si>
    <t>Richard Stockton College of New Jersey</t>
  </si>
  <si>
    <t>choib2@mcmaster.ca</t>
  </si>
  <si>
    <t>samsonchongus@utexas.edu</t>
  </si>
  <si>
    <t>Chou, Hung-Ming</t>
  </si>
  <si>
    <t>hmchou@tamu.edu</t>
  </si>
  <si>
    <t>Chu, Michelle</t>
  </si>
  <si>
    <t>chuxx070@umn.edu</t>
  </si>
  <si>
    <t>jdcochran01@indianatech.edu</t>
  </si>
  <si>
    <t>jkcooper@email.wm.edu</t>
  </si>
  <si>
    <t>joseph.coorey@sjsu.edu</t>
  </si>
  <si>
    <t>ecotton1@ithaca.edu</t>
  </si>
  <si>
    <t>Cranford, Jacob</t>
  </si>
  <si>
    <t>jacob.cranford@uah.edu</t>
  </si>
  <si>
    <t>Crissman, Ashley</t>
  </si>
  <si>
    <t>ashcrissman@yahoo.com</t>
  </si>
  <si>
    <t>Crouse, Jake</t>
  </si>
  <si>
    <t>jake.crouse@furman.edu</t>
  </si>
  <si>
    <t>Cui, Tony</t>
  </si>
  <si>
    <t>tony.cui.3990@facebook.com</t>
  </si>
  <si>
    <t>tdahmen@ucdavis.edu</t>
  </si>
  <si>
    <t>Dai, Xiaomeng</t>
  </si>
  <si>
    <t>xiaomend@usc.edu</t>
  </si>
  <si>
    <t>dxd111530@utdallas.edu</t>
  </si>
  <si>
    <t>hdan@uwo.ca</t>
  </si>
  <si>
    <t>DiscoDang@facebook.com</t>
  </si>
  <si>
    <t>skdas@wisc.edu</t>
  </si>
  <si>
    <t>Davis, Cameron</t>
  </si>
  <si>
    <t>EvanD11@csu.fullerton.edu</t>
  </si>
  <si>
    <t>LetsPlayTennis@facebook.com</t>
  </si>
  <si>
    <t>Delwadia, Neil</t>
  </si>
  <si>
    <t>neil.delwadia@duke.edu</t>
  </si>
  <si>
    <t>Desai, Amar</t>
  </si>
  <si>
    <t>asd93@cornell.edu</t>
  </si>
  <si>
    <t>dewanro@bu.edu</t>
  </si>
  <si>
    <t>Dewan, Suneet</t>
  </si>
  <si>
    <t>dewans@carleton.edu</t>
  </si>
  <si>
    <t>Ding, Ji</t>
  </si>
  <si>
    <t>jid@uoregon.edu</t>
  </si>
  <si>
    <t>Ding, Jinlong</t>
  </si>
  <si>
    <t>jinlong.ding@vanderbilt.edu</t>
  </si>
  <si>
    <t>sxd091420@utdallas.edu</t>
  </si>
  <si>
    <t>Ding, Yi</t>
  </si>
  <si>
    <t>yi.ding@duke.edu</t>
  </si>
  <si>
    <t>Djidjev, Stephanie</t>
  </si>
  <si>
    <t>sdjidjev@berkeley.edu</t>
  </si>
  <si>
    <t>axd115230@utdallas.edu</t>
  </si>
  <si>
    <t>Dobbins, David</t>
  </si>
  <si>
    <t>dobbint@uwec.edu</t>
  </si>
  <si>
    <t>Duenas, Austin</t>
  </si>
  <si>
    <t>ajd99@cornell.edu</t>
  </si>
  <si>
    <t>Dulkin, Danny</t>
  </si>
  <si>
    <t>Dbdulki2@oakland.edu</t>
  </si>
  <si>
    <t>jcevans02@email.wm.edu</t>
  </si>
  <si>
    <t>Falenstein, Michael</t>
  </si>
  <si>
    <t>mal2233@columbia.edu</t>
  </si>
  <si>
    <t>Falsafi, Faraz</t>
  </si>
  <si>
    <t>Fan, Chenrui</t>
  </si>
  <si>
    <t>Farrell, CJ</t>
  </si>
  <si>
    <t>CJ_Farrell@baylor.edu</t>
  </si>
  <si>
    <t>Farzan, Shanzay</t>
  </si>
  <si>
    <t>sfarzan@eden.rutgers.edu</t>
  </si>
  <si>
    <t>Fawcett, Ben</t>
  </si>
  <si>
    <t>bfawcett@valdosta.edu</t>
  </si>
  <si>
    <t>olutosin.fawole@utah.edu</t>
  </si>
  <si>
    <t>Fayyaz, Aatir</t>
  </si>
  <si>
    <t>Feinberg, Sam</t>
  </si>
  <si>
    <t>sbfeinbe@student.umass.edu</t>
  </si>
  <si>
    <t>lferguso09@mail.bw.edu</t>
  </si>
  <si>
    <t>zmferraro@gmail.com</t>
  </si>
  <si>
    <t>Fong, Victor</t>
  </si>
  <si>
    <t>pf226@cornell.edu</t>
  </si>
  <si>
    <t>raptwice@facebook.com</t>
  </si>
  <si>
    <t>Frazier, Juston</t>
  </si>
  <si>
    <t>juston.frazier@emial.socc.edu</t>
  </si>
  <si>
    <t>Frey, Sam</t>
  </si>
  <si>
    <t>saf225@cornell.edu</t>
  </si>
  <si>
    <t>fuyao1@msu.edu</t>
  </si>
  <si>
    <t>Fu, Zhe</t>
  </si>
  <si>
    <t>fz721@gwmail.gwu.edu</t>
  </si>
  <si>
    <t>tomasfa@umich.edu</t>
  </si>
  <si>
    <t>corey.gammon@gmail.com</t>
  </si>
  <si>
    <t>Gan, Song</t>
  </si>
  <si>
    <t>gs2683@columbia.edu</t>
  </si>
  <si>
    <t>Garcia, Ana</t>
  </si>
  <si>
    <t>ann.flavia@gmail.com</t>
  </si>
  <si>
    <t>Garcia, Mike</t>
  </si>
  <si>
    <t>mgarcia@hotmail.com</t>
  </si>
  <si>
    <t>Gat, Neil</t>
  </si>
  <si>
    <t>gatneil@gmail.com</t>
  </si>
  <si>
    <t>Ghafarizadeh, Behzad</t>
  </si>
  <si>
    <t>Seyedbehzad.ghafarizadeh.1@ens.etsmtl.ca</t>
  </si>
  <si>
    <t>Ecole de Technologie Superieure</t>
  </si>
  <si>
    <t>Gifford, David</t>
  </si>
  <si>
    <t>dg516@scarletmail.rutgers.edu</t>
  </si>
  <si>
    <t>Glogowski, John</t>
  </si>
  <si>
    <t>jglogows@slu.edu</t>
  </si>
  <si>
    <t>Go, Troy</t>
  </si>
  <si>
    <t>trgo@millersville.edu</t>
  </si>
  <si>
    <t>Gokhale, Siddhante</t>
  </si>
  <si>
    <t>sg547@cornell.edu</t>
  </si>
  <si>
    <t>Gong, Eric</t>
  </si>
  <si>
    <t>ericgong811@gmail.com</t>
  </si>
  <si>
    <t>Goodman, Hannah</t>
  </si>
  <si>
    <t>hgoodma2@aol.com</t>
  </si>
  <si>
    <t>trg092020@utdallas.edu</t>
  </si>
  <si>
    <t>Greci, Matthew</t>
  </si>
  <si>
    <t>mgreci@uci.edu</t>
  </si>
  <si>
    <t>Groff, Connor</t>
  </si>
  <si>
    <t>graffc@stthom.edu</t>
  </si>
  <si>
    <t>gromm@onid.orst.eu</t>
  </si>
  <si>
    <t>gubin@vt.edu</t>
  </si>
  <si>
    <t>Guajardo, Adrian</t>
  </si>
  <si>
    <t>Adrian.the.islander86@gmail.com</t>
  </si>
  <si>
    <t>Gulati, Abhay</t>
  </si>
  <si>
    <t>abhaygul@usc.edu</t>
  </si>
  <si>
    <t>sylvan_guo@berkeley.edu</t>
  </si>
  <si>
    <t>Gupta, Vaibhav</t>
  </si>
  <si>
    <t>vaibhavgupta@utexas.edu</t>
  </si>
  <si>
    <t>Gurung, Lumu</t>
  </si>
  <si>
    <t>Hall, Timothy</t>
  </si>
  <si>
    <t>tihall@valdosta.edu</t>
  </si>
  <si>
    <t>Hasseinman, Ehsan</t>
  </si>
  <si>
    <t>Hattori, Yasushi</t>
  </si>
  <si>
    <t>hattori@stolaf.edu</t>
  </si>
  <si>
    <t>He, Lixing</t>
  </si>
  <si>
    <t>hel22@mcmaster.ca</t>
  </si>
  <si>
    <t>heliuchan@gmail.com</t>
  </si>
  <si>
    <t>hedenr@rpi.edu</t>
  </si>
  <si>
    <t>dheilig@valdosta.edu</t>
  </si>
  <si>
    <t>Hendawi, Ahmed</t>
  </si>
  <si>
    <t>College of the Desert</t>
  </si>
  <si>
    <t>sean.hernandez.961@facebook.com</t>
  </si>
  <si>
    <t>travis_hewittroach@fitnyc.edu</t>
  </si>
  <si>
    <t>Hill, Evan</t>
  </si>
  <si>
    <t>enhill@student.umass.edu</t>
  </si>
  <si>
    <t>Ho, Kaylee</t>
  </si>
  <si>
    <t>Hoang, Tran Trung</t>
  </si>
  <si>
    <t>hoangtru@buffalo.edu</t>
  </si>
  <si>
    <t>Hochberg, Seth</t>
  </si>
  <si>
    <t>yaoxuchen@gmail.com</t>
  </si>
  <si>
    <t>Hoffsmith, Kyle</t>
  </si>
  <si>
    <t>kylehoffsmith@verizon.net</t>
  </si>
  <si>
    <t>Hong, Junye</t>
  </si>
  <si>
    <t>jh3456@stern.nyu.edu</t>
  </si>
  <si>
    <t>Hoover, McClinton</t>
  </si>
  <si>
    <t>mcclintonhoover@gmail.com</t>
  </si>
  <si>
    <t>Hou, Yujie (Mikayla)</t>
  </si>
  <si>
    <t>wch254@nyu.edu</t>
  </si>
  <si>
    <t>Huang, Jingyan</t>
  </si>
  <si>
    <t>jhuang2@oberlin.edu</t>
  </si>
  <si>
    <t>justin.huangtt@yahoo.com</t>
  </si>
  <si>
    <t>khuang34@wisc.edu</t>
  </si>
  <si>
    <t>shuang44@jhu.edu</t>
  </si>
  <si>
    <t>juhugh89@gmail.com</t>
  </si>
  <si>
    <t>ch657@cornell.edu</t>
  </si>
  <si>
    <t>homing93@gmail.com</t>
  </si>
  <si>
    <t>Huynh, Jimmy</t>
  </si>
  <si>
    <t>jxhuynh2@wichita.edu</t>
  </si>
  <si>
    <t>hyungmoon@my.unt.edu</t>
  </si>
  <si>
    <t>muhammad.tariq@mail.mcgill.ca</t>
  </si>
  <si>
    <t>Islam, Rashedul</t>
  </si>
  <si>
    <t>Islamr@go.stockton.edu</t>
  </si>
  <si>
    <t>st63@zips.uakron.edu</t>
  </si>
  <si>
    <t>cameron.javanmardi@gmail.com</t>
  </si>
  <si>
    <t>Jayaprakash, Arun</t>
  </si>
  <si>
    <t>Ji, Changyi</t>
  </si>
  <si>
    <t>changyij@buffalo.edu</t>
  </si>
  <si>
    <t>sxji@uci.edu</t>
  </si>
  <si>
    <t>Ji, Ziwei</t>
  </si>
  <si>
    <t>ziji@syr.edu</t>
  </si>
  <si>
    <t>jfang8@VT.EDU</t>
  </si>
  <si>
    <t>sjin33@gatech.edu</t>
  </si>
  <si>
    <t>rjohanse12@mail.bw.edu</t>
  </si>
  <si>
    <t>John, Loth</t>
  </si>
  <si>
    <t>truonga@stthom.edu</t>
  </si>
  <si>
    <t>Johnson, Reese</t>
  </si>
  <si>
    <t>reese.johnson@email.socc.edu</t>
  </si>
  <si>
    <t>jxj306@case.edu</t>
  </si>
  <si>
    <t>kdinesh@seas.upenn.edu</t>
  </si>
  <si>
    <t>daikikam@buffalo.edu</t>
  </si>
  <si>
    <t>Kamat, Pranav</t>
  </si>
  <si>
    <t>pranavskamat@gmail.com</t>
  </si>
  <si>
    <t>kamine@carleton.edu</t>
  </si>
  <si>
    <t>Kao, Wei-Min</t>
  </si>
  <si>
    <t>tim0982006136@hotmail.com</t>
  </si>
  <si>
    <t>jhk081000@utdallas.edu</t>
  </si>
  <si>
    <t>Kaufman, Kameron</t>
  </si>
  <si>
    <t>Kameron.Kaufman@email.socc.edu</t>
  </si>
  <si>
    <t>Kellat, Stephen</t>
  </si>
  <si>
    <t>sckellat@facebook.com</t>
  </si>
  <si>
    <t>Kendall, Bryan</t>
  </si>
  <si>
    <t>bryankendall420@gmail.com</t>
  </si>
  <si>
    <t>Khalid, Furqan</t>
  </si>
  <si>
    <t>fxmohammedabdul@wichita.edu</t>
  </si>
  <si>
    <t>Kim, Min-Ji</t>
  </si>
  <si>
    <t>kimm0123@ufl.edu</t>
  </si>
  <si>
    <t>Kingston, Andy</t>
  </si>
  <si>
    <t>akingston@colgate.edu</t>
  </si>
  <si>
    <t>Knapp, Ryan</t>
  </si>
  <si>
    <t>RKNAPP85@YAHOO.COM</t>
  </si>
  <si>
    <t>shkoster@gmail.com</t>
  </si>
  <si>
    <t>shaunkoh@buffalo.edu</t>
  </si>
  <si>
    <t>Kuhn, James</t>
  </si>
  <si>
    <t>Kwan, Julien</t>
  </si>
  <si>
    <t>jck348@nyu.edu</t>
  </si>
  <si>
    <t>Lafrate, Ludovic</t>
  </si>
  <si>
    <t>liafrate3@gatech.edu</t>
  </si>
  <si>
    <t>Laio, Yu-chen</t>
  </si>
  <si>
    <t>liao0119@gmail.com</t>
  </si>
  <si>
    <t>lamjessica1@hotmail.com</t>
  </si>
  <si>
    <t>lanz@purdue.edu</t>
  </si>
  <si>
    <t>jlangkammer@gmail.com</t>
  </si>
  <si>
    <t>Lanigan, David</t>
  </si>
  <si>
    <t>lanigand@stthom.edu</t>
  </si>
  <si>
    <t>dlle@wichita.edu</t>
  </si>
  <si>
    <t>ducle@umich.edu</t>
  </si>
  <si>
    <t>kle12@masonlive.gwu.edu</t>
  </si>
  <si>
    <t>ichris56@gmail.com</t>
  </si>
  <si>
    <t>Lee, Christopher</t>
  </si>
  <si>
    <t>chrisj.lee130@gmail.com</t>
  </si>
  <si>
    <t>Lee, Justina</t>
  </si>
  <si>
    <t>lee1022@purdue.edu</t>
  </si>
  <si>
    <t>smcw66@gmail.com</t>
  </si>
  <si>
    <t>Lehtinen, Brandon</t>
  </si>
  <si>
    <t>blehtinen@valdosta.edu</t>
  </si>
  <si>
    <t>Lei, Yuyang</t>
  </si>
  <si>
    <t>yuyanglei@wustl.edu</t>
  </si>
  <si>
    <t>Lenahan, Ian</t>
  </si>
  <si>
    <t>ilenahan@gcc.edu</t>
  </si>
  <si>
    <t>michaelbartello2016@u.northwestern.edu</t>
  </si>
  <si>
    <t>Leon, Felipe</t>
  </si>
  <si>
    <t>fleon@ggc.edu</t>
  </si>
  <si>
    <t>lxl368@case.edu</t>
  </si>
  <si>
    <t>Li, Beverly</t>
  </si>
  <si>
    <t>Li, Cheng</t>
  </si>
  <si>
    <t>cli2@mc.edu</t>
  </si>
  <si>
    <t>Li, Di (NY)</t>
  </si>
  <si>
    <t>Li, Di (WI)</t>
  </si>
  <si>
    <t>jli394@wisc.edu</t>
  </si>
  <si>
    <t>Li, Justin</t>
  </si>
  <si>
    <t>zl2325@columbia.edu</t>
  </si>
  <si>
    <t>Li, Kenneth</t>
  </si>
  <si>
    <t>kli@ithaca.edu</t>
  </si>
  <si>
    <t>kevin-li@ouhsc.edu</t>
  </si>
  <si>
    <t>wl439@cornell.edu</t>
  </si>
  <si>
    <t>Li, Xin (OH)</t>
  </si>
  <si>
    <t>Li, Xin (RPI)</t>
  </si>
  <si>
    <t>xxl196@case.edu</t>
  </si>
  <si>
    <t>yli122@crimson.ua.edu</t>
  </si>
  <si>
    <t>Li, Yufei</t>
  </si>
  <si>
    <t>y575li@uwaterloo.ca</t>
  </si>
  <si>
    <t>Li, Zhongtang (Kevin)</t>
  </si>
  <si>
    <t>Li (CA), Peter</t>
  </si>
  <si>
    <t>peterli93@berkeley.edu</t>
  </si>
  <si>
    <t>Li (FL), Peter</t>
  </si>
  <si>
    <t>liangy6@rpi.edu</t>
  </si>
  <si>
    <t>linallen@msu.edu</t>
  </si>
  <si>
    <t>arandomlin@gmail.com</t>
  </si>
  <si>
    <t>Lin, Michael</t>
  </si>
  <si>
    <t>mlinhou@gmail.com</t>
  </si>
  <si>
    <t>Lindsay, Keaton</t>
  </si>
  <si>
    <t>Liu, Wenyuan</t>
  </si>
  <si>
    <t>wl10@wustl.edu</t>
  </si>
  <si>
    <t>Liu, Yansheng</t>
  </si>
  <si>
    <t>yansheng.liu@vanderbilt.edu</t>
  </si>
  <si>
    <t>liuzheng@umich.edu</t>
  </si>
  <si>
    <t>wllarch1@ithaca.edu</t>
  </si>
  <si>
    <t>dllona@mail.usf.edu</t>
  </si>
  <si>
    <t>Lombert, Rolando</t>
  </si>
  <si>
    <t>ral3517@rit.edu</t>
  </si>
  <si>
    <t>msjamieiong@gmail.com</t>
  </si>
  <si>
    <t>Lopez, Branden</t>
  </si>
  <si>
    <t>blopez@colgate.edu</t>
  </si>
  <si>
    <t>Lotero, Remy</t>
  </si>
  <si>
    <t>rl09h@my.fsu.edu</t>
  </si>
  <si>
    <t>louz@rpi.edu</t>
  </si>
  <si>
    <t>Loureiro, Rodolfo</t>
  </si>
  <si>
    <t>rodolfo.loureiro@facebook.com</t>
  </si>
  <si>
    <t>Lu, Chujun</t>
  </si>
  <si>
    <t>luchujun@msu.edu</t>
  </si>
  <si>
    <t>Lu, Jiayang</t>
  </si>
  <si>
    <t>jlu39@emory.edu</t>
  </si>
  <si>
    <t>Lu, Samson</t>
  </si>
  <si>
    <t>samson.lu@facebook.com</t>
  </si>
  <si>
    <t>wluo2@buffalo.edu</t>
  </si>
  <si>
    <t>zhiyuanluo2016@u.northwestern.edu</t>
  </si>
  <si>
    <t>Luoh, Rebecca</t>
  </si>
  <si>
    <t>rluoh@mit.edu</t>
  </si>
  <si>
    <t>norman.luu@gmail.com</t>
  </si>
  <si>
    <t>Mahlera@rider.edu</t>
  </si>
  <si>
    <t>hamalhi2@wichita.edu</t>
  </si>
  <si>
    <t>asm277@cornell.edu</t>
  </si>
  <si>
    <t>Man, Sihan</t>
  </si>
  <si>
    <t>sman2@wisc.edu</t>
  </si>
  <si>
    <t>Mancol, Aneeve</t>
  </si>
  <si>
    <t>mariaaneeve.mancol@gmail.com</t>
  </si>
  <si>
    <t>Marcus, Zachary</t>
  </si>
  <si>
    <t>Marcusz@rider.edu</t>
  </si>
  <si>
    <t>junior_d_15@hotmail.com</t>
  </si>
  <si>
    <t>Douglas.w.marks-1@ou.edu</t>
  </si>
  <si>
    <t>Marsh, Daniel</t>
  </si>
  <si>
    <t>dmarsh2@oberlin.edu</t>
  </si>
  <si>
    <t>Martinez, Andy</t>
  </si>
  <si>
    <t>andym2690@gmail.com</t>
  </si>
  <si>
    <t>axm111330@utdallas.edu</t>
  </si>
  <si>
    <t>emay12@mail.bw.edu</t>
  </si>
  <si>
    <t>Mcgrail, Joe</t>
  </si>
  <si>
    <t>joe.mcgrail7@gmail.com</t>
  </si>
  <si>
    <t>Mclean, Laura</t>
  </si>
  <si>
    <t>Lmclean@student.govst.edu.</t>
  </si>
  <si>
    <t>Mehul, Desai</t>
  </si>
  <si>
    <t>mdesail@gcc.edu</t>
  </si>
  <si>
    <t>Mejia, Armando</t>
  </si>
  <si>
    <t>amejia1@broncs.utpa.edu</t>
  </si>
  <si>
    <t>Menicucci, Mary</t>
  </si>
  <si>
    <t>mary.menicucci@email.socc.edu</t>
  </si>
  <si>
    <t>Menonj@rider.edu</t>
  </si>
  <si>
    <t>Miller, Jarrett</t>
  </si>
  <si>
    <t>Jarrett.miller@email.socc.edu</t>
  </si>
  <si>
    <t>Miller, Nathan</t>
  </si>
  <si>
    <t>mireauna@msu.edu</t>
  </si>
  <si>
    <t>Mohamed, Yasir</t>
  </si>
  <si>
    <t>montesinj@onid.orst.edu</t>
  </si>
  <si>
    <t>Moore, Ami-Nola</t>
  </si>
  <si>
    <t>songgburd@yahoo.com</t>
  </si>
  <si>
    <t>Moore, David</t>
  </si>
  <si>
    <t>dmoore6@gatech.edu</t>
  </si>
  <si>
    <t>alex.mosely@gmail.com</t>
  </si>
  <si>
    <t>jdm354@cornell.edu</t>
  </si>
  <si>
    <t>Motamedi, Mohammadreza</t>
  </si>
  <si>
    <t>mohammadreza.motamedi.1@ens.etsmtl.ca</t>
  </si>
  <si>
    <t>kmoyant@ufl.edu</t>
  </si>
  <si>
    <t>Mulles, Gerard</t>
  </si>
  <si>
    <t>gerard.mulles@facebook.com</t>
  </si>
  <si>
    <t>Muniz, Tim</t>
  </si>
  <si>
    <t>Narayanan, Lokranj</t>
  </si>
  <si>
    <t>ln13@zips.uakron.edu</t>
  </si>
  <si>
    <t>tramngo88@utdallas.edu</t>
  </si>
  <si>
    <t>Nguyen, Dat</t>
  </si>
  <si>
    <t>bedat86@yahoo.com</t>
  </si>
  <si>
    <t>hoang.nguyen@utdallas.edu</t>
  </si>
  <si>
    <t>jpnguyen@berkeley.edu</t>
  </si>
  <si>
    <t>Nguyen, Nam (CA)</t>
  </si>
  <si>
    <t>Hirunokaze@gmail.com</t>
  </si>
  <si>
    <t>Nguyen, Nam (FL)</t>
  </si>
  <si>
    <t>clevergirl297@yahoo.com</t>
  </si>
  <si>
    <t>Nguyen, Peter (MN)</t>
  </si>
  <si>
    <t>Nguyen, Peter (OH)</t>
  </si>
  <si>
    <t>Ning, Ke</t>
  </si>
  <si>
    <t>ningke1@msu.edu</t>
  </si>
  <si>
    <t>Ning, Nam</t>
  </si>
  <si>
    <t>dinhnam@pdx.edu</t>
  </si>
  <si>
    <t>ynong@syr.edu</t>
  </si>
  <si>
    <t>dan@syncad.com</t>
  </si>
  <si>
    <t>noh@princeton.edu</t>
  </si>
  <si>
    <t>Okasheh, Yousef</t>
  </si>
  <si>
    <t>yokasheh@yahoo.com</t>
  </si>
  <si>
    <t>Oziolor, Elias</t>
  </si>
  <si>
    <t>Elias_Oziolor@baylor.edu</t>
  </si>
  <si>
    <t>Pader@rider.edu</t>
  </si>
  <si>
    <t>jspaland@syr.edu</t>
  </si>
  <si>
    <t>Parikh, Priyam</t>
  </si>
  <si>
    <t>pari1730@tamu.edu</t>
  </si>
  <si>
    <t>Park, Taewook</t>
  </si>
  <si>
    <t>twinrobot@naver.com</t>
  </si>
  <si>
    <t>pyongjoo@umich.edu</t>
  </si>
  <si>
    <t>Patel, Rahul</t>
  </si>
  <si>
    <t>Perino, Matthew</t>
  </si>
  <si>
    <t>perinom@go.stockton.edu</t>
  </si>
  <si>
    <t>bkpham@wichita.edu</t>
  </si>
  <si>
    <t>nancytphu@yahoo.com</t>
  </si>
  <si>
    <t>sbpilavi@syr.edu</t>
  </si>
  <si>
    <t>Porter, Georgie</t>
  </si>
  <si>
    <t>heyitsgeorgiep@aol.com</t>
  </si>
  <si>
    <t>Pujols, Natali</t>
  </si>
  <si>
    <t>npujols00@ccny.cuny.edu</t>
  </si>
  <si>
    <t>Pulagam, Ramachandjia</t>
  </si>
  <si>
    <t>sekhay683@gmail.com</t>
  </si>
  <si>
    <t>Qiu, Qiming (Justin)</t>
  </si>
  <si>
    <t>diongbd@yahoo.com.cn</t>
  </si>
  <si>
    <t>Raeford, Jasmine</t>
  </si>
  <si>
    <t>raeford@gwmail.gwu.edu</t>
  </si>
  <si>
    <t>Rahimi, Morteza</t>
  </si>
  <si>
    <t>rahimi_m@gwu.edu</t>
  </si>
  <si>
    <t>Rascoe, Ariel</t>
  </si>
  <si>
    <t>Ariel.Rascoe@tufts.edu</t>
  </si>
  <si>
    <t>Ray, Tyler</t>
  </si>
  <si>
    <t>tyler.ray@uah.edu</t>
  </si>
  <si>
    <t>Raza, Syed Irtaza</t>
  </si>
  <si>
    <t>Redman, Seth</t>
  </si>
  <si>
    <t>Ren, Kevin</t>
  </si>
  <si>
    <t>Reyes Valdes, Olga Juliana</t>
  </si>
  <si>
    <t>july2040760@neo.tamu.edu</t>
  </si>
  <si>
    <t>Rickheim, David</t>
  </si>
  <si>
    <t>rickh008@umn.edu</t>
  </si>
  <si>
    <t>Ringhausen, Jacquelyn</t>
  </si>
  <si>
    <t>jringhau@slu.edu</t>
  </si>
  <si>
    <t>Rios, Fernando</t>
  </si>
  <si>
    <t>jfernando@buffalo.edu</t>
  </si>
  <si>
    <t>edwin.rivera.507@facebook.com</t>
  </si>
  <si>
    <t>Robbins, Russell</t>
  </si>
  <si>
    <t>russr@uab.edu</t>
  </si>
  <si>
    <t>zachrobertson@knights.ucf.edu</t>
  </si>
  <si>
    <t>cr93@njit.edu</t>
  </si>
  <si>
    <t>Robinson, Jonah</t>
  </si>
  <si>
    <t>jrobinson@colgate.edu</t>
  </si>
  <si>
    <t>Rockey, Nathan</t>
  </si>
  <si>
    <t>rockeyn@carleton.edu</t>
  </si>
  <si>
    <t>NULL</t>
  </si>
  <si>
    <t>rar422@nyu.edu</t>
  </si>
  <si>
    <t>greenwzw@utexas.edu</t>
  </si>
  <si>
    <t>Saine, Jake</t>
  </si>
  <si>
    <t>jake.saine@furman.edu</t>
  </si>
  <si>
    <t>Saini, Kanika</t>
  </si>
  <si>
    <t>kanika@vt.edu</t>
  </si>
  <si>
    <t>caesar_sv15@hotmail.com</t>
  </si>
  <si>
    <t>Samant, Saumil</t>
  </si>
  <si>
    <t>sps47@zips.uakron.edu</t>
  </si>
  <si>
    <t>preethi.sankaranarayanan@utah.edu</t>
  </si>
  <si>
    <t>Santiago, Matt</t>
  </si>
  <si>
    <t>Santos, Emil</t>
  </si>
  <si>
    <t>Sarafan, Sheida</t>
  </si>
  <si>
    <t>sheida.sarafan.1@ens.etsmtl.ca</t>
  </si>
  <si>
    <t>colinsato@hotmail.com</t>
  </si>
  <si>
    <t>ajscarp@knights.ucf.edu</t>
  </si>
  <si>
    <t>Scholnick, Nate</t>
  </si>
  <si>
    <t>nscholni@student.umass.edu</t>
  </si>
  <si>
    <t>Sedgh, Daniel</t>
  </si>
  <si>
    <t>ds3387@nyu.edu</t>
  </si>
  <si>
    <t>mpsemion@syr.edu</t>
  </si>
  <si>
    <t>cbravo11@mail.bw.edu</t>
  </si>
  <si>
    <t>Sha, Yue</t>
  </si>
  <si>
    <t>yuesha@usc.edu</t>
  </si>
  <si>
    <t>Shah, Aalok</t>
  </si>
  <si>
    <t>aalokshah.94@hotmail.com</t>
  </si>
  <si>
    <t>Shah, Saagar</t>
  </si>
  <si>
    <t>sas562@cornell.edu</t>
  </si>
  <si>
    <t>xxs105120@utdallas.edu</t>
  </si>
  <si>
    <t>binbinshao1@gmail.com</t>
  </si>
  <si>
    <t>Shapiro, Robert</t>
  </si>
  <si>
    <t>rhshapir@uci.edu</t>
  </si>
  <si>
    <t>Shapiro, Zak</t>
  </si>
  <si>
    <t>zakaryshapiro2016@u.northwestern.edu</t>
  </si>
  <si>
    <t>Sherpa, Maya</t>
  </si>
  <si>
    <t>cshipley@colgate.edu</t>
  </si>
  <si>
    <t>Shirsikar, Sai</t>
  </si>
  <si>
    <t>sshirsik@purdue.edu</t>
  </si>
  <si>
    <t>Sibakoti, Mandip</t>
  </si>
  <si>
    <t>sibak001@umn.edu</t>
  </si>
  <si>
    <t>Singh, Supreet</t>
  </si>
  <si>
    <t>sxs1815@rit.edu</t>
  </si>
  <si>
    <t>singhal5@msu.edu</t>
  </si>
  <si>
    <t>Smith, Gordon</t>
  </si>
  <si>
    <t>smithg3@go.stockton.edu</t>
  </si>
  <si>
    <t>kylesmith@valdosta.edu</t>
  </si>
  <si>
    <t>hdsolano@wichita.edu</t>
  </si>
  <si>
    <t>Song, Jeong Pil</t>
  </si>
  <si>
    <t>xsong38@wisc.edu</t>
  </si>
  <si>
    <t>rsoni@vt.edu</t>
  </si>
  <si>
    <t>Streeter, Morgan</t>
  </si>
  <si>
    <t>morgan.streeter@email.socc.edu</t>
  </si>
  <si>
    <t>txs355@case.edu</t>
  </si>
  <si>
    <t>Su, Samson</t>
  </si>
  <si>
    <t>samson.su@gmail.com</t>
  </si>
  <si>
    <t>shengsun@seas.upenn.edu</t>
  </si>
  <si>
    <t>Suriyamont, Jason</t>
  </si>
  <si>
    <t>jasonsuriyamont10@mittymonarch.com</t>
  </si>
  <si>
    <t>Sutton, Joseph</t>
  </si>
  <si>
    <t>jossutton@crimson.ua.edu</t>
  </si>
  <si>
    <t>Szabo, Jim</t>
  </si>
  <si>
    <t>jpszabo@email.wm.edu</t>
  </si>
  <si>
    <t>Tahvilian, Amir Masoud</t>
  </si>
  <si>
    <t>mtahvilian@gmail.com</t>
  </si>
  <si>
    <t>Tallmadge, James</t>
  </si>
  <si>
    <t>James_Tallmadge@baylor.edu</t>
  </si>
  <si>
    <t>kt463@cornell.edu</t>
  </si>
  <si>
    <t>Tan, Weikai</t>
  </si>
  <si>
    <t>Tanweikai@gmail.com</t>
  </si>
  <si>
    <t>Tao, Lingling</t>
  </si>
  <si>
    <t>taolingling06@gmail.com</t>
  </si>
  <si>
    <t>Taylor, William</t>
  </si>
  <si>
    <t>taylorw@stthom.edu</t>
  </si>
  <si>
    <t>Terefe, Eyuel</t>
  </si>
  <si>
    <t>James_Kuhn@baylor.edu</t>
  </si>
  <si>
    <t>lthape@pdx.edu</t>
  </si>
  <si>
    <t>Thea, Vayluong</t>
  </si>
  <si>
    <t>vthea103@mb.rctc.edu</t>
  </si>
  <si>
    <t>thua@wharton.upenn.edu</t>
  </si>
  <si>
    <t>Tikku, Arjun</t>
  </si>
  <si>
    <t>atikku3@gatech.edu</t>
  </si>
  <si>
    <t>AL811215@gmail.com</t>
  </si>
  <si>
    <t>trjbb13@gmail.com</t>
  </si>
  <si>
    <t>Tjoelsen, Katrine</t>
  </si>
  <si>
    <t>ktjolsen@mit.edu</t>
  </si>
  <si>
    <t>Tony, Kevin</t>
  </si>
  <si>
    <t>ktony1196@yahoo.com</t>
  </si>
  <si>
    <t>tothbenc@msu.edu</t>
  </si>
  <si>
    <t>a56tran@uwaterloo.ca</t>
  </si>
  <si>
    <t>Tran, Doan</t>
  </si>
  <si>
    <t>Trand2@go.stockton.edu</t>
  </si>
  <si>
    <t>Travassos Tagliaro, Gabriel</t>
  </si>
  <si>
    <t>Gabriel_Travassos_Tagliaro@baylor.edu</t>
  </si>
  <si>
    <t>Trevino, Tomas</t>
  </si>
  <si>
    <t>Ttrevino1@broncs.utpa.edu</t>
  </si>
  <si>
    <t>JEFFREY_TSAI@fitnyc.edu</t>
  </si>
  <si>
    <t>shetsang@ucdavis.edu</t>
  </si>
  <si>
    <t>Tsao, Joshua</t>
  </si>
  <si>
    <t>Jtsao@oakland.edu</t>
  </si>
  <si>
    <t>Tsuda, Greg</t>
  </si>
  <si>
    <t>tsudapod@gmail.com</t>
  </si>
  <si>
    <t>Tummalapalli, Vaibhav</t>
  </si>
  <si>
    <t>vaibhavt@buffalo.edu</t>
  </si>
  <si>
    <t>Tunguz, Andrew</t>
  </si>
  <si>
    <t>atunguz1@ithaca.edu</t>
  </si>
  <si>
    <t>Udai, Muhammed</t>
  </si>
  <si>
    <t>ufmuhamm@ncsu.edu</t>
  </si>
  <si>
    <t>ungsonn@gmail.com</t>
  </si>
  <si>
    <t>vxs124730@utdallas.edu</t>
  </si>
  <si>
    <t>Ventura, Jorge</t>
  </si>
  <si>
    <t>jorgelvo@vt.edu</t>
  </si>
  <si>
    <t>Verdejo, Victor</t>
  </si>
  <si>
    <t>victor15@stanford.edu</t>
  </si>
  <si>
    <t>kirkfred.villorente@facebook.com</t>
  </si>
  <si>
    <t>Vishnu Panth, Sumanshu</t>
  </si>
  <si>
    <t>sumanshu@buffalo.edu</t>
  </si>
  <si>
    <t>hvo7@masonlive.gmu.edu</t>
  </si>
  <si>
    <t>Vought, Jeremy</t>
  </si>
  <si>
    <t>voughtj@uwec.edu</t>
  </si>
  <si>
    <t>Wade, Kevin</t>
  </si>
  <si>
    <t>kwade@siue.edu</t>
  </si>
  <si>
    <t>walshz@carleton.edu</t>
  </si>
  <si>
    <t>Wan, Christopher</t>
  </si>
  <si>
    <t>Wang, Andy (OR)</t>
  </si>
  <si>
    <t>Wang, Andy (UCLA)</t>
  </si>
  <si>
    <t>chunyi.wang666@gmail.com</t>
  </si>
  <si>
    <t>Wang, Claire</t>
  </si>
  <si>
    <t>Wang, Hao Xun</t>
  </si>
  <si>
    <t>hw264@eden.rutgers.edu</t>
  </si>
  <si>
    <t>Wang, Haosong</t>
  </si>
  <si>
    <t>hw2412@columbia.edu</t>
  </si>
  <si>
    <t>Wang, Jin</t>
  </si>
  <si>
    <t>jw1946@nyu.edu</t>
  </si>
  <si>
    <t>Wang, Jue</t>
  </si>
  <si>
    <t>wangju@stolaf.edu</t>
  </si>
  <si>
    <t>Wang, Tianyuan</t>
  </si>
  <si>
    <t>tianwang@pdx.edu</t>
  </si>
  <si>
    <t>yiw010@ucsd.edu</t>
  </si>
  <si>
    <t>Wang, Yute</t>
  </si>
  <si>
    <t>yuxiang.wang@oberlin.edu</t>
  </si>
  <si>
    <t>Washburn, Mark</t>
  </si>
  <si>
    <t>washbuma@mail.gvsu.edu</t>
  </si>
  <si>
    <t>bwebb01@students.poly.edu</t>
  </si>
  <si>
    <t>xw12@my.fsu.edu</t>
  </si>
  <si>
    <t>Weller, Chris</t>
  </si>
  <si>
    <t>cww266@nyu.edu</t>
  </si>
  <si>
    <t>Wiley, Tiffany</t>
  </si>
  <si>
    <t>tiffany.wiley89@gmail.com</t>
  </si>
  <si>
    <t>cwillet@valdosta.edu</t>
  </si>
  <si>
    <t>wingz02@gmail.com</t>
  </si>
  <si>
    <t>jwong2@byulaw.net</t>
  </si>
  <si>
    <t>Wong, Lawin</t>
  </si>
  <si>
    <t>lawin_wong@hotmail.com</t>
  </si>
  <si>
    <t>dark_zeleon@hotmail.com</t>
  </si>
  <si>
    <t>Wong, Michelle</t>
  </si>
  <si>
    <t>lesliec17@gmail.com</t>
  </si>
  <si>
    <t>Woo, Jon</t>
  </si>
  <si>
    <t>shochbe1@jhu.edu</t>
  </si>
  <si>
    <t>kenneth.wu@hotmail.com</t>
  </si>
  <si>
    <t>119641577@qq.com</t>
  </si>
  <si>
    <t>Xiang, Lyndon</t>
  </si>
  <si>
    <t>lyx200@nyu.edu</t>
  </si>
  <si>
    <t>Xiang, Yongzhou</t>
  </si>
  <si>
    <t>yx2211@columbia.edu</t>
  </si>
  <si>
    <t>Xie, Jiaming</t>
  </si>
  <si>
    <t>Xie, Xiaoxin</t>
  </si>
  <si>
    <t>xx362@nyu.edu</t>
  </si>
  <si>
    <t>Xiuo, Yijun</t>
  </si>
  <si>
    <t>elainelee881124@sinu.com</t>
  </si>
  <si>
    <t>cxu55@wisc.ed</t>
  </si>
  <si>
    <t>Xu, Shaofang</t>
  </si>
  <si>
    <t>Abcxsf@hotmail.com</t>
  </si>
  <si>
    <t>myamano@uci.edu</t>
  </si>
  <si>
    <t>wy444@students.poly.edu</t>
  </si>
  <si>
    <t>Yang, Xiaowan</t>
  </si>
  <si>
    <t>day27@cornell.edu</t>
  </si>
  <si>
    <t>Yao, Xuchen</t>
  </si>
  <si>
    <t>Yao, Zhuocen</t>
  </si>
  <si>
    <t>zhyao@syr.edu</t>
  </si>
  <si>
    <t>Ye, Zi</t>
  </si>
  <si>
    <t>ziye@usc.edu</t>
  </si>
  <si>
    <t>liyi.byu@gmail.com</t>
  </si>
  <si>
    <t>Ying, Yuyang</t>
  </si>
  <si>
    <t>yyd26@mail.missouri.edu</t>
  </si>
  <si>
    <t>jxy100220@utdallas.edu</t>
  </si>
  <si>
    <t>Yu, Chen</t>
  </si>
  <si>
    <t>ychen34@buffalo.edu</t>
  </si>
  <si>
    <t>Yu, Jialu</t>
  </si>
  <si>
    <t>jialyu@pdx.edu</t>
  </si>
  <si>
    <t>Yu, Yong</t>
  </si>
  <si>
    <t>yu.yo@husky.neu.edu</t>
  </si>
  <si>
    <t>Yuan, Xue</t>
  </si>
  <si>
    <t>xueyuan@buffalo.edu</t>
  </si>
  <si>
    <t>Yuhao, Wang</t>
  </si>
  <si>
    <t>wang.yuhao@husky.neu.edu</t>
  </si>
  <si>
    <t>osz09@fsu.edu</t>
  </si>
  <si>
    <t>Zhai, Jiaying</t>
  </si>
  <si>
    <t>jiayzhai@pdx.edu</t>
  </si>
  <si>
    <t>Zhang, Hanmin</t>
  </si>
  <si>
    <t>11154561S0@qq.com</t>
  </si>
  <si>
    <t>jz2gf@mail.missouri.edu</t>
  </si>
  <si>
    <t>lz23@zips.uakron.edu</t>
  </si>
  <si>
    <t>rockie425@hotmail.com</t>
  </si>
  <si>
    <t>stevenzh2012@gmail.com</t>
  </si>
  <si>
    <t>tjzhang@uwaterloo.ca</t>
  </si>
  <si>
    <t>yxz128330@utdallas.edu</t>
  </si>
  <si>
    <t>Zhang, Yigong</t>
  </si>
  <si>
    <t>yigong@berkeley.edu</t>
  </si>
  <si>
    <t>zhen.zhang2@rockets.utoledo.edu</t>
  </si>
  <si>
    <t>ziheng@uoregon.edu</t>
  </si>
  <si>
    <t>zhao1969@uga.edu</t>
  </si>
  <si>
    <t>cloverzhao1994@utexas.edu</t>
  </si>
  <si>
    <t>npusa@mail.npu.edu</t>
  </si>
  <si>
    <t>Zheng, Steve</t>
  </si>
  <si>
    <t>sz953@nyu.edu</t>
  </si>
  <si>
    <t>Zheng, Zheng</t>
  </si>
  <si>
    <t>a23zhou@uwaterloo.ca</t>
  </si>
  <si>
    <t>jiazhou@buffalo.edu</t>
  </si>
  <si>
    <t>huangyuzhou1991@163.com</t>
  </si>
  <si>
    <t>alex.zhu@duke.edu</t>
  </si>
  <si>
    <t>Zhu, Chenguang</t>
  </si>
  <si>
    <t>zcg.cs60@gmail.com</t>
  </si>
  <si>
    <t>williamzhu@gatech.edu</t>
  </si>
  <si>
    <t>Zhu, Rui</t>
  </si>
  <si>
    <t>Yzhu@oakland.edu</t>
  </si>
  <si>
    <t>zzzDavis, Cameron</t>
  </si>
  <si>
    <t>zzzDing, Yi</t>
  </si>
  <si>
    <t>zzzFarzan, Shanzay</t>
  </si>
  <si>
    <t>zzzFlavia, Ana</t>
  </si>
  <si>
    <t>zzzGifford, David</t>
  </si>
  <si>
    <t>zzzIslam, Rashedul</t>
  </si>
  <si>
    <t>zzzKendall, Bryan</t>
  </si>
  <si>
    <t>zzzLee, Michellle</t>
  </si>
  <si>
    <t>zzzLi, Yufei</t>
  </si>
  <si>
    <t>zzzNi, Kang</t>
  </si>
  <si>
    <t>zzzPatel, Saajen</t>
  </si>
  <si>
    <t>zzzPerino, Matthew</t>
  </si>
  <si>
    <t>zzzRaju, Kennan</t>
  </si>
  <si>
    <t>zzzTran, Doan</t>
  </si>
  <si>
    <t>zzzZeng, Pei Heng</t>
  </si>
</sst>
</file>

<file path=xl/styles.xml><?xml version="1.0" encoding="utf-8"?>
<styleSheet xmlns="http://schemas.openxmlformats.org/spreadsheetml/2006/main">
  <numFmts count="2">
    <numFmt numFmtId="164" formatCode="[$-409]mmmm\ d\,\ yyyy;@"/>
    <numFmt numFmtId="165" formatCode="[$-409]h:mm\ AM/PM;@"/>
  </numFmts>
  <fonts count="37">
    <font>
      <sz val="10"/>
      <name val="Arial"/>
    </font>
    <font>
      <sz val="8"/>
      <name val="Arial"/>
      <family val="2"/>
    </font>
    <font>
      <b/>
      <sz val="10"/>
      <name val="Arial"/>
      <family val="2"/>
    </font>
    <font>
      <b/>
      <sz val="12"/>
      <name val="Arial"/>
      <family val="2"/>
    </font>
    <font>
      <sz val="10"/>
      <name val="Arial"/>
      <family val="2"/>
    </font>
    <font>
      <sz val="16"/>
      <name val="Arial"/>
      <family val="2"/>
    </font>
    <font>
      <i/>
      <sz val="10"/>
      <name val="Arial"/>
      <family val="2"/>
    </font>
    <font>
      <sz val="18"/>
      <name val="Arial"/>
      <family val="2"/>
    </font>
    <font>
      <sz val="10"/>
      <color indexed="10"/>
      <name val="Arial"/>
      <family val="2"/>
    </font>
    <font>
      <b/>
      <sz val="14"/>
      <name val="Arial"/>
      <family val="2"/>
    </font>
    <font>
      <b/>
      <sz val="10"/>
      <color indexed="10"/>
      <name val="Arial"/>
      <family val="2"/>
    </font>
    <font>
      <u/>
      <sz val="10"/>
      <name val="Arial"/>
      <family val="2"/>
    </font>
    <font>
      <sz val="24"/>
      <name val="Arial"/>
      <family val="2"/>
    </font>
    <font>
      <sz val="8"/>
      <color indexed="8"/>
      <name val="Arial"/>
      <family val="2"/>
    </font>
    <font>
      <sz val="10"/>
      <color indexed="8"/>
      <name val="Arial"/>
      <family val="2"/>
    </font>
    <font>
      <sz val="10"/>
      <color indexed="9"/>
      <name val="Arial"/>
      <family val="2"/>
    </font>
    <font>
      <b/>
      <sz val="10"/>
      <color indexed="9"/>
      <name val="Arial"/>
      <family val="2"/>
    </font>
    <font>
      <sz val="11"/>
      <color indexed="8"/>
      <name val="Calibri"/>
      <family val="2"/>
    </font>
    <font>
      <sz val="12"/>
      <color indexed="8"/>
      <name val="Arial"/>
      <family val="2"/>
    </font>
    <font>
      <sz val="8"/>
      <name val="Arial"/>
      <family val="2"/>
    </font>
    <font>
      <b/>
      <sz val="9"/>
      <color indexed="81"/>
      <name val="Tahoma"/>
      <family val="2"/>
    </font>
    <font>
      <sz val="10"/>
      <name val="Courier New"/>
      <family val="3"/>
    </font>
    <font>
      <b/>
      <sz val="10"/>
      <color indexed="10"/>
      <name val="Arial"/>
      <family val="2"/>
    </font>
    <font>
      <sz val="10"/>
      <color indexed="9"/>
      <name val="Arial"/>
      <family val="2"/>
    </font>
    <font>
      <b/>
      <sz val="10"/>
      <color indexed="9"/>
      <name val="Arial"/>
      <family val="2"/>
    </font>
    <font>
      <sz val="10"/>
      <color indexed="8"/>
      <name val="Arial"/>
      <family val="2"/>
    </font>
    <font>
      <sz val="10"/>
      <color indexed="10"/>
      <name val="Arial"/>
      <family val="2"/>
    </font>
    <font>
      <sz val="16"/>
      <color indexed="10"/>
      <name val="Arial"/>
      <family val="2"/>
    </font>
    <font>
      <u/>
      <sz val="10"/>
      <color theme="10"/>
      <name val="Arial"/>
      <family val="2"/>
    </font>
    <font>
      <sz val="11"/>
      <color theme="1"/>
      <name val="Calibri"/>
      <family val="2"/>
      <scheme val="minor"/>
    </font>
    <font>
      <sz val="10"/>
      <color rgb="FFFF0000"/>
      <name val="Arial"/>
      <family val="2"/>
    </font>
    <font>
      <b/>
      <sz val="10"/>
      <color theme="1"/>
      <name val="Arial"/>
      <family val="2"/>
    </font>
    <font>
      <sz val="10"/>
      <color theme="0"/>
      <name val="Arial"/>
      <family val="2"/>
    </font>
    <font>
      <sz val="10"/>
      <color theme="1"/>
      <name val="Arial"/>
      <family val="2"/>
    </font>
    <font>
      <b/>
      <sz val="10"/>
      <color theme="0"/>
      <name val="Arial"/>
      <family val="2"/>
    </font>
    <font>
      <b/>
      <sz val="10"/>
      <color rgb="FFFF0000"/>
      <name val="Arial"/>
      <family val="2"/>
    </font>
    <font>
      <b/>
      <sz val="11"/>
      <color theme="1"/>
      <name val="Calibri"/>
      <family val="2"/>
      <scheme val="minor"/>
    </font>
  </fonts>
  <fills count="14">
    <fill>
      <patternFill patternType="none"/>
    </fill>
    <fill>
      <patternFill patternType="gray125"/>
    </fill>
    <fill>
      <patternFill patternType="solid">
        <fgColor indexed="22"/>
        <bgColor indexed="64"/>
      </patternFill>
    </fill>
    <fill>
      <patternFill patternType="solid">
        <fgColor indexed="9"/>
        <bgColor indexed="64"/>
      </patternFill>
    </fill>
    <fill>
      <patternFill patternType="solid">
        <fgColor indexed="51"/>
        <bgColor indexed="64"/>
      </patternFill>
    </fill>
    <fill>
      <patternFill patternType="solid">
        <fgColor indexed="13"/>
        <bgColor indexed="64"/>
      </patternFill>
    </fill>
    <fill>
      <patternFill patternType="solid">
        <fgColor indexed="31"/>
        <bgColor indexed="64"/>
      </patternFill>
    </fill>
    <fill>
      <patternFill patternType="solid">
        <fgColor theme="0"/>
        <bgColor indexed="64"/>
      </patternFill>
    </fill>
    <fill>
      <patternFill patternType="solid">
        <fgColor rgb="FFFFC000"/>
        <bgColor indexed="64"/>
      </patternFill>
    </fill>
    <fill>
      <patternFill patternType="solid">
        <fgColor rgb="FF92D050"/>
        <bgColor indexed="64"/>
      </patternFill>
    </fill>
    <fill>
      <patternFill patternType="solid">
        <fgColor rgb="FF00B0F0"/>
        <bgColor indexed="64"/>
      </patternFill>
    </fill>
    <fill>
      <patternFill patternType="solid">
        <fgColor rgb="FFFFFF66"/>
        <bgColor indexed="64"/>
      </patternFill>
    </fill>
    <fill>
      <patternFill patternType="solid">
        <fgColor rgb="FF99FF66"/>
        <bgColor indexed="64"/>
      </patternFill>
    </fill>
    <fill>
      <patternFill patternType="solid">
        <fgColor rgb="FFFFFF00"/>
        <bgColor indexed="64"/>
      </patternFill>
    </fill>
  </fills>
  <borders count="62">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top/>
      <bottom style="thin">
        <color indexed="64"/>
      </bottom>
      <diagonal/>
    </border>
    <border>
      <left/>
      <right/>
      <top style="medium">
        <color indexed="64"/>
      </top>
      <bottom style="thin">
        <color indexed="64"/>
      </bottom>
      <diagonal/>
    </border>
    <border>
      <left style="medium">
        <color indexed="64"/>
      </left>
      <right style="thin">
        <color indexed="64"/>
      </right>
      <top style="thick">
        <color indexed="64"/>
      </top>
      <bottom/>
      <diagonal/>
    </border>
    <border>
      <left style="medium">
        <color indexed="64"/>
      </left>
      <right style="thin">
        <color indexed="64"/>
      </right>
      <top/>
      <bottom style="thin">
        <color indexed="64"/>
      </bottom>
      <diagonal/>
    </border>
    <border>
      <left style="medium">
        <color indexed="64"/>
      </left>
      <right/>
      <top style="thin">
        <color indexed="64"/>
      </top>
      <bottom/>
      <diagonal/>
    </border>
    <border>
      <left style="thin">
        <color indexed="64"/>
      </left>
      <right style="thin">
        <color indexed="64"/>
      </right>
      <top style="thin">
        <color indexed="64"/>
      </top>
      <bottom/>
      <diagonal/>
    </border>
    <border>
      <left style="medium">
        <color indexed="64"/>
      </left>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top/>
      <bottom style="thick">
        <color indexed="64"/>
      </bottom>
      <diagonal/>
    </border>
    <border>
      <left style="thin">
        <color indexed="64"/>
      </left>
      <right style="thin">
        <color indexed="64"/>
      </right>
      <top/>
      <bottom style="thick">
        <color indexed="64"/>
      </bottom>
      <diagonal/>
    </border>
    <border>
      <left style="thin">
        <color indexed="64"/>
      </left>
      <right style="medium">
        <color indexed="64"/>
      </right>
      <top/>
      <bottom style="thick">
        <color indexed="64"/>
      </bottom>
      <diagonal/>
    </border>
    <border>
      <left style="thin">
        <color indexed="64"/>
      </left>
      <right style="thin">
        <color indexed="64"/>
      </right>
      <top style="thick">
        <color indexed="64"/>
      </top>
      <bottom/>
      <diagonal/>
    </border>
    <border>
      <left style="thin">
        <color indexed="64"/>
      </left>
      <right style="medium">
        <color indexed="64"/>
      </right>
      <top style="thick">
        <color indexed="64"/>
      </top>
      <bottom/>
      <diagonal/>
    </border>
    <border>
      <left style="thin">
        <color indexed="64"/>
      </left>
      <right style="medium">
        <color indexed="64"/>
      </right>
      <top/>
      <bottom style="thin">
        <color indexed="64"/>
      </bottom>
      <diagonal/>
    </border>
    <border>
      <left style="medium">
        <color indexed="64"/>
      </left>
      <right/>
      <top style="medium">
        <color indexed="64"/>
      </top>
      <bottom style="thin">
        <color indexed="64"/>
      </bottom>
      <diagonal/>
    </border>
    <border>
      <left style="medium">
        <color indexed="64"/>
      </left>
      <right/>
      <top/>
      <bottom/>
      <diagonal/>
    </border>
    <border>
      <left style="thin">
        <color indexed="64"/>
      </left>
      <right style="medium">
        <color indexed="64"/>
      </right>
      <top style="thin">
        <color indexed="64"/>
      </top>
      <bottom style="thin">
        <color indexed="64"/>
      </bottom>
      <diagonal/>
    </border>
    <border>
      <left style="medium">
        <color indexed="64"/>
      </left>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medium">
        <color indexed="64"/>
      </bottom>
      <diagonal/>
    </border>
    <border>
      <left/>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top/>
      <bottom/>
      <diagonal/>
    </border>
    <border>
      <left style="thin">
        <color indexed="64"/>
      </left>
      <right/>
      <top style="medium">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ck">
        <color indexed="64"/>
      </right>
      <top style="thick">
        <color indexed="64"/>
      </top>
      <bottom style="thin">
        <color indexed="64"/>
      </bottom>
      <diagonal/>
    </border>
    <border>
      <left style="thin">
        <color indexed="64"/>
      </left>
      <right style="thick">
        <color indexed="64"/>
      </right>
      <top style="thin">
        <color indexed="64"/>
      </top>
      <bottom/>
      <diagonal/>
    </border>
    <border>
      <left style="thin">
        <color indexed="64"/>
      </left>
      <right style="thick">
        <color indexed="64"/>
      </right>
      <top style="thin">
        <color indexed="64"/>
      </top>
      <bottom style="thin">
        <color indexed="64"/>
      </bottom>
      <diagonal/>
    </border>
    <border>
      <left style="medium">
        <color indexed="64"/>
      </left>
      <right/>
      <top style="thick">
        <color indexed="64"/>
      </top>
      <bottom/>
      <diagonal/>
    </border>
    <border>
      <left style="thin">
        <color indexed="64"/>
      </left>
      <right style="thick">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ck">
        <color indexed="64"/>
      </left>
      <right style="medium">
        <color indexed="64"/>
      </right>
      <top style="thin">
        <color indexed="64"/>
      </top>
      <bottom style="thin">
        <color indexed="64"/>
      </bottom>
      <diagonal/>
    </border>
    <border>
      <left style="medium">
        <color indexed="64"/>
      </left>
      <right/>
      <top style="thin">
        <color indexed="64"/>
      </top>
      <bottom style="thick">
        <color indexed="64"/>
      </bottom>
      <diagonal/>
    </border>
    <border>
      <left style="thick">
        <color indexed="64"/>
      </left>
      <right style="medium">
        <color indexed="64"/>
      </right>
      <top/>
      <bottom/>
      <diagonal/>
    </border>
    <border>
      <left style="thick">
        <color indexed="64"/>
      </left>
      <right style="medium">
        <color indexed="64"/>
      </right>
      <top/>
      <bottom style="thick">
        <color indexed="64"/>
      </bottom>
      <diagonal/>
    </border>
    <border>
      <left style="thick">
        <color indexed="64"/>
      </left>
      <right style="medium">
        <color indexed="64"/>
      </right>
      <top style="thick">
        <color indexed="64"/>
      </top>
      <bottom style="thin">
        <color indexed="64"/>
      </bottom>
      <diagonal/>
    </border>
    <border>
      <left style="thin">
        <color indexed="64"/>
      </left>
      <right style="thick">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bottom/>
      <diagonal/>
    </border>
  </borders>
  <cellStyleXfs count="4">
    <xf numFmtId="0" fontId="0" fillId="0" borderId="0"/>
    <xf numFmtId="0" fontId="28" fillId="0" borderId="0" applyNumberFormat="0" applyFill="0" applyBorder="0" applyAlignment="0" applyProtection="0">
      <alignment vertical="top"/>
      <protection locked="0"/>
    </xf>
    <xf numFmtId="0" fontId="4" fillId="0" borderId="0"/>
    <xf numFmtId="0" fontId="29" fillId="0" borderId="0"/>
  </cellStyleXfs>
  <cellXfs count="399">
    <xf numFmtId="0" fontId="0" fillId="0" borderId="0" xfId="0"/>
    <xf numFmtId="0" fontId="2" fillId="0" borderId="0" xfId="0" applyFont="1" applyAlignment="1" applyProtection="1">
      <alignment horizontal="center"/>
      <protection locked="0"/>
    </xf>
    <xf numFmtId="0" fontId="2" fillId="0" borderId="0" xfId="0" applyFont="1" applyProtection="1">
      <protection locked="0"/>
    </xf>
    <xf numFmtId="0" fontId="0" fillId="0" borderId="0" xfId="0" applyProtection="1">
      <protection locked="0"/>
    </xf>
    <xf numFmtId="14" fontId="2" fillId="0" borderId="0" xfId="0" applyNumberFormat="1" applyFont="1" applyAlignment="1" applyProtection="1">
      <alignment horizontal="center"/>
      <protection locked="0"/>
    </xf>
    <xf numFmtId="0" fontId="2" fillId="0" borderId="1" xfId="0" applyFont="1" applyBorder="1" applyAlignment="1" applyProtection="1">
      <alignment horizontal="center"/>
      <protection locked="0"/>
    </xf>
    <xf numFmtId="0" fontId="0" fillId="0" borderId="0" xfId="0" applyAlignment="1" applyProtection="1">
      <alignment horizontal="center"/>
      <protection locked="0"/>
    </xf>
    <xf numFmtId="0" fontId="0" fillId="0" borderId="0" xfId="0" applyFill="1" applyAlignment="1" applyProtection="1">
      <alignment horizontal="center"/>
      <protection locked="0"/>
    </xf>
    <xf numFmtId="0" fontId="0" fillId="0" borderId="0" xfId="0" applyFill="1" applyBorder="1" applyAlignment="1" applyProtection="1">
      <alignment horizontal="center"/>
      <protection locked="0"/>
    </xf>
    <xf numFmtId="0" fontId="0" fillId="0" borderId="0" xfId="0" applyAlignment="1" applyProtection="1">
      <alignment horizontal="center"/>
    </xf>
    <xf numFmtId="0" fontId="0" fillId="0" borderId="2" xfId="0" applyBorder="1" applyAlignment="1" applyProtection="1">
      <alignment horizontal="center"/>
      <protection locked="0"/>
    </xf>
    <xf numFmtId="0" fontId="0" fillId="0" borderId="0" xfId="0" applyNumberFormat="1" applyFill="1" applyBorder="1" applyAlignment="1" applyProtection="1"/>
    <xf numFmtId="0" fontId="2" fillId="0" borderId="0" xfId="0" applyNumberFormat="1" applyFont="1" applyFill="1" applyBorder="1" applyAlignment="1" applyProtection="1"/>
    <xf numFmtId="0" fontId="0" fillId="0" borderId="3" xfId="0" applyFill="1" applyBorder="1" applyAlignment="1" applyProtection="1"/>
    <xf numFmtId="0" fontId="0" fillId="0" borderId="0" xfId="0" applyBorder="1" applyAlignment="1" applyProtection="1">
      <alignment horizontal="center"/>
      <protection locked="0"/>
    </xf>
    <xf numFmtId="0" fontId="0" fillId="0" borderId="0" xfId="0" applyFill="1" applyBorder="1" applyAlignment="1" applyProtection="1"/>
    <xf numFmtId="0" fontId="0" fillId="0" borderId="0" xfId="0" applyFill="1" applyBorder="1" applyAlignment="1" applyProtection="1">
      <alignment horizontal="left"/>
      <protection locked="0"/>
    </xf>
    <xf numFmtId="0" fontId="2" fillId="0" borderId="4" xfId="0" applyFont="1" applyBorder="1" applyAlignment="1" applyProtection="1">
      <alignment horizontal="left"/>
      <protection locked="0"/>
    </xf>
    <xf numFmtId="0" fontId="0" fillId="0" borderId="2" xfId="0" applyFill="1" applyBorder="1" applyAlignment="1" applyProtection="1"/>
    <xf numFmtId="0" fontId="2" fillId="0" borderId="0" xfId="0" applyFont="1" applyBorder="1" applyAlignment="1" applyProtection="1">
      <alignment horizontal="center"/>
      <protection locked="0"/>
    </xf>
    <xf numFmtId="0" fontId="0" fillId="0" borderId="0" xfId="0" applyBorder="1" applyAlignment="1" applyProtection="1">
      <alignment horizontal="left"/>
    </xf>
    <xf numFmtId="0" fontId="6" fillId="0" borderId="0" xfId="0" applyFont="1" applyProtection="1">
      <protection locked="0"/>
    </xf>
    <xf numFmtId="0" fontId="0" fillId="0" borderId="5" xfId="0" applyBorder="1" applyProtection="1">
      <protection locked="0"/>
    </xf>
    <xf numFmtId="0" fontId="5" fillId="0" borderId="6" xfId="0" applyFont="1" applyFill="1" applyBorder="1" applyAlignment="1" applyProtection="1"/>
    <xf numFmtId="0" fontId="0" fillId="0" borderId="0" xfId="0" applyBorder="1" applyProtection="1">
      <protection locked="0"/>
    </xf>
    <xf numFmtId="0" fontId="0" fillId="0" borderId="0" xfId="0" applyAlignment="1" applyProtection="1">
      <alignment horizontal="right"/>
      <protection locked="0"/>
    </xf>
    <xf numFmtId="0" fontId="0" fillId="0" borderId="0" xfId="0" applyBorder="1" applyAlignment="1" applyProtection="1">
      <alignment horizontal="center"/>
    </xf>
    <xf numFmtId="0" fontId="0" fillId="0" borderId="0" xfId="0" applyBorder="1" applyAlignment="1" applyProtection="1"/>
    <xf numFmtId="0" fontId="0" fillId="2" borderId="7" xfId="0" applyNumberFormat="1" applyFill="1" applyBorder="1" applyAlignment="1" applyProtection="1">
      <alignment horizontal="center"/>
    </xf>
    <xf numFmtId="49" fontId="0" fillId="2" borderId="8" xfId="0" applyNumberFormat="1" applyFill="1" applyBorder="1" applyAlignment="1" applyProtection="1">
      <alignment horizontal="center"/>
    </xf>
    <xf numFmtId="0" fontId="0" fillId="3" borderId="9" xfId="0" applyNumberFormat="1" applyFill="1" applyBorder="1" applyAlignment="1" applyProtection="1">
      <alignment horizontal="center"/>
    </xf>
    <xf numFmtId="0" fontId="0" fillId="2" borderId="10" xfId="0" applyNumberFormat="1" applyFill="1" applyBorder="1" applyAlignment="1" applyProtection="1">
      <alignment horizontal="center"/>
    </xf>
    <xf numFmtId="0" fontId="0" fillId="3" borderId="11" xfId="0" applyNumberFormat="1" applyFill="1" applyBorder="1" applyAlignment="1" applyProtection="1">
      <alignment horizontal="center"/>
    </xf>
    <xf numFmtId="49" fontId="0" fillId="2" borderId="12" xfId="0" applyNumberFormat="1" applyFill="1" applyBorder="1" applyAlignment="1" applyProtection="1">
      <alignment horizontal="center"/>
    </xf>
    <xf numFmtId="0" fontId="0" fillId="3" borderId="13" xfId="0" applyNumberFormat="1" applyFill="1" applyBorder="1" applyAlignment="1" applyProtection="1">
      <alignment horizontal="center"/>
    </xf>
    <xf numFmtId="0" fontId="0" fillId="3" borderId="10" xfId="0" applyNumberFormat="1" applyFill="1" applyBorder="1" applyAlignment="1" applyProtection="1">
      <alignment horizontal="center"/>
    </xf>
    <xf numFmtId="0" fontId="0" fillId="3" borderId="8" xfId="0" applyNumberFormat="1" applyFill="1" applyBorder="1" applyAlignment="1" applyProtection="1">
      <alignment horizontal="center"/>
    </xf>
    <xf numFmtId="0" fontId="0" fillId="3" borderId="12" xfId="0" applyNumberFormat="1" applyFill="1" applyBorder="1" applyAlignment="1" applyProtection="1">
      <alignment horizontal="center"/>
    </xf>
    <xf numFmtId="0" fontId="0" fillId="2" borderId="14" xfId="0" applyNumberFormat="1" applyFill="1" applyBorder="1" applyAlignment="1" applyProtection="1">
      <alignment horizontal="center"/>
    </xf>
    <xf numFmtId="0" fontId="0" fillId="3" borderId="15" xfId="0" applyNumberFormat="1" applyFill="1" applyBorder="1" applyAlignment="1" applyProtection="1">
      <alignment horizontal="center"/>
    </xf>
    <xf numFmtId="0" fontId="0" fillId="3" borderId="16" xfId="0" applyNumberFormat="1" applyFill="1" applyBorder="1" applyAlignment="1" applyProtection="1">
      <alignment horizontal="center"/>
    </xf>
    <xf numFmtId="49" fontId="0" fillId="2" borderId="17" xfId="0" applyNumberFormat="1" applyFill="1" applyBorder="1" applyAlignment="1" applyProtection="1">
      <alignment horizontal="center"/>
    </xf>
    <xf numFmtId="0" fontId="3" fillId="0" borderId="0" xfId="0" applyFont="1" applyProtection="1"/>
    <xf numFmtId="0" fontId="0" fillId="0" borderId="0" xfId="0" applyProtection="1"/>
    <xf numFmtId="0" fontId="2" fillId="0" borderId="4" xfId="0" applyFont="1" applyBorder="1" applyAlignment="1" applyProtection="1">
      <alignment horizontal="center" vertical="center" wrapText="1"/>
    </xf>
    <xf numFmtId="0" fontId="2" fillId="0" borderId="4" xfId="0" applyFont="1" applyBorder="1" applyAlignment="1" applyProtection="1">
      <alignment vertical="center"/>
    </xf>
    <xf numFmtId="0" fontId="0" fillId="0" borderId="0" xfId="0" applyBorder="1" applyProtection="1"/>
    <xf numFmtId="0" fontId="0" fillId="0" borderId="5" xfId="0" applyBorder="1" applyProtection="1"/>
    <xf numFmtId="0" fontId="2" fillId="0" borderId="0" xfId="0" applyFont="1" applyProtection="1"/>
    <xf numFmtId="0" fontId="2" fillId="0" borderId="0" xfId="0" applyFont="1" applyBorder="1" applyProtection="1"/>
    <xf numFmtId="0" fontId="2" fillId="0" borderId="0" xfId="0" applyFont="1" applyBorder="1" applyAlignment="1" applyProtection="1">
      <alignment horizontal="center" vertical="center"/>
    </xf>
    <xf numFmtId="0" fontId="0" fillId="0" borderId="1" xfId="0" applyBorder="1" applyProtection="1"/>
    <xf numFmtId="0" fontId="4" fillId="0" borderId="0" xfId="0" applyFont="1" applyProtection="1">
      <protection locked="0"/>
    </xf>
    <xf numFmtId="0" fontId="2" fillId="0" borderId="0" xfId="0" applyFont="1" applyAlignment="1" applyProtection="1">
      <alignment horizontal="center"/>
    </xf>
    <xf numFmtId="0" fontId="0" fillId="3" borderId="18" xfId="0" applyNumberFormat="1" applyFill="1" applyBorder="1" applyAlignment="1" applyProtection="1">
      <alignment horizontal="center"/>
    </xf>
    <xf numFmtId="0" fontId="0" fillId="3" borderId="19" xfId="0" applyNumberFormat="1" applyFill="1" applyBorder="1" applyAlignment="1" applyProtection="1">
      <alignment horizontal="center"/>
    </xf>
    <xf numFmtId="0" fontId="0" fillId="3" borderId="20" xfId="0" applyNumberFormat="1" applyFill="1" applyBorder="1" applyAlignment="1" applyProtection="1">
      <alignment horizontal="center"/>
    </xf>
    <xf numFmtId="0" fontId="0" fillId="3" borderId="14" xfId="0" applyNumberFormat="1" applyFill="1" applyBorder="1" applyAlignment="1" applyProtection="1">
      <alignment horizontal="center"/>
    </xf>
    <xf numFmtId="0" fontId="2" fillId="0" borderId="21" xfId="0" applyFont="1" applyBorder="1" applyAlignment="1" applyProtection="1">
      <alignment horizontal="center" vertical="center"/>
    </xf>
    <xf numFmtId="0" fontId="2" fillId="0" borderId="22" xfId="0" applyFont="1" applyBorder="1" applyAlignment="1" applyProtection="1">
      <alignment horizontal="center" vertical="center"/>
    </xf>
    <xf numFmtId="0" fontId="2" fillId="0" borderId="1" xfId="0" applyFont="1" applyBorder="1" applyAlignment="1" applyProtection="1">
      <alignment horizontal="center"/>
    </xf>
    <xf numFmtId="0" fontId="2" fillId="0" borderId="23" xfId="0" applyFont="1" applyBorder="1" applyAlignment="1" applyProtection="1">
      <alignment horizontal="center"/>
    </xf>
    <xf numFmtId="0" fontId="2" fillId="0" borderId="22" xfId="0" applyFont="1" applyBorder="1" applyAlignment="1" applyProtection="1">
      <alignment vertical="center"/>
    </xf>
    <xf numFmtId="0" fontId="2" fillId="0" borderId="24" xfId="0" applyFont="1" applyBorder="1" applyAlignment="1" applyProtection="1">
      <alignment vertical="center"/>
    </xf>
    <xf numFmtId="0" fontId="2" fillId="0" borderId="24" xfId="0" applyFont="1" applyBorder="1" applyAlignment="1" applyProtection="1">
      <alignment horizontal="center" vertical="center"/>
    </xf>
    <xf numFmtId="0" fontId="14" fillId="0" borderId="0" xfId="0" applyFont="1" applyProtection="1">
      <protection locked="0"/>
    </xf>
    <xf numFmtId="0" fontId="15" fillId="0" borderId="0" xfId="0" applyFont="1" applyProtection="1"/>
    <xf numFmtId="49" fontId="16" fillId="0" borderId="0" xfId="0" applyNumberFormat="1" applyFont="1" applyAlignment="1" applyProtection="1">
      <alignment horizontal="center"/>
    </xf>
    <xf numFmtId="0" fontId="4" fillId="0" borderId="0" xfId="0" applyFont="1" applyFill="1"/>
    <xf numFmtId="0" fontId="4" fillId="0" borderId="1" xfId="0" applyNumberFormat="1" applyFont="1" applyFill="1" applyBorder="1" applyAlignment="1" applyProtection="1">
      <alignment horizontal="center"/>
      <protection locked="0"/>
    </xf>
    <xf numFmtId="0" fontId="4" fillId="0" borderId="25" xfId="0" applyNumberFormat="1" applyFont="1" applyFill="1" applyBorder="1" applyAlignment="1" applyProtection="1">
      <alignment horizontal="center"/>
      <protection locked="0"/>
    </xf>
    <xf numFmtId="0" fontId="2" fillId="3" borderId="0" xfId="0" applyFont="1" applyFill="1"/>
    <xf numFmtId="0" fontId="0" fillId="3" borderId="0" xfId="0" applyFill="1"/>
    <xf numFmtId="0" fontId="4" fillId="3" borderId="0" xfId="0" applyFont="1" applyFill="1"/>
    <xf numFmtId="0" fontId="28" fillId="3" borderId="0" xfId="1" applyFill="1" applyAlignment="1" applyProtection="1"/>
    <xf numFmtId="0" fontId="4" fillId="3" borderId="3" xfId="0" applyFont="1" applyFill="1" applyBorder="1" applyAlignment="1">
      <alignment wrapText="1"/>
    </xf>
    <xf numFmtId="0" fontId="0" fillId="3" borderId="3" xfId="0" applyFill="1" applyBorder="1" applyAlignment="1">
      <alignment wrapText="1"/>
    </xf>
    <xf numFmtId="0" fontId="0" fillId="3" borderId="1" xfId="0" applyFill="1" applyBorder="1" applyAlignment="1">
      <alignment horizontal="center" vertical="center"/>
    </xf>
    <xf numFmtId="0" fontId="4" fillId="3" borderId="0" xfId="0" applyFont="1" applyFill="1" applyBorder="1" applyAlignment="1">
      <alignment wrapText="1"/>
    </xf>
    <xf numFmtId="0" fontId="0" fillId="3" borderId="0" xfId="0" applyFill="1" applyBorder="1" applyAlignment="1">
      <alignment wrapText="1"/>
    </xf>
    <xf numFmtId="0" fontId="4" fillId="4" borderId="1" xfId="0" applyFont="1" applyFill="1" applyBorder="1" applyAlignment="1">
      <alignment horizontal="center" vertical="center"/>
    </xf>
    <xf numFmtId="0" fontId="4" fillId="5" borderId="26" xfId="0" applyFont="1" applyFill="1" applyBorder="1"/>
    <xf numFmtId="0" fontId="28" fillId="5" borderId="27" xfId="1" applyFill="1" applyBorder="1" applyAlignment="1" applyProtection="1"/>
    <xf numFmtId="0" fontId="0" fillId="5" borderId="27" xfId="0" applyFill="1" applyBorder="1"/>
    <xf numFmtId="0" fontId="4" fillId="5" borderId="27" xfId="0" applyFont="1" applyFill="1" applyBorder="1"/>
    <xf numFmtId="0" fontId="0" fillId="5" borderId="28" xfId="0" applyFill="1" applyBorder="1"/>
    <xf numFmtId="0" fontId="4" fillId="5" borderId="29" xfId="0" applyFont="1" applyFill="1" applyBorder="1"/>
    <xf numFmtId="0" fontId="4" fillId="5" borderId="5" xfId="0" applyFont="1" applyFill="1" applyBorder="1"/>
    <xf numFmtId="0" fontId="0" fillId="5" borderId="5" xfId="0" applyFill="1" applyBorder="1"/>
    <xf numFmtId="0" fontId="0" fillId="5" borderId="30" xfId="0" applyFill="1" applyBorder="1"/>
    <xf numFmtId="0" fontId="4" fillId="6" borderId="1" xfId="0" applyFont="1" applyFill="1" applyBorder="1" applyAlignment="1">
      <alignment horizontal="center" vertical="center"/>
    </xf>
    <xf numFmtId="0" fontId="4" fillId="3" borderId="3" xfId="0" applyFont="1" applyFill="1" applyBorder="1" applyAlignment="1">
      <alignment horizontal="center" vertical="center"/>
    </xf>
    <xf numFmtId="0" fontId="4" fillId="3" borderId="0" xfId="0" applyFont="1" applyFill="1" applyBorder="1" applyAlignment="1">
      <alignment horizontal="center" vertical="center"/>
    </xf>
    <xf numFmtId="0" fontId="0" fillId="0" borderId="0" xfId="0" applyAlignment="1">
      <alignment horizontal="center"/>
    </xf>
    <xf numFmtId="0" fontId="2" fillId="0" borderId="3" xfId="0" applyFont="1" applyFill="1" applyBorder="1" applyAlignment="1" applyProtection="1">
      <protection locked="0"/>
    </xf>
    <xf numFmtId="0" fontId="12" fillId="0" borderId="0" xfId="0" applyFont="1" applyFill="1" applyAlignment="1" applyProtection="1">
      <alignment horizontal="center" vertical="center"/>
    </xf>
    <xf numFmtId="0" fontId="4" fillId="4" borderId="0" xfId="0" applyFont="1" applyFill="1" applyProtection="1"/>
    <xf numFmtId="0" fontId="15" fillId="0" borderId="0" xfId="0" applyFont="1" applyAlignment="1" applyProtection="1">
      <alignment horizontal="center"/>
    </xf>
    <xf numFmtId="0" fontId="0" fillId="0" borderId="27" xfId="0" applyFill="1" applyBorder="1" applyAlignment="1" applyProtection="1">
      <alignment horizontal="left" vertical="center"/>
    </xf>
    <xf numFmtId="0" fontId="0" fillId="0" borderId="0" xfId="0" applyFill="1" applyBorder="1" applyAlignment="1" applyProtection="1">
      <alignment horizontal="center" vertical="center"/>
    </xf>
    <xf numFmtId="0" fontId="0" fillId="0" borderId="0" xfId="0" applyAlignment="1" applyProtection="1"/>
    <xf numFmtId="0" fontId="2" fillId="0" borderId="4" xfId="0" applyFont="1" applyBorder="1" applyAlignment="1" applyProtection="1">
      <alignment horizontal="left"/>
    </xf>
    <xf numFmtId="0" fontId="2" fillId="0" borderId="3" xfId="0" applyFont="1" applyBorder="1" applyAlignment="1" applyProtection="1">
      <alignment horizontal="left"/>
    </xf>
    <xf numFmtId="0" fontId="2" fillId="0" borderId="2" xfId="0" applyFont="1" applyBorder="1" applyAlignment="1" applyProtection="1">
      <alignment horizontal="left"/>
    </xf>
    <xf numFmtId="0" fontId="0" fillId="0" borderId="4" xfId="0" applyBorder="1" applyAlignment="1" applyProtection="1">
      <alignment horizontal="center"/>
    </xf>
    <xf numFmtId="0" fontId="0" fillId="0" borderId="3" xfId="0" applyBorder="1" applyAlignment="1" applyProtection="1">
      <alignment horizontal="center"/>
    </xf>
    <xf numFmtId="0" fontId="0" fillId="0" borderId="2" xfId="0" applyBorder="1" applyAlignment="1" applyProtection="1">
      <alignment horizontal="center"/>
    </xf>
    <xf numFmtId="0" fontId="5" fillId="0" borderId="27" xfId="0" applyFont="1" applyBorder="1" applyAlignment="1" applyProtection="1">
      <alignment horizontal="center" vertical="center"/>
    </xf>
    <xf numFmtId="0" fontId="0" fillId="0" borderId="27" xfId="0" applyBorder="1" applyAlignment="1" applyProtection="1">
      <alignment horizontal="left" vertical="center"/>
    </xf>
    <xf numFmtId="0" fontId="0" fillId="0" borderId="27" xfId="0" applyBorder="1" applyAlignment="1" applyProtection="1">
      <alignment horizontal="center" vertical="center"/>
    </xf>
    <xf numFmtId="0" fontId="0" fillId="0" borderId="0" xfId="0" applyAlignment="1" applyProtection="1">
      <alignment horizontal="left"/>
      <protection locked="0"/>
    </xf>
    <xf numFmtId="0" fontId="0" fillId="0" borderId="0" xfId="0" applyAlignment="1" applyProtection="1">
      <protection locked="0"/>
    </xf>
    <xf numFmtId="0" fontId="2" fillId="0" borderId="27" xfId="0" applyFont="1" applyBorder="1" applyAlignment="1" applyProtection="1">
      <alignment horizontal="center" vertical="center"/>
    </xf>
    <xf numFmtId="0" fontId="0" fillId="0" borderId="27" xfId="0" applyFill="1" applyBorder="1" applyAlignment="1" applyProtection="1">
      <alignment horizontal="center" vertical="center"/>
    </xf>
    <xf numFmtId="0" fontId="0" fillId="0" borderId="0" xfId="0" applyBorder="1" applyAlignment="1" applyProtection="1">
      <alignment horizontal="center" vertical="center"/>
    </xf>
    <xf numFmtId="0" fontId="0" fillId="0" borderId="0" xfId="0" applyBorder="1" applyAlignment="1" applyProtection="1">
      <alignment horizontal="left" vertical="center"/>
    </xf>
    <xf numFmtId="0" fontId="0" fillId="0" borderId="0" xfId="0" applyFill="1" applyBorder="1" applyAlignment="1" applyProtection="1">
      <alignment horizontal="left" vertical="center"/>
    </xf>
    <xf numFmtId="0" fontId="5" fillId="0" borderId="0" xfId="0" applyFont="1" applyBorder="1" applyAlignment="1" applyProtection="1">
      <alignment horizontal="center" vertical="center"/>
    </xf>
    <xf numFmtId="0" fontId="6" fillId="0" borderId="0" xfId="0" applyFont="1" applyBorder="1" applyAlignment="1" applyProtection="1">
      <alignment horizontal="center" vertical="center"/>
    </xf>
    <xf numFmtId="0" fontId="2" fillId="0" borderId="3" xfId="0" applyFont="1" applyFill="1" applyBorder="1" applyAlignment="1" applyProtection="1">
      <alignment horizontal="center"/>
      <protection locked="0"/>
    </xf>
    <xf numFmtId="0" fontId="2" fillId="0" borderId="0" xfId="0" applyFont="1" applyAlignment="1" applyProtection="1">
      <protection locked="0"/>
    </xf>
    <xf numFmtId="0" fontId="0" fillId="3" borderId="0" xfId="0" applyFill="1" applyAlignment="1">
      <alignment horizontal="center"/>
    </xf>
    <xf numFmtId="0" fontId="4" fillId="3" borderId="5" xfId="0" applyFont="1" applyFill="1" applyBorder="1"/>
    <xf numFmtId="0" fontId="0" fillId="3" borderId="0" xfId="0" applyFont="1" applyFill="1"/>
    <xf numFmtId="0" fontId="15" fillId="0" borderId="0" xfId="0" applyFont="1" applyProtection="1">
      <protection locked="0"/>
    </xf>
    <xf numFmtId="0" fontId="4" fillId="0" borderId="0" xfId="0" applyFont="1" applyAlignment="1" applyProtection="1">
      <alignment horizontal="center"/>
    </xf>
    <xf numFmtId="0" fontId="2" fillId="0" borderId="0" xfId="0" applyFont="1" applyAlignment="1" applyProtection="1"/>
    <xf numFmtId="0" fontId="14" fillId="0" borderId="0" xfId="0" applyFont="1"/>
    <xf numFmtId="0" fontId="17" fillId="0" borderId="0" xfId="0" applyFont="1"/>
    <xf numFmtId="0" fontId="18" fillId="0" borderId="0" xfId="0" applyFont="1"/>
    <xf numFmtId="0" fontId="4" fillId="0" borderId="0" xfId="0" applyFont="1" applyFill="1" applyBorder="1" applyAlignment="1" applyProtection="1">
      <alignment horizontal="left" vertical="center"/>
    </xf>
    <xf numFmtId="0" fontId="4" fillId="0" borderId="0" xfId="0" applyFont="1" applyBorder="1" applyAlignment="1" applyProtection="1">
      <alignment horizontal="left" vertical="center"/>
    </xf>
    <xf numFmtId="0" fontId="4" fillId="3" borderId="0" xfId="0" applyFont="1" applyFill="1" applyBorder="1" applyAlignment="1">
      <alignment horizontal="center"/>
    </xf>
    <xf numFmtId="0" fontId="0" fillId="3" borderId="0" xfId="0" applyFill="1" applyBorder="1" applyAlignment="1">
      <alignment horizontal="center"/>
    </xf>
    <xf numFmtId="0" fontId="0" fillId="3" borderId="0" xfId="0" applyFill="1" applyBorder="1" applyAlignment="1">
      <alignment horizontal="left"/>
    </xf>
    <xf numFmtId="0" fontId="15" fillId="0" borderId="3" xfId="0" applyFont="1" applyFill="1" applyBorder="1" applyAlignment="1" applyProtection="1">
      <alignment horizontal="center"/>
    </xf>
    <xf numFmtId="0" fontId="22" fillId="0" borderId="0" xfId="0" applyFont="1" applyAlignment="1" applyProtection="1">
      <alignment horizontal="center"/>
    </xf>
    <xf numFmtId="0" fontId="2" fillId="0" borderId="0" xfId="0" applyFont="1" applyFill="1" applyAlignment="1" applyProtection="1">
      <alignment horizontal="center"/>
    </xf>
    <xf numFmtId="0" fontId="2" fillId="0" borderId="0" xfId="0" applyFont="1" applyFill="1" applyBorder="1" applyAlignment="1" applyProtection="1">
      <alignment horizontal="center" vertical="center"/>
    </xf>
    <xf numFmtId="0" fontId="22" fillId="0" borderId="0" xfId="0" applyFont="1" applyFill="1" applyAlignment="1" applyProtection="1">
      <alignment horizontal="center"/>
    </xf>
    <xf numFmtId="0" fontId="23" fillId="0" borderId="0" xfId="0" applyFont="1" applyFill="1" applyAlignment="1" applyProtection="1">
      <alignment horizontal="center"/>
    </xf>
    <xf numFmtId="0" fontId="23" fillId="0" borderId="0" xfId="0" applyFont="1" applyAlignment="1" applyProtection="1">
      <alignment horizontal="center"/>
    </xf>
    <xf numFmtId="0" fontId="23" fillId="0" borderId="0" xfId="0" applyFont="1" applyProtection="1"/>
    <xf numFmtId="49" fontId="24" fillId="0" borderId="0" xfId="0" applyNumberFormat="1" applyFont="1" applyAlignment="1" applyProtection="1">
      <alignment horizontal="center"/>
    </xf>
    <xf numFmtId="0" fontId="4" fillId="0" borderId="0" xfId="0" applyFont="1" applyBorder="1" applyAlignment="1" applyProtection="1">
      <alignment horizontal="left"/>
    </xf>
    <xf numFmtId="0" fontId="4" fillId="0" borderId="0" xfId="0" applyFont="1" applyAlignment="1" applyProtection="1">
      <alignment horizontal="center"/>
      <protection locked="0"/>
    </xf>
    <xf numFmtId="0" fontId="25" fillId="0" borderId="0" xfId="0" applyFont="1" applyProtection="1">
      <protection locked="0"/>
    </xf>
    <xf numFmtId="0" fontId="0" fillId="2" borderId="4" xfId="0" applyNumberFormat="1" applyFill="1" applyBorder="1" applyAlignment="1" applyProtection="1">
      <alignment horizontal="center"/>
    </xf>
    <xf numFmtId="0" fontId="0" fillId="2" borderId="1" xfId="0" applyNumberFormat="1" applyFill="1" applyBorder="1" applyAlignment="1" applyProtection="1">
      <alignment horizontal="center"/>
    </xf>
    <xf numFmtId="0" fontId="28" fillId="0" borderId="1" xfId="1" applyNumberFormat="1" applyFill="1" applyBorder="1" applyAlignment="1" applyProtection="1">
      <alignment horizontal="center" vertical="center"/>
    </xf>
    <xf numFmtId="0" fontId="23" fillId="0" borderId="0" xfId="0" applyFont="1" applyFill="1" applyProtection="1"/>
    <xf numFmtId="0" fontId="23" fillId="0" borderId="0" xfId="0" applyFont="1"/>
    <xf numFmtId="0" fontId="23" fillId="0" borderId="0" xfId="0" applyFont="1" applyProtection="1">
      <protection locked="0"/>
    </xf>
    <xf numFmtId="0" fontId="23" fillId="0" borderId="0" xfId="0" applyFont="1" applyAlignment="1" applyProtection="1">
      <alignment horizontal="center"/>
      <protection locked="0"/>
    </xf>
    <xf numFmtId="14" fontId="2" fillId="0" borderId="0" xfId="0" applyNumberFormat="1" applyFont="1" applyAlignment="1" applyProtection="1">
      <alignment horizontal="center"/>
    </xf>
    <xf numFmtId="165" fontId="0" fillId="0" borderId="0" xfId="0" applyNumberFormat="1" applyProtection="1"/>
    <xf numFmtId="0" fontId="2" fillId="0" borderId="0" xfId="0" applyFont="1" applyAlignment="1" applyProtection="1">
      <alignment horizontal="left"/>
    </xf>
    <xf numFmtId="20" fontId="23" fillId="0" borderId="0" xfId="0" applyNumberFormat="1" applyFont="1" applyAlignment="1" applyProtection="1">
      <alignment horizontal="center"/>
    </xf>
    <xf numFmtId="0" fontId="21" fillId="0" borderId="1" xfId="0" applyFont="1" applyBorder="1" applyAlignment="1" applyProtection="1">
      <alignment horizontal="center"/>
    </xf>
    <xf numFmtId="0" fontId="4" fillId="0" borderId="0" xfId="0" applyFont="1" applyAlignment="1" applyProtection="1">
      <alignment horizontal="left"/>
    </xf>
    <xf numFmtId="0" fontId="4" fillId="0" borderId="0" xfId="0" applyFont="1" applyFill="1" applyProtection="1"/>
    <xf numFmtId="165" fontId="0" fillId="0" borderId="0" xfId="0" applyNumberFormat="1" applyAlignment="1" applyProtection="1">
      <alignment horizontal="left"/>
    </xf>
    <xf numFmtId="0" fontId="30" fillId="3" borderId="0" xfId="0" applyFont="1" applyFill="1"/>
    <xf numFmtId="0" fontId="2" fillId="0" borderId="4" xfId="0" applyFont="1" applyBorder="1" applyAlignment="1" applyProtection="1">
      <alignment horizontal="center"/>
    </xf>
    <xf numFmtId="49" fontId="31" fillId="0" borderId="0" xfId="0" applyNumberFormat="1" applyFont="1" applyFill="1" applyAlignment="1" applyProtection="1">
      <alignment horizontal="center"/>
      <protection locked="0"/>
    </xf>
    <xf numFmtId="0" fontId="32" fillId="0" borderId="0" xfId="0" applyFont="1" applyAlignment="1" applyProtection="1">
      <alignment horizontal="center"/>
    </xf>
    <xf numFmtId="0" fontId="2" fillId="0" borderId="0" xfId="0" applyFont="1" applyBorder="1" applyAlignment="1" applyProtection="1">
      <alignment horizontal="center"/>
    </xf>
    <xf numFmtId="0" fontId="4" fillId="0" borderId="4" xfId="0" applyFont="1" applyFill="1" applyBorder="1" applyAlignment="1" applyProtection="1">
      <alignment horizontal="center"/>
      <protection locked="0"/>
    </xf>
    <xf numFmtId="0" fontId="4" fillId="0" borderId="31" xfId="0" applyFont="1" applyFill="1" applyBorder="1" applyAlignment="1" applyProtection="1">
      <alignment horizontal="center"/>
      <protection locked="0"/>
    </xf>
    <xf numFmtId="0" fontId="2" fillId="0" borderId="32" xfId="0" applyFont="1" applyBorder="1" applyAlignment="1" applyProtection="1">
      <alignment horizontal="center"/>
      <protection locked="0"/>
    </xf>
    <xf numFmtId="0" fontId="4" fillId="0" borderId="1" xfId="0" applyFont="1" applyFill="1" applyBorder="1" applyAlignment="1" applyProtection="1">
      <alignment horizontal="center"/>
      <protection locked="0"/>
    </xf>
    <xf numFmtId="0" fontId="33" fillId="0" borderId="0" xfId="0" applyFont="1" applyProtection="1">
      <protection locked="0"/>
    </xf>
    <xf numFmtId="18" fontId="33" fillId="0" borderId="0" xfId="0" applyNumberFormat="1" applyFont="1"/>
    <xf numFmtId="0" fontId="33" fillId="0" borderId="0" xfId="0" applyFont="1"/>
    <xf numFmtId="18" fontId="32" fillId="0" borderId="0" xfId="0" applyNumberFormat="1" applyFont="1"/>
    <xf numFmtId="0" fontId="32" fillId="0" borderId="0" xfId="0" applyFont="1" applyAlignment="1" applyProtection="1">
      <alignment horizontal="center"/>
      <protection locked="0"/>
    </xf>
    <xf numFmtId="0" fontId="32" fillId="0" borderId="0" xfId="0" applyFont="1" applyProtection="1">
      <protection locked="0"/>
    </xf>
    <xf numFmtId="0" fontId="32" fillId="0" borderId="0" xfId="0" applyFont="1" applyAlignment="1" applyProtection="1">
      <alignment horizontal="right"/>
    </xf>
    <xf numFmtId="0" fontId="32" fillId="0" borderId="0" xfId="0" applyFont="1" applyAlignment="1" applyProtection="1">
      <alignment horizontal="left"/>
    </xf>
    <xf numFmtId="0" fontId="32" fillId="0" borderId="0" xfId="0" applyFont="1" applyFill="1" applyProtection="1"/>
    <xf numFmtId="0" fontId="32" fillId="0" borderId="0" xfId="0" applyFont="1" applyProtection="1"/>
    <xf numFmtId="0" fontId="0" fillId="0" borderId="33" xfId="0" applyBorder="1" applyAlignment="1" applyProtection="1">
      <alignment horizontal="right"/>
    </xf>
    <xf numFmtId="0" fontId="34" fillId="0" borderId="0" xfId="0" applyFont="1" applyAlignment="1" applyProtection="1">
      <alignment horizontal="center"/>
    </xf>
    <xf numFmtId="0" fontId="0" fillId="7" borderId="0" xfId="0" applyFill="1" applyProtection="1">
      <protection locked="0"/>
    </xf>
    <xf numFmtId="0" fontId="0" fillId="0" borderId="0" xfId="0" applyFill="1" applyProtection="1">
      <protection locked="0"/>
    </xf>
    <xf numFmtId="0" fontId="32" fillId="0" borderId="1" xfId="0" applyFont="1" applyFill="1" applyBorder="1" applyProtection="1"/>
    <xf numFmtId="0" fontId="4" fillId="3" borderId="0" xfId="0" applyFont="1" applyFill="1" applyAlignment="1">
      <alignment horizontal="right"/>
    </xf>
    <xf numFmtId="0" fontId="0" fillId="8" borderId="0" xfId="0" applyFill="1" applyProtection="1">
      <protection locked="0"/>
    </xf>
    <xf numFmtId="0" fontId="0" fillId="9" borderId="0" xfId="0" applyFill="1" applyProtection="1">
      <protection locked="0"/>
    </xf>
    <xf numFmtId="0" fontId="0" fillId="7" borderId="0" xfId="0" applyFill="1" applyAlignment="1" applyProtection="1">
      <alignment horizontal="center"/>
      <protection locked="0"/>
    </xf>
    <xf numFmtId="0" fontId="0" fillId="10" borderId="0" xfId="0" applyFill="1" applyProtection="1">
      <protection locked="0"/>
    </xf>
    <xf numFmtId="0" fontId="0" fillId="3" borderId="34" xfId="0" applyFill="1" applyBorder="1" applyAlignment="1">
      <alignment horizontal="center"/>
    </xf>
    <xf numFmtId="0" fontId="28" fillId="3" borderId="0" xfId="1" applyFill="1" applyBorder="1" applyAlignment="1" applyProtection="1">
      <alignment horizontal="left"/>
    </xf>
    <xf numFmtId="0" fontId="0" fillId="7" borderId="0" xfId="0" applyFill="1"/>
    <xf numFmtId="0" fontId="4" fillId="7" borderId="0" xfId="0" applyFont="1" applyFill="1"/>
    <xf numFmtId="0" fontId="2" fillId="7" borderId="0" xfId="0" applyFont="1" applyFill="1"/>
    <xf numFmtId="49" fontId="33" fillId="0" borderId="0" xfId="0" applyNumberFormat="1" applyFont="1" applyAlignment="1" applyProtection="1">
      <alignment horizontal="center"/>
      <protection locked="0"/>
    </xf>
    <xf numFmtId="0" fontId="2" fillId="11" borderId="0" xfId="0" applyFont="1" applyFill="1" applyProtection="1">
      <protection locked="0"/>
    </xf>
    <xf numFmtId="0" fontId="2" fillId="11" borderId="35" xfId="0" applyNumberFormat="1" applyFont="1" applyFill="1" applyBorder="1" applyAlignment="1" applyProtection="1">
      <alignment horizontal="center" vertical="center"/>
      <protection locked="0"/>
    </xf>
    <xf numFmtId="0" fontId="4" fillId="11" borderId="1" xfId="0" applyFont="1" applyFill="1" applyBorder="1" applyAlignment="1" applyProtection="1">
      <alignment horizontal="left"/>
      <protection locked="0"/>
    </xf>
    <xf numFmtId="0" fontId="4" fillId="11" borderId="36" xfId="0" applyFont="1" applyFill="1" applyBorder="1" applyAlignment="1" applyProtection="1">
      <alignment horizontal="left"/>
      <protection locked="0"/>
    </xf>
    <xf numFmtId="0" fontId="4" fillId="11" borderId="25" xfId="0" applyFont="1" applyFill="1" applyBorder="1" applyAlignment="1" applyProtection="1">
      <alignment horizontal="left"/>
      <protection locked="0"/>
    </xf>
    <xf numFmtId="0" fontId="4" fillId="11" borderId="37" xfId="0" applyFont="1" applyFill="1" applyBorder="1" applyAlignment="1" applyProtection="1">
      <alignment horizontal="left"/>
      <protection locked="0"/>
    </xf>
    <xf numFmtId="49" fontId="0" fillId="3" borderId="0" xfId="0" applyNumberFormat="1" applyFill="1"/>
    <xf numFmtId="0" fontId="36" fillId="0" borderId="0" xfId="0" applyFont="1"/>
    <xf numFmtId="0" fontId="0" fillId="0" borderId="34" xfId="0" applyFill="1" applyBorder="1" applyAlignment="1" applyProtection="1">
      <alignment horizontal="center"/>
    </xf>
    <xf numFmtId="0" fontId="0" fillId="0" borderId="0" xfId="0" applyFill="1" applyBorder="1" applyAlignment="1" applyProtection="1">
      <alignment horizontal="center"/>
    </xf>
    <xf numFmtId="0" fontId="0" fillId="0" borderId="0" xfId="0" applyFill="1" applyBorder="1" applyAlignment="1" applyProtection="1">
      <alignment horizontal="right"/>
    </xf>
    <xf numFmtId="0" fontId="0" fillId="0" borderId="0" xfId="0"/>
    <xf numFmtId="0" fontId="0" fillId="0" borderId="0" xfId="0"/>
    <xf numFmtId="0" fontId="4" fillId="0" borderId="0" xfId="0" applyFont="1" applyFill="1" applyAlignment="1" applyProtection="1">
      <alignment vertical="center"/>
    </xf>
    <xf numFmtId="0" fontId="0" fillId="0" borderId="0" xfId="0"/>
    <xf numFmtId="1" fontId="4" fillId="11" borderId="0" xfId="0" applyNumberFormat="1" applyFont="1" applyFill="1" applyBorder="1" applyAlignment="1" applyProtection="1">
      <alignment horizontal="center" vertical="center"/>
      <protection locked="0"/>
    </xf>
    <xf numFmtId="1" fontId="4" fillId="12" borderId="0" xfId="0" applyNumberFormat="1" applyFont="1" applyFill="1" applyBorder="1" applyAlignment="1" applyProtection="1">
      <alignment horizontal="center" vertical="center"/>
      <protection locked="0"/>
    </xf>
    <xf numFmtId="0" fontId="4" fillId="0" borderId="0" xfId="0" applyFont="1" applyAlignment="1" applyProtection="1">
      <protection locked="0"/>
    </xf>
    <xf numFmtId="0" fontId="0" fillId="0" borderId="0" xfId="0" applyAlignment="1"/>
    <xf numFmtId="0" fontId="4" fillId="0" borderId="0" xfId="0" applyFont="1" applyAlignment="1" applyProtection="1">
      <alignment horizontal="center"/>
      <protection locked="0"/>
    </xf>
    <xf numFmtId="165" fontId="4" fillId="11" borderId="0" xfId="0" applyNumberFormat="1" applyFont="1" applyFill="1" applyBorder="1" applyAlignment="1" applyProtection="1">
      <alignment horizontal="center" vertical="center"/>
      <protection locked="0"/>
    </xf>
    <xf numFmtId="165" fontId="4" fillId="12" borderId="0" xfId="0" applyNumberFormat="1" applyFont="1" applyFill="1" applyBorder="1" applyAlignment="1" applyProtection="1">
      <alignment horizontal="center" vertical="center"/>
      <protection locked="0"/>
    </xf>
    <xf numFmtId="49" fontId="4" fillId="11" borderId="47" xfId="0" applyNumberFormat="1" applyFont="1" applyFill="1" applyBorder="1" applyAlignment="1" applyProtection="1">
      <alignment vertical="center"/>
      <protection locked="0"/>
    </xf>
    <xf numFmtId="49" fontId="0" fillId="12" borderId="47" xfId="0" applyNumberFormat="1" applyFill="1" applyBorder="1" applyAlignment="1" applyProtection="1">
      <alignment vertical="center"/>
      <protection locked="0"/>
    </xf>
    <xf numFmtId="0" fontId="2" fillId="11" borderId="0" xfId="0" applyFont="1" applyFill="1" applyAlignment="1" applyProtection="1">
      <alignment horizontal="center" vertical="center"/>
      <protection locked="0"/>
    </xf>
    <xf numFmtId="0" fontId="2" fillId="12" borderId="0" xfId="0" applyFont="1" applyFill="1" applyAlignment="1" applyProtection="1">
      <alignment horizontal="center" vertical="center"/>
      <protection locked="0"/>
    </xf>
    <xf numFmtId="0" fontId="26" fillId="0" borderId="0" xfId="0" applyFont="1" applyAlignment="1" applyProtection="1">
      <protection locked="0"/>
    </xf>
    <xf numFmtId="0" fontId="2" fillId="11" borderId="0" xfId="0" applyFont="1" applyFill="1" applyAlignment="1" applyProtection="1">
      <alignment horizontal="center"/>
      <protection locked="0"/>
    </xf>
    <xf numFmtId="0" fontId="2" fillId="12" borderId="0" xfId="0" applyFont="1" applyFill="1" applyAlignment="1" applyProtection="1">
      <alignment horizontal="center"/>
      <protection locked="0"/>
    </xf>
    <xf numFmtId="0" fontId="3" fillId="8" borderId="39" xfId="0" applyFont="1" applyFill="1" applyBorder="1" applyAlignment="1" applyProtection="1">
      <alignment horizontal="center" vertical="center"/>
    </xf>
    <xf numFmtId="0" fontId="3" fillId="8" borderId="1" xfId="0" applyFont="1" applyFill="1" applyBorder="1" applyAlignment="1" applyProtection="1">
      <alignment horizontal="center" vertical="center"/>
    </xf>
    <xf numFmtId="14" fontId="2" fillId="11" borderId="0" xfId="0" applyNumberFormat="1" applyFont="1" applyFill="1" applyAlignment="1" applyProtection="1">
      <alignment horizontal="center"/>
      <protection locked="0"/>
    </xf>
    <xf numFmtId="0" fontId="3" fillId="8" borderId="18" xfId="0" applyFont="1" applyFill="1" applyBorder="1" applyAlignment="1" applyProtection="1">
      <alignment horizontal="center" vertical="center"/>
    </xf>
    <xf numFmtId="0" fontId="3" fillId="8" borderId="40" xfId="0" applyFont="1" applyFill="1" applyBorder="1" applyAlignment="1" applyProtection="1">
      <alignment horizontal="center" vertical="center"/>
    </xf>
    <xf numFmtId="0" fontId="3" fillId="8" borderId="41" xfId="0" applyFont="1" applyFill="1" applyBorder="1" applyAlignment="1" applyProtection="1">
      <alignment horizontal="center" vertical="center"/>
    </xf>
    <xf numFmtId="0" fontId="3" fillId="8" borderId="42" xfId="0" applyFont="1" applyFill="1" applyBorder="1" applyAlignment="1" applyProtection="1">
      <alignment horizontal="center" vertical="center"/>
    </xf>
    <xf numFmtId="0" fontId="2" fillId="0" borderId="0" xfId="0" applyFont="1" applyAlignment="1" applyProtection="1">
      <alignment horizontal="center" vertical="center"/>
    </xf>
    <xf numFmtId="49" fontId="4" fillId="11" borderId="49" xfId="0" applyNumberFormat="1" applyFont="1" applyFill="1" applyBorder="1" applyAlignment="1" applyProtection="1">
      <alignment vertical="center"/>
      <protection locked="0"/>
    </xf>
    <xf numFmtId="49" fontId="0" fillId="12" borderId="50" xfId="0" applyNumberFormat="1" applyFill="1" applyBorder="1" applyAlignment="1" applyProtection="1">
      <alignment vertical="center"/>
      <protection locked="0"/>
    </xf>
    <xf numFmtId="49" fontId="4" fillId="11" borderId="51" xfId="0" applyNumberFormat="1" applyFont="1" applyFill="1" applyBorder="1" applyAlignment="1" applyProtection="1">
      <alignment vertical="center"/>
      <protection locked="0"/>
    </xf>
    <xf numFmtId="0" fontId="3" fillId="8" borderId="43" xfId="0" applyFont="1" applyFill="1" applyBorder="1" applyAlignment="1" applyProtection="1">
      <alignment horizontal="center" vertical="center"/>
    </xf>
    <xf numFmtId="0" fontId="3" fillId="8" borderId="38" xfId="0" applyFont="1" applyFill="1" applyBorder="1" applyAlignment="1" applyProtection="1">
      <alignment horizontal="center" vertical="center"/>
    </xf>
    <xf numFmtId="0" fontId="3" fillId="8" borderId="48" xfId="0" applyFont="1" applyFill="1" applyBorder="1" applyAlignment="1" applyProtection="1">
      <alignment horizontal="center" vertical="center"/>
    </xf>
    <xf numFmtId="0" fontId="3" fillId="8" borderId="46" xfId="0" applyFont="1" applyFill="1" applyBorder="1" applyAlignment="1" applyProtection="1">
      <alignment horizontal="center" vertical="center"/>
    </xf>
    <xf numFmtId="0" fontId="3" fillId="8" borderId="45" xfId="0" applyFont="1" applyFill="1" applyBorder="1" applyAlignment="1" applyProtection="1">
      <alignment horizontal="center" vertical="center"/>
    </xf>
    <xf numFmtId="0" fontId="3" fillId="8" borderId="44" xfId="0" applyFont="1" applyFill="1" applyBorder="1" applyAlignment="1" applyProtection="1">
      <alignment horizontal="center" vertical="center"/>
    </xf>
    <xf numFmtId="0" fontId="3" fillId="8" borderId="22" xfId="0" applyFont="1" applyFill="1" applyBorder="1" applyAlignment="1" applyProtection="1">
      <alignment horizontal="center" vertical="center"/>
    </xf>
    <xf numFmtId="0" fontId="3" fillId="8" borderId="52" xfId="0" applyFont="1" applyFill="1" applyBorder="1" applyAlignment="1" applyProtection="1">
      <alignment horizontal="center" vertical="center"/>
    </xf>
    <xf numFmtId="0" fontId="2" fillId="0" borderId="6" xfId="0" applyNumberFormat="1" applyFont="1" applyFill="1" applyBorder="1" applyAlignment="1" applyProtection="1">
      <alignment horizontal="left" vertical="center"/>
    </xf>
    <xf numFmtId="0" fontId="2" fillId="0" borderId="0" xfId="0" applyFont="1" applyAlignment="1" applyProtection="1">
      <alignment horizontal="center"/>
      <protection locked="0"/>
    </xf>
    <xf numFmtId="0" fontId="0" fillId="0" borderId="0" xfId="0" applyAlignment="1" applyProtection="1">
      <alignment horizontal="left"/>
    </xf>
    <xf numFmtId="0" fontId="0" fillId="13" borderId="3" xfId="0" applyNumberFormat="1" applyFill="1" applyBorder="1" applyAlignment="1" applyProtection="1">
      <alignment horizontal="center" vertical="center"/>
    </xf>
    <xf numFmtId="0" fontId="0" fillId="13" borderId="2" xfId="0" applyNumberFormat="1" applyFill="1" applyBorder="1" applyAlignment="1" applyProtection="1">
      <alignment horizontal="center" vertical="center"/>
    </xf>
    <xf numFmtId="0" fontId="0" fillId="0" borderId="34" xfId="0" applyBorder="1" applyAlignment="1" applyProtection="1">
      <alignment horizontal="center" wrapText="1"/>
    </xf>
    <xf numFmtId="0" fontId="0" fillId="0" borderId="0" xfId="0" applyAlignment="1" applyProtection="1">
      <alignment horizontal="center" wrapText="1"/>
    </xf>
    <xf numFmtId="0" fontId="0" fillId="0" borderId="3" xfId="0" applyNumberFormat="1" applyBorder="1" applyAlignment="1" applyProtection="1">
      <alignment horizontal="center" vertical="center"/>
    </xf>
    <xf numFmtId="0" fontId="0" fillId="0" borderId="2" xfId="0" applyNumberFormat="1" applyBorder="1" applyAlignment="1" applyProtection="1">
      <alignment horizontal="center" vertical="center"/>
    </xf>
    <xf numFmtId="0" fontId="4" fillId="0" borderId="0" xfId="0" applyFont="1" applyFill="1" applyAlignment="1" applyProtection="1">
      <alignment horizontal="left" vertical="center"/>
    </xf>
    <xf numFmtId="0" fontId="7" fillId="0" borderId="0" xfId="0" applyFont="1" applyBorder="1" applyAlignment="1" applyProtection="1">
      <alignment horizontal="left"/>
    </xf>
    <xf numFmtId="0" fontId="0" fillId="0" borderId="0" xfId="0" applyAlignment="1" applyProtection="1">
      <alignment horizontal="center"/>
    </xf>
    <xf numFmtId="0" fontId="0" fillId="0" borderId="53" xfId="0" applyBorder="1" applyAlignment="1" applyProtection="1"/>
    <xf numFmtId="0" fontId="0" fillId="0" borderId="54" xfId="0" applyBorder="1" applyAlignment="1" applyProtection="1"/>
    <xf numFmtId="0" fontId="0" fillId="0" borderId="55" xfId="0" applyBorder="1" applyAlignment="1" applyProtection="1"/>
    <xf numFmtId="0" fontId="4" fillId="0" borderId="5" xfId="0" applyFont="1" applyBorder="1" applyAlignment="1" applyProtection="1">
      <alignment horizontal="center"/>
    </xf>
    <xf numFmtId="0" fontId="0" fillId="0" borderId="0" xfId="0" applyBorder="1" applyAlignment="1" applyProtection="1">
      <alignment horizontal="center" wrapText="1"/>
    </xf>
    <xf numFmtId="0" fontId="27" fillId="0" borderId="4" xfId="0" applyFont="1" applyBorder="1" applyAlignment="1" applyProtection="1">
      <alignment horizontal="center" vertical="center"/>
    </xf>
    <xf numFmtId="0" fontId="27" fillId="0" borderId="3" xfId="0" applyFont="1" applyBorder="1" applyAlignment="1" applyProtection="1">
      <alignment horizontal="center" vertical="center"/>
    </xf>
    <xf numFmtId="0" fontId="27" fillId="0" borderId="2" xfId="0" applyFont="1" applyBorder="1" applyAlignment="1" applyProtection="1">
      <alignment horizontal="center" vertical="center"/>
    </xf>
    <xf numFmtId="0" fontId="5" fillId="11" borderId="10" xfId="0" applyFont="1" applyFill="1" applyBorder="1" applyAlignment="1" applyProtection="1">
      <alignment horizontal="center" vertical="center"/>
      <protection locked="0"/>
    </xf>
    <xf numFmtId="0" fontId="0" fillId="12" borderId="12" xfId="0" applyFill="1" applyBorder="1" applyAlignment="1" applyProtection="1">
      <alignment horizontal="center" vertical="center"/>
      <protection locked="0"/>
    </xf>
    <xf numFmtId="0" fontId="6" fillId="0" borderId="4" xfId="0" applyFont="1" applyBorder="1" applyAlignment="1" applyProtection="1">
      <alignment horizontal="left" vertical="center"/>
      <protection locked="0"/>
    </xf>
    <xf numFmtId="0" fontId="6" fillId="0" borderId="3" xfId="0" applyFont="1" applyBorder="1" applyAlignment="1" applyProtection="1">
      <alignment horizontal="left" vertical="center"/>
      <protection locked="0"/>
    </xf>
    <xf numFmtId="0" fontId="6" fillId="0" borderId="2" xfId="0" applyFont="1" applyBorder="1" applyAlignment="1" applyProtection="1">
      <alignment horizontal="left" vertical="center"/>
      <protection locked="0"/>
    </xf>
    <xf numFmtId="0" fontId="5" fillId="12" borderId="12" xfId="0" applyFont="1" applyFill="1" applyBorder="1" applyAlignment="1" applyProtection="1">
      <alignment horizontal="center" vertical="center"/>
      <protection locked="0"/>
    </xf>
    <xf numFmtId="0" fontId="0" fillId="0" borderId="4" xfId="0" applyBorder="1" applyAlignment="1" applyProtection="1">
      <alignment horizontal="center"/>
      <protection locked="0"/>
    </xf>
    <xf numFmtId="0" fontId="0" fillId="0" borderId="3" xfId="0" applyBorder="1" applyAlignment="1" applyProtection="1">
      <alignment horizontal="center"/>
      <protection locked="0"/>
    </xf>
    <xf numFmtId="0" fontId="0" fillId="0" borderId="2" xfId="0" applyBorder="1" applyAlignment="1" applyProtection="1">
      <alignment horizontal="center"/>
      <protection locked="0"/>
    </xf>
    <xf numFmtId="0" fontId="0" fillId="0" borderId="34" xfId="0" applyFill="1" applyBorder="1" applyAlignment="1" applyProtection="1">
      <alignment horizontal="center"/>
    </xf>
    <xf numFmtId="0" fontId="0" fillId="0" borderId="0" xfId="0" applyFill="1" applyBorder="1" applyAlignment="1" applyProtection="1">
      <alignment horizontal="center"/>
    </xf>
    <xf numFmtId="165" fontId="0" fillId="0" borderId="0" xfId="0" applyNumberFormat="1" applyAlignment="1" applyProtection="1">
      <alignment horizontal="center"/>
    </xf>
    <xf numFmtId="0" fontId="35" fillId="0" borderId="4" xfId="0" applyFont="1" applyBorder="1" applyAlignment="1" applyProtection="1">
      <alignment horizontal="left"/>
    </xf>
    <xf numFmtId="0" fontId="35" fillId="0" borderId="3" xfId="0" applyFont="1" applyBorder="1" applyAlignment="1" applyProtection="1">
      <alignment horizontal="left"/>
    </xf>
    <xf numFmtId="0" fontId="35" fillId="0" borderId="2" xfId="0" applyFont="1" applyBorder="1" applyAlignment="1" applyProtection="1">
      <alignment horizontal="left"/>
    </xf>
    <xf numFmtId="0" fontId="35" fillId="0" borderId="0" xfId="0" applyFont="1" applyAlignment="1" applyProtection="1">
      <alignment horizontal="left"/>
    </xf>
    <xf numFmtId="0" fontId="0" fillId="0" borderId="0" xfId="0" applyNumberFormat="1" applyFill="1" applyBorder="1" applyAlignment="1" applyProtection="1">
      <alignment horizontal="center"/>
    </xf>
    <xf numFmtId="0" fontId="6" fillId="0" borderId="26" xfId="0" applyFont="1" applyBorder="1" applyAlignment="1" applyProtection="1">
      <alignment horizontal="left" vertical="center"/>
      <protection locked="0"/>
    </xf>
    <xf numFmtId="0" fontId="6" fillId="0" borderId="27" xfId="0" applyFont="1" applyBorder="1" applyAlignment="1" applyProtection="1">
      <alignment horizontal="left" vertical="center"/>
      <protection locked="0"/>
    </xf>
    <xf numFmtId="0" fontId="6" fillId="0" borderId="28" xfId="0" applyFont="1" applyBorder="1" applyAlignment="1" applyProtection="1">
      <alignment horizontal="left" vertical="center"/>
      <protection locked="0"/>
    </xf>
    <xf numFmtId="0" fontId="6" fillId="0" borderId="29" xfId="0" applyFont="1" applyBorder="1" applyAlignment="1" applyProtection="1">
      <alignment horizontal="left" vertical="center"/>
      <protection locked="0"/>
    </xf>
    <xf numFmtId="0" fontId="6" fillId="0" borderId="5" xfId="0" applyFont="1" applyBorder="1" applyAlignment="1" applyProtection="1">
      <alignment horizontal="left" vertical="center"/>
      <protection locked="0"/>
    </xf>
    <xf numFmtId="0" fontId="6" fillId="0" borderId="30" xfId="0" applyFont="1" applyBorder="1" applyAlignment="1" applyProtection="1">
      <alignment horizontal="left" vertical="center"/>
      <protection locked="0"/>
    </xf>
    <xf numFmtId="0" fontId="4" fillId="4" borderId="0" xfId="0" applyFont="1" applyFill="1" applyBorder="1" applyAlignment="1" applyProtection="1">
      <alignment horizontal="center"/>
    </xf>
    <xf numFmtId="0" fontId="0" fillId="4" borderId="0" xfId="0" applyFill="1" applyBorder="1" applyAlignment="1" applyProtection="1">
      <alignment horizontal="center"/>
    </xf>
    <xf numFmtId="0" fontId="2" fillId="0" borderId="4" xfId="0" applyFont="1" applyBorder="1" applyAlignment="1" applyProtection="1">
      <alignment horizontal="left"/>
      <protection locked="0"/>
    </xf>
    <xf numFmtId="0" fontId="2" fillId="0" borderId="3" xfId="0" applyFont="1" applyBorder="1" applyAlignment="1" applyProtection="1">
      <alignment horizontal="left"/>
      <protection locked="0"/>
    </xf>
    <xf numFmtId="0" fontId="2" fillId="0" borderId="2" xfId="0" applyFont="1" applyBorder="1" applyAlignment="1" applyProtection="1">
      <alignment horizontal="left"/>
      <protection locked="0"/>
    </xf>
    <xf numFmtId="0" fontId="0" fillId="11" borderId="26" xfId="0" applyFill="1" applyBorder="1" applyAlignment="1" applyProtection="1">
      <alignment vertical="center"/>
      <protection locked="0"/>
    </xf>
    <xf numFmtId="0" fontId="0" fillId="12" borderId="27" xfId="0" applyFill="1" applyBorder="1" applyAlignment="1" applyProtection="1">
      <alignment vertical="center"/>
      <protection locked="0"/>
    </xf>
    <xf numFmtId="0" fontId="0" fillId="12" borderId="29" xfId="0" applyFill="1" applyBorder="1" applyAlignment="1" applyProtection="1">
      <alignment vertical="center"/>
      <protection locked="0"/>
    </xf>
    <xf numFmtId="0" fontId="0" fillId="12" borderId="5" xfId="0" applyFill="1" applyBorder="1" applyAlignment="1" applyProtection="1">
      <alignment vertical="center"/>
      <protection locked="0"/>
    </xf>
    <xf numFmtId="0" fontId="5" fillId="0" borderId="4" xfId="0" applyFont="1" applyBorder="1" applyAlignment="1" applyProtection="1">
      <alignment horizontal="center" vertical="center"/>
      <protection locked="0"/>
    </xf>
    <xf numFmtId="0" fontId="5" fillId="0" borderId="3" xfId="0" applyFont="1" applyBorder="1" applyAlignment="1" applyProtection="1">
      <alignment horizontal="center" vertical="center"/>
      <protection locked="0"/>
    </xf>
    <xf numFmtId="0" fontId="5" fillId="0" borderId="2" xfId="0" applyFont="1" applyBorder="1" applyAlignment="1" applyProtection="1">
      <alignment horizontal="center" vertical="center"/>
      <protection locked="0"/>
    </xf>
    <xf numFmtId="0" fontId="2" fillId="0" borderId="10" xfId="0" applyFont="1" applyBorder="1" applyAlignment="1" applyProtection="1">
      <alignment horizontal="center" vertical="center"/>
    </xf>
    <xf numFmtId="0" fontId="2" fillId="0" borderId="12" xfId="0" applyFont="1" applyBorder="1" applyAlignment="1" applyProtection="1">
      <alignment horizontal="center" vertical="center"/>
    </xf>
    <xf numFmtId="0" fontId="2" fillId="0" borderId="35" xfId="0" applyFont="1" applyBorder="1" applyAlignment="1" applyProtection="1">
      <alignment horizontal="center"/>
    </xf>
    <xf numFmtId="0" fontId="2" fillId="0" borderId="60" xfId="0" applyFont="1" applyBorder="1" applyAlignment="1" applyProtection="1">
      <alignment horizontal="center"/>
    </xf>
    <xf numFmtId="0" fontId="2" fillId="0" borderId="21" xfId="0" applyFont="1" applyBorder="1" applyAlignment="1" applyProtection="1">
      <alignment horizontal="center"/>
    </xf>
    <xf numFmtId="0" fontId="2" fillId="0" borderId="59" xfId="0" applyFont="1" applyBorder="1" applyAlignment="1" applyProtection="1">
      <alignment horizontal="center"/>
    </xf>
    <xf numFmtId="0" fontId="4" fillId="4" borderId="34" xfId="0" applyFont="1" applyFill="1" applyBorder="1" applyAlignment="1" applyProtection="1">
      <alignment horizontal="center"/>
    </xf>
    <xf numFmtId="0" fontId="0" fillId="4" borderId="61" xfId="0" applyFill="1" applyBorder="1" applyAlignment="1" applyProtection="1">
      <alignment horizontal="center"/>
    </xf>
    <xf numFmtId="0" fontId="0" fillId="11" borderId="4" xfId="0" applyFill="1" applyBorder="1" applyAlignment="1" applyProtection="1">
      <alignment horizontal="left" vertical="center"/>
      <protection locked="0"/>
    </xf>
    <xf numFmtId="0" fontId="0" fillId="12" borderId="3" xfId="0" applyFill="1" applyBorder="1" applyAlignment="1" applyProtection="1">
      <alignment horizontal="left" vertical="center"/>
      <protection locked="0"/>
    </xf>
    <xf numFmtId="0" fontId="0" fillId="12" borderId="2" xfId="0" applyFill="1" applyBorder="1" applyAlignment="1" applyProtection="1">
      <alignment horizontal="left" vertical="center"/>
      <protection locked="0"/>
    </xf>
    <xf numFmtId="0" fontId="0" fillId="0" borderId="4" xfId="0" applyFill="1" applyBorder="1" applyAlignment="1" applyProtection="1">
      <alignment horizontal="left" vertical="center"/>
    </xf>
    <xf numFmtId="0" fontId="0" fillId="0" borderId="3" xfId="0" applyFill="1" applyBorder="1" applyAlignment="1" applyProtection="1">
      <alignment horizontal="left" vertical="center"/>
    </xf>
    <xf numFmtId="0" fontId="0" fillId="0" borderId="2" xfId="0" applyFill="1" applyBorder="1" applyAlignment="1" applyProtection="1">
      <alignment horizontal="left" vertical="center"/>
    </xf>
    <xf numFmtId="0" fontId="5" fillId="0" borderId="26" xfId="0" applyFont="1" applyBorder="1" applyAlignment="1" applyProtection="1">
      <alignment horizontal="center" vertical="center"/>
      <protection locked="0"/>
    </xf>
    <xf numFmtId="0" fontId="5" fillId="0" borderId="27" xfId="0" applyFont="1" applyBorder="1" applyAlignment="1" applyProtection="1">
      <alignment horizontal="center" vertical="center"/>
      <protection locked="0"/>
    </xf>
    <xf numFmtId="0" fontId="5" fillId="0" borderId="28" xfId="0" applyFont="1" applyBorder="1" applyAlignment="1" applyProtection="1">
      <alignment horizontal="center" vertical="center"/>
      <protection locked="0"/>
    </xf>
    <xf numFmtId="0" fontId="5" fillId="0" borderId="29" xfId="0" applyFont="1" applyBorder="1" applyAlignment="1" applyProtection="1">
      <alignment horizontal="center" vertical="center"/>
      <protection locked="0"/>
    </xf>
    <xf numFmtId="0" fontId="5" fillId="0" borderId="5" xfId="0" applyFont="1" applyBorder="1" applyAlignment="1" applyProtection="1">
      <alignment horizontal="center" vertical="center"/>
      <protection locked="0"/>
    </xf>
    <xf numFmtId="0" fontId="5" fillId="0" borderId="30" xfId="0" applyFont="1" applyBorder="1" applyAlignment="1" applyProtection="1">
      <alignment horizontal="center" vertical="center"/>
      <protection locked="0"/>
    </xf>
    <xf numFmtId="0" fontId="2" fillId="0" borderId="56" xfId="0" applyFont="1" applyFill="1" applyBorder="1" applyAlignment="1" applyProtection="1">
      <alignment horizontal="center"/>
    </xf>
    <xf numFmtId="0" fontId="2" fillId="0" borderId="57" xfId="0" applyFont="1" applyFill="1" applyBorder="1" applyAlignment="1" applyProtection="1">
      <alignment horizontal="center"/>
    </xf>
    <xf numFmtId="0" fontId="2" fillId="0" borderId="31" xfId="0" applyFont="1" applyFill="1" applyBorder="1" applyAlignment="1" applyProtection="1">
      <alignment horizontal="center"/>
    </xf>
    <xf numFmtId="0" fontId="2" fillId="0" borderId="58" xfId="0" applyFont="1" applyFill="1" applyBorder="1" applyAlignment="1" applyProtection="1">
      <alignment horizontal="center"/>
    </xf>
    <xf numFmtId="0" fontId="2" fillId="0" borderId="12" xfId="0" applyFont="1" applyBorder="1" applyAlignment="1">
      <alignment horizontal="center" vertical="center"/>
    </xf>
    <xf numFmtId="0" fontId="2" fillId="0" borderId="40" xfId="0" applyFont="1" applyBorder="1" applyAlignment="1" applyProtection="1">
      <alignment horizontal="center" vertical="center"/>
    </xf>
    <xf numFmtId="0" fontId="4" fillId="4" borderId="61" xfId="0" applyFont="1" applyFill="1" applyBorder="1" applyAlignment="1" applyProtection="1">
      <alignment horizontal="center"/>
    </xf>
    <xf numFmtId="0" fontId="6" fillId="0" borderId="0" xfId="0" applyFont="1" applyBorder="1" applyAlignment="1" applyProtection="1">
      <alignment horizontal="center"/>
      <protection locked="0"/>
    </xf>
    <xf numFmtId="0" fontId="0" fillId="0" borderId="5" xfId="0" applyBorder="1" applyAlignment="1" applyProtection="1">
      <alignment horizontal="left"/>
    </xf>
    <xf numFmtId="0" fontId="0" fillId="0" borderId="10" xfId="0" applyFill="1" applyBorder="1" applyAlignment="1" applyProtection="1">
      <alignment horizontal="center" vertical="center"/>
    </xf>
    <xf numFmtId="0" fontId="0" fillId="0" borderId="12" xfId="0" applyBorder="1" applyAlignment="1" applyProtection="1">
      <alignment horizontal="center" vertical="center"/>
    </xf>
    <xf numFmtId="0" fontId="0" fillId="0" borderId="26" xfId="0" applyFill="1" applyBorder="1" applyAlignment="1" applyProtection="1">
      <alignment horizontal="left" vertical="center"/>
    </xf>
    <xf numFmtId="0" fontId="0" fillId="0" borderId="27" xfId="0" applyBorder="1" applyAlignment="1" applyProtection="1">
      <alignment horizontal="left" vertical="center"/>
    </xf>
    <xf numFmtId="0" fontId="0" fillId="0" borderId="28" xfId="0" applyBorder="1" applyAlignment="1" applyProtection="1">
      <alignment horizontal="left" vertical="center"/>
    </xf>
    <xf numFmtId="0" fontId="0" fillId="0" borderId="29" xfId="0" applyBorder="1" applyAlignment="1" applyProtection="1">
      <alignment horizontal="left" vertical="center"/>
    </xf>
    <xf numFmtId="0" fontId="0" fillId="0" borderId="5" xfId="0" applyBorder="1" applyAlignment="1" applyProtection="1">
      <alignment horizontal="left" vertical="center"/>
    </xf>
    <xf numFmtId="0" fontId="0" fillId="0" borderId="30" xfId="0" applyBorder="1" applyAlignment="1" applyProtection="1">
      <alignment horizontal="left" vertical="center"/>
    </xf>
    <xf numFmtId="164" fontId="0" fillId="0" borderId="0" xfId="0" applyNumberFormat="1" applyAlignment="1" applyProtection="1">
      <alignment horizontal="left"/>
    </xf>
    <xf numFmtId="0" fontId="0" fillId="0" borderId="12" xfId="0" applyFill="1" applyBorder="1" applyAlignment="1" applyProtection="1">
      <alignment horizontal="center" vertical="center"/>
    </xf>
    <xf numFmtId="0" fontId="2" fillId="0" borderId="4" xfId="0" applyFont="1" applyBorder="1" applyAlignment="1" applyProtection="1">
      <alignment horizontal="left"/>
    </xf>
    <xf numFmtId="0" fontId="2" fillId="0" borderId="3" xfId="0" applyFont="1" applyBorder="1" applyAlignment="1" applyProtection="1">
      <alignment horizontal="left"/>
    </xf>
    <xf numFmtId="0" fontId="2" fillId="0" borderId="2" xfId="0" applyFont="1" applyBorder="1" applyAlignment="1" applyProtection="1">
      <alignment horizontal="left"/>
    </xf>
    <xf numFmtId="0" fontId="0" fillId="0" borderId="4" xfId="0" applyBorder="1" applyAlignment="1" applyProtection="1">
      <alignment horizontal="center"/>
    </xf>
    <xf numFmtId="0" fontId="0" fillId="0" borderId="3" xfId="0" applyBorder="1" applyAlignment="1" applyProtection="1">
      <alignment horizontal="center"/>
    </xf>
    <xf numFmtId="0" fontId="0" fillId="0" borderId="2" xfId="0" applyBorder="1" applyAlignment="1" applyProtection="1">
      <alignment horizontal="center"/>
    </xf>
    <xf numFmtId="0" fontId="5" fillId="0" borderId="26" xfId="0" applyFont="1" applyBorder="1" applyAlignment="1" applyProtection="1">
      <alignment horizontal="center" vertical="center"/>
    </xf>
    <xf numFmtId="0" fontId="5" fillId="0" borderId="27" xfId="0" applyFont="1" applyBorder="1" applyAlignment="1" applyProtection="1">
      <alignment horizontal="center" vertical="center"/>
    </xf>
    <xf numFmtId="0" fontId="5" fillId="0" borderId="28" xfId="0" applyFont="1" applyBorder="1" applyAlignment="1" applyProtection="1">
      <alignment horizontal="center" vertical="center"/>
    </xf>
    <xf numFmtId="0" fontId="5" fillId="0" borderId="29" xfId="0" applyFont="1" applyBorder="1" applyAlignment="1" applyProtection="1">
      <alignment horizontal="center" vertical="center"/>
    </xf>
    <xf numFmtId="0" fontId="5" fillId="0" borderId="5" xfId="0" applyFont="1" applyBorder="1" applyAlignment="1" applyProtection="1">
      <alignment horizontal="center" vertical="center"/>
    </xf>
    <xf numFmtId="0" fontId="5" fillId="0" borderId="30" xfId="0" applyFont="1" applyBorder="1" applyAlignment="1" applyProtection="1">
      <alignment horizontal="center" vertical="center"/>
    </xf>
    <xf numFmtId="0" fontId="5" fillId="0" borderId="10" xfId="0" applyFont="1" applyBorder="1" applyAlignment="1" applyProtection="1">
      <alignment horizontal="center" vertical="center"/>
    </xf>
    <xf numFmtId="0" fontId="5" fillId="0" borderId="12" xfId="0" applyFont="1" applyBorder="1" applyAlignment="1" applyProtection="1">
      <alignment horizontal="center" vertical="center"/>
    </xf>
    <xf numFmtId="0" fontId="0" fillId="0" borderId="27" xfId="0" applyFill="1" applyBorder="1" applyAlignment="1" applyProtection="1">
      <alignment horizontal="left" vertical="center"/>
    </xf>
    <xf numFmtId="0" fontId="0" fillId="0" borderId="28" xfId="0" applyFill="1" applyBorder="1" applyAlignment="1" applyProtection="1">
      <alignment horizontal="left" vertical="center"/>
    </xf>
    <xf numFmtId="0" fontId="0" fillId="0" borderId="29" xfId="0" applyFill="1" applyBorder="1" applyAlignment="1" applyProtection="1">
      <alignment horizontal="left" vertical="center"/>
    </xf>
    <xf numFmtId="0" fontId="0" fillId="0" borderId="5" xfId="0" applyFill="1" applyBorder="1" applyAlignment="1" applyProtection="1">
      <alignment horizontal="left" vertical="center"/>
    </xf>
    <xf numFmtId="0" fontId="0" fillId="0" borderId="30" xfId="0" applyFill="1" applyBorder="1" applyAlignment="1" applyProtection="1">
      <alignment horizontal="left" vertical="center"/>
    </xf>
    <xf numFmtId="0" fontId="0" fillId="0" borderId="27" xfId="0" applyBorder="1" applyAlignment="1" applyProtection="1">
      <alignment horizontal="center" vertical="center"/>
    </xf>
    <xf numFmtId="0" fontId="0" fillId="0" borderId="28" xfId="0" applyBorder="1" applyAlignment="1" applyProtection="1">
      <alignment horizontal="center" vertical="center"/>
    </xf>
    <xf numFmtId="0" fontId="0" fillId="0" borderId="29" xfId="0" applyBorder="1" applyAlignment="1" applyProtection="1">
      <alignment horizontal="center" vertical="center"/>
    </xf>
    <xf numFmtId="0" fontId="0" fillId="0" borderId="5" xfId="0" applyBorder="1" applyAlignment="1" applyProtection="1">
      <alignment horizontal="center" vertical="center"/>
    </xf>
    <xf numFmtId="0" fontId="0" fillId="0" borderId="30" xfId="0" applyBorder="1" applyAlignment="1" applyProtection="1">
      <alignment horizontal="center" vertical="center"/>
    </xf>
    <xf numFmtId="0" fontId="6" fillId="0" borderId="26" xfId="0" applyFont="1" applyBorder="1" applyAlignment="1" applyProtection="1">
      <alignment horizontal="center" vertical="center"/>
    </xf>
    <xf numFmtId="0" fontId="0" fillId="0" borderId="0" xfId="0" applyFill="1" applyBorder="1" applyAlignment="1" applyProtection="1">
      <alignment horizontal="right"/>
    </xf>
    <xf numFmtId="0" fontId="35" fillId="0" borderId="0" xfId="0" applyFont="1" applyAlignment="1" applyProtection="1">
      <alignment horizontal="left"/>
      <protection locked="0"/>
    </xf>
    <xf numFmtId="0" fontId="0" fillId="11" borderId="4" xfId="0" applyFill="1" applyBorder="1" applyAlignment="1" applyProtection="1">
      <alignment horizontal="left" vertical="center"/>
    </xf>
    <xf numFmtId="0" fontId="0" fillId="12" borderId="3" xfId="0" applyFill="1" applyBorder="1" applyAlignment="1" applyProtection="1">
      <alignment horizontal="left" vertical="center"/>
    </xf>
    <xf numFmtId="0" fontId="0" fillId="12" borderId="2" xfId="0" applyFill="1" applyBorder="1" applyAlignment="1" applyProtection="1">
      <alignment horizontal="left" vertical="center"/>
    </xf>
    <xf numFmtId="0" fontId="9" fillId="3" borderId="0" xfId="0" applyFont="1" applyFill="1" applyAlignment="1">
      <alignment horizontal="center"/>
    </xf>
    <xf numFmtId="0" fontId="0" fillId="3" borderId="1" xfId="0" applyFill="1" applyBorder="1" applyAlignment="1">
      <alignment horizontal="center"/>
    </xf>
    <xf numFmtId="0" fontId="28" fillId="0" borderId="0" xfId="1" applyAlignment="1" applyProtection="1"/>
    <xf numFmtId="0" fontId="0" fillId="0" borderId="0" xfId="0"/>
    <xf numFmtId="0" fontId="28" fillId="3" borderId="1" xfId="1" applyFill="1" applyBorder="1" applyAlignment="1" applyProtection="1">
      <alignment horizontal="left"/>
    </xf>
    <xf numFmtId="0" fontId="0" fillId="3" borderId="1" xfId="0" applyFill="1" applyBorder="1" applyAlignment="1">
      <alignment horizontal="left"/>
    </xf>
    <xf numFmtId="0" fontId="4" fillId="4" borderId="1" xfId="0" applyFont="1" applyFill="1" applyBorder="1" applyAlignment="1">
      <alignment wrapText="1"/>
    </xf>
    <xf numFmtId="0" fontId="0" fillId="4" borderId="1" xfId="0" applyFill="1" applyBorder="1" applyAlignment="1">
      <alignment wrapText="1"/>
    </xf>
    <xf numFmtId="0" fontId="4" fillId="6" borderId="1" xfId="0" applyFont="1" applyFill="1" applyBorder="1" applyAlignment="1">
      <alignment wrapText="1"/>
    </xf>
    <xf numFmtId="0" fontId="0" fillId="6" borderId="1" xfId="0" applyFill="1" applyBorder="1" applyAlignment="1">
      <alignment wrapText="1"/>
    </xf>
    <xf numFmtId="0" fontId="4" fillId="3" borderId="1" xfId="0" applyFont="1" applyFill="1" applyBorder="1" applyAlignment="1">
      <alignment wrapText="1"/>
    </xf>
    <xf numFmtId="0" fontId="0" fillId="3" borderId="1" xfId="0" applyFill="1" applyBorder="1" applyAlignment="1">
      <alignment wrapText="1"/>
    </xf>
    <xf numFmtId="0" fontId="28" fillId="3" borderId="4" xfId="1" applyFill="1" applyBorder="1" applyAlignment="1" applyProtection="1">
      <alignment horizontal="left"/>
    </xf>
    <xf numFmtId="0" fontId="28" fillId="3" borderId="3" xfId="1" applyFill="1" applyBorder="1" applyAlignment="1" applyProtection="1">
      <alignment horizontal="left"/>
    </xf>
    <xf numFmtId="0" fontId="28" fillId="3" borderId="2" xfId="1" applyFill="1" applyBorder="1" applyAlignment="1" applyProtection="1">
      <alignment horizontal="left"/>
    </xf>
    <xf numFmtId="0" fontId="4" fillId="3" borderId="4" xfId="0" applyFont="1" applyFill="1" applyBorder="1" applyAlignment="1">
      <alignment horizontal="center"/>
    </xf>
    <xf numFmtId="0" fontId="4" fillId="3" borderId="2" xfId="0" applyFont="1" applyFill="1" applyBorder="1" applyAlignment="1">
      <alignment horizontal="center"/>
    </xf>
    <xf numFmtId="0" fontId="2" fillId="6" borderId="1" xfId="0" applyFont="1" applyFill="1" applyBorder="1" applyAlignment="1">
      <alignment horizontal="center"/>
    </xf>
    <xf numFmtId="0" fontId="2" fillId="4" borderId="1" xfId="0" applyFont="1" applyFill="1" applyBorder="1" applyAlignment="1">
      <alignment horizontal="left"/>
    </xf>
    <xf numFmtId="0" fontId="0" fillId="3" borderId="4" xfId="0" applyFill="1" applyBorder="1" applyAlignment="1">
      <alignment horizontal="center"/>
    </xf>
    <xf numFmtId="0" fontId="0" fillId="3" borderId="2" xfId="0" applyFill="1" applyBorder="1" applyAlignment="1">
      <alignment horizontal="center"/>
    </xf>
    <xf numFmtId="0" fontId="4" fillId="3" borderId="5" xfId="0" applyFont="1" applyFill="1" applyBorder="1" applyAlignment="1">
      <alignment horizontal="center"/>
    </xf>
    <xf numFmtId="0" fontId="4" fillId="3" borderId="1" xfId="0" applyFont="1" applyFill="1" applyBorder="1" applyAlignment="1">
      <alignment horizontal="left" wrapText="1"/>
    </xf>
    <xf numFmtId="0" fontId="0" fillId="3" borderId="1" xfId="0" applyFill="1" applyBorder="1" applyAlignment="1">
      <alignment horizontal="left" wrapText="1"/>
    </xf>
    <xf numFmtId="49" fontId="0" fillId="3" borderId="1" xfId="0" applyNumberFormat="1" applyFill="1" applyBorder="1" applyAlignment="1">
      <alignment horizontal="center"/>
    </xf>
    <xf numFmtId="0" fontId="4" fillId="4" borderId="1" xfId="0" applyFont="1" applyFill="1" applyBorder="1" applyAlignment="1">
      <alignment horizontal="left"/>
    </xf>
    <xf numFmtId="0" fontId="0" fillId="4" borderId="1" xfId="0" applyFill="1" applyBorder="1" applyAlignment="1">
      <alignment horizontal="left"/>
    </xf>
    <xf numFmtId="0" fontId="0" fillId="6" borderId="1" xfId="0" applyFill="1" applyBorder="1" applyAlignment="1">
      <alignment horizontal="center"/>
    </xf>
    <xf numFmtId="14" fontId="0" fillId="3" borderId="1" xfId="0" applyNumberFormat="1" applyFill="1" applyBorder="1" applyAlignment="1">
      <alignment horizontal="center"/>
    </xf>
    <xf numFmtId="49" fontId="4" fillId="3" borderId="1" xfId="0" applyNumberFormat="1" applyFont="1" applyFill="1" applyBorder="1" applyAlignment="1">
      <alignment horizontal="center"/>
    </xf>
  </cellXfs>
  <cellStyles count="4">
    <cellStyle name="Hyperlink" xfId="1" builtinId="8"/>
    <cellStyle name="Normal" xfId="0" builtinId="0"/>
    <cellStyle name="Normal 2" xfId="2"/>
    <cellStyle name="Normal 3" xfId="3"/>
  </cellStyles>
  <dxfs count="66">
    <dxf>
      <fill>
        <patternFill>
          <bgColor indexed="22"/>
        </patternFill>
      </fill>
    </dxf>
    <dxf>
      <fill>
        <patternFill>
          <bgColor indexed="13"/>
        </patternFill>
      </fill>
    </dxf>
    <dxf>
      <fill>
        <patternFill>
          <bgColor indexed="13"/>
        </patternFill>
      </fill>
    </dxf>
    <dxf>
      <fill>
        <patternFill>
          <bgColor indexed="22"/>
        </patternFill>
      </fill>
    </dxf>
    <dxf>
      <fill>
        <patternFill>
          <bgColor indexed="22"/>
        </patternFill>
      </fill>
    </dxf>
    <dxf>
      <fill>
        <patternFill>
          <bgColor indexed="13"/>
        </patternFill>
      </fill>
    </dxf>
    <dxf>
      <fill>
        <patternFill>
          <bgColor indexed="22"/>
        </patternFill>
      </fill>
    </dxf>
    <dxf>
      <fill>
        <patternFill>
          <bgColor indexed="30"/>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10"/>
        </patternFill>
      </fill>
    </dxf>
    <dxf>
      <fill>
        <patternFill>
          <bgColor indexed="22"/>
        </patternFill>
      </fill>
    </dxf>
    <dxf>
      <fill>
        <patternFill>
          <bgColor indexed="10"/>
        </patternFill>
      </fill>
    </dxf>
    <dxf>
      <fill>
        <patternFill>
          <bgColor indexed="10"/>
        </patternFill>
      </fill>
    </dxf>
    <dxf>
      <fill>
        <patternFill>
          <bgColor rgb="FF7030A0"/>
        </patternFill>
      </fill>
    </dxf>
    <dxf>
      <fill>
        <patternFill>
          <bgColor indexed="22"/>
        </patternFill>
      </fill>
    </dxf>
    <dxf>
      <fill>
        <patternFill>
          <bgColor indexed="13"/>
        </patternFill>
      </fill>
    </dxf>
    <dxf>
      <fill>
        <patternFill>
          <bgColor rgb="FF7030A0"/>
        </patternFill>
      </fill>
    </dxf>
    <dxf>
      <fill>
        <patternFill>
          <bgColor indexed="22"/>
        </patternFill>
      </fill>
    </dxf>
    <dxf>
      <fill>
        <patternFill>
          <bgColor indexed="13"/>
        </patternFill>
      </fill>
    </dxf>
    <dxf>
      <fill>
        <patternFill>
          <bgColor indexed="30"/>
        </patternFill>
      </fill>
    </dxf>
    <dxf>
      <fill>
        <patternFill>
          <bgColor indexed="22"/>
        </patternFill>
      </fill>
    </dxf>
    <dxf>
      <fill>
        <patternFill>
          <bgColor indexed="10"/>
        </patternFill>
      </fill>
    </dxf>
    <dxf>
      <fill>
        <patternFill>
          <bgColor indexed="22"/>
        </patternFill>
      </fill>
    </dxf>
    <dxf>
      <fill>
        <patternFill>
          <bgColor indexed="22"/>
        </patternFill>
      </fill>
    </dxf>
    <dxf>
      <fill>
        <patternFill>
          <bgColor indexed="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7030A0"/>
        </patternFill>
      </fill>
    </dxf>
    <dxf>
      <fill>
        <patternFill>
          <bgColor rgb="FFFFFF00"/>
        </patternFill>
      </fill>
    </dxf>
    <dxf>
      <fill>
        <patternFill>
          <bgColor rgb="FFFFFF00"/>
        </patternFill>
      </fill>
    </dxf>
    <dxf>
      <fill>
        <patternFill>
          <bgColor rgb="FF7030A0"/>
        </patternFill>
      </fill>
    </dxf>
    <dxf>
      <fill>
        <patternFill>
          <bgColor rgb="FF0070C0"/>
        </patternFill>
      </fill>
    </dxf>
    <dxf>
      <fill>
        <patternFill>
          <bgColor rgb="FFFFFF00"/>
        </patternFill>
      </fill>
    </dxf>
    <dxf>
      <fill>
        <patternFill>
          <bgColor rgb="FF7030A0"/>
        </patternFill>
      </fill>
    </dxf>
    <dxf>
      <fill>
        <patternFill>
          <bgColor rgb="FF0070C0"/>
        </patternFill>
      </fill>
    </dxf>
    <dxf>
      <fill>
        <patternFill>
          <bgColor rgb="FFFFFF00"/>
        </patternFill>
      </fill>
    </dxf>
    <dxf>
      <fill>
        <patternFill>
          <bgColor rgb="FF0070C0"/>
        </patternFill>
      </fill>
    </dxf>
    <dxf>
      <fill>
        <patternFill>
          <bgColor rgb="FF0070C0"/>
        </patternFill>
      </fill>
    </dxf>
    <dxf>
      <fill>
        <patternFill>
          <bgColor rgb="FFFF0000"/>
        </patternFill>
      </fill>
    </dxf>
    <dxf>
      <fill>
        <patternFill>
          <bgColor rgb="FF0070C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0070C0"/>
        </patternFill>
      </fill>
    </dxf>
    <dxf>
      <fill>
        <patternFill>
          <bgColor rgb="FF0070C0"/>
        </patternFill>
      </fill>
    </dxf>
    <dxf>
      <fill>
        <patternFill>
          <bgColor rgb="FFFF0000"/>
        </patternFill>
      </fill>
    </dxf>
  </dxfs>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18" Type="http://schemas.openxmlformats.org/officeDocument/2006/relationships/image" Target="../media/image20.png"/><Relationship Id="rId26" Type="http://schemas.openxmlformats.org/officeDocument/2006/relationships/image" Target="../media/image28.png"/><Relationship Id="rId3" Type="http://schemas.openxmlformats.org/officeDocument/2006/relationships/image" Target="../media/image5.png"/><Relationship Id="rId21" Type="http://schemas.openxmlformats.org/officeDocument/2006/relationships/image" Target="../media/image23.png"/><Relationship Id="rId7" Type="http://schemas.openxmlformats.org/officeDocument/2006/relationships/image" Target="../media/image9.png"/><Relationship Id="rId12" Type="http://schemas.openxmlformats.org/officeDocument/2006/relationships/image" Target="../media/image14.png"/><Relationship Id="rId17" Type="http://schemas.openxmlformats.org/officeDocument/2006/relationships/image" Target="../media/image19.png"/><Relationship Id="rId25" Type="http://schemas.openxmlformats.org/officeDocument/2006/relationships/image" Target="../media/image27.png"/><Relationship Id="rId2" Type="http://schemas.openxmlformats.org/officeDocument/2006/relationships/image" Target="../media/image4.png"/><Relationship Id="rId16" Type="http://schemas.openxmlformats.org/officeDocument/2006/relationships/image" Target="../media/image18.png"/><Relationship Id="rId20" Type="http://schemas.openxmlformats.org/officeDocument/2006/relationships/image" Target="../media/image22.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24" Type="http://schemas.openxmlformats.org/officeDocument/2006/relationships/image" Target="../media/image26.png"/><Relationship Id="rId5" Type="http://schemas.openxmlformats.org/officeDocument/2006/relationships/image" Target="../media/image7.png"/><Relationship Id="rId15" Type="http://schemas.openxmlformats.org/officeDocument/2006/relationships/image" Target="../media/image17.png"/><Relationship Id="rId23" Type="http://schemas.openxmlformats.org/officeDocument/2006/relationships/image" Target="../media/image25.png"/><Relationship Id="rId10" Type="http://schemas.openxmlformats.org/officeDocument/2006/relationships/image" Target="../media/image12.png"/><Relationship Id="rId19" Type="http://schemas.openxmlformats.org/officeDocument/2006/relationships/image" Target="../media/image21.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 Id="rId22" Type="http://schemas.openxmlformats.org/officeDocument/2006/relationships/image" Target="../media/image24.png"/></Relationships>
</file>

<file path=xl/drawings/drawing1.xml><?xml version="1.0" encoding="utf-8"?>
<xdr:wsDr xmlns:xdr="http://schemas.openxmlformats.org/drawingml/2006/spreadsheetDrawing" xmlns:a="http://schemas.openxmlformats.org/drawingml/2006/main">
  <xdr:twoCellAnchor>
    <xdr:from>
      <xdr:col>0</xdr:col>
      <xdr:colOff>28575</xdr:colOff>
      <xdr:row>0</xdr:row>
      <xdr:rowOff>19050</xdr:rowOff>
    </xdr:from>
    <xdr:to>
      <xdr:col>4</xdr:col>
      <xdr:colOff>19050</xdr:colOff>
      <xdr:row>3</xdr:row>
      <xdr:rowOff>104775</xdr:rowOff>
    </xdr:to>
    <xdr:pic>
      <xdr:nvPicPr>
        <xdr:cNvPr id="14337" name="Picture 4198" descr="nctta_banner2_sm"/>
        <xdr:cNvPicPr>
          <a:picLocks noChangeAspect="1" noChangeArrowheads="1"/>
        </xdr:cNvPicPr>
      </xdr:nvPicPr>
      <xdr:blipFill>
        <a:blip xmlns:r="http://schemas.openxmlformats.org/officeDocument/2006/relationships" r:embed="rId1" cstate="print"/>
        <a:srcRect/>
        <a:stretch>
          <a:fillRect/>
        </a:stretch>
      </xdr:blipFill>
      <xdr:spPr bwMode="auto">
        <a:xfrm>
          <a:off x="28575" y="19050"/>
          <a:ext cx="1514475" cy="571500"/>
        </a:xfrm>
        <a:prstGeom prst="rect">
          <a:avLst/>
        </a:prstGeom>
        <a:noFill/>
        <a:ln w="9525">
          <a:noFill/>
          <a:miter lim="800000"/>
          <a:headEnd/>
          <a:tailEnd/>
        </a:ln>
      </xdr:spPr>
    </xdr:pic>
    <xdr:clientData/>
  </xdr:twoCellAnchor>
  <xdr:twoCellAnchor>
    <xdr:from>
      <xdr:col>0</xdr:col>
      <xdr:colOff>28575</xdr:colOff>
      <xdr:row>51</xdr:row>
      <xdr:rowOff>19050</xdr:rowOff>
    </xdr:from>
    <xdr:to>
      <xdr:col>4</xdr:col>
      <xdr:colOff>19050</xdr:colOff>
      <xdr:row>54</xdr:row>
      <xdr:rowOff>104775</xdr:rowOff>
    </xdr:to>
    <xdr:pic>
      <xdr:nvPicPr>
        <xdr:cNvPr id="14338" name="Picture 4219" descr="nctta_banner2_sm"/>
        <xdr:cNvPicPr>
          <a:picLocks noChangeAspect="1" noChangeArrowheads="1"/>
        </xdr:cNvPicPr>
      </xdr:nvPicPr>
      <xdr:blipFill>
        <a:blip xmlns:r="http://schemas.openxmlformats.org/officeDocument/2006/relationships" r:embed="rId1" cstate="print"/>
        <a:srcRect/>
        <a:stretch>
          <a:fillRect/>
        </a:stretch>
      </xdr:blipFill>
      <xdr:spPr bwMode="auto">
        <a:xfrm>
          <a:off x="28575" y="8277225"/>
          <a:ext cx="1514475" cy="571500"/>
        </a:xfrm>
        <a:prstGeom prst="rect">
          <a:avLst/>
        </a:prstGeom>
        <a:noFill/>
        <a:ln w="9525">
          <a:noFill/>
          <a:miter lim="800000"/>
          <a:headEnd/>
          <a:tailEnd/>
        </a:ln>
      </xdr:spPr>
    </xdr:pic>
    <xdr:clientData/>
  </xdr:twoCellAnchor>
  <xdr:twoCellAnchor>
    <xdr:from>
      <xdr:col>0</xdr:col>
      <xdr:colOff>28575</xdr:colOff>
      <xdr:row>102</xdr:row>
      <xdr:rowOff>19050</xdr:rowOff>
    </xdr:from>
    <xdr:to>
      <xdr:col>4</xdr:col>
      <xdr:colOff>19050</xdr:colOff>
      <xdr:row>105</xdr:row>
      <xdr:rowOff>104775</xdr:rowOff>
    </xdr:to>
    <xdr:pic>
      <xdr:nvPicPr>
        <xdr:cNvPr id="14339" name="Picture 4247" descr="nctta_banner2_sm"/>
        <xdr:cNvPicPr>
          <a:picLocks noChangeAspect="1" noChangeArrowheads="1"/>
        </xdr:cNvPicPr>
      </xdr:nvPicPr>
      <xdr:blipFill>
        <a:blip xmlns:r="http://schemas.openxmlformats.org/officeDocument/2006/relationships" r:embed="rId1" cstate="print"/>
        <a:srcRect/>
        <a:stretch>
          <a:fillRect/>
        </a:stretch>
      </xdr:blipFill>
      <xdr:spPr bwMode="auto">
        <a:xfrm>
          <a:off x="28575" y="16535400"/>
          <a:ext cx="1514475" cy="571500"/>
        </a:xfrm>
        <a:prstGeom prst="rect">
          <a:avLst/>
        </a:prstGeom>
        <a:noFill/>
        <a:ln w="9525">
          <a:noFill/>
          <a:miter lim="800000"/>
          <a:headEnd/>
          <a:tailEnd/>
        </a:ln>
      </xdr:spPr>
    </xdr:pic>
    <xdr:clientData/>
  </xdr:twoCellAnchor>
  <xdr:twoCellAnchor>
    <xdr:from>
      <xdr:col>0</xdr:col>
      <xdr:colOff>28575</xdr:colOff>
      <xdr:row>153</xdr:row>
      <xdr:rowOff>19050</xdr:rowOff>
    </xdr:from>
    <xdr:to>
      <xdr:col>4</xdr:col>
      <xdr:colOff>19050</xdr:colOff>
      <xdr:row>156</xdr:row>
      <xdr:rowOff>104775</xdr:rowOff>
    </xdr:to>
    <xdr:pic>
      <xdr:nvPicPr>
        <xdr:cNvPr id="14340" name="Picture 4249" descr="nctta_banner2_sm"/>
        <xdr:cNvPicPr>
          <a:picLocks noChangeAspect="1" noChangeArrowheads="1"/>
        </xdr:cNvPicPr>
      </xdr:nvPicPr>
      <xdr:blipFill>
        <a:blip xmlns:r="http://schemas.openxmlformats.org/officeDocument/2006/relationships" r:embed="rId1" cstate="print"/>
        <a:srcRect/>
        <a:stretch>
          <a:fillRect/>
        </a:stretch>
      </xdr:blipFill>
      <xdr:spPr bwMode="auto">
        <a:xfrm>
          <a:off x="28575" y="24793575"/>
          <a:ext cx="1514475" cy="571500"/>
        </a:xfrm>
        <a:prstGeom prst="rect">
          <a:avLst/>
        </a:prstGeom>
        <a:noFill/>
        <a:ln w="9525">
          <a:noFill/>
          <a:miter lim="800000"/>
          <a:headEnd/>
          <a:tailEnd/>
        </a:ln>
      </xdr:spPr>
    </xdr:pic>
    <xdr:clientData/>
  </xdr:twoCellAnchor>
  <xdr:twoCellAnchor>
    <xdr:from>
      <xdr:col>0</xdr:col>
      <xdr:colOff>28575</xdr:colOff>
      <xdr:row>204</xdr:row>
      <xdr:rowOff>19050</xdr:rowOff>
    </xdr:from>
    <xdr:to>
      <xdr:col>4</xdr:col>
      <xdr:colOff>19050</xdr:colOff>
      <xdr:row>207</xdr:row>
      <xdr:rowOff>104775</xdr:rowOff>
    </xdr:to>
    <xdr:pic>
      <xdr:nvPicPr>
        <xdr:cNvPr id="14341" name="Picture 4303" descr="nctta_banner2_sm"/>
        <xdr:cNvPicPr>
          <a:picLocks noChangeAspect="1" noChangeArrowheads="1"/>
        </xdr:cNvPicPr>
      </xdr:nvPicPr>
      <xdr:blipFill>
        <a:blip xmlns:r="http://schemas.openxmlformats.org/officeDocument/2006/relationships" r:embed="rId1" cstate="print"/>
        <a:srcRect/>
        <a:stretch>
          <a:fillRect/>
        </a:stretch>
      </xdr:blipFill>
      <xdr:spPr bwMode="auto">
        <a:xfrm>
          <a:off x="28575" y="33051750"/>
          <a:ext cx="1514475" cy="571500"/>
        </a:xfrm>
        <a:prstGeom prst="rect">
          <a:avLst/>
        </a:prstGeom>
        <a:noFill/>
        <a:ln w="9525">
          <a:noFill/>
          <a:miter lim="800000"/>
          <a:headEnd/>
          <a:tailEnd/>
        </a:ln>
      </xdr:spPr>
    </xdr:pic>
    <xdr:clientData/>
  </xdr:twoCellAnchor>
  <xdr:twoCellAnchor>
    <xdr:from>
      <xdr:col>0</xdr:col>
      <xdr:colOff>28575</xdr:colOff>
      <xdr:row>255</xdr:row>
      <xdr:rowOff>19050</xdr:rowOff>
    </xdr:from>
    <xdr:to>
      <xdr:col>4</xdr:col>
      <xdr:colOff>19050</xdr:colOff>
      <xdr:row>258</xdr:row>
      <xdr:rowOff>104775</xdr:rowOff>
    </xdr:to>
    <xdr:pic>
      <xdr:nvPicPr>
        <xdr:cNvPr id="14342" name="Picture 4305" descr="nctta_banner2_sm"/>
        <xdr:cNvPicPr>
          <a:picLocks noChangeAspect="1" noChangeArrowheads="1"/>
        </xdr:cNvPicPr>
      </xdr:nvPicPr>
      <xdr:blipFill>
        <a:blip xmlns:r="http://schemas.openxmlformats.org/officeDocument/2006/relationships" r:embed="rId1" cstate="print"/>
        <a:srcRect/>
        <a:stretch>
          <a:fillRect/>
        </a:stretch>
      </xdr:blipFill>
      <xdr:spPr bwMode="auto">
        <a:xfrm>
          <a:off x="28575" y="41309925"/>
          <a:ext cx="1514475" cy="571500"/>
        </a:xfrm>
        <a:prstGeom prst="rect">
          <a:avLst/>
        </a:prstGeom>
        <a:noFill/>
        <a:ln w="9525">
          <a:noFill/>
          <a:miter lim="800000"/>
          <a:headEnd/>
          <a:tailEnd/>
        </a:ln>
      </xdr:spPr>
    </xdr:pic>
    <xdr:clientData/>
  </xdr:twoCellAnchor>
  <xdr:twoCellAnchor>
    <xdr:from>
      <xdr:col>0</xdr:col>
      <xdr:colOff>28575</xdr:colOff>
      <xdr:row>306</xdr:row>
      <xdr:rowOff>19050</xdr:rowOff>
    </xdr:from>
    <xdr:to>
      <xdr:col>4</xdr:col>
      <xdr:colOff>19050</xdr:colOff>
      <xdr:row>309</xdr:row>
      <xdr:rowOff>104775</xdr:rowOff>
    </xdr:to>
    <xdr:pic>
      <xdr:nvPicPr>
        <xdr:cNvPr id="14343" name="Picture 4359" descr="nctta_banner2_sm"/>
        <xdr:cNvPicPr>
          <a:picLocks noChangeAspect="1" noChangeArrowheads="1"/>
        </xdr:cNvPicPr>
      </xdr:nvPicPr>
      <xdr:blipFill>
        <a:blip xmlns:r="http://schemas.openxmlformats.org/officeDocument/2006/relationships" r:embed="rId1" cstate="print"/>
        <a:srcRect/>
        <a:stretch>
          <a:fillRect/>
        </a:stretch>
      </xdr:blipFill>
      <xdr:spPr bwMode="auto">
        <a:xfrm>
          <a:off x="28575" y="49568100"/>
          <a:ext cx="1514475" cy="571500"/>
        </a:xfrm>
        <a:prstGeom prst="rect">
          <a:avLst/>
        </a:prstGeom>
        <a:noFill/>
        <a:ln w="9525">
          <a:noFill/>
          <a:miter lim="800000"/>
          <a:headEnd/>
          <a:tailEnd/>
        </a:ln>
      </xdr:spPr>
    </xdr:pic>
    <xdr:clientData/>
  </xdr:twoCellAnchor>
  <xdr:twoCellAnchor>
    <xdr:from>
      <xdr:col>0</xdr:col>
      <xdr:colOff>28575</xdr:colOff>
      <xdr:row>357</xdr:row>
      <xdr:rowOff>19050</xdr:rowOff>
    </xdr:from>
    <xdr:to>
      <xdr:col>4</xdr:col>
      <xdr:colOff>19050</xdr:colOff>
      <xdr:row>360</xdr:row>
      <xdr:rowOff>104775</xdr:rowOff>
    </xdr:to>
    <xdr:pic>
      <xdr:nvPicPr>
        <xdr:cNvPr id="14344" name="Picture 4361" descr="nctta_banner2_sm"/>
        <xdr:cNvPicPr>
          <a:picLocks noChangeAspect="1" noChangeArrowheads="1"/>
        </xdr:cNvPicPr>
      </xdr:nvPicPr>
      <xdr:blipFill>
        <a:blip xmlns:r="http://schemas.openxmlformats.org/officeDocument/2006/relationships" r:embed="rId1" cstate="print"/>
        <a:srcRect/>
        <a:stretch>
          <a:fillRect/>
        </a:stretch>
      </xdr:blipFill>
      <xdr:spPr bwMode="auto">
        <a:xfrm>
          <a:off x="28575" y="57826275"/>
          <a:ext cx="1514475" cy="571500"/>
        </a:xfrm>
        <a:prstGeom prst="rect">
          <a:avLst/>
        </a:prstGeom>
        <a:noFill/>
        <a:ln w="9525">
          <a:noFill/>
          <a:miter lim="800000"/>
          <a:headEnd/>
          <a:tailEnd/>
        </a:ln>
      </xdr:spPr>
    </xdr:pic>
    <xdr:clientData/>
  </xdr:twoCellAnchor>
  <xdr:twoCellAnchor>
    <xdr:from>
      <xdr:col>0</xdr:col>
      <xdr:colOff>28575</xdr:colOff>
      <xdr:row>408</xdr:row>
      <xdr:rowOff>19050</xdr:rowOff>
    </xdr:from>
    <xdr:to>
      <xdr:col>4</xdr:col>
      <xdr:colOff>19050</xdr:colOff>
      <xdr:row>411</xdr:row>
      <xdr:rowOff>104775</xdr:rowOff>
    </xdr:to>
    <xdr:pic>
      <xdr:nvPicPr>
        <xdr:cNvPr id="14345" name="Picture 4415" descr="nctta_banner2_sm"/>
        <xdr:cNvPicPr>
          <a:picLocks noChangeAspect="1" noChangeArrowheads="1"/>
        </xdr:cNvPicPr>
      </xdr:nvPicPr>
      <xdr:blipFill>
        <a:blip xmlns:r="http://schemas.openxmlformats.org/officeDocument/2006/relationships" r:embed="rId1" cstate="print"/>
        <a:srcRect/>
        <a:stretch>
          <a:fillRect/>
        </a:stretch>
      </xdr:blipFill>
      <xdr:spPr bwMode="auto">
        <a:xfrm>
          <a:off x="28575" y="66084450"/>
          <a:ext cx="1514475" cy="571500"/>
        </a:xfrm>
        <a:prstGeom prst="rect">
          <a:avLst/>
        </a:prstGeom>
        <a:noFill/>
        <a:ln w="9525">
          <a:noFill/>
          <a:miter lim="800000"/>
          <a:headEnd/>
          <a:tailEnd/>
        </a:ln>
      </xdr:spPr>
    </xdr:pic>
    <xdr:clientData/>
  </xdr:twoCellAnchor>
  <xdr:twoCellAnchor>
    <xdr:from>
      <xdr:col>0</xdr:col>
      <xdr:colOff>28575</xdr:colOff>
      <xdr:row>459</xdr:row>
      <xdr:rowOff>19050</xdr:rowOff>
    </xdr:from>
    <xdr:to>
      <xdr:col>4</xdr:col>
      <xdr:colOff>19050</xdr:colOff>
      <xdr:row>462</xdr:row>
      <xdr:rowOff>104775</xdr:rowOff>
    </xdr:to>
    <xdr:pic>
      <xdr:nvPicPr>
        <xdr:cNvPr id="14346" name="Picture 4417" descr="nctta_banner2_sm"/>
        <xdr:cNvPicPr>
          <a:picLocks noChangeAspect="1" noChangeArrowheads="1"/>
        </xdr:cNvPicPr>
      </xdr:nvPicPr>
      <xdr:blipFill>
        <a:blip xmlns:r="http://schemas.openxmlformats.org/officeDocument/2006/relationships" r:embed="rId1" cstate="print"/>
        <a:srcRect/>
        <a:stretch>
          <a:fillRect/>
        </a:stretch>
      </xdr:blipFill>
      <xdr:spPr bwMode="auto">
        <a:xfrm>
          <a:off x="28575" y="74342625"/>
          <a:ext cx="1514475" cy="571500"/>
        </a:xfrm>
        <a:prstGeom prst="rect">
          <a:avLst/>
        </a:prstGeom>
        <a:noFill/>
        <a:ln w="9525">
          <a:noFill/>
          <a:miter lim="800000"/>
          <a:headEnd/>
          <a:tailEnd/>
        </a:ln>
      </xdr:spPr>
    </xdr:pic>
    <xdr:clientData/>
  </xdr:twoCellAnchor>
  <xdr:twoCellAnchor>
    <xdr:from>
      <xdr:col>0</xdr:col>
      <xdr:colOff>28575</xdr:colOff>
      <xdr:row>510</xdr:row>
      <xdr:rowOff>19050</xdr:rowOff>
    </xdr:from>
    <xdr:to>
      <xdr:col>4</xdr:col>
      <xdr:colOff>19050</xdr:colOff>
      <xdr:row>513</xdr:row>
      <xdr:rowOff>104775</xdr:rowOff>
    </xdr:to>
    <xdr:pic>
      <xdr:nvPicPr>
        <xdr:cNvPr id="14347" name="Picture 4471" descr="nctta_banner2_sm"/>
        <xdr:cNvPicPr>
          <a:picLocks noChangeAspect="1" noChangeArrowheads="1"/>
        </xdr:cNvPicPr>
      </xdr:nvPicPr>
      <xdr:blipFill>
        <a:blip xmlns:r="http://schemas.openxmlformats.org/officeDocument/2006/relationships" r:embed="rId1" cstate="print"/>
        <a:srcRect/>
        <a:stretch>
          <a:fillRect/>
        </a:stretch>
      </xdr:blipFill>
      <xdr:spPr bwMode="auto">
        <a:xfrm>
          <a:off x="28575" y="82600800"/>
          <a:ext cx="1514475" cy="571500"/>
        </a:xfrm>
        <a:prstGeom prst="rect">
          <a:avLst/>
        </a:prstGeom>
        <a:noFill/>
        <a:ln w="9525">
          <a:noFill/>
          <a:miter lim="800000"/>
          <a:headEnd/>
          <a:tailEnd/>
        </a:ln>
      </xdr:spPr>
    </xdr:pic>
    <xdr:clientData/>
  </xdr:twoCellAnchor>
  <xdr:twoCellAnchor>
    <xdr:from>
      <xdr:col>0</xdr:col>
      <xdr:colOff>28575</xdr:colOff>
      <xdr:row>561</xdr:row>
      <xdr:rowOff>19050</xdr:rowOff>
    </xdr:from>
    <xdr:to>
      <xdr:col>4</xdr:col>
      <xdr:colOff>19050</xdr:colOff>
      <xdr:row>564</xdr:row>
      <xdr:rowOff>104775</xdr:rowOff>
    </xdr:to>
    <xdr:pic>
      <xdr:nvPicPr>
        <xdr:cNvPr id="14348" name="Picture 4473" descr="nctta_banner2_sm"/>
        <xdr:cNvPicPr>
          <a:picLocks noChangeAspect="1" noChangeArrowheads="1"/>
        </xdr:cNvPicPr>
      </xdr:nvPicPr>
      <xdr:blipFill>
        <a:blip xmlns:r="http://schemas.openxmlformats.org/officeDocument/2006/relationships" r:embed="rId1" cstate="print"/>
        <a:srcRect/>
        <a:stretch>
          <a:fillRect/>
        </a:stretch>
      </xdr:blipFill>
      <xdr:spPr bwMode="auto">
        <a:xfrm>
          <a:off x="28575" y="90858975"/>
          <a:ext cx="1514475" cy="571500"/>
        </a:xfrm>
        <a:prstGeom prst="rect">
          <a:avLst/>
        </a:prstGeom>
        <a:noFill/>
        <a:ln w="9525">
          <a:noFill/>
          <a:miter lim="800000"/>
          <a:headEnd/>
          <a:tailEnd/>
        </a:ln>
      </xdr:spPr>
    </xdr:pic>
    <xdr:clientData/>
  </xdr:twoCellAnchor>
  <xdr:twoCellAnchor>
    <xdr:from>
      <xdr:col>0</xdr:col>
      <xdr:colOff>28575</xdr:colOff>
      <xdr:row>612</xdr:row>
      <xdr:rowOff>19050</xdr:rowOff>
    </xdr:from>
    <xdr:to>
      <xdr:col>4</xdr:col>
      <xdr:colOff>19050</xdr:colOff>
      <xdr:row>615</xdr:row>
      <xdr:rowOff>104775</xdr:rowOff>
    </xdr:to>
    <xdr:pic>
      <xdr:nvPicPr>
        <xdr:cNvPr id="14349" name="Picture 4527" descr="nctta_banner2_sm"/>
        <xdr:cNvPicPr>
          <a:picLocks noChangeAspect="1" noChangeArrowheads="1"/>
        </xdr:cNvPicPr>
      </xdr:nvPicPr>
      <xdr:blipFill>
        <a:blip xmlns:r="http://schemas.openxmlformats.org/officeDocument/2006/relationships" r:embed="rId1" cstate="print"/>
        <a:srcRect/>
        <a:stretch>
          <a:fillRect/>
        </a:stretch>
      </xdr:blipFill>
      <xdr:spPr bwMode="auto">
        <a:xfrm>
          <a:off x="28575" y="99117150"/>
          <a:ext cx="1514475" cy="571500"/>
        </a:xfrm>
        <a:prstGeom prst="rect">
          <a:avLst/>
        </a:prstGeom>
        <a:noFill/>
        <a:ln w="9525">
          <a:noFill/>
          <a:miter lim="800000"/>
          <a:headEnd/>
          <a:tailEnd/>
        </a:ln>
      </xdr:spPr>
    </xdr:pic>
    <xdr:clientData/>
  </xdr:twoCellAnchor>
  <xdr:twoCellAnchor>
    <xdr:from>
      <xdr:col>0</xdr:col>
      <xdr:colOff>28575</xdr:colOff>
      <xdr:row>663</xdr:row>
      <xdr:rowOff>19050</xdr:rowOff>
    </xdr:from>
    <xdr:to>
      <xdr:col>4</xdr:col>
      <xdr:colOff>19050</xdr:colOff>
      <xdr:row>666</xdr:row>
      <xdr:rowOff>104775</xdr:rowOff>
    </xdr:to>
    <xdr:pic>
      <xdr:nvPicPr>
        <xdr:cNvPr id="14350" name="Picture 4529" descr="nctta_banner2_sm"/>
        <xdr:cNvPicPr>
          <a:picLocks noChangeAspect="1" noChangeArrowheads="1"/>
        </xdr:cNvPicPr>
      </xdr:nvPicPr>
      <xdr:blipFill>
        <a:blip xmlns:r="http://schemas.openxmlformats.org/officeDocument/2006/relationships" r:embed="rId1" cstate="print"/>
        <a:srcRect/>
        <a:stretch>
          <a:fillRect/>
        </a:stretch>
      </xdr:blipFill>
      <xdr:spPr bwMode="auto">
        <a:xfrm>
          <a:off x="28575" y="107375325"/>
          <a:ext cx="1514475" cy="571500"/>
        </a:xfrm>
        <a:prstGeom prst="rect">
          <a:avLst/>
        </a:prstGeom>
        <a:noFill/>
        <a:ln w="9525">
          <a:noFill/>
          <a:miter lim="800000"/>
          <a:headEnd/>
          <a:tailEnd/>
        </a:ln>
      </xdr:spPr>
    </xdr:pic>
    <xdr:clientData/>
  </xdr:twoCellAnchor>
  <xdr:twoCellAnchor>
    <xdr:from>
      <xdr:col>0</xdr:col>
      <xdr:colOff>28575</xdr:colOff>
      <xdr:row>714</xdr:row>
      <xdr:rowOff>19050</xdr:rowOff>
    </xdr:from>
    <xdr:to>
      <xdr:col>4</xdr:col>
      <xdr:colOff>19050</xdr:colOff>
      <xdr:row>717</xdr:row>
      <xdr:rowOff>104775</xdr:rowOff>
    </xdr:to>
    <xdr:pic>
      <xdr:nvPicPr>
        <xdr:cNvPr id="14351" name="Picture 4583" descr="nctta_banner2_sm"/>
        <xdr:cNvPicPr>
          <a:picLocks noChangeAspect="1" noChangeArrowheads="1"/>
        </xdr:cNvPicPr>
      </xdr:nvPicPr>
      <xdr:blipFill>
        <a:blip xmlns:r="http://schemas.openxmlformats.org/officeDocument/2006/relationships" r:embed="rId1" cstate="print"/>
        <a:srcRect/>
        <a:stretch>
          <a:fillRect/>
        </a:stretch>
      </xdr:blipFill>
      <xdr:spPr bwMode="auto">
        <a:xfrm>
          <a:off x="28575" y="115633500"/>
          <a:ext cx="1514475" cy="571500"/>
        </a:xfrm>
        <a:prstGeom prst="rect">
          <a:avLst/>
        </a:prstGeom>
        <a:noFill/>
        <a:ln w="9525">
          <a:noFill/>
          <a:miter lim="800000"/>
          <a:headEnd/>
          <a:tailEnd/>
        </a:ln>
      </xdr:spPr>
    </xdr:pic>
    <xdr:clientData/>
  </xdr:twoCellAnchor>
  <xdr:twoCellAnchor>
    <xdr:from>
      <xdr:col>0</xdr:col>
      <xdr:colOff>28575</xdr:colOff>
      <xdr:row>765</xdr:row>
      <xdr:rowOff>19050</xdr:rowOff>
    </xdr:from>
    <xdr:to>
      <xdr:col>4</xdr:col>
      <xdr:colOff>19050</xdr:colOff>
      <xdr:row>768</xdr:row>
      <xdr:rowOff>104775</xdr:rowOff>
    </xdr:to>
    <xdr:pic>
      <xdr:nvPicPr>
        <xdr:cNvPr id="14352" name="Picture 4585" descr="nctta_banner2_sm"/>
        <xdr:cNvPicPr>
          <a:picLocks noChangeAspect="1" noChangeArrowheads="1"/>
        </xdr:cNvPicPr>
      </xdr:nvPicPr>
      <xdr:blipFill>
        <a:blip xmlns:r="http://schemas.openxmlformats.org/officeDocument/2006/relationships" r:embed="rId1" cstate="print"/>
        <a:srcRect/>
        <a:stretch>
          <a:fillRect/>
        </a:stretch>
      </xdr:blipFill>
      <xdr:spPr bwMode="auto">
        <a:xfrm>
          <a:off x="28575" y="123891675"/>
          <a:ext cx="1514475" cy="571500"/>
        </a:xfrm>
        <a:prstGeom prst="rect">
          <a:avLst/>
        </a:prstGeom>
        <a:noFill/>
        <a:ln w="9525">
          <a:noFill/>
          <a:miter lim="800000"/>
          <a:headEnd/>
          <a:tailEnd/>
        </a:ln>
      </xdr:spPr>
    </xdr:pic>
    <xdr:clientData/>
  </xdr:twoCellAnchor>
  <xdr:twoCellAnchor>
    <xdr:from>
      <xdr:col>0</xdr:col>
      <xdr:colOff>28575</xdr:colOff>
      <xdr:row>816</xdr:row>
      <xdr:rowOff>19050</xdr:rowOff>
    </xdr:from>
    <xdr:to>
      <xdr:col>4</xdr:col>
      <xdr:colOff>19050</xdr:colOff>
      <xdr:row>819</xdr:row>
      <xdr:rowOff>104775</xdr:rowOff>
    </xdr:to>
    <xdr:pic>
      <xdr:nvPicPr>
        <xdr:cNvPr id="14353" name="Picture 4639" descr="nctta_banner2_sm"/>
        <xdr:cNvPicPr>
          <a:picLocks noChangeAspect="1" noChangeArrowheads="1"/>
        </xdr:cNvPicPr>
      </xdr:nvPicPr>
      <xdr:blipFill>
        <a:blip xmlns:r="http://schemas.openxmlformats.org/officeDocument/2006/relationships" r:embed="rId1" cstate="print"/>
        <a:srcRect/>
        <a:stretch>
          <a:fillRect/>
        </a:stretch>
      </xdr:blipFill>
      <xdr:spPr bwMode="auto">
        <a:xfrm>
          <a:off x="28575" y="132149850"/>
          <a:ext cx="1514475" cy="571500"/>
        </a:xfrm>
        <a:prstGeom prst="rect">
          <a:avLst/>
        </a:prstGeom>
        <a:noFill/>
        <a:ln w="9525">
          <a:noFill/>
          <a:miter lim="800000"/>
          <a:headEnd/>
          <a:tailEnd/>
        </a:ln>
      </xdr:spPr>
    </xdr:pic>
    <xdr:clientData/>
  </xdr:twoCellAnchor>
  <xdr:twoCellAnchor>
    <xdr:from>
      <xdr:col>0</xdr:col>
      <xdr:colOff>28575</xdr:colOff>
      <xdr:row>867</xdr:row>
      <xdr:rowOff>19050</xdr:rowOff>
    </xdr:from>
    <xdr:to>
      <xdr:col>4</xdr:col>
      <xdr:colOff>19050</xdr:colOff>
      <xdr:row>870</xdr:row>
      <xdr:rowOff>104775</xdr:rowOff>
    </xdr:to>
    <xdr:pic>
      <xdr:nvPicPr>
        <xdr:cNvPr id="14354" name="Picture 4641" descr="nctta_banner2_sm"/>
        <xdr:cNvPicPr>
          <a:picLocks noChangeAspect="1" noChangeArrowheads="1"/>
        </xdr:cNvPicPr>
      </xdr:nvPicPr>
      <xdr:blipFill>
        <a:blip xmlns:r="http://schemas.openxmlformats.org/officeDocument/2006/relationships" r:embed="rId1" cstate="print"/>
        <a:srcRect/>
        <a:stretch>
          <a:fillRect/>
        </a:stretch>
      </xdr:blipFill>
      <xdr:spPr bwMode="auto">
        <a:xfrm>
          <a:off x="28575" y="140408025"/>
          <a:ext cx="1514475" cy="571500"/>
        </a:xfrm>
        <a:prstGeom prst="rect">
          <a:avLst/>
        </a:prstGeom>
        <a:noFill/>
        <a:ln w="9525">
          <a:noFill/>
          <a:miter lim="800000"/>
          <a:headEnd/>
          <a:tailEnd/>
        </a:ln>
      </xdr:spPr>
    </xdr:pic>
    <xdr:clientData/>
  </xdr:twoCellAnchor>
  <xdr:twoCellAnchor>
    <xdr:from>
      <xdr:col>0</xdr:col>
      <xdr:colOff>28575</xdr:colOff>
      <xdr:row>918</xdr:row>
      <xdr:rowOff>19050</xdr:rowOff>
    </xdr:from>
    <xdr:to>
      <xdr:col>4</xdr:col>
      <xdr:colOff>19050</xdr:colOff>
      <xdr:row>921</xdr:row>
      <xdr:rowOff>104775</xdr:rowOff>
    </xdr:to>
    <xdr:pic>
      <xdr:nvPicPr>
        <xdr:cNvPr id="14355" name="Picture 4695" descr="nctta_banner2_sm"/>
        <xdr:cNvPicPr>
          <a:picLocks noChangeAspect="1" noChangeArrowheads="1"/>
        </xdr:cNvPicPr>
      </xdr:nvPicPr>
      <xdr:blipFill>
        <a:blip xmlns:r="http://schemas.openxmlformats.org/officeDocument/2006/relationships" r:embed="rId1" cstate="print"/>
        <a:srcRect/>
        <a:stretch>
          <a:fillRect/>
        </a:stretch>
      </xdr:blipFill>
      <xdr:spPr bwMode="auto">
        <a:xfrm>
          <a:off x="28575" y="148666200"/>
          <a:ext cx="1514475" cy="571500"/>
        </a:xfrm>
        <a:prstGeom prst="rect">
          <a:avLst/>
        </a:prstGeom>
        <a:noFill/>
        <a:ln w="9525">
          <a:noFill/>
          <a:miter lim="800000"/>
          <a:headEnd/>
          <a:tailEnd/>
        </a:ln>
      </xdr:spPr>
    </xdr:pic>
    <xdr:clientData/>
  </xdr:twoCellAnchor>
  <xdr:twoCellAnchor>
    <xdr:from>
      <xdr:col>0</xdr:col>
      <xdr:colOff>28575</xdr:colOff>
      <xdr:row>969</xdr:row>
      <xdr:rowOff>19050</xdr:rowOff>
    </xdr:from>
    <xdr:to>
      <xdr:col>4</xdr:col>
      <xdr:colOff>19050</xdr:colOff>
      <xdr:row>972</xdr:row>
      <xdr:rowOff>104775</xdr:rowOff>
    </xdr:to>
    <xdr:pic>
      <xdr:nvPicPr>
        <xdr:cNvPr id="14356" name="Picture 4697" descr="nctta_banner2_sm"/>
        <xdr:cNvPicPr>
          <a:picLocks noChangeAspect="1" noChangeArrowheads="1"/>
        </xdr:cNvPicPr>
      </xdr:nvPicPr>
      <xdr:blipFill>
        <a:blip xmlns:r="http://schemas.openxmlformats.org/officeDocument/2006/relationships" r:embed="rId1" cstate="print"/>
        <a:srcRect/>
        <a:stretch>
          <a:fillRect/>
        </a:stretch>
      </xdr:blipFill>
      <xdr:spPr bwMode="auto">
        <a:xfrm>
          <a:off x="28575" y="156924375"/>
          <a:ext cx="1514475" cy="571500"/>
        </a:xfrm>
        <a:prstGeom prst="rect">
          <a:avLst/>
        </a:prstGeom>
        <a:noFill/>
        <a:ln w="9525">
          <a:noFill/>
          <a:miter lim="800000"/>
          <a:headEnd/>
          <a:tailEnd/>
        </a:ln>
      </xdr:spPr>
    </xdr:pic>
    <xdr:clientData/>
  </xdr:twoCellAnchor>
  <xdr:twoCellAnchor>
    <xdr:from>
      <xdr:col>0</xdr:col>
      <xdr:colOff>28575</xdr:colOff>
      <xdr:row>1020</xdr:row>
      <xdr:rowOff>19050</xdr:rowOff>
    </xdr:from>
    <xdr:to>
      <xdr:col>4</xdr:col>
      <xdr:colOff>19050</xdr:colOff>
      <xdr:row>1023</xdr:row>
      <xdr:rowOff>104775</xdr:rowOff>
    </xdr:to>
    <xdr:pic>
      <xdr:nvPicPr>
        <xdr:cNvPr id="14357" name="Picture 4751" descr="nctta_banner2_sm"/>
        <xdr:cNvPicPr>
          <a:picLocks noChangeAspect="1" noChangeArrowheads="1"/>
        </xdr:cNvPicPr>
      </xdr:nvPicPr>
      <xdr:blipFill>
        <a:blip xmlns:r="http://schemas.openxmlformats.org/officeDocument/2006/relationships" r:embed="rId1" cstate="print"/>
        <a:srcRect/>
        <a:stretch>
          <a:fillRect/>
        </a:stretch>
      </xdr:blipFill>
      <xdr:spPr bwMode="auto">
        <a:xfrm>
          <a:off x="28575" y="165182550"/>
          <a:ext cx="1514475" cy="571500"/>
        </a:xfrm>
        <a:prstGeom prst="rect">
          <a:avLst/>
        </a:prstGeom>
        <a:noFill/>
        <a:ln w="9525">
          <a:noFill/>
          <a:miter lim="800000"/>
          <a:headEnd/>
          <a:tailEnd/>
        </a:ln>
      </xdr:spPr>
    </xdr:pic>
    <xdr:clientData/>
  </xdr:twoCellAnchor>
  <xdr:twoCellAnchor>
    <xdr:from>
      <xdr:col>0</xdr:col>
      <xdr:colOff>28575</xdr:colOff>
      <xdr:row>1071</xdr:row>
      <xdr:rowOff>19050</xdr:rowOff>
    </xdr:from>
    <xdr:to>
      <xdr:col>4</xdr:col>
      <xdr:colOff>19050</xdr:colOff>
      <xdr:row>1074</xdr:row>
      <xdr:rowOff>104775</xdr:rowOff>
    </xdr:to>
    <xdr:pic>
      <xdr:nvPicPr>
        <xdr:cNvPr id="14358" name="Picture 4753" descr="nctta_banner2_sm"/>
        <xdr:cNvPicPr>
          <a:picLocks noChangeAspect="1" noChangeArrowheads="1"/>
        </xdr:cNvPicPr>
      </xdr:nvPicPr>
      <xdr:blipFill>
        <a:blip xmlns:r="http://schemas.openxmlformats.org/officeDocument/2006/relationships" r:embed="rId1" cstate="print"/>
        <a:srcRect/>
        <a:stretch>
          <a:fillRect/>
        </a:stretch>
      </xdr:blipFill>
      <xdr:spPr bwMode="auto">
        <a:xfrm>
          <a:off x="28575" y="173440725"/>
          <a:ext cx="1514475" cy="571500"/>
        </a:xfrm>
        <a:prstGeom prst="rect">
          <a:avLst/>
        </a:prstGeom>
        <a:noFill/>
        <a:ln w="9525">
          <a:noFill/>
          <a:miter lim="800000"/>
          <a:headEnd/>
          <a:tailEnd/>
        </a:ln>
      </xdr:spPr>
    </xdr:pic>
    <xdr:clientData/>
  </xdr:twoCellAnchor>
  <xdr:twoCellAnchor>
    <xdr:from>
      <xdr:col>0</xdr:col>
      <xdr:colOff>28575</xdr:colOff>
      <xdr:row>1122</xdr:row>
      <xdr:rowOff>19050</xdr:rowOff>
    </xdr:from>
    <xdr:to>
      <xdr:col>4</xdr:col>
      <xdr:colOff>19050</xdr:colOff>
      <xdr:row>1125</xdr:row>
      <xdr:rowOff>104775</xdr:rowOff>
    </xdr:to>
    <xdr:pic>
      <xdr:nvPicPr>
        <xdr:cNvPr id="14359" name="Picture 4807" descr="nctta_banner2_sm"/>
        <xdr:cNvPicPr>
          <a:picLocks noChangeAspect="1" noChangeArrowheads="1"/>
        </xdr:cNvPicPr>
      </xdr:nvPicPr>
      <xdr:blipFill>
        <a:blip xmlns:r="http://schemas.openxmlformats.org/officeDocument/2006/relationships" r:embed="rId1" cstate="print"/>
        <a:srcRect/>
        <a:stretch>
          <a:fillRect/>
        </a:stretch>
      </xdr:blipFill>
      <xdr:spPr bwMode="auto">
        <a:xfrm>
          <a:off x="28575" y="181698900"/>
          <a:ext cx="1514475" cy="571500"/>
        </a:xfrm>
        <a:prstGeom prst="rect">
          <a:avLst/>
        </a:prstGeom>
        <a:noFill/>
        <a:ln w="9525">
          <a:noFill/>
          <a:miter lim="800000"/>
          <a:headEnd/>
          <a:tailEnd/>
        </a:ln>
      </xdr:spPr>
    </xdr:pic>
    <xdr:clientData/>
  </xdr:twoCellAnchor>
  <xdr:twoCellAnchor>
    <xdr:from>
      <xdr:col>0</xdr:col>
      <xdr:colOff>28575</xdr:colOff>
      <xdr:row>1173</xdr:row>
      <xdr:rowOff>19050</xdr:rowOff>
    </xdr:from>
    <xdr:to>
      <xdr:col>4</xdr:col>
      <xdr:colOff>19050</xdr:colOff>
      <xdr:row>1176</xdr:row>
      <xdr:rowOff>104775</xdr:rowOff>
    </xdr:to>
    <xdr:pic>
      <xdr:nvPicPr>
        <xdr:cNvPr id="14360" name="Picture 4809" descr="nctta_banner2_sm"/>
        <xdr:cNvPicPr>
          <a:picLocks noChangeAspect="1" noChangeArrowheads="1"/>
        </xdr:cNvPicPr>
      </xdr:nvPicPr>
      <xdr:blipFill>
        <a:blip xmlns:r="http://schemas.openxmlformats.org/officeDocument/2006/relationships" r:embed="rId1" cstate="print"/>
        <a:srcRect/>
        <a:stretch>
          <a:fillRect/>
        </a:stretch>
      </xdr:blipFill>
      <xdr:spPr bwMode="auto">
        <a:xfrm>
          <a:off x="28575" y="189957075"/>
          <a:ext cx="1514475" cy="571500"/>
        </a:xfrm>
        <a:prstGeom prst="rect">
          <a:avLst/>
        </a:prstGeom>
        <a:noFill/>
        <a:ln w="9525">
          <a:noFill/>
          <a:miter lim="800000"/>
          <a:headEnd/>
          <a:tailEnd/>
        </a:ln>
      </xdr:spPr>
    </xdr:pic>
    <xdr:clientData/>
  </xdr:twoCellAnchor>
  <xdr:twoCellAnchor>
    <xdr:from>
      <xdr:col>0</xdr:col>
      <xdr:colOff>28575</xdr:colOff>
      <xdr:row>1224</xdr:row>
      <xdr:rowOff>19050</xdr:rowOff>
    </xdr:from>
    <xdr:to>
      <xdr:col>4</xdr:col>
      <xdr:colOff>19050</xdr:colOff>
      <xdr:row>1227</xdr:row>
      <xdr:rowOff>104775</xdr:rowOff>
    </xdr:to>
    <xdr:pic>
      <xdr:nvPicPr>
        <xdr:cNvPr id="14361" name="Picture 4863" descr="nctta_banner2_sm"/>
        <xdr:cNvPicPr>
          <a:picLocks noChangeAspect="1" noChangeArrowheads="1"/>
        </xdr:cNvPicPr>
      </xdr:nvPicPr>
      <xdr:blipFill>
        <a:blip xmlns:r="http://schemas.openxmlformats.org/officeDocument/2006/relationships" r:embed="rId1" cstate="print"/>
        <a:srcRect/>
        <a:stretch>
          <a:fillRect/>
        </a:stretch>
      </xdr:blipFill>
      <xdr:spPr bwMode="auto">
        <a:xfrm>
          <a:off x="28575" y="198215250"/>
          <a:ext cx="1514475" cy="571500"/>
        </a:xfrm>
        <a:prstGeom prst="rect">
          <a:avLst/>
        </a:prstGeom>
        <a:noFill/>
        <a:ln w="9525">
          <a:noFill/>
          <a:miter lim="800000"/>
          <a:headEnd/>
          <a:tailEnd/>
        </a:ln>
      </xdr:spPr>
    </xdr:pic>
    <xdr:clientData/>
  </xdr:twoCellAnchor>
  <xdr:twoCellAnchor>
    <xdr:from>
      <xdr:col>0</xdr:col>
      <xdr:colOff>28575</xdr:colOff>
      <xdr:row>1275</xdr:row>
      <xdr:rowOff>19050</xdr:rowOff>
    </xdr:from>
    <xdr:to>
      <xdr:col>4</xdr:col>
      <xdr:colOff>19050</xdr:colOff>
      <xdr:row>1278</xdr:row>
      <xdr:rowOff>104775</xdr:rowOff>
    </xdr:to>
    <xdr:pic>
      <xdr:nvPicPr>
        <xdr:cNvPr id="14362" name="Picture 4865" descr="nctta_banner2_sm"/>
        <xdr:cNvPicPr>
          <a:picLocks noChangeAspect="1" noChangeArrowheads="1"/>
        </xdr:cNvPicPr>
      </xdr:nvPicPr>
      <xdr:blipFill>
        <a:blip xmlns:r="http://schemas.openxmlformats.org/officeDocument/2006/relationships" r:embed="rId1" cstate="print"/>
        <a:srcRect/>
        <a:stretch>
          <a:fillRect/>
        </a:stretch>
      </xdr:blipFill>
      <xdr:spPr bwMode="auto">
        <a:xfrm>
          <a:off x="28575" y="206473425"/>
          <a:ext cx="1514475" cy="571500"/>
        </a:xfrm>
        <a:prstGeom prst="rect">
          <a:avLst/>
        </a:prstGeom>
        <a:noFill/>
        <a:ln w="9525">
          <a:noFill/>
          <a:miter lim="800000"/>
          <a:headEnd/>
          <a:tailEnd/>
        </a:ln>
      </xdr:spPr>
    </xdr:pic>
    <xdr:clientData/>
  </xdr:twoCellAnchor>
  <xdr:twoCellAnchor>
    <xdr:from>
      <xdr:col>0</xdr:col>
      <xdr:colOff>28575</xdr:colOff>
      <xdr:row>1326</xdr:row>
      <xdr:rowOff>19050</xdr:rowOff>
    </xdr:from>
    <xdr:to>
      <xdr:col>4</xdr:col>
      <xdr:colOff>19050</xdr:colOff>
      <xdr:row>1329</xdr:row>
      <xdr:rowOff>104775</xdr:rowOff>
    </xdr:to>
    <xdr:pic>
      <xdr:nvPicPr>
        <xdr:cNvPr id="14363" name="Picture 4919" descr="nctta_banner2_sm"/>
        <xdr:cNvPicPr>
          <a:picLocks noChangeAspect="1" noChangeArrowheads="1"/>
        </xdr:cNvPicPr>
      </xdr:nvPicPr>
      <xdr:blipFill>
        <a:blip xmlns:r="http://schemas.openxmlformats.org/officeDocument/2006/relationships" r:embed="rId1" cstate="print"/>
        <a:srcRect/>
        <a:stretch>
          <a:fillRect/>
        </a:stretch>
      </xdr:blipFill>
      <xdr:spPr bwMode="auto">
        <a:xfrm>
          <a:off x="28575" y="214731600"/>
          <a:ext cx="1514475" cy="571500"/>
        </a:xfrm>
        <a:prstGeom prst="rect">
          <a:avLst/>
        </a:prstGeom>
        <a:noFill/>
        <a:ln w="9525">
          <a:noFill/>
          <a:miter lim="800000"/>
          <a:headEnd/>
          <a:tailEnd/>
        </a:ln>
      </xdr:spPr>
    </xdr:pic>
    <xdr:clientData/>
  </xdr:twoCellAnchor>
  <xdr:twoCellAnchor>
    <xdr:from>
      <xdr:col>0</xdr:col>
      <xdr:colOff>28575</xdr:colOff>
      <xdr:row>1377</xdr:row>
      <xdr:rowOff>19050</xdr:rowOff>
    </xdr:from>
    <xdr:to>
      <xdr:col>4</xdr:col>
      <xdr:colOff>19050</xdr:colOff>
      <xdr:row>1380</xdr:row>
      <xdr:rowOff>104775</xdr:rowOff>
    </xdr:to>
    <xdr:pic>
      <xdr:nvPicPr>
        <xdr:cNvPr id="14364" name="Picture 4921" descr="nctta_banner2_sm"/>
        <xdr:cNvPicPr>
          <a:picLocks noChangeAspect="1" noChangeArrowheads="1"/>
        </xdr:cNvPicPr>
      </xdr:nvPicPr>
      <xdr:blipFill>
        <a:blip xmlns:r="http://schemas.openxmlformats.org/officeDocument/2006/relationships" r:embed="rId1" cstate="print"/>
        <a:srcRect/>
        <a:stretch>
          <a:fillRect/>
        </a:stretch>
      </xdr:blipFill>
      <xdr:spPr bwMode="auto">
        <a:xfrm>
          <a:off x="28575" y="222989775"/>
          <a:ext cx="1514475" cy="571500"/>
        </a:xfrm>
        <a:prstGeom prst="rect">
          <a:avLst/>
        </a:prstGeom>
        <a:noFill/>
        <a:ln w="9525">
          <a:noFill/>
          <a:miter lim="800000"/>
          <a:headEnd/>
          <a:tailEnd/>
        </a:ln>
      </xdr:spPr>
    </xdr:pic>
    <xdr:clientData/>
  </xdr:twoCellAnchor>
  <xdr:twoCellAnchor>
    <xdr:from>
      <xdr:col>0</xdr:col>
      <xdr:colOff>28575</xdr:colOff>
      <xdr:row>1428</xdr:row>
      <xdr:rowOff>19050</xdr:rowOff>
    </xdr:from>
    <xdr:to>
      <xdr:col>4</xdr:col>
      <xdr:colOff>19050</xdr:colOff>
      <xdr:row>1431</xdr:row>
      <xdr:rowOff>104775</xdr:rowOff>
    </xdr:to>
    <xdr:pic>
      <xdr:nvPicPr>
        <xdr:cNvPr id="14365" name="Picture 4975" descr="nctta_banner2_sm"/>
        <xdr:cNvPicPr>
          <a:picLocks noChangeAspect="1" noChangeArrowheads="1"/>
        </xdr:cNvPicPr>
      </xdr:nvPicPr>
      <xdr:blipFill>
        <a:blip xmlns:r="http://schemas.openxmlformats.org/officeDocument/2006/relationships" r:embed="rId1" cstate="print"/>
        <a:srcRect/>
        <a:stretch>
          <a:fillRect/>
        </a:stretch>
      </xdr:blipFill>
      <xdr:spPr bwMode="auto">
        <a:xfrm>
          <a:off x="28575" y="231247950"/>
          <a:ext cx="1514475" cy="571500"/>
        </a:xfrm>
        <a:prstGeom prst="rect">
          <a:avLst/>
        </a:prstGeom>
        <a:noFill/>
        <a:ln w="9525">
          <a:noFill/>
          <a:miter lim="800000"/>
          <a:headEnd/>
          <a:tailEnd/>
        </a:ln>
      </xdr:spPr>
    </xdr:pic>
    <xdr:clientData/>
  </xdr:twoCellAnchor>
  <xdr:twoCellAnchor>
    <xdr:from>
      <xdr:col>0</xdr:col>
      <xdr:colOff>28575</xdr:colOff>
      <xdr:row>1479</xdr:row>
      <xdr:rowOff>19050</xdr:rowOff>
    </xdr:from>
    <xdr:to>
      <xdr:col>4</xdr:col>
      <xdr:colOff>19050</xdr:colOff>
      <xdr:row>1482</xdr:row>
      <xdr:rowOff>104775</xdr:rowOff>
    </xdr:to>
    <xdr:pic>
      <xdr:nvPicPr>
        <xdr:cNvPr id="14366" name="Picture 4977" descr="nctta_banner2_sm"/>
        <xdr:cNvPicPr>
          <a:picLocks noChangeAspect="1" noChangeArrowheads="1"/>
        </xdr:cNvPicPr>
      </xdr:nvPicPr>
      <xdr:blipFill>
        <a:blip xmlns:r="http://schemas.openxmlformats.org/officeDocument/2006/relationships" r:embed="rId1" cstate="print"/>
        <a:srcRect/>
        <a:stretch>
          <a:fillRect/>
        </a:stretch>
      </xdr:blipFill>
      <xdr:spPr bwMode="auto">
        <a:xfrm>
          <a:off x="28575" y="239506125"/>
          <a:ext cx="1514475" cy="571500"/>
        </a:xfrm>
        <a:prstGeom prst="rect">
          <a:avLst/>
        </a:prstGeom>
        <a:noFill/>
        <a:ln w="9525">
          <a:noFill/>
          <a:miter lim="800000"/>
          <a:headEnd/>
          <a:tailEnd/>
        </a:ln>
      </xdr:spPr>
    </xdr:pic>
    <xdr:clientData/>
  </xdr:twoCellAnchor>
  <xdr:twoCellAnchor>
    <xdr:from>
      <xdr:col>0</xdr:col>
      <xdr:colOff>28575</xdr:colOff>
      <xdr:row>1530</xdr:row>
      <xdr:rowOff>19050</xdr:rowOff>
    </xdr:from>
    <xdr:to>
      <xdr:col>4</xdr:col>
      <xdr:colOff>19050</xdr:colOff>
      <xdr:row>1533</xdr:row>
      <xdr:rowOff>104775</xdr:rowOff>
    </xdr:to>
    <xdr:pic>
      <xdr:nvPicPr>
        <xdr:cNvPr id="14367" name="Picture 5031" descr="nctta_banner2_sm"/>
        <xdr:cNvPicPr>
          <a:picLocks noChangeAspect="1" noChangeArrowheads="1"/>
        </xdr:cNvPicPr>
      </xdr:nvPicPr>
      <xdr:blipFill>
        <a:blip xmlns:r="http://schemas.openxmlformats.org/officeDocument/2006/relationships" r:embed="rId1" cstate="print"/>
        <a:srcRect/>
        <a:stretch>
          <a:fillRect/>
        </a:stretch>
      </xdr:blipFill>
      <xdr:spPr bwMode="auto">
        <a:xfrm>
          <a:off x="28575" y="247764300"/>
          <a:ext cx="1514475" cy="571500"/>
        </a:xfrm>
        <a:prstGeom prst="rect">
          <a:avLst/>
        </a:prstGeom>
        <a:noFill/>
        <a:ln w="9525">
          <a:noFill/>
          <a:miter lim="800000"/>
          <a:headEnd/>
          <a:tailEnd/>
        </a:ln>
      </xdr:spPr>
    </xdr:pic>
    <xdr:clientData/>
  </xdr:twoCellAnchor>
  <xdr:twoCellAnchor>
    <xdr:from>
      <xdr:col>0</xdr:col>
      <xdr:colOff>28575</xdr:colOff>
      <xdr:row>1581</xdr:row>
      <xdr:rowOff>19050</xdr:rowOff>
    </xdr:from>
    <xdr:to>
      <xdr:col>4</xdr:col>
      <xdr:colOff>19050</xdr:colOff>
      <xdr:row>1584</xdr:row>
      <xdr:rowOff>104775</xdr:rowOff>
    </xdr:to>
    <xdr:pic>
      <xdr:nvPicPr>
        <xdr:cNvPr id="14368" name="Picture 5033" descr="nctta_banner2_sm"/>
        <xdr:cNvPicPr>
          <a:picLocks noChangeAspect="1" noChangeArrowheads="1"/>
        </xdr:cNvPicPr>
      </xdr:nvPicPr>
      <xdr:blipFill>
        <a:blip xmlns:r="http://schemas.openxmlformats.org/officeDocument/2006/relationships" r:embed="rId1" cstate="print"/>
        <a:srcRect/>
        <a:stretch>
          <a:fillRect/>
        </a:stretch>
      </xdr:blipFill>
      <xdr:spPr bwMode="auto">
        <a:xfrm>
          <a:off x="28575" y="256022475"/>
          <a:ext cx="1514475" cy="571500"/>
        </a:xfrm>
        <a:prstGeom prst="rect">
          <a:avLst/>
        </a:prstGeom>
        <a:noFill/>
        <a:ln w="9525">
          <a:noFill/>
          <a:miter lim="800000"/>
          <a:headEnd/>
          <a:tailEnd/>
        </a:ln>
      </xdr:spPr>
    </xdr:pic>
    <xdr:clientData/>
  </xdr:twoCellAnchor>
  <xdr:twoCellAnchor>
    <xdr:from>
      <xdr:col>0</xdr:col>
      <xdr:colOff>28575</xdr:colOff>
      <xdr:row>1632</xdr:row>
      <xdr:rowOff>19050</xdr:rowOff>
    </xdr:from>
    <xdr:to>
      <xdr:col>4</xdr:col>
      <xdr:colOff>19050</xdr:colOff>
      <xdr:row>1635</xdr:row>
      <xdr:rowOff>104775</xdr:rowOff>
    </xdr:to>
    <xdr:pic>
      <xdr:nvPicPr>
        <xdr:cNvPr id="14369" name="Picture 5087" descr="nctta_banner2_sm"/>
        <xdr:cNvPicPr>
          <a:picLocks noChangeAspect="1" noChangeArrowheads="1"/>
        </xdr:cNvPicPr>
      </xdr:nvPicPr>
      <xdr:blipFill>
        <a:blip xmlns:r="http://schemas.openxmlformats.org/officeDocument/2006/relationships" r:embed="rId1" cstate="print"/>
        <a:srcRect/>
        <a:stretch>
          <a:fillRect/>
        </a:stretch>
      </xdr:blipFill>
      <xdr:spPr bwMode="auto">
        <a:xfrm>
          <a:off x="28575" y="264280650"/>
          <a:ext cx="1514475" cy="571500"/>
        </a:xfrm>
        <a:prstGeom prst="rect">
          <a:avLst/>
        </a:prstGeom>
        <a:noFill/>
        <a:ln w="9525">
          <a:noFill/>
          <a:miter lim="800000"/>
          <a:headEnd/>
          <a:tailEnd/>
        </a:ln>
      </xdr:spPr>
    </xdr:pic>
    <xdr:clientData/>
  </xdr:twoCellAnchor>
  <xdr:twoCellAnchor>
    <xdr:from>
      <xdr:col>0</xdr:col>
      <xdr:colOff>28575</xdr:colOff>
      <xdr:row>1683</xdr:row>
      <xdr:rowOff>19050</xdr:rowOff>
    </xdr:from>
    <xdr:to>
      <xdr:col>4</xdr:col>
      <xdr:colOff>19050</xdr:colOff>
      <xdr:row>1686</xdr:row>
      <xdr:rowOff>104775</xdr:rowOff>
    </xdr:to>
    <xdr:pic>
      <xdr:nvPicPr>
        <xdr:cNvPr id="14370" name="Picture 5089" descr="nctta_banner2_sm"/>
        <xdr:cNvPicPr>
          <a:picLocks noChangeAspect="1" noChangeArrowheads="1"/>
        </xdr:cNvPicPr>
      </xdr:nvPicPr>
      <xdr:blipFill>
        <a:blip xmlns:r="http://schemas.openxmlformats.org/officeDocument/2006/relationships" r:embed="rId1" cstate="print"/>
        <a:srcRect/>
        <a:stretch>
          <a:fillRect/>
        </a:stretch>
      </xdr:blipFill>
      <xdr:spPr bwMode="auto">
        <a:xfrm>
          <a:off x="28575" y="272538825"/>
          <a:ext cx="1514475" cy="571500"/>
        </a:xfrm>
        <a:prstGeom prst="rect">
          <a:avLst/>
        </a:prstGeom>
        <a:noFill/>
        <a:ln w="9525">
          <a:noFill/>
          <a:miter lim="800000"/>
          <a:headEnd/>
          <a:tailEnd/>
        </a:ln>
      </xdr:spPr>
    </xdr:pic>
    <xdr:clientData/>
  </xdr:twoCellAnchor>
  <xdr:twoCellAnchor>
    <xdr:from>
      <xdr:col>0</xdr:col>
      <xdr:colOff>28575</xdr:colOff>
      <xdr:row>1734</xdr:row>
      <xdr:rowOff>19050</xdr:rowOff>
    </xdr:from>
    <xdr:to>
      <xdr:col>4</xdr:col>
      <xdr:colOff>19050</xdr:colOff>
      <xdr:row>1737</xdr:row>
      <xdr:rowOff>104775</xdr:rowOff>
    </xdr:to>
    <xdr:pic>
      <xdr:nvPicPr>
        <xdr:cNvPr id="14371" name="Picture 5143" descr="nctta_banner2_sm"/>
        <xdr:cNvPicPr>
          <a:picLocks noChangeAspect="1" noChangeArrowheads="1"/>
        </xdr:cNvPicPr>
      </xdr:nvPicPr>
      <xdr:blipFill>
        <a:blip xmlns:r="http://schemas.openxmlformats.org/officeDocument/2006/relationships" r:embed="rId1" cstate="print"/>
        <a:srcRect/>
        <a:stretch>
          <a:fillRect/>
        </a:stretch>
      </xdr:blipFill>
      <xdr:spPr bwMode="auto">
        <a:xfrm>
          <a:off x="28575" y="280797000"/>
          <a:ext cx="1514475" cy="571500"/>
        </a:xfrm>
        <a:prstGeom prst="rect">
          <a:avLst/>
        </a:prstGeom>
        <a:noFill/>
        <a:ln w="9525">
          <a:noFill/>
          <a:miter lim="800000"/>
          <a:headEnd/>
          <a:tailEnd/>
        </a:ln>
      </xdr:spPr>
    </xdr:pic>
    <xdr:clientData/>
  </xdr:twoCellAnchor>
  <xdr:twoCellAnchor>
    <xdr:from>
      <xdr:col>0</xdr:col>
      <xdr:colOff>28575</xdr:colOff>
      <xdr:row>1785</xdr:row>
      <xdr:rowOff>19050</xdr:rowOff>
    </xdr:from>
    <xdr:to>
      <xdr:col>4</xdr:col>
      <xdr:colOff>19050</xdr:colOff>
      <xdr:row>1788</xdr:row>
      <xdr:rowOff>104775</xdr:rowOff>
    </xdr:to>
    <xdr:pic>
      <xdr:nvPicPr>
        <xdr:cNvPr id="14372" name="Picture 5145" descr="nctta_banner2_sm"/>
        <xdr:cNvPicPr>
          <a:picLocks noChangeAspect="1" noChangeArrowheads="1"/>
        </xdr:cNvPicPr>
      </xdr:nvPicPr>
      <xdr:blipFill>
        <a:blip xmlns:r="http://schemas.openxmlformats.org/officeDocument/2006/relationships" r:embed="rId1" cstate="print"/>
        <a:srcRect/>
        <a:stretch>
          <a:fillRect/>
        </a:stretch>
      </xdr:blipFill>
      <xdr:spPr bwMode="auto">
        <a:xfrm>
          <a:off x="28575" y="289055175"/>
          <a:ext cx="1514475" cy="571500"/>
        </a:xfrm>
        <a:prstGeom prst="rect">
          <a:avLst/>
        </a:prstGeom>
        <a:noFill/>
        <a:ln w="9525">
          <a:noFill/>
          <a:miter lim="800000"/>
          <a:headEnd/>
          <a:tailEnd/>
        </a:ln>
      </xdr:spPr>
    </xdr:pic>
    <xdr:clientData/>
  </xdr:twoCellAnchor>
  <xdr:twoCellAnchor>
    <xdr:from>
      <xdr:col>0</xdr:col>
      <xdr:colOff>28575</xdr:colOff>
      <xdr:row>1836</xdr:row>
      <xdr:rowOff>19050</xdr:rowOff>
    </xdr:from>
    <xdr:to>
      <xdr:col>4</xdr:col>
      <xdr:colOff>19050</xdr:colOff>
      <xdr:row>1839</xdr:row>
      <xdr:rowOff>104775</xdr:rowOff>
    </xdr:to>
    <xdr:pic>
      <xdr:nvPicPr>
        <xdr:cNvPr id="14373" name="Picture 5199" descr="nctta_banner2_sm"/>
        <xdr:cNvPicPr>
          <a:picLocks noChangeAspect="1" noChangeArrowheads="1"/>
        </xdr:cNvPicPr>
      </xdr:nvPicPr>
      <xdr:blipFill>
        <a:blip xmlns:r="http://schemas.openxmlformats.org/officeDocument/2006/relationships" r:embed="rId1" cstate="print"/>
        <a:srcRect/>
        <a:stretch>
          <a:fillRect/>
        </a:stretch>
      </xdr:blipFill>
      <xdr:spPr bwMode="auto">
        <a:xfrm>
          <a:off x="28575" y="297313350"/>
          <a:ext cx="1514475" cy="571500"/>
        </a:xfrm>
        <a:prstGeom prst="rect">
          <a:avLst/>
        </a:prstGeom>
        <a:noFill/>
        <a:ln w="9525">
          <a:noFill/>
          <a:miter lim="800000"/>
          <a:headEnd/>
          <a:tailEnd/>
        </a:ln>
      </xdr:spPr>
    </xdr:pic>
    <xdr:clientData/>
  </xdr:twoCellAnchor>
  <xdr:twoCellAnchor>
    <xdr:from>
      <xdr:col>0</xdr:col>
      <xdr:colOff>28575</xdr:colOff>
      <xdr:row>1887</xdr:row>
      <xdr:rowOff>19050</xdr:rowOff>
    </xdr:from>
    <xdr:to>
      <xdr:col>4</xdr:col>
      <xdr:colOff>19050</xdr:colOff>
      <xdr:row>1890</xdr:row>
      <xdr:rowOff>104775</xdr:rowOff>
    </xdr:to>
    <xdr:pic>
      <xdr:nvPicPr>
        <xdr:cNvPr id="14374" name="Picture 5201" descr="nctta_banner2_sm"/>
        <xdr:cNvPicPr>
          <a:picLocks noChangeAspect="1" noChangeArrowheads="1"/>
        </xdr:cNvPicPr>
      </xdr:nvPicPr>
      <xdr:blipFill>
        <a:blip xmlns:r="http://schemas.openxmlformats.org/officeDocument/2006/relationships" r:embed="rId1" cstate="print"/>
        <a:srcRect/>
        <a:stretch>
          <a:fillRect/>
        </a:stretch>
      </xdr:blipFill>
      <xdr:spPr bwMode="auto">
        <a:xfrm>
          <a:off x="28575" y="305571525"/>
          <a:ext cx="1514475" cy="571500"/>
        </a:xfrm>
        <a:prstGeom prst="rect">
          <a:avLst/>
        </a:prstGeom>
        <a:noFill/>
        <a:ln w="9525">
          <a:noFill/>
          <a:miter lim="800000"/>
          <a:headEnd/>
          <a:tailEnd/>
        </a:ln>
      </xdr:spPr>
    </xdr:pic>
    <xdr:clientData/>
  </xdr:twoCellAnchor>
  <xdr:twoCellAnchor>
    <xdr:from>
      <xdr:col>0</xdr:col>
      <xdr:colOff>28575</xdr:colOff>
      <xdr:row>1938</xdr:row>
      <xdr:rowOff>19050</xdr:rowOff>
    </xdr:from>
    <xdr:to>
      <xdr:col>4</xdr:col>
      <xdr:colOff>19050</xdr:colOff>
      <xdr:row>1941</xdr:row>
      <xdr:rowOff>104775</xdr:rowOff>
    </xdr:to>
    <xdr:pic>
      <xdr:nvPicPr>
        <xdr:cNvPr id="14375" name="Picture 5255" descr="nctta_banner2_sm"/>
        <xdr:cNvPicPr>
          <a:picLocks noChangeAspect="1" noChangeArrowheads="1"/>
        </xdr:cNvPicPr>
      </xdr:nvPicPr>
      <xdr:blipFill>
        <a:blip xmlns:r="http://schemas.openxmlformats.org/officeDocument/2006/relationships" r:embed="rId1" cstate="print"/>
        <a:srcRect/>
        <a:stretch>
          <a:fillRect/>
        </a:stretch>
      </xdr:blipFill>
      <xdr:spPr bwMode="auto">
        <a:xfrm>
          <a:off x="28575" y="313829700"/>
          <a:ext cx="1514475" cy="571500"/>
        </a:xfrm>
        <a:prstGeom prst="rect">
          <a:avLst/>
        </a:prstGeom>
        <a:noFill/>
        <a:ln w="9525">
          <a:noFill/>
          <a:miter lim="800000"/>
          <a:headEnd/>
          <a:tailEnd/>
        </a:ln>
      </xdr:spPr>
    </xdr:pic>
    <xdr:clientData/>
  </xdr:twoCellAnchor>
  <xdr:twoCellAnchor>
    <xdr:from>
      <xdr:col>0</xdr:col>
      <xdr:colOff>28575</xdr:colOff>
      <xdr:row>1989</xdr:row>
      <xdr:rowOff>19050</xdr:rowOff>
    </xdr:from>
    <xdr:to>
      <xdr:col>4</xdr:col>
      <xdr:colOff>19050</xdr:colOff>
      <xdr:row>1992</xdr:row>
      <xdr:rowOff>104775</xdr:rowOff>
    </xdr:to>
    <xdr:pic>
      <xdr:nvPicPr>
        <xdr:cNvPr id="14376" name="Picture 5257" descr="nctta_banner2_sm"/>
        <xdr:cNvPicPr>
          <a:picLocks noChangeAspect="1" noChangeArrowheads="1"/>
        </xdr:cNvPicPr>
      </xdr:nvPicPr>
      <xdr:blipFill>
        <a:blip xmlns:r="http://schemas.openxmlformats.org/officeDocument/2006/relationships" r:embed="rId1" cstate="print"/>
        <a:srcRect/>
        <a:stretch>
          <a:fillRect/>
        </a:stretch>
      </xdr:blipFill>
      <xdr:spPr bwMode="auto">
        <a:xfrm>
          <a:off x="28575" y="322087875"/>
          <a:ext cx="1514475" cy="571500"/>
        </a:xfrm>
        <a:prstGeom prst="rect">
          <a:avLst/>
        </a:prstGeom>
        <a:noFill/>
        <a:ln w="9525">
          <a:noFill/>
          <a:miter lim="800000"/>
          <a:headEnd/>
          <a:tailEnd/>
        </a:ln>
      </xdr:spPr>
    </xdr:pic>
    <xdr:clientData/>
  </xdr:twoCellAnchor>
  <xdr:twoCellAnchor>
    <xdr:from>
      <xdr:col>0</xdr:col>
      <xdr:colOff>28575</xdr:colOff>
      <xdr:row>2040</xdr:row>
      <xdr:rowOff>19050</xdr:rowOff>
    </xdr:from>
    <xdr:to>
      <xdr:col>4</xdr:col>
      <xdr:colOff>19050</xdr:colOff>
      <xdr:row>2043</xdr:row>
      <xdr:rowOff>104775</xdr:rowOff>
    </xdr:to>
    <xdr:pic>
      <xdr:nvPicPr>
        <xdr:cNvPr id="14377" name="Picture 5311" descr="nctta_banner2_sm"/>
        <xdr:cNvPicPr>
          <a:picLocks noChangeAspect="1" noChangeArrowheads="1"/>
        </xdr:cNvPicPr>
      </xdr:nvPicPr>
      <xdr:blipFill>
        <a:blip xmlns:r="http://schemas.openxmlformats.org/officeDocument/2006/relationships" r:embed="rId1" cstate="print"/>
        <a:srcRect/>
        <a:stretch>
          <a:fillRect/>
        </a:stretch>
      </xdr:blipFill>
      <xdr:spPr bwMode="auto">
        <a:xfrm>
          <a:off x="28575" y="330346050"/>
          <a:ext cx="1514475" cy="571500"/>
        </a:xfrm>
        <a:prstGeom prst="rect">
          <a:avLst/>
        </a:prstGeom>
        <a:noFill/>
        <a:ln w="9525">
          <a:noFill/>
          <a:miter lim="800000"/>
          <a:headEnd/>
          <a:tailEnd/>
        </a:ln>
      </xdr:spPr>
    </xdr:pic>
    <xdr:clientData/>
  </xdr:twoCellAnchor>
  <xdr:twoCellAnchor>
    <xdr:from>
      <xdr:col>0</xdr:col>
      <xdr:colOff>28575</xdr:colOff>
      <xdr:row>2091</xdr:row>
      <xdr:rowOff>19050</xdr:rowOff>
    </xdr:from>
    <xdr:to>
      <xdr:col>4</xdr:col>
      <xdr:colOff>19050</xdr:colOff>
      <xdr:row>2094</xdr:row>
      <xdr:rowOff>104775</xdr:rowOff>
    </xdr:to>
    <xdr:pic>
      <xdr:nvPicPr>
        <xdr:cNvPr id="14378" name="Picture 5313" descr="nctta_banner2_sm"/>
        <xdr:cNvPicPr>
          <a:picLocks noChangeAspect="1" noChangeArrowheads="1"/>
        </xdr:cNvPicPr>
      </xdr:nvPicPr>
      <xdr:blipFill>
        <a:blip xmlns:r="http://schemas.openxmlformats.org/officeDocument/2006/relationships" r:embed="rId1" cstate="print"/>
        <a:srcRect/>
        <a:stretch>
          <a:fillRect/>
        </a:stretch>
      </xdr:blipFill>
      <xdr:spPr bwMode="auto">
        <a:xfrm>
          <a:off x="28575" y="338604225"/>
          <a:ext cx="1514475" cy="571500"/>
        </a:xfrm>
        <a:prstGeom prst="rect">
          <a:avLst/>
        </a:prstGeom>
        <a:noFill/>
        <a:ln w="9525">
          <a:noFill/>
          <a:miter lim="800000"/>
          <a:headEnd/>
          <a:tailEnd/>
        </a:ln>
      </xdr:spPr>
    </xdr:pic>
    <xdr:clientData/>
  </xdr:twoCellAnchor>
  <xdr:twoCellAnchor>
    <xdr:from>
      <xdr:col>0</xdr:col>
      <xdr:colOff>28575</xdr:colOff>
      <xdr:row>2142</xdr:row>
      <xdr:rowOff>19050</xdr:rowOff>
    </xdr:from>
    <xdr:to>
      <xdr:col>4</xdr:col>
      <xdr:colOff>19050</xdr:colOff>
      <xdr:row>2145</xdr:row>
      <xdr:rowOff>104775</xdr:rowOff>
    </xdr:to>
    <xdr:pic>
      <xdr:nvPicPr>
        <xdr:cNvPr id="14379" name="Picture 5367" descr="nctta_banner2_sm"/>
        <xdr:cNvPicPr>
          <a:picLocks noChangeAspect="1" noChangeArrowheads="1"/>
        </xdr:cNvPicPr>
      </xdr:nvPicPr>
      <xdr:blipFill>
        <a:blip xmlns:r="http://schemas.openxmlformats.org/officeDocument/2006/relationships" r:embed="rId1" cstate="print"/>
        <a:srcRect/>
        <a:stretch>
          <a:fillRect/>
        </a:stretch>
      </xdr:blipFill>
      <xdr:spPr bwMode="auto">
        <a:xfrm>
          <a:off x="28575" y="346862400"/>
          <a:ext cx="1514475" cy="571500"/>
        </a:xfrm>
        <a:prstGeom prst="rect">
          <a:avLst/>
        </a:prstGeom>
        <a:noFill/>
        <a:ln w="9525">
          <a:noFill/>
          <a:miter lim="800000"/>
          <a:headEnd/>
          <a:tailEnd/>
        </a:ln>
      </xdr:spPr>
    </xdr:pic>
    <xdr:clientData/>
  </xdr:twoCellAnchor>
  <xdr:twoCellAnchor>
    <xdr:from>
      <xdr:col>0</xdr:col>
      <xdr:colOff>28575</xdr:colOff>
      <xdr:row>2193</xdr:row>
      <xdr:rowOff>19050</xdr:rowOff>
    </xdr:from>
    <xdr:to>
      <xdr:col>4</xdr:col>
      <xdr:colOff>19050</xdr:colOff>
      <xdr:row>2196</xdr:row>
      <xdr:rowOff>104775</xdr:rowOff>
    </xdr:to>
    <xdr:pic>
      <xdr:nvPicPr>
        <xdr:cNvPr id="14380" name="Picture 5369" descr="nctta_banner2_sm"/>
        <xdr:cNvPicPr>
          <a:picLocks noChangeAspect="1" noChangeArrowheads="1"/>
        </xdr:cNvPicPr>
      </xdr:nvPicPr>
      <xdr:blipFill>
        <a:blip xmlns:r="http://schemas.openxmlformats.org/officeDocument/2006/relationships" r:embed="rId1" cstate="print"/>
        <a:srcRect/>
        <a:stretch>
          <a:fillRect/>
        </a:stretch>
      </xdr:blipFill>
      <xdr:spPr bwMode="auto">
        <a:xfrm>
          <a:off x="28575" y="355120575"/>
          <a:ext cx="1514475" cy="571500"/>
        </a:xfrm>
        <a:prstGeom prst="rect">
          <a:avLst/>
        </a:prstGeom>
        <a:noFill/>
        <a:ln w="9525">
          <a:noFill/>
          <a:miter lim="800000"/>
          <a:headEnd/>
          <a:tailEnd/>
        </a:ln>
      </xdr:spPr>
    </xdr:pic>
    <xdr:clientData/>
  </xdr:twoCellAnchor>
  <xdr:twoCellAnchor>
    <xdr:from>
      <xdr:col>0</xdr:col>
      <xdr:colOff>28575</xdr:colOff>
      <xdr:row>2244</xdr:row>
      <xdr:rowOff>19050</xdr:rowOff>
    </xdr:from>
    <xdr:to>
      <xdr:col>4</xdr:col>
      <xdr:colOff>19050</xdr:colOff>
      <xdr:row>2247</xdr:row>
      <xdr:rowOff>104775</xdr:rowOff>
    </xdr:to>
    <xdr:pic>
      <xdr:nvPicPr>
        <xdr:cNvPr id="14381" name="Picture 5423" descr="nctta_banner2_sm"/>
        <xdr:cNvPicPr>
          <a:picLocks noChangeAspect="1" noChangeArrowheads="1"/>
        </xdr:cNvPicPr>
      </xdr:nvPicPr>
      <xdr:blipFill>
        <a:blip xmlns:r="http://schemas.openxmlformats.org/officeDocument/2006/relationships" r:embed="rId1" cstate="print"/>
        <a:srcRect/>
        <a:stretch>
          <a:fillRect/>
        </a:stretch>
      </xdr:blipFill>
      <xdr:spPr bwMode="auto">
        <a:xfrm>
          <a:off x="28575" y="363378750"/>
          <a:ext cx="1514475" cy="571500"/>
        </a:xfrm>
        <a:prstGeom prst="rect">
          <a:avLst/>
        </a:prstGeom>
        <a:noFill/>
        <a:ln w="9525">
          <a:noFill/>
          <a:miter lim="800000"/>
          <a:headEnd/>
          <a:tailEnd/>
        </a:ln>
      </xdr:spPr>
    </xdr:pic>
    <xdr:clientData/>
  </xdr:twoCellAnchor>
  <xdr:twoCellAnchor>
    <xdr:from>
      <xdr:col>0</xdr:col>
      <xdr:colOff>28575</xdr:colOff>
      <xdr:row>2295</xdr:row>
      <xdr:rowOff>19050</xdr:rowOff>
    </xdr:from>
    <xdr:to>
      <xdr:col>4</xdr:col>
      <xdr:colOff>19050</xdr:colOff>
      <xdr:row>2298</xdr:row>
      <xdr:rowOff>104775</xdr:rowOff>
    </xdr:to>
    <xdr:pic>
      <xdr:nvPicPr>
        <xdr:cNvPr id="14382" name="Picture 5425" descr="nctta_banner2_sm"/>
        <xdr:cNvPicPr>
          <a:picLocks noChangeAspect="1" noChangeArrowheads="1"/>
        </xdr:cNvPicPr>
      </xdr:nvPicPr>
      <xdr:blipFill>
        <a:blip xmlns:r="http://schemas.openxmlformats.org/officeDocument/2006/relationships" r:embed="rId1" cstate="print"/>
        <a:srcRect/>
        <a:stretch>
          <a:fillRect/>
        </a:stretch>
      </xdr:blipFill>
      <xdr:spPr bwMode="auto">
        <a:xfrm>
          <a:off x="28575" y="371636925"/>
          <a:ext cx="1514475" cy="571500"/>
        </a:xfrm>
        <a:prstGeom prst="rect">
          <a:avLst/>
        </a:prstGeom>
        <a:noFill/>
        <a:ln w="9525">
          <a:noFill/>
          <a:miter lim="800000"/>
          <a:headEnd/>
          <a:tailEnd/>
        </a:ln>
      </xdr:spPr>
    </xdr:pic>
    <xdr:clientData/>
  </xdr:twoCellAnchor>
  <xdr:twoCellAnchor>
    <xdr:from>
      <xdr:col>0</xdr:col>
      <xdr:colOff>28575</xdr:colOff>
      <xdr:row>2346</xdr:row>
      <xdr:rowOff>19050</xdr:rowOff>
    </xdr:from>
    <xdr:to>
      <xdr:col>4</xdr:col>
      <xdr:colOff>19050</xdr:colOff>
      <xdr:row>2349</xdr:row>
      <xdr:rowOff>104775</xdr:rowOff>
    </xdr:to>
    <xdr:pic>
      <xdr:nvPicPr>
        <xdr:cNvPr id="14383" name="Picture 5479" descr="nctta_banner2_sm"/>
        <xdr:cNvPicPr>
          <a:picLocks noChangeAspect="1" noChangeArrowheads="1"/>
        </xdr:cNvPicPr>
      </xdr:nvPicPr>
      <xdr:blipFill>
        <a:blip xmlns:r="http://schemas.openxmlformats.org/officeDocument/2006/relationships" r:embed="rId1" cstate="print"/>
        <a:srcRect/>
        <a:stretch>
          <a:fillRect/>
        </a:stretch>
      </xdr:blipFill>
      <xdr:spPr bwMode="auto">
        <a:xfrm>
          <a:off x="28575" y="379895100"/>
          <a:ext cx="1514475" cy="571500"/>
        </a:xfrm>
        <a:prstGeom prst="rect">
          <a:avLst/>
        </a:prstGeom>
        <a:noFill/>
        <a:ln w="9525">
          <a:noFill/>
          <a:miter lim="800000"/>
          <a:headEnd/>
          <a:tailEnd/>
        </a:ln>
      </xdr:spPr>
    </xdr:pic>
    <xdr:clientData/>
  </xdr:twoCellAnchor>
  <xdr:twoCellAnchor>
    <xdr:from>
      <xdr:col>0</xdr:col>
      <xdr:colOff>28575</xdr:colOff>
      <xdr:row>2397</xdr:row>
      <xdr:rowOff>19050</xdr:rowOff>
    </xdr:from>
    <xdr:to>
      <xdr:col>4</xdr:col>
      <xdr:colOff>19050</xdr:colOff>
      <xdr:row>2400</xdr:row>
      <xdr:rowOff>104775</xdr:rowOff>
    </xdr:to>
    <xdr:pic>
      <xdr:nvPicPr>
        <xdr:cNvPr id="14384" name="Picture 5481" descr="nctta_banner2_sm"/>
        <xdr:cNvPicPr>
          <a:picLocks noChangeAspect="1" noChangeArrowheads="1"/>
        </xdr:cNvPicPr>
      </xdr:nvPicPr>
      <xdr:blipFill>
        <a:blip xmlns:r="http://schemas.openxmlformats.org/officeDocument/2006/relationships" r:embed="rId1" cstate="print"/>
        <a:srcRect/>
        <a:stretch>
          <a:fillRect/>
        </a:stretch>
      </xdr:blipFill>
      <xdr:spPr bwMode="auto">
        <a:xfrm>
          <a:off x="28575" y="388153275"/>
          <a:ext cx="1514475" cy="571500"/>
        </a:xfrm>
        <a:prstGeom prst="rect">
          <a:avLst/>
        </a:prstGeom>
        <a:noFill/>
        <a:ln w="9525">
          <a:noFill/>
          <a:miter lim="800000"/>
          <a:headEnd/>
          <a:tailEnd/>
        </a:ln>
      </xdr:spPr>
    </xdr:pic>
    <xdr:clientData/>
  </xdr:twoCellAnchor>
  <xdr:twoCellAnchor>
    <xdr:from>
      <xdr:col>0</xdr:col>
      <xdr:colOff>28575</xdr:colOff>
      <xdr:row>2448</xdr:row>
      <xdr:rowOff>19050</xdr:rowOff>
    </xdr:from>
    <xdr:to>
      <xdr:col>4</xdr:col>
      <xdr:colOff>19050</xdr:colOff>
      <xdr:row>2451</xdr:row>
      <xdr:rowOff>104775</xdr:rowOff>
    </xdr:to>
    <xdr:pic>
      <xdr:nvPicPr>
        <xdr:cNvPr id="14385" name="Picture 5535" descr="nctta_banner2_sm"/>
        <xdr:cNvPicPr>
          <a:picLocks noChangeAspect="1" noChangeArrowheads="1"/>
        </xdr:cNvPicPr>
      </xdr:nvPicPr>
      <xdr:blipFill>
        <a:blip xmlns:r="http://schemas.openxmlformats.org/officeDocument/2006/relationships" r:embed="rId1" cstate="print"/>
        <a:srcRect/>
        <a:stretch>
          <a:fillRect/>
        </a:stretch>
      </xdr:blipFill>
      <xdr:spPr bwMode="auto">
        <a:xfrm>
          <a:off x="28575" y="396411450"/>
          <a:ext cx="1514475" cy="571500"/>
        </a:xfrm>
        <a:prstGeom prst="rect">
          <a:avLst/>
        </a:prstGeom>
        <a:noFill/>
        <a:ln w="9525">
          <a:noFill/>
          <a:miter lim="800000"/>
          <a:headEnd/>
          <a:tailEnd/>
        </a:ln>
      </xdr:spPr>
    </xdr:pic>
    <xdr:clientData/>
  </xdr:twoCellAnchor>
  <xdr:twoCellAnchor>
    <xdr:from>
      <xdr:col>0</xdr:col>
      <xdr:colOff>28575</xdr:colOff>
      <xdr:row>2499</xdr:row>
      <xdr:rowOff>19050</xdr:rowOff>
    </xdr:from>
    <xdr:to>
      <xdr:col>4</xdr:col>
      <xdr:colOff>19050</xdr:colOff>
      <xdr:row>2502</xdr:row>
      <xdr:rowOff>104775</xdr:rowOff>
    </xdr:to>
    <xdr:pic>
      <xdr:nvPicPr>
        <xdr:cNvPr id="14386" name="Picture 5537" descr="nctta_banner2_sm"/>
        <xdr:cNvPicPr>
          <a:picLocks noChangeAspect="1" noChangeArrowheads="1"/>
        </xdr:cNvPicPr>
      </xdr:nvPicPr>
      <xdr:blipFill>
        <a:blip xmlns:r="http://schemas.openxmlformats.org/officeDocument/2006/relationships" r:embed="rId1" cstate="print"/>
        <a:srcRect/>
        <a:stretch>
          <a:fillRect/>
        </a:stretch>
      </xdr:blipFill>
      <xdr:spPr bwMode="auto">
        <a:xfrm>
          <a:off x="28575" y="404669625"/>
          <a:ext cx="1514475" cy="571500"/>
        </a:xfrm>
        <a:prstGeom prst="rect">
          <a:avLst/>
        </a:prstGeom>
        <a:noFill/>
        <a:ln w="9525">
          <a:noFill/>
          <a:miter lim="800000"/>
          <a:headEnd/>
          <a:tailEnd/>
        </a:ln>
      </xdr:spPr>
    </xdr:pic>
    <xdr:clientData/>
  </xdr:twoCellAnchor>
  <xdr:twoCellAnchor>
    <xdr:from>
      <xdr:col>0</xdr:col>
      <xdr:colOff>28575</xdr:colOff>
      <xdr:row>2550</xdr:row>
      <xdr:rowOff>19050</xdr:rowOff>
    </xdr:from>
    <xdr:to>
      <xdr:col>4</xdr:col>
      <xdr:colOff>19050</xdr:colOff>
      <xdr:row>2553</xdr:row>
      <xdr:rowOff>104775</xdr:rowOff>
    </xdr:to>
    <xdr:pic>
      <xdr:nvPicPr>
        <xdr:cNvPr id="14387" name="Picture 5591" descr="nctta_banner2_sm"/>
        <xdr:cNvPicPr>
          <a:picLocks noChangeAspect="1" noChangeArrowheads="1"/>
        </xdr:cNvPicPr>
      </xdr:nvPicPr>
      <xdr:blipFill>
        <a:blip xmlns:r="http://schemas.openxmlformats.org/officeDocument/2006/relationships" r:embed="rId1" cstate="print"/>
        <a:srcRect/>
        <a:stretch>
          <a:fillRect/>
        </a:stretch>
      </xdr:blipFill>
      <xdr:spPr bwMode="auto">
        <a:xfrm>
          <a:off x="28575" y="412927800"/>
          <a:ext cx="1514475" cy="571500"/>
        </a:xfrm>
        <a:prstGeom prst="rect">
          <a:avLst/>
        </a:prstGeom>
        <a:noFill/>
        <a:ln w="9525">
          <a:noFill/>
          <a:miter lim="800000"/>
          <a:headEnd/>
          <a:tailEnd/>
        </a:ln>
      </xdr:spPr>
    </xdr:pic>
    <xdr:clientData/>
  </xdr:twoCellAnchor>
  <xdr:twoCellAnchor>
    <xdr:from>
      <xdr:col>0</xdr:col>
      <xdr:colOff>28575</xdr:colOff>
      <xdr:row>2601</xdr:row>
      <xdr:rowOff>19050</xdr:rowOff>
    </xdr:from>
    <xdr:to>
      <xdr:col>4</xdr:col>
      <xdr:colOff>19050</xdr:colOff>
      <xdr:row>2604</xdr:row>
      <xdr:rowOff>104775</xdr:rowOff>
    </xdr:to>
    <xdr:pic>
      <xdr:nvPicPr>
        <xdr:cNvPr id="14388" name="Picture 5593" descr="nctta_banner2_sm"/>
        <xdr:cNvPicPr>
          <a:picLocks noChangeAspect="1" noChangeArrowheads="1"/>
        </xdr:cNvPicPr>
      </xdr:nvPicPr>
      <xdr:blipFill>
        <a:blip xmlns:r="http://schemas.openxmlformats.org/officeDocument/2006/relationships" r:embed="rId1" cstate="print"/>
        <a:srcRect/>
        <a:stretch>
          <a:fillRect/>
        </a:stretch>
      </xdr:blipFill>
      <xdr:spPr bwMode="auto">
        <a:xfrm>
          <a:off x="28575" y="421185975"/>
          <a:ext cx="1514475" cy="571500"/>
        </a:xfrm>
        <a:prstGeom prst="rect">
          <a:avLst/>
        </a:prstGeom>
        <a:noFill/>
        <a:ln w="9525">
          <a:noFill/>
          <a:miter lim="800000"/>
          <a:headEnd/>
          <a:tailEnd/>
        </a:ln>
      </xdr:spPr>
    </xdr:pic>
    <xdr:clientData/>
  </xdr:twoCellAnchor>
  <xdr:twoCellAnchor>
    <xdr:from>
      <xdr:col>0</xdr:col>
      <xdr:colOff>28575</xdr:colOff>
      <xdr:row>2652</xdr:row>
      <xdr:rowOff>19050</xdr:rowOff>
    </xdr:from>
    <xdr:to>
      <xdr:col>4</xdr:col>
      <xdr:colOff>19050</xdr:colOff>
      <xdr:row>2655</xdr:row>
      <xdr:rowOff>104775</xdr:rowOff>
    </xdr:to>
    <xdr:pic>
      <xdr:nvPicPr>
        <xdr:cNvPr id="14389" name="Picture 5647" descr="nctta_banner2_sm"/>
        <xdr:cNvPicPr>
          <a:picLocks noChangeAspect="1" noChangeArrowheads="1"/>
        </xdr:cNvPicPr>
      </xdr:nvPicPr>
      <xdr:blipFill>
        <a:blip xmlns:r="http://schemas.openxmlformats.org/officeDocument/2006/relationships" r:embed="rId1" cstate="print"/>
        <a:srcRect/>
        <a:stretch>
          <a:fillRect/>
        </a:stretch>
      </xdr:blipFill>
      <xdr:spPr bwMode="auto">
        <a:xfrm>
          <a:off x="28575" y="429444150"/>
          <a:ext cx="1514475" cy="571500"/>
        </a:xfrm>
        <a:prstGeom prst="rect">
          <a:avLst/>
        </a:prstGeom>
        <a:noFill/>
        <a:ln w="9525">
          <a:noFill/>
          <a:miter lim="800000"/>
          <a:headEnd/>
          <a:tailEnd/>
        </a:ln>
      </xdr:spPr>
    </xdr:pic>
    <xdr:clientData/>
  </xdr:twoCellAnchor>
  <xdr:twoCellAnchor>
    <xdr:from>
      <xdr:col>0</xdr:col>
      <xdr:colOff>28575</xdr:colOff>
      <xdr:row>2703</xdr:row>
      <xdr:rowOff>19050</xdr:rowOff>
    </xdr:from>
    <xdr:to>
      <xdr:col>4</xdr:col>
      <xdr:colOff>19050</xdr:colOff>
      <xdr:row>2706</xdr:row>
      <xdr:rowOff>104775</xdr:rowOff>
    </xdr:to>
    <xdr:pic>
      <xdr:nvPicPr>
        <xdr:cNvPr id="14390" name="Picture 5649" descr="nctta_banner2_sm"/>
        <xdr:cNvPicPr>
          <a:picLocks noChangeAspect="1" noChangeArrowheads="1"/>
        </xdr:cNvPicPr>
      </xdr:nvPicPr>
      <xdr:blipFill>
        <a:blip xmlns:r="http://schemas.openxmlformats.org/officeDocument/2006/relationships" r:embed="rId1" cstate="print"/>
        <a:srcRect/>
        <a:stretch>
          <a:fillRect/>
        </a:stretch>
      </xdr:blipFill>
      <xdr:spPr bwMode="auto">
        <a:xfrm>
          <a:off x="28575" y="437702325"/>
          <a:ext cx="1514475" cy="571500"/>
        </a:xfrm>
        <a:prstGeom prst="rect">
          <a:avLst/>
        </a:prstGeom>
        <a:noFill/>
        <a:ln w="9525">
          <a:noFill/>
          <a:miter lim="800000"/>
          <a:headEnd/>
          <a:tailEnd/>
        </a:ln>
      </xdr:spPr>
    </xdr:pic>
    <xdr:clientData/>
  </xdr:twoCellAnchor>
  <xdr:twoCellAnchor>
    <xdr:from>
      <xdr:col>0</xdr:col>
      <xdr:colOff>28575</xdr:colOff>
      <xdr:row>2754</xdr:row>
      <xdr:rowOff>19050</xdr:rowOff>
    </xdr:from>
    <xdr:to>
      <xdr:col>4</xdr:col>
      <xdr:colOff>19050</xdr:colOff>
      <xdr:row>2757</xdr:row>
      <xdr:rowOff>104775</xdr:rowOff>
    </xdr:to>
    <xdr:pic>
      <xdr:nvPicPr>
        <xdr:cNvPr id="14391" name="Picture 5703" descr="nctta_banner2_sm"/>
        <xdr:cNvPicPr>
          <a:picLocks noChangeAspect="1" noChangeArrowheads="1"/>
        </xdr:cNvPicPr>
      </xdr:nvPicPr>
      <xdr:blipFill>
        <a:blip xmlns:r="http://schemas.openxmlformats.org/officeDocument/2006/relationships" r:embed="rId1" cstate="print"/>
        <a:srcRect/>
        <a:stretch>
          <a:fillRect/>
        </a:stretch>
      </xdr:blipFill>
      <xdr:spPr bwMode="auto">
        <a:xfrm>
          <a:off x="28575" y="445960500"/>
          <a:ext cx="1514475" cy="571500"/>
        </a:xfrm>
        <a:prstGeom prst="rect">
          <a:avLst/>
        </a:prstGeom>
        <a:noFill/>
        <a:ln w="9525">
          <a:noFill/>
          <a:miter lim="800000"/>
          <a:headEnd/>
          <a:tailEnd/>
        </a:ln>
      </xdr:spPr>
    </xdr:pic>
    <xdr:clientData/>
  </xdr:twoCellAnchor>
  <xdr:twoCellAnchor>
    <xdr:from>
      <xdr:col>0</xdr:col>
      <xdr:colOff>28575</xdr:colOff>
      <xdr:row>2805</xdr:row>
      <xdr:rowOff>19050</xdr:rowOff>
    </xdr:from>
    <xdr:to>
      <xdr:col>4</xdr:col>
      <xdr:colOff>19050</xdr:colOff>
      <xdr:row>2808</xdr:row>
      <xdr:rowOff>104775</xdr:rowOff>
    </xdr:to>
    <xdr:pic>
      <xdr:nvPicPr>
        <xdr:cNvPr id="14392" name="Picture 5705" descr="nctta_banner2_sm"/>
        <xdr:cNvPicPr>
          <a:picLocks noChangeAspect="1" noChangeArrowheads="1"/>
        </xdr:cNvPicPr>
      </xdr:nvPicPr>
      <xdr:blipFill>
        <a:blip xmlns:r="http://schemas.openxmlformats.org/officeDocument/2006/relationships" r:embed="rId1" cstate="print"/>
        <a:srcRect/>
        <a:stretch>
          <a:fillRect/>
        </a:stretch>
      </xdr:blipFill>
      <xdr:spPr bwMode="auto">
        <a:xfrm>
          <a:off x="28575" y="454218675"/>
          <a:ext cx="1514475" cy="571500"/>
        </a:xfrm>
        <a:prstGeom prst="rect">
          <a:avLst/>
        </a:prstGeom>
        <a:noFill/>
        <a:ln w="9525">
          <a:noFill/>
          <a:miter lim="800000"/>
          <a:headEnd/>
          <a:tailEnd/>
        </a:ln>
      </xdr:spPr>
    </xdr:pic>
    <xdr:clientData/>
  </xdr:twoCellAnchor>
  <xdr:twoCellAnchor>
    <xdr:from>
      <xdr:col>0</xdr:col>
      <xdr:colOff>28575</xdr:colOff>
      <xdr:row>2856</xdr:row>
      <xdr:rowOff>19050</xdr:rowOff>
    </xdr:from>
    <xdr:to>
      <xdr:col>4</xdr:col>
      <xdr:colOff>19050</xdr:colOff>
      <xdr:row>2859</xdr:row>
      <xdr:rowOff>104775</xdr:rowOff>
    </xdr:to>
    <xdr:pic>
      <xdr:nvPicPr>
        <xdr:cNvPr id="14393" name="Picture 5759" descr="nctta_banner2_sm"/>
        <xdr:cNvPicPr>
          <a:picLocks noChangeAspect="1" noChangeArrowheads="1"/>
        </xdr:cNvPicPr>
      </xdr:nvPicPr>
      <xdr:blipFill>
        <a:blip xmlns:r="http://schemas.openxmlformats.org/officeDocument/2006/relationships" r:embed="rId1" cstate="print"/>
        <a:srcRect/>
        <a:stretch>
          <a:fillRect/>
        </a:stretch>
      </xdr:blipFill>
      <xdr:spPr bwMode="auto">
        <a:xfrm>
          <a:off x="28575" y="462476850"/>
          <a:ext cx="1514475" cy="571500"/>
        </a:xfrm>
        <a:prstGeom prst="rect">
          <a:avLst/>
        </a:prstGeom>
        <a:noFill/>
        <a:ln w="9525">
          <a:noFill/>
          <a:miter lim="800000"/>
          <a:headEnd/>
          <a:tailEnd/>
        </a:ln>
      </xdr:spPr>
    </xdr:pic>
    <xdr:clientData/>
  </xdr:twoCellAnchor>
  <xdr:twoCellAnchor>
    <xdr:from>
      <xdr:col>0</xdr:col>
      <xdr:colOff>28575</xdr:colOff>
      <xdr:row>2907</xdr:row>
      <xdr:rowOff>19050</xdr:rowOff>
    </xdr:from>
    <xdr:to>
      <xdr:col>4</xdr:col>
      <xdr:colOff>19050</xdr:colOff>
      <xdr:row>2910</xdr:row>
      <xdr:rowOff>104775</xdr:rowOff>
    </xdr:to>
    <xdr:pic>
      <xdr:nvPicPr>
        <xdr:cNvPr id="14394" name="Picture 5761" descr="nctta_banner2_sm"/>
        <xdr:cNvPicPr>
          <a:picLocks noChangeAspect="1" noChangeArrowheads="1"/>
        </xdr:cNvPicPr>
      </xdr:nvPicPr>
      <xdr:blipFill>
        <a:blip xmlns:r="http://schemas.openxmlformats.org/officeDocument/2006/relationships" r:embed="rId1" cstate="print"/>
        <a:srcRect/>
        <a:stretch>
          <a:fillRect/>
        </a:stretch>
      </xdr:blipFill>
      <xdr:spPr bwMode="auto">
        <a:xfrm>
          <a:off x="28575" y="470735025"/>
          <a:ext cx="1514475" cy="571500"/>
        </a:xfrm>
        <a:prstGeom prst="rect">
          <a:avLst/>
        </a:prstGeom>
        <a:noFill/>
        <a:ln w="9525">
          <a:noFill/>
          <a:miter lim="800000"/>
          <a:headEnd/>
          <a:tailEnd/>
        </a:ln>
      </xdr:spPr>
    </xdr:pic>
    <xdr:clientData/>
  </xdr:twoCellAnchor>
  <xdr:twoCellAnchor>
    <xdr:from>
      <xdr:col>0</xdr:col>
      <xdr:colOff>28575</xdr:colOff>
      <xdr:row>2958</xdr:row>
      <xdr:rowOff>19050</xdr:rowOff>
    </xdr:from>
    <xdr:to>
      <xdr:col>4</xdr:col>
      <xdr:colOff>19050</xdr:colOff>
      <xdr:row>2961</xdr:row>
      <xdr:rowOff>104775</xdr:rowOff>
    </xdr:to>
    <xdr:pic>
      <xdr:nvPicPr>
        <xdr:cNvPr id="14395" name="Picture 5815" descr="nctta_banner2_sm"/>
        <xdr:cNvPicPr>
          <a:picLocks noChangeAspect="1" noChangeArrowheads="1"/>
        </xdr:cNvPicPr>
      </xdr:nvPicPr>
      <xdr:blipFill>
        <a:blip xmlns:r="http://schemas.openxmlformats.org/officeDocument/2006/relationships" r:embed="rId1" cstate="print"/>
        <a:srcRect/>
        <a:stretch>
          <a:fillRect/>
        </a:stretch>
      </xdr:blipFill>
      <xdr:spPr bwMode="auto">
        <a:xfrm>
          <a:off x="28575" y="478993200"/>
          <a:ext cx="1514475" cy="571500"/>
        </a:xfrm>
        <a:prstGeom prst="rect">
          <a:avLst/>
        </a:prstGeom>
        <a:noFill/>
        <a:ln w="9525">
          <a:noFill/>
          <a:miter lim="800000"/>
          <a:headEnd/>
          <a:tailEnd/>
        </a:ln>
      </xdr:spPr>
    </xdr:pic>
    <xdr:clientData/>
  </xdr:twoCellAnchor>
  <xdr:twoCellAnchor>
    <xdr:from>
      <xdr:col>0</xdr:col>
      <xdr:colOff>28575</xdr:colOff>
      <xdr:row>3009</xdr:row>
      <xdr:rowOff>19050</xdr:rowOff>
    </xdr:from>
    <xdr:to>
      <xdr:col>4</xdr:col>
      <xdr:colOff>19050</xdr:colOff>
      <xdr:row>3012</xdr:row>
      <xdr:rowOff>104775</xdr:rowOff>
    </xdr:to>
    <xdr:pic>
      <xdr:nvPicPr>
        <xdr:cNvPr id="14396" name="Picture 5817" descr="nctta_banner2_sm"/>
        <xdr:cNvPicPr>
          <a:picLocks noChangeAspect="1" noChangeArrowheads="1"/>
        </xdr:cNvPicPr>
      </xdr:nvPicPr>
      <xdr:blipFill>
        <a:blip xmlns:r="http://schemas.openxmlformats.org/officeDocument/2006/relationships" r:embed="rId1" cstate="print"/>
        <a:srcRect/>
        <a:stretch>
          <a:fillRect/>
        </a:stretch>
      </xdr:blipFill>
      <xdr:spPr bwMode="auto">
        <a:xfrm>
          <a:off x="28575" y="487251375"/>
          <a:ext cx="1514475" cy="571500"/>
        </a:xfrm>
        <a:prstGeom prst="rect">
          <a:avLst/>
        </a:prstGeom>
        <a:noFill/>
        <a:ln w="9525">
          <a:noFill/>
          <a:miter lim="800000"/>
          <a:headEnd/>
          <a:tailEnd/>
        </a:ln>
      </xdr:spPr>
    </xdr:pic>
    <xdr:clientData/>
  </xdr:twoCellAnchor>
  <xdr:twoCellAnchor>
    <xdr:from>
      <xdr:col>0</xdr:col>
      <xdr:colOff>28575</xdr:colOff>
      <xdr:row>3060</xdr:row>
      <xdr:rowOff>19050</xdr:rowOff>
    </xdr:from>
    <xdr:to>
      <xdr:col>4</xdr:col>
      <xdr:colOff>19050</xdr:colOff>
      <xdr:row>3063</xdr:row>
      <xdr:rowOff>104775</xdr:rowOff>
    </xdr:to>
    <xdr:pic>
      <xdr:nvPicPr>
        <xdr:cNvPr id="14397" name="Picture 5871" descr="nctta_banner2_sm"/>
        <xdr:cNvPicPr>
          <a:picLocks noChangeAspect="1" noChangeArrowheads="1"/>
        </xdr:cNvPicPr>
      </xdr:nvPicPr>
      <xdr:blipFill>
        <a:blip xmlns:r="http://schemas.openxmlformats.org/officeDocument/2006/relationships" r:embed="rId1" cstate="print"/>
        <a:srcRect/>
        <a:stretch>
          <a:fillRect/>
        </a:stretch>
      </xdr:blipFill>
      <xdr:spPr bwMode="auto">
        <a:xfrm>
          <a:off x="28575" y="495509550"/>
          <a:ext cx="1514475" cy="571500"/>
        </a:xfrm>
        <a:prstGeom prst="rect">
          <a:avLst/>
        </a:prstGeom>
        <a:noFill/>
        <a:ln w="9525">
          <a:noFill/>
          <a:miter lim="800000"/>
          <a:headEnd/>
          <a:tailEnd/>
        </a:ln>
      </xdr:spPr>
    </xdr:pic>
    <xdr:clientData/>
  </xdr:twoCellAnchor>
  <xdr:twoCellAnchor>
    <xdr:from>
      <xdr:col>0</xdr:col>
      <xdr:colOff>28575</xdr:colOff>
      <xdr:row>3111</xdr:row>
      <xdr:rowOff>19050</xdr:rowOff>
    </xdr:from>
    <xdr:to>
      <xdr:col>4</xdr:col>
      <xdr:colOff>19050</xdr:colOff>
      <xdr:row>3114</xdr:row>
      <xdr:rowOff>104775</xdr:rowOff>
    </xdr:to>
    <xdr:pic>
      <xdr:nvPicPr>
        <xdr:cNvPr id="14398" name="Picture 5873" descr="nctta_banner2_sm"/>
        <xdr:cNvPicPr>
          <a:picLocks noChangeAspect="1" noChangeArrowheads="1"/>
        </xdr:cNvPicPr>
      </xdr:nvPicPr>
      <xdr:blipFill>
        <a:blip xmlns:r="http://schemas.openxmlformats.org/officeDocument/2006/relationships" r:embed="rId1" cstate="print"/>
        <a:srcRect/>
        <a:stretch>
          <a:fillRect/>
        </a:stretch>
      </xdr:blipFill>
      <xdr:spPr bwMode="auto">
        <a:xfrm>
          <a:off x="28575" y="503767725"/>
          <a:ext cx="1514475" cy="571500"/>
        </a:xfrm>
        <a:prstGeom prst="rect">
          <a:avLst/>
        </a:prstGeom>
        <a:noFill/>
        <a:ln w="9525">
          <a:noFill/>
          <a:miter lim="800000"/>
          <a:headEnd/>
          <a:tailEnd/>
        </a:ln>
      </xdr:spPr>
    </xdr:pic>
    <xdr:clientData/>
  </xdr:twoCellAnchor>
  <xdr:twoCellAnchor>
    <xdr:from>
      <xdr:col>0</xdr:col>
      <xdr:colOff>28575</xdr:colOff>
      <xdr:row>3162</xdr:row>
      <xdr:rowOff>19050</xdr:rowOff>
    </xdr:from>
    <xdr:to>
      <xdr:col>4</xdr:col>
      <xdr:colOff>19050</xdr:colOff>
      <xdr:row>3165</xdr:row>
      <xdr:rowOff>104775</xdr:rowOff>
    </xdr:to>
    <xdr:pic>
      <xdr:nvPicPr>
        <xdr:cNvPr id="14399" name="Picture 5927" descr="nctta_banner2_sm"/>
        <xdr:cNvPicPr>
          <a:picLocks noChangeAspect="1" noChangeArrowheads="1"/>
        </xdr:cNvPicPr>
      </xdr:nvPicPr>
      <xdr:blipFill>
        <a:blip xmlns:r="http://schemas.openxmlformats.org/officeDocument/2006/relationships" r:embed="rId1" cstate="print"/>
        <a:srcRect/>
        <a:stretch>
          <a:fillRect/>
        </a:stretch>
      </xdr:blipFill>
      <xdr:spPr bwMode="auto">
        <a:xfrm>
          <a:off x="28575" y="512025900"/>
          <a:ext cx="1514475" cy="571500"/>
        </a:xfrm>
        <a:prstGeom prst="rect">
          <a:avLst/>
        </a:prstGeom>
        <a:noFill/>
        <a:ln w="9525">
          <a:noFill/>
          <a:miter lim="800000"/>
          <a:headEnd/>
          <a:tailEnd/>
        </a:ln>
      </xdr:spPr>
    </xdr:pic>
    <xdr:clientData/>
  </xdr:twoCellAnchor>
  <xdr:twoCellAnchor>
    <xdr:from>
      <xdr:col>0</xdr:col>
      <xdr:colOff>28575</xdr:colOff>
      <xdr:row>3213</xdr:row>
      <xdr:rowOff>19050</xdr:rowOff>
    </xdr:from>
    <xdr:to>
      <xdr:col>4</xdr:col>
      <xdr:colOff>19050</xdr:colOff>
      <xdr:row>3216</xdr:row>
      <xdr:rowOff>104775</xdr:rowOff>
    </xdr:to>
    <xdr:pic>
      <xdr:nvPicPr>
        <xdr:cNvPr id="14400" name="Picture 5929" descr="nctta_banner2_sm"/>
        <xdr:cNvPicPr>
          <a:picLocks noChangeAspect="1" noChangeArrowheads="1"/>
        </xdr:cNvPicPr>
      </xdr:nvPicPr>
      <xdr:blipFill>
        <a:blip xmlns:r="http://schemas.openxmlformats.org/officeDocument/2006/relationships" r:embed="rId1" cstate="print"/>
        <a:srcRect/>
        <a:stretch>
          <a:fillRect/>
        </a:stretch>
      </xdr:blipFill>
      <xdr:spPr bwMode="auto">
        <a:xfrm>
          <a:off x="28575" y="520284075"/>
          <a:ext cx="1514475" cy="571500"/>
        </a:xfrm>
        <a:prstGeom prst="rect">
          <a:avLst/>
        </a:prstGeom>
        <a:noFill/>
        <a:ln w="9525">
          <a:noFill/>
          <a:miter lim="800000"/>
          <a:headEnd/>
          <a:tailEnd/>
        </a:ln>
      </xdr:spPr>
    </xdr:pic>
    <xdr:clientData/>
  </xdr:twoCellAnchor>
  <xdr:twoCellAnchor>
    <xdr:from>
      <xdr:col>0</xdr:col>
      <xdr:colOff>28575</xdr:colOff>
      <xdr:row>3264</xdr:row>
      <xdr:rowOff>19050</xdr:rowOff>
    </xdr:from>
    <xdr:to>
      <xdr:col>4</xdr:col>
      <xdr:colOff>19050</xdr:colOff>
      <xdr:row>3267</xdr:row>
      <xdr:rowOff>104775</xdr:rowOff>
    </xdr:to>
    <xdr:pic>
      <xdr:nvPicPr>
        <xdr:cNvPr id="14401" name="Picture 5983" descr="nctta_banner2_sm"/>
        <xdr:cNvPicPr>
          <a:picLocks noChangeAspect="1" noChangeArrowheads="1"/>
        </xdr:cNvPicPr>
      </xdr:nvPicPr>
      <xdr:blipFill>
        <a:blip xmlns:r="http://schemas.openxmlformats.org/officeDocument/2006/relationships" r:embed="rId1" cstate="print"/>
        <a:srcRect/>
        <a:stretch>
          <a:fillRect/>
        </a:stretch>
      </xdr:blipFill>
      <xdr:spPr bwMode="auto">
        <a:xfrm>
          <a:off x="28575" y="528542250"/>
          <a:ext cx="1514475" cy="571500"/>
        </a:xfrm>
        <a:prstGeom prst="rect">
          <a:avLst/>
        </a:prstGeom>
        <a:noFill/>
        <a:ln w="9525">
          <a:noFill/>
          <a:miter lim="800000"/>
          <a:headEnd/>
          <a:tailEnd/>
        </a:ln>
      </xdr:spPr>
    </xdr:pic>
    <xdr:clientData/>
  </xdr:twoCellAnchor>
  <xdr:twoCellAnchor>
    <xdr:from>
      <xdr:col>0</xdr:col>
      <xdr:colOff>28575</xdr:colOff>
      <xdr:row>3315</xdr:row>
      <xdr:rowOff>19050</xdr:rowOff>
    </xdr:from>
    <xdr:to>
      <xdr:col>4</xdr:col>
      <xdr:colOff>19050</xdr:colOff>
      <xdr:row>3318</xdr:row>
      <xdr:rowOff>104775</xdr:rowOff>
    </xdr:to>
    <xdr:pic>
      <xdr:nvPicPr>
        <xdr:cNvPr id="14402" name="Picture 5985" descr="nctta_banner2_sm"/>
        <xdr:cNvPicPr>
          <a:picLocks noChangeAspect="1" noChangeArrowheads="1"/>
        </xdr:cNvPicPr>
      </xdr:nvPicPr>
      <xdr:blipFill>
        <a:blip xmlns:r="http://schemas.openxmlformats.org/officeDocument/2006/relationships" r:embed="rId1" cstate="print"/>
        <a:srcRect/>
        <a:stretch>
          <a:fillRect/>
        </a:stretch>
      </xdr:blipFill>
      <xdr:spPr bwMode="auto">
        <a:xfrm>
          <a:off x="28575" y="536800425"/>
          <a:ext cx="1514475" cy="571500"/>
        </a:xfrm>
        <a:prstGeom prst="rect">
          <a:avLst/>
        </a:prstGeom>
        <a:noFill/>
        <a:ln w="9525">
          <a:noFill/>
          <a:miter lim="800000"/>
          <a:headEnd/>
          <a:tailEnd/>
        </a:ln>
      </xdr:spPr>
    </xdr:pic>
    <xdr:clientData/>
  </xdr:twoCellAnchor>
  <xdr:twoCellAnchor>
    <xdr:from>
      <xdr:col>10</xdr:col>
      <xdr:colOff>0</xdr:colOff>
      <xdr:row>0</xdr:row>
      <xdr:rowOff>19050</xdr:rowOff>
    </xdr:from>
    <xdr:to>
      <xdr:col>15</xdr:col>
      <xdr:colOff>314325</xdr:colOff>
      <xdr:row>2</xdr:row>
      <xdr:rowOff>142875</xdr:rowOff>
    </xdr:to>
    <xdr:pic>
      <xdr:nvPicPr>
        <xdr:cNvPr id="14403" name="Picture 158504" descr="Butterfly Logo"/>
        <xdr:cNvPicPr>
          <a:picLocks noChangeAspect="1" noChangeArrowheads="1"/>
        </xdr:cNvPicPr>
      </xdr:nvPicPr>
      <xdr:blipFill>
        <a:blip xmlns:r="http://schemas.openxmlformats.org/officeDocument/2006/relationships" r:embed="rId2" cstate="print"/>
        <a:srcRect/>
        <a:stretch>
          <a:fillRect/>
        </a:stretch>
      </xdr:blipFill>
      <xdr:spPr bwMode="auto">
        <a:xfrm>
          <a:off x="3810000" y="19050"/>
          <a:ext cx="2219325" cy="447675"/>
        </a:xfrm>
        <a:prstGeom prst="rect">
          <a:avLst/>
        </a:prstGeom>
        <a:noFill/>
        <a:ln w="9525">
          <a:noFill/>
          <a:miter lim="800000"/>
          <a:headEnd/>
          <a:tailEnd/>
        </a:ln>
      </xdr:spPr>
    </xdr:pic>
    <xdr:clientData/>
  </xdr:twoCellAnchor>
  <xdr:twoCellAnchor>
    <xdr:from>
      <xdr:col>10</xdr:col>
      <xdr:colOff>0</xdr:colOff>
      <xdr:row>51</xdr:row>
      <xdr:rowOff>19050</xdr:rowOff>
    </xdr:from>
    <xdr:to>
      <xdr:col>15</xdr:col>
      <xdr:colOff>314325</xdr:colOff>
      <xdr:row>53</xdr:row>
      <xdr:rowOff>142875</xdr:rowOff>
    </xdr:to>
    <xdr:pic>
      <xdr:nvPicPr>
        <xdr:cNvPr id="14404" name="Picture 158504" descr="Butterfly Logo"/>
        <xdr:cNvPicPr>
          <a:picLocks noChangeAspect="1" noChangeArrowheads="1"/>
        </xdr:cNvPicPr>
      </xdr:nvPicPr>
      <xdr:blipFill>
        <a:blip xmlns:r="http://schemas.openxmlformats.org/officeDocument/2006/relationships" r:embed="rId2" cstate="print"/>
        <a:srcRect/>
        <a:stretch>
          <a:fillRect/>
        </a:stretch>
      </xdr:blipFill>
      <xdr:spPr bwMode="auto">
        <a:xfrm>
          <a:off x="3810000" y="8277225"/>
          <a:ext cx="2219325" cy="447675"/>
        </a:xfrm>
        <a:prstGeom prst="rect">
          <a:avLst/>
        </a:prstGeom>
        <a:noFill/>
        <a:ln w="9525">
          <a:noFill/>
          <a:miter lim="800000"/>
          <a:headEnd/>
          <a:tailEnd/>
        </a:ln>
      </xdr:spPr>
    </xdr:pic>
    <xdr:clientData/>
  </xdr:twoCellAnchor>
  <xdr:twoCellAnchor>
    <xdr:from>
      <xdr:col>10</xdr:col>
      <xdr:colOff>0</xdr:colOff>
      <xdr:row>102</xdr:row>
      <xdr:rowOff>19050</xdr:rowOff>
    </xdr:from>
    <xdr:to>
      <xdr:col>15</xdr:col>
      <xdr:colOff>314325</xdr:colOff>
      <xdr:row>104</xdr:row>
      <xdr:rowOff>142875</xdr:rowOff>
    </xdr:to>
    <xdr:pic>
      <xdr:nvPicPr>
        <xdr:cNvPr id="14405" name="Picture 158504" descr="Butterfly Logo"/>
        <xdr:cNvPicPr>
          <a:picLocks noChangeAspect="1" noChangeArrowheads="1"/>
        </xdr:cNvPicPr>
      </xdr:nvPicPr>
      <xdr:blipFill>
        <a:blip xmlns:r="http://schemas.openxmlformats.org/officeDocument/2006/relationships" r:embed="rId2" cstate="print"/>
        <a:srcRect/>
        <a:stretch>
          <a:fillRect/>
        </a:stretch>
      </xdr:blipFill>
      <xdr:spPr bwMode="auto">
        <a:xfrm>
          <a:off x="3810000" y="16535400"/>
          <a:ext cx="2219325" cy="447675"/>
        </a:xfrm>
        <a:prstGeom prst="rect">
          <a:avLst/>
        </a:prstGeom>
        <a:noFill/>
        <a:ln w="9525">
          <a:noFill/>
          <a:miter lim="800000"/>
          <a:headEnd/>
          <a:tailEnd/>
        </a:ln>
      </xdr:spPr>
    </xdr:pic>
    <xdr:clientData/>
  </xdr:twoCellAnchor>
  <xdr:twoCellAnchor>
    <xdr:from>
      <xdr:col>10</xdr:col>
      <xdr:colOff>0</xdr:colOff>
      <xdr:row>153</xdr:row>
      <xdr:rowOff>19050</xdr:rowOff>
    </xdr:from>
    <xdr:to>
      <xdr:col>15</xdr:col>
      <xdr:colOff>314325</xdr:colOff>
      <xdr:row>155</xdr:row>
      <xdr:rowOff>142875</xdr:rowOff>
    </xdr:to>
    <xdr:pic>
      <xdr:nvPicPr>
        <xdr:cNvPr id="14406" name="Picture 158504" descr="Butterfly Logo"/>
        <xdr:cNvPicPr>
          <a:picLocks noChangeAspect="1" noChangeArrowheads="1"/>
        </xdr:cNvPicPr>
      </xdr:nvPicPr>
      <xdr:blipFill>
        <a:blip xmlns:r="http://schemas.openxmlformats.org/officeDocument/2006/relationships" r:embed="rId2" cstate="print"/>
        <a:srcRect/>
        <a:stretch>
          <a:fillRect/>
        </a:stretch>
      </xdr:blipFill>
      <xdr:spPr bwMode="auto">
        <a:xfrm>
          <a:off x="3810000" y="24793575"/>
          <a:ext cx="2219325" cy="447675"/>
        </a:xfrm>
        <a:prstGeom prst="rect">
          <a:avLst/>
        </a:prstGeom>
        <a:noFill/>
        <a:ln w="9525">
          <a:noFill/>
          <a:miter lim="800000"/>
          <a:headEnd/>
          <a:tailEnd/>
        </a:ln>
      </xdr:spPr>
    </xdr:pic>
    <xdr:clientData/>
  </xdr:twoCellAnchor>
  <xdr:twoCellAnchor>
    <xdr:from>
      <xdr:col>10</xdr:col>
      <xdr:colOff>0</xdr:colOff>
      <xdr:row>204</xdr:row>
      <xdr:rowOff>19050</xdr:rowOff>
    </xdr:from>
    <xdr:to>
      <xdr:col>15</xdr:col>
      <xdr:colOff>314325</xdr:colOff>
      <xdr:row>206</xdr:row>
      <xdr:rowOff>142875</xdr:rowOff>
    </xdr:to>
    <xdr:pic>
      <xdr:nvPicPr>
        <xdr:cNvPr id="14407" name="Picture 158504" descr="Butterfly Logo"/>
        <xdr:cNvPicPr>
          <a:picLocks noChangeAspect="1" noChangeArrowheads="1"/>
        </xdr:cNvPicPr>
      </xdr:nvPicPr>
      <xdr:blipFill>
        <a:blip xmlns:r="http://schemas.openxmlformats.org/officeDocument/2006/relationships" r:embed="rId2" cstate="print"/>
        <a:srcRect/>
        <a:stretch>
          <a:fillRect/>
        </a:stretch>
      </xdr:blipFill>
      <xdr:spPr bwMode="auto">
        <a:xfrm>
          <a:off x="3810000" y="33051750"/>
          <a:ext cx="2219325" cy="447675"/>
        </a:xfrm>
        <a:prstGeom prst="rect">
          <a:avLst/>
        </a:prstGeom>
        <a:noFill/>
        <a:ln w="9525">
          <a:noFill/>
          <a:miter lim="800000"/>
          <a:headEnd/>
          <a:tailEnd/>
        </a:ln>
      </xdr:spPr>
    </xdr:pic>
    <xdr:clientData/>
  </xdr:twoCellAnchor>
  <xdr:twoCellAnchor>
    <xdr:from>
      <xdr:col>10</xdr:col>
      <xdr:colOff>0</xdr:colOff>
      <xdr:row>255</xdr:row>
      <xdr:rowOff>19050</xdr:rowOff>
    </xdr:from>
    <xdr:to>
      <xdr:col>15</xdr:col>
      <xdr:colOff>314325</xdr:colOff>
      <xdr:row>257</xdr:row>
      <xdr:rowOff>142875</xdr:rowOff>
    </xdr:to>
    <xdr:pic>
      <xdr:nvPicPr>
        <xdr:cNvPr id="14408" name="Picture 158504" descr="Butterfly Logo"/>
        <xdr:cNvPicPr>
          <a:picLocks noChangeAspect="1" noChangeArrowheads="1"/>
        </xdr:cNvPicPr>
      </xdr:nvPicPr>
      <xdr:blipFill>
        <a:blip xmlns:r="http://schemas.openxmlformats.org/officeDocument/2006/relationships" r:embed="rId2" cstate="print"/>
        <a:srcRect/>
        <a:stretch>
          <a:fillRect/>
        </a:stretch>
      </xdr:blipFill>
      <xdr:spPr bwMode="auto">
        <a:xfrm>
          <a:off x="3810000" y="41309925"/>
          <a:ext cx="2219325" cy="447675"/>
        </a:xfrm>
        <a:prstGeom prst="rect">
          <a:avLst/>
        </a:prstGeom>
        <a:noFill/>
        <a:ln w="9525">
          <a:noFill/>
          <a:miter lim="800000"/>
          <a:headEnd/>
          <a:tailEnd/>
        </a:ln>
      </xdr:spPr>
    </xdr:pic>
    <xdr:clientData/>
  </xdr:twoCellAnchor>
  <xdr:twoCellAnchor>
    <xdr:from>
      <xdr:col>10</xdr:col>
      <xdr:colOff>0</xdr:colOff>
      <xdr:row>306</xdr:row>
      <xdr:rowOff>19050</xdr:rowOff>
    </xdr:from>
    <xdr:to>
      <xdr:col>15</xdr:col>
      <xdr:colOff>314325</xdr:colOff>
      <xdr:row>308</xdr:row>
      <xdr:rowOff>142875</xdr:rowOff>
    </xdr:to>
    <xdr:pic>
      <xdr:nvPicPr>
        <xdr:cNvPr id="14409" name="Picture 158504" descr="Butterfly Logo"/>
        <xdr:cNvPicPr>
          <a:picLocks noChangeAspect="1" noChangeArrowheads="1"/>
        </xdr:cNvPicPr>
      </xdr:nvPicPr>
      <xdr:blipFill>
        <a:blip xmlns:r="http://schemas.openxmlformats.org/officeDocument/2006/relationships" r:embed="rId2" cstate="print"/>
        <a:srcRect/>
        <a:stretch>
          <a:fillRect/>
        </a:stretch>
      </xdr:blipFill>
      <xdr:spPr bwMode="auto">
        <a:xfrm>
          <a:off x="3810000" y="49568100"/>
          <a:ext cx="2219325" cy="447675"/>
        </a:xfrm>
        <a:prstGeom prst="rect">
          <a:avLst/>
        </a:prstGeom>
        <a:noFill/>
        <a:ln w="9525">
          <a:noFill/>
          <a:miter lim="800000"/>
          <a:headEnd/>
          <a:tailEnd/>
        </a:ln>
      </xdr:spPr>
    </xdr:pic>
    <xdr:clientData/>
  </xdr:twoCellAnchor>
  <xdr:twoCellAnchor>
    <xdr:from>
      <xdr:col>10</xdr:col>
      <xdr:colOff>0</xdr:colOff>
      <xdr:row>357</xdr:row>
      <xdr:rowOff>19050</xdr:rowOff>
    </xdr:from>
    <xdr:to>
      <xdr:col>15</xdr:col>
      <xdr:colOff>314325</xdr:colOff>
      <xdr:row>359</xdr:row>
      <xdr:rowOff>142875</xdr:rowOff>
    </xdr:to>
    <xdr:pic>
      <xdr:nvPicPr>
        <xdr:cNvPr id="14410" name="Picture 158504" descr="Butterfly Logo"/>
        <xdr:cNvPicPr>
          <a:picLocks noChangeAspect="1" noChangeArrowheads="1"/>
        </xdr:cNvPicPr>
      </xdr:nvPicPr>
      <xdr:blipFill>
        <a:blip xmlns:r="http://schemas.openxmlformats.org/officeDocument/2006/relationships" r:embed="rId2" cstate="print"/>
        <a:srcRect/>
        <a:stretch>
          <a:fillRect/>
        </a:stretch>
      </xdr:blipFill>
      <xdr:spPr bwMode="auto">
        <a:xfrm>
          <a:off x="3810000" y="57826275"/>
          <a:ext cx="2219325" cy="447675"/>
        </a:xfrm>
        <a:prstGeom prst="rect">
          <a:avLst/>
        </a:prstGeom>
        <a:noFill/>
        <a:ln w="9525">
          <a:noFill/>
          <a:miter lim="800000"/>
          <a:headEnd/>
          <a:tailEnd/>
        </a:ln>
      </xdr:spPr>
    </xdr:pic>
    <xdr:clientData/>
  </xdr:twoCellAnchor>
  <xdr:twoCellAnchor>
    <xdr:from>
      <xdr:col>10</xdr:col>
      <xdr:colOff>0</xdr:colOff>
      <xdr:row>408</xdr:row>
      <xdr:rowOff>19050</xdr:rowOff>
    </xdr:from>
    <xdr:to>
      <xdr:col>15</xdr:col>
      <xdr:colOff>314325</xdr:colOff>
      <xdr:row>410</xdr:row>
      <xdr:rowOff>142875</xdr:rowOff>
    </xdr:to>
    <xdr:pic>
      <xdr:nvPicPr>
        <xdr:cNvPr id="14411" name="Picture 158504" descr="Butterfly Logo"/>
        <xdr:cNvPicPr>
          <a:picLocks noChangeAspect="1" noChangeArrowheads="1"/>
        </xdr:cNvPicPr>
      </xdr:nvPicPr>
      <xdr:blipFill>
        <a:blip xmlns:r="http://schemas.openxmlformats.org/officeDocument/2006/relationships" r:embed="rId2" cstate="print"/>
        <a:srcRect/>
        <a:stretch>
          <a:fillRect/>
        </a:stretch>
      </xdr:blipFill>
      <xdr:spPr bwMode="auto">
        <a:xfrm>
          <a:off x="3810000" y="66084450"/>
          <a:ext cx="2219325" cy="447675"/>
        </a:xfrm>
        <a:prstGeom prst="rect">
          <a:avLst/>
        </a:prstGeom>
        <a:noFill/>
        <a:ln w="9525">
          <a:noFill/>
          <a:miter lim="800000"/>
          <a:headEnd/>
          <a:tailEnd/>
        </a:ln>
      </xdr:spPr>
    </xdr:pic>
    <xdr:clientData/>
  </xdr:twoCellAnchor>
  <xdr:twoCellAnchor>
    <xdr:from>
      <xdr:col>10</xdr:col>
      <xdr:colOff>0</xdr:colOff>
      <xdr:row>459</xdr:row>
      <xdr:rowOff>19050</xdr:rowOff>
    </xdr:from>
    <xdr:to>
      <xdr:col>15</xdr:col>
      <xdr:colOff>314325</xdr:colOff>
      <xdr:row>461</xdr:row>
      <xdr:rowOff>142875</xdr:rowOff>
    </xdr:to>
    <xdr:pic>
      <xdr:nvPicPr>
        <xdr:cNvPr id="14412" name="Picture 158504" descr="Butterfly Logo"/>
        <xdr:cNvPicPr>
          <a:picLocks noChangeAspect="1" noChangeArrowheads="1"/>
        </xdr:cNvPicPr>
      </xdr:nvPicPr>
      <xdr:blipFill>
        <a:blip xmlns:r="http://schemas.openxmlformats.org/officeDocument/2006/relationships" r:embed="rId2" cstate="print"/>
        <a:srcRect/>
        <a:stretch>
          <a:fillRect/>
        </a:stretch>
      </xdr:blipFill>
      <xdr:spPr bwMode="auto">
        <a:xfrm>
          <a:off x="3810000" y="74342625"/>
          <a:ext cx="2219325" cy="447675"/>
        </a:xfrm>
        <a:prstGeom prst="rect">
          <a:avLst/>
        </a:prstGeom>
        <a:noFill/>
        <a:ln w="9525">
          <a:noFill/>
          <a:miter lim="800000"/>
          <a:headEnd/>
          <a:tailEnd/>
        </a:ln>
      </xdr:spPr>
    </xdr:pic>
    <xdr:clientData/>
  </xdr:twoCellAnchor>
  <xdr:twoCellAnchor>
    <xdr:from>
      <xdr:col>10</xdr:col>
      <xdr:colOff>0</xdr:colOff>
      <xdr:row>510</xdr:row>
      <xdr:rowOff>19050</xdr:rowOff>
    </xdr:from>
    <xdr:to>
      <xdr:col>15</xdr:col>
      <xdr:colOff>314325</xdr:colOff>
      <xdr:row>512</xdr:row>
      <xdr:rowOff>142875</xdr:rowOff>
    </xdr:to>
    <xdr:pic>
      <xdr:nvPicPr>
        <xdr:cNvPr id="14413" name="Picture 158504" descr="Butterfly Logo"/>
        <xdr:cNvPicPr>
          <a:picLocks noChangeAspect="1" noChangeArrowheads="1"/>
        </xdr:cNvPicPr>
      </xdr:nvPicPr>
      <xdr:blipFill>
        <a:blip xmlns:r="http://schemas.openxmlformats.org/officeDocument/2006/relationships" r:embed="rId2" cstate="print"/>
        <a:srcRect/>
        <a:stretch>
          <a:fillRect/>
        </a:stretch>
      </xdr:blipFill>
      <xdr:spPr bwMode="auto">
        <a:xfrm>
          <a:off x="3810000" y="82600800"/>
          <a:ext cx="2219325" cy="447675"/>
        </a:xfrm>
        <a:prstGeom prst="rect">
          <a:avLst/>
        </a:prstGeom>
        <a:noFill/>
        <a:ln w="9525">
          <a:noFill/>
          <a:miter lim="800000"/>
          <a:headEnd/>
          <a:tailEnd/>
        </a:ln>
      </xdr:spPr>
    </xdr:pic>
    <xdr:clientData/>
  </xdr:twoCellAnchor>
  <xdr:twoCellAnchor>
    <xdr:from>
      <xdr:col>10</xdr:col>
      <xdr:colOff>0</xdr:colOff>
      <xdr:row>561</xdr:row>
      <xdr:rowOff>19050</xdr:rowOff>
    </xdr:from>
    <xdr:to>
      <xdr:col>15</xdr:col>
      <xdr:colOff>314325</xdr:colOff>
      <xdr:row>563</xdr:row>
      <xdr:rowOff>142875</xdr:rowOff>
    </xdr:to>
    <xdr:pic>
      <xdr:nvPicPr>
        <xdr:cNvPr id="14414" name="Picture 158504" descr="Butterfly Logo"/>
        <xdr:cNvPicPr>
          <a:picLocks noChangeAspect="1" noChangeArrowheads="1"/>
        </xdr:cNvPicPr>
      </xdr:nvPicPr>
      <xdr:blipFill>
        <a:blip xmlns:r="http://schemas.openxmlformats.org/officeDocument/2006/relationships" r:embed="rId2" cstate="print"/>
        <a:srcRect/>
        <a:stretch>
          <a:fillRect/>
        </a:stretch>
      </xdr:blipFill>
      <xdr:spPr bwMode="auto">
        <a:xfrm>
          <a:off x="3810000" y="90858975"/>
          <a:ext cx="2219325" cy="447675"/>
        </a:xfrm>
        <a:prstGeom prst="rect">
          <a:avLst/>
        </a:prstGeom>
        <a:noFill/>
        <a:ln w="9525">
          <a:noFill/>
          <a:miter lim="800000"/>
          <a:headEnd/>
          <a:tailEnd/>
        </a:ln>
      </xdr:spPr>
    </xdr:pic>
    <xdr:clientData/>
  </xdr:twoCellAnchor>
  <xdr:twoCellAnchor>
    <xdr:from>
      <xdr:col>10</xdr:col>
      <xdr:colOff>0</xdr:colOff>
      <xdr:row>612</xdr:row>
      <xdr:rowOff>19050</xdr:rowOff>
    </xdr:from>
    <xdr:to>
      <xdr:col>15</xdr:col>
      <xdr:colOff>314325</xdr:colOff>
      <xdr:row>614</xdr:row>
      <xdr:rowOff>142875</xdr:rowOff>
    </xdr:to>
    <xdr:pic>
      <xdr:nvPicPr>
        <xdr:cNvPr id="14415" name="Picture 158504" descr="Butterfly Logo"/>
        <xdr:cNvPicPr>
          <a:picLocks noChangeAspect="1" noChangeArrowheads="1"/>
        </xdr:cNvPicPr>
      </xdr:nvPicPr>
      <xdr:blipFill>
        <a:blip xmlns:r="http://schemas.openxmlformats.org/officeDocument/2006/relationships" r:embed="rId2" cstate="print"/>
        <a:srcRect/>
        <a:stretch>
          <a:fillRect/>
        </a:stretch>
      </xdr:blipFill>
      <xdr:spPr bwMode="auto">
        <a:xfrm>
          <a:off x="3810000" y="99117150"/>
          <a:ext cx="2219325" cy="447675"/>
        </a:xfrm>
        <a:prstGeom prst="rect">
          <a:avLst/>
        </a:prstGeom>
        <a:noFill/>
        <a:ln w="9525">
          <a:noFill/>
          <a:miter lim="800000"/>
          <a:headEnd/>
          <a:tailEnd/>
        </a:ln>
      </xdr:spPr>
    </xdr:pic>
    <xdr:clientData/>
  </xdr:twoCellAnchor>
  <xdr:twoCellAnchor>
    <xdr:from>
      <xdr:col>10</xdr:col>
      <xdr:colOff>0</xdr:colOff>
      <xdr:row>663</xdr:row>
      <xdr:rowOff>19050</xdr:rowOff>
    </xdr:from>
    <xdr:to>
      <xdr:col>15</xdr:col>
      <xdr:colOff>314325</xdr:colOff>
      <xdr:row>665</xdr:row>
      <xdr:rowOff>142875</xdr:rowOff>
    </xdr:to>
    <xdr:pic>
      <xdr:nvPicPr>
        <xdr:cNvPr id="14416" name="Picture 158504" descr="Butterfly Logo"/>
        <xdr:cNvPicPr>
          <a:picLocks noChangeAspect="1" noChangeArrowheads="1"/>
        </xdr:cNvPicPr>
      </xdr:nvPicPr>
      <xdr:blipFill>
        <a:blip xmlns:r="http://schemas.openxmlformats.org/officeDocument/2006/relationships" r:embed="rId2" cstate="print"/>
        <a:srcRect/>
        <a:stretch>
          <a:fillRect/>
        </a:stretch>
      </xdr:blipFill>
      <xdr:spPr bwMode="auto">
        <a:xfrm>
          <a:off x="3810000" y="107375325"/>
          <a:ext cx="2219325" cy="447675"/>
        </a:xfrm>
        <a:prstGeom prst="rect">
          <a:avLst/>
        </a:prstGeom>
        <a:noFill/>
        <a:ln w="9525">
          <a:noFill/>
          <a:miter lim="800000"/>
          <a:headEnd/>
          <a:tailEnd/>
        </a:ln>
      </xdr:spPr>
    </xdr:pic>
    <xdr:clientData/>
  </xdr:twoCellAnchor>
  <xdr:twoCellAnchor>
    <xdr:from>
      <xdr:col>10</xdr:col>
      <xdr:colOff>0</xdr:colOff>
      <xdr:row>714</xdr:row>
      <xdr:rowOff>19050</xdr:rowOff>
    </xdr:from>
    <xdr:to>
      <xdr:col>15</xdr:col>
      <xdr:colOff>314325</xdr:colOff>
      <xdr:row>716</xdr:row>
      <xdr:rowOff>142875</xdr:rowOff>
    </xdr:to>
    <xdr:pic>
      <xdr:nvPicPr>
        <xdr:cNvPr id="14417" name="Picture 158504" descr="Butterfly Logo"/>
        <xdr:cNvPicPr>
          <a:picLocks noChangeAspect="1" noChangeArrowheads="1"/>
        </xdr:cNvPicPr>
      </xdr:nvPicPr>
      <xdr:blipFill>
        <a:blip xmlns:r="http://schemas.openxmlformats.org/officeDocument/2006/relationships" r:embed="rId2" cstate="print"/>
        <a:srcRect/>
        <a:stretch>
          <a:fillRect/>
        </a:stretch>
      </xdr:blipFill>
      <xdr:spPr bwMode="auto">
        <a:xfrm>
          <a:off x="3810000" y="115633500"/>
          <a:ext cx="2219325" cy="447675"/>
        </a:xfrm>
        <a:prstGeom prst="rect">
          <a:avLst/>
        </a:prstGeom>
        <a:noFill/>
        <a:ln w="9525">
          <a:noFill/>
          <a:miter lim="800000"/>
          <a:headEnd/>
          <a:tailEnd/>
        </a:ln>
      </xdr:spPr>
    </xdr:pic>
    <xdr:clientData/>
  </xdr:twoCellAnchor>
  <xdr:twoCellAnchor>
    <xdr:from>
      <xdr:col>10</xdr:col>
      <xdr:colOff>0</xdr:colOff>
      <xdr:row>765</xdr:row>
      <xdr:rowOff>19050</xdr:rowOff>
    </xdr:from>
    <xdr:to>
      <xdr:col>15</xdr:col>
      <xdr:colOff>314325</xdr:colOff>
      <xdr:row>767</xdr:row>
      <xdr:rowOff>142875</xdr:rowOff>
    </xdr:to>
    <xdr:pic>
      <xdr:nvPicPr>
        <xdr:cNvPr id="14418" name="Picture 158504" descr="Butterfly Logo"/>
        <xdr:cNvPicPr>
          <a:picLocks noChangeAspect="1" noChangeArrowheads="1"/>
        </xdr:cNvPicPr>
      </xdr:nvPicPr>
      <xdr:blipFill>
        <a:blip xmlns:r="http://schemas.openxmlformats.org/officeDocument/2006/relationships" r:embed="rId2" cstate="print"/>
        <a:srcRect/>
        <a:stretch>
          <a:fillRect/>
        </a:stretch>
      </xdr:blipFill>
      <xdr:spPr bwMode="auto">
        <a:xfrm>
          <a:off x="3810000" y="123891675"/>
          <a:ext cx="2219325" cy="447675"/>
        </a:xfrm>
        <a:prstGeom prst="rect">
          <a:avLst/>
        </a:prstGeom>
        <a:noFill/>
        <a:ln w="9525">
          <a:noFill/>
          <a:miter lim="800000"/>
          <a:headEnd/>
          <a:tailEnd/>
        </a:ln>
      </xdr:spPr>
    </xdr:pic>
    <xdr:clientData/>
  </xdr:twoCellAnchor>
  <xdr:twoCellAnchor>
    <xdr:from>
      <xdr:col>10</xdr:col>
      <xdr:colOff>0</xdr:colOff>
      <xdr:row>816</xdr:row>
      <xdr:rowOff>19050</xdr:rowOff>
    </xdr:from>
    <xdr:to>
      <xdr:col>15</xdr:col>
      <xdr:colOff>314325</xdr:colOff>
      <xdr:row>818</xdr:row>
      <xdr:rowOff>142875</xdr:rowOff>
    </xdr:to>
    <xdr:pic>
      <xdr:nvPicPr>
        <xdr:cNvPr id="14419" name="Picture 158504" descr="Butterfly Logo"/>
        <xdr:cNvPicPr>
          <a:picLocks noChangeAspect="1" noChangeArrowheads="1"/>
        </xdr:cNvPicPr>
      </xdr:nvPicPr>
      <xdr:blipFill>
        <a:blip xmlns:r="http://schemas.openxmlformats.org/officeDocument/2006/relationships" r:embed="rId2" cstate="print"/>
        <a:srcRect/>
        <a:stretch>
          <a:fillRect/>
        </a:stretch>
      </xdr:blipFill>
      <xdr:spPr bwMode="auto">
        <a:xfrm>
          <a:off x="3810000" y="132149850"/>
          <a:ext cx="2219325" cy="447675"/>
        </a:xfrm>
        <a:prstGeom prst="rect">
          <a:avLst/>
        </a:prstGeom>
        <a:noFill/>
        <a:ln w="9525">
          <a:noFill/>
          <a:miter lim="800000"/>
          <a:headEnd/>
          <a:tailEnd/>
        </a:ln>
      </xdr:spPr>
    </xdr:pic>
    <xdr:clientData/>
  </xdr:twoCellAnchor>
  <xdr:twoCellAnchor>
    <xdr:from>
      <xdr:col>10</xdr:col>
      <xdr:colOff>0</xdr:colOff>
      <xdr:row>867</xdr:row>
      <xdr:rowOff>19050</xdr:rowOff>
    </xdr:from>
    <xdr:to>
      <xdr:col>15</xdr:col>
      <xdr:colOff>314325</xdr:colOff>
      <xdr:row>869</xdr:row>
      <xdr:rowOff>142875</xdr:rowOff>
    </xdr:to>
    <xdr:pic>
      <xdr:nvPicPr>
        <xdr:cNvPr id="14420" name="Picture 158504" descr="Butterfly Logo"/>
        <xdr:cNvPicPr>
          <a:picLocks noChangeAspect="1" noChangeArrowheads="1"/>
        </xdr:cNvPicPr>
      </xdr:nvPicPr>
      <xdr:blipFill>
        <a:blip xmlns:r="http://schemas.openxmlformats.org/officeDocument/2006/relationships" r:embed="rId2" cstate="print"/>
        <a:srcRect/>
        <a:stretch>
          <a:fillRect/>
        </a:stretch>
      </xdr:blipFill>
      <xdr:spPr bwMode="auto">
        <a:xfrm>
          <a:off x="3810000" y="140408025"/>
          <a:ext cx="2219325" cy="447675"/>
        </a:xfrm>
        <a:prstGeom prst="rect">
          <a:avLst/>
        </a:prstGeom>
        <a:noFill/>
        <a:ln w="9525">
          <a:noFill/>
          <a:miter lim="800000"/>
          <a:headEnd/>
          <a:tailEnd/>
        </a:ln>
      </xdr:spPr>
    </xdr:pic>
    <xdr:clientData/>
  </xdr:twoCellAnchor>
  <xdr:twoCellAnchor>
    <xdr:from>
      <xdr:col>10</xdr:col>
      <xdr:colOff>0</xdr:colOff>
      <xdr:row>918</xdr:row>
      <xdr:rowOff>19050</xdr:rowOff>
    </xdr:from>
    <xdr:to>
      <xdr:col>15</xdr:col>
      <xdr:colOff>314325</xdr:colOff>
      <xdr:row>920</xdr:row>
      <xdr:rowOff>142875</xdr:rowOff>
    </xdr:to>
    <xdr:pic>
      <xdr:nvPicPr>
        <xdr:cNvPr id="14421" name="Picture 158504" descr="Butterfly Logo"/>
        <xdr:cNvPicPr>
          <a:picLocks noChangeAspect="1" noChangeArrowheads="1"/>
        </xdr:cNvPicPr>
      </xdr:nvPicPr>
      <xdr:blipFill>
        <a:blip xmlns:r="http://schemas.openxmlformats.org/officeDocument/2006/relationships" r:embed="rId2" cstate="print"/>
        <a:srcRect/>
        <a:stretch>
          <a:fillRect/>
        </a:stretch>
      </xdr:blipFill>
      <xdr:spPr bwMode="auto">
        <a:xfrm>
          <a:off x="3810000" y="148666200"/>
          <a:ext cx="2219325" cy="447675"/>
        </a:xfrm>
        <a:prstGeom prst="rect">
          <a:avLst/>
        </a:prstGeom>
        <a:noFill/>
        <a:ln w="9525">
          <a:noFill/>
          <a:miter lim="800000"/>
          <a:headEnd/>
          <a:tailEnd/>
        </a:ln>
      </xdr:spPr>
    </xdr:pic>
    <xdr:clientData/>
  </xdr:twoCellAnchor>
  <xdr:twoCellAnchor>
    <xdr:from>
      <xdr:col>10</xdr:col>
      <xdr:colOff>0</xdr:colOff>
      <xdr:row>969</xdr:row>
      <xdr:rowOff>19050</xdr:rowOff>
    </xdr:from>
    <xdr:to>
      <xdr:col>15</xdr:col>
      <xdr:colOff>314325</xdr:colOff>
      <xdr:row>971</xdr:row>
      <xdr:rowOff>142875</xdr:rowOff>
    </xdr:to>
    <xdr:pic>
      <xdr:nvPicPr>
        <xdr:cNvPr id="14422" name="Picture 158504" descr="Butterfly Logo"/>
        <xdr:cNvPicPr>
          <a:picLocks noChangeAspect="1" noChangeArrowheads="1"/>
        </xdr:cNvPicPr>
      </xdr:nvPicPr>
      <xdr:blipFill>
        <a:blip xmlns:r="http://schemas.openxmlformats.org/officeDocument/2006/relationships" r:embed="rId2" cstate="print"/>
        <a:srcRect/>
        <a:stretch>
          <a:fillRect/>
        </a:stretch>
      </xdr:blipFill>
      <xdr:spPr bwMode="auto">
        <a:xfrm>
          <a:off x="3810000" y="156924375"/>
          <a:ext cx="2219325" cy="447675"/>
        </a:xfrm>
        <a:prstGeom prst="rect">
          <a:avLst/>
        </a:prstGeom>
        <a:noFill/>
        <a:ln w="9525">
          <a:noFill/>
          <a:miter lim="800000"/>
          <a:headEnd/>
          <a:tailEnd/>
        </a:ln>
      </xdr:spPr>
    </xdr:pic>
    <xdr:clientData/>
  </xdr:twoCellAnchor>
  <xdr:twoCellAnchor>
    <xdr:from>
      <xdr:col>10</xdr:col>
      <xdr:colOff>0</xdr:colOff>
      <xdr:row>1020</xdr:row>
      <xdr:rowOff>19050</xdr:rowOff>
    </xdr:from>
    <xdr:to>
      <xdr:col>15</xdr:col>
      <xdr:colOff>314325</xdr:colOff>
      <xdr:row>1022</xdr:row>
      <xdr:rowOff>142875</xdr:rowOff>
    </xdr:to>
    <xdr:pic>
      <xdr:nvPicPr>
        <xdr:cNvPr id="14423" name="Picture 158504" descr="Butterfly Logo"/>
        <xdr:cNvPicPr>
          <a:picLocks noChangeAspect="1" noChangeArrowheads="1"/>
        </xdr:cNvPicPr>
      </xdr:nvPicPr>
      <xdr:blipFill>
        <a:blip xmlns:r="http://schemas.openxmlformats.org/officeDocument/2006/relationships" r:embed="rId2" cstate="print"/>
        <a:srcRect/>
        <a:stretch>
          <a:fillRect/>
        </a:stretch>
      </xdr:blipFill>
      <xdr:spPr bwMode="auto">
        <a:xfrm>
          <a:off x="3810000" y="165182550"/>
          <a:ext cx="2219325" cy="447675"/>
        </a:xfrm>
        <a:prstGeom prst="rect">
          <a:avLst/>
        </a:prstGeom>
        <a:noFill/>
        <a:ln w="9525">
          <a:noFill/>
          <a:miter lim="800000"/>
          <a:headEnd/>
          <a:tailEnd/>
        </a:ln>
      </xdr:spPr>
    </xdr:pic>
    <xdr:clientData/>
  </xdr:twoCellAnchor>
  <xdr:twoCellAnchor>
    <xdr:from>
      <xdr:col>10</xdr:col>
      <xdr:colOff>0</xdr:colOff>
      <xdr:row>1071</xdr:row>
      <xdr:rowOff>19050</xdr:rowOff>
    </xdr:from>
    <xdr:to>
      <xdr:col>15</xdr:col>
      <xdr:colOff>314325</xdr:colOff>
      <xdr:row>1073</xdr:row>
      <xdr:rowOff>142875</xdr:rowOff>
    </xdr:to>
    <xdr:pic>
      <xdr:nvPicPr>
        <xdr:cNvPr id="14424" name="Picture 158504" descr="Butterfly Logo"/>
        <xdr:cNvPicPr>
          <a:picLocks noChangeAspect="1" noChangeArrowheads="1"/>
        </xdr:cNvPicPr>
      </xdr:nvPicPr>
      <xdr:blipFill>
        <a:blip xmlns:r="http://schemas.openxmlformats.org/officeDocument/2006/relationships" r:embed="rId2" cstate="print"/>
        <a:srcRect/>
        <a:stretch>
          <a:fillRect/>
        </a:stretch>
      </xdr:blipFill>
      <xdr:spPr bwMode="auto">
        <a:xfrm>
          <a:off x="3810000" y="173440725"/>
          <a:ext cx="2219325" cy="447675"/>
        </a:xfrm>
        <a:prstGeom prst="rect">
          <a:avLst/>
        </a:prstGeom>
        <a:noFill/>
        <a:ln w="9525">
          <a:noFill/>
          <a:miter lim="800000"/>
          <a:headEnd/>
          <a:tailEnd/>
        </a:ln>
      </xdr:spPr>
    </xdr:pic>
    <xdr:clientData/>
  </xdr:twoCellAnchor>
  <xdr:twoCellAnchor>
    <xdr:from>
      <xdr:col>10</xdr:col>
      <xdr:colOff>0</xdr:colOff>
      <xdr:row>1122</xdr:row>
      <xdr:rowOff>19050</xdr:rowOff>
    </xdr:from>
    <xdr:to>
      <xdr:col>15</xdr:col>
      <xdr:colOff>314325</xdr:colOff>
      <xdr:row>1124</xdr:row>
      <xdr:rowOff>142875</xdr:rowOff>
    </xdr:to>
    <xdr:pic>
      <xdr:nvPicPr>
        <xdr:cNvPr id="14425" name="Picture 158504" descr="Butterfly Logo"/>
        <xdr:cNvPicPr>
          <a:picLocks noChangeAspect="1" noChangeArrowheads="1"/>
        </xdr:cNvPicPr>
      </xdr:nvPicPr>
      <xdr:blipFill>
        <a:blip xmlns:r="http://schemas.openxmlformats.org/officeDocument/2006/relationships" r:embed="rId2" cstate="print"/>
        <a:srcRect/>
        <a:stretch>
          <a:fillRect/>
        </a:stretch>
      </xdr:blipFill>
      <xdr:spPr bwMode="auto">
        <a:xfrm>
          <a:off x="3810000" y="181698900"/>
          <a:ext cx="2219325" cy="447675"/>
        </a:xfrm>
        <a:prstGeom prst="rect">
          <a:avLst/>
        </a:prstGeom>
        <a:noFill/>
        <a:ln w="9525">
          <a:noFill/>
          <a:miter lim="800000"/>
          <a:headEnd/>
          <a:tailEnd/>
        </a:ln>
      </xdr:spPr>
    </xdr:pic>
    <xdr:clientData/>
  </xdr:twoCellAnchor>
  <xdr:twoCellAnchor>
    <xdr:from>
      <xdr:col>10</xdr:col>
      <xdr:colOff>0</xdr:colOff>
      <xdr:row>1173</xdr:row>
      <xdr:rowOff>19050</xdr:rowOff>
    </xdr:from>
    <xdr:to>
      <xdr:col>15</xdr:col>
      <xdr:colOff>314325</xdr:colOff>
      <xdr:row>1175</xdr:row>
      <xdr:rowOff>142875</xdr:rowOff>
    </xdr:to>
    <xdr:pic>
      <xdr:nvPicPr>
        <xdr:cNvPr id="14426" name="Picture 158504" descr="Butterfly Logo"/>
        <xdr:cNvPicPr>
          <a:picLocks noChangeAspect="1" noChangeArrowheads="1"/>
        </xdr:cNvPicPr>
      </xdr:nvPicPr>
      <xdr:blipFill>
        <a:blip xmlns:r="http://schemas.openxmlformats.org/officeDocument/2006/relationships" r:embed="rId2" cstate="print"/>
        <a:srcRect/>
        <a:stretch>
          <a:fillRect/>
        </a:stretch>
      </xdr:blipFill>
      <xdr:spPr bwMode="auto">
        <a:xfrm>
          <a:off x="3810000" y="189957075"/>
          <a:ext cx="2219325" cy="447675"/>
        </a:xfrm>
        <a:prstGeom prst="rect">
          <a:avLst/>
        </a:prstGeom>
        <a:noFill/>
        <a:ln w="9525">
          <a:noFill/>
          <a:miter lim="800000"/>
          <a:headEnd/>
          <a:tailEnd/>
        </a:ln>
      </xdr:spPr>
    </xdr:pic>
    <xdr:clientData/>
  </xdr:twoCellAnchor>
  <xdr:twoCellAnchor>
    <xdr:from>
      <xdr:col>10</xdr:col>
      <xdr:colOff>0</xdr:colOff>
      <xdr:row>1224</xdr:row>
      <xdr:rowOff>19050</xdr:rowOff>
    </xdr:from>
    <xdr:to>
      <xdr:col>15</xdr:col>
      <xdr:colOff>314325</xdr:colOff>
      <xdr:row>1226</xdr:row>
      <xdr:rowOff>142875</xdr:rowOff>
    </xdr:to>
    <xdr:pic>
      <xdr:nvPicPr>
        <xdr:cNvPr id="14427" name="Picture 158504" descr="Butterfly Logo"/>
        <xdr:cNvPicPr>
          <a:picLocks noChangeAspect="1" noChangeArrowheads="1"/>
        </xdr:cNvPicPr>
      </xdr:nvPicPr>
      <xdr:blipFill>
        <a:blip xmlns:r="http://schemas.openxmlformats.org/officeDocument/2006/relationships" r:embed="rId2" cstate="print"/>
        <a:srcRect/>
        <a:stretch>
          <a:fillRect/>
        </a:stretch>
      </xdr:blipFill>
      <xdr:spPr bwMode="auto">
        <a:xfrm>
          <a:off x="3810000" y="198215250"/>
          <a:ext cx="2219325" cy="447675"/>
        </a:xfrm>
        <a:prstGeom prst="rect">
          <a:avLst/>
        </a:prstGeom>
        <a:noFill/>
        <a:ln w="9525">
          <a:noFill/>
          <a:miter lim="800000"/>
          <a:headEnd/>
          <a:tailEnd/>
        </a:ln>
      </xdr:spPr>
    </xdr:pic>
    <xdr:clientData/>
  </xdr:twoCellAnchor>
  <xdr:twoCellAnchor>
    <xdr:from>
      <xdr:col>10</xdr:col>
      <xdr:colOff>0</xdr:colOff>
      <xdr:row>1275</xdr:row>
      <xdr:rowOff>19050</xdr:rowOff>
    </xdr:from>
    <xdr:to>
      <xdr:col>15</xdr:col>
      <xdr:colOff>314325</xdr:colOff>
      <xdr:row>1277</xdr:row>
      <xdr:rowOff>142875</xdr:rowOff>
    </xdr:to>
    <xdr:pic>
      <xdr:nvPicPr>
        <xdr:cNvPr id="14428" name="Picture 158504" descr="Butterfly Logo"/>
        <xdr:cNvPicPr>
          <a:picLocks noChangeAspect="1" noChangeArrowheads="1"/>
        </xdr:cNvPicPr>
      </xdr:nvPicPr>
      <xdr:blipFill>
        <a:blip xmlns:r="http://schemas.openxmlformats.org/officeDocument/2006/relationships" r:embed="rId2" cstate="print"/>
        <a:srcRect/>
        <a:stretch>
          <a:fillRect/>
        </a:stretch>
      </xdr:blipFill>
      <xdr:spPr bwMode="auto">
        <a:xfrm>
          <a:off x="3810000" y="206473425"/>
          <a:ext cx="2219325" cy="447675"/>
        </a:xfrm>
        <a:prstGeom prst="rect">
          <a:avLst/>
        </a:prstGeom>
        <a:noFill/>
        <a:ln w="9525">
          <a:noFill/>
          <a:miter lim="800000"/>
          <a:headEnd/>
          <a:tailEnd/>
        </a:ln>
      </xdr:spPr>
    </xdr:pic>
    <xdr:clientData/>
  </xdr:twoCellAnchor>
  <xdr:twoCellAnchor>
    <xdr:from>
      <xdr:col>10</xdr:col>
      <xdr:colOff>0</xdr:colOff>
      <xdr:row>1326</xdr:row>
      <xdr:rowOff>19050</xdr:rowOff>
    </xdr:from>
    <xdr:to>
      <xdr:col>15</xdr:col>
      <xdr:colOff>314325</xdr:colOff>
      <xdr:row>1328</xdr:row>
      <xdr:rowOff>142875</xdr:rowOff>
    </xdr:to>
    <xdr:pic>
      <xdr:nvPicPr>
        <xdr:cNvPr id="14429" name="Picture 158504" descr="Butterfly Logo"/>
        <xdr:cNvPicPr>
          <a:picLocks noChangeAspect="1" noChangeArrowheads="1"/>
        </xdr:cNvPicPr>
      </xdr:nvPicPr>
      <xdr:blipFill>
        <a:blip xmlns:r="http://schemas.openxmlformats.org/officeDocument/2006/relationships" r:embed="rId2" cstate="print"/>
        <a:srcRect/>
        <a:stretch>
          <a:fillRect/>
        </a:stretch>
      </xdr:blipFill>
      <xdr:spPr bwMode="auto">
        <a:xfrm>
          <a:off x="3810000" y="214731600"/>
          <a:ext cx="2219325" cy="447675"/>
        </a:xfrm>
        <a:prstGeom prst="rect">
          <a:avLst/>
        </a:prstGeom>
        <a:noFill/>
        <a:ln w="9525">
          <a:noFill/>
          <a:miter lim="800000"/>
          <a:headEnd/>
          <a:tailEnd/>
        </a:ln>
      </xdr:spPr>
    </xdr:pic>
    <xdr:clientData/>
  </xdr:twoCellAnchor>
  <xdr:twoCellAnchor>
    <xdr:from>
      <xdr:col>10</xdr:col>
      <xdr:colOff>0</xdr:colOff>
      <xdr:row>1377</xdr:row>
      <xdr:rowOff>19050</xdr:rowOff>
    </xdr:from>
    <xdr:to>
      <xdr:col>15</xdr:col>
      <xdr:colOff>314325</xdr:colOff>
      <xdr:row>1379</xdr:row>
      <xdr:rowOff>142875</xdr:rowOff>
    </xdr:to>
    <xdr:pic>
      <xdr:nvPicPr>
        <xdr:cNvPr id="14430" name="Picture 158504" descr="Butterfly Logo"/>
        <xdr:cNvPicPr>
          <a:picLocks noChangeAspect="1" noChangeArrowheads="1"/>
        </xdr:cNvPicPr>
      </xdr:nvPicPr>
      <xdr:blipFill>
        <a:blip xmlns:r="http://schemas.openxmlformats.org/officeDocument/2006/relationships" r:embed="rId2" cstate="print"/>
        <a:srcRect/>
        <a:stretch>
          <a:fillRect/>
        </a:stretch>
      </xdr:blipFill>
      <xdr:spPr bwMode="auto">
        <a:xfrm>
          <a:off x="3810000" y="222989775"/>
          <a:ext cx="2219325" cy="447675"/>
        </a:xfrm>
        <a:prstGeom prst="rect">
          <a:avLst/>
        </a:prstGeom>
        <a:noFill/>
        <a:ln w="9525">
          <a:noFill/>
          <a:miter lim="800000"/>
          <a:headEnd/>
          <a:tailEnd/>
        </a:ln>
      </xdr:spPr>
    </xdr:pic>
    <xdr:clientData/>
  </xdr:twoCellAnchor>
  <xdr:twoCellAnchor>
    <xdr:from>
      <xdr:col>10</xdr:col>
      <xdr:colOff>0</xdr:colOff>
      <xdr:row>1428</xdr:row>
      <xdr:rowOff>19050</xdr:rowOff>
    </xdr:from>
    <xdr:to>
      <xdr:col>15</xdr:col>
      <xdr:colOff>314325</xdr:colOff>
      <xdr:row>1430</xdr:row>
      <xdr:rowOff>142875</xdr:rowOff>
    </xdr:to>
    <xdr:pic>
      <xdr:nvPicPr>
        <xdr:cNvPr id="14431" name="Picture 158504" descr="Butterfly Logo"/>
        <xdr:cNvPicPr>
          <a:picLocks noChangeAspect="1" noChangeArrowheads="1"/>
        </xdr:cNvPicPr>
      </xdr:nvPicPr>
      <xdr:blipFill>
        <a:blip xmlns:r="http://schemas.openxmlformats.org/officeDocument/2006/relationships" r:embed="rId2" cstate="print"/>
        <a:srcRect/>
        <a:stretch>
          <a:fillRect/>
        </a:stretch>
      </xdr:blipFill>
      <xdr:spPr bwMode="auto">
        <a:xfrm>
          <a:off x="3810000" y="231247950"/>
          <a:ext cx="2219325" cy="447675"/>
        </a:xfrm>
        <a:prstGeom prst="rect">
          <a:avLst/>
        </a:prstGeom>
        <a:noFill/>
        <a:ln w="9525">
          <a:noFill/>
          <a:miter lim="800000"/>
          <a:headEnd/>
          <a:tailEnd/>
        </a:ln>
      </xdr:spPr>
    </xdr:pic>
    <xdr:clientData/>
  </xdr:twoCellAnchor>
  <xdr:twoCellAnchor>
    <xdr:from>
      <xdr:col>10</xdr:col>
      <xdr:colOff>0</xdr:colOff>
      <xdr:row>1479</xdr:row>
      <xdr:rowOff>19050</xdr:rowOff>
    </xdr:from>
    <xdr:to>
      <xdr:col>15</xdr:col>
      <xdr:colOff>314325</xdr:colOff>
      <xdr:row>1481</xdr:row>
      <xdr:rowOff>142875</xdr:rowOff>
    </xdr:to>
    <xdr:pic>
      <xdr:nvPicPr>
        <xdr:cNvPr id="14432" name="Picture 158504" descr="Butterfly Logo"/>
        <xdr:cNvPicPr>
          <a:picLocks noChangeAspect="1" noChangeArrowheads="1"/>
        </xdr:cNvPicPr>
      </xdr:nvPicPr>
      <xdr:blipFill>
        <a:blip xmlns:r="http://schemas.openxmlformats.org/officeDocument/2006/relationships" r:embed="rId2" cstate="print"/>
        <a:srcRect/>
        <a:stretch>
          <a:fillRect/>
        </a:stretch>
      </xdr:blipFill>
      <xdr:spPr bwMode="auto">
        <a:xfrm>
          <a:off x="3810000" y="239506125"/>
          <a:ext cx="2219325" cy="447675"/>
        </a:xfrm>
        <a:prstGeom prst="rect">
          <a:avLst/>
        </a:prstGeom>
        <a:noFill/>
        <a:ln w="9525">
          <a:noFill/>
          <a:miter lim="800000"/>
          <a:headEnd/>
          <a:tailEnd/>
        </a:ln>
      </xdr:spPr>
    </xdr:pic>
    <xdr:clientData/>
  </xdr:twoCellAnchor>
  <xdr:twoCellAnchor>
    <xdr:from>
      <xdr:col>10</xdr:col>
      <xdr:colOff>0</xdr:colOff>
      <xdr:row>1530</xdr:row>
      <xdr:rowOff>19050</xdr:rowOff>
    </xdr:from>
    <xdr:to>
      <xdr:col>15</xdr:col>
      <xdr:colOff>314325</xdr:colOff>
      <xdr:row>1532</xdr:row>
      <xdr:rowOff>142875</xdr:rowOff>
    </xdr:to>
    <xdr:pic>
      <xdr:nvPicPr>
        <xdr:cNvPr id="14433" name="Picture 158504" descr="Butterfly Logo"/>
        <xdr:cNvPicPr>
          <a:picLocks noChangeAspect="1" noChangeArrowheads="1"/>
        </xdr:cNvPicPr>
      </xdr:nvPicPr>
      <xdr:blipFill>
        <a:blip xmlns:r="http://schemas.openxmlformats.org/officeDocument/2006/relationships" r:embed="rId2" cstate="print"/>
        <a:srcRect/>
        <a:stretch>
          <a:fillRect/>
        </a:stretch>
      </xdr:blipFill>
      <xdr:spPr bwMode="auto">
        <a:xfrm>
          <a:off x="3810000" y="247764300"/>
          <a:ext cx="2219325" cy="447675"/>
        </a:xfrm>
        <a:prstGeom prst="rect">
          <a:avLst/>
        </a:prstGeom>
        <a:noFill/>
        <a:ln w="9525">
          <a:noFill/>
          <a:miter lim="800000"/>
          <a:headEnd/>
          <a:tailEnd/>
        </a:ln>
      </xdr:spPr>
    </xdr:pic>
    <xdr:clientData/>
  </xdr:twoCellAnchor>
  <xdr:twoCellAnchor>
    <xdr:from>
      <xdr:col>10</xdr:col>
      <xdr:colOff>0</xdr:colOff>
      <xdr:row>1581</xdr:row>
      <xdr:rowOff>19050</xdr:rowOff>
    </xdr:from>
    <xdr:to>
      <xdr:col>15</xdr:col>
      <xdr:colOff>314325</xdr:colOff>
      <xdr:row>1583</xdr:row>
      <xdr:rowOff>142875</xdr:rowOff>
    </xdr:to>
    <xdr:pic>
      <xdr:nvPicPr>
        <xdr:cNvPr id="14434" name="Picture 158504" descr="Butterfly Logo"/>
        <xdr:cNvPicPr>
          <a:picLocks noChangeAspect="1" noChangeArrowheads="1"/>
        </xdr:cNvPicPr>
      </xdr:nvPicPr>
      <xdr:blipFill>
        <a:blip xmlns:r="http://schemas.openxmlformats.org/officeDocument/2006/relationships" r:embed="rId2" cstate="print"/>
        <a:srcRect/>
        <a:stretch>
          <a:fillRect/>
        </a:stretch>
      </xdr:blipFill>
      <xdr:spPr bwMode="auto">
        <a:xfrm>
          <a:off x="3810000" y="256022475"/>
          <a:ext cx="2219325" cy="447675"/>
        </a:xfrm>
        <a:prstGeom prst="rect">
          <a:avLst/>
        </a:prstGeom>
        <a:noFill/>
        <a:ln w="9525">
          <a:noFill/>
          <a:miter lim="800000"/>
          <a:headEnd/>
          <a:tailEnd/>
        </a:ln>
      </xdr:spPr>
    </xdr:pic>
    <xdr:clientData/>
  </xdr:twoCellAnchor>
  <xdr:twoCellAnchor>
    <xdr:from>
      <xdr:col>10</xdr:col>
      <xdr:colOff>0</xdr:colOff>
      <xdr:row>1632</xdr:row>
      <xdr:rowOff>19050</xdr:rowOff>
    </xdr:from>
    <xdr:to>
      <xdr:col>15</xdr:col>
      <xdr:colOff>314325</xdr:colOff>
      <xdr:row>1634</xdr:row>
      <xdr:rowOff>142875</xdr:rowOff>
    </xdr:to>
    <xdr:pic>
      <xdr:nvPicPr>
        <xdr:cNvPr id="14435" name="Picture 158504" descr="Butterfly Logo"/>
        <xdr:cNvPicPr>
          <a:picLocks noChangeAspect="1" noChangeArrowheads="1"/>
        </xdr:cNvPicPr>
      </xdr:nvPicPr>
      <xdr:blipFill>
        <a:blip xmlns:r="http://schemas.openxmlformats.org/officeDocument/2006/relationships" r:embed="rId2" cstate="print"/>
        <a:srcRect/>
        <a:stretch>
          <a:fillRect/>
        </a:stretch>
      </xdr:blipFill>
      <xdr:spPr bwMode="auto">
        <a:xfrm>
          <a:off x="3810000" y="264280650"/>
          <a:ext cx="2219325" cy="447675"/>
        </a:xfrm>
        <a:prstGeom prst="rect">
          <a:avLst/>
        </a:prstGeom>
        <a:noFill/>
        <a:ln w="9525">
          <a:noFill/>
          <a:miter lim="800000"/>
          <a:headEnd/>
          <a:tailEnd/>
        </a:ln>
      </xdr:spPr>
    </xdr:pic>
    <xdr:clientData/>
  </xdr:twoCellAnchor>
  <xdr:twoCellAnchor>
    <xdr:from>
      <xdr:col>10</xdr:col>
      <xdr:colOff>0</xdr:colOff>
      <xdr:row>1683</xdr:row>
      <xdr:rowOff>19050</xdr:rowOff>
    </xdr:from>
    <xdr:to>
      <xdr:col>15</xdr:col>
      <xdr:colOff>314325</xdr:colOff>
      <xdr:row>1685</xdr:row>
      <xdr:rowOff>142875</xdr:rowOff>
    </xdr:to>
    <xdr:pic>
      <xdr:nvPicPr>
        <xdr:cNvPr id="14436" name="Picture 158504" descr="Butterfly Logo"/>
        <xdr:cNvPicPr>
          <a:picLocks noChangeAspect="1" noChangeArrowheads="1"/>
        </xdr:cNvPicPr>
      </xdr:nvPicPr>
      <xdr:blipFill>
        <a:blip xmlns:r="http://schemas.openxmlformats.org/officeDocument/2006/relationships" r:embed="rId2" cstate="print"/>
        <a:srcRect/>
        <a:stretch>
          <a:fillRect/>
        </a:stretch>
      </xdr:blipFill>
      <xdr:spPr bwMode="auto">
        <a:xfrm>
          <a:off x="3810000" y="272538825"/>
          <a:ext cx="2219325" cy="447675"/>
        </a:xfrm>
        <a:prstGeom prst="rect">
          <a:avLst/>
        </a:prstGeom>
        <a:noFill/>
        <a:ln w="9525">
          <a:noFill/>
          <a:miter lim="800000"/>
          <a:headEnd/>
          <a:tailEnd/>
        </a:ln>
      </xdr:spPr>
    </xdr:pic>
    <xdr:clientData/>
  </xdr:twoCellAnchor>
  <xdr:twoCellAnchor>
    <xdr:from>
      <xdr:col>10</xdr:col>
      <xdr:colOff>0</xdr:colOff>
      <xdr:row>1734</xdr:row>
      <xdr:rowOff>19050</xdr:rowOff>
    </xdr:from>
    <xdr:to>
      <xdr:col>15</xdr:col>
      <xdr:colOff>314325</xdr:colOff>
      <xdr:row>1736</xdr:row>
      <xdr:rowOff>142875</xdr:rowOff>
    </xdr:to>
    <xdr:pic>
      <xdr:nvPicPr>
        <xdr:cNvPr id="14437" name="Picture 158504" descr="Butterfly Logo"/>
        <xdr:cNvPicPr>
          <a:picLocks noChangeAspect="1" noChangeArrowheads="1"/>
        </xdr:cNvPicPr>
      </xdr:nvPicPr>
      <xdr:blipFill>
        <a:blip xmlns:r="http://schemas.openxmlformats.org/officeDocument/2006/relationships" r:embed="rId2" cstate="print"/>
        <a:srcRect/>
        <a:stretch>
          <a:fillRect/>
        </a:stretch>
      </xdr:blipFill>
      <xdr:spPr bwMode="auto">
        <a:xfrm>
          <a:off x="3810000" y="280797000"/>
          <a:ext cx="2219325" cy="447675"/>
        </a:xfrm>
        <a:prstGeom prst="rect">
          <a:avLst/>
        </a:prstGeom>
        <a:noFill/>
        <a:ln w="9525">
          <a:noFill/>
          <a:miter lim="800000"/>
          <a:headEnd/>
          <a:tailEnd/>
        </a:ln>
      </xdr:spPr>
    </xdr:pic>
    <xdr:clientData/>
  </xdr:twoCellAnchor>
  <xdr:twoCellAnchor>
    <xdr:from>
      <xdr:col>10</xdr:col>
      <xdr:colOff>0</xdr:colOff>
      <xdr:row>1785</xdr:row>
      <xdr:rowOff>19050</xdr:rowOff>
    </xdr:from>
    <xdr:to>
      <xdr:col>15</xdr:col>
      <xdr:colOff>314325</xdr:colOff>
      <xdr:row>1787</xdr:row>
      <xdr:rowOff>142875</xdr:rowOff>
    </xdr:to>
    <xdr:pic>
      <xdr:nvPicPr>
        <xdr:cNvPr id="14438" name="Picture 158504" descr="Butterfly Logo"/>
        <xdr:cNvPicPr>
          <a:picLocks noChangeAspect="1" noChangeArrowheads="1"/>
        </xdr:cNvPicPr>
      </xdr:nvPicPr>
      <xdr:blipFill>
        <a:blip xmlns:r="http://schemas.openxmlformats.org/officeDocument/2006/relationships" r:embed="rId2" cstate="print"/>
        <a:srcRect/>
        <a:stretch>
          <a:fillRect/>
        </a:stretch>
      </xdr:blipFill>
      <xdr:spPr bwMode="auto">
        <a:xfrm>
          <a:off x="3810000" y="289055175"/>
          <a:ext cx="2219325" cy="447675"/>
        </a:xfrm>
        <a:prstGeom prst="rect">
          <a:avLst/>
        </a:prstGeom>
        <a:noFill/>
        <a:ln w="9525">
          <a:noFill/>
          <a:miter lim="800000"/>
          <a:headEnd/>
          <a:tailEnd/>
        </a:ln>
      </xdr:spPr>
    </xdr:pic>
    <xdr:clientData/>
  </xdr:twoCellAnchor>
  <xdr:twoCellAnchor>
    <xdr:from>
      <xdr:col>10</xdr:col>
      <xdr:colOff>0</xdr:colOff>
      <xdr:row>1836</xdr:row>
      <xdr:rowOff>19050</xdr:rowOff>
    </xdr:from>
    <xdr:to>
      <xdr:col>15</xdr:col>
      <xdr:colOff>314325</xdr:colOff>
      <xdr:row>1838</xdr:row>
      <xdr:rowOff>142875</xdr:rowOff>
    </xdr:to>
    <xdr:pic>
      <xdr:nvPicPr>
        <xdr:cNvPr id="14439" name="Picture 158504" descr="Butterfly Logo"/>
        <xdr:cNvPicPr>
          <a:picLocks noChangeAspect="1" noChangeArrowheads="1"/>
        </xdr:cNvPicPr>
      </xdr:nvPicPr>
      <xdr:blipFill>
        <a:blip xmlns:r="http://schemas.openxmlformats.org/officeDocument/2006/relationships" r:embed="rId2" cstate="print"/>
        <a:srcRect/>
        <a:stretch>
          <a:fillRect/>
        </a:stretch>
      </xdr:blipFill>
      <xdr:spPr bwMode="auto">
        <a:xfrm>
          <a:off x="3810000" y="297313350"/>
          <a:ext cx="2219325" cy="447675"/>
        </a:xfrm>
        <a:prstGeom prst="rect">
          <a:avLst/>
        </a:prstGeom>
        <a:noFill/>
        <a:ln w="9525">
          <a:noFill/>
          <a:miter lim="800000"/>
          <a:headEnd/>
          <a:tailEnd/>
        </a:ln>
      </xdr:spPr>
    </xdr:pic>
    <xdr:clientData/>
  </xdr:twoCellAnchor>
  <xdr:twoCellAnchor>
    <xdr:from>
      <xdr:col>10</xdr:col>
      <xdr:colOff>0</xdr:colOff>
      <xdr:row>1887</xdr:row>
      <xdr:rowOff>19050</xdr:rowOff>
    </xdr:from>
    <xdr:to>
      <xdr:col>15</xdr:col>
      <xdr:colOff>314325</xdr:colOff>
      <xdr:row>1889</xdr:row>
      <xdr:rowOff>142875</xdr:rowOff>
    </xdr:to>
    <xdr:pic>
      <xdr:nvPicPr>
        <xdr:cNvPr id="14440" name="Picture 158504" descr="Butterfly Logo"/>
        <xdr:cNvPicPr>
          <a:picLocks noChangeAspect="1" noChangeArrowheads="1"/>
        </xdr:cNvPicPr>
      </xdr:nvPicPr>
      <xdr:blipFill>
        <a:blip xmlns:r="http://schemas.openxmlformats.org/officeDocument/2006/relationships" r:embed="rId2" cstate="print"/>
        <a:srcRect/>
        <a:stretch>
          <a:fillRect/>
        </a:stretch>
      </xdr:blipFill>
      <xdr:spPr bwMode="auto">
        <a:xfrm>
          <a:off x="3810000" y="305571525"/>
          <a:ext cx="2219325" cy="447675"/>
        </a:xfrm>
        <a:prstGeom prst="rect">
          <a:avLst/>
        </a:prstGeom>
        <a:noFill/>
        <a:ln w="9525">
          <a:noFill/>
          <a:miter lim="800000"/>
          <a:headEnd/>
          <a:tailEnd/>
        </a:ln>
      </xdr:spPr>
    </xdr:pic>
    <xdr:clientData/>
  </xdr:twoCellAnchor>
  <xdr:twoCellAnchor>
    <xdr:from>
      <xdr:col>10</xdr:col>
      <xdr:colOff>0</xdr:colOff>
      <xdr:row>1938</xdr:row>
      <xdr:rowOff>19050</xdr:rowOff>
    </xdr:from>
    <xdr:to>
      <xdr:col>15</xdr:col>
      <xdr:colOff>314325</xdr:colOff>
      <xdr:row>1940</xdr:row>
      <xdr:rowOff>142875</xdr:rowOff>
    </xdr:to>
    <xdr:pic>
      <xdr:nvPicPr>
        <xdr:cNvPr id="14441" name="Picture 158504" descr="Butterfly Logo"/>
        <xdr:cNvPicPr>
          <a:picLocks noChangeAspect="1" noChangeArrowheads="1"/>
        </xdr:cNvPicPr>
      </xdr:nvPicPr>
      <xdr:blipFill>
        <a:blip xmlns:r="http://schemas.openxmlformats.org/officeDocument/2006/relationships" r:embed="rId2" cstate="print"/>
        <a:srcRect/>
        <a:stretch>
          <a:fillRect/>
        </a:stretch>
      </xdr:blipFill>
      <xdr:spPr bwMode="auto">
        <a:xfrm>
          <a:off x="3810000" y="313829700"/>
          <a:ext cx="2219325" cy="447675"/>
        </a:xfrm>
        <a:prstGeom prst="rect">
          <a:avLst/>
        </a:prstGeom>
        <a:noFill/>
        <a:ln w="9525">
          <a:noFill/>
          <a:miter lim="800000"/>
          <a:headEnd/>
          <a:tailEnd/>
        </a:ln>
      </xdr:spPr>
    </xdr:pic>
    <xdr:clientData/>
  </xdr:twoCellAnchor>
  <xdr:twoCellAnchor>
    <xdr:from>
      <xdr:col>10</xdr:col>
      <xdr:colOff>0</xdr:colOff>
      <xdr:row>1989</xdr:row>
      <xdr:rowOff>19050</xdr:rowOff>
    </xdr:from>
    <xdr:to>
      <xdr:col>15</xdr:col>
      <xdr:colOff>314325</xdr:colOff>
      <xdr:row>1991</xdr:row>
      <xdr:rowOff>142875</xdr:rowOff>
    </xdr:to>
    <xdr:pic>
      <xdr:nvPicPr>
        <xdr:cNvPr id="14442" name="Picture 158504" descr="Butterfly Logo"/>
        <xdr:cNvPicPr>
          <a:picLocks noChangeAspect="1" noChangeArrowheads="1"/>
        </xdr:cNvPicPr>
      </xdr:nvPicPr>
      <xdr:blipFill>
        <a:blip xmlns:r="http://schemas.openxmlformats.org/officeDocument/2006/relationships" r:embed="rId2" cstate="print"/>
        <a:srcRect/>
        <a:stretch>
          <a:fillRect/>
        </a:stretch>
      </xdr:blipFill>
      <xdr:spPr bwMode="auto">
        <a:xfrm>
          <a:off x="3810000" y="322087875"/>
          <a:ext cx="2219325" cy="447675"/>
        </a:xfrm>
        <a:prstGeom prst="rect">
          <a:avLst/>
        </a:prstGeom>
        <a:noFill/>
        <a:ln w="9525">
          <a:noFill/>
          <a:miter lim="800000"/>
          <a:headEnd/>
          <a:tailEnd/>
        </a:ln>
      </xdr:spPr>
    </xdr:pic>
    <xdr:clientData/>
  </xdr:twoCellAnchor>
  <xdr:twoCellAnchor>
    <xdr:from>
      <xdr:col>10</xdr:col>
      <xdr:colOff>0</xdr:colOff>
      <xdr:row>2040</xdr:row>
      <xdr:rowOff>19050</xdr:rowOff>
    </xdr:from>
    <xdr:to>
      <xdr:col>15</xdr:col>
      <xdr:colOff>314325</xdr:colOff>
      <xdr:row>2042</xdr:row>
      <xdr:rowOff>142875</xdr:rowOff>
    </xdr:to>
    <xdr:pic>
      <xdr:nvPicPr>
        <xdr:cNvPr id="14443" name="Picture 158504" descr="Butterfly Logo"/>
        <xdr:cNvPicPr>
          <a:picLocks noChangeAspect="1" noChangeArrowheads="1"/>
        </xdr:cNvPicPr>
      </xdr:nvPicPr>
      <xdr:blipFill>
        <a:blip xmlns:r="http://schemas.openxmlformats.org/officeDocument/2006/relationships" r:embed="rId2" cstate="print"/>
        <a:srcRect/>
        <a:stretch>
          <a:fillRect/>
        </a:stretch>
      </xdr:blipFill>
      <xdr:spPr bwMode="auto">
        <a:xfrm>
          <a:off x="3810000" y="330346050"/>
          <a:ext cx="2219325" cy="447675"/>
        </a:xfrm>
        <a:prstGeom prst="rect">
          <a:avLst/>
        </a:prstGeom>
        <a:noFill/>
        <a:ln w="9525">
          <a:noFill/>
          <a:miter lim="800000"/>
          <a:headEnd/>
          <a:tailEnd/>
        </a:ln>
      </xdr:spPr>
    </xdr:pic>
    <xdr:clientData/>
  </xdr:twoCellAnchor>
  <xdr:twoCellAnchor>
    <xdr:from>
      <xdr:col>10</xdr:col>
      <xdr:colOff>0</xdr:colOff>
      <xdr:row>2091</xdr:row>
      <xdr:rowOff>19050</xdr:rowOff>
    </xdr:from>
    <xdr:to>
      <xdr:col>15</xdr:col>
      <xdr:colOff>314325</xdr:colOff>
      <xdr:row>2093</xdr:row>
      <xdr:rowOff>142875</xdr:rowOff>
    </xdr:to>
    <xdr:pic>
      <xdr:nvPicPr>
        <xdr:cNvPr id="14444" name="Picture 158504" descr="Butterfly Logo"/>
        <xdr:cNvPicPr>
          <a:picLocks noChangeAspect="1" noChangeArrowheads="1"/>
        </xdr:cNvPicPr>
      </xdr:nvPicPr>
      <xdr:blipFill>
        <a:blip xmlns:r="http://schemas.openxmlformats.org/officeDocument/2006/relationships" r:embed="rId2" cstate="print"/>
        <a:srcRect/>
        <a:stretch>
          <a:fillRect/>
        </a:stretch>
      </xdr:blipFill>
      <xdr:spPr bwMode="auto">
        <a:xfrm>
          <a:off x="3810000" y="338604225"/>
          <a:ext cx="2219325" cy="447675"/>
        </a:xfrm>
        <a:prstGeom prst="rect">
          <a:avLst/>
        </a:prstGeom>
        <a:noFill/>
        <a:ln w="9525">
          <a:noFill/>
          <a:miter lim="800000"/>
          <a:headEnd/>
          <a:tailEnd/>
        </a:ln>
      </xdr:spPr>
    </xdr:pic>
    <xdr:clientData/>
  </xdr:twoCellAnchor>
  <xdr:twoCellAnchor>
    <xdr:from>
      <xdr:col>10</xdr:col>
      <xdr:colOff>0</xdr:colOff>
      <xdr:row>2142</xdr:row>
      <xdr:rowOff>19050</xdr:rowOff>
    </xdr:from>
    <xdr:to>
      <xdr:col>15</xdr:col>
      <xdr:colOff>314325</xdr:colOff>
      <xdr:row>2144</xdr:row>
      <xdr:rowOff>142875</xdr:rowOff>
    </xdr:to>
    <xdr:pic>
      <xdr:nvPicPr>
        <xdr:cNvPr id="14445" name="Picture 158504" descr="Butterfly Logo"/>
        <xdr:cNvPicPr>
          <a:picLocks noChangeAspect="1" noChangeArrowheads="1"/>
        </xdr:cNvPicPr>
      </xdr:nvPicPr>
      <xdr:blipFill>
        <a:blip xmlns:r="http://schemas.openxmlformats.org/officeDocument/2006/relationships" r:embed="rId2" cstate="print"/>
        <a:srcRect/>
        <a:stretch>
          <a:fillRect/>
        </a:stretch>
      </xdr:blipFill>
      <xdr:spPr bwMode="auto">
        <a:xfrm>
          <a:off x="3810000" y="346862400"/>
          <a:ext cx="2219325" cy="447675"/>
        </a:xfrm>
        <a:prstGeom prst="rect">
          <a:avLst/>
        </a:prstGeom>
        <a:noFill/>
        <a:ln w="9525">
          <a:noFill/>
          <a:miter lim="800000"/>
          <a:headEnd/>
          <a:tailEnd/>
        </a:ln>
      </xdr:spPr>
    </xdr:pic>
    <xdr:clientData/>
  </xdr:twoCellAnchor>
  <xdr:twoCellAnchor>
    <xdr:from>
      <xdr:col>10</xdr:col>
      <xdr:colOff>0</xdr:colOff>
      <xdr:row>2193</xdr:row>
      <xdr:rowOff>19050</xdr:rowOff>
    </xdr:from>
    <xdr:to>
      <xdr:col>15</xdr:col>
      <xdr:colOff>314325</xdr:colOff>
      <xdr:row>2195</xdr:row>
      <xdr:rowOff>142875</xdr:rowOff>
    </xdr:to>
    <xdr:pic>
      <xdr:nvPicPr>
        <xdr:cNvPr id="14446" name="Picture 158504" descr="Butterfly Logo"/>
        <xdr:cNvPicPr>
          <a:picLocks noChangeAspect="1" noChangeArrowheads="1"/>
        </xdr:cNvPicPr>
      </xdr:nvPicPr>
      <xdr:blipFill>
        <a:blip xmlns:r="http://schemas.openxmlformats.org/officeDocument/2006/relationships" r:embed="rId2" cstate="print"/>
        <a:srcRect/>
        <a:stretch>
          <a:fillRect/>
        </a:stretch>
      </xdr:blipFill>
      <xdr:spPr bwMode="auto">
        <a:xfrm>
          <a:off x="3810000" y="355120575"/>
          <a:ext cx="2219325" cy="447675"/>
        </a:xfrm>
        <a:prstGeom prst="rect">
          <a:avLst/>
        </a:prstGeom>
        <a:noFill/>
        <a:ln w="9525">
          <a:noFill/>
          <a:miter lim="800000"/>
          <a:headEnd/>
          <a:tailEnd/>
        </a:ln>
      </xdr:spPr>
    </xdr:pic>
    <xdr:clientData/>
  </xdr:twoCellAnchor>
  <xdr:twoCellAnchor>
    <xdr:from>
      <xdr:col>10</xdr:col>
      <xdr:colOff>0</xdr:colOff>
      <xdr:row>2244</xdr:row>
      <xdr:rowOff>19050</xdr:rowOff>
    </xdr:from>
    <xdr:to>
      <xdr:col>15</xdr:col>
      <xdr:colOff>314325</xdr:colOff>
      <xdr:row>2246</xdr:row>
      <xdr:rowOff>142875</xdr:rowOff>
    </xdr:to>
    <xdr:pic>
      <xdr:nvPicPr>
        <xdr:cNvPr id="14447" name="Picture 158504" descr="Butterfly Logo"/>
        <xdr:cNvPicPr>
          <a:picLocks noChangeAspect="1" noChangeArrowheads="1"/>
        </xdr:cNvPicPr>
      </xdr:nvPicPr>
      <xdr:blipFill>
        <a:blip xmlns:r="http://schemas.openxmlformats.org/officeDocument/2006/relationships" r:embed="rId2" cstate="print"/>
        <a:srcRect/>
        <a:stretch>
          <a:fillRect/>
        </a:stretch>
      </xdr:blipFill>
      <xdr:spPr bwMode="auto">
        <a:xfrm>
          <a:off x="3810000" y="363378750"/>
          <a:ext cx="2219325" cy="447675"/>
        </a:xfrm>
        <a:prstGeom prst="rect">
          <a:avLst/>
        </a:prstGeom>
        <a:noFill/>
        <a:ln w="9525">
          <a:noFill/>
          <a:miter lim="800000"/>
          <a:headEnd/>
          <a:tailEnd/>
        </a:ln>
      </xdr:spPr>
    </xdr:pic>
    <xdr:clientData/>
  </xdr:twoCellAnchor>
  <xdr:twoCellAnchor>
    <xdr:from>
      <xdr:col>10</xdr:col>
      <xdr:colOff>0</xdr:colOff>
      <xdr:row>2295</xdr:row>
      <xdr:rowOff>19050</xdr:rowOff>
    </xdr:from>
    <xdr:to>
      <xdr:col>15</xdr:col>
      <xdr:colOff>314325</xdr:colOff>
      <xdr:row>2297</xdr:row>
      <xdr:rowOff>142875</xdr:rowOff>
    </xdr:to>
    <xdr:pic>
      <xdr:nvPicPr>
        <xdr:cNvPr id="14448" name="Picture 158504" descr="Butterfly Logo"/>
        <xdr:cNvPicPr>
          <a:picLocks noChangeAspect="1" noChangeArrowheads="1"/>
        </xdr:cNvPicPr>
      </xdr:nvPicPr>
      <xdr:blipFill>
        <a:blip xmlns:r="http://schemas.openxmlformats.org/officeDocument/2006/relationships" r:embed="rId2" cstate="print"/>
        <a:srcRect/>
        <a:stretch>
          <a:fillRect/>
        </a:stretch>
      </xdr:blipFill>
      <xdr:spPr bwMode="auto">
        <a:xfrm>
          <a:off x="3810000" y="371636925"/>
          <a:ext cx="2219325" cy="447675"/>
        </a:xfrm>
        <a:prstGeom prst="rect">
          <a:avLst/>
        </a:prstGeom>
        <a:noFill/>
        <a:ln w="9525">
          <a:noFill/>
          <a:miter lim="800000"/>
          <a:headEnd/>
          <a:tailEnd/>
        </a:ln>
      </xdr:spPr>
    </xdr:pic>
    <xdr:clientData/>
  </xdr:twoCellAnchor>
  <xdr:twoCellAnchor>
    <xdr:from>
      <xdr:col>10</xdr:col>
      <xdr:colOff>0</xdr:colOff>
      <xdr:row>2346</xdr:row>
      <xdr:rowOff>19050</xdr:rowOff>
    </xdr:from>
    <xdr:to>
      <xdr:col>15</xdr:col>
      <xdr:colOff>314325</xdr:colOff>
      <xdr:row>2348</xdr:row>
      <xdr:rowOff>142875</xdr:rowOff>
    </xdr:to>
    <xdr:pic>
      <xdr:nvPicPr>
        <xdr:cNvPr id="14449" name="Picture 158504" descr="Butterfly Logo"/>
        <xdr:cNvPicPr>
          <a:picLocks noChangeAspect="1" noChangeArrowheads="1"/>
        </xdr:cNvPicPr>
      </xdr:nvPicPr>
      <xdr:blipFill>
        <a:blip xmlns:r="http://schemas.openxmlformats.org/officeDocument/2006/relationships" r:embed="rId2" cstate="print"/>
        <a:srcRect/>
        <a:stretch>
          <a:fillRect/>
        </a:stretch>
      </xdr:blipFill>
      <xdr:spPr bwMode="auto">
        <a:xfrm>
          <a:off x="3810000" y="379895100"/>
          <a:ext cx="2219325" cy="447675"/>
        </a:xfrm>
        <a:prstGeom prst="rect">
          <a:avLst/>
        </a:prstGeom>
        <a:noFill/>
        <a:ln w="9525">
          <a:noFill/>
          <a:miter lim="800000"/>
          <a:headEnd/>
          <a:tailEnd/>
        </a:ln>
      </xdr:spPr>
    </xdr:pic>
    <xdr:clientData/>
  </xdr:twoCellAnchor>
  <xdr:twoCellAnchor>
    <xdr:from>
      <xdr:col>10</xdr:col>
      <xdr:colOff>0</xdr:colOff>
      <xdr:row>2397</xdr:row>
      <xdr:rowOff>19050</xdr:rowOff>
    </xdr:from>
    <xdr:to>
      <xdr:col>15</xdr:col>
      <xdr:colOff>314325</xdr:colOff>
      <xdr:row>2399</xdr:row>
      <xdr:rowOff>142875</xdr:rowOff>
    </xdr:to>
    <xdr:pic>
      <xdr:nvPicPr>
        <xdr:cNvPr id="14450" name="Picture 158504" descr="Butterfly Logo"/>
        <xdr:cNvPicPr>
          <a:picLocks noChangeAspect="1" noChangeArrowheads="1"/>
        </xdr:cNvPicPr>
      </xdr:nvPicPr>
      <xdr:blipFill>
        <a:blip xmlns:r="http://schemas.openxmlformats.org/officeDocument/2006/relationships" r:embed="rId2" cstate="print"/>
        <a:srcRect/>
        <a:stretch>
          <a:fillRect/>
        </a:stretch>
      </xdr:blipFill>
      <xdr:spPr bwMode="auto">
        <a:xfrm>
          <a:off x="3810000" y="388153275"/>
          <a:ext cx="2219325" cy="447675"/>
        </a:xfrm>
        <a:prstGeom prst="rect">
          <a:avLst/>
        </a:prstGeom>
        <a:noFill/>
        <a:ln w="9525">
          <a:noFill/>
          <a:miter lim="800000"/>
          <a:headEnd/>
          <a:tailEnd/>
        </a:ln>
      </xdr:spPr>
    </xdr:pic>
    <xdr:clientData/>
  </xdr:twoCellAnchor>
  <xdr:twoCellAnchor>
    <xdr:from>
      <xdr:col>10</xdr:col>
      <xdr:colOff>0</xdr:colOff>
      <xdr:row>2448</xdr:row>
      <xdr:rowOff>19050</xdr:rowOff>
    </xdr:from>
    <xdr:to>
      <xdr:col>15</xdr:col>
      <xdr:colOff>314325</xdr:colOff>
      <xdr:row>2450</xdr:row>
      <xdr:rowOff>142875</xdr:rowOff>
    </xdr:to>
    <xdr:pic>
      <xdr:nvPicPr>
        <xdr:cNvPr id="14451" name="Picture 158504" descr="Butterfly Logo"/>
        <xdr:cNvPicPr>
          <a:picLocks noChangeAspect="1" noChangeArrowheads="1"/>
        </xdr:cNvPicPr>
      </xdr:nvPicPr>
      <xdr:blipFill>
        <a:blip xmlns:r="http://schemas.openxmlformats.org/officeDocument/2006/relationships" r:embed="rId2" cstate="print"/>
        <a:srcRect/>
        <a:stretch>
          <a:fillRect/>
        </a:stretch>
      </xdr:blipFill>
      <xdr:spPr bwMode="auto">
        <a:xfrm>
          <a:off x="3810000" y="396411450"/>
          <a:ext cx="2219325" cy="447675"/>
        </a:xfrm>
        <a:prstGeom prst="rect">
          <a:avLst/>
        </a:prstGeom>
        <a:noFill/>
        <a:ln w="9525">
          <a:noFill/>
          <a:miter lim="800000"/>
          <a:headEnd/>
          <a:tailEnd/>
        </a:ln>
      </xdr:spPr>
    </xdr:pic>
    <xdr:clientData/>
  </xdr:twoCellAnchor>
  <xdr:twoCellAnchor>
    <xdr:from>
      <xdr:col>10</xdr:col>
      <xdr:colOff>0</xdr:colOff>
      <xdr:row>2499</xdr:row>
      <xdr:rowOff>19050</xdr:rowOff>
    </xdr:from>
    <xdr:to>
      <xdr:col>15</xdr:col>
      <xdr:colOff>314325</xdr:colOff>
      <xdr:row>2501</xdr:row>
      <xdr:rowOff>142875</xdr:rowOff>
    </xdr:to>
    <xdr:pic>
      <xdr:nvPicPr>
        <xdr:cNvPr id="14452" name="Picture 158504" descr="Butterfly Logo"/>
        <xdr:cNvPicPr>
          <a:picLocks noChangeAspect="1" noChangeArrowheads="1"/>
        </xdr:cNvPicPr>
      </xdr:nvPicPr>
      <xdr:blipFill>
        <a:blip xmlns:r="http://schemas.openxmlformats.org/officeDocument/2006/relationships" r:embed="rId2" cstate="print"/>
        <a:srcRect/>
        <a:stretch>
          <a:fillRect/>
        </a:stretch>
      </xdr:blipFill>
      <xdr:spPr bwMode="auto">
        <a:xfrm>
          <a:off x="3810000" y="404669625"/>
          <a:ext cx="2219325" cy="447675"/>
        </a:xfrm>
        <a:prstGeom prst="rect">
          <a:avLst/>
        </a:prstGeom>
        <a:noFill/>
        <a:ln w="9525">
          <a:noFill/>
          <a:miter lim="800000"/>
          <a:headEnd/>
          <a:tailEnd/>
        </a:ln>
      </xdr:spPr>
    </xdr:pic>
    <xdr:clientData/>
  </xdr:twoCellAnchor>
  <xdr:twoCellAnchor>
    <xdr:from>
      <xdr:col>10</xdr:col>
      <xdr:colOff>0</xdr:colOff>
      <xdr:row>2550</xdr:row>
      <xdr:rowOff>19050</xdr:rowOff>
    </xdr:from>
    <xdr:to>
      <xdr:col>15</xdr:col>
      <xdr:colOff>314325</xdr:colOff>
      <xdr:row>2552</xdr:row>
      <xdr:rowOff>142875</xdr:rowOff>
    </xdr:to>
    <xdr:pic>
      <xdr:nvPicPr>
        <xdr:cNvPr id="14453" name="Picture 158504" descr="Butterfly Logo"/>
        <xdr:cNvPicPr>
          <a:picLocks noChangeAspect="1" noChangeArrowheads="1"/>
        </xdr:cNvPicPr>
      </xdr:nvPicPr>
      <xdr:blipFill>
        <a:blip xmlns:r="http://schemas.openxmlformats.org/officeDocument/2006/relationships" r:embed="rId2" cstate="print"/>
        <a:srcRect/>
        <a:stretch>
          <a:fillRect/>
        </a:stretch>
      </xdr:blipFill>
      <xdr:spPr bwMode="auto">
        <a:xfrm>
          <a:off x="3810000" y="412927800"/>
          <a:ext cx="2219325" cy="447675"/>
        </a:xfrm>
        <a:prstGeom prst="rect">
          <a:avLst/>
        </a:prstGeom>
        <a:noFill/>
        <a:ln w="9525">
          <a:noFill/>
          <a:miter lim="800000"/>
          <a:headEnd/>
          <a:tailEnd/>
        </a:ln>
      </xdr:spPr>
    </xdr:pic>
    <xdr:clientData/>
  </xdr:twoCellAnchor>
  <xdr:twoCellAnchor>
    <xdr:from>
      <xdr:col>10</xdr:col>
      <xdr:colOff>0</xdr:colOff>
      <xdr:row>2601</xdr:row>
      <xdr:rowOff>19050</xdr:rowOff>
    </xdr:from>
    <xdr:to>
      <xdr:col>15</xdr:col>
      <xdr:colOff>314325</xdr:colOff>
      <xdr:row>2603</xdr:row>
      <xdr:rowOff>142875</xdr:rowOff>
    </xdr:to>
    <xdr:pic>
      <xdr:nvPicPr>
        <xdr:cNvPr id="14454" name="Picture 158504" descr="Butterfly Logo"/>
        <xdr:cNvPicPr>
          <a:picLocks noChangeAspect="1" noChangeArrowheads="1"/>
        </xdr:cNvPicPr>
      </xdr:nvPicPr>
      <xdr:blipFill>
        <a:blip xmlns:r="http://schemas.openxmlformats.org/officeDocument/2006/relationships" r:embed="rId2" cstate="print"/>
        <a:srcRect/>
        <a:stretch>
          <a:fillRect/>
        </a:stretch>
      </xdr:blipFill>
      <xdr:spPr bwMode="auto">
        <a:xfrm>
          <a:off x="3810000" y="421185975"/>
          <a:ext cx="2219325" cy="447675"/>
        </a:xfrm>
        <a:prstGeom prst="rect">
          <a:avLst/>
        </a:prstGeom>
        <a:noFill/>
        <a:ln w="9525">
          <a:noFill/>
          <a:miter lim="800000"/>
          <a:headEnd/>
          <a:tailEnd/>
        </a:ln>
      </xdr:spPr>
    </xdr:pic>
    <xdr:clientData/>
  </xdr:twoCellAnchor>
  <xdr:twoCellAnchor>
    <xdr:from>
      <xdr:col>10</xdr:col>
      <xdr:colOff>0</xdr:colOff>
      <xdr:row>2652</xdr:row>
      <xdr:rowOff>19050</xdr:rowOff>
    </xdr:from>
    <xdr:to>
      <xdr:col>15</xdr:col>
      <xdr:colOff>314325</xdr:colOff>
      <xdr:row>2654</xdr:row>
      <xdr:rowOff>142875</xdr:rowOff>
    </xdr:to>
    <xdr:pic>
      <xdr:nvPicPr>
        <xdr:cNvPr id="14455" name="Picture 158504" descr="Butterfly Logo"/>
        <xdr:cNvPicPr>
          <a:picLocks noChangeAspect="1" noChangeArrowheads="1"/>
        </xdr:cNvPicPr>
      </xdr:nvPicPr>
      <xdr:blipFill>
        <a:blip xmlns:r="http://schemas.openxmlformats.org/officeDocument/2006/relationships" r:embed="rId2" cstate="print"/>
        <a:srcRect/>
        <a:stretch>
          <a:fillRect/>
        </a:stretch>
      </xdr:blipFill>
      <xdr:spPr bwMode="auto">
        <a:xfrm>
          <a:off x="3810000" y="429444150"/>
          <a:ext cx="2219325" cy="447675"/>
        </a:xfrm>
        <a:prstGeom prst="rect">
          <a:avLst/>
        </a:prstGeom>
        <a:noFill/>
        <a:ln w="9525">
          <a:noFill/>
          <a:miter lim="800000"/>
          <a:headEnd/>
          <a:tailEnd/>
        </a:ln>
      </xdr:spPr>
    </xdr:pic>
    <xdr:clientData/>
  </xdr:twoCellAnchor>
  <xdr:twoCellAnchor>
    <xdr:from>
      <xdr:col>10</xdr:col>
      <xdr:colOff>0</xdr:colOff>
      <xdr:row>2703</xdr:row>
      <xdr:rowOff>19050</xdr:rowOff>
    </xdr:from>
    <xdr:to>
      <xdr:col>15</xdr:col>
      <xdr:colOff>314325</xdr:colOff>
      <xdr:row>2705</xdr:row>
      <xdr:rowOff>142875</xdr:rowOff>
    </xdr:to>
    <xdr:pic>
      <xdr:nvPicPr>
        <xdr:cNvPr id="14456" name="Picture 158504" descr="Butterfly Logo"/>
        <xdr:cNvPicPr>
          <a:picLocks noChangeAspect="1" noChangeArrowheads="1"/>
        </xdr:cNvPicPr>
      </xdr:nvPicPr>
      <xdr:blipFill>
        <a:blip xmlns:r="http://schemas.openxmlformats.org/officeDocument/2006/relationships" r:embed="rId2" cstate="print"/>
        <a:srcRect/>
        <a:stretch>
          <a:fillRect/>
        </a:stretch>
      </xdr:blipFill>
      <xdr:spPr bwMode="auto">
        <a:xfrm>
          <a:off x="3810000" y="437702325"/>
          <a:ext cx="2219325" cy="447675"/>
        </a:xfrm>
        <a:prstGeom prst="rect">
          <a:avLst/>
        </a:prstGeom>
        <a:noFill/>
        <a:ln w="9525">
          <a:noFill/>
          <a:miter lim="800000"/>
          <a:headEnd/>
          <a:tailEnd/>
        </a:ln>
      </xdr:spPr>
    </xdr:pic>
    <xdr:clientData/>
  </xdr:twoCellAnchor>
  <xdr:twoCellAnchor>
    <xdr:from>
      <xdr:col>10</xdr:col>
      <xdr:colOff>0</xdr:colOff>
      <xdr:row>2754</xdr:row>
      <xdr:rowOff>19050</xdr:rowOff>
    </xdr:from>
    <xdr:to>
      <xdr:col>15</xdr:col>
      <xdr:colOff>314325</xdr:colOff>
      <xdr:row>2756</xdr:row>
      <xdr:rowOff>142875</xdr:rowOff>
    </xdr:to>
    <xdr:pic>
      <xdr:nvPicPr>
        <xdr:cNvPr id="14457" name="Picture 158504" descr="Butterfly Logo"/>
        <xdr:cNvPicPr>
          <a:picLocks noChangeAspect="1" noChangeArrowheads="1"/>
        </xdr:cNvPicPr>
      </xdr:nvPicPr>
      <xdr:blipFill>
        <a:blip xmlns:r="http://schemas.openxmlformats.org/officeDocument/2006/relationships" r:embed="rId2" cstate="print"/>
        <a:srcRect/>
        <a:stretch>
          <a:fillRect/>
        </a:stretch>
      </xdr:blipFill>
      <xdr:spPr bwMode="auto">
        <a:xfrm>
          <a:off x="3810000" y="445960500"/>
          <a:ext cx="2219325" cy="447675"/>
        </a:xfrm>
        <a:prstGeom prst="rect">
          <a:avLst/>
        </a:prstGeom>
        <a:noFill/>
        <a:ln w="9525">
          <a:noFill/>
          <a:miter lim="800000"/>
          <a:headEnd/>
          <a:tailEnd/>
        </a:ln>
      </xdr:spPr>
    </xdr:pic>
    <xdr:clientData/>
  </xdr:twoCellAnchor>
  <xdr:twoCellAnchor>
    <xdr:from>
      <xdr:col>10</xdr:col>
      <xdr:colOff>0</xdr:colOff>
      <xdr:row>2805</xdr:row>
      <xdr:rowOff>19050</xdr:rowOff>
    </xdr:from>
    <xdr:to>
      <xdr:col>15</xdr:col>
      <xdr:colOff>314325</xdr:colOff>
      <xdr:row>2807</xdr:row>
      <xdr:rowOff>142875</xdr:rowOff>
    </xdr:to>
    <xdr:pic>
      <xdr:nvPicPr>
        <xdr:cNvPr id="14458" name="Picture 158504" descr="Butterfly Logo"/>
        <xdr:cNvPicPr>
          <a:picLocks noChangeAspect="1" noChangeArrowheads="1"/>
        </xdr:cNvPicPr>
      </xdr:nvPicPr>
      <xdr:blipFill>
        <a:blip xmlns:r="http://schemas.openxmlformats.org/officeDocument/2006/relationships" r:embed="rId2" cstate="print"/>
        <a:srcRect/>
        <a:stretch>
          <a:fillRect/>
        </a:stretch>
      </xdr:blipFill>
      <xdr:spPr bwMode="auto">
        <a:xfrm>
          <a:off x="3810000" y="454218675"/>
          <a:ext cx="2219325" cy="447675"/>
        </a:xfrm>
        <a:prstGeom prst="rect">
          <a:avLst/>
        </a:prstGeom>
        <a:noFill/>
        <a:ln w="9525">
          <a:noFill/>
          <a:miter lim="800000"/>
          <a:headEnd/>
          <a:tailEnd/>
        </a:ln>
      </xdr:spPr>
    </xdr:pic>
    <xdr:clientData/>
  </xdr:twoCellAnchor>
  <xdr:twoCellAnchor>
    <xdr:from>
      <xdr:col>10</xdr:col>
      <xdr:colOff>0</xdr:colOff>
      <xdr:row>2856</xdr:row>
      <xdr:rowOff>19050</xdr:rowOff>
    </xdr:from>
    <xdr:to>
      <xdr:col>15</xdr:col>
      <xdr:colOff>314325</xdr:colOff>
      <xdr:row>2858</xdr:row>
      <xdr:rowOff>142875</xdr:rowOff>
    </xdr:to>
    <xdr:pic>
      <xdr:nvPicPr>
        <xdr:cNvPr id="14459" name="Picture 158504" descr="Butterfly Logo"/>
        <xdr:cNvPicPr>
          <a:picLocks noChangeAspect="1" noChangeArrowheads="1"/>
        </xdr:cNvPicPr>
      </xdr:nvPicPr>
      <xdr:blipFill>
        <a:blip xmlns:r="http://schemas.openxmlformats.org/officeDocument/2006/relationships" r:embed="rId2" cstate="print"/>
        <a:srcRect/>
        <a:stretch>
          <a:fillRect/>
        </a:stretch>
      </xdr:blipFill>
      <xdr:spPr bwMode="auto">
        <a:xfrm>
          <a:off x="3810000" y="462476850"/>
          <a:ext cx="2219325" cy="447675"/>
        </a:xfrm>
        <a:prstGeom prst="rect">
          <a:avLst/>
        </a:prstGeom>
        <a:noFill/>
        <a:ln w="9525">
          <a:noFill/>
          <a:miter lim="800000"/>
          <a:headEnd/>
          <a:tailEnd/>
        </a:ln>
      </xdr:spPr>
    </xdr:pic>
    <xdr:clientData/>
  </xdr:twoCellAnchor>
  <xdr:twoCellAnchor>
    <xdr:from>
      <xdr:col>10</xdr:col>
      <xdr:colOff>0</xdr:colOff>
      <xdr:row>2907</xdr:row>
      <xdr:rowOff>19050</xdr:rowOff>
    </xdr:from>
    <xdr:to>
      <xdr:col>15</xdr:col>
      <xdr:colOff>314325</xdr:colOff>
      <xdr:row>2909</xdr:row>
      <xdr:rowOff>142875</xdr:rowOff>
    </xdr:to>
    <xdr:pic>
      <xdr:nvPicPr>
        <xdr:cNvPr id="14460" name="Picture 158504" descr="Butterfly Logo"/>
        <xdr:cNvPicPr>
          <a:picLocks noChangeAspect="1" noChangeArrowheads="1"/>
        </xdr:cNvPicPr>
      </xdr:nvPicPr>
      <xdr:blipFill>
        <a:blip xmlns:r="http://schemas.openxmlformats.org/officeDocument/2006/relationships" r:embed="rId2" cstate="print"/>
        <a:srcRect/>
        <a:stretch>
          <a:fillRect/>
        </a:stretch>
      </xdr:blipFill>
      <xdr:spPr bwMode="auto">
        <a:xfrm>
          <a:off x="3810000" y="470735025"/>
          <a:ext cx="2219325" cy="447675"/>
        </a:xfrm>
        <a:prstGeom prst="rect">
          <a:avLst/>
        </a:prstGeom>
        <a:noFill/>
        <a:ln w="9525">
          <a:noFill/>
          <a:miter lim="800000"/>
          <a:headEnd/>
          <a:tailEnd/>
        </a:ln>
      </xdr:spPr>
    </xdr:pic>
    <xdr:clientData/>
  </xdr:twoCellAnchor>
  <xdr:twoCellAnchor>
    <xdr:from>
      <xdr:col>10</xdr:col>
      <xdr:colOff>0</xdr:colOff>
      <xdr:row>2958</xdr:row>
      <xdr:rowOff>19050</xdr:rowOff>
    </xdr:from>
    <xdr:to>
      <xdr:col>15</xdr:col>
      <xdr:colOff>314325</xdr:colOff>
      <xdr:row>2960</xdr:row>
      <xdr:rowOff>142875</xdr:rowOff>
    </xdr:to>
    <xdr:pic>
      <xdr:nvPicPr>
        <xdr:cNvPr id="14461" name="Picture 158504" descr="Butterfly Logo"/>
        <xdr:cNvPicPr>
          <a:picLocks noChangeAspect="1" noChangeArrowheads="1"/>
        </xdr:cNvPicPr>
      </xdr:nvPicPr>
      <xdr:blipFill>
        <a:blip xmlns:r="http://schemas.openxmlformats.org/officeDocument/2006/relationships" r:embed="rId2" cstate="print"/>
        <a:srcRect/>
        <a:stretch>
          <a:fillRect/>
        </a:stretch>
      </xdr:blipFill>
      <xdr:spPr bwMode="auto">
        <a:xfrm>
          <a:off x="3810000" y="478993200"/>
          <a:ext cx="2219325" cy="447675"/>
        </a:xfrm>
        <a:prstGeom prst="rect">
          <a:avLst/>
        </a:prstGeom>
        <a:noFill/>
        <a:ln w="9525">
          <a:noFill/>
          <a:miter lim="800000"/>
          <a:headEnd/>
          <a:tailEnd/>
        </a:ln>
      </xdr:spPr>
    </xdr:pic>
    <xdr:clientData/>
  </xdr:twoCellAnchor>
  <xdr:twoCellAnchor>
    <xdr:from>
      <xdr:col>10</xdr:col>
      <xdr:colOff>0</xdr:colOff>
      <xdr:row>3009</xdr:row>
      <xdr:rowOff>19050</xdr:rowOff>
    </xdr:from>
    <xdr:to>
      <xdr:col>15</xdr:col>
      <xdr:colOff>314325</xdr:colOff>
      <xdr:row>3011</xdr:row>
      <xdr:rowOff>142875</xdr:rowOff>
    </xdr:to>
    <xdr:pic>
      <xdr:nvPicPr>
        <xdr:cNvPr id="14462" name="Picture 158504" descr="Butterfly Logo"/>
        <xdr:cNvPicPr>
          <a:picLocks noChangeAspect="1" noChangeArrowheads="1"/>
        </xdr:cNvPicPr>
      </xdr:nvPicPr>
      <xdr:blipFill>
        <a:blip xmlns:r="http://schemas.openxmlformats.org/officeDocument/2006/relationships" r:embed="rId2" cstate="print"/>
        <a:srcRect/>
        <a:stretch>
          <a:fillRect/>
        </a:stretch>
      </xdr:blipFill>
      <xdr:spPr bwMode="auto">
        <a:xfrm>
          <a:off x="3810000" y="487251375"/>
          <a:ext cx="2219325" cy="447675"/>
        </a:xfrm>
        <a:prstGeom prst="rect">
          <a:avLst/>
        </a:prstGeom>
        <a:noFill/>
        <a:ln w="9525">
          <a:noFill/>
          <a:miter lim="800000"/>
          <a:headEnd/>
          <a:tailEnd/>
        </a:ln>
      </xdr:spPr>
    </xdr:pic>
    <xdr:clientData/>
  </xdr:twoCellAnchor>
  <xdr:twoCellAnchor>
    <xdr:from>
      <xdr:col>10</xdr:col>
      <xdr:colOff>0</xdr:colOff>
      <xdr:row>3060</xdr:row>
      <xdr:rowOff>19050</xdr:rowOff>
    </xdr:from>
    <xdr:to>
      <xdr:col>15</xdr:col>
      <xdr:colOff>314325</xdr:colOff>
      <xdr:row>3062</xdr:row>
      <xdr:rowOff>142875</xdr:rowOff>
    </xdr:to>
    <xdr:pic>
      <xdr:nvPicPr>
        <xdr:cNvPr id="14463" name="Picture 158504" descr="Butterfly Logo"/>
        <xdr:cNvPicPr>
          <a:picLocks noChangeAspect="1" noChangeArrowheads="1"/>
        </xdr:cNvPicPr>
      </xdr:nvPicPr>
      <xdr:blipFill>
        <a:blip xmlns:r="http://schemas.openxmlformats.org/officeDocument/2006/relationships" r:embed="rId2" cstate="print"/>
        <a:srcRect/>
        <a:stretch>
          <a:fillRect/>
        </a:stretch>
      </xdr:blipFill>
      <xdr:spPr bwMode="auto">
        <a:xfrm>
          <a:off x="3810000" y="495509550"/>
          <a:ext cx="2219325" cy="447675"/>
        </a:xfrm>
        <a:prstGeom prst="rect">
          <a:avLst/>
        </a:prstGeom>
        <a:noFill/>
        <a:ln w="9525">
          <a:noFill/>
          <a:miter lim="800000"/>
          <a:headEnd/>
          <a:tailEnd/>
        </a:ln>
      </xdr:spPr>
    </xdr:pic>
    <xdr:clientData/>
  </xdr:twoCellAnchor>
  <xdr:twoCellAnchor>
    <xdr:from>
      <xdr:col>10</xdr:col>
      <xdr:colOff>0</xdr:colOff>
      <xdr:row>3111</xdr:row>
      <xdr:rowOff>19050</xdr:rowOff>
    </xdr:from>
    <xdr:to>
      <xdr:col>15</xdr:col>
      <xdr:colOff>314325</xdr:colOff>
      <xdr:row>3113</xdr:row>
      <xdr:rowOff>142875</xdr:rowOff>
    </xdr:to>
    <xdr:pic>
      <xdr:nvPicPr>
        <xdr:cNvPr id="14464" name="Picture 158504" descr="Butterfly Logo"/>
        <xdr:cNvPicPr>
          <a:picLocks noChangeAspect="1" noChangeArrowheads="1"/>
        </xdr:cNvPicPr>
      </xdr:nvPicPr>
      <xdr:blipFill>
        <a:blip xmlns:r="http://schemas.openxmlformats.org/officeDocument/2006/relationships" r:embed="rId2" cstate="print"/>
        <a:srcRect/>
        <a:stretch>
          <a:fillRect/>
        </a:stretch>
      </xdr:blipFill>
      <xdr:spPr bwMode="auto">
        <a:xfrm>
          <a:off x="3810000" y="503767725"/>
          <a:ext cx="2219325" cy="447675"/>
        </a:xfrm>
        <a:prstGeom prst="rect">
          <a:avLst/>
        </a:prstGeom>
        <a:noFill/>
        <a:ln w="9525">
          <a:noFill/>
          <a:miter lim="800000"/>
          <a:headEnd/>
          <a:tailEnd/>
        </a:ln>
      </xdr:spPr>
    </xdr:pic>
    <xdr:clientData/>
  </xdr:twoCellAnchor>
  <xdr:twoCellAnchor>
    <xdr:from>
      <xdr:col>10</xdr:col>
      <xdr:colOff>0</xdr:colOff>
      <xdr:row>3162</xdr:row>
      <xdr:rowOff>19050</xdr:rowOff>
    </xdr:from>
    <xdr:to>
      <xdr:col>15</xdr:col>
      <xdr:colOff>314325</xdr:colOff>
      <xdr:row>3164</xdr:row>
      <xdr:rowOff>142875</xdr:rowOff>
    </xdr:to>
    <xdr:pic>
      <xdr:nvPicPr>
        <xdr:cNvPr id="14465" name="Picture 158504" descr="Butterfly Logo"/>
        <xdr:cNvPicPr>
          <a:picLocks noChangeAspect="1" noChangeArrowheads="1"/>
        </xdr:cNvPicPr>
      </xdr:nvPicPr>
      <xdr:blipFill>
        <a:blip xmlns:r="http://schemas.openxmlformats.org/officeDocument/2006/relationships" r:embed="rId2" cstate="print"/>
        <a:srcRect/>
        <a:stretch>
          <a:fillRect/>
        </a:stretch>
      </xdr:blipFill>
      <xdr:spPr bwMode="auto">
        <a:xfrm>
          <a:off x="3810000" y="512025900"/>
          <a:ext cx="2219325" cy="447675"/>
        </a:xfrm>
        <a:prstGeom prst="rect">
          <a:avLst/>
        </a:prstGeom>
        <a:noFill/>
        <a:ln w="9525">
          <a:noFill/>
          <a:miter lim="800000"/>
          <a:headEnd/>
          <a:tailEnd/>
        </a:ln>
      </xdr:spPr>
    </xdr:pic>
    <xdr:clientData/>
  </xdr:twoCellAnchor>
  <xdr:twoCellAnchor>
    <xdr:from>
      <xdr:col>10</xdr:col>
      <xdr:colOff>0</xdr:colOff>
      <xdr:row>3213</xdr:row>
      <xdr:rowOff>19050</xdr:rowOff>
    </xdr:from>
    <xdr:to>
      <xdr:col>15</xdr:col>
      <xdr:colOff>314325</xdr:colOff>
      <xdr:row>3215</xdr:row>
      <xdr:rowOff>142875</xdr:rowOff>
    </xdr:to>
    <xdr:pic>
      <xdr:nvPicPr>
        <xdr:cNvPr id="14466" name="Picture 158504" descr="Butterfly Logo"/>
        <xdr:cNvPicPr>
          <a:picLocks noChangeAspect="1" noChangeArrowheads="1"/>
        </xdr:cNvPicPr>
      </xdr:nvPicPr>
      <xdr:blipFill>
        <a:blip xmlns:r="http://schemas.openxmlformats.org/officeDocument/2006/relationships" r:embed="rId2" cstate="print"/>
        <a:srcRect/>
        <a:stretch>
          <a:fillRect/>
        </a:stretch>
      </xdr:blipFill>
      <xdr:spPr bwMode="auto">
        <a:xfrm>
          <a:off x="3810000" y="520284075"/>
          <a:ext cx="2219325" cy="447675"/>
        </a:xfrm>
        <a:prstGeom prst="rect">
          <a:avLst/>
        </a:prstGeom>
        <a:noFill/>
        <a:ln w="9525">
          <a:noFill/>
          <a:miter lim="800000"/>
          <a:headEnd/>
          <a:tailEnd/>
        </a:ln>
      </xdr:spPr>
    </xdr:pic>
    <xdr:clientData/>
  </xdr:twoCellAnchor>
  <xdr:twoCellAnchor>
    <xdr:from>
      <xdr:col>10</xdr:col>
      <xdr:colOff>0</xdr:colOff>
      <xdr:row>3264</xdr:row>
      <xdr:rowOff>19050</xdr:rowOff>
    </xdr:from>
    <xdr:to>
      <xdr:col>15</xdr:col>
      <xdr:colOff>314325</xdr:colOff>
      <xdr:row>3266</xdr:row>
      <xdr:rowOff>142875</xdr:rowOff>
    </xdr:to>
    <xdr:pic>
      <xdr:nvPicPr>
        <xdr:cNvPr id="14467" name="Picture 158504" descr="Butterfly Logo"/>
        <xdr:cNvPicPr>
          <a:picLocks noChangeAspect="1" noChangeArrowheads="1"/>
        </xdr:cNvPicPr>
      </xdr:nvPicPr>
      <xdr:blipFill>
        <a:blip xmlns:r="http://schemas.openxmlformats.org/officeDocument/2006/relationships" r:embed="rId2" cstate="print"/>
        <a:srcRect/>
        <a:stretch>
          <a:fillRect/>
        </a:stretch>
      </xdr:blipFill>
      <xdr:spPr bwMode="auto">
        <a:xfrm>
          <a:off x="3810000" y="528542250"/>
          <a:ext cx="2219325" cy="447675"/>
        </a:xfrm>
        <a:prstGeom prst="rect">
          <a:avLst/>
        </a:prstGeom>
        <a:noFill/>
        <a:ln w="9525">
          <a:noFill/>
          <a:miter lim="800000"/>
          <a:headEnd/>
          <a:tailEnd/>
        </a:ln>
      </xdr:spPr>
    </xdr:pic>
    <xdr:clientData/>
  </xdr:twoCellAnchor>
  <xdr:twoCellAnchor>
    <xdr:from>
      <xdr:col>10</xdr:col>
      <xdr:colOff>0</xdr:colOff>
      <xdr:row>3315</xdr:row>
      <xdr:rowOff>19050</xdr:rowOff>
    </xdr:from>
    <xdr:to>
      <xdr:col>15</xdr:col>
      <xdr:colOff>314325</xdr:colOff>
      <xdr:row>3317</xdr:row>
      <xdr:rowOff>142875</xdr:rowOff>
    </xdr:to>
    <xdr:pic>
      <xdr:nvPicPr>
        <xdr:cNvPr id="14468" name="Picture 158504" descr="Butterfly Logo"/>
        <xdr:cNvPicPr>
          <a:picLocks noChangeAspect="1" noChangeArrowheads="1"/>
        </xdr:cNvPicPr>
      </xdr:nvPicPr>
      <xdr:blipFill>
        <a:blip xmlns:r="http://schemas.openxmlformats.org/officeDocument/2006/relationships" r:embed="rId2" cstate="print"/>
        <a:srcRect/>
        <a:stretch>
          <a:fillRect/>
        </a:stretch>
      </xdr:blipFill>
      <xdr:spPr bwMode="auto">
        <a:xfrm>
          <a:off x="3810000" y="536800425"/>
          <a:ext cx="2219325" cy="447675"/>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9525</xdr:colOff>
      <xdr:row>227</xdr:row>
      <xdr:rowOff>0</xdr:rowOff>
    </xdr:from>
    <xdr:to>
      <xdr:col>15</xdr:col>
      <xdr:colOff>314325</xdr:colOff>
      <xdr:row>252</xdr:row>
      <xdr:rowOff>66675</xdr:rowOff>
    </xdr:to>
    <xdr:pic>
      <xdr:nvPicPr>
        <xdr:cNvPr id="16385" name="Picture 21027"/>
        <xdr:cNvPicPr>
          <a:picLocks noChangeAspect="1" noChangeArrowheads="1"/>
        </xdr:cNvPicPr>
      </xdr:nvPicPr>
      <xdr:blipFill>
        <a:blip xmlns:r="http://schemas.openxmlformats.org/officeDocument/2006/relationships" r:embed="rId1" cstate="print"/>
        <a:srcRect/>
        <a:stretch>
          <a:fillRect/>
        </a:stretch>
      </xdr:blipFill>
      <xdr:spPr bwMode="auto">
        <a:xfrm>
          <a:off x="9525" y="36823650"/>
          <a:ext cx="6019800" cy="4114800"/>
        </a:xfrm>
        <a:prstGeom prst="rect">
          <a:avLst/>
        </a:prstGeom>
        <a:noFill/>
        <a:ln w="1">
          <a:solidFill>
            <a:srgbClr val="000000"/>
          </a:solidFill>
          <a:miter lim="800000"/>
          <a:headEnd/>
          <a:tailEnd/>
        </a:ln>
      </xdr:spPr>
    </xdr:pic>
    <xdr:clientData/>
  </xdr:twoCellAnchor>
  <xdr:twoCellAnchor editAs="oneCell">
    <xdr:from>
      <xdr:col>0</xdr:col>
      <xdr:colOff>0</xdr:colOff>
      <xdr:row>115</xdr:row>
      <xdr:rowOff>0</xdr:rowOff>
    </xdr:from>
    <xdr:to>
      <xdr:col>15</xdr:col>
      <xdr:colOff>295275</xdr:colOff>
      <xdr:row>132</xdr:row>
      <xdr:rowOff>9525</xdr:rowOff>
    </xdr:to>
    <xdr:pic>
      <xdr:nvPicPr>
        <xdr:cNvPr id="16386" name="Picture 15842"/>
        <xdr:cNvPicPr>
          <a:picLocks noChangeAspect="1" noChangeArrowheads="1"/>
        </xdr:cNvPicPr>
      </xdr:nvPicPr>
      <xdr:blipFill>
        <a:blip xmlns:r="http://schemas.openxmlformats.org/officeDocument/2006/relationships" r:embed="rId2" cstate="print"/>
        <a:srcRect/>
        <a:stretch>
          <a:fillRect/>
        </a:stretch>
      </xdr:blipFill>
      <xdr:spPr bwMode="auto">
        <a:xfrm>
          <a:off x="0" y="18688050"/>
          <a:ext cx="6010275" cy="2762250"/>
        </a:xfrm>
        <a:prstGeom prst="rect">
          <a:avLst/>
        </a:prstGeom>
        <a:noFill/>
        <a:ln w="1">
          <a:solidFill>
            <a:srgbClr val="000000"/>
          </a:solidFill>
          <a:miter lim="800000"/>
          <a:headEnd/>
          <a:tailEnd/>
        </a:ln>
      </xdr:spPr>
    </xdr:pic>
    <xdr:clientData/>
  </xdr:twoCellAnchor>
  <xdr:twoCellAnchor editAs="oneCell">
    <xdr:from>
      <xdr:col>0</xdr:col>
      <xdr:colOff>0</xdr:colOff>
      <xdr:row>92</xdr:row>
      <xdr:rowOff>104775</xdr:rowOff>
    </xdr:from>
    <xdr:to>
      <xdr:col>15</xdr:col>
      <xdr:colOff>266700</xdr:colOff>
      <xdr:row>109</xdr:row>
      <xdr:rowOff>95250</xdr:rowOff>
    </xdr:to>
    <xdr:pic>
      <xdr:nvPicPr>
        <xdr:cNvPr id="16387" name="Picture 15760"/>
        <xdr:cNvPicPr>
          <a:picLocks noChangeAspect="1" noChangeArrowheads="1"/>
        </xdr:cNvPicPr>
      </xdr:nvPicPr>
      <xdr:blipFill>
        <a:blip xmlns:r="http://schemas.openxmlformats.org/officeDocument/2006/relationships" r:embed="rId3" cstate="print"/>
        <a:srcRect/>
        <a:stretch>
          <a:fillRect/>
        </a:stretch>
      </xdr:blipFill>
      <xdr:spPr bwMode="auto">
        <a:xfrm>
          <a:off x="0" y="15068550"/>
          <a:ext cx="5981700" cy="2743200"/>
        </a:xfrm>
        <a:prstGeom prst="rect">
          <a:avLst/>
        </a:prstGeom>
        <a:noFill/>
        <a:ln w="1">
          <a:solidFill>
            <a:srgbClr val="000000"/>
          </a:solidFill>
          <a:miter lim="800000"/>
          <a:headEnd/>
          <a:tailEnd/>
        </a:ln>
      </xdr:spPr>
    </xdr:pic>
    <xdr:clientData/>
  </xdr:twoCellAnchor>
  <xdr:twoCellAnchor editAs="oneCell">
    <xdr:from>
      <xdr:col>0</xdr:col>
      <xdr:colOff>0</xdr:colOff>
      <xdr:row>71</xdr:row>
      <xdr:rowOff>0</xdr:rowOff>
    </xdr:from>
    <xdr:to>
      <xdr:col>15</xdr:col>
      <xdr:colOff>304800</xdr:colOff>
      <xdr:row>87</xdr:row>
      <xdr:rowOff>47625</xdr:rowOff>
    </xdr:to>
    <xdr:pic>
      <xdr:nvPicPr>
        <xdr:cNvPr id="16388" name="Picture 15759"/>
        <xdr:cNvPicPr>
          <a:picLocks noChangeAspect="1" noChangeArrowheads="1"/>
        </xdr:cNvPicPr>
      </xdr:nvPicPr>
      <xdr:blipFill>
        <a:blip xmlns:r="http://schemas.openxmlformats.org/officeDocument/2006/relationships" r:embed="rId4" cstate="print"/>
        <a:srcRect/>
        <a:stretch>
          <a:fillRect/>
        </a:stretch>
      </xdr:blipFill>
      <xdr:spPr bwMode="auto">
        <a:xfrm>
          <a:off x="0" y="11563350"/>
          <a:ext cx="6019800" cy="2638425"/>
        </a:xfrm>
        <a:prstGeom prst="rect">
          <a:avLst/>
        </a:prstGeom>
        <a:noFill/>
        <a:ln w="1">
          <a:solidFill>
            <a:srgbClr val="000000"/>
          </a:solidFill>
          <a:miter lim="800000"/>
          <a:headEnd/>
          <a:tailEnd/>
        </a:ln>
      </xdr:spPr>
    </xdr:pic>
    <xdr:clientData/>
  </xdr:twoCellAnchor>
  <xdr:twoCellAnchor editAs="oneCell">
    <xdr:from>
      <xdr:col>0</xdr:col>
      <xdr:colOff>0</xdr:colOff>
      <xdr:row>578</xdr:row>
      <xdr:rowOff>9525</xdr:rowOff>
    </xdr:from>
    <xdr:to>
      <xdr:col>15</xdr:col>
      <xdr:colOff>323850</xdr:colOff>
      <xdr:row>582</xdr:row>
      <xdr:rowOff>19050</xdr:rowOff>
    </xdr:to>
    <xdr:pic>
      <xdr:nvPicPr>
        <xdr:cNvPr id="16389" name="Picture 15110"/>
        <xdr:cNvPicPr>
          <a:picLocks noChangeAspect="1" noChangeArrowheads="1"/>
        </xdr:cNvPicPr>
      </xdr:nvPicPr>
      <xdr:blipFill>
        <a:blip xmlns:r="http://schemas.openxmlformats.org/officeDocument/2006/relationships" r:embed="rId5" cstate="print"/>
        <a:srcRect/>
        <a:stretch>
          <a:fillRect/>
        </a:stretch>
      </xdr:blipFill>
      <xdr:spPr bwMode="auto">
        <a:xfrm>
          <a:off x="0" y="93668850"/>
          <a:ext cx="6038850" cy="657225"/>
        </a:xfrm>
        <a:prstGeom prst="rect">
          <a:avLst/>
        </a:prstGeom>
        <a:noFill/>
        <a:ln w="1">
          <a:solidFill>
            <a:srgbClr val="000000"/>
          </a:solidFill>
          <a:miter lim="800000"/>
          <a:headEnd/>
          <a:tailEnd/>
        </a:ln>
      </xdr:spPr>
    </xdr:pic>
    <xdr:clientData/>
  </xdr:twoCellAnchor>
  <xdr:twoCellAnchor editAs="oneCell">
    <xdr:from>
      <xdr:col>0</xdr:col>
      <xdr:colOff>0</xdr:colOff>
      <xdr:row>544</xdr:row>
      <xdr:rowOff>142875</xdr:rowOff>
    </xdr:from>
    <xdr:to>
      <xdr:col>15</xdr:col>
      <xdr:colOff>304800</xdr:colOff>
      <xdr:row>557</xdr:row>
      <xdr:rowOff>133350</xdr:rowOff>
    </xdr:to>
    <xdr:pic>
      <xdr:nvPicPr>
        <xdr:cNvPr id="16390" name="Picture 21011"/>
        <xdr:cNvPicPr>
          <a:picLocks noChangeAspect="1" noChangeArrowheads="1"/>
        </xdr:cNvPicPr>
      </xdr:nvPicPr>
      <xdr:blipFill>
        <a:blip xmlns:r="http://schemas.openxmlformats.org/officeDocument/2006/relationships" r:embed="rId6" cstate="print"/>
        <a:srcRect/>
        <a:stretch>
          <a:fillRect/>
        </a:stretch>
      </xdr:blipFill>
      <xdr:spPr bwMode="auto">
        <a:xfrm>
          <a:off x="0" y="88296750"/>
          <a:ext cx="6019800" cy="2095500"/>
        </a:xfrm>
        <a:prstGeom prst="rect">
          <a:avLst/>
        </a:prstGeom>
        <a:noFill/>
        <a:ln w="1">
          <a:solidFill>
            <a:srgbClr val="000000"/>
          </a:solidFill>
          <a:miter lim="800000"/>
          <a:headEnd/>
          <a:tailEnd/>
        </a:ln>
      </xdr:spPr>
    </xdr:pic>
    <xdr:clientData/>
  </xdr:twoCellAnchor>
  <xdr:twoCellAnchor editAs="oneCell">
    <xdr:from>
      <xdr:col>0</xdr:col>
      <xdr:colOff>0</xdr:colOff>
      <xdr:row>36</xdr:row>
      <xdr:rowOff>142875</xdr:rowOff>
    </xdr:from>
    <xdr:to>
      <xdr:col>15</xdr:col>
      <xdr:colOff>314325</xdr:colOff>
      <xdr:row>54</xdr:row>
      <xdr:rowOff>19050</xdr:rowOff>
    </xdr:to>
    <xdr:pic>
      <xdr:nvPicPr>
        <xdr:cNvPr id="16391" name="Picture 19300"/>
        <xdr:cNvPicPr>
          <a:picLocks noChangeAspect="1" noChangeArrowheads="1"/>
        </xdr:cNvPicPr>
      </xdr:nvPicPr>
      <xdr:blipFill>
        <a:blip xmlns:r="http://schemas.openxmlformats.org/officeDocument/2006/relationships" r:embed="rId7" cstate="print"/>
        <a:srcRect/>
        <a:stretch>
          <a:fillRect/>
        </a:stretch>
      </xdr:blipFill>
      <xdr:spPr bwMode="auto">
        <a:xfrm>
          <a:off x="0" y="6038850"/>
          <a:ext cx="6029325" cy="2790825"/>
        </a:xfrm>
        <a:prstGeom prst="rect">
          <a:avLst/>
        </a:prstGeom>
        <a:noFill/>
        <a:ln w="1">
          <a:solidFill>
            <a:srgbClr val="000000"/>
          </a:solidFill>
          <a:miter lim="800000"/>
          <a:headEnd/>
          <a:tailEnd/>
        </a:ln>
      </xdr:spPr>
    </xdr:pic>
    <xdr:clientData/>
  </xdr:twoCellAnchor>
  <xdr:twoCellAnchor editAs="oneCell">
    <xdr:from>
      <xdr:col>0</xdr:col>
      <xdr:colOff>0</xdr:colOff>
      <xdr:row>518</xdr:row>
      <xdr:rowOff>95250</xdr:rowOff>
    </xdr:from>
    <xdr:to>
      <xdr:col>12</xdr:col>
      <xdr:colOff>9525</xdr:colOff>
      <xdr:row>524</xdr:row>
      <xdr:rowOff>104775</xdr:rowOff>
    </xdr:to>
    <xdr:pic>
      <xdr:nvPicPr>
        <xdr:cNvPr id="16392" name="Picture 17096"/>
        <xdr:cNvPicPr>
          <a:picLocks noChangeAspect="1" noChangeArrowheads="1"/>
        </xdr:cNvPicPr>
      </xdr:nvPicPr>
      <xdr:blipFill>
        <a:blip xmlns:r="http://schemas.openxmlformats.org/officeDocument/2006/relationships" r:embed="rId8" cstate="print"/>
        <a:srcRect/>
        <a:stretch>
          <a:fillRect/>
        </a:stretch>
      </xdr:blipFill>
      <xdr:spPr bwMode="auto">
        <a:xfrm>
          <a:off x="0" y="84039075"/>
          <a:ext cx="4581525" cy="981075"/>
        </a:xfrm>
        <a:prstGeom prst="rect">
          <a:avLst/>
        </a:prstGeom>
        <a:noFill/>
        <a:ln w="1">
          <a:solidFill>
            <a:srgbClr val="000000"/>
          </a:solidFill>
          <a:miter lim="800000"/>
          <a:headEnd/>
          <a:tailEnd/>
        </a:ln>
      </xdr:spPr>
    </xdr:pic>
    <xdr:clientData/>
  </xdr:twoCellAnchor>
  <xdr:twoCellAnchor editAs="oneCell">
    <xdr:from>
      <xdr:col>0</xdr:col>
      <xdr:colOff>0</xdr:colOff>
      <xdr:row>635</xdr:row>
      <xdr:rowOff>0</xdr:rowOff>
    </xdr:from>
    <xdr:to>
      <xdr:col>11</xdr:col>
      <xdr:colOff>171450</xdr:colOff>
      <xdr:row>649</xdr:row>
      <xdr:rowOff>95250</xdr:rowOff>
    </xdr:to>
    <xdr:pic>
      <xdr:nvPicPr>
        <xdr:cNvPr id="16393" name="Picture 7942"/>
        <xdr:cNvPicPr>
          <a:picLocks noChangeAspect="1" noChangeArrowheads="1"/>
        </xdr:cNvPicPr>
      </xdr:nvPicPr>
      <xdr:blipFill>
        <a:blip xmlns:r="http://schemas.openxmlformats.org/officeDocument/2006/relationships" r:embed="rId9" cstate="print"/>
        <a:srcRect/>
        <a:stretch>
          <a:fillRect/>
        </a:stretch>
      </xdr:blipFill>
      <xdr:spPr bwMode="auto">
        <a:xfrm>
          <a:off x="0" y="102889050"/>
          <a:ext cx="4362450" cy="2362200"/>
        </a:xfrm>
        <a:prstGeom prst="rect">
          <a:avLst/>
        </a:prstGeom>
        <a:noFill/>
        <a:ln w="1">
          <a:solidFill>
            <a:srgbClr val="000000"/>
          </a:solidFill>
          <a:miter lim="800000"/>
          <a:headEnd/>
          <a:tailEnd/>
        </a:ln>
      </xdr:spPr>
    </xdr:pic>
    <xdr:clientData/>
  </xdr:twoCellAnchor>
  <xdr:twoCellAnchor>
    <xdr:from>
      <xdr:col>0</xdr:col>
      <xdr:colOff>314325</xdr:colOff>
      <xdr:row>53</xdr:row>
      <xdr:rowOff>19050</xdr:rowOff>
    </xdr:from>
    <xdr:to>
      <xdr:col>1</xdr:col>
      <xdr:colOff>266700</xdr:colOff>
      <xdr:row>54</xdr:row>
      <xdr:rowOff>95250</xdr:rowOff>
    </xdr:to>
    <xdr:sp macro="" textlink="">
      <xdr:nvSpPr>
        <xdr:cNvPr id="6" name="Oval 5"/>
        <xdr:cNvSpPr/>
      </xdr:nvSpPr>
      <xdr:spPr>
        <a:xfrm>
          <a:off x="314325" y="8181975"/>
          <a:ext cx="333375" cy="23812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twoCellAnchor>
    <xdr:from>
      <xdr:col>3</xdr:col>
      <xdr:colOff>171451</xdr:colOff>
      <xdr:row>35</xdr:row>
      <xdr:rowOff>9524</xdr:rowOff>
    </xdr:from>
    <xdr:to>
      <xdr:col>4</xdr:col>
      <xdr:colOff>285751</xdr:colOff>
      <xdr:row>40</xdr:row>
      <xdr:rowOff>9524</xdr:rowOff>
    </xdr:to>
    <xdr:cxnSp macro="">
      <xdr:nvCxnSpPr>
        <xdr:cNvPr id="9" name="Straight Arrow Connector 8"/>
        <xdr:cNvCxnSpPr/>
      </xdr:nvCxnSpPr>
      <xdr:spPr>
        <a:xfrm rot="5400000">
          <a:off x="1157288" y="1947862"/>
          <a:ext cx="809625" cy="495300"/>
        </a:xfrm>
        <a:prstGeom prst="straightConnector1">
          <a:avLst/>
        </a:prstGeom>
        <a:ln w="1905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352427</xdr:colOff>
      <xdr:row>35</xdr:row>
      <xdr:rowOff>0</xdr:rowOff>
    </xdr:from>
    <xdr:to>
      <xdr:col>3</xdr:col>
      <xdr:colOff>200025</xdr:colOff>
      <xdr:row>37</xdr:row>
      <xdr:rowOff>152400</xdr:rowOff>
    </xdr:to>
    <xdr:cxnSp macro="">
      <xdr:nvCxnSpPr>
        <xdr:cNvPr id="11" name="Straight Arrow Connector 10"/>
        <xdr:cNvCxnSpPr/>
      </xdr:nvCxnSpPr>
      <xdr:spPr>
        <a:xfrm rot="5400000">
          <a:off x="990601" y="1905001"/>
          <a:ext cx="476250" cy="228598"/>
        </a:xfrm>
        <a:prstGeom prst="straightConnector1">
          <a:avLst/>
        </a:prstGeom>
        <a:ln w="1905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104777</xdr:colOff>
      <xdr:row>35</xdr:row>
      <xdr:rowOff>3</xdr:rowOff>
    </xdr:from>
    <xdr:to>
      <xdr:col>15</xdr:col>
      <xdr:colOff>123826</xdr:colOff>
      <xdr:row>37</xdr:row>
      <xdr:rowOff>123824</xdr:rowOff>
    </xdr:to>
    <xdr:cxnSp macro="">
      <xdr:nvCxnSpPr>
        <xdr:cNvPr id="13" name="Straight Arrow Connector 12"/>
        <xdr:cNvCxnSpPr/>
      </xdr:nvCxnSpPr>
      <xdr:spPr>
        <a:xfrm rot="5400000">
          <a:off x="5605466" y="4976814"/>
          <a:ext cx="447671" cy="19049"/>
        </a:xfrm>
        <a:prstGeom prst="straightConnector1">
          <a:avLst/>
        </a:prstGeom>
        <a:ln w="1905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323850</xdr:colOff>
      <xdr:row>35</xdr:row>
      <xdr:rowOff>9527</xdr:rowOff>
    </xdr:from>
    <xdr:to>
      <xdr:col>12</xdr:col>
      <xdr:colOff>47627</xdr:colOff>
      <xdr:row>37</xdr:row>
      <xdr:rowOff>133353</xdr:rowOff>
    </xdr:to>
    <xdr:cxnSp macro="">
      <xdr:nvCxnSpPr>
        <xdr:cNvPr id="16" name="Straight Arrow Connector 15"/>
        <xdr:cNvCxnSpPr/>
      </xdr:nvCxnSpPr>
      <xdr:spPr>
        <a:xfrm rot="16200000" flipH="1">
          <a:off x="4343401" y="5429251"/>
          <a:ext cx="447676" cy="104777"/>
        </a:xfrm>
        <a:prstGeom prst="straightConnector1">
          <a:avLst/>
        </a:prstGeom>
        <a:ln w="1905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142876</xdr:colOff>
      <xdr:row>35</xdr:row>
      <xdr:rowOff>38100</xdr:rowOff>
    </xdr:from>
    <xdr:to>
      <xdr:col>7</xdr:col>
      <xdr:colOff>38101</xdr:colOff>
      <xdr:row>37</xdr:row>
      <xdr:rowOff>142875</xdr:rowOff>
    </xdr:to>
    <xdr:cxnSp macro="">
      <xdr:nvCxnSpPr>
        <xdr:cNvPr id="18" name="Straight Arrow Connector 17"/>
        <xdr:cNvCxnSpPr/>
      </xdr:nvCxnSpPr>
      <xdr:spPr>
        <a:xfrm rot="5400000">
          <a:off x="2352676" y="4876800"/>
          <a:ext cx="428625" cy="276225"/>
        </a:xfrm>
        <a:prstGeom prst="straightConnector1">
          <a:avLst/>
        </a:prstGeom>
        <a:ln w="1905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9525</xdr:colOff>
      <xdr:row>33</xdr:row>
      <xdr:rowOff>114299</xdr:rowOff>
    </xdr:from>
    <xdr:to>
      <xdr:col>3</xdr:col>
      <xdr:colOff>192405</xdr:colOff>
      <xdr:row>34</xdr:row>
      <xdr:rowOff>152399</xdr:rowOff>
    </xdr:to>
    <xdr:sp macro="" textlink="">
      <xdr:nvSpPr>
        <xdr:cNvPr id="21" name="TextBox 20"/>
        <xdr:cNvSpPr txBox="1"/>
      </xdr:nvSpPr>
      <xdr:spPr>
        <a:xfrm>
          <a:off x="1152525" y="9086849"/>
          <a:ext cx="182880" cy="200025"/>
        </a:xfrm>
        <a:prstGeom prst="rect">
          <a:avLst/>
        </a:prstGeom>
        <a:solidFill>
          <a:srgbClr val="FF0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US" sz="1200">
              <a:latin typeface="Arial" pitchFamily="34" charset="0"/>
              <a:cs typeface="Arial" pitchFamily="34" charset="0"/>
            </a:rPr>
            <a:t>1</a:t>
          </a:r>
        </a:p>
      </xdr:txBody>
    </xdr:sp>
    <xdr:clientData/>
  </xdr:twoCellAnchor>
  <xdr:twoCellAnchor>
    <xdr:from>
      <xdr:col>4</xdr:col>
      <xdr:colOff>95250</xdr:colOff>
      <xdr:row>33</xdr:row>
      <xdr:rowOff>133349</xdr:rowOff>
    </xdr:from>
    <xdr:to>
      <xdr:col>4</xdr:col>
      <xdr:colOff>278130</xdr:colOff>
      <xdr:row>35</xdr:row>
      <xdr:rowOff>9524</xdr:rowOff>
    </xdr:to>
    <xdr:sp macro="" textlink="">
      <xdr:nvSpPr>
        <xdr:cNvPr id="22" name="TextBox 21"/>
        <xdr:cNvSpPr txBox="1"/>
      </xdr:nvSpPr>
      <xdr:spPr>
        <a:xfrm>
          <a:off x="1619250" y="9105899"/>
          <a:ext cx="182880" cy="200025"/>
        </a:xfrm>
        <a:prstGeom prst="rect">
          <a:avLst/>
        </a:prstGeom>
        <a:solidFill>
          <a:srgbClr val="FF0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US" sz="1200">
              <a:latin typeface="Arial" pitchFamily="34" charset="0"/>
              <a:cs typeface="Arial" pitchFamily="34" charset="0"/>
            </a:rPr>
            <a:t>2</a:t>
          </a:r>
        </a:p>
      </xdr:txBody>
    </xdr:sp>
    <xdr:clientData/>
  </xdr:twoCellAnchor>
  <xdr:twoCellAnchor>
    <xdr:from>
      <xdr:col>7</xdr:col>
      <xdr:colOff>57150</xdr:colOff>
      <xdr:row>33</xdr:row>
      <xdr:rowOff>133349</xdr:rowOff>
    </xdr:from>
    <xdr:to>
      <xdr:col>7</xdr:col>
      <xdr:colOff>240030</xdr:colOff>
      <xdr:row>35</xdr:row>
      <xdr:rowOff>9524</xdr:rowOff>
    </xdr:to>
    <xdr:sp macro="" textlink="">
      <xdr:nvSpPr>
        <xdr:cNvPr id="23" name="TextBox 22"/>
        <xdr:cNvSpPr txBox="1"/>
      </xdr:nvSpPr>
      <xdr:spPr>
        <a:xfrm>
          <a:off x="2724150" y="9105899"/>
          <a:ext cx="182880" cy="200025"/>
        </a:xfrm>
        <a:prstGeom prst="rect">
          <a:avLst/>
        </a:prstGeom>
        <a:solidFill>
          <a:srgbClr val="FF0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US" sz="1200">
              <a:latin typeface="Arial" pitchFamily="34" charset="0"/>
              <a:cs typeface="Arial" pitchFamily="34" charset="0"/>
            </a:rPr>
            <a:t>3</a:t>
          </a:r>
        </a:p>
      </xdr:txBody>
    </xdr:sp>
    <xdr:clientData/>
  </xdr:twoCellAnchor>
  <xdr:twoCellAnchor>
    <xdr:from>
      <xdr:col>11</xdr:col>
      <xdr:colOff>219075</xdr:colOff>
      <xdr:row>33</xdr:row>
      <xdr:rowOff>123824</xdr:rowOff>
    </xdr:from>
    <xdr:to>
      <xdr:col>12</xdr:col>
      <xdr:colOff>20955</xdr:colOff>
      <xdr:row>34</xdr:row>
      <xdr:rowOff>161924</xdr:rowOff>
    </xdr:to>
    <xdr:sp macro="" textlink="">
      <xdr:nvSpPr>
        <xdr:cNvPr id="24" name="TextBox 23"/>
        <xdr:cNvSpPr txBox="1"/>
      </xdr:nvSpPr>
      <xdr:spPr>
        <a:xfrm>
          <a:off x="4410075" y="9096374"/>
          <a:ext cx="182880" cy="200025"/>
        </a:xfrm>
        <a:prstGeom prst="rect">
          <a:avLst/>
        </a:prstGeom>
        <a:solidFill>
          <a:srgbClr val="FF0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US" sz="1200">
              <a:latin typeface="Arial" pitchFamily="34" charset="0"/>
              <a:cs typeface="Arial" pitchFamily="34" charset="0"/>
            </a:rPr>
            <a:t>4</a:t>
          </a:r>
        </a:p>
      </xdr:txBody>
    </xdr:sp>
    <xdr:clientData/>
  </xdr:twoCellAnchor>
  <xdr:twoCellAnchor>
    <xdr:from>
      <xdr:col>15</xdr:col>
      <xdr:colOff>66675</xdr:colOff>
      <xdr:row>33</xdr:row>
      <xdr:rowOff>123825</xdr:rowOff>
    </xdr:from>
    <xdr:to>
      <xdr:col>15</xdr:col>
      <xdr:colOff>249555</xdr:colOff>
      <xdr:row>35</xdr:row>
      <xdr:rowOff>0</xdr:rowOff>
    </xdr:to>
    <xdr:sp macro="" textlink="">
      <xdr:nvSpPr>
        <xdr:cNvPr id="29" name="TextBox 28"/>
        <xdr:cNvSpPr txBox="1"/>
      </xdr:nvSpPr>
      <xdr:spPr>
        <a:xfrm>
          <a:off x="5781675" y="9096375"/>
          <a:ext cx="182880" cy="200025"/>
        </a:xfrm>
        <a:prstGeom prst="rect">
          <a:avLst/>
        </a:prstGeom>
        <a:solidFill>
          <a:srgbClr val="FF0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US" sz="1200">
              <a:latin typeface="Arial" pitchFamily="34" charset="0"/>
              <a:cs typeface="Arial" pitchFamily="34" charset="0"/>
            </a:rPr>
            <a:t>5</a:t>
          </a:r>
        </a:p>
      </xdr:txBody>
    </xdr:sp>
    <xdr:clientData/>
  </xdr:twoCellAnchor>
  <xdr:twoCellAnchor>
    <xdr:from>
      <xdr:col>14</xdr:col>
      <xdr:colOff>238125</xdr:colOff>
      <xdr:row>71</xdr:row>
      <xdr:rowOff>47625</xdr:rowOff>
    </xdr:from>
    <xdr:to>
      <xdr:col>15</xdr:col>
      <xdr:colOff>9525</xdr:colOff>
      <xdr:row>72</xdr:row>
      <xdr:rowOff>47625</xdr:rowOff>
    </xdr:to>
    <xdr:sp macro="" textlink="">
      <xdr:nvSpPr>
        <xdr:cNvPr id="31" name="Oval 30"/>
        <xdr:cNvSpPr/>
      </xdr:nvSpPr>
      <xdr:spPr>
        <a:xfrm>
          <a:off x="5572125" y="11449050"/>
          <a:ext cx="152400" cy="16192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twoCellAnchor>
    <xdr:from>
      <xdr:col>14</xdr:col>
      <xdr:colOff>209550</xdr:colOff>
      <xdr:row>92</xdr:row>
      <xdr:rowOff>152400</xdr:rowOff>
    </xdr:from>
    <xdr:to>
      <xdr:col>14</xdr:col>
      <xdr:colOff>361950</xdr:colOff>
      <xdr:row>93</xdr:row>
      <xdr:rowOff>152400</xdr:rowOff>
    </xdr:to>
    <xdr:sp macro="" textlink="">
      <xdr:nvSpPr>
        <xdr:cNvPr id="33" name="Oval 32"/>
        <xdr:cNvSpPr/>
      </xdr:nvSpPr>
      <xdr:spPr>
        <a:xfrm>
          <a:off x="5543550" y="14954250"/>
          <a:ext cx="152400" cy="16192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twoCellAnchor>
    <xdr:from>
      <xdr:col>14</xdr:col>
      <xdr:colOff>238125</xdr:colOff>
      <xdr:row>115</xdr:row>
      <xdr:rowOff>47625</xdr:rowOff>
    </xdr:from>
    <xdr:to>
      <xdr:col>15</xdr:col>
      <xdr:colOff>9525</xdr:colOff>
      <xdr:row>116</xdr:row>
      <xdr:rowOff>47625</xdr:rowOff>
    </xdr:to>
    <xdr:sp macro="" textlink="">
      <xdr:nvSpPr>
        <xdr:cNvPr id="35" name="Oval 34"/>
        <xdr:cNvSpPr/>
      </xdr:nvSpPr>
      <xdr:spPr>
        <a:xfrm>
          <a:off x="5572125" y="18249900"/>
          <a:ext cx="152400" cy="16192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twoCellAnchor>
    <xdr:from>
      <xdr:col>2</xdr:col>
      <xdr:colOff>76201</xdr:colOff>
      <xdr:row>250</xdr:row>
      <xdr:rowOff>142875</xdr:rowOff>
    </xdr:from>
    <xdr:to>
      <xdr:col>3</xdr:col>
      <xdr:colOff>304801</xdr:colOff>
      <xdr:row>253</xdr:row>
      <xdr:rowOff>9525</xdr:rowOff>
    </xdr:to>
    <xdr:sp macro="" textlink="">
      <xdr:nvSpPr>
        <xdr:cNvPr id="25" name="Oval 24"/>
        <xdr:cNvSpPr/>
      </xdr:nvSpPr>
      <xdr:spPr>
        <a:xfrm>
          <a:off x="838201" y="31623000"/>
          <a:ext cx="609600" cy="35242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twoCellAnchor>
    <xdr:from>
      <xdr:col>1</xdr:col>
      <xdr:colOff>266701</xdr:colOff>
      <xdr:row>225</xdr:row>
      <xdr:rowOff>1</xdr:rowOff>
    </xdr:from>
    <xdr:to>
      <xdr:col>2</xdr:col>
      <xdr:colOff>247652</xdr:colOff>
      <xdr:row>231</xdr:row>
      <xdr:rowOff>28578</xdr:rowOff>
    </xdr:to>
    <xdr:cxnSp macro="">
      <xdr:nvCxnSpPr>
        <xdr:cNvPr id="27" name="Straight Arrow Connector 26"/>
        <xdr:cNvCxnSpPr/>
      </xdr:nvCxnSpPr>
      <xdr:spPr>
        <a:xfrm rot="5400000">
          <a:off x="328613" y="27751089"/>
          <a:ext cx="1000127" cy="361951"/>
        </a:xfrm>
        <a:prstGeom prst="straightConnector1">
          <a:avLst/>
        </a:prstGeom>
        <a:ln w="1905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257175</xdr:colOff>
      <xdr:row>225</xdr:row>
      <xdr:rowOff>1</xdr:rowOff>
    </xdr:from>
    <xdr:to>
      <xdr:col>4</xdr:col>
      <xdr:colOff>209552</xdr:colOff>
      <xdr:row>231</xdr:row>
      <xdr:rowOff>19051</xdr:rowOff>
    </xdr:to>
    <xdr:cxnSp macro="">
      <xdr:nvCxnSpPr>
        <xdr:cNvPr id="30" name="Straight Arrow Connector 29"/>
        <xdr:cNvCxnSpPr/>
      </xdr:nvCxnSpPr>
      <xdr:spPr>
        <a:xfrm rot="5400000">
          <a:off x="1071564" y="27760612"/>
          <a:ext cx="990600" cy="333377"/>
        </a:xfrm>
        <a:prstGeom prst="straightConnector1">
          <a:avLst/>
        </a:prstGeom>
        <a:ln w="1905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38102</xdr:colOff>
      <xdr:row>225</xdr:row>
      <xdr:rowOff>9528</xdr:rowOff>
    </xdr:from>
    <xdr:to>
      <xdr:col>8</xdr:col>
      <xdr:colOff>371478</xdr:colOff>
      <xdr:row>231</xdr:row>
      <xdr:rowOff>28578</xdr:rowOff>
    </xdr:to>
    <xdr:cxnSp macro="">
      <xdr:nvCxnSpPr>
        <xdr:cNvPr id="34" name="Straight Arrow Connector 33"/>
        <xdr:cNvCxnSpPr/>
      </xdr:nvCxnSpPr>
      <xdr:spPr>
        <a:xfrm rot="16200000" flipH="1">
          <a:off x="2757490" y="27770140"/>
          <a:ext cx="990600" cy="333376"/>
        </a:xfrm>
        <a:prstGeom prst="straightConnector1">
          <a:avLst/>
        </a:prstGeom>
        <a:ln w="1905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47625</xdr:colOff>
      <xdr:row>223</xdr:row>
      <xdr:rowOff>123825</xdr:rowOff>
    </xdr:from>
    <xdr:to>
      <xdr:col>2</xdr:col>
      <xdr:colOff>230505</xdr:colOff>
      <xdr:row>225</xdr:row>
      <xdr:rowOff>0</xdr:rowOff>
    </xdr:to>
    <xdr:sp macro="" textlink="">
      <xdr:nvSpPr>
        <xdr:cNvPr id="37" name="TextBox 36"/>
        <xdr:cNvSpPr txBox="1"/>
      </xdr:nvSpPr>
      <xdr:spPr>
        <a:xfrm>
          <a:off x="809625" y="35814000"/>
          <a:ext cx="182880" cy="200025"/>
        </a:xfrm>
        <a:prstGeom prst="rect">
          <a:avLst/>
        </a:prstGeom>
        <a:solidFill>
          <a:srgbClr val="FF0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US" sz="1200">
              <a:latin typeface="Arial" pitchFamily="34" charset="0"/>
              <a:cs typeface="Arial" pitchFamily="34" charset="0"/>
            </a:rPr>
            <a:t>2</a:t>
          </a:r>
        </a:p>
      </xdr:txBody>
    </xdr:sp>
    <xdr:clientData/>
  </xdr:twoCellAnchor>
  <xdr:twoCellAnchor>
    <xdr:from>
      <xdr:col>4</xdr:col>
      <xdr:colOff>28575</xdr:colOff>
      <xdr:row>223</xdr:row>
      <xdr:rowOff>123825</xdr:rowOff>
    </xdr:from>
    <xdr:to>
      <xdr:col>4</xdr:col>
      <xdr:colOff>211455</xdr:colOff>
      <xdr:row>225</xdr:row>
      <xdr:rowOff>0</xdr:rowOff>
    </xdr:to>
    <xdr:sp macro="" textlink="">
      <xdr:nvSpPr>
        <xdr:cNvPr id="38" name="TextBox 37"/>
        <xdr:cNvSpPr txBox="1"/>
      </xdr:nvSpPr>
      <xdr:spPr>
        <a:xfrm>
          <a:off x="1552575" y="35814000"/>
          <a:ext cx="182880" cy="200025"/>
        </a:xfrm>
        <a:prstGeom prst="rect">
          <a:avLst/>
        </a:prstGeom>
        <a:solidFill>
          <a:srgbClr val="FF0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US" sz="1200">
              <a:latin typeface="Arial" pitchFamily="34" charset="0"/>
              <a:cs typeface="Arial" pitchFamily="34" charset="0"/>
            </a:rPr>
            <a:t>1</a:t>
          </a:r>
        </a:p>
      </xdr:txBody>
    </xdr:sp>
    <xdr:clientData/>
  </xdr:twoCellAnchor>
  <xdr:twoCellAnchor>
    <xdr:from>
      <xdr:col>7</xdr:col>
      <xdr:colOff>257175</xdr:colOff>
      <xdr:row>223</xdr:row>
      <xdr:rowOff>114300</xdr:rowOff>
    </xdr:from>
    <xdr:to>
      <xdr:col>8</xdr:col>
      <xdr:colOff>59055</xdr:colOff>
      <xdr:row>224</xdr:row>
      <xdr:rowOff>152400</xdr:rowOff>
    </xdr:to>
    <xdr:sp macro="" textlink="">
      <xdr:nvSpPr>
        <xdr:cNvPr id="39" name="TextBox 38"/>
        <xdr:cNvSpPr txBox="1"/>
      </xdr:nvSpPr>
      <xdr:spPr>
        <a:xfrm>
          <a:off x="2924175" y="35804475"/>
          <a:ext cx="182880" cy="200025"/>
        </a:xfrm>
        <a:prstGeom prst="rect">
          <a:avLst/>
        </a:prstGeom>
        <a:solidFill>
          <a:srgbClr val="FF0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US" sz="1200">
              <a:latin typeface="Arial" pitchFamily="34" charset="0"/>
              <a:cs typeface="Arial" pitchFamily="34" charset="0"/>
            </a:rPr>
            <a:t>3</a:t>
          </a:r>
        </a:p>
      </xdr:txBody>
    </xdr:sp>
    <xdr:clientData/>
  </xdr:twoCellAnchor>
  <xdr:twoCellAnchor editAs="oneCell">
    <xdr:from>
      <xdr:col>0</xdr:col>
      <xdr:colOff>0</xdr:colOff>
      <xdr:row>389</xdr:row>
      <xdr:rowOff>0</xdr:rowOff>
    </xdr:from>
    <xdr:to>
      <xdr:col>12</xdr:col>
      <xdr:colOff>228600</xdr:colOff>
      <xdr:row>415</xdr:row>
      <xdr:rowOff>123825</xdr:rowOff>
    </xdr:to>
    <xdr:pic>
      <xdr:nvPicPr>
        <xdr:cNvPr id="16415" name="Picture 800"/>
        <xdr:cNvPicPr>
          <a:picLocks noChangeAspect="1" noChangeArrowheads="1"/>
        </xdr:cNvPicPr>
      </xdr:nvPicPr>
      <xdr:blipFill>
        <a:blip xmlns:r="http://schemas.openxmlformats.org/officeDocument/2006/relationships" r:embed="rId10" cstate="print"/>
        <a:srcRect/>
        <a:stretch>
          <a:fillRect/>
        </a:stretch>
      </xdr:blipFill>
      <xdr:spPr bwMode="auto">
        <a:xfrm>
          <a:off x="0" y="63055500"/>
          <a:ext cx="4800600" cy="4333875"/>
        </a:xfrm>
        <a:prstGeom prst="rect">
          <a:avLst/>
        </a:prstGeom>
        <a:noFill/>
        <a:ln w="1">
          <a:solidFill>
            <a:srgbClr val="000000"/>
          </a:solidFill>
          <a:miter lim="800000"/>
          <a:headEnd/>
          <a:tailEnd/>
        </a:ln>
      </xdr:spPr>
    </xdr:pic>
    <xdr:clientData/>
  </xdr:twoCellAnchor>
  <xdr:twoCellAnchor>
    <xdr:from>
      <xdr:col>3</xdr:col>
      <xdr:colOff>314326</xdr:colOff>
      <xdr:row>413</xdr:row>
      <xdr:rowOff>152400</xdr:rowOff>
    </xdr:from>
    <xdr:to>
      <xdr:col>6</xdr:col>
      <xdr:colOff>47625</xdr:colOff>
      <xdr:row>416</xdr:row>
      <xdr:rowOff>104775</xdr:rowOff>
    </xdr:to>
    <xdr:sp macro="" textlink="">
      <xdr:nvSpPr>
        <xdr:cNvPr id="41" name="Oval 40"/>
        <xdr:cNvSpPr/>
      </xdr:nvSpPr>
      <xdr:spPr>
        <a:xfrm>
          <a:off x="1457326" y="51063525"/>
          <a:ext cx="876299" cy="43815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twoCellAnchor>
    <xdr:from>
      <xdr:col>8</xdr:col>
      <xdr:colOff>228601</xdr:colOff>
      <xdr:row>394</xdr:row>
      <xdr:rowOff>85725</xdr:rowOff>
    </xdr:from>
    <xdr:to>
      <xdr:col>10</xdr:col>
      <xdr:colOff>66676</xdr:colOff>
      <xdr:row>394</xdr:row>
      <xdr:rowOff>87313</xdr:rowOff>
    </xdr:to>
    <xdr:cxnSp macro="">
      <xdr:nvCxnSpPr>
        <xdr:cNvPr id="43" name="Straight Arrow Connector 42"/>
        <xdr:cNvCxnSpPr/>
      </xdr:nvCxnSpPr>
      <xdr:spPr>
        <a:xfrm rot="10800000">
          <a:off x="3276601" y="47920275"/>
          <a:ext cx="600075" cy="1588"/>
        </a:xfrm>
        <a:prstGeom prst="straightConnector1">
          <a:avLst/>
        </a:prstGeom>
        <a:ln w="1905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114300</xdr:colOff>
      <xdr:row>393</xdr:row>
      <xdr:rowOff>142875</xdr:rowOff>
    </xdr:from>
    <xdr:to>
      <xdr:col>10</xdr:col>
      <xdr:colOff>297180</xdr:colOff>
      <xdr:row>395</xdr:row>
      <xdr:rowOff>19050</xdr:rowOff>
    </xdr:to>
    <xdr:sp macro="" textlink="">
      <xdr:nvSpPr>
        <xdr:cNvPr id="44" name="TextBox 43"/>
        <xdr:cNvSpPr txBox="1"/>
      </xdr:nvSpPr>
      <xdr:spPr>
        <a:xfrm>
          <a:off x="3924300" y="47815500"/>
          <a:ext cx="182880" cy="200025"/>
        </a:xfrm>
        <a:prstGeom prst="rect">
          <a:avLst/>
        </a:prstGeom>
        <a:solidFill>
          <a:srgbClr val="FF0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US" sz="1200">
              <a:latin typeface="Arial" pitchFamily="34" charset="0"/>
              <a:cs typeface="Arial" pitchFamily="34" charset="0"/>
            </a:rPr>
            <a:t>1</a:t>
          </a:r>
        </a:p>
      </xdr:txBody>
    </xdr:sp>
    <xdr:clientData/>
  </xdr:twoCellAnchor>
  <xdr:twoCellAnchor>
    <xdr:from>
      <xdr:col>1</xdr:col>
      <xdr:colOff>247650</xdr:colOff>
      <xdr:row>393</xdr:row>
      <xdr:rowOff>123825</xdr:rowOff>
    </xdr:from>
    <xdr:to>
      <xdr:col>8</xdr:col>
      <xdr:colOff>85724</xdr:colOff>
      <xdr:row>395</xdr:row>
      <xdr:rowOff>66675</xdr:rowOff>
    </xdr:to>
    <xdr:sp macro="" textlink="">
      <xdr:nvSpPr>
        <xdr:cNvPr id="45" name="Oval 44"/>
        <xdr:cNvSpPr/>
      </xdr:nvSpPr>
      <xdr:spPr>
        <a:xfrm>
          <a:off x="628650" y="47796450"/>
          <a:ext cx="2505074" cy="266700"/>
        </a:xfrm>
        <a:prstGeom prst="ellipse">
          <a:avLst/>
        </a:prstGeom>
        <a:no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twoCellAnchor>
    <xdr:from>
      <xdr:col>8</xdr:col>
      <xdr:colOff>228600</xdr:colOff>
      <xdr:row>412</xdr:row>
      <xdr:rowOff>104775</xdr:rowOff>
    </xdr:from>
    <xdr:to>
      <xdr:col>10</xdr:col>
      <xdr:colOff>66675</xdr:colOff>
      <xdr:row>412</xdr:row>
      <xdr:rowOff>106363</xdr:rowOff>
    </xdr:to>
    <xdr:cxnSp macro="">
      <xdr:nvCxnSpPr>
        <xdr:cNvPr id="42" name="Straight Arrow Connector 41"/>
        <xdr:cNvCxnSpPr/>
      </xdr:nvCxnSpPr>
      <xdr:spPr>
        <a:xfrm rot="10800000">
          <a:off x="3276600" y="50853975"/>
          <a:ext cx="600075" cy="1588"/>
        </a:xfrm>
        <a:prstGeom prst="straightConnector1">
          <a:avLst/>
        </a:prstGeom>
        <a:ln w="1905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123825</xdr:colOff>
      <xdr:row>411</xdr:row>
      <xdr:rowOff>152400</xdr:rowOff>
    </xdr:from>
    <xdr:to>
      <xdr:col>10</xdr:col>
      <xdr:colOff>306705</xdr:colOff>
      <xdr:row>413</xdr:row>
      <xdr:rowOff>28575</xdr:rowOff>
    </xdr:to>
    <xdr:sp macro="" textlink="">
      <xdr:nvSpPr>
        <xdr:cNvPr id="49" name="TextBox 48"/>
        <xdr:cNvSpPr txBox="1"/>
      </xdr:nvSpPr>
      <xdr:spPr>
        <a:xfrm>
          <a:off x="3933825" y="50739675"/>
          <a:ext cx="182880" cy="200025"/>
        </a:xfrm>
        <a:prstGeom prst="rect">
          <a:avLst/>
        </a:prstGeom>
        <a:solidFill>
          <a:srgbClr val="FF0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US" sz="1200">
              <a:latin typeface="Arial" pitchFamily="34" charset="0"/>
              <a:cs typeface="Arial" pitchFamily="34" charset="0"/>
            </a:rPr>
            <a:t>2</a:t>
          </a:r>
        </a:p>
      </xdr:txBody>
    </xdr:sp>
    <xdr:clientData/>
  </xdr:twoCellAnchor>
  <xdr:twoCellAnchor>
    <xdr:from>
      <xdr:col>5</xdr:col>
      <xdr:colOff>104775</xdr:colOff>
      <xdr:row>576</xdr:row>
      <xdr:rowOff>76200</xdr:rowOff>
    </xdr:from>
    <xdr:to>
      <xdr:col>10</xdr:col>
      <xdr:colOff>257175</xdr:colOff>
      <xdr:row>582</xdr:row>
      <xdr:rowOff>28575</xdr:rowOff>
    </xdr:to>
    <xdr:sp macro="" textlink="">
      <xdr:nvSpPr>
        <xdr:cNvPr id="57" name="Oval 56"/>
        <xdr:cNvSpPr/>
      </xdr:nvSpPr>
      <xdr:spPr>
        <a:xfrm>
          <a:off x="2009775" y="69932550"/>
          <a:ext cx="2057400" cy="92392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twoCellAnchor>
    <xdr:from>
      <xdr:col>2</xdr:col>
      <xdr:colOff>209550</xdr:colOff>
      <xdr:row>576</xdr:row>
      <xdr:rowOff>123826</xdr:rowOff>
    </xdr:from>
    <xdr:to>
      <xdr:col>3</xdr:col>
      <xdr:colOff>142875</xdr:colOff>
      <xdr:row>579</xdr:row>
      <xdr:rowOff>133351</xdr:rowOff>
    </xdr:to>
    <xdr:cxnSp macro="">
      <xdr:nvCxnSpPr>
        <xdr:cNvPr id="53" name="Straight Arrow Connector 52"/>
        <xdr:cNvCxnSpPr/>
      </xdr:nvCxnSpPr>
      <xdr:spPr>
        <a:xfrm rot="5400000">
          <a:off x="881063" y="70070663"/>
          <a:ext cx="495300" cy="314325"/>
        </a:xfrm>
        <a:prstGeom prst="straightConnector1">
          <a:avLst/>
        </a:prstGeom>
        <a:ln w="1905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0</xdr:colOff>
      <xdr:row>576</xdr:row>
      <xdr:rowOff>123825</xdr:rowOff>
    </xdr:from>
    <xdr:to>
      <xdr:col>14</xdr:col>
      <xdr:colOff>314325</xdr:colOff>
      <xdr:row>579</xdr:row>
      <xdr:rowOff>133350</xdr:rowOff>
    </xdr:to>
    <xdr:cxnSp macro="">
      <xdr:nvCxnSpPr>
        <xdr:cNvPr id="58" name="Straight Arrow Connector 57"/>
        <xdr:cNvCxnSpPr/>
      </xdr:nvCxnSpPr>
      <xdr:spPr>
        <a:xfrm rot="5400000">
          <a:off x="5243513" y="70070662"/>
          <a:ext cx="495300" cy="314325"/>
        </a:xfrm>
        <a:prstGeom prst="straightConnector1">
          <a:avLst/>
        </a:prstGeom>
        <a:ln w="1905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85725</xdr:colOff>
      <xdr:row>575</xdr:row>
      <xdr:rowOff>47625</xdr:rowOff>
    </xdr:from>
    <xdr:to>
      <xdr:col>3</xdr:col>
      <xdr:colOff>268605</xdr:colOff>
      <xdr:row>576</xdr:row>
      <xdr:rowOff>85725</xdr:rowOff>
    </xdr:to>
    <xdr:sp macro="" textlink="">
      <xdr:nvSpPr>
        <xdr:cNvPr id="59" name="TextBox 58"/>
        <xdr:cNvSpPr txBox="1"/>
      </xdr:nvSpPr>
      <xdr:spPr>
        <a:xfrm>
          <a:off x="1228725" y="69742050"/>
          <a:ext cx="182880" cy="200025"/>
        </a:xfrm>
        <a:prstGeom prst="rect">
          <a:avLst/>
        </a:prstGeom>
        <a:solidFill>
          <a:srgbClr val="FF0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US" sz="1200">
              <a:latin typeface="Arial" pitchFamily="34" charset="0"/>
              <a:cs typeface="Arial" pitchFamily="34" charset="0"/>
            </a:rPr>
            <a:t>1</a:t>
          </a:r>
        </a:p>
      </xdr:txBody>
    </xdr:sp>
    <xdr:clientData/>
  </xdr:twoCellAnchor>
  <xdr:twoCellAnchor>
    <xdr:from>
      <xdr:col>14</xdr:col>
      <xdr:colOff>238125</xdr:colOff>
      <xdr:row>575</xdr:row>
      <xdr:rowOff>47625</xdr:rowOff>
    </xdr:from>
    <xdr:to>
      <xdr:col>15</xdr:col>
      <xdr:colOff>40005</xdr:colOff>
      <xdr:row>576</xdr:row>
      <xdr:rowOff>85725</xdr:rowOff>
    </xdr:to>
    <xdr:sp macro="" textlink="">
      <xdr:nvSpPr>
        <xdr:cNvPr id="60" name="TextBox 59"/>
        <xdr:cNvSpPr txBox="1"/>
      </xdr:nvSpPr>
      <xdr:spPr>
        <a:xfrm>
          <a:off x="5572125" y="69742050"/>
          <a:ext cx="182880" cy="200025"/>
        </a:xfrm>
        <a:prstGeom prst="rect">
          <a:avLst/>
        </a:prstGeom>
        <a:solidFill>
          <a:srgbClr val="FF0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US" sz="1200">
              <a:latin typeface="Arial" pitchFamily="34" charset="0"/>
              <a:cs typeface="Arial" pitchFamily="34" charset="0"/>
            </a:rPr>
            <a:t>1</a:t>
          </a:r>
        </a:p>
      </xdr:txBody>
    </xdr:sp>
    <xdr:clientData/>
  </xdr:twoCellAnchor>
  <xdr:twoCellAnchor>
    <xdr:from>
      <xdr:col>9</xdr:col>
      <xdr:colOff>200025</xdr:colOff>
      <xdr:row>642</xdr:row>
      <xdr:rowOff>76201</xdr:rowOff>
    </xdr:from>
    <xdr:to>
      <xdr:col>10</xdr:col>
      <xdr:colOff>133350</xdr:colOff>
      <xdr:row>645</xdr:row>
      <xdr:rowOff>85726</xdr:rowOff>
    </xdr:to>
    <xdr:cxnSp macro="">
      <xdr:nvCxnSpPr>
        <xdr:cNvPr id="61" name="Straight Arrow Connector 60"/>
        <xdr:cNvCxnSpPr/>
      </xdr:nvCxnSpPr>
      <xdr:spPr>
        <a:xfrm rot="5400000">
          <a:off x="3538538" y="77633513"/>
          <a:ext cx="495300" cy="314325"/>
        </a:xfrm>
        <a:prstGeom prst="straightConnector1">
          <a:avLst/>
        </a:prstGeom>
        <a:ln w="1905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180975</xdr:colOff>
      <xdr:row>641</xdr:row>
      <xdr:rowOff>57150</xdr:rowOff>
    </xdr:from>
    <xdr:to>
      <xdr:col>10</xdr:col>
      <xdr:colOff>363855</xdr:colOff>
      <xdr:row>642</xdr:row>
      <xdr:rowOff>95250</xdr:rowOff>
    </xdr:to>
    <xdr:sp macro="" textlink="">
      <xdr:nvSpPr>
        <xdr:cNvPr id="62" name="TextBox 61"/>
        <xdr:cNvSpPr txBox="1"/>
      </xdr:nvSpPr>
      <xdr:spPr>
        <a:xfrm>
          <a:off x="3990975" y="86106000"/>
          <a:ext cx="182880" cy="200025"/>
        </a:xfrm>
        <a:prstGeom prst="rect">
          <a:avLst/>
        </a:prstGeom>
        <a:solidFill>
          <a:srgbClr val="FF0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US" sz="1200">
              <a:latin typeface="Arial" pitchFamily="34" charset="0"/>
              <a:cs typeface="Arial" pitchFamily="34" charset="0"/>
            </a:rPr>
            <a:t>1</a:t>
          </a:r>
        </a:p>
      </xdr:txBody>
    </xdr:sp>
    <xdr:clientData/>
  </xdr:twoCellAnchor>
  <xdr:twoCellAnchor>
    <xdr:from>
      <xdr:col>2</xdr:col>
      <xdr:colOff>276225</xdr:colOff>
      <xdr:row>645</xdr:row>
      <xdr:rowOff>133350</xdr:rowOff>
    </xdr:from>
    <xdr:to>
      <xdr:col>3</xdr:col>
      <xdr:colOff>123825</xdr:colOff>
      <xdr:row>647</xdr:row>
      <xdr:rowOff>95250</xdr:rowOff>
    </xdr:to>
    <xdr:cxnSp macro="">
      <xdr:nvCxnSpPr>
        <xdr:cNvPr id="64" name="Straight Arrow Connector 63"/>
        <xdr:cNvCxnSpPr/>
      </xdr:nvCxnSpPr>
      <xdr:spPr>
        <a:xfrm rot="16200000" flipV="1">
          <a:off x="1009650" y="78114525"/>
          <a:ext cx="285750" cy="228600"/>
        </a:xfrm>
        <a:prstGeom prst="straightConnector1">
          <a:avLst/>
        </a:prstGeom>
        <a:ln w="1905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180975</xdr:colOff>
      <xdr:row>647</xdr:row>
      <xdr:rowOff>47625</xdr:rowOff>
    </xdr:from>
    <xdr:to>
      <xdr:col>3</xdr:col>
      <xdr:colOff>363855</xdr:colOff>
      <xdr:row>648</xdr:row>
      <xdr:rowOff>85725</xdr:rowOff>
    </xdr:to>
    <xdr:sp macro="" textlink="">
      <xdr:nvSpPr>
        <xdr:cNvPr id="65" name="TextBox 64"/>
        <xdr:cNvSpPr txBox="1"/>
      </xdr:nvSpPr>
      <xdr:spPr>
        <a:xfrm>
          <a:off x="1323975" y="87068025"/>
          <a:ext cx="182880" cy="200025"/>
        </a:xfrm>
        <a:prstGeom prst="rect">
          <a:avLst/>
        </a:prstGeom>
        <a:solidFill>
          <a:srgbClr val="FF0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US" sz="1200">
              <a:latin typeface="Arial" pitchFamily="34" charset="0"/>
              <a:cs typeface="Arial" pitchFamily="34" charset="0"/>
            </a:rPr>
            <a:t>2</a:t>
          </a:r>
        </a:p>
      </xdr:txBody>
    </xdr:sp>
    <xdr:clientData/>
  </xdr:twoCellAnchor>
  <xdr:twoCellAnchor>
    <xdr:from>
      <xdr:col>3</xdr:col>
      <xdr:colOff>38100</xdr:colOff>
      <xdr:row>636</xdr:row>
      <xdr:rowOff>142876</xdr:rowOff>
    </xdr:from>
    <xdr:to>
      <xdr:col>3</xdr:col>
      <xdr:colOff>352425</xdr:colOff>
      <xdr:row>639</xdr:row>
      <xdr:rowOff>152401</xdr:rowOff>
    </xdr:to>
    <xdr:cxnSp macro="">
      <xdr:nvCxnSpPr>
        <xdr:cNvPr id="66" name="Straight Arrow Connector 65"/>
        <xdr:cNvCxnSpPr/>
      </xdr:nvCxnSpPr>
      <xdr:spPr>
        <a:xfrm rot="5400000">
          <a:off x="1090613" y="76728638"/>
          <a:ext cx="495300" cy="314325"/>
        </a:xfrm>
        <a:prstGeom prst="straightConnector1">
          <a:avLst/>
        </a:prstGeom>
        <a:ln w="1905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0</xdr:colOff>
      <xdr:row>635</xdr:row>
      <xdr:rowOff>76200</xdr:rowOff>
    </xdr:from>
    <xdr:to>
      <xdr:col>4</xdr:col>
      <xdr:colOff>182880</xdr:colOff>
      <xdr:row>636</xdr:row>
      <xdr:rowOff>114300</xdr:rowOff>
    </xdr:to>
    <xdr:sp macro="" textlink="">
      <xdr:nvSpPr>
        <xdr:cNvPr id="67" name="TextBox 66"/>
        <xdr:cNvSpPr txBox="1"/>
      </xdr:nvSpPr>
      <xdr:spPr>
        <a:xfrm>
          <a:off x="1524000" y="85153500"/>
          <a:ext cx="182880" cy="200025"/>
        </a:xfrm>
        <a:prstGeom prst="rect">
          <a:avLst/>
        </a:prstGeom>
        <a:solidFill>
          <a:srgbClr val="FF0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US" sz="1200">
              <a:latin typeface="Arial" pitchFamily="34" charset="0"/>
              <a:cs typeface="Arial" pitchFamily="34" charset="0"/>
            </a:rPr>
            <a:t>3</a:t>
          </a:r>
        </a:p>
      </xdr:txBody>
    </xdr:sp>
    <xdr:clientData/>
  </xdr:twoCellAnchor>
  <xdr:twoCellAnchor>
    <xdr:from>
      <xdr:col>8</xdr:col>
      <xdr:colOff>57150</xdr:colOff>
      <xdr:row>643</xdr:row>
      <xdr:rowOff>47625</xdr:rowOff>
    </xdr:from>
    <xdr:to>
      <xdr:col>8</xdr:col>
      <xdr:colOff>240030</xdr:colOff>
      <xdr:row>644</xdr:row>
      <xdr:rowOff>85725</xdr:rowOff>
    </xdr:to>
    <xdr:sp macro="" textlink="">
      <xdr:nvSpPr>
        <xdr:cNvPr id="68" name="TextBox 67"/>
        <xdr:cNvSpPr txBox="1"/>
      </xdr:nvSpPr>
      <xdr:spPr>
        <a:xfrm>
          <a:off x="3105150" y="86420325"/>
          <a:ext cx="182880" cy="200025"/>
        </a:xfrm>
        <a:prstGeom prst="rect">
          <a:avLst/>
        </a:prstGeom>
        <a:solidFill>
          <a:srgbClr val="FF0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US" sz="1200">
              <a:latin typeface="Arial" pitchFamily="34" charset="0"/>
              <a:cs typeface="Arial" pitchFamily="34" charset="0"/>
            </a:rPr>
            <a:t>4</a:t>
          </a:r>
        </a:p>
      </xdr:txBody>
    </xdr:sp>
    <xdr:clientData/>
  </xdr:twoCellAnchor>
  <xdr:twoCellAnchor>
    <xdr:from>
      <xdr:col>7</xdr:col>
      <xdr:colOff>190500</xdr:colOff>
      <xdr:row>644</xdr:row>
      <xdr:rowOff>114301</xdr:rowOff>
    </xdr:from>
    <xdr:to>
      <xdr:col>8</xdr:col>
      <xdr:colOff>123825</xdr:colOff>
      <xdr:row>647</xdr:row>
      <xdr:rowOff>123826</xdr:rowOff>
    </xdr:to>
    <xdr:cxnSp macro="">
      <xdr:nvCxnSpPr>
        <xdr:cNvPr id="69" name="Straight Arrow Connector 68"/>
        <xdr:cNvCxnSpPr/>
      </xdr:nvCxnSpPr>
      <xdr:spPr>
        <a:xfrm rot="5400000">
          <a:off x="2767013" y="77995463"/>
          <a:ext cx="495300" cy="314325"/>
        </a:xfrm>
        <a:prstGeom prst="straightConnector1">
          <a:avLst/>
        </a:prstGeom>
        <a:ln w="1905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247651</xdr:colOff>
      <xdr:row>644</xdr:row>
      <xdr:rowOff>28578</xdr:rowOff>
    </xdr:from>
    <xdr:to>
      <xdr:col>11</xdr:col>
      <xdr:colOff>371475</xdr:colOff>
      <xdr:row>648</xdr:row>
      <xdr:rowOff>66676</xdr:rowOff>
    </xdr:to>
    <xdr:cxnSp macro="">
      <xdr:nvCxnSpPr>
        <xdr:cNvPr id="70" name="Straight Arrow Connector 69"/>
        <xdr:cNvCxnSpPr/>
      </xdr:nvCxnSpPr>
      <xdr:spPr>
        <a:xfrm rot="5400000">
          <a:off x="3967164" y="77909740"/>
          <a:ext cx="685798" cy="504824"/>
        </a:xfrm>
        <a:prstGeom prst="straightConnector1">
          <a:avLst/>
        </a:prstGeom>
        <a:ln w="1905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19050</xdr:colOff>
      <xdr:row>643</xdr:row>
      <xdr:rowOff>57150</xdr:rowOff>
    </xdr:from>
    <xdr:to>
      <xdr:col>12</xdr:col>
      <xdr:colOff>201930</xdr:colOff>
      <xdr:row>644</xdr:row>
      <xdr:rowOff>95250</xdr:rowOff>
    </xdr:to>
    <xdr:sp macro="" textlink="">
      <xdr:nvSpPr>
        <xdr:cNvPr id="72" name="TextBox 71"/>
        <xdr:cNvSpPr txBox="1"/>
      </xdr:nvSpPr>
      <xdr:spPr>
        <a:xfrm>
          <a:off x="4591050" y="86429850"/>
          <a:ext cx="182880" cy="200025"/>
        </a:xfrm>
        <a:prstGeom prst="rect">
          <a:avLst/>
        </a:prstGeom>
        <a:solidFill>
          <a:srgbClr val="FF0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US" sz="1200">
              <a:latin typeface="Arial" pitchFamily="34" charset="0"/>
              <a:cs typeface="Arial" pitchFamily="34" charset="0"/>
            </a:rPr>
            <a:t>5</a:t>
          </a:r>
        </a:p>
      </xdr:txBody>
    </xdr:sp>
    <xdr:clientData/>
  </xdr:twoCellAnchor>
  <xdr:twoCellAnchor>
    <xdr:from>
      <xdr:col>5</xdr:col>
      <xdr:colOff>304805</xdr:colOff>
      <xdr:row>656</xdr:row>
      <xdr:rowOff>104774</xdr:rowOff>
    </xdr:from>
    <xdr:to>
      <xdr:col>6</xdr:col>
      <xdr:colOff>314326</xdr:colOff>
      <xdr:row>656</xdr:row>
      <xdr:rowOff>104775</xdr:rowOff>
    </xdr:to>
    <xdr:cxnSp macro="">
      <xdr:nvCxnSpPr>
        <xdr:cNvPr id="73" name="Straight Arrow Connector 72"/>
        <xdr:cNvCxnSpPr/>
      </xdr:nvCxnSpPr>
      <xdr:spPr>
        <a:xfrm rot="10800000" flipV="1">
          <a:off x="2209805" y="79190849"/>
          <a:ext cx="390521" cy="1"/>
        </a:xfrm>
        <a:prstGeom prst="straightConnector1">
          <a:avLst/>
        </a:prstGeom>
        <a:ln w="1905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0</xdr:colOff>
      <xdr:row>660</xdr:row>
      <xdr:rowOff>95250</xdr:rowOff>
    </xdr:from>
    <xdr:to>
      <xdr:col>10</xdr:col>
      <xdr:colOff>314325</xdr:colOff>
      <xdr:row>673</xdr:row>
      <xdr:rowOff>9525</xdr:rowOff>
    </xdr:to>
    <xdr:pic>
      <xdr:nvPicPr>
        <xdr:cNvPr id="16438" name="Picture 6659"/>
        <xdr:cNvPicPr>
          <a:picLocks noChangeAspect="1" noChangeArrowheads="1"/>
        </xdr:cNvPicPr>
      </xdr:nvPicPr>
      <xdr:blipFill>
        <a:blip xmlns:r="http://schemas.openxmlformats.org/officeDocument/2006/relationships" r:embed="rId11" cstate="print"/>
        <a:srcRect/>
        <a:stretch>
          <a:fillRect/>
        </a:stretch>
      </xdr:blipFill>
      <xdr:spPr bwMode="auto">
        <a:xfrm>
          <a:off x="0" y="107032425"/>
          <a:ext cx="4124325" cy="2019300"/>
        </a:xfrm>
        <a:prstGeom prst="rect">
          <a:avLst/>
        </a:prstGeom>
        <a:noFill/>
        <a:ln w="1">
          <a:solidFill>
            <a:srgbClr val="000000"/>
          </a:solidFill>
          <a:miter lim="800000"/>
          <a:headEnd/>
          <a:tailEnd/>
        </a:ln>
      </xdr:spPr>
    </xdr:pic>
    <xdr:clientData/>
  </xdr:twoCellAnchor>
  <xdr:twoCellAnchor>
    <xdr:from>
      <xdr:col>3</xdr:col>
      <xdr:colOff>266700</xdr:colOff>
      <xdr:row>671</xdr:row>
      <xdr:rowOff>66675</xdr:rowOff>
    </xdr:from>
    <xdr:to>
      <xdr:col>4</xdr:col>
      <xdr:colOff>190500</xdr:colOff>
      <xdr:row>671</xdr:row>
      <xdr:rowOff>68263</xdr:rowOff>
    </xdr:to>
    <xdr:cxnSp macro="">
      <xdr:nvCxnSpPr>
        <xdr:cNvPr id="77" name="Straight Arrow Connector 76"/>
        <xdr:cNvCxnSpPr/>
      </xdr:nvCxnSpPr>
      <xdr:spPr>
        <a:xfrm>
          <a:off x="1409700" y="80286225"/>
          <a:ext cx="304800" cy="1588"/>
        </a:xfrm>
        <a:prstGeom prst="straightConnector1">
          <a:avLst/>
        </a:prstGeom>
        <a:ln w="1905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4</xdr:col>
      <xdr:colOff>247650</xdr:colOff>
      <xdr:row>655</xdr:row>
      <xdr:rowOff>57150</xdr:rowOff>
    </xdr:from>
    <xdr:to>
      <xdr:col>5</xdr:col>
      <xdr:colOff>257175</xdr:colOff>
      <xdr:row>657</xdr:row>
      <xdr:rowOff>123825</xdr:rowOff>
    </xdr:to>
    <xdr:pic>
      <xdr:nvPicPr>
        <xdr:cNvPr id="16440" name="Picture 6728"/>
        <xdr:cNvPicPr>
          <a:picLocks noChangeAspect="1" noChangeArrowheads="1"/>
        </xdr:cNvPicPr>
      </xdr:nvPicPr>
      <xdr:blipFill>
        <a:blip xmlns:r="http://schemas.openxmlformats.org/officeDocument/2006/relationships" r:embed="rId12" cstate="print"/>
        <a:srcRect/>
        <a:stretch>
          <a:fillRect/>
        </a:stretch>
      </xdr:blipFill>
      <xdr:spPr bwMode="auto">
        <a:xfrm>
          <a:off x="1771650" y="106184700"/>
          <a:ext cx="390525" cy="390525"/>
        </a:xfrm>
        <a:prstGeom prst="rect">
          <a:avLst/>
        </a:prstGeom>
        <a:noFill/>
        <a:ln w="1">
          <a:solidFill>
            <a:srgbClr val="000000"/>
          </a:solidFill>
          <a:miter lim="800000"/>
          <a:headEnd/>
          <a:tailEnd/>
        </a:ln>
      </xdr:spPr>
    </xdr:pic>
    <xdr:clientData/>
  </xdr:twoCellAnchor>
  <xdr:twoCellAnchor editAs="oneCell">
    <xdr:from>
      <xdr:col>8</xdr:col>
      <xdr:colOff>38100</xdr:colOff>
      <xdr:row>655</xdr:row>
      <xdr:rowOff>104775</xdr:rowOff>
    </xdr:from>
    <xdr:to>
      <xdr:col>12</xdr:col>
      <xdr:colOff>333375</xdr:colOff>
      <xdr:row>657</xdr:row>
      <xdr:rowOff>47625</xdr:rowOff>
    </xdr:to>
    <xdr:pic>
      <xdr:nvPicPr>
        <xdr:cNvPr id="16441" name="Picture 6729"/>
        <xdr:cNvPicPr>
          <a:picLocks noChangeAspect="1" noChangeArrowheads="1"/>
        </xdr:cNvPicPr>
      </xdr:nvPicPr>
      <xdr:blipFill>
        <a:blip xmlns:r="http://schemas.openxmlformats.org/officeDocument/2006/relationships" r:embed="rId13" cstate="print"/>
        <a:srcRect/>
        <a:stretch>
          <a:fillRect/>
        </a:stretch>
      </xdr:blipFill>
      <xdr:spPr bwMode="auto">
        <a:xfrm>
          <a:off x="3086100" y="106232325"/>
          <a:ext cx="1819275" cy="266700"/>
        </a:xfrm>
        <a:prstGeom prst="rect">
          <a:avLst/>
        </a:prstGeom>
        <a:noFill/>
        <a:ln w="1">
          <a:solidFill>
            <a:srgbClr val="000000"/>
          </a:solidFill>
          <a:miter lim="800000"/>
          <a:headEnd/>
          <a:tailEnd/>
        </a:ln>
      </xdr:spPr>
    </xdr:pic>
    <xdr:clientData/>
  </xdr:twoCellAnchor>
  <xdr:twoCellAnchor>
    <xdr:from>
      <xdr:col>9</xdr:col>
      <xdr:colOff>171450</xdr:colOff>
      <xdr:row>654</xdr:row>
      <xdr:rowOff>28576</xdr:rowOff>
    </xdr:from>
    <xdr:to>
      <xdr:col>9</xdr:col>
      <xdr:colOff>371475</xdr:colOff>
      <xdr:row>656</xdr:row>
      <xdr:rowOff>9526</xdr:rowOff>
    </xdr:to>
    <xdr:cxnSp macro="">
      <xdr:nvCxnSpPr>
        <xdr:cNvPr id="79" name="Straight Arrow Connector 78"/>
        <xdr:cNvCxnSpPr/>
      </xdr:nvCxnSpPr>
      <xdr:spPr>
        <a:xfrm rot="5400000">
          <a:off x="3548063" y="79814738"/>
          <a:ext cx="304800" cy="200025"/>
        </a:xfrm>
        <a:prstGeom prst="straightConnector1">
          <a:avLst/>
        </a:prstGeom>
        <a:ln w="1905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0</xdr:colOff>
      <xdr:row>676</xdr:row>
      <xdr:rowOff>66675</xdr:rowOff>
    </xdr:from>
    <xdr:to>
      <xdr:col>3</xdr:col>
      <xdr:colOff>219075</xdr:colOff>
      <xdr:row>678</xdr:row>
      <xdr:rowOff>114300</xdr:rowOff>
    </xdr:to>
    <xdr:pic>
      <xdr:nvPicPr>
        <xdr:cNvPr id="16443" name="Picture 6871"/>
        <xdr:cNvPicPr>
          <a:picLocks noChangeAspect="1" noChangeArrowheads="1"/>
        </xdr:cNvPicPr>
      </xdr:nvPicPr>
      <xdr:blipFill>
        <a:blip xmlns:r="http://schemas.openxmlformats.org/officeDocument/2006/relationships" r:embed="rId14" cstate="print"/>
        <a:srcRect/>
        <a:stretch>
          <a:fillRect/>
        </a:stretch>
      </xdr:blipFill>
      <xdr:spPr bwMode="auto">
        <a:xfrm>
          <a:off x="0" y="109594650"/>
          <a:ext cx="1362075" cy="371475"/>
        </a:xfrm>
        <a:prstGeom prst="rect">
          <a:avLst/>
        </a:prstGeom>
        <a:noFill/>
        <a:ln w="1">
          <a:solidFill>
            <a:srgbClr val="000000"/>
          </a:solidFill>
          <a:miter lim="800000"/>
          <a:headEnd/>
          <a:tailEnd/>
        </a:ln>
      </xdr:spPr>
    </xdr:pic>
    <xdr:clientData/>
  </xdr:twoCellAnchor>
  <xdr:twoCellAnchor editAs="oneCell">
    <xdr:from>
      <xdr:col>0</xdr:col>
      <xdr:colOff>0</xdr:colOff>
      <xdr:row>470</xdr:row>
      <xdr:rowOff>95250</xdr:rowOff>
    </xdr:from>
    <xdr:to>
      <xdr:col>7</xdr:col>
      <xdr:colOff>171450</xdr:colOff>
      <xdr:row>480</xdr:row>
      <xdr:rowOff>133350</xdr:rowOff>
    </xdr:to>
    <xdr:pic>
      <xdr:nvPicPr>
        <xdr:cNvPr id="16444" name="Picture 7659"/>
        <xdr:cNvPicPr>
          <a:picLocks noChangeAspect="1" noChangeArrowheads="1"/>
        </xdr:cNvPicPr>
      </xdr:nvPicPr>
      <xdr:blipFill>
        <a:blip xmlns:r="http://schemas.openxmlformats.org/officeDocument/2006/relationships" r:embed="rId15" cstate="print"/>
        <a:srcRect/>
        <a:stretch>
          <a:fillRect/>
        </a:stretch>
      </xdr:blipFill>
      <xdr:spPr bwMode="auto">
        <a:xfrm>
          <a:off x="0" y="76266675"/>
          <a:ext cx="2838450" cy="1657350"/>
        </a:xfrm>
        <a:prstGeom prst="rect">
          <a:avLst/>
        </a:prstGeom>
        <a:noFill/>
        <a:ln w="1">
          <a:solidFill>
            <a:srgbClr val="000000"/>
          </a:solidFill>
          <a:miter lim="800000"/>
          <a:headEnd/>
          <a:tailEnd/>
        </a:ln>
      </xdr:spPr>
    </xdr:pic>
    <xdr:clientData/>
  </xdr:twoCellAnchor>
  <xdr:twoCellAnchor editAs="oneCell">
    <xdr:from>
      <xdr:col>0</xdr:col>
      <xdr:colOff>0</xdr:colOff>
      <xdr:row>487</xdr:row>
      <xdr:rowOff>0</xdr:rowOff>
    </xdr:from>
    <xdr:to>
      <xdr:col>10</xdr:col>
      <xdr:colOff>180975</xdr:colOff>
      <xdr:row>513</xdr:row>
      <xdr:rowOff>38100</xdr:rowOff>
    </xdr:to>
    <xdr:pic>
      <xdr:nvPicPr>
        <xdr:cNvPr id="16445" name="Picture 7730"/>
        <xdr:cNvPicPr>
          <a:picLocks noChangeAspect="1" noChangeArrowheads="1"/>
        </xdr:cNvPicPr>
      </xdr:nvPicPr>
      <xdr:blipFill>
        <a:blip xmlns:r="http://schemas.openxmlformats.org/officeDocument/2006/relationships" r:embed="rId16" cstate="print"/>
        <a:srcRect/>
        <a:stretch>
          <a:fillRect/>
        </a:stretch>
      </xdr:blipFill>
      <xdr:spPr bwMode="auto">
        <a:xfrm>
          <a:off x="0" y="78924150"/>
          <a:ext cx="3990975" cy="4248150"/>
        </a:xfrm>
        <a:prstGeom prst="rect">
          <a:avLst/>
        </a:prstGeom>
        <a:noFill/>
        <a:ln w="1">
          <a:solidFill>
            <a:srgbClr val="000000"/>
          </a:solidFill>
          <a:miter lim="800000"/>
          <a:headEnd/>
          <a:tailEnd/>
        </a:ln>
      </xdr:spPr>
    </xdr:pic>
    <xdr:clientData/>
  </xdr:twoCellAnchor>
  <xdr:twoCellAnchor>
    <xdr:from>
      <xdr:col>2</xdr:col>
      <xdr:colOff>190501</xdr:colOff>
      <xdr:row>678</xdr:row>
      <xdr:rowOff>19050</xdr:rowOff>
    </xdr:from>
    <xdr:to>
      <xdr:col>4</xdr:col>
      <xdr:colOff>314326</xdr:colOff>
      <xdr:row>678</xdr:row>
      <xdr:rowOff>20638</xdr:rowOff>
    </xdr:to>
    <xdr:cxnSp macro="">
      <xdr:nvCxnSpPr>
        <xdr:cNvPr id="83" name="Straight Arrow Connector 82"/>
        <xdr:cNvCxnSpPr/>
      </xdr:nvCxnSpPr>
      <xdr:spPr>
        <a:xfrm rot="10800000">
          <a:off x="952501" y="83639025"/>
          <a:ext cx="885825" cy="1588"/>
        </a:xfrm>
        <a:prstGeom prst="straightConnector1">
          <a:avLst/>
        </a:prstGeom>
        <a:ln w="1905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0</xdr:colOff>
      <xdr:row>529</xdr:row>
      <xdr:rowOff>152400</xdr:rowOff>
    </xdr:from>
    <xdr:to>
      <xdr:col>15</xdr:col>
      <xdr:colOff>304800</xdr:colOff>
      <xdr:row>535</xdr:row>
      <xdr:rowOff>95250</xdr:rowOff>
    </xdr:to>
    <xdr:pic>
      <xdr:nvPicPr>
        <xdr:cNvPr id="16447" name="Picture 18589"/>
        <xdr:cNvPicPr>
          <a:picLocks noChangeAspect="1" noChangeArrowheads="1"/>
        </xdr:cNvPicPr>
      </xdr:nvPicPr>
      <xdr:blipFill>
        <a:blip xmlns:r="http://schemas.openxmlformats.org/officeDocument/2006/relationships" r:embed="rId17" cstate="print"/>
        <a:srcRect/>
        <a:stretch>
          <a:fillRect/>
        </a:stretch>
      </xdr:blipFill>
      <xdr:spPr bwMode="auto">
        <a:xfrm>
          <a:off x="0" y="85877400"/>
          <a:ext cx="6019800" cy="914400"/>
        </a:xfrm>
        <a:prstGeom prst="rect">
          <a:avLst/>
        </a:prstGeom>
        <a:noFill/>
        <a:ln w="1">
          <a:solidFill>
            <a:srgbClr val="000000"/>
          </a:solidFill>
          <a:miter lim="800000"/>
          <a:headEnd/>
          <a:tailEnd/>
        </a:ln>
      </xdr:spPr>
    </xdr:pic>
    <xdr:clientData/>
  </xdr:twoCellAnchor>
  <xdr:twoCellAnchor editAs="oneCell">
    <xdr:from>
      <xdr:col>0</xdr:col>
      <xdr:colOff>0</xdr:colOff>
      <xdr:row>583</xdr:row>
      <xdr:rowOff>38100</xdr:rowOff>
    </xdr:from>
    <xdr:to>
      <xdr:col>15</xdr:col>
      <xdr:colOff>295275</xdr:colOff>
      <xdr:row>600</xdr:row>
      <xdr:rowOff>66675</xdr:rowOff>
    </xdr:to>
    <xdr:pic>
      <xdr:nvPicPr>
        <xdr:cNvPr id="16448" name="Picture 19660"/>
        <xdr:cNvPicPr>
          <a:picLocks noChangeAspect="1" noChangeArrowheads="1"/>
        </xdr:cNvPicPr>
      </xdr:nvPicPr>
      <xdr:blipFill>
        <a:blip xmlns:r="http://schemas.openxmlformats.org/officeDocument/2006/relationships" r:embed="rId18" cstate="print"/>
        <a:srcRect/>
        <a:stretch>
          <a:fillRect/>
        </a:stretch>
      </xdr:blipFill>
      <xdr:spPr bwMode="auto">
        <a:xfrm>
          <a:off x="0" y="94507050"/>
          <a:ext cx="6010275" cy="2781300"/>
        </a:xfrm>
        <a:prstGeom prst="rect">
          <a:avLst/>
        </a:prstGeom>
        <a:noFill/>
        <a:ln w="1">
          <a:solidFill>
            <a:srgbClr val="000000"/>
          </a:solidFill>
          <a:miter lim="800000"/>
          <a:headEnd/>
          <a:tailEnd/>
        </a:ln>
      </xdr:spPr>
    </xdr:pic>
    <xdr:clientData/>
  </xdr:twoCellAnchor>
  <xdr:twoCellAnchor>
    <xdr:from>
      <xdr:col>0</xdr:col>
      <xdr:colOff>333375</xdr:colOff>
      <xdr:row>546</xdr:row>
      <xdr:rowOff>142875</xdr:rowOff>
    </xdr:from>
    <xdr:to>
      <xdr:col>2</xdr:col>
      <xdr:colOff>257175</xdr:colOff>
      <xdr:row>549</xdr:row>
      <xdr:rowOff>0</xdr:rowOff>
    </xdr:to>
    <xdr:sp macro="" textlink="">
      <xdr:nvSpPr>
        <xdr:cNvPr id="74" name="Oval 73"/>
        <xdr:cNvSpPr/>
      </xdr:nvSpPr>
      <xdr:spPr>
        <a:xfrm>
          <a:off x="333375" y="70161150"/>
          <a:ext cx="685800" cy="34290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twoCellAnchor>
    <xdr:from>
      <xdr:col>0</xdr:col>
      <xdr:colOff>342900</xdr:colOff>
      <xdr:row>553</xdr:row>
      <xdr:rowOff>133350</xdr:rowOff>
    </xdr:from>
    <xdr:to>
      <xdr:col>2</xdr:col>
      <xdr:colOff>266700</xdr:colOff>
      <xdr:row>555</xdr:row>
      <xdr:rowOff>152400</xdr:rowOff>
    </xdr:to>
    <xdr:sp macro="" textlink="">
      <xdr:nvSpPr>
        <xdr:cNvPr id="75" name="Oval 74"/>
        <xdr:cNvSpPr/>
      </xdr:nvSpPr>
      <xdr:spPr>
        <a:xfrm>
          <a:off x="342900" y="71285100"/>
          <a:ext cx="685800" cy="34290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twoCellAnchor editAs="oneCell">
    <xdr:from>
      <xdr:col>0</xdr:col>
      <xdr:colOff>0</xdr:colOff>
      <xdr:row>561</xdr:row>
      <xdr:rowOff>0</xdr:rowOff>
    </xdr:from>
    <xdr:to>
      <xdr:col>15</xdr:col>
      <xdr:colOff>295275</xdr:colOff>
      <xdr:row>567</xdr:row>
      <xdr:rowOff>0</xdr:rowOff>
    </xdr:to>
    <xdr:pic>
      <xdr:nvPicPr>
        <xdr:cNvPr id="16451" name="Picture 21086"/>
        <xdr:cNvPicPr>
          <a:picLocks noChangeAspect="1" noChangeArrowheads="1"/>
        </xdr:cNvPicPr>
      </xdr:nvPicPr>
      <xdr:blipFill>
        <a:blip xmlns:r="http://schemas.openxmlformats.org/officeDocument/2006/relationships" r:embed="rId19" cstate="print"/>
        <a:srcRect/>
        <a:stretch>
          <a:fillRect/>
        </a:stretch>
      </xdr:blipFill>
      <xdr:spPr bwMode="auto">
        <a:xfrm>
          <a:off x="0" y="90906600"/>
          <a:ext cx="6010275" cy="971550"/>
        </a:xfrm>
        <a:prstGeom prst="rect">
          <a:avLst/>
        </a:prstGeom>
        <a:noFill/>
        <a:ln w="1">
          <a:solidFill>
            <a:srgbClr val="000000"/>
          </a:solidFill>
          <a:miter lim="800000"/>
          <a:headEnd/>
          <a:tailEnd/>
        </a:ln>
      </xdr:spPr>
    </xdr:pic>
    <xdr:clientData/>
  </xdr:twoCellAnchor>
  <xdr:twoCellAnchor>
    <xdr:from>
      <xdr:col>0</xdr:col>
      <xdr:colOff>276225</xdr:colOff>
      <xdr:row>563</xdr:row>
      <xdr:rowOff>123825</xdr:rowOff>
    </xdr:from>
    <xdr:to>
      <xdr:col>2</xdr:col>
      <xdr:colOff>295275</xdr:colOff>
      <xdr:row>565</xdr:row>
      <xdr:rowOff>28575</xdr:rowOff>
    </xdr:to>
    <xdr:sp macro="" textlink="">
      <xdr:nvSpPr>
        <xdr:cNvPr id="78" name="Oval 77"/>
        <xdr:cNvSpPr/>
      </xdr:nvSpPr>
      <xdr:spPr>
        <a:xfrm>
          <a:off x="276225" y="72894825"/>
          <a:ext cx="781050" cy="22860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twoCellAnchor editAs="oneCell">
    <xdr:from>
      <xdr:col>0</xdr:col>
      <xdr:colOff>0</xdr:colOff>
      <xdr:row>611</xdr:row>
      <xdr:rowOff>95250</xdr:rowOff>
    </xdr:from>
    <xdr:to>
      <xdr:col>6</xdr:col>
      <xdr:colOff>76200</xdr:colOff>
      <xdr:row>624</xdr:row>
      <xdr:rowOff>104775</xdr:rowOff>
    </xdr:to>
    <xdr:pic>
      <xdr:nvPicPr>
        <xdr:cNvPr id="16453" name="Picture 2088"/>
        <xdr:cNvPicPr>
          <a:picLocks noChangeAspect="1" noChangeArrowheads="1"/>
        </xdr:cNvPicPr>
      </xdr:nvPicPr>
      <xdr:blipFill>
        <a:blip xmlns:r="http://schemas.openxmlformats.org/officeDocument/2006/relationships" r:embed="rId20" cstate="print"/>
        <a:srcRect/>
        <a:stretch>
          <a:fillRect/>
        </a:stretch>
      </xdr:blipFill>
      <xdr:spPr bwMode="auto">
        <a:xfrm>
          <a:off x="0" y="99098100"/>
          <a:ext cx="2362200" cy="2114550"/>
        </a:xfrm>
        <a:prstGeom prst="rect">
          <a:avLst/>
        </a:prstGeom>
        <a:noFill/>
        <a:ln w="1">
          <a:solidFill>
            <a:srgbClr val="000000"/>
          </a:solidFill>
          <a:miter lim="800000"/>
          <a:headEnd/>
          <a:tailEnd/>
        </a:ln>
      </xdr:spPr>
    </xdr:pic>
    <xdr:clientData/>
  </xdr:twoCellAnchor>
  <xdr:twoCellAnchor>
    <xdr:from>
      <xdr:col>5</xdr:col>
      <xdr:colOff>85725</xdr:colOff>
      <xdr:row>614</xdr:row>
      <xdr:rowOff>47625</xdr:rowOff>
    </xdr:from>
    <xdr:to>
      <xdr:col>5</xdr:col>
      <xdr:colOff>276225</xdr:colOff>
      <xdr:row>615</xdr:row>
      <xdr:rowOff>114300</xdr:rowOff>
    </xdr:to>
    <xdr:sp macro="" textlink="">
      <xdr:nvSpPr>
        <xdr:cNvPr id="80" name="Oval 79"/>
        <xdr:cNvSpPr/>
      </xdr:nvSpPr>
      <xdr:spPr>
        <a:xfrm>
          <a:off x="1990725" y="81076800"/>
          <a:ext cx="190500" cy="22860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twoCellAnchor>
    <xdr:from>
      <xdr:col>3</xdr:col>
      <xdr:colOff>304800</xdr:colOff>
      <xdr:row>621</xdr:row>
      <xdr:rowOff>57150</xdr:rowOff>
    </xdr:from>
    <xdr:to>
      <xdr:col>4</xdr:col>
      <xdr:colOff>114300</xdr:colOff>
      <xdr:row>622</xdr:row>
      <xdr:rowOff>123825</xdr:rowOff>
    </xdr:to>
    <xdr:sp macro="" textlink="">
      <xdr:nvSpPr>
        <xdr:cNvPr id="81" name="Oval 80"/>
        <xdr:cNvSpPr/>
      </xdr:nvSpPr>
      <xdr:spPr>
        <a:xfrm>
          <a:off x="1447800" y="82219800"/>
          <a:ext cx="190500" cy="22860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twoCellAnchor editAs="oneCell">
    <xdr:from>
      <xdr:col>0</xdr:col>
      <xdr:colOff>0</xdr:colOff>
      <xdr:row>158</xdr:row>
      <xdr:rowOff>66675</xdr:rowOff>
    </xdr:from>
    <xdr:to>
      <xdr:col>1</xdr:col>
      <xdr:colOff>352425</xdr:colOff>
      <xdr:row>163</xdr:row>
      <xdr:rowOff>76200</xdr:rowOff>
    </xdr:to>
    <xdr:pic>
      <xdr:nvPicPr>
        <xdr:cNvPr id="16456" name="Picture 6791"/>
        <xdr:cNvPicPr>
          <a:picLocks noChangeAspect="1" noChangeArrowheads="1"/>
        </xdr:cNvPicPr>
      </xdr:nvPicPr>
      <xdr:blipFill>
        <a:blip xmlns:r="http://schemas.openxmlformats.org/officeDocument/2006/relationships" r:embed="rId21" cstate="print"/>
        <a:srcRect/>
        <a:stretch>
          <a:fillRect/>
        </a:stretch>
      </xdr:blipFill>
      <xdr:spPr bwMode="auto">
        <a:xfrm>
          <a:off x="0" y="25717500"/>
          <a:ext cx="733425" cy="819150"/>
        </a:xfrm>
        <a:prstGeom prst="rect">
          <a:avLst/>
        </a:prstGeom>
        <a:noFill/>
        <a:ln w="1">
          <a:solidFill>
            <a:srgbClr val="000000"/>
          </a:solidFill>
          <a:miter lim="800000"/>
          <a:headEnd/>
          <a:tailEnd/>
        </a:ln>
      </xdr:spPr>
    </xdr:pic>
    <xdr:clientData/>
  </xdr:twoCellAnchor>
  <xdr:twoCellAnchor editAs="oneCell">
    <xdr:from>
      <xdr:col>2</xdr:col>
      <xdr:colOff>200025</xdr:colOff>
      <xdr:row>158</xdr:row>
      <xdr:rowOff>66675</xdr:rowOff>
    </xdr:from>
    <xdr:to>
      <xdr:col>4</xdr:col>
      <xdr:colOff>342900</xdr:colOff>
      <xdr:row>166</xdr:row>
      <xdr:rowOff>104775</xdr:rowOff>
    </xdr:to>
    <xdr:pic>
      <xdr:nvPicPr>
        <xdr:cNvPr id="16457" name="Picture 6792"/>
        <xdr:cNvPicPr>
          <a:picLocks noChangeAspect="1" noChangeArrowheads="1"/>
        </xdr:cNvPicPr>
      </xdr:nvPicPr>
      <xdr:blipFill>
        <a:blip xmlns:r="http://schemas.openxmlformats.org/officeDocument/2006/relationships" r:embed="rId22" cstate="print"/>
        <a:srcRect/>
        <a:stretch>
          <a:fillRect/>
        </a:stretch>
      </xdr:blipFill>
      <xdr:spPr bwMode="auto">
        <a:xfrm>
          <a:off x="962025" y="25717500"/>
          <a:ext cx="904875" cy="1333500"/>
        </a:xfrm>
        <a:prstGeom prst="rect">
          <a:avLst/>
        </a:prstGeom>
        <a:noFill/>
        <a:ln w="1">
          <a:solidFill>
            <a:srgbClr val="000000"/>
          </a:solidFill>
          <a:miter lim="800000"/>
          <a:headEnd/>
          <a:tailEnd/>
        </a:ln>
      </xdr:spPr>
    </xdr:pic>
    <xdr:clientData/>
  </xdr:twoCellAnchor>
  <xdr:twoCellAnchor editAs="oneCell">
    <xdr:from>
      <xdr:col>5</xdr:col>
      <xdr:colOff>171450</xdr:colOff>
      <xdr:row>158</xdr:row>
      <xdr:rowOff>66675</xdr:rowOff>
    </xdr:from>
    <xdr:to>
      <xdr:col>7</xdr:col>
      <xdr:colOff>314325</xdr:colOff>
      <xdr:row>166</xdr:row>
      <xdr:rowOff>104775</xdr:rowOff>
    </xdr:to>
    <xdr:pic>
      <xdr:nvPicPr>
        <xdr:cNvPr id="16458" name="Picture 6793"/>
        <xdr:cNvPicPr>
          <a:picLocks noChangeAspect="1" noChangeArrowheads="1"/>
        </xdr:cNvPicPr>
      </xdr:nvPicPr>
      <xdr:blipFill>
        <a:blip xmlns:r="http://schemas.openxmlformats.org/officeDocument/2006/relationships" r:embed="rId23" cstate="print"/>
        <a:srcRect/>
        <a:stretch>
          <a:fillRect/>
        </a:stretch>
      </xdr:blipFill>
      <xdr:spPr bwMode="auto">
        <a:xfrm>
          <a:off x="2076450" y="25717500"/>
          <a:ext cx="904875" cy="1333500"/>
        </a:xfrm>
        <a:prstGeom prst="rect">
          <a:avLst/>
        </a:prstGeom>
        <a:noFill/>
        <a:ln w="1">
          <a:solidFill>
            <a:srgbClr val="000000"/>
          </a:solidFill>
          <a:miter lim="800000"/>
          <a:headEnd/>
          <a:tailEnd/>
        </a:ln>
      </xdr:spPr>
    </xdr:pic>
    <xdr:clientData/>
  </xdr:twoCellAnchor>
  <xdr:twoCellAnchor>
    <xdr:from>
      <xdr:col>1</xdr:col>
      <xdr:colOff>247650</xdr:colOff>
      <xdr:row>395</xdr:row>
      <xdr:rowOff>57150</xdr:rowOff>
    </xdr:from>
    <xdr:to>
      <xdr:col>8</xdr:col>
      <xdr:colOff>85724</xdr:colOff>
      <xdr:row>397</xdr:row>
      <xdr:rowOff>0</xdr:rowOff>
    </xdr:to>
    <xdr:sp macro="" textlink="">
      <xdr:nvSpPr>
        <xdr:cNvPr id="82" name="Oval 81"/>
        <xdr:cNvSpPr/>
      </xdr:nvSpPr>
      <xdr:spPr>
        <a:xfrm>
          <a:off x="628650" y="48053625"/>
          <a:ext cx="2505074" cy="266700"/>
        </a:xfrm>
        <a:prstGeom prst="ellipse">
          <a:avLst/>
        </a:prstGeom>
        <a:no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twoCellAnchor>
    <xdr:from>
      <xdr:col>1</xdr:col>
      <xdr:colOff>247650</xdr:colOff>
      <xdr:row>400</xdr:row>
      <xdr:rowOff>38100</xdr:rowOff>
    </xdr:from>
    <xdr:to>
      <xdr:col>8</xdr:col>
      <xdr:colOff>85724</xdr:colOff>
      <xdr:row>401</xdr:row>
      <xdr:rowOff>142875</xdr:rowOff>
    </xdr:to>
    <xdr:sp macro="" textlink="">
      <xdr:nvSpPr>
        <xdr:cNvPr id="84" name="Oval 83"/>
        <xdr:cNvSpPr/>
      </xdr:nvSpPr>
      <xdr:spPr>
        <a:xfrm>
          <a:off x="628650" y="48844200"/>
          <a:ext cx="2505074" cy="266700"/>
        </a:xfrm>
        <a:prstGeom prst="ellipse">
          <a:avLst/>
        </a:prstGeom>
        <a:no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twoCellAnchor>
    <xdr:from>
      <xdr:col>1</xdr:col>
      <xdr:colOff>247650</xdr:colOff>
      <xdr:row>405</xdr:row>
      <xdr:rowOff>38100</xdr:rowOff>
    </xdr:from>
    <xdr:to>
      <xdr:col>8</xdr:col>
      <xdr:colOff>85724</xdr:colOff>
      <xdr:row>406</xdr:row>
      <xdr:rowOff>142875</xdr:rowOff>
    </xdr:to>
    <xdr:sp macro="" textlink="">
      <xdr:nvSpPr>
        <xdr:cNvPr id="85" name="Oval 84"/>
        <xdr:cNvSpPr/>
      </xdr:nvSpPr>
      <xdr:spPr>
        <a:xfrm>
          <a:off x="628650" y="49653825"/>
          <a:ext cx="2505074" cy="266700"/>
        </a:xfrm>
        <a:prstGeom prst="ellipse">
          <a:avLst/>
        </a:prstGeom>
        <a:no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twoCellAnchor editAs="oneCell">
    <xdr:from>
      <xdr:col>0</xdr:col>
      <xdr:colOff>0</xdr:colOff>
      <xdr:row>307</xdr:row>
      <xdr:rowOff>0</xdr:rowOff>
    </xdr:from>
    <xdr:to>
      <xdr:col>13</xdr:col>
      <xdr:colOff>85725</xdr:colOff>
      <xdr:row>321</xdr:row>
      <xdr:rowOff>28575</xdr:rowOff>
    </xdr:to>
    <xdr:pic>
      <xdr:nvPicPr>
        <xdr:cNvPr id="16462" name="Picture 9437"/>
        <xdr:cNvPicPr>
          <a:picLocks noChangeAspect="1" noChangeArrowheads="1"/>
        </xdr:cNvPicPr>
      </xdr:nvPicPr>
      <xdr:blipFill>
        <a:blip xmlns:r="http://schemas.openxmlformats.org/officeDocument/2006/relationships" r:embed="rId24" cstate="print"/>
        <a:srcRect/>
        <a:stretch>
          <a:fillRect/>
        </a:stretch>
      </xdr:blipFill>
      <xdr:spPr bwMode="auto">
        <a:xfrm>
          <a:off x="0" y="49777650"/>
          <a:ext cx="5038725" cy="2295525"/>
        </a:xfrm>
        <a:prstGeom prst="rect">
          <a:avLst/>
        </a:prstGeom>
        <a:noFill/>
        <a:ln w="1">
          <a:solidFill>
            <a:srgbClr val="000000"/>
          </a:solidFill>
          <a:miter lim="800000"/>
          <a:headEnd/>
          <a:tailEnd/>
        </a:ln>
      </xdr:spPr>
    </xdr:pic>
    <xdr:clientData/>
  </xdr:twoCellAnchor>
  <xdr:twoCellAnchor>
    <xdr:from>
      <xdr:col>9</xdr:col>
      <xdr:colOff>28577</xdr:colOff>
      <xdr:row>225</xdr:row>
      <xdr:rowOff>9531</xdr:rowOff>
    </xdr:from>
    <xdr:to>
      <xdr:col>9</xdr:col>
      <xdr:colOff>361953</xdr:colOff>
      <xdr:row>231</xdr:row>
      <xdr:rowOff>28581</xdr:rowOff>
    </xdr:to>
    <xdr:cxnSp macro="">
      <xdr:nvCxnSpPr>
        <xdr:cNvPr id="89" name="Straight Arrow Connector 88"/>
        <xdr:cNvCxnSpPr/>
      </xdr:nvCxnSpPr>
      <xdr:spPr>
        <a:xfrm rot="16200000" flipH="1">
          <a:off x="3128965" y="27770143"/>
          <a:ext cx="990600" cy="333376"/>
        </a:xfrm>
        <a:prstGeom prst="straightConnector1">
          <a:avLst/>
        </a:prstGeom>
        <a:ln w="1905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247650</xdr:colOff>
      <xdr:row>223</xdr:row>
      <xdr:rowOff>114303</xdr:rowOff>
    </xdr:from>
    <xdr:to>
      <xdr:col>9</xdr:col>
      <xdr:colOff>49530</xdr:colOff>
      <xdr:row>224</xdr:row>
      <xdr:rowOff>152403</xdr:rowOff>
    </xdr:to>
    <xdr:sp macro="" textlink="">
      <xdr:nvSpPr>
        <xdr:cNvPr id="90" name="TextBox 89"/>
        <xdr:cNvSpPr txBox="1"/>
      </xdr:nvSpPr>
      <xdr:spPr>
        <a:xfrm>
          <a:off x="3295650" y="27222453"/>
          <a:ext cx="182880" cy="200025"/>
        </a:xfrm>
        <a:prstGeom prst="rect">
          <a:avLst/>
        </a:prstGeom>
        <a:solidFill>
          <a:srgbClr val="FF0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US" sz="1200">
              <a:latin typeface="Arial" pitchFamily="34" charset="0"/>
              <a:cs typeface="Arial" pitchFamily="34" charset="0"/>
            </a:rPr>
            <a:t>4</a:t>
          </a:r>
        </a:p>
      </xdr:txBody>
    </xdr:sp>
    <xdr:clientData/>
  </xdr:twoCellAnchor>
  <xdr:twoCellAnchor>
    <xdr:from>
      <xdr:col>9</xdr:col>
      <xdr:colOff>371478</xdr:colOff>
      <xdr:row>225</xdr:row>
      <xdr:rowOff>2</xdr:rowOff>
    </xdr:from>
    <xdr:to>
      <xdr:col>10</xdr:col>
      <xdr:colOff>66676</xdr:colOff>
      <xdr:row>229</xdr:row>
      <xdr:rowOff>57149</xdr:rowOff>
    </xdr:to>
    <xdr:cxnSp macro="">
      <xdr:nvCxnSpPr>
        <xdr:cNvPr id="91" name="Straight Arrow Connector 90"/>
        <xdr:cNvCxnSpPr/>
      </xdr:nvCxnSpPr>
      <xdr:spPr>
        <a:xfrm rot="16200000" flipH="1">
          <a:off x="3486153" y="27746327"/>
          <a:ext cx="704847" cy="76198"/>
        </a:xfrm>
        <a:prstGeom prst="straightConnector1">
          <a:avLst/>
        </a:prstGeom>
        <a:ln w="1905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266700</xdr:colOff>
      <xdr:row>223</xdr:row>
      <xdr:rowOff>114300</xdr:rowOff>
    </xdr:from>
    <xdr:to>
      <xdr:col>10</xdr:col>
      <xdr:colOff>68580</xdr:colOff>
      <xdr:row>224</xdr:row>
      <xdr:rowOff>152400</xdr:rowOff>
    </xdr:to>
    <xdr:sp macro="" textlink="">
      <xdr:nvSpPr>
        <xdr:cNvPr id="92" name="TextBox 91"/>
        <xdr:cNvSpPr txBox="1"/>
      </xdr:nvSpPr>
      <xdr:spPr>
        <a:xfrm>
          <a:off x="3695700" y="27222450"/>
          <a:ext cx="182880" cy="200025"/>
        </a:xfrm>
        <a:prstGeom prst="rect">
          <a:avLst/>
        </a:prstGeom>
        <a:solidFill>
          <a:srgbClr val="FF0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US" sz="1200">
              <a:latin typeface="Arial" pitchFamily="34" charset="0"/>
              <a:cs typeface="Arial" pitchFamily="34" charset="0"/>
            </a:rPr>
            <a:t>5</a:t>
          </a:r>
        </a:p>
      </xdr:txBody>
    </xdr:sp>
    <xdr:clientData/>
  </xdr:twoCellAnchor>
  <xdr:twoCellAnchor>
    <xdr:from>
      <xdr:col>11</xdr:col>
      <xdr:colOff>228602</xdr:colOff>
      <xdr:row>225</xdr:row>
      <xdr:rowOff>9528</xdr:rowOff>
    </xdr:from>
    <xdr:to>
      <xdr:col>12</xdr:col>
      <xdr:colOff>180978</xdr:colOff>
      <xdr:row>231</xdr:row>
      <xdr:rowOff>28578</xdr:rowOff>
    </xdr:to>
    <xdr:cxnSp macro="">
      <xdr:nvCxnSpPr>
        <xdr:cNvPr id="94" name="Straight Arrow Connector 93"/>
        <xdr:cNvCxnSpPr/>
      </xdr:nvCxnSpPr>
      <xdr:spPr>
        <a:xfrm rot="16200000" flipH="1">
          <a:off x="4090990" y="27770140"/>
          <a:ext cx="990600" cy="333376"/>
        </a:xfrm>
        <a:prstGeom prst="straightConnector1">
          <a:avLst/>
        </a:prstGeom>
        <a:ln w="1905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66675</xdr:colOff>
      <xdr:row>223</xdr:row>
      <xdr:rowOff>114300</xdr:rowOff>
    </xdr:from>
    <xdr:to>
      <xdr:col>11</xdr:col>
      <xdr:colOff>249555</xdr:colOff>
      <xdr:row>224</xdr:row>
      <xdr:rowOff>152400</xdr:rowOff>
    </xdr:to>
    <xdr:sp macro="" textlink="">
      <xdr:nvSpPr>
        <xdr:cNvPr id="95" name="TextBox 94"/>
        <xdr:cNvSpPr txBox="1"/>
      </xdr:nvSpPr>
      <xdr:spPr>
        <a:xfrm>
          <a:off x="4257675" y="27222450"/>
          <a:ext cx="182880" cy="200025"/>
        </a:xfrm>
        <a:prstGeom prst="rect">
          <a:avLst/>
        </a:prstGeom>
        <a:solidFill>
          <a:srgbClr val="FF0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US" sz="1200">
              <a:latin typeface="Arial" pitchFamily="34" charset="0"/>
              <a:cs typeface="Arial" pitchFamily="34" charset="0"/>
            </a:rPr>
            <a:t>6</a:t>
          </a:r>
        </a:p>
      </xdr:txBody>
    </xdr:sp>
    <xdr:clientData/>
  </xdr:twoCellAnchor>
  <xdr:twoCellAnchor editAs="oneCell">
    <xdr:from>
      <xdr:col>0</xdr:col>
      <xdr:colOff>0</xdr:colOff>
      <xdr:row>429</xdr:row>
      <xdr:rowOff>57150</xdr:rowOff>
    </xdr:from>
    <xdr:to>
      <xdr:col>15</xdr:col>
      <xdr:colOff>304800</xdr:colOff>
      <xdr:row>457</xdr:row>
      <xdr:rowOff>66675</xdr:rowOff>
    </xdr:to>
    <xdr:pic>
      <xdr:nvPicPr>
        <xdr:cNvPr id="16469" name="Picture 22246"/>
        <xdr:cNvPicPr>
          <a:picLocks noChangeAspect="1" noChangeArrowheads="1"/>
        </xdr:cNvPicPr>
      </xdr:nvPicPr>
      <xdr:blipFill>
        <a:blip xmlns:r="http://schemas.openxmlformats.org/officeDocument/2006/relationships" r:embed="rId25" cstate="print"/>
        <a:srcRect/>
        <a:stretch>
          <a:fillRect/>
        </a:stretch>
      </xdr:blipFill>
      <xdr:spPr bwMode="auto">
        <a:xfrm>
          <a:off x="0" y="69589650"/>
          <a:ext cx="6019800" cy="4543425"/>
        </a:xfrm>
        <a:prstGeom prst="rect">
          <a:avLst/>
        </a:prstGeom>
        <a:noFill/>
        <a:ln w="1">
          <a:solidFill>
            <a:srgbClr val="000000"/>
          </a:solidFill>
          <a:miter lim="800000"/>
          <a:headEnd/>
          <a:tailEnd/>
        </a:ln>
      </xdr:spPr>
    </xdr:pic>
    <xdr:clientData/>
  </xdr:twoCellAnchor>
  <xdr:twoCellAnchor>
    <xdr:from>
      <xdr:col>6</xdr:col>
      <xdr:colOff>266700</xdr:colOff>
      <xdr:row>455</xdr:row>
      <xdr:rowOff>95250</xdr:rowOff>
    </xdr:from>
    <xdr:to>
      <xdr:col>9</xdr:col>
      <xdr:colOff>47625</xdr:colOff>
      <xdr:row>458</xdr:row>
      <xdr:rowOff>47625</xdr:rowOff>
    </xdr:to>
    <xdr:sp macro="" textlink="">
      <xdr:nvSpPr>
        <xdr:cNvPr id="40" name="Oval 39"/>
        <xdr:cNvSpPr/>
      </xdr:nvSpPr>
      <xdr:spPr>
        <a:xfrm>
          <a:off x="2552700" y="64770000"/>
          <a:ext cx="923925" cy="43815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twoCellAnchor editAs="oneCell">
    <xdr:from>
      <xdr:col>13</xdr:col>
      <xdr:colOff>247650</xdr:colOff>
      <xdr:row>519</xdr:row>
      <xdr:rowOff>114300</xdr:rowOff>
    </xdr:from>
    <xdr:to>
      <xdr:col>14</xdr:col>
      <xdr:colOff>257175</xdr:colOff>
      <xdr:row>524</xdr:row>
      <xdr:rowOff>123825</xdr:rowOff>
    </xdr:to>
    <xdr:pic>
      <xdr:nvPicPr>
        <xdr:cNvPr id="16471" name="Picture 30599"/>
        <xdr:cNvPicPr>
          <a:picLocks noChangeAspect="1" noChangeArrowheads="1"/>
        </xdr:cNvPicPr>
      </xdr:nvPicPr>
      <xdr:blipFill>
        <a:blip xmlns:r="http://schemas.openxmlformats.org/officeDocument/2006/relationships" r:embed="rId26" cstate="print"/>
        <a:srcRect/>
        <a:stretch>
          <a:fillRect/>
        </a:stretch>
      </xdr:blipFill>
      <xdr:spPr bwMode="auto">
        <a:xfrm>
          <a:off x="5200650" y="84220050"/>
          <a:ext cx="390525" cy="819150"/>
        </a:xfrm>
        <a:prstGeom prst="rect">
          <a:avLst/>
        </a:prstGeom>
        <a:noFill/>
        <a:ln w="1">
          <a:noFill/>
          <a:miter lim="800000"/>
          <a:headEnd/>
          <a:tailEnd/>
        </a:ln>
      </xdr:spPr>
    </xdr:pic>
    <xdr:clientData/>
  </xdr:twoCellAnchor>
  <xdr:twoCellAnchor>
    <xdr:from>
      <xdr:col>13</xdr:col>
      <xdr:colOff>266700</xdr:colOff>
      <xdr:row>520</xdr:row>
      <xdr:rowOff>142875</xdr:rowOff>
    </xdr:from>
    <xdr:to>
      <xdr:col>14</xdr:col>
      <xdr:colOff>238125</xdr:colOff>
      <xdr:row>524</xdr:row>
      <xdr:rowOff>57150</xdr:rowOff>
    </xdr:to>
    <xdr:sp macro="" textlink="">
      <xdr:nvSpPr>
        <xdr:cNvPr id="56" name="Oval 55"/>
        <xdr:cNvSpPr/>
      </xdr:nvSpPr>
      <xdr:spPr>
        <a:xfrm>
          <a:off x="5219700" y="75342750"/>
          <a:ext cx="352425" cy="56197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twoCellAnchor>
    <xdr:from>
      <xdr:col>6</xdr:col>
      <xdr:colOff>247650</xdr:colOff>
      <xdr:row>518</xdr:row>
      <xdr:rowOff>123825</xdr:rowOff>
    </xdr:from>
    <xdr:to>
      <xdr:col>10</xdr:col>
      <xdr:colOff>152400</xdr:colOff>
      <xdr:row>526</xdr:row>
      <xdr:rowOff>0</xdr:rowOff>
    </xdr:to>
    <xdr:sp macro="" textlink="">
      <xdr:nvSpPr>
        <xdr:cNvPr id="96" name="Oval 95"/>
        <xdr:cNvSpPr/>
      </xdr:nvSpPr>
      <xdr:spPr>
        <a:xfrm>
          <a:off x="2533650" y="74999850"/>
          <a:ext cx="1428750" cy="117157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twoCellAnchor>
    <xdr:from>
      <xdr:col>14</xdr:col>
      <xdr:colOff>234315</xdr:colOff>
      <xdr:row>224</xdr:row>
      <xdr:rowOff>152400</xdr:rowOff>
    </xdr:from>
    <xdr:to>
      <xdr:col>15</xdr:col>
      <xdr:colOff>47625</xdr:colOff>
      <xdr:row>229</xdr:row>
      <xdr:rowOff>38100</xdr:rowOff>
    </xdr:to>
    <xdr:cxnSp macro="">
      <xdr:nvCxnSpPr>
        <xdr:cNvPr id="97" name="Straight Arrow Connector 96"/>
        <xdr:cNvCxnSpPr>
          <a:stCxn id="98" idx="2"/>
        </xdr:cNvCxnSpPr>
      </xdr:nvCxnSpPr>
      <xdr:spPr>
        <a:xfrm>
          <a:off x="5568315" y="27422475"/>
          <a:ext cx="194310" cy="695325"/>
        </a:xfrm>
        <a:prstGeom prst="straightConnector1">
          <a:avLst/>
        </a:prstGeom>
        <a:ln w="1905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142875</xdr:colOff>
      <xdr:row>223</xdr:row>
      <xdr:rowOff>114300</xdr:rowOff>
    </xdr:from>
    <xdr:to>
      <xdr:col>14</xdr:col>
      <xdr:colOff>325755</xdr:colOff>
      <xdr:row>224</xdr:row>
      <xdr:rowOff>152400</xdr:rowOff>
    </xdr:to>
    <xdr:sp macro="" textlink="">
      <xdr:nvSpPr>
        <xdr:cNvPr id="98" name="TextBox 97"/>
        <xdr:cNvSpPr txBox="1"/>
      </xdr:nvSpPr>
      <xdr:spPr>
        <a:xfrm>
          <a:off x="5476875" y="27222450"/>
          <a:ext cx="182880" cy="200025"/>
        </a:xfrm>
        <a:prstGeom prst="rect">
          <a:avLst/>
        </a:prstGeom>
        <a:solidFill>
          <a:srgbClr val="FF0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US" sz="1200">
              <a:latin typeface="Arial" pitchFamily="34" charset="0"/>
              <a:cs typeface="Arial" pitchFamily="34" charset="0"/>
            </a:rPr>
            <a:t>7</a:t>
          </a:r>
        </a:p>
      </xdr:txBody>
    </xdr:sp>
    <xdr:clientData/>
  </xdr:twoCellAnchor>
  <xdr:twoCellAnchor>
    <xdr:from>
      <xdr:col>13</xdr:col>
      <xdr:colOff>85725</xdr:colOff>
      <xdr:row>180</xdr:row>
      <xdr:rowOff>68262</xdr:rowOff>
    </xdr:from>
    <xdr:to>
      <xdr:col>14</xdr:col>
      <xdr:colOff>257175</xdr:colOff>
      <xdr:row>180</xdr:row>
      <xdr:rowOff>68262</xdr:rowOff>
    </xdr:to>
    <xdr:cxnSp macro="">
      <xdr:nvCxnSpPr>
        <xdr:cNvPr id="122" name="Straight Connector 121"/>
        <xdr:cNvCxnSpPr/>
      </xdr:nvCxnSpPr>
      <xdr:spPr>
        <a:xfrm>
          <a:off x="6943725" y="28795662"/>
          <a:ext cx="781050"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257175</xdr:colOff>
      <xdr:row>180</xdr:row>
      <xdr:rowOff>66675</xdr:rowOff>
    </xdr:from>
    <xdr:to>
      <xdr:col>14</xdr:col>
      <xdr:colOff>257175</xdr:colOff>
      <xdr:row>181</xdr:row>
      <xdr:rowOff>95250</xdr:rowOff>
    </xdr:to>
    <xdr:cxnSp macro="">
      <xdr:nvCxnSpPr>
        <xdr:cNvPr id="123" name="Straight Connector 122"/>
        <xdr:cNvCxnSpPr/>
      </xdr:nvCxnSpPr>
      <xdr:spPr>
        <a:xfrm>
          <a:off x="7724775" y="28794075"/>
          <a:ext cx="0" cy="1905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85725</xdr:colOff>
      <xdr:row>181</xdr:row>
      <xdr:rowOff>95250</xdr:rowOff>
    </xdr:from>
    <xdr:to>
      <xdr:col>14</xdr:col>
      <xdr:colOff>257175</xdr:colOff>
      <xdr:row>181</xdr:row>
      <xdr:rowOff>95250</xdr:rowOff>
    </xdr:to>
    <xdr:cxnSp macro="">
      <xdr:nvCxnSpPr>
        <xdr:cNvPr id="124" name="Straight Connector 123"/>
        <xdr:cNvCxnSpPr/>
      </xdr:nvCxnSpPr>
      <xdr:spPr>
        <a:xfrm>
          <a:off x="6943725" y="28984575"/>
          <a:ext cx="781050"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85725</xdr:colOff>
      <xdr:row>181</xdr:row>
      <xdr:rowOff>97088</xdr:rowOff>
    </xdr:from>
    <xdr:to>
      <xdr:col>13</xdr:col>
      <xdr:colOff>85725</xdr:colOff>
      <xdr:row>182</xdr:row>
      <xdr:rowOff>71688</xdr:rowOff>
    </xdr:to>
    <xdr:cxnSp macro="">
      <xdr:nvCxnSpPr>
        <xdr:cNvPr id="125" name="Straight Connector 124"/>
        <xdr:cNvCxnSpPr/>
      </xdr:nvCxnSpPr>
      <xdr:spPr>
        <a:xfrm>
          <a:off x="6943725" y="28986413"/>
          <a:ext cx="0" cy="13652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87312</xdr:colOff>
      <xdr:row>182</xdr:row>
      <xdr:rowOff>68009</xdr:rowOff>
    </xdr:from>
    <xdr:to>
      <xdr:col>14</xdr:col>
      <xdr:colOff>258762</xdr:colOff>
      <xdr:row>182</xdr:row>
      <xdr:rowOff>68009</xdr:rowOff>
    </xdr:to>
    <xdr:cxnSp macro="">
      <xdr:nvCxnSpPr>
        <xdr:cNvPr id="126" name="Straight Connector 125"/>
        <xdr:cNvCxnSpPr/>
      </xdr:nvCxnSpPr>
      <xdr:spPr>
        <a:xfrm>
          <a:off x="6945312" y="29119259"/>
          <a:ext cx="781050"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254000</xdr:colOff>
      <xdr:row>182</xdr:row>
      <xdr:rowOff>63500</xdr:rowOff>
    </xdr:from>
    <xdr:to>
      <xdr:col>14</xdr:col>
      <xdr:colOff>254000</xdr:colOff>
      <xdr:row>183</xdr:row>
      <xdr:rowOff>92075</xdr:rowOff>
    </xdr:to>
    <xdr:cxnSp macro="">
      <xdr:nvCxnSpPr>
        <xdr:cNvPr id="127" name="Straight Connector 126"/>
        <xdr:cNvCxnSpPr/>
      </xdr:nvCxnSpPr>
      <xdr:spPr>
        <a:xfrm>
          <a:off x="7721600" y="29114750"/>
          <a:ext cx="0" cy="1905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88900</xdr:colOff>
      <xdr:row>183</xdr:row>
      <xdr:rowOff>95250</xdr:rowOff>
    </xdr:from>
    <xdr:to>
      <xdr:col>14</xdr:col>
      <xdr:colOff>256540</xdr:colOff>
      <xdr:row>183</xdr:row>
      <xdr:rowOff>95250</xdr:rowOff>
    </xdr:to>
    <xdr:cxnSp macro="">
      <xdr:nvCxnSpPr>
        <xdr:cNvPr id="128" name="Straight Arrow Connector 127"/>
        <xdr:cNvCxnSpPr/>
      </xdr:nvCxnSpPr>
      <xdr:spPr>
        <a:xfrm flipH="1">
          <a:off x="6946900" y="29308425"/>
          <a:ext cx="777240" cy="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6.bin"/><Relationship Id="rId1" Type="http://schemas.openxmlformats.org/officeDocument/2006/relationships/hyperlink" Target="mailto:treasurer@nctta.org" TargetMode="External"/></Relationships>
</file>

<file path=xl/worksheets/sheet1.xml><?xml version="1.0" encoding="utf-8"?>
<worksheet xmlns="http://schemas.openxmlformats.org/spreadsheetml/2006/main" xmlns:r="http://schemas.openxmlformats.org/officeDocument/2006/relationships">
  <sheetPr codeName="Sheet1"/>
  <dimension ref="A1:AL171"/>
  <sheetViews>
    <sheetView tabSelected="1" zoomScaleNormal="100" workbookViewId="0">
      <selection activeCell="B1" sqref="B1"/>
    </sheetView>
  </sheetViews>
  <sheetFormatPr defaultRowHeight="12.75"/>
  <cols>
    <col min="1" max="1" width="2.42578125" style="1" bestFit="1" customWidth="1"/>
    <col min="2" max="2" width="35.7109375" style="3" customWidth="1"/>
    <col min="3" max="18" width="5.7109375" style="3" customWidth="1"/>
    <col min="19" max="32" width="2.7109375" style="3" customWidth="1"/>
    <col min="33" max="16384" width="9.140625" style="3"/>
  </cols>
  <sheetData>
    <row r="1" spans="1:38">
      <c r="B1" s="197" t="s">
        <v>1249</v>
      </c>
      <c r="C1" s="164"/>
      <c r="D1" s="224" t="s">
        <v>2818</v>
      </c>
      <c r="E1" s="225"/>
      <c r="F1" s="225"/>
      <c r="G1" s="225"/>
      <c r="H1" s="225"/>
      <c r="I1" s="225"/>
      <c r="J1" s="225"/>
      <c r="K1" s="225"/>
      <c r="L1" s="225"/>
      <c r="M1" s="225"/>
      <c r="N1" s="225"/>
      <c r="O1" s="196"/>
      <c r="P1" s="228" t="s">
        <v>1250</v>
      </c>
      <c r="Q1" s="225"/>
      <c r="R1" s="225"/>
      <c r="T1" s="221">
        <v>3</v>
      </c>
      <c r="U1" s="222"/>
      <c r="V1" s="222"/>
      <c r="W1" s="222"/>
      <c r="X1" s="222"/>
      <c r="Y1" s="222"/>
      <c r="Z1" s="222"/>
      <c r="AG1" s="171"/>
      <c r="AH1" s="171"/>
      <c r="AI1" s="171"/>
      <c r="AJ1" s="172"/>
      <c r="AK1" s="171"/>
      <c r="AL1" s="171"/>
    </row>
    <row r="2" spans="1:38">
      <c r="AG2" s="171"/>
      <c r="AH2" s="171"/>
      <c r="AI2" s="171"/>
      <c r="AJ2" s="174">
        <v>0.33333333333333331</v>
      </c>
      <c r="AK2" s="175">
        <v>5</v>
      </c>
      <c r="AL2" s="171"/>
    </row>
    <row r="3" spans="1:38" ht="12.75" customHeight="1" thickBot="1">
      <c r="B3" s="2" t="s">
        <v>1239</v>
      </c>
      <c r="C3" s="53" t="str">
        <f>A4</f>
        <v>A</v>
      </c>
      <c r="D3" s="53" t="str">
        <f>A6</f>
        <v>B</v>
      </c>
      <c r="E3" s="53" t="str">
        <f>A8</f>
        <v>C</v>
      </c>
      <c r="F3" s="53" t="str">
        <f>A10</f>
        <v>D</v>
      </c>
      <c r="G3" s="53" t="str">
        <f>A12</f>
        <v>E</v>
      </c>
      <c r="H3" s="53" t="str">
        <f>A14</f>
        <v>F</v>
      </c>
      <c r="I3" s="53" t="str">
        <f>A16</f>
        <v>G</v>
      </c>
      <c r="J3" s="53" t="str">
        <f>A18</f>
        <v>H</v>
      </c>
      <c r="K3" s="53" t="str">
        <f>A20</f>
        <v>I</v>
      </c>
      <c r="L3" s="53" t="str">
        <f>A22</f>
        <v>J</v>
      </c>
      <c r="M3" s="53" t="str">
        <f>A24</f>
        <v>K</v>
      </c>
      <c r="N3" s="53" t="str">
        <f>A26</f>
        <v>L</v>
      </c>
      <c r="O3" s="1" t="s">
        <v>1240</v>
      </c>
      <c r="P3" s="1" t="s">
        <v>1241</v>
      </c>
      <c r="Q3" s="1" t="s">
        <v>1242</v>
      </c>
      <c r="R3" s="1" t="s">
        <v>1243</v>
      </c>
      <c r="T3" s="214" t="s">
        <v>2819</v>
      </c>
      <c r="U3" s="215"/>
      <c r="V3" s="215"/>
      <c r="W3" s="215"/>
      <c r="X3" s="215"/>
      <c r="Y3" s="215"/>
      <c r="Z3" s="215"/>
      <c r="AG3" s="171"/>
      <c r="AH3" s="171"/>
      <c r="AI3" s="171"/>
      <c r="AJ3" s="174">
        <v>0.33680555555555558</v>
      </c>
      <c r="AK3" s="175">
        <v>10</v>
      </c>
      <c r="AL3" s="171"/>
    </row>
    <row r="4" spans="1:38" ht="12.75" customHeight="1" thickTop="1">
      <c r="A4" s="233" t="s">
        <v>1112</v>
      </c>
      <c r="B4" s="236"/>
      <c r="C4" s="28"/>
      <c r="D4" s="54" t="str">
        <f ca="1">IF(VLOOKUP("AB",Team_Matches!$AH$1:$AJ$66,2,FALSE)&lt;&gt;"",IF(VLOOKUP("AB",Team_Matches!$AH$1:$AJ$66,2,FALSE)&gt;=3,"W",IF(VLOOKUP("AB",Team_Matches!$AH$1:$AJ$66,3,FALSE)&gt;=3,"L","")),"")</f>
        <v/>
      </c>
      <c r="E4" s="54" t="str">
        <f ca="1">IF(VLOOKUP("AC",Team_Matches!$AH$1:$AJ$66,2,FALSE)&lt;&gt;"",IF(VLOOKUP("AC",Team_Matches!$AH$1:$AJ$66,2,FALSE)&gt;=3,"W",IF(VLOOKUP("AC",Team_Matches!$AH$1:$AJ$66,3,FALSE)&gt;=3,"L","")),"")</f>
        <v/>
      </c>
      <c r="F4" s="54" t="str">
        <f ca="1">IF(VLOOKUP("AD",Team_Matches!$AH$1:$AJ$66,2,FALSE)&lt;&gt;"",IF(VLOOKUP("AD",Team_Matches!$AH$1:$AJ$66,2,FALSE)&gt;=3,"W",IF(VLOOKUP("AD",Team_Matches!$AH$1:$AJ$66,3,FALSE)&gt;=3,"L","")),"")</f>
        <v/>
      </c>
      <c r="G4" s="54" t="str">
        <f ca="1">IF(VLOOKUP("AE",Team_Matches!$AH$1:$AJ$66,2,FALSE)&lt;&gt;"",IF(VLOOKUP("AE",Team_Matches!$AH$1:$AJ$66,2,FALSE)&gt;=3,"W",IF(VLOOKUP("AE",Team_Matches!$AH$1:$AJ$66,3,FALSE)&gt;=3,"L","")),"")</f>
        <v/>
      </c>
      <c r="H4" s="54" t="str">
        <f ca="1">IF(VLOOKUP("AF",Team_Matches!$AH$1:$AJ$66,2,FALSE)&lt;&gt;"",IF(VLOOKUP("AF",Team_Matches!$AH$1:$AJ$66,2,FALSE)&gt;=3,"W",IF(VLOOKUP("AF",Team_Matches!$AH$1:$AJ$66,3,FALSE)&gt;=3,"L","")),"")</f>
        <v/>
      </c>
      <c r="I4" s="54" t="str">
        <f ca="1">IF(VLOOKUP("AG",Team_Matches!$AH$1:$AJ$66,2,FALSE)&lt;&gt;"",IF(VLOOKUP("AG",Team_Matches!$AH$1:$AJ$66,2,FALSE)&gt;=3,"W",IF(VLOOKUP("AG",Team_Matches!$AH$1:$AJ$66,3,FALSE)&gt;=3,"L","")),"")</f>
        <v/>
      </c>
      <c r="J4" s="54" t="str">
        <f ca="1">IF(VLOOKUP("AH",Team_Matches!$AH$1:$AJ$66,2,FALSE)&lt;&gt;"",IF(VLOOKUP("AH",Team_Matches!$AH$1:$AJ$66,2,FALSE)&gt;=3,"W",IF(VLOOKUP("AH",Team_Matches!$AH$1:$AJ$66,3,FALSE)&gt;=3,"L","")),"")</f>
        <v/>
      </c>
      <c r="K4" s="54" t="str">
        <f ca="1">IF(VLOOKUP("AI",Team_Matches!$AH$1:$AJ$66,2,FALSE)&lt;&gt;"",IF(VLOOKUP("AI",Team_Matches!$AH$1:$AJ$66,2,FALSE)&gt;=3,"W",IF(VLOOKUP("AI",Team_Matches!$AH$1:$AJ$66,3,FALSE)&gt;=3,"L","")),"")</f>
        <v/>
      </c>
      <c r="L4" s="54" t="str">
        <f ca="1">IF(VLOOKUP("AJ",Team_Matches!$AH$1:$AJ$66,2,FALSE)&lt;&gt;"",IF(VLOOKUP("AJ",Team_Matches!$AH$1:$AJ$66,2,FALSE)&gt;=3,"W",IF(VLOOKUP("AJ",Team_Matches!$AH$1:$AJ$66,3,FALSE)&gt;=3,"L","")),"")</f>
        <v/>
      </c>
      <c r="M4" s="54" t="str">
        <f ca="1">IF(VLOOKUP("AK",Team_Matches!$AH$1:$AJ$66,2,FALSE)&lt;&gt;"",IF(VLOOKUP("AK",Team_Matches!$AH$1:$AJ$66,2,FALSE)&gt;=3,"W",IF(VLOOKUP("AK",Team_Matches!$AH$1:$AJ$66,3,FALSE)&gt;=3,"L","")),"")</f>
        <v/>
      </c>
      <c r="N4" s="55" t="str">
        <f ca="1">IF(VLOOKUP("AL",Team_Matches!$AH$1:$AJ$66,2,FALSE)&lt;&gt;"",IF(VLOOKUP("AL",Team_Matches!$AH$1:$AJ$66,2,FALSE)&gt;=3,"W",IF(VLOOKUP("AL",Team_Matches!$AH$1:$AJ$66,3,FALSE)&gt;=3,"L","")),"")</f>
        <v/>
      </c>
      <c r="O4" s="242" t="str">
        <f ca="1">CHOOSE($T$1,O29,O30,O31,O32,O33,O34,O35,O36,O37,O38,O39)</f>
        <v/>
      </c>
      <c r="P4" s="229" t="str">
        <f ca="1">CHOOSE($T$1,P29,P30,P31,P32,P33,P34,P35,P36,P37,P38,P39)</f>
        <v/>
      </c>
      <c r="Q4" s="229" t="str">
        <f ca="1">CHOOSE($T$1,Q29,Q30,Q31,Q32,Q33,Q34,Q35,Q36,Q37,Q38,Q39)</f>
        <v/>
      </c>
      <c r="R4" s="231" t="str">
        <f ca="1">CHOOSE($T$1,R29,R30,R31,R32,R33,R34,R35,R36,R37,R38,R39)</f>
        <v/>
      </c>
      <c r="T4" s="223" t="s">
        <v>4478</v>
      </c>
      <c r="U4" s="215"/>
      <c r="V4" s="215"/>
      <c r="W4" s="215"/>
      <c r="X4" s="215"/>
      <c r="Y4" s="215"/>
      <c r="Z4" s="215"/>
      <c r="AG4" s="171"/>
      <c r="AH4" s="171"/>
      <c r="AI4" s="171"/>
      <c r="AJ4" s="174">
        <v>0.34027777777777773</v>
      </c>
      <c r="AK4" s="175">
        <v>15</v>
      </c>
      <c r="AL4" s="171"/>
    </row>
    <row r="5" spans="1:38" ht="12.75" customHeight="1">
      <c r="A5" s="233"/>
      <c r="B5" s="220"/>
      <c r="C5" s="29"/>
      <c r="D5" s="37" t="str">
        <f ca="1">IF(VLOOKUP("AB",Team_Matches!$AH$1:$AJ$66,2,FALSE)="","",CONCATENATE(VLOOKUP("AB",Team_Matches!$AH$1:$AJ$66,2,FALSE),"-",VLOOKUP("AB",Team_Matches!$AH$1:$AJ$66,3,FALSE)))</f>
        <v/>
      </c>
      <c r="E5" s="37" t="str">
        <f ca="1">IF(VLOOKUP("AC",Team_Matches!$AH$1:$AJ$66,2,FALSE)="","",CONCATENATE(VLOOKUP("AC",Team_Matches!$AH$1:$AJ$66,2,FALSE),"-",VLOOKUP("AC",Team_Matches!$AH$1:$AJ$66,3,FALSE)))</f>
        <v/>
      </c>
      <c r="F5" s="37" t="str">
        <f ca="1">IF(VLOOKUP("AD",Team_Matches!$AH$1:$AJ$66,2,FALSE)="","",CONCATENATE(VLOOKUP("AD",Team_Matches!$AH$1:$AJ$66,2,FALSE),"-",VLOOKUP("AD",Team_Matches!$AH$1:$AJ$66,3,FALSE)))</f>
        <v/>
      </c>
      <c r="G5" s="37" t="str">
        <f ca="1">IF(VLOOKUP("AE",Team_Matches!$AH$1:$AJ$66,2,FALSE)="","",CONCATENATE(VLOOKUP("AE",Team_Matches!$AH$1:$AJ$66,2,FALSE),"-",VLOOKUP("AE",Team_Matches!$AH$1:$AJ$66,3,FALSE)))</f>
        <v/>
      </c>
      <c r="H5" s="37" t="str">
        <f ca="1">IF(VLOOKUP("AF",Team_Matches!$AH$1:$AJ$66,2,FALSE)="","",CONCATENATE(VLOOKUP("AF",Team_Matches!$AH$1:$AJ$66,2,FALSE),"-",VLOOKUP("AF",Team_Matches!$AH$1:$AJ$66,3,FALSE)))</f>
        <v/>
      </c>
      <c r="I5" s="37" t="str">
        <f ca="1">IF(VLOOKUP("AG",Team_Matches!$AH$1:$AJ$66,2,FALSE)="","",CONCATENATE(VLOOKUP("AG",Team_Matches!$AH$1:$AJ$66,2,FALSE),"-",VLOOKUP("AG",Team_Matches!$AH$1:$AJ$66,3,FALSE)))</f>
        <v/>
      </c>
      <c r="J5" s="37" t="str">
        <f ca="1">IF(VLOOKUP("AH",Team_Matches!$AH$1:$AJ$66,2,FALSE)="","",CONCATENATE(VLOOKUP("AH",Team_Matches!$AH$1:$AJ$66,2,FALSE),"-",VLOOKUP("AH",Team_Matches!$AH$1:$AJ$66,3,FALSE)))</f>
        <v/>
      </c>
      <c r="K5" s="37" t="str">
        <f ca="1">IF(VLOOKUP("AI",Team_Matches!$AH$1:$AJ$66,2,FALSE)="","",CONCATENATE(VLOOKUP("AI",Team_Matches!$AH$1:$AJ$66,2,FALSE),"-",VLOOKUP("AI",Team_Matches!$AH$1:$AJ$66,3,FALSE)))</f>
        <v/>
      </c>
      <c r="L5" s="37" t="str">
        <f ca="1">IF(VLOOKUP("AJ",Team_Matches!$AH$1:$AJ$66,2,FALSE)="","",CONCATENATE(VLOOKUP("AJ",Team_Matches!$AH$1:$AJ$66,2,FALSE),"-",VLOOKUP("AJ",Team_Matches!$AH$1:$AJ$66,3,FALSE)))</f>
        <v/>
      </c>
      <c r="M5" s="37" t="str">
        <f ca="1">IF(VLOOKUP("AK",Team_Matches!$AH$1:$AJ$66,2,FALSE)="","",CONCATENATE(VLOOKUP("AK",Team_Matches!$AH$1:$AJ$66,2,FALSE),"-",VLOOKUP("AK",Team_Matches!$AH$1:$AJ$66,3,FALSE)))</f>
        <v/>
      </c>
      <c r="N5" s="56" t="str">
        <f ca="1">IF(VLOOKUP("AL",Team_Matches!$AH$1:$AJ$66,2,FALSE)="","",CONCATENATE(VLOOKUP("AL",Team_Matches!$AH$1:$AJ$66,2,FALSE),"-",VLOOKUP("AL",Team_Matches!$AH$1:$AJ$66,3,FALSE)))</f>
        <v/>
      </c>
      <c r="O5" s="243"/>
      <c r="P5" s="230"/>
      <c r="Q5" s="230"/>
      <c r="R5" s="232"/>
      <c r="T5" s="223" t="s">
        <v>4479</v>
      </c>
      <c r="U5" s="215"/>
      <c r="V5" s="215"/>
      <c r="W5" s="215"/>
      <c r="X5" s="215"/>
      <c r="Y5" s="215"/>
      <c r="Z5" s="215"/>
      <c r="AG5" s="171"/>
      <c r="AH5" s="171"/>
      <c r="AI5" s="171"/>
      <c r="AJ5" s="174">
        <v>0.34375</v>
      </c>
      <c r="AK5" s="175">
        <v>20</v>
      </c>
      <c r="AL5" s="171"/>
    </row>
    <row r="6" spans="1:38" ht="12.75" customHeight="1">
      <c r="A6" s="233" t="s">
        <v>1113</v>
      </c>
      <c r="B6" s="219"/>
      <c r="C6" s="30" t="str">
        <f ca="1">IF(D4&lt;&gt;"",IF(D4="W","L","W"),"")</f>
        <v/>
      </c>
      <c r="D6" s="31"/>
      <c r="E6" s="35" t="str">
        <f ca="1">IF(VLOOKUP("BC",Team_Matches!$AH$1:$AJ$66,2,FALSE)&lt;&gt;"",IF(VLOOKUP("BC",Team_Matches!$AH$1:$AJ$66,2,FALSE)&gt;=3,"W",IF(VLOOKUP("BC",Team_Matches!$AH$1:$AJ$66,3,FALSE)&gt;=3,"L","")),"")</f>
        <v/>
      </c>
      <c r="F6" s="35" t="str">
        <f ca="1">IF(VLOOKUP("BD",Team_Matches!$AH$1:$AJ$66,2,FALSE)&lt;&gt;"",IF(VLOOKUP("BD",Team_Matches!$AH$1:$AJ$66,2,FALSE)&gt;=3,"W",IF(VLOOKUP("BD",Team_Matches!$AH$1:$AJ$66,3,FALSE)&gt;=3,"L","")),"")</f>
        <v/>
      </c>
      <c r="G6" s="35" t="str">
        <f ca="1">IF(VLOOKUP("BE",Team_Matches!$AH$1:$AJ$66,2,FALSE)&lt;&gt;"",IF(VLOOKUP("BE",Team_Matches!$AH$1:$AJ$66,2,FALSE)&gt;=3,"W",IF(VLOOKUP("BE",Team_Matches!$AH$1:$AJ$66,3,FALSE)&gt;=3,"L","")),"")</f>
        <v/>
      </c>
      <c r="H6" s="35" t="str">
        <f ca="1">IF(VLOOKUP("BF",Team_Matches!$AH$1:$AJ$66,2,FALSE)&lt;&gt;"",IF(VLOOKUP("BF",Team_Matches!$AH$1:$AJ$66,2,FALSE)&gt;=3,"W",IF(VLOOKUP("BF",Team_Matches!$AH$1:$AJ$66,3,FALSE)&gt;=3,"L","")),"")</f>
        <v/>
      </c>
      <c r="I6" s="35" t="str">
        <f ca="1">IF(VLOOKUP("BG",Team_Matches!$AH$1:$AJ$66,2,FALSE)&lt;&gt;"",IF(VLOOKUP("BG",Team_Matches!$AH$1:$AJ$66,2,FALSE)&gt;=3,"W",IF(VLOOKUP("BG",Team_Matches!$AH$1:$AJ$66,3,FALSE)&gt;=3,"L","")),"")</f>
        <v/>
      </c>
      <c r="J6" s="35" t="str">
        <f ca="1">IF(VLOOKUP("BH",Team_Matches!$AH$1:$AJ$66,2,FALSE)&lt;&gt;"",IF(VLOOKUP("BH",Team_Matches!$AH$1:$AJ$66,2,FALSE)&gt;=3,"W",IF(VLOOKUP("BH",Team_Matches!$AH$1:$AJ$66,3,FALSE)&gt;=3,"L","")),"")</f>
        <v/>
      </c>
      <c r="K6" s="35" t="str">
        <f ca="1">IF(VLOOKUP("BI",Team_Matches!$AH$1:$AJ$66,2,FALSE)&lt;&gt;"",IF(VLOOKUP("BI",Team_Matches!$AH$1:$AJ$66,2,FALSE)&gt;=3,"W",IF(VLOOKUP("BI",Team_Matches!$AH$1:$AJ$66,3,FALSE)&gt;=3,"L","")),"")</f>
        <v/>
      </c>
      <c r="L6" s="35" t="str">
        <f ca="1">IF(VLOOKUP("BJ",Team_Matches!$AH$1:$AJ$66,2,FALSE)&lt;&gt;"",IF(VLOOKUP("BJ",Team_Matches!$AH$1:$AJ$66,2,FALSE)&gt;=3,"W",IF(VLOOKUP("BJ",Team_Matches!$AH$1:$AJ$66,3,FALSE)&gt;=3,"L","")),"")</f>
        <v/>
      </c>
      <c r="M6" s="35" t="str">
        <f ca="1">IF(VLOOKUP("BK",Team_Matches!$AH$1:$AJ$66,2,FALSE)&lt;&gt;"",IF(VLOOKUP("BK",Team_Matches!$AH$1:$AJ$66,2,FALSE)&gt;=3,"W",IF(VLOOKUP("BK",Team_Matches!$AH$1:$AJ$66,3,FALSE)&gt;=3,"L","")),"")</f>
        <v/>
      </c>
      <c r="N6" s="57" t="str">
        <f ca="1">IF(VLOOKUP("BL",Team_Matches!$AH$1:$AJ$66,2,FALSE)&lt;&gt;"",IF(VLOOKUP("BL",Team_Matches!$AH$1:$AJ$66,2,FALSE)&gt;=3,"W",IF(VLOOKUP("BL",Team_Matches!$AH$1:$AJ$66,3,FALSE)&gt;=3,"L","")),"")</f>
        <v/>
      </c>
      <c r="O6" s="226" t="str">
        <f ca="1">CHOOSE($T$1,O41,O42,O43,O44,O45,O46,O47,O48,O49,O50,O51)</f>
        <v/>
      </c>
      <c r="P6" s="227" t="str">
        <f ca="1">CHOOSE($T$1,P41,P42,P43,P44,P45,P46,P47,P48,P49,P50,P51)</f>
        <v/>
      </c>
      <c r="Q6" s="227" t="str">
        <f ca="1">CHOOSE($T$1,Q41,Q42,Q43,Q44,Q45,Q46,Q47,Q48,Q49,Q50,Q51)</f>
        <v/>
      </c>
      <c r="R6" s="232" t="str">
        <f ca="1">CHOOSE($T$1,R41,R42,R43,R44,R45,R46,R47,R48,R49,R50,R51)</f>
        <v/>
      </c>
      <c r="T6" s="223" t="s">
        <v>4480</v>
      </c>
      <c r="U6" s="215"/>
      <c r="V6" s="215"/>
      <c r="W6" s="215"/>
      <c r="X6" s="215"/>
      <c r="Y6" s="215"/>
      <c r="Z6" s="215"/>
      <c r="AG6" s="171"/>
      <c r="AH6" s="171"/>
      <c r="AI6" s="171"/>
      <c r="AJ6" s="174">
        <v>0.34722222222222227</v>
      </c>
      <c r="AK6" s="175">
        <v>25</v>
      </c>
      <c r="AL6" s="171"/>
    </row>
    <row r="7" spans="1:38" ht="12.75" customHeight="1">
      <c r="A7" s="233"/>
      <c r="B7" s="220"/>
      <c r="C7" s="32" t="str">
        <f ca="1">IF(D5&lt;&gt;"",CONCATENATE(RIGHT(D5,1),"-",LEFT(D5,1)),"")</f>
        <v/>
      </c>
      <c r="D7" s="33"/>
      <c r="E7" s="37" t="str">
        <f ca="1">IF(VLOOKUP("BC",Team_Matches!$AH$1:$AJ$66,2,FALSE)="","",CONCATENATE(VLOOKUP("BC",Team_Matches!$AH$1:$AJ$66,2,FALSE),"-",VLOOKUP("BC",Team_Matches!$AH$1:$AJ$66,3,FALSE)))</f>
        <v/>
      </c>
      <c r="F7" s="37" t="str">
        <f ca="1">IF(VLOOKUP("BD",Team_Matches!$AH$1:$AJ$66,2,FALSE)="","",CONCATENATE(VLOOKUP("BD",Team_Matches!$AH$1:$AJ$66,2,FALSE),"-",VLOOKUP("BD",Team_Matches!$AH$1:$AJ$66,3,FALSE)))</f>
        <v/>
      </c>
      <c r="G7" s="37" t="str">
        <f ca="1">IF(VLOOKUP("BE",Team_Matches!$AH$1:$AJ$66,2,FALSE)="","",CONCATENATE(VLOOKUP("BE",Team_Matches!$AH$1:$AJ$66,2,FALSE),"-",VLOOKUP("BE",Team_Matches!$AH$1:$AJ$66,3,FALSE)))</f>
        <v/>
      </c>
      <c r="H7" s="37" t="str">
        <f ca="1">IF(VLOOKUP("BF",Team_Matches!$AH$1:$AJ$66,2,FALSE)="","",CONCATENATE(VLOOKUP("BF",Team_Matches!$AH$1:$AJ$66,2,FALSE),"-",VLOOKUP("BF",Team_Matches!$AH$1:$AJ$66,3,FALSE)))</f>
        <v/>
      </c>
      <c r="I7" s="37" t="str">
        <f ca="1">IF(VLOOKUP("BG",Team_Matches!$AH$1:$AJ$66,2,FALSE)="","",CONCATENATE(VLOOKUP("BG",Team_Matches!$AH$1:$AJ$66,2,FALSE),"-",VLOOKUP("BG",Team_Matches!$AH$1:$AJ$66,3,FALSE)))</f>
        <v/>
      </c>
      <c r="J7" s="37" t="str">
        <f ca="1">IF(VLOOKUP("BH",Team_Matches!$AH$1:$AJ$66,2,FALSE)="","",CONCATENATE(VLOOKUP("BH",Team_Matches!$AH$1:$AJ$66,2,FALSE),"-",VLOOKUP("BH",Team_Matches!$AH$1:$AJ$66,3,FALSE)))</f>
        <v/>
      </c>
      <c r="K7" s="37" t="str">
        <f ca="1">IF(VLOOKUP("BI",Team_Matches!$AH$1:$AJ$66,2,FALSE)="","",CONCATENATE(VLOOKUP("BI",Team_Matches!$AH$1:$AJ$66,2,FALSE),"-",VLOOKUP("BI",Team_Matches!$AH$1:$AJ$66,3,FALSE)))</f>
        <v/>
      </c>
      <c r="L7" s="37" t="str">
        <f ca="1">IF(VLOOKUP("BJ",Team_Matches!$AH$1:$AJ$66,2,FALSE)="","",CONCATENATE(VLOOKUP("BJ",Team_Matches!$AH$1:$AJ$66,2,FALSE),"-",VLOOKUP("BJ",Team_Matches!$AH$1:$AJ$66,3,FALSE)))</f>
        <v/>
      </c>
      <c r="M7" s="37" t="str">
        <f ca="1">IF(VLOOKUP("BK",Team_Matches!$AH$1:$AJ$66,2,FALSE)="","",CONCATENATE(VLOOKUP("BK",Team_Matches!$AH$1:$AJ$66,2,FALSE),"-",VLOOKUP("BK",Team_Matches!$AH$1:$AJ$66,3,FALSE)))</f>
        <v/>
      </c>
      <c r="N7" s="56" t="str">
        <f ca="1">IF(VLOOKUP("BL",Team_Matches!$AH$1:$AJ$66,2,FALSE)="","",CONCATENATE(VLOOKUP("BL",Team_Matches!$AH$1:$AJ$66,2,FALSE),"-",VLOOKUP("BL",Team_Matches!$AH$1:$AJ$66,3,FALSE)))</f>
        <v/>
      </c>
      <c r="O7" s="226"/>
      <c r="P7" s="227"/>
      <c r="Q7" s="227"/>
      <c r="R7" s="244"/>
      <c r="T7" s="214" t="s">
        <v>4350</v>
      </c>
      <c r="U7" s="215"/>
      <c r="V7" s="215"/>
      <c r="W7" s="215"/>
      <c r="X7" s="215"/>
      <c r="Y7" s="215"/>
      <c r="Z7" s="215"/>
      <c r="AG7" s="171"/>
      <c r="AH7" s="171"/>
      <c r="AI7" s="171"/>
      <c r="AJ7" s="174">
        <v>0.35069444444444442</v>
      </c>
      <c r="AK7" s="175">
        <v>30</v>
      </c>
      <c r="AL7" s="171"/>
    </row>
    <row r="8" spans="1:38" ht="12.75" customHeight="1">
      <c r="A8" s="233" t="s">
        <v>1114</v>
      </c>
      <c r="B8" s="219"/>
      <c r="C8" s="34" t="str">
        <f ca="1">IF(E4&lt;&gt;"",IF(E4="W","L","W"),"")</f>
        <v/>
      </c>
      <c r="D8" s="35" t="str">
        <f ca="1">IF(E6&lt;&gt;"",IF(E6="W","L","W"),"")</f>
        <v/>
      </c>
      <c r="E8" s="31"/>
      <c r="F8" s="35" t="str">
        <f ca="1">IF(VLOOKUP("CD",Team_Matches!$AH$1:$AJ$66,2,FALSE)&lt;&gt;"",IF(VLOOKUP("CD",Team_Matches!$AH$1:$AJ$66,2,FALSE)&gt;=3,"W",IF(VLOOKUP("CD",Team_Matches!$AH$1:$AJ$66,3,FALSE)&gt;=3,"L","")),"")</f>
        <v/>
      </c>
      <c r="G8" s="35" t="str">
        <f ca="1">IF(VLOOKUP("CE",Team_Matches!$AH$1:$AJ$66,2,FALSE)&lt;&gt;"",IF(VLOOKUP("CE",Team_Matches!$AH$1:$AJ$66,2,FALSE)&gt;=3,"W",IF(VLOOKUP("CE",Team_Matches!$AH$1:$AJ$66,3,FALSE)&gt;=3,"L","")),"")</f>
        <v/>
      </c>
      <c r="H8" s="35" t="str">
        <f ca="1">IF(VLOOKUP("CF",Team_Matches!$AH$1:$AJ$66,2,FALSE)&lt;&gt;"",IF(VLOOKUP("CF",Team_Matches!$AH$1:$AJ$66,2,FALSE)&gt;=3,"W",IF(VLOOKUP("CF",Team_Matches!$AH$1:$AJ$66,3,FALSE)&gt;=3,"L","")),"")</f>
        <v/>
      </c>
      <c r="I8" s="35" t="str">
        <f ca="1">IF(VLOOKUP("CG",Team_Matches!$AH$1:$AJ$66,2,FALSE)&lt;&gt;"",IF(VLOOKUP("CG",Team_Matches!$AH$1:$AJ$66,2,FALSE)&gt;=3,"W",IF(VLOOKUP("CG",Team_Matches!$AH$1:$AJ$66,3,FALSE)&gt;=3,"L","")),"")</f>
        <v/>
      </c>
      <c r="J8" s="35" t="str">
        <f ca="1">IF(VLOOKUP("CH",Team_Matches!$AH$1:$AJ$66,2,FALSE)&lt;&gt;"",IF(VLOOKUP("CH",Team_Matches!$AH$1:$AJ$66,2,FALSE)&gt;=3,"W",IF(VLOOKUP("CH",Team_Matches!$AH$1:$AJ$66,3,FALSE)&gt;=3,"L","")),"")</f>
        <v/>
      </c>
      <c r="K8" s="35" t="str">
        <f ca="1">IF(VLOOKUP("CI",Team_Matches!$AH$1:$AJ$66,2,FALSE)&lt;&gt;"",IF(VLOOKUP("CI",Team_Matches!$AH$1:$AJ$66,2,FALSE)&gt;=3,"W",IF(VLOOKUP("CI",Team_Matches!$AH$1:$AJ$66,3,FALSE)&gt;=3,"L","")),"")</f>
        <v/>
      </c>
      <c r="L8" s="35" t="str">
        <f ca="1">IF(VLOOKUP("CJ",Team_Matches!$AH$1:$AJ$66,2,FALSE)&lt;&gt;"",IF(VLOOKUP("CJ",Team_Matches!$AH$1:$AJ$66,2,FALSE)&gt;=3,"W",IF(VLOOKUP("CJ",Team_Matches!$AH$1:$AJ$66,3,FALSE)&gt;=3,"L","")),"")</f>
        <v/>
      </c>
      <c r="M8" s="35" t="str">
        <f ca="1">IF(VLOOKUP("CK",Team_Matches!$AH$1:$AJ$66,2,FALSE)&lt;&gt;"",IF(VLOOKUP("CK",Team_Matches!$AH$1:$AJ$66,2,FALSE)&gt;=3,"W",IF(VLOOKUP("CK",Team_Matches!$AH$1:$AJ$66,3,FALSE)&gt;=3,"L","")),"")</f>
        <v/>
      </c>
      <c r="N8" s="57" t="str">
        <f ca="1">IF(VLOOKUP("CL",Team_Matches!$AH$1:$AJ$66,2,FALSE)&lt;&gt;"",IF(VLOOKUP("CL",Team_Matches!$AH$1:$AJ$66,2,FALSE)&gt;=3,"W",IF(VLOOKUP("CL",Team_Matches!$AH$1:$AJ$66,3,FALSE)&gt;=3,"L","")),"")</f>
        <v/>
      </c>
      <c r="O8" s="238" t="str">
        <f ca="1">CHOOSE($T$1,O53,O54,O55,O56,O57,O58,O59,O60,O61,O62,O63)</f>
        <v/>
      </c>
      <c r="P8" s="227" t="str">
        <f ca="1">CHOOSE($T$1,P53,P54,P55,P56,P57,P58,P59,P60,P61,P62,P63)</f>
        <v/>
      </c>
      <c r="Q8" s="227" t="str">
        <f ca="1">CHOOSE($T$1,Q53,Q54,Q55,Q56,Q57,Q58,Q59,Q60,Q61,Q62,Q63)</f>
        <v/>
      </c>
      <c r="R8" s="237" t="str">
        <f ca="1">CHOOSE($T$1,R53,R54,R55,R56,R57,R58,R59,R60,R61,R62,R63)</f>
        <v/>
      </c>
      <c r="T8" s="214" t="s">
        <v>4351</v>
      </c>
      <c r="U8" s="215"/>
      <c r="V8" s="215"/>
      <c r="W8" s="215"/>
      <c r="X8" s="215"/>
      <c r="Y8" s="215"/>
      <c r="Z8" s="215"/>
      <c r="AG8" s="171"/>
      <c r="AH8" s="171"/>
      <c r="AI8" s="171"/>
      <c r="AJ8" s="174">
        <v>0.35416666666666669</v>
      </c>
      <c r="AK8" s="175">
        <v>35</v>
      </c>
      <c r="AL8" s="171"/>
    </row>
    <row r="9" spans="1:38" ht="12.75" customHeight="1">
      <c r="A9" s="233"/>
      <c r="B9" s="220"/>
      <c r="C9" s="36" t="str">
        <f ca="1">IF(E5&lt;&gt;"",CONCATENATE(RIGHT(E5,1),"-",LEFT(E5,1)),"")</f>
        <v/>
      </c>
      <c r="D9" s="37" t="str">
        <f ca="1">IF(E7&lt;&gt;"",CONCATENATE(RIGHT(E7,1),"-",LEFT(E7,1)),"")</f>
        <v/>
      </c>
      <c r="E9" s="33"/>
      <c r="F9" s="37" t="str">
        <f ca="1">IF(VLOOKUP("CD",Team_Matches!$AH$1:$AJ$66,2,FALSE)="","",CONCATENATE(VLOOKUP("CD",Team_Matches!$AH$1:$AJ$66,2,FALSE),"-",VLOOKUP("CD",Team_Matches!$AH$1:$AJ$66,3,FALSE)))</f>
        <v/>
      </c>
      <c r="G9" s="37" t="str">
        <f ca="1">IF(VLOOKUP("CE",Team_Matches!$AH$1:$AJ$66,2,FALSE)="","",CONCATENATE(VLOOKUP("CE",Team_Matches!$AH$1:$AJ$66,2,FALSE),"-",VLOOKUP("CE",Team_Matches!$AH$1:$AJ$66,3,FALSE)))</f>
        <v/>
      </c>
      <c r="H9" s="37" t="str">
        <f ca="1">IF(VLOOKUP("CF",Team_Matches!$AH$1:$AJ$66,2,FALSE)="","",CONCATENATE(VLOOKUP("CF",Team_Matches!$AH$1:$AJ$66,2,FALSE),"-",VLOOKUP("CF",Team_Matches!$AH$1:$AJ$66,3,FALSE)))</f>
        <v/>
      </c>
      <c r="I9" s="37" t="str">
        <f ca="1">IF(VLOOKUP("CG",Team_Matches!$AH$1:$AJ$66,2,FALSE)="","",CONCATENATE(VLOOKUP("CG",Team_Matches!$AH$1:$AJ$66,2,FALSE),"-",VLOOKUP("CG",Team_Matches!$AH$1:$AJ$66,3,FALSE)))</f>
        <v/>
      </c>
      <c r="J9" s="37" t="str">
        <f ca="1">IF(VLOOKUP("CH",Team_Matches!$AH$1:$AJ$66,2,FALSE)="","",CONCATENATE(VLOOKUP("CH",Team_Matches!$AH$1:$AJ$66,2,FALSE),"-",VLOOKUP("CH",Team_Matches!$AH$1:$AJ$66,3,FALSE)))</f>
        <v/>
      </c>
      <c r="K9" s="37" t="str">
        <f ca="1">IF(VLOOKUP("CI",Team_Matches!$AH$1:$AJ$66,2,FALSE)="","",CONCATENATE(VLOOKUP("CI",Team_Matches!$AH$1:$AJ$66,2,FALSE),"-",VLOOKUP("CI",Team_Matches!$AH$1:$AJ$66,3,FALSE)))</f>
        <v/>
      </c>
      <c r="L9" s="37" t="str">
        <f ca="1">IF(VLOOKUP("CJ",Team_Matches!$AH$1:$AJ$66,2,FALSE)="","",CONCATENATE(VLOOKUP("CJ",Team_Matches!$AH$1:$AJ$66,2,FALSE),"-",VLOOKUP("CJ",Team_Matches!$AH$1:$AJ$66,3,FALSE)))</f>
        <v/>
      </c>
      <c r="M9" s="37" t="str">
        <f ca="1">IF(VLOOKUP("CK",Team_Matches!$AH$1:$AJ$66,2,FALSE)="","",CONCATENATE(VLOOKUP("CK",Team_Matches!$AH$1:$AJ$66,2,FALSE),"-",VLOOKUP("CK",Team_Matches!$AH$1:$AJ$66,3,FALSE)))</f>
        <v/>
      </c>
      <c r="N9" s="56" t="str">
        <f ca="1">IF(VLOOKUP("CL",Team_Matches!$AH$1:$AJ$66,2,FALSE)="","",CONCATENATE(VLOOKUP("CL",Team_Matches!$AH$1:$AJ$66,2,FALSE),"-",VLOOKUP("CL",Team_Matches!$AH$1:$AJ$66,3,FALSE)))</f>
        <v/>
      </c>
      <c r="O9" s="238"/>
      <c r="P9" s="227"/>
      <c r="Q9" s="227"/>
      <c r="R9" s="237"/>
      <c r="T9" s="214" t="s">
        <v>4352</v>
      </c>
      <c r="U9" s="215"/>
      <c r="V9" s="215"/>
      <c r="W9" s="215"/>
      <c r="X9" s="215"/>
      <c r="Y9" s="215"/>
      <c r="Z9" s="215"/>
      <c r="AC9" s="216" t="s">
        <v>3944</v>
      </c>
      <c r="AD9" s="216"/>
      <c r="AE9" s="216"/>
      <c r="AF9" s="216"/>
      <c r="AG9" s="171"/>
      <c r="AH9" s="171"/>
      <c r="AI9" s="171"/>
      <c r="AJ9" s="174">
        <v>0.3576388888888889</v>
      </c>
      <c r="AK9" s="175">
        <v>40</v>
      </c>
      <c r="AL9" s="171"/>
    </row>
    <row r="10" spans="1:38" ht="12.75" customHeight="1">
      <c r="A10" s="233" t="s">
        <v>1115</v>
      </c>
      <c r="B10" s="219"/>
      <c r="C10" s="34" t="str">
        <f ca="1">IF(F4&lt;&gt;"",IF(F4="W","L","W"),"")</f>
        <v/>
      </c>
      <c r="D10" s="35" t="str">
        <f ca="1">IF(F6&lt;&gt;"",IF(F6="W","L","W"),"")</f>
        <v/>
      </c>
      <c r="E10" s="35" t="str">
        <f ca="1">IF(F8&lt;&gt;"",IF(F8="W","L","W"),"")</f>
        <v/>
      </c>
      <c r="F10" s="31"/>
      <c r="G10" s="35" t="str">
        <f ca="1">IF(VLOOKUP("DE",Team_Matches!$AH$1:$AJ$66,2,FALSE)&lt;&gt;"",IF(VLOOKUP("DE",Team_Matches!$AH$1:$AJ$66,2,FALSE)&gt;=3,"W",IF(VLOOKUP("DE",Team_Matches!$AH$1:$AJ$66,3,FALSE)&gt;=3,"L","")),"")</f>
        <v/>
      </c>
      <c r="H10" s="35" t="str">
        <f ca="1">IF(VLOOKUP("DF",Team_Matches!$AH$1:$AJ$66,2,FALSE)&lt;&gt;"",IF(VLOOKUP("DF",Team_Matches!$AH$1:$AJ$66,2,FALSE)&gt;=3,"W",IF(VLOOKUP("DF",Team_Matches!$AH$1:$AJ$66,3,FALSE)&gt;=3,"L","")),"")</f>
        <v/>
      </c>
      <c r="I10" s="35" t="str">
        <f ca="1">IF(VLOOKUP("DG",Team_Matches!$AH$1:$AJ$66,2,FALSE)&lt;&gt;"",IF(VLOOKUP("DG",Team_Matches!$AH$1:$AJ$66,2,FALSE)&gt;=3,"W",IF(VLOOKUP("DG",Team_Matches!$AH$1:$AJ$66,3,FALSE)&gt;=3,"L","")),"")</f>
        <v/>
      </c>
      <c r="J10" s="35" t="str">
        <f ca="1">IF(VLOOKUP("DH",Team_Matches!$AH$1:$AJ$66,2,FALSE)&lt;&gt;"",IF(VLOOKUP("DH",Team_Matches!$AH$1:$AJ$66,2,FALSE)&gt;=3,"W",IF(VLOOKUP("DH",Team_Matches!$AH$1:$AJ$66,3,FALSE)&gt;=3,"L","")),"")</f>
        <v/>
      </c>
      <c r="K10" s="35" t="str">
        <f ca="1">IF(VLOOKUP("DI",Team_Matches!$AH$1:$AJ$66,2,FALSE)&lt;&gt;"",IF(VLOOKUP("DI",Team_Matches!$AH$1:$AJ$66,2,FALSE)&gt;=3,"W",IF(VLOOKUP("DI",Team_Matches!$AH$1:$AJ$66,3,FALSE)&gt;=3,"L","")),"")</f>
        <v/>
      </c>
      <c r="L10" s="35" t="str">
        <f ca="1">IF(VLOOKUP("DJ",Team_Matches!$AH$1:$AJ$66,2,FALSE)&lt;&gt;"",IF(VLOOKUP("DJ",Team_Matches!$AH$1:$AJ$66,2,FALSE)&gt;=3,"W",IF(VLOOKUP("DJ",Team_Matches!$AH$1:$AJ$66,3,FALSE)&gt;=3,"L","")),"")</f>
        <v/>
      </c>
      <c r="M10" s="35" t="str">
        <f ca="1">IF(VLOOKUP("DK",Team_Matches!$AH$1:$AJ$66,2,FALSE)&lt;&gt;"",IF(VLOOKUP("DK",Team_Matches!$AH$1:$AJ$66,2,FALSE)&gt;=3,"W",IF(VLOOKUP("DK",Team_Matches!$AH$1:$AJ$66,3,FALSE)&gt;=3,"L","")),"")</f>
        <v/>
      </c>
      <c r="N10" s="57" t="str">
        <f ca="1">IF(VLOOKUP("DL",Team_Matches!$AH$1:$AJ$66,2,FALSE)&lt;&gt;"",IF(VLOOKUP("DL",Team_Matches!$AH$1:$AJ$66,2,FALSE)&gt;=3,"W",IF(VLOOKUP("DL",Team_Matches!$AH$1:$AJ$66,3,FALSE)&gt;=3,"L","")),"")</f>
        <v/>
      </c>
      <c r="O10" s="238" t="str">
        <f ca="1">CHOOSE($T$1,O65,O66,O67,O68,O69,O70,O71,O72,O73,O74,O75)</f>
        <v/>
      </c>
      <c r="P10" s="227" t="str">
        <f ca="1">CHOOSE($T$1,P65,P66,P67,P68,P69,P70,P71,P72,P73,P74,P75)</f>
        <v/>
      </c>
      <c r="Q10" s="227" t="str">
        <f ca="1">CHOOSE($T$1,Q65,Q66,Q67,Q68,Q69,Q70,Q71,Q72,Q73,Q74,Q75)</f>
        <v/>
      </c>
      <c r="R10" s="237" t="str">
        <f ca="1">CHOOSE($T$1,R65,R66,R67,R68,R69,R70,R71,R72,R73,R74,R75)</f>
        <v/>
      </c>
      <c r="T10" s="214" t="s">
        <v>4353</v>
      </c>
      <c r="U10" s="215"/>
      <c r="V10" s="215"/>
      <c r="W10" s="215"/>
      <c r="X10" s="215"/>
      <c r="Y10" s="215"/>
      <c r="Z10" s="215"/>
      <c r="AC10" s="217"/>
      <c r="AD10" s="218"/>
      <c r="AE10" s="218"/>
      <c r="AF10" s="218"/>
      <c r="AG10" s="173"/>
      <c r="AH10" s="171"/>
      <c r="AI10" s="171"/>
      <c r="AJ10" s="174">
        <v>0.3611111111111111</v>
      </c>
      <c r="AK10" s="175">
        <v>45</v>
      </c>
      <c r="AL10" s="171"/>
    </row>
    <row r="11" spans="1:38" ht="12.75" customHeight="1">
      <c r="A11" s="233"/>
      <c r="B11" s="220"/>
      <c r="C11" s="36" t="str">
        <f ca="1">IF(F5&lt;&gt;"",CONCATENATE(RIGHT(F5,1),"-",LEFT(F5,1)),"")</f>
        <v/>
      </c>
      <c r="D11" s="37" t="str">
        <f ca="1">IF(F7&lt;&gt;"",CONCATENATE(RIGHT(F7,1),"-",LEFT(F7,1)),"")</f>
        <v/>
      </c>
      <c r="E11" s="37" t="str">
        <f ca="1">IF(F9&lt;&gt;"",CONCATENATE(RIGHT(F9,1),"-",LEFT(F9,1)),"")</f>
        <v/>
      </c>
      <c r="F11" s="33"/>
      <c r="G11" s="37" t="str">
        <f ca="1">IF(VLOOKUP("DE",Team_Matches!$AH$1:$AJ$66,2,FALSE)="","",CONCATENATE(VLOOKUP("DE",Team_Matches!$AH$1:$AJ$66,2,FALSE),"-",VLOOKUP("DE",Team_Matches!$AH$1:$AJ$66,3,FALSE)))</f>
        <v/>
      </c>
      <c r="H11" s="37" t="str">
        <f ca="1">IF(VLOOKUP("DF",Team_Matches!$AH$1:$AJ$66,2,FALSE)="","",CONCATENATE(VLOOKUP("DF",Team_Matches!$AH$1:$AJ$66,2,FALSE),"-",VLOOKUP("DF",Team_Matches!$AH$1:$AJ$66,3,FALSE)))</f>
        <v/>
      </c>
      <c r="I11" s="37" t="str">
        <f ca="1">IF(VLOOKUP("DG",Team_Matches!$AH$1:$AJ$66,2,FALSE)="","",CONCATENATE(VLOOKUP("DG",Team_Matches!$AH$1:$AJ$66,2,FALSE),"-",VLOOKUP("DG",Team_Matches!$AH$1:$AJ$66,3,FALSE)))</f>
        <v/>
      </c>
      <c r="J11" s="37" t="str">
        <f ca="1">IF(VLOOKUP("DH",Team_Matches!$AH$1:$AJ$66,2,FALSE)="","",CONCATENATE(VLOOKUP("DH",Team_Matches!$AH$1:$AJ$66,2,FALSE),"-",VLOOKUP("DH",Team_Matches!$AH$1:$AJ$66,3,FALSE)))</f>
        <v/>
      </c>
      <c r="K11" s="37" t="str">
        <f ca="1">IF(VLOOKUP("DI",Team_Matches!$AH$1:$AJ$66,2,FALSE)="","",CONCATENATE(VLOOKUP("DI",Team_Matches!$AH$1:$AJ$66,2,FALSE),"-",VLOOKUP("DI",Team_Matches!$AH$1:$AJ$66,3,FALSE)))</f>
        <v/>
      </c>
      <c r="L11" s="37" t="str">
        <f ca="1">IF(VLOOKUP("DJ",Team_Matches!$AH$1:$AJ$66,2,FALSE)="","",CONCATENATE(VLOOKUP("DJ",Team_Matches!$AH$1:$AJ$66,2,FALSE),"-",VLOOKUP("DJ",Team_Matches!$AH$1:$AJ$66,3,FALSE)))</f>
        <v/>
      </c>
      <c r="M11" s="37" t="str">
        <f ca="1">IF(VLOOKUP("DK",Team_Matches!$AH$1:$AJ$66,2,FALSE)="","",CONCATENATE(VLOOKUP("DK",Team_Matches!$AH$1:$AJ$66,2,FALSE),"-",VLOOKUP("DK",Team_Matches!$AH$1:$AJ$66,3,FALSE)))</f>
        <v/>
      </c>
      <c r="N11" s="56" t="str">
        <f ca="1">IF(VLOOKUP("DL",Team_Matches!$AH$1:$AJ$66,2,FALSE)="","",CONCATENATE(VLOOKUP("DL",Team_Matches!$AH$1:$AJ$66,2,FALSE),"-",VLOOKUP("DL",Team_Matches!$AH$1:$AJ$66,3,FALSE)))</f>
        <v/>
      </c>
      <c r="O11" s="238"/>
      <c r="P11" s="227"/>
      <c r="Q11" s="227"/>
      <c r="R11" s="237"/>
      <c r="T11" s="214" t="s">
        <v>4354</v>
      </c>
      <c r="U11" s="215"/>
      <c r="V11" s="215"/>
      <c r="W11" s="215"/>
      <c r="X11" s="215"/>
      <c r="Y11" s="215"/>
      <c r="Z11" s="215"/>
      <c r="AG11" s="173"/>
      <c r="AH11" s="171"/>
      <c r="AI11" s="171"/>
      <c r="AJ11" s="174">
        <v>0.36458333333333331</v>
      </c>
      <c r="AK11" s="175">
        <v>50</v>
      </c>
      <c r="AL11" s="171"/>
    </row>
    <row r="12" spans="1:38" ht="12.75" customHeight="1">
      <c r="A12" s="233" t="s">
        <v>1116</v>
      </c>
      <c r="B12" s="219"/>
      <c r="C12" s="34" t="str">
        <f ca="1">IF(G4&lt;&gt;"",IF(G4="W","L","W"),"")</f>
        <v/>
      </c>
      <c r="D12" s="35" t="str">
        <f ca="1">IF(G6&lt;&gt;"",IF(G6="W","L","W"),"")</f>
        <v/>
      </c>
      <c r="E12" s="35" t="str">
        <f ca="1">IF(G8&lt;&gt;"",IF(G8="W","L","W"),"")</f>
        <v/>
      </c>
      <c r="F12" s="35" t="str">
        <f ca="1">IF(G10&lt;&gt;"",IF(G10="W","L","W"),"")</f>
        <v/>
      </c>
      <c r="G12" s="31"/>
      <c r="H12" s="35" t="str">
        <f ca="1">IF(VLOOKUP("EF",Team_Matches!$AH$1:$AJ$66,2,FALSE)&lt;&gt;"",IF(VLOOKUP("EF",Team_Matches!$AH$1:$AJ$66,2,FALSE)&gt;=3,"W",IF(VLOOKUP("EF",Team_Matches!$AH$1:$AJ$66,3,FALSE)&gt;=3,"L","")),"")</f>
        <v/>
      </c>
      <c r="I12" s="35" t="str">
        <f ca="1">IF(VLOOKUP("EG",Team_Matches!$AH$1:$AJ$66,2,FALSE)&lt;&gt;"",IF(VLOOKUP("EG",Team_Matches!$AH$1:$AJ$66,2,FALSE)&gt;=3,"W",IF(VLOOKUP("EG",Team_Matches!$AH$1:$AJ$66,3,FALSE)&gt;=3,"L","")),"")</f>
        <v/>
      </c>
      <c r="J12" s="35" t="str">
        <f ca="1">IF(VLOOKUP("EH",Team_Matches!$AH$1:$AJ$66,2,FALSE)&lt;&gt;"",IF(VLOOKUP("EH",Team_Matches!$AH$1:$AJ$66,2,FALSE)&gt;=3,"W",IF(VLOOKUP("EH",Team_Matches!$AH$1:$AJ$66,3,FALSE)&gt;=3,"L","")),"")</f>
        <v/>
      </c>
      <c r="K12" s="35" t="str">
        <f ca="1">IF(VLOOKUP("EI",Team_Matches!$AH$1:$AJ$66,2,FALSE)&lt;&gt;"",IF(VLOOKUP("EI",Team_Matches!$AH$1:$AJ$66,2,FALSE)&gt;=3,"W",IF(VLOOKUP("EI",Team_Matches!$AH$1:$AJ$66,3,FALSE)&gt;=3,"L","")),"")</f>
        <v/>
      </c>
      <c r="L12" s="35" t="str">
        <f ca="1">IF(VLOOKUP("EJ",Team_Matches!$AH$1:$AJ$66,2,FALSE)&lt;&gt;"",IF(VLOOKUP("EJ",Team_Matches!$AH$1:$AJ$66,2,FALSE)&gt;=3,"W",IF(VLOOKUP("EJ",Team_Matches!$AH$1:$AJ$66,3,FALSE)&gt;=3,"L","")),"")</f>
        <v/>
      </c>
      <c r="M12" s="35" t="str">
        <f ca="1">IF(VLOOKUP("EK",Team_Matches!$AH$1:$AJ$66,2,FALSE)&lt;&gt;"",IF(VLOOKUP("EK",Team_Matches!$AH$1:$AJ$66,2,FALSE)&gt;=3,"W",IF(VLOOKUP("EK",Team_Matches!$AH$1:$AJ$66,3,FALSE)&gt;=3,"L","")),"")</f>
        <v/>
      </c>
      <c r="N12" s="57" t="str">
        <f ca="1">IF(VLOOKUP("EL",Team_Matches!$AH$1:$AJ$66,2,FALSE)&lt;&gt;"",IF(VLOOKUP("EL",Team_Matches!$AH$1:$AJ$66,2,FALSE)&gt;=3,"W",IF(VLOOKUP("EL",Team_Matches!$AH$1:$AJ$66,3,FALSE)&gt;=3,"L","")),"")</f>
        <v/>
      </c>
      <c r="O12" s="238" t="str">
        <f ca="1">CHOOSE($T$1,O77,O78,O79,O80,O81,O82,O83,O84,O85,O86,O87)</f>
        <v/>
      </c>
      <c r="P12" s="227" t="str">
        <f ca="1">CHOOSE($T$1,P77,P78,P79,P80,P81,P82,P83,P84,P85,P86,P87)</f>
        <v/>
      </c>
      <c r="Q12" s="227" t="str">
        <f ca="1">CHOOSE($T$1,Q77,Q78,Q79,Q80,Q81,Q82,Q83,Q84,Q85,Q86,Q87)</f>
        <v/>
      </c>
      <c r="R12" s="237" t="str">
        <f ca="1">CHOOSE($T$1,R77,R78,R79,R80,R81,R82,R83,R84,R85,R86,R87)</f>
        <v/>
      </c>
      <c r="T12" s="214" t="s">
        <v>4355</v>
      </c>
      <c r="U12" s="215"/>
      <c r="V12" s="215"/>
      <c r="W12" s="215"/>
      <c r="X12" s="215"/>
      <c r="Y12" s="215"/>
      <c r="Z12" s="215"/>
      <c r="AC12" s="216" t="s">
        <v>3945</v>
      </c>
      <c r="AD12" s="216"/>
      <c r="AE12" s="216"/>
      <c r="AF12" s="216"/>
      <c r="AG12" s="173"/>
      <c r="AH12" s="171"/>
      <c r="AI12" s="171"/>
      <c r="AJ12" s="174">
        <v>0.36805555555555558</v>
      </c>
      <c r="AK12" s="175">
        <v>55</v>
      </c>
      <c r="AL12" s="171"/>
    </row>
    <row r="13" spans="1:38" ht="12.75" customHeight="1">
      <c r="A13" s="233"/>
      <c r="B13" s="220"/>
      <c r="C13" s="36" t="str">
        <f ca="1">IF(G5&lt;&gt;"",CONCATENATE(RIGHT(G5,1),"-",LEFT(G5,1)),"")</f>
        <v/>
      </c>
      <c r="D13" s="37" t="str">
        <f ca="1">IF(G7&lt;&gt;"",CONCATENATE(RIGHT(G7,1),"-",LEFT(G7,1)),"")</f>
        <v/>
      </c>
      <c r="E13" s="37" t="str">
        <f ca="1">IF(G9&lt;&gt;"",CONCATENATE(RIGHT(G9,1),"-",LEFT(G9,1)),"")</f>
        <v/>
      </c>
      <c r="F13" s="37" t="str">
        <f ca="1">IF(G11&lt;&gt;"",CONCATENATE(RIGHT(G11,1),"-",LEFT(G11,1)),"")</f>
        <v/>
      </c>
      <c r="G13" s="33"/>
      <c r="H13" s="37" t="str">
        <f ca="1">IF(VLOOKUP("EF",Team_Matches!$AH$1:$AJ$66,2,FALSE)="","",CONCATENATE(VLOOKUP("EF",Team_Matches!$AH$1:$AJ$66,2,FALSE),"-",VLOOKUP("EF",Team_Matches!$AH$1:$AJ$66,3,FALSE)))</f>
        <v/>
      </c>
      <c r="I13" s="37" t="str">
        <f ca="1">IF(VLOOKUP("EG",Team_Matches!$AH$1:$AJ$66,2,FALSE)="","",CONCATENATE(VLOOKUP("EG",Team_Matches!$AH$1:$AJ$66,2,FALSE),"-",VLOOKUP("EG",Team_Matches!$AH$1:$AJ$66,3,FALSE)))</f>
        <v/>
      </c>
      <c r="J13" s="37" t="str">
        <f ca="1">IF(VLOOKUP("EH",Team_Matches!$AH$1:$AJ$66,2,FALSE)="","",CONCATENATE(VLOOKUP("EH",Team_Matches!$AH$1:$AJ$66,2,FALSE),"-",VLOOKUP("EH",Team_Matches!$AH$1:$AJ$66,3,FALSE)))</f>
        <v/>
      </c>
      <c r="K13" s="37" t="str">
        <f ca="1">IF(VLOOKUP("EI",Team_Matches!$AH$1:$AJ$66,2,FALSE)="","",CONCATENATE(VLOOKUP("EI",Team_Matches!$AH$1:$AJ$66,2,FALSE),"-",VLOOKUP("EI",Team_Matches!$AH$1:$AJ$66,3,FALSE)))</f>
        <v/>
      </c>
      <c r="L13" s="37" t="str">
        <f ca="1">IF(VLOOKUP("EJ",Team_Matches!$AH$1:$AJ$66,2,FALSE)="","",CONCATENATE(VLOOKUP("EJ",Team_Matches!$AH$1:$AJ$66,2,FALSE),"-",VLOOKUP("EJ",Team_Matches!$AH$1:$AJ$66,3,FALSE)))</f>
        <v/>
      </c>
      <c r="M13" s="37" t="str">
        <f ca="1">IF(VLOOKUP("EK",Team_Matches!$AH$1:$AJ$66,2,FALSE)="","",CONCATENATE(VLOOKUP("EK",Team_Matches!$AH$1:$AJ$66,2,FALSE),"-",VLOOKUP("EK",Team_Matches!$AH$1:$AJ$66,3,FALSE)))</f>
        <v/>
      </c>
      <c r="N13" s="56" t="str">
        <f ca="1">IF(VLOOKUP("EL",Team_Matches!$AH$1:$AJ$66,2,FALSE)="","",CONCATENATE(VLOOKUP("EL",Team_Matches!$AH$1:$AJ$66,2,FALSE),"-",VLOOKUP("EL",Team_Matches!$AH$1:$AJ$66,3,FALSE)))</f>
        <v/>
      </c>
      <c r="O13" s="238"/>
      <c r="P13" s="227"/>
      <c r="Q13" s="227"/>
      <c r="R13" s="237"/>
      <c r="T13" s="214" t="s">
        <v>4356</v>
      </c>
      <c r="U13" s="215"/>
      <c r="V13" s="215"/>
      <c r="W13" s="215"/>
      <c r="X13" s="215"/>
      <c r="Y13" s="215"/>
      <c r="Z13" s="215"/>
      <c r="AC13" s="212"/>
      <c r="AD13" s="213"/>
      <c r="AE13" s="213"/>
      <c r="AF13" s="213"/>
      <c r="AG13" s="171"/>
      <c r="AH13" s="171"/>
      <c r="AI13" s="171"/>
      <c r="AJ13" s="174">
        <v>0.37152777777777773</v>
      </c>
      <c r="AK13" s="175">
        <v>60</v>
      </c>
      <c r="AL13" s="171"/>
    </row>
    <row r="14" spans="1:38" ht="12.75" customHeight="1">
      <c r="A14" s="233" t="s">
        <v>1117</v>
      </c>
      <c r="B14" s="219"/>
      <c r="C14" s="34" t="str">
        <f ca="1">IF(H4&lt;&gt;"",IF(H4="W","L","W"),"")</f>
        <v/>
      </c>
      <c r="D14" s="35" t="str">
        <f ca="1">IF(H6&lt;&gt;"",IF(H6="W","L","W"),"")</f>
        <v/>
      </c>
      <c r="E14" s="35" t="str">
        <f ca="1">IF(H8&lt;&gt;"",IF(H8="W","L","W"),"")</f>
        <v/>
      </c>
      <c r="F14" s="35" t="str">
        <f ca="1">IF(H10&lt;&gt;"",IF(H10="W","L","W"),"")</f>
        <v/>
      </c>
      <c r="G14" s="35" t="str">
        <f ca="1">IF(H12&lt;&gt;"",IF(H12="W","L","W"),"")</f>
        <v/>
      </c>
      <c r="H14" s="31"/>
      <c r="I14" s="35" t="str">
        <f ca="1">IF(VLOOKUP("FG",Team_Matches!$AH$1:$AJ$66,2,FALSE)&lt;&gt;"",IF(VLOOKUP("FG",Team_Matches!$AH$1:$AJ$66,2,FALSE)&gt;=3,"W",IF(VLOOKUP("FG",Team_Matches!$AH$1:$AJ$66,3,FALSE)&gt;=3,"L","")),"")</f>
        <v/>
      </c>
      <c r="J14" s="35" t="str">
        <f ca="1">IF(VLOOKUP("FH",Team_Matches!$AH$1:$AJ$66,2,FALSE)&lt;&gt;"",IF(VLOOKUP("FH",Team_Matches!$AH$1:$AJ$66,2,FALSE)&gt;=3,"W",IF(VLOOKUP("FH",Team_Matches!$AH$1:$AJ$66,3,FALSE)&gt;=3,"L","")),"")</f>
        <v/>
      </c>
      <c r="K14" s="35" t="str">
        <f ca="1">IF(VLOOKUP("FI",Team_Matches!$AH$1:$AJ$66,2,FALSE)&lt;&gt;"",IF(VLOOKUP("FI",Team_Matches!$AH$1:$AJ$66,2,FALSE)&gt;=3,"W",IF(VLOOKUP("FI",Team_Matches!$AH$1:$AJ$66,3,FALSE)&gt;=3,"L","")),"")</f>
        <v/>
      </c>
      <c r="L14" s="35" t="str">
        <f ca="1">IF(VLOOKUP("FJ",Team_Matches!$AH$1:$AJ$66,2,FALSE)&lt;&gt;"",IF(VLOOKUP("FJ",Team_Matches!$AH$1:$AJ$66,2,FALSE)&gt;=3,"W",IF(VLOOKUP("FJ",Team_Matches!$AH$1:$AJ$66,3,FALSE)&gt;=3,"L","")),"")</f>
        <v/>
      </c>
      <c r="M14" s="35" t="str">
        <f ca="1">IF(VLOOKUP("FK",Team_Matches!$AH$1:$AJ$66,2,FALSE)&lt;&gt;"",IF(VLOOKUP("FK",Team_Matches!$AH$1:$AJ$66,2,FALSE)&gt;=3,"W",IF(VLOOKUP("FK",Team_Matches!$AH$1:$AJ$66,3,FALSE)&gt;=3,"L","")),"")</f>
        <v/>
      </c>
      <c r="N14" s="57" t="str">
        <f ca="1">IF(VLOOKUP("FL",Team_Matches!$AH$1:$AJ$66,2,FALSE)&lt;&gt;"",IF(VLOOKUP("FL",Team_Matches!$AH$1:$AJ$66,2,FALSE)&gt;=3,"W",IF(VLOOKUP("FL",Team_Matches!$AH$1:$AJ$66,3,FALSE)&gt;=3,"L","")),"")</f>
        <v/>
      </c>
      <c r="O14" s="238" t="str">
        <f ca="1">CHOOSE($T$1,O89,O90,O91,O92,O93,O94,O95,O96,O97,O98,O99)</f>
        <v/>
      </c>
      <c r="P14" s="227" t="str">
        <f ca="1">CHOOSE($T$1,P89,P90,P91,P92,P93,P94,P95,P96,P97,P98,P99)</f>
        <v/>
      </c>
      <c r="Q14" s="227" t="str">
        <f ca="1">CHOOSE($T$1,Q89,Q90,Q91,Q92,Q93,Q94,Q95,Q96,Q97,Q98,Q99)</f>
        <v/>
      </c>
      <c r="R14" s="237" t="str">
        <f ca="1">CHOOSE($T$1,R89,R90,R91,R92,R93,R94,R95,R96,R97,R98,R99)</f>
        <v/>
      </c>
      <c r="AG14" s="171"/>
      <c r="AH14" s="171"/>
      <c r="AI14" s="171"/>
      <c r="AJ14" s="174">
        <v>0.375</v>
      </c>
      <c r="AK14" s="176"/>
      <c r="AL14" s="171"/>
    </row>
    <row r="15" spans="1:38" ht="12.75" customHeight="1">
      <c r="A15" s="233"/>
      <c r="B15" s="220"/>
      <c r="C15" s="36" t="str">
        <f ca="1">IF(H5&lt;&gt;"",CONCATENATE(RIGHT(H5,1),"-",LEFT(H5,1)),"")</f>
        <v/>
      </c>
      <c r="D15" s="37" t="str">
        <f ca="1">IF(H7&lt;&gt;"",CONCATENATE(RIGHT(H7,1),"-",LEFT(H7,1)),"")</f>
        <v/>
      </c>
      <c r="E15" s="37" t="str">
        <f ca="1">IF(H9&lt;&gt;"",CONCATENATE(RIGHT(H9,1),"-",LEFT(H9,1)),"")</f>
        <v/>
      </c>
      <c r="F15" s="37" t="str">
        <f ca="1">IF(H11&lt;&gt;"",CONCATENATE(RIGHT(H11,1),"-",LEFT(H11,1)),"")</f>
        <v/>
      </c>
      <c r="G15" s="37" t="str">
        <f ca="1">IF(H13&lt;&gt;"",CONCATENATE(RIGHT(H13,1),"-",LEFT(H13,1)),"")</f>
        <v/>
      </c>
      <c r="H15" s="33"/>
      <c r="I15" s="37" t="str">
        <f ca="1">IF(VLOOKUP("FG",Team_Matches!$AH$1:$AJ$66,2,FALSE)="","",CONCATENATE(VLOOKUP("FG",Team_Matches!$AH$1:$AJ$66,2,FALSE),"-",VLOOKUP("FG",Team_Matches!$AH$1:$AJ$66,3,FALSE)))</f>
        <v/>
      </c>
      <c r="J15" s="37" t="str">
        <f ca="1">IF(VLOOKUP("FH",Team_Matches!$AH$1:$AJ$66,2,FALSE)="","",CONCATENATE(VLOOKUP("FH",Team_Matches!$AH$1:$AJ$66,2,FALSE),"-",VLOOKUP("FH",Team_Matches!$AH$1:$AJ$66,3,FALSE)))</f>
        <v/>
      </c>
      <c r="K15" s="37" t="str">
        <f ca="1">IF(VLOOKUP("FI",Team_Matches!$AH$1:$AJ$66,2,FALSE)="","",CONCATENATE(VLOOKUP("FI",Team_Matches!$AH$1:$AJ$66,2,FALSE),"-",VLOOKUP("FI",Team_Matches!$AH$1:$AJ$66,3,FALSE)))</f>
        <v/>
      </c>
      <c r="L15" s="37" t="str">
        <f ca="1">IF(VLOOKUP("FJ",Team_Matches!$AH$1:$AJ$66,2,FALSE)="","",CONCATENATE(VLOOKUP("FJ",Team_Matches!$AH$1:$AJ$66,2,FALSE),"-",VLOOKUP("FJ",Team_Matches!$AH$1:$AJ$66,3,FALSE)))</f>
        <v/>
      </c>
      <c r="M15" s="37" t="str">
        <f ca="1">IF(VLOOKUP("FK",Team_Matches!$AH$1:$AJ$66,2,FALSE)="","",CONCATENATE(VLOOKUP("FK",Team_Matches!$AH$1:$AJ$66,2,FALSE),"-",VLOOKUP("FK",Team_Matches!$AH$1:$AJ$66,3,FALSE)))</f>
        <v/>
      </c>
      <c r="N15" s="56" t="str">
        <f ca="1">IF(VLOOKUP("FL",Team_Matches!$AH$1:$AJ$66,2,FALSE)="","",CONCATENATE(VLOOKUP("FL",Team_Matches!$AH$1:$AJ$66,2,FALSE),"-",VLOOKUP("FL",Team_Matches!$AH$1:$AJ$66,3,FALSE)))</f>
        <v/>
      </c>
      <c r="O15" s="238"/>
      <c r="P15" s="227"/>
      <c r="Q15" s="227"/>
      <c r="R15" s="237"/>
      <c r="U15" s="52" t="s">
        <v>1112</v>
      </c>
      <c r="V15" s="52" t="s">
        <v>1113</v>
      </c>
      <c r="W15" s="52" t="s">
        <v>1114</v>
      </c>
      <c r="X15" s="52" t="s">
        <v>1115</v>
      </c>
      <c r="Y15" s="52" t="s">
        <v>1116</v>
      </c>
      <c r="Z15" s="52" t="s">
        <v>1117</v>
      </c>
      <c r="AA15" s="52" t="s">
        <v>1118</v>
      </c>
      <c r="AB15" s="52" t="s">
        <v>1119</v>
      </c>
      <c r="AC15" s="52" t="s">
        <v>1120</v>
      </c>
      <c r="AD15" s="52" t="s">
        <v>1121</v>
      </c>
      <c r="AE15" s="52" t="s">
        <v>1122</v>
      </c>
      <c r="AF15" s="52" t="s">
        <v>1123</v>
      </c>
      <c r="AG15" s="171"/>
      <c r="AH15" s="171"/>
      <c r="AI15" s="171"/>
      <c r="AJ15" s="174">
        <v>0.37847222222222227</v>
      </c>
      <c r="AK15" s="176"/>
      <c r="AL15" s="171"/>
    </row>
    <row r="16" spans="1:38" ht="12.75" customHeight="1">
      <c r="A16" s="233" t="s">
        <v>1118</v>
      </c>
      <c r="B16" s="219"/>
      <c r="C16" s="34" t="str">
        <f ca="1">IF(I4&lt;&gt;"",IF(I4="W","L","W"),"")</f>
        <v/>
      </c>
      <c r="D16" s="35" t="str">
        <f ca="1">IF(I6&lt;&gt;"",IF(I6="W","L","W"),"")</f>
        <v/>
      </c>
      <c r="E16" s="35" t="str">
        <f ca="1">IF(I8&lt;&gt;"",IF(I8="W","L","W"),"")</f>
        <v/>
      </c>
      <c r="F16" s="35" t="str">
        <f ca="1">IF(I10&lt;&gt;"",IF(I10="W","L","W"),"")</f>
        <v/>
      </c>
      <c r="G16" s="35" t="str">
        <f ca="1">IF(I12&lt;&gt;"",IF(I12="W","L","W"),"")</f>
        <v/>
      </c>
      <c r="H16" s="35" t="str">
        <f ca="1">IF(I14&lt;&gt;"",IF(I14="W","L","W"),"")</f>
        <v/>
      </c>
      <c r="I16" s="31"/>
      <c r="J16" s="35" t="str">
        <f ca="1">IF(VLOOKUP("GH",Team_Matches!$AH$1:$AJ$66,2,FALSE)&lt;&gt;"",IF(VLOOKUP("GH",Team_Matches!$AH$1:$AJ$66,2,FALSE)&gt;=3,"W",IF(VLOOKUP("GH",Team_Matches!$AH$1:$AJ$66,3,FALSE)&gt;=3,"L","")),"")</f>
        <v/>
      </c>
      <c r="K16" s="35" t="str">
        <f ca="1">IF(VLOOKUP("GI",Team_Matches!$AH$1:$AJ$66,2,FALSE)&lt;&gt;"",IF(VLOOKUP("GI",Team_Matches!$AH$1:$AJ$66,2,FALSE)&gt;=3,"W",IF(VLOOKUP("GI",Team_Matches!$AH$1:$AJ$66,3,FALSE)&gt;=3,"L","")),"")</f>
        <v/>
      </c>
      <c r="L16" s="35" t="str">
        <f ca="1">IF(VLOOKUP("GJ",Team_Matches!$AH$1:$AJ$66,2,FALSE)&lt;&gt;"",IF(VLOOKUP("GJ",Team_Matches!$AH$1:$AJ$66,2,FALSE)&gt;=3,"W",IF(VLOOKUP("GJ",Team_Matches!$AH$1:$AJ$66,3,FALSE)&gt;=3,"L","")),"")</f>
        <v/>
      </c>
      <c r="M16" s="35" t="str">
        <f ca="1">IF(VLOOKUP("GK",Team_Matches!$AH$1:$AJ$66,2,FALSE)&lt;&gt;"",IF(VLOOKUP("GK",Team_Matches!$AH$1:$AJ$66,2,FALSE)&gt;=3,"W",IF(VLOOKUP("GK",Team_Matches!$AH$1:$AJ$66,3,FALSE)&gt;=3,"L","")),"")</f>
        <v/>
      </c>
      <c r="N16" s="57" t="str">
        <f ca="1">IF(VLOOKUP("GL",Team_Matches!$AH$1:$AJ$66,2,FALSE)&lt;&gt;"",IF(VLOOKUP("GL",Team_Matches!$AH$1:$AJ$66,2,FALSE)&gt;=3,"W",IF(VLOOKUP("GL",Team_Matches!$AH$1:$AJ$66,3,FALSE)&gt;=3,"L","")),"")</f>
        <v/>
      </c>
      <c r="O16" s="238" t="str">
        <f ca="1">CHOOSE($T$1,O101,O102,O103,O104,O105,O106,O107,O108,O109,O110,O111)</f>
        <v/>
      </c>
      <c r="P16" s="227" t="str">
        <f ca="1">CHOOSE($T$1,P101,P102,P103,P104,P105,P106,P107,P108,P109,P110,P111)</f>
        <v/>
      </c>
      <c r="Q16" s="227" t="str">
        <f ca="1">CHOOSE($T$1,Q101,Q102,Q103,Q104,Q105,Q106,Q107,Q108,Q109,Q110,Q111)</f>
        <v/>
      </c>
      <c r="R16" s="237" t="str">
        <f ca="1">CHOOSE($T$1,R101,R102,R103,R104,R105,R106,R107,R108,R109,R110,R111)</f>
        <v/>
      </c>
      <c r="T16" s="145" t="s">
        <v>1112</v>
      </c>
      <c r="U16" s="147"/>
      <c r="V16" s="149" t="str">
        <f ca="1">HYPERLINK(MID(CELL("filename",$A$1),SEARCH("[",CELL("filename",$A$1)),SEARCH("]",CELL("filename",$A$1))-SEARCH("[",CELL("filename",$A$1))+1)&amp;VLOOKUP("AB",Team_Matches!$AH$1:$AK$66,4,FALSE),"T")</f>
        <v>T</v>
      </c>
      <c r="W16" s="149" t="str">
        <f ca="1">HYPERLINK(MID(CELL("filename",$A$1),SEARCH("[",CELL("filename",$A$1)),SEARCH("]",CELL("filename",$A$1))-SEARCH("[",CELL("filename",$A$1))+1)&amp;VLOOKUP("AC",Team_Matches!$AH$1:$AK$66,4,FALSE),"T")</f>
        <v>T</v>
      </c>
      <c r="X16" s="149" t="str">
        <f ca="1">HYPERLINK(MID(CELL("filename",$A$1),SEARCH("[",CELL("filename",$A$1)),SEARCH("]",CELL("filename",$A$1))-SEARCH("[",CELL("filename",$A$1))+1)&amp;VLOOKUP("AD",Team_Matches!$AH$1:$AK$66,4,FALSE),"T")</f>
        <v>T</v>
      </c>
      <c r="Y16" s="149" t="str">
        <f ca="1">HYPERLINK(MID(CELL("filename",$A$1),SEARCH("[",CELL("filename",$A$1)),SEARCH("]",CELL("filename",$A$1))-SEARCH("[",CELL("filename",$A$1))+1)&amp;VLOOKUP("AE",Team_Matches!$AH$1:$AK$66,4,FALSE),"T")</f>
        <v>T</v>
      </c>
      <c r="Z16" s="149" t="str">
        <f ca="1">HYPERLINK(MID(CELL("filename",$A$1),SEARCH("[",CELL("filename",$A$1)),SEARCH("]",CELL("filename",$A$1))-SEARCH("[",CELL("filename",$A$1))+1)&amp;VLOOKUP("AF",Team_Matches!$AH$1:$AK$66,4,FALSE),"T")</f>
        <v>T</v>
      </c>
      <c r="AA16" s="149" t="str">
        <f ca="1">HYPERLINK(MID(CELL("filename",$A$1),SEARCH("[",CELL("filename",$A$1)),SEARCH("]",CELL("filename",$A$1))-SEARCH("[",CELL("filename",$A$1))+1)&amp;VLOOKUP("AG",Team_Matches!$AH$1:$AK$66,4,FALSE),"T")</f>
        <v>T</v>
      </c>
      <c r="AB16" s="149" t="str">
        <f ca="1">HYPERLINK(MID(CELL("filename",$A$1),SEARCH("[",CELL("filename",$A$1)),SEARCH("]",CELL("filename",$A$1))-SEARCH("[",CELL("filename",$A$1))+1)&amp;VLOOKUP("AH",Team_Matches!$AH$1:$AK$66,4,FALSE),"T")</f>
        <v>T</v>
      </c>
      <c r="AC16" s="149" t="str">
        <f ca="1">HYPERLINK(MID(CELL("filename",$A$1),SEARCH("[",CELL("filename",$A$1)),SEARCH("]",CELL("filename",$A$1))-SEARCH("[",CELL("filename",$A$1))+1)&amp;VLOOKUP("AI",Team_Matches!$AH$1:$AK$66,4,FALSE),"T")</f>
        <v>T</v>
      </c>
      <c r="AD16" s="149" t="str">
        <f ca="1">HYPERLINK(MID(CELL("filename",$A$1),SEARCH("[",CELL("filename",$A$1)),SEARCH("]",CELL("filename",$A$1))-SEARCH("[",CELL("filename",$A$1))+1)&amp;VLOOKUP("AJ",Team_Matches!$AH$1:$AK$66,4,FALSE),"T")</f>
        <v>T</v>
      </c>
      <c r="AE16" s="149" t="str">
        <f ca="1">HYPERLINK(MID(CELL("filename",$A$1),SEARCH("[",CELL("filename",$A$1)),SEARCH("]",CELL("filename",$A$1))-SEARCH("[",CELL("filename",$A$1))+1)&amp;VLOOKUP("AK",Team_Matches!$AH$1:$AK$66,4,FALSE),"T")</f>
        <v>T</v>
      </c>
      <c r="AF16" s="149" t="str">
        <f ca="1">HYPERLINK(MID(CELL("filename",$A$1),SEARCH("[",CELL("filename",$A$1)),SEARCH("]",CELL("filename",$A$1))-SEARCH("[",CELL("filename",$A$1))+1)&amp;VLOOKUP("AL",Team_Matches!$AH$1:$AK$66,4,FALSE),"T")</f>
        <v>T</v>
      </c>
      <c r="AG16" s="171"/>
      <c r="AH16" s="171"/>
      <c r="AI16" s="171"/>
      <c r="AJ16" s="174">
        <v>0.38194444444444442</v>
      </c>
      <c r="AK16" s="176"/>
      <c r="AL16" s="171"/>
    </row>
    <row r="17" spans="1:38" ht="12.75" customHeight="1">
      <c r="A17" s="233"/>
      <c r="B17" s="220"/>
      <c r="C17" s="36" t="str">
        <f ca="1">IF(I5&lt;&gt;"",CONCATENATE(RIGHT(I5,1),"-",LEFT(I5,1)),"")</f>
        <v/>
      </c>
      <c r="D17" s="37" t="str">
        <f ca="1">IF(I7&lt;&gt;"",CONCATENATE(RIGHT(I7,1),"-",LEFT(I7,1)),"")</f>
        <v/>
      </c>
      <c r="E17" s="37" t="str">
        <f ca="1">IF(I9&lt;&gt;"",CONCATENATE(RIGHT(I9,1),"-",LEFT(I9,1)),"")</f>
        <v/>
      </c>
      <c r="F17" s="37" t="str">
        <f ca="1">IF(I11&lt;&gt;"",CONCATENATE(RIGHT(I11,1),"-",LEFT(I11,1)),"")</f>
        <v/>
      </c>
      <c r="G17" s="37" t="str">
        <f ca="1">IF(I13&lt;&gt;"",CONCATENATE(RIGHT(I13,1),"-",LEFT(I13,1)),"")</f>
        <v/>
      </c>
      <c r="H17" s="37" t="str">
        <f ca="1">IF(I15&lt;&gt;"",CONCATENATE(RIGHT(I15,1),"-",LEFT(I15,1)),"")</f>
        <v/>
      </c>
      <c r="I17" s="33"/>
      <c r="J17" s="37" t="str">
        <f ca="1">IF(VLOOKUP("GH",Team_Matches!$AH$1:$AJ$66,2,FALSE)="","",CONCATENATE(VLOOKUP("GH",Team_Matches!$AH$1:$AJ$66,2,FALSE),"-",VLOOKUP("GH",Team_Matches!$AH$1:$AJ$66,3,FALSE)))</f>
        <v/>
      </c>
      <c r="K17" s="37" t="str">
        <f ca="1">IF(VLOOKUP("GI",Team_Matches!$AH$1:$AJ$66,2,FALSE)="","",CONCATENATE(VLOOKUP("GI",Team_Matches!$AH$1:$AJ$66,2,FALSE),"-",VLOOKUP("GI",Team_Matches!$AH$1:$AJ$66,3,FALSE)))</f>
        <v/>
      </c>
      <c r="L17" s="37" t="str">
        <f ca="1">IF(VLOOKUP("GJ",Team_Matches!$AH$1:$AJ$66,2,FALSE)="","",CONCATENATE(VLOOKUP("GJ",Team_Matches!$AH$1:$AJ$66,2,FALSE),"-",VLOOKUP("GJ",Team_Matches!$AH$1:$AJ$66,3,FALSE)))</f>
        <v/>
      </c>
      <c r="M17" s="37" t="str">
        <f ca="1">IF(VLOOKUP("GK",Team_Matches!$AH$1:$AJ$66,2,FALSE)="","",CONCATENATE(VLOOKUP("GK",Team_Matches!$AH$1:$AJ$66,2,FALSE),"-",VLOOKUP("GK",Team_Matches!$AH$1:$AJ$66,3,FALSE)))</f>
        <v/>
      </c>
      <c r="N17" s="56" t="str">
        <f ca="1">IF(VLOOKUP("GL",Team_Matches!$AH$1:$AJ$66,2,FALSE)="","",CONCATENATE(VLOOKUP("GL",Team_Matches!$AH$1:$AJ$66,2,FALSE),"-",VLOOKUP("GL",Team_Matches!$AH$1:$AJ$66,3,FALSE)))</f>
        <v/>
      </c>
      <c r="O17" s="238"/>
      <c r="P17" s="227"/>
      <c r="Q17" s="227"/>
      <c r="R17" s="237"/>
      <c r="T17" s="145" t="s">
        <v>1113</v>
      </c>
      <c r="U17" s="149" t="str">
        <f ca="1">HYPERLINK(MID(CELL("filename",$A$1),SEARCH("[",CELL("filename",$A$1)),SEARCH("]",CELL("filename",$A$1))-SEARCH("[",CELL("filename",$A$1))+1)&amp;VLOOKUP("AB",Team_Matches!$AH$1:$AL$66,5,FALSE),"M")</f>
        <v>M</v>
      </c>
      <c r="V17" s="148"/>
      <c r="W17" s="149" t="str">
        <f ca="1">HYPERLINK(MID(CELL("filename",$A$1),SEARCH("[",CELL("filename",$A$1)),SEARCH("]",CELL("filename",$A$1))-SEARCH("[",CELL("filename",$A$1))+1)&amp;VLOOKUP("BC",Team_Matches!$AH$1:$AK$66,4,FALSE),"T")</f>
        <v>T</v>
      </c>
      <c r="X17" s="149" t="str">
        <f ca="1">HYPERLINK(MID(CELL("filename",$A$1),SEARCH("[",CELL("filename",$A$1)),SEARCH("]",CELL("filename",$A$1))-SEARCH("[",CELL("filename",$A$1))+1)&amp;VLOOKUP("BD",Team_Matches!$AH$1:$AK$66,4,FALSE),"T")</f>
        <v>T</v>
      </c>
      <c r="Y17" s="149" t="str">
        <f ca="1">HYPERLINK(MID(CELL("filename",$A$1),SEARCH("[",CELL("filename",$A$1)),SEARCH("]",CELL("filename",$A$1))-SEARCH("[",CELL("filename",$A$1))+1)&amp;VLOOKUP("BE",Team_Matches!$AH$1:$AK$66,4,FALSE),"T")</f>
        <v>T</v>
      </c>
      <c r="Z17" s="149" t="str">
        <f ca="1">HYPERLINK(MID(CELL("filename",$A$1),SEARCH("[",CELL("filename",$A$1)),SEARCH("]",CELL("filename",$A$1))-SEARCH("[",CELL("filename",$A$1))+1)&amp;VLOOKUP("BF",Team_Matches!$AH$1:$AK$66,4,FALSE),"T")</f>
        <v>T</v>
      </c>
      <c r="AA17" s="149" t="str">
        <f ca="1">HYPERLINK(MID(CELL("filename",$A$1),SEARCH("[",CELL("filename",$A$1)),SEARCH("]",CELL("filename",$A$1))-SEARCH("[",CELL("filename",$A$1))+1)&amp;VLOOKUP("BG",Team_Matches!$AH$1:$AK$66,4,FALSE),"T")</f>
        <v>T</v>
      </c>
      <c r="AB17" s="149" t="str">
        <f ca="1">HYPERLINK(MID(CELL("filename",$A$1),SEARCH("[",CELL("filename",$A$1)),SEARCH("]",CELL("filename",$A$1))-SEARCH("[",CELL("filename",$A$1))+1)&amp;VLOOKUP("BH",Team_Matches!$AH$1:$AK$66,4,FALSE),"T")</f>
        <v>T</v>
      </c>
      <c r="AC17" s="149" t="str">
        <f ca="1">HYPERLINK(MID(CELL("filename",$A$1),SEARCH("[",CELL("filename",$A$1)),SEARCH("]",CELL("filename",$A$1))-SEARCH("[",CELL("filename",$A$1))+1)&amp;VLOOKUP("BI",Team_Matches!$AH$1:$AK$66,4,FALSE),"T")</f>
        <v>T</v>
      </c>
      <c r="AD17" s="149" t="str">
        <f ca="1">HYPERLINK(MID(CELL("filename",$A$1),SEARCH("[",CELL("filename",$A$1)),SEARCH("]",CELL("filename",$A$1))-SEARCH("[",CELL("filename",$A$1))+1)&amp;VLOOKUP("BJ",Team_Matches!$AH$1:$AK$66,4,FALSE),"T")</f>
        <v>T</v>
      </c>
      <c r="AE17" s="149" t="str">
        <f ca="1">HYPERLINK(MID(CELL("filename",$A$1),SEARCH("[",CELL("filename",$A$1)),SEARCH("]",CELL("filename",$A$1))-SEARCH("[",CELL("filename",$A$1))+1)&amp;VLOOKUP("BK",Team_Matches!$AH$1:$AK$66,4,FALSE),"T")</f>
        <v>T</v>
      </c>
      <c r="AF17" s="149" t="str">
        <f ca="1">HYPERLINK(MID(CELL("filename",$A$1),SEARCH("[",CELL("filename",$A$1)),SEARCH("]",CELL("filename",$A$1))-SEARCH("[",CELL("filename",$A$1))+1)&amp;VLOOKUP("BL",Team_Matches!$AH$1:$AK$66,4,FALSE),"T")</f>
        <v>T</v>
      </c>
      <c r="AG17" s="171"/>
      <c r="AH17" s="171"/>
      <c r="AI17" s="171"/>
      <c r="AJ17" s="174">
        <v>0.38541666666666669</v>
      </c>
      <c r="AK17" s="176"/>
      <c r="AL17" s="171"/>
    </row>
    <row r="18" spans="1:38" ht="12.75" customHeight="1">
      <c r="A18" s="233" t="s">
        <v>1119</v>
      </c>
      <c r="B18" s="219"/>
      <c r="C18" s="34" t="str">
        <f ca="1">IF(J4&lt;&gt;"",IF(J4="W","L","W"),"")</f>
        <v/>
      </c>
      <c r="D18" s="35" t="str">
        <f ca="1">IF(J6&lt;&gt;"",IF(J6="W","L","W"),"")</f>
        <v/>
      </c>
      <c r="E18" s="35" t="str">
        <f ca="1">IF(J8&lt;&gt;"",IF(J8="W","L","W"),"")</f>
        <v/>
      </c>
      <c r="F18" s="35" t="str">
        <f ca="1">IF(J10&lt;&gt;"",IF(J10="W","L","W"),"")</f>
        <v/>
      </c>
      <c r="G18" s="35" t="str">
        <f ca="1">IF(J12&lt;&gt;"",IF(J12="W","L","W"),"")</f>
        <v/>
      </c>
      <c r="H18" s="35" t="str">
        <f ca="1">IF(J14&lt;&gt;"",IF(J14="W","L","W"),"")</f>
        <v/>
      </c>
      <c r="I18" s="35" t="str">
        <f ca="1">IF(J16&lt;&gt;"",IF(J16="W","L","W"),"")</f>
        <v/>
      </c>
      <c r="J18" s="31"/>
      <c r="K18" s="35" t="str">
        <f ca="1">IF(VLOOKUP("HI",Team_Matches!$AH$1:$AJ$66,2,FALSE)&lt;&gt;"",IF(VLOOKUP("HI",Team_Matches!$AH$1:$AJ$66,2,FALSE)&gt;=3,"W",IF(VLOOKUP("HI",Team_Matches!$AH$1:$AJ$66,3,FALSE)&gt;=3,"L","")),"")</f>
        <v/>
      </c>
      <c r="L18" s="35" t="str">
        <f ca="1">IF(VLOOKUP("HJ",Team_Matches!$AH$1:$AJ$66,2,FALSE)&lt;&gt;"",IF(VLOOKUP("HJ",Team_Matches!$AH$1:$AJ$66,2,FALSE)&gt;=3,"W",IF(VLOOKUP("HJ",Team_Matches!$AH$1:$AJ$66,3,FALSE)&gt;=3,"L","")),"")</f>
        <v/>
      </c>
      <c r="M18" s="35" t="str">
        <f ca="1">IF(VLOOKUP("HK",Team_Matches!$AH$1:$AJ$66,2,FALSE)&lt;&gt;"",IF(VLOOKUP("HK",Team_Matches!$AH$1:$AJ$66,2,FALSE)&gt;=3,"W",IF(VLOOKUP("HK",Team_Matches!$AH$1:$AJ$66,3,FALSE)&gt;=3,"L","")),"")</f>
        <v/>
      </c>
      <c r="N18" s="57" t="str">
        <f ca="1">IF(VLOOKUP("HL",Team_Matches!$AH$1:$AJ$66,2,FALSE)&lt;&gt;"",IF(VLOOKUP("HL",Team_Matches!$AH$1:$AJ$66,2,FALSE)&gt;=3,"W",IF(VLOOKUP("HL",Team_Matches!$AH$1:$AJ$66,3,FALSE)&gt;=3,"L","")),"")</f>
        <v/>
      </c>
      <c r="O18" s="238" t="str">
        <f ca="1">CHOOSE($T$1,O113,O114,O115,O116,O117,O118,O119,O120,O121,O122,O123)</f>
        <v/>
      </c>
      <c r="P18" s="227" t="str">
        <f ca="1">CHOOSE($T$1,P113,P114,P115,P116,P117,P118,P119,P120,P121,P122,P123)</f>
        <v/>
      </c>
      <c r="Q18" s="227" t="str">
        <f ca="1">CHOOSE($T$1,Q113,Q114,Q115,Q116,Q117,Q118,Q119,Q120,Q121,Q122,Q123)</f>
        <v/>
      </c>
      <c r="R18" s="237" t="str">
        <f ca="1">CHOOSE($T$1,R113,R114,R115,R116,R117,R118,R119,R120,R121,R122,R123)</f>
        <v/>
      </c>
      <c r="T18" s="145" t="s">
        <v>1114</v>
      </c>
      <c r="U18" s="149" t="str">
        <f ca="1">HYPERLINK(MID(CELL("filename",$A$1),SEARCH("[",CELL("filename",$A$1)),SEARCH("]",CELL("filename",$A$1))-SEARCH("[",CELL("filename",$A$1))+1)&amp;VLOOKUP("AC",Team_Matches!$AH$1:$AL$66,5,FALSE),"M")</f>
        <v>M</v>
      </c>
      <c r="V18" s="149" t="str">
        <f ca="1">HYPERLINK(MID(CELL("filename",$A$1),SEARCH("[",CELL("filename",$A$1)),SEARCH("]",CELL("filename",$A$1))-SEARCH("[",CELL("filename",$A$1))+1)&amp;VLOOKUP("BC",Team_Matches!$AH$1:$AL$66,5,FALSE),"M")</f>
        <v>M</v>
      </c>
      <c r="W18" s="148"/>
      <c r="X18" s="149" t="str">
        <f ca="1">HYPERLINK(MID(CELL("filename",$A$1),SEARCH("[",CELL("filename",$A$1)),SEARCH("]",CELL("filename",$A$1))-SEARCH("[",CELL("filename",$A$1))+1)&amp;VLOOKUP("CD",Team_Matches!$AH$1:$AK$66,4,FALSE),"T")</f>
        <v>T</v>
      </c>
      <c r="Y18" s="149" t="str">
        <f ca="1">HYPERLINK(MID(CELL("filename",$A$1),SEARCH("[",CELL("filename",$A$1)),SEARCH("]",CELL("filename",$A$1))-SEARCH("[",CELL("filename",$A$1))+1)&amp;VLOOKUP("CE",Team_Matches!$AH$1:$AK$66,4,FALSE),"T")</f>
        <v>T</v>
      </c>
      <c r="Z18" s="149" t="str">
        <f ca="1">HYPERLINK(MID(CELL("filename",$A$1),SEARCH("[",CELL("filename",$A$1)),SEARCH("]",CELL("filename",$A$1))-SEARCH("[",CELL("filename",$A$1))+1)&amp;VLOOKUP("CF",Team_Matches!$AH$1:$AK$66,4,FALSE),"T")</f>
        <v>T</v>
      </c>
      <c r="AA18" s="149" t="str">
        <f ca="1">HYPERLINK(MID(CELL("filename",$A$1),SEARCH("[",CELL("filename",$A$1)),SEARCH("]",CELL("filename",$A$1))-SEARCH("[",CELL("filename",$A$1))+1)&amp;VLOOKUP("CG",Team_Matches!$AH$1:$AK$66,4,FALSE),"T")</f>
        <v>T</v>
      </c>
      <c r="AB18" s="149" t="str">
        <f ca="1">HYPERLINK(MID(CELL("filename",$A$1),SEARCH("[",CELL("filename",$A$1)),SEARCH("]",CELL("filename",$A$1))-SEARCH("[",CELL("filename",$A$1))+1)&amp;VLOOKUP("CH",Team_Matches!$AH$1:$AK$66,4,FALSE),"T")</f>
        <v>T</v>
      </c>
      <c r="AC18" s="149" t="str">
        <f ca="1">HYPERLINK(MID(CELL("filename",$A$1),SEARCH("[",CELL("filename",$A$1)),SEARCH("]",CELL("filename",$A$1))-SEARCH("[",CELL("filename",$A$1))+1)&amp;VLOOKUP("CI",Team_Matches!$AH$1:$AK$66,4,FALSE),"T")</f>
        <v>T</v>
      </c>
      <c r="AD18" s="149" t="str">
        <f ca="1">HYPERLINK(MID(CELL("filename",$A$1),SEARCH("[",CELL("filename",$A$1)),SEARCH("]",CELL("filename",$A$1))-SEARCH("[",CELL("filename",$A$1))+1)&amp;VLOOKUP("CJ",Team_Matches!$AH$1:$AK$66,4,FALSE),"T")</f>
        <v>T</v>
      </c>
      <c r="AE18" s="149" t="str">
        <f ca="1">HYPERLINK(MID(CELL("filename",$A$1),SEARCH("[",CELL("filename",$A$1)),SEARCH("]",CELL("filename",$A$1))-SEARCH("[",CELL("filename",$A$1))+1)&amp;VLOOKUP("CK",Team_Matches!$AH$1:$AK$66,4,FALSE),"T")</f>
        <v>T</v>
      </c>
      <c r="AF18" s="149" t="str">
        <f ca="1">HYPERLINK(MID(CELL("filename",$A$1),SEARCH("[",CELL("filename",$A$1)),SEARCH("]",CELL("filename",$A$1))-SEARCH("[",CELL("filename",$A$1))+1)&amp;VLOOKUP("CL",Team_Matches!$AH$1:$AK$66,4,FALSE),"T")</f>
        <v>T</v>
      </c>
      <c r="AG18" s="171"/>
      <c r="AH18" s="171"/>
      <c r="AI18" s="171"/>
      <c r="AJ18" s="174">
        <v>0.3888888888888889</v>
      </c>
      <c r="AK18" s="176"/>
      <c r="AL18" s="171"/>
    </row>
    <row r="19" spans="1:38" ht="12.75" customHeight="1">
      <c r="A19" s="233"/>
      <c r="B19" s="220"/>
      <c r="C19" s="36" t="str">
        <f ca="1">IF(J5&lt;&gt;"",CONCATENATE(RIGHT(J5,1),"-",LEFT(J5,1)),"")</f>
        <v/>
      </c>
      <c r="D19" s="37" t="str">
        <f ca="1">IF(J7&lt;&gt;"",CONCATENATE(RIGHT(J7,1),"-",LEFT(J7,1)),"")</f>
        <v/>
      </c>
      <c r="E19" s="37" t="str">
        <f ca="1">IF(J9&lt;&gt;"",CONCATENATE(RIGHT(J9,1),"-",LEFT(J9,1)),"")</f>
        <v/>
      </c>
      <c r="F19" s="37" t="str">
        <f ca="1">IF(J11&lt;&gt;"",CONCATENATE(RIGHT(J11,1),"-",LEFT(J11,1)),"")</f>
        <v/>
      </c>
      <c r="G19" s="37" t="str">
        <f ca="1">IF(J13&lt;&gt;"",CONCATENATE(RIGHT(J13,1),"-",LEFT(J13,1)),"")</f>
        <v/>
      </c>
      <c r="H19" s="37" t="str">
        <f ca="1">IF(J15&lt;&gt;"",CONCATENATE(RIGHT(J15,1),"-",LEFT(J15,1)),"")</f>
        <v/>
      </c>
      <c r="I19" s="37" t="str">
        <f ca="1">IF(J17&lt;&gt;"",CONCATENATE(RIGHT(J17,1),"-",LEFT(J17,1)),"")</f>
        <v/>
      </c>
      <c r="J19" s="33"/>
      <c r="K19" s="37" t="str">
        <f ca="1">IF(VLOOKUP("HI",Team_Matches!$AH$1:$AJ$66,2,FALSE)="","",CONCATENATE(VLOOKUP("HI",Team_Matches!$AH$1:$AJ$66,2,FALSE),"-",VLOOKUP("HI",Team_Matches!$AH$1:$AJ$66,3,FALSE)))</f>
        <v/>
      </c>
      <c r="L19" s="37" t="str">
        <f ca="1">IF(VLOOKUP("HJ",Team_Matches!$AH$1:$AJ$66,2,FALSE)="","",CONCATENATE(VLOOKUP("HJ",Team_Matches!$AH$1:$AJ$66,2,FALSE),"-",VLOOKUP("HJ",Team_Matches!$AH$1:$AJ$66,3,FALSE)))</f>
        <v/>
      </c>
      <c r="M19" s="37" t="str">
        <f ca="1">IF(VLOOKUP("HK",Team_Matches!$AH$1:$AJ$66,2,FALSE)="","",CONCATENATE(VLOOKUP("HK",Team_Matches!$AH$1:$AJ$66,2,FALSE),"-",VLOOKUP("HK",Team_Matches!$AH$1:$AJ$66,3,FALSE)))</f>
        <v/>
      </c>
      <c r="N19" s="56" t="str">
        <f ca="1">IF(VLOOKUP("HL",Team_Matches!$AH$1:$AJ$66,2,FALSE)="","",CONCATENATE(VLOOKUP("HL",Team_Matches!$AH$1:$AJ$66,2,FALSE),"-",VLOOKUP("HL",Team_Matches!$AH$1:$AJ$66,3,FALSE)))</f>
        <v/>
      </c>
      <c r="O19" s="238"/>
      <c r="P19" s="227"/>
      <c r="Q19" s="227"/>
      <c r="R19" s="237"/>
      <c r="T19" s="145" t="s">
        <v>1115</v>
      </c>
      <c r="U19" s="149" t="str">
        <f ca="1">HYPERLINK(MID(CELL("filename",$A$1),SEARCH("[",CELL("filename",$A$1)),SEARCH("]",CELL("filename",$A$1))-SEARCH("[",CELL("filename",$A$1))+1)&amp;VLOOKUP("AD",Team_Matches!$AH$1:$AL$66,5,FALSE),"M")</f>
        <v>M</v>
      </c>
      <c r="V19" s="149" t="str">
        <f ca="1">HYPERLINK(MID(CELL("filename",$A$1),SEARCH("[",CELL("filename",$A$1)),SEARCH("]",CELL("filename",$A$1))-SEARCH("[",CELL("filename",$A$1))+1)&amp;VLOOKUP("BD",Team_Matches!$AH$1:$AL$66,5,FALSE),"M")</f>
        <v>M</v>
      </c>
      <c r="W19" s="149" t="str">
        <f ca="1">HYPERLINK(MID(CELL("filename",$A$1),SEARCH("[",CELL("filename",$A$1)),SEARCH("]",CELL("filename",$A$1))-SEARCH("[",CELL("filename",$A$1))+1)&amp;VLOOKUP("CD",Team_Matches!$AH$1:$AL$66,5,FALSE),"M")</f>
        <v>M</v>
      </c>
      <c r="X19" s="148"/>
      <c r="Y19" s="149" t="str">
        <f ca="1">HYPERLINK(MID(CELL("filename",$A$1),SEARCH("[",CELL("filename",$A$1)),SEARCH("]",CELL("filename",$A$1))-SEARCH("[",CELL("filename",$A$1))+1)&amp;VLOOKUP("DE",Team_Matches!$AH$1:$AK$66,4,FALSE),"T")</f>
        <v>T</v>
      </c>
      <c r="Z19" s="149" t="str">
        <f ca="1">HYPERLINK(MID(CELL("filename",$A$1),SEARCH("[",CELL("filename",$A$1)),SEARCH("]",CELL("filename",$A$1))-SEARCH("[",CELL("filename",$A$1))+1)&amp;VLOOKUP("DF",Team_Matches!$AH$1:$AK$66,4,FALSE),"T")</f>
        <v>T</v>
      </c>
      <c r="AA19" s="149" t="str">
        <f ca="1">HYPERLINK(MID(CELL("filename",$A$1),SEARCH("[",CELL("filename",$A$1)),SEARCH("]",CELL("filename",$A$1))-SEARCH("[",CELL("filename",$A$1))+1)&amp;VLOOKUP("DG",Team_Matches!$AH$1:$AK$66,4,FALSE),"T")</f>
        <v>T</v>
      </c>
      <c r="AB19" s="149" t="str">
        <f ca="1">HYPERLINK(MID(CELL("filename",$A$1),SEARCH("[",CELL("filename",$A$1)),SEARCH("]",CELL("filename",$A$1))-SEARCH("[",CELL("filename",$A$1))+1)&amp;VLOOKUP("DH",Team_Matches!$AH$1:$AK$66,4,FALSE),"T")</f>
        <v>T</v>
      </c>
      <c r="AC19" s="149" t="str">
        <f ca="1">HYPERLINK(MID(CELL("filename",$A$1),SEARCH("[",CELL("filename",$A$1)),SEARCH("]",CELL("filename",$A$1))-SEARCH("[",CELL("filename",$A$1))+1)&amp;VLOOKUP("DI",Team_Matches!$AH$1:$AK$66,4,FALSE),"T")</f>
        <v>T</v>
      </c>
      <c r="AD19" s="149" t="str">
        <f ca="1">HYPERLINK(MID(CELL("filename",$A$1),SEARCH("[",CELL("filename",$A$1)),SEARCH("]",CELL("filename",$A$1))-SEARCH("[",CELL("filename",$A$1))+1)&amp;VLOOKUP("DJ",Team_Matches!$AH$1:$AK$66,4,FALSE),"T")</f>
        <v>T</v>
      </c>
      <c r="AE19" s="149" t="str">
        <f ca="1">HYPERLINK(MID(CELL("filename",$A$1),SEARCH("[",CELL("filename",$A$1)),SEARCH("]",CELL("filename",$A$1))-SEARCH("[",CELL("filename",$A$1))+1)&amp;VLOOKUP("DK",Team_Matches!$AH$1:$AK$66,4,FALSE),"T")</f>
        <v>T</v>
      </c>
      <c r="AF19" s="149" t="str">
        <f ca="1">HYPERLINK(MID(CELL("filename",$A$1),SEARCH("[",CELL("filename",$A$1)),SEARCH("]",CELL("filename",$A$1))-SEARCH("[",CELL("filename",$A$1))+1)&amp;VLOOKUP("DL",Team_Matches!$AH$1:$AK$66,4,FALSE),"T")</f>
        <v>T</v>
      </c>
      <c r="AG19" s="171"/>
      <c r="AH19" s="171"/>
      <c r="AI19" s="171"/>
      <c r="AJ19" s="174">
        <v>0.3923611111111111</v>
      </c>
      <c r="AK19" s="176"/>
      <c r="AL19" s="171"/>
    </row>
    <row r="20" spans="1:38" ht="12.75" customHeight="1">
      <c r="A20" s="233" t="s">
        <v>1120</v>
      </c>
      <c r="B20" s="219"/>
      <c r="C20" s="34" t="str">
        <f ca="1">IF(K4&lt;&gt;"",IF(K4="W","L","W"),"")</f>
        <v/>
      </c>
      <c r="D20" s="35" t="str">
        <f ca="1">IF(K6&lt;&gt;"",IF(K6="W","L","W"),"")</f>
        <v/>
      </c>
      <c r="E20" s="35" t="str">
        <f ca="1">IF(K8&lt;&gt;"",IF(K8="W","L","W"),"")</f>
        <v/>
      </c>
      <c r="F20" s="35" t="str">
        <f ca="1">IF(K10&lt;&gt;"",IF(K10="W","L","W"),"")</f>
        <v/>
      </c>
      <c r="G20" s="35" t="str">
        <f ca="1">IF(K12&lt;&gt;"",IF(K12="W","L","W"),"")</f>
        <v/>
      </c>
      <c r="H20" s="35" t="str">
        <f ca="1">IF(K14&lt;&gt;"",IF(K14="W","L","W"),"")</f>
        <v/>
      </c>
      <c r="I20" s="35" t="str">
        <f ca="1">IF(K16&lt;&gt;"",IF(K16="W","L","W"),"")</f>
        <v/>
      </c>
      <c r="J20" s="35" t="str">
        <f ca="1">IF(K18&lt;&gt;"",IF(K18="W","L","W"),"")</f>
        <v/>
      </c>
      <c r="K20" s="31"/>
      <c r="L20" s="35" t="str">
        <f ca="1">IF(VLOOKUP("IJ",Team_Matches!$AH$1:$AJ$66,2,FALSE)&lt;&gt;"",IF(VLOOKUP("IJ",Team_Matches!$AH$1:$AJ$66,2,FALSE)&gt;=3,"W",IF(VLOOKUP("IJ",Team_Matches!$AH$1:$AJ$66,3,FALSE)&gt;=3,"L","")),"")</f>
        <v/>
      </c>
      <c r="M20" s="35" t="str">
        <f ca="1">IF(VLOOKUP("IK",Team_Matches!$AH$1:$AJ$66,2,FALSE)&lt;&gt;"",IF(VLOOKUP("IK",Team_Matches!$AH$1:$AJ$66,2,FALSE)&gt;=3,"W",IF(VLOOKUP("IK",Team_Matches!$AH$1:$AJ$66,3,FALSE)&gt;=3,"L","")),"")</f>
        <v/>
      </c>
      <c r="N20" s="57" t="str">
        <f ca="1">IF(VLOOKUP("IL",Team_Matches!$AH$1:$AJ$66,2,FALSE)&lt;&gt;"",IF(VLOOKUP("IL",Team_Matches!$AH$1:$AJ$66,2,FALSE)&gt;=3,"W",IF(VLOOKUP("IL",Team_Matches!$AH$1:$AJ$66,3,FALSE)&gt;=3,"L","")),"")</f>
        <v/>
      </c>
      <c r="O20" s="238" t="str">
        <f ca="1">CHOOSE($T$1,O125,O126,O127,O128,O129,O130,O131,O132,O133,O134,O135)</f>
        <v/>
      </c>
      <c r="P20" s="227" t="str">
        <f ca="1">CHOOSE($T$1,P125,P126,P127,P128,P129,P130,P131,P132,P133,P134,P135)</f>
        <v/>
      </c>
      <c r="Q20" s="227" t="str">
        <f ca="1">CHOOSE($T$1,Q125,Q126,Q127,Q128,Q129,Q130,Q131,Q132,Q133,Q134,Q135)</f>
        <v/>
      </c>
      <c r="R20" s="237" t="str">
        <f ca="1">CHOOSE($T$1,R125,R126,R127,R128,R129,R130,R131,R132,R133,R134,R135)</f>
        <v/>
      </c>
      <c r="T20" s="145" t="s">
        <v>1116</v>
      </c>
      <c r="U20" s="149" t="str">
        <f ca="1">HYPERLINK(MID(CELL("filename",$A$1),SEARCH("[",CELL("filename",$A$1)),SEARCH("]",CELL("filename",$A$1))-SEARCH("[",CELL("filename",$A$1))+1)&amp;VLOOKUP("AE",Team_Matches!$AH$1:$AL$66,5,FALSE),"M")</f>
        <v>M</v>
      </c>
      <c r="V20" s="149" t="str">
        <f ca="1">HYPERLINK(MID(CELL("filename",$A$1),SEARCH("[",CELL("filename",$A$1)),SEARCH("]",CELL("filename",$A$1))-SEARCH("[",CELL("filename",$A$1))+1)&amp;VLOOKUP("BE",Team_Matches!$AH$1:$AL$66,5,FALSE),"M")</f>
        <v>M</v>
      </c>
      <c r="W20" s="149" t="str">
        <f ca="1">HYPERLINK(MID(CELL("filename",$A$1),SEARCH("[",CELL("filename",$A$1)),SEARCH("]",CELL("filename",$A$1))-SEARCH("[",CELL("filename",$A$1))+1)&amp;VLOOKUP("CE",Team_Matches!$AH$1:$AL$66,5,FALSE),"M")</f>
        <v>M</v>
      </c>
      <c r="X20" s="149" t="str">
        <f ca="1">HYPERLINK(MID(CELL("filename",$A$1),SEARCH("[",CELL("filename",$A$1)),SEARCH("]",CELL("filename",$A$1))-SEARCH("[",CELL("filename",$A$1))+1)&amp;VLOOKUP("DE",Team_Matches!$AH$1:$AL$66,5,FALSE),"M")</f>
        <v>M</v>
      </c>
      <c r="Y20" s="148"/>
      <c r="Z20" s="149" t="str">
        <f ca="1">HYPERLINK(MID(CELL("filename",$A$1),SEARCH("[",CELL("filename",$A$1)),SEARCH("]",CELL("filename",$A$1))-SEARCH("[",CELL("filename",$A$1))+1)&amp;VLOOKUP("EF",Team_Matches!$AH$1:$AK$66,4,FALSE),"T")</f>
        <v>T</v>
      </c>
      <c r="AA20" s="149" t="str">
        <f ca="1">HYPERLINK(MID(CELL("filename",$A$1),SEARCH("[",CELL("filename",$A$1)),SEARCH("]",CELL("filename",$A$1))-SEARCH("[",CELL("filename",$A$1))+1)&amp;VLOOKUP("EG",Team_Matches!$AH$1:$AK$66,4,FALSE),"T")</f>
        <v>T</v>
      </c>
      <c r="AB20" s="149" t="str">
        <f ca="1">HYPERLINK(MID(CELL("filename",$A$1),SEARCH("[",CELL("filename",$A$1)),SEARCH("]",CELL("filename",$A$1))-SEARCH("[",CELL("filename",$A$1))+1)&amp;VLOOKUP("EH",Team_Matches!$AH$1:$AK$66,4,FALSE),"T")</f>
        <v>T</v>
      </c>
      <c r="AC20" s="149" t="str">
        <f ca="1">HYPERLINK(MID(CELL("filename",$A$1),SEARCH("[",CELL("filename",$A$1)),SEARCH("]",CELL("filename",$A$1))-SEARCH("[",CELL("filename",$A$1))+1)&amp;VLOOKUP("EI",Team_Matches!$AH$1:$AK$66,4,FALSE),"T")</f>
        <v>T</v>
      </c>
      <c r="AD20" s="149" t="str">
        <f ca="1">HYPERLINK(MID(CELL("filename",$A$1),SEARCH("[",CELL("filename",$A$1)),SEARCH("]",CELL("filename",$A$1))-SEARCH("[",CELL("filename",$A$1))+1)&amp;VLOOKUP("EJ",Team_Matches!$AH$1:$AK$66,4,FALSE),"T")</f>
        <v>T</v>
      </c>
      <c r="AE20" s="149" t="str">
        <f ca="1">HYPERLINK(MID(CELL("filename",$A$1),SEARCH("[",CELL("filename",$A$1)),SEARCH("]",CELL("filename",$A$1))-SEARCH("[",CELL("filename",$A$1))+1)&amp;VLOOKUP("EK",Team_Matches!$AH$1:$AK$66,4,FALSE),"T")</f>
        <v>T</v>
      </c>
      <c r="AF20" s="149" t="str">
        <f ca="1">HYPERLINK(MID(CELL("filename",$A$1),SEARCH("[",CELL("filename",$A$1)),SEARCH("]",CELL("filename",$A$1))-SEARCH("[",CELL("filename",$A$1))+1)&amp;VLOOKUP("EL",Team_Matches!$AH$1:$AK$66,4,FALSE),"T")</f>
        <v>T</v>
      </c>
      <c r="AG20" s="171"/>
      <c r="AH20" s="171"/>
      <c r="AI20" s="171"/>
      <c r="AJ20" s="174">
        <v>0.39583333333333331</v>
      </c>
      <c r="AK20" s="176"/>
      <c r="AL20" s="171"/>
    </row>
    <row r="21" spans="1:38" ht="12.75" customHeight="1">
      <c r="A21" s="233"/>
      <c r="B21" s="220"/>
      <c r="C21" s="36" t="str">
        <f ca="1">IF(K5&lt;&gt;"",CONCATENATE(RIGHT(K5,1),"-",LEFT(K5,1)),"")</f>
        <v/>
      </c>
      <c r="D21" s="37" t="str">
        <f ca="1">IF(K7&lt;&gt;"",CONCATENATE(RIGHT(K7,1),"-",LEFT(K7,1)),"")</f>
        <v/>
      </c>
      <c r="E21" s="37" t="str">
        <f ca="1">IF(K9&lt;&gt;"",CONCATENATE(RIGHT(K9,1),"-",LEFT(K9,1)),"")</f>
        <v/>
      </c>
      <c r="F21" s="37" t="str">
        <f ca="1">IF(K11&lt;&gt;"",CONCATENATE(RIGHT(K11,1),"-",LEFT(K11,1)),"")</f>
        <v/>
      </c>
      <c r="G21" s="37" t="str">
        <f ca="1">IF(K13&lt;&gt;"",CONCATENATE(RIGHT(K13,1),"-",LEFT(K13,1)),"")</f>
        <v/>
      </c>
      <c r="H21" s="37" t="str">
        <f ca="1">IF(K15&lt;&gt;"",CONCATENATE(RIGHT(K15,1),"-",LEFT(K15,1)),"")</f>
        <v/>
      </c>
      <c r="I21" s="37" t="str">
        <f ca="1">IF(K17&lt;&gt;"",CONCATENATE(RIGHT(K17,1),"-",LEFT(K17,1)),"")</f>
        <v/>
      </c>
      <c r="J21" s="37" t="str">
        <f ca="1">IF(K19&lt;&gt;"",CONCATENATE(RIGHT(K19,1),"-",LEFT(K19,1)),"")</f>
        <v/>
      </c>
      <c r="K21" s="33"/>
      <c r="L21" s="37" t="str">
        <f ca="1">IF(VLOOKUP("IJ",Team_Matches!$AH$1:$AJ$66,2,FALSE)="","",CONCATENATE(VLOOKUP("IJ",Team_Matches!$AH$1:$AJ$66,2,FALSE),"-",VLOOKUP("IJ",Team_Matches!$AH$1:$AJ$66,3,FALSE)))</f>
        <v/>
      </c>
      <c r="M21" s="37" t="str">
        <f ca="1">IF(VLOOKUP("IK",Team_Matches!$AH$1:$AJ$66,2,FALSE)="","",CONCATENATE(VLOOKUP("IK",Team_Matches!$AH$1:$AJ$66,2,FALSE),"-",VLOOKUP("IK",Team_Matches!$AH$1:$AJ$66,3,FALSE)))</f>
        <v/>
      </c>
      <c r="N21" s="56" t="str">
        <f ca="1">IF(VLOOKUP("IL",Team_Matches!$AH$1:$AJ$66,2,FALSE)="","",CONCATENATE(VLOOKUP("IL",Team_Matches!$AH$1:$AJ$66,2,FALSE),"-",VLOOKUP("IL",Team_Matches!$AH$1:$AJ$66,3,FALSE)))</f>
        <v/>
      </c>
      <c r="O21" s="238"/>
      <c r="P21" s="227"/>
      <c r="Q21" s="227"/>
      <c r="R21" s="237"/>
      <c r="T21" s="145" t="s">
        <v>1117</v>
      </c>
      <c r="U21" s="149" t="str">
        <f ca="1">HYPERLINK(MID(CELL("filename",$A$1),SEARCH("[",CELL("filename",$A$1)),SEARCH("]",CELL("filename",$A$1))-SEARCH("[",CELL("filename",$A$1))+1)&amp;VLOOKUP("AF",Team_Matches!$AH$1:$AL$66,5,FALSE),"M")</f>
        <v>M</v>
      </c>
      <c r="V21" s="149" t="str">
        <f ca="1">HYPERLINK(MID(CELL("filename",$A$1),SEARCH("[",CELL("filename",$A$1)),SEARCH("]",CELL("filename",$A$1))-SEARCH("[",CELL("filename",$A$1))+1)&amp;VLOOKUP("BF",Team_Matches!$AH$1:$AL$66,5,FALSE),"M")</f>
        <v>M</v>
      </c>
      <c r="W21" s="149" t="str">
        <f ca="1">HYPERLINK(MID(CELL("filename",$A$1),SEARCH("[",CELL("filename",$A$1)),SEARCH("]",CELL("filename",$A$1))-SEARCH("[",CELL("filename",$A$1))+1)&amp;VLOOKUP("CF",Team_Matches!$AH$1:$AL$66,5,FALSE),"M")</f>
        <v>M</v>
      </c>
      <c r="X21" s="149" t="str">
        <f ca="1">HYPERLINK(MID(CELL("filename",$A$1),SEARCH("[",CELL("filename",$A$1)),SEARCH("]",CELL("filename",$A$1))-SEARCH("[",CELL("filename",$A$1))+1)&amp;VLOOKUP("DF",Team_Matches!$AH$1:$AL$66,5,FALSE),"M")</f>
        <v>M</v>
      </c>
      <c r="Y21" s="149" t="str">
        <f ca="1">HYPERLINK(MID(CELL("filename",$A$1),SEARCH("[",CELL("filename",$A$1)),SEARCH("]",CELL("filename",$A$1))-SEARCH("[",CELL("filename",$A$1))+1)&amp;VLOOKUP("EF",Team_Matches!$AH$1:$AL$66,5,FALSE),"M")</f>
        <v>M</v>
      </c>
      <c r="Z21" s="148"/>
      <c r="AA21" s="149" t="str">
        <f ca="1">HYPERLINK(MID(CELL("filename",$A$1),SEARCH("[",CELL("filename",$A$1)),SEARCH("]",CELL("filename",$A$1))-SEARCH("[",CELL("filename",$A$1))+1)&amp;VLOOKUP("FG",Team_Matches!$AH$1:$AK$66,4,FALSE),"T")</f>
        <v>T</v>
      </c>
      <c r="AB21" s="149" t="str">
        <f ca="1">HYPERLINK(MID(CELL("filename",$A$1),SEARCH("[",CELL("filename",$A$1)),SEARCH("]",CELL("filename",$A$1))-SEARCH("[",CELL("filename",$A$1))+1)&amp;VLOOKUP("FH",Team_Matches!$AH$1:$AK$66,4,FALSE),"T")</f>
        <v>T</v>
      </c>
      <c r="AC21" s="149" t="str">
        <f ca="1">HYPERLINK(MID(CELL("filename",$A$1),SEARCH("[",CELL("filename",$A$1)),SEARCH("]",CELL("filename",$A$1))-SEARCH("[",CELL("filename",$A$1))+1)&amp;VLOOKUP("FI",Team_Matches!$AH$1:$AK$66,4,FALSE),"T")</f>
        <v>T</v>
      </c>
      <c r="AD21" s="149" t="str">
        <f ca="1">HYPERLINK(MID(CELL("filename",$A$1),SEARCH("[",CELL("filename",$A$1)),SEARCH("]",CELL("filename",$A$1))-SEARCH("[",CELL("filename",$A$1))+1)&amp;VLOOKUP("FJ",Team_Matches!$AH$1:$AK$66,4,FALSE),"T")</f>
        <v>T</v>
      </c>
      <c r="AE21" s="149" t="str">
        <f ca="1">HYPERLINK(MID(CELL("filename",$A$1),SEARCH("[",CELL("filename",$A$1)),SEARCH("]",CELL("filename",$A$1))-SEARCH("[",CELL("filename",$A$1))+1)&amp;VLOOKUP("FK",Team_Matches!$AH$1:$AK$66,4,FALSE),"T")</f>
        <v>T</v>
      </c>
      <c r="AF21" s="149" t="str">
        <f ca="1">HYPERLINK(MID(CELL("filename",$A$1),SEARCH("[",CELL("filename",$A$1)),SEARCH("]",CELL("filename",$A$1))-SEARCH("[",CELL("filename",$A$1))+1)&amp;VLOOKUP("FL",Team_Matches!$AH$1:$AK$66,4,FALSE),"T")</f>
        <v>T</v>
      </c>
      <c r="AG21" s="171"/>
      <c r="AH21" s="171"/>
      <c r="AI21" s="171"/>
      <c r="AJ21" s="174">
        <v>0.39930555555555558</v>
      </c>
      <c r="AK21" s="176"/>
      <c r="AL21" s="171"/>
    </row>
    <row r="22" spans="1:38" ht="12.75" customHeight="1">
      <c r="A22" s="233" t="s">
        <v>1121</v>
      </c>
      <c r="B22" s="219"/>
      <c r="C22" s="34" t="str">
        <f ca="1">IF(L4&lt;&gt;"",IF(L4="W","L","W"),"")</f>
        <v/>
      </c>
      <c r="D22" s="35" t="str">
        <f ca="1">IF(L6&lt;&gt;"",IF(L6="W","L","W"),"")</f>
        <v/>
      </c>
      <c r="E22" s="35" t="str">
        <f ca="1">IF(L8&lt;&gt;"",IF(L8="W","L","W"),"")</f>
        <v/>
      </c>
      <c r="F22" s="35" t="str">
        <f ca="1">IF(L10&lt;&gt;"",IF(L10="W","L","W"),"")</f>
        <v/>
      </c>
      <c r="G22" s="35" t="str">
        <f ca="1">IF(L12&lt;&gt;"",IF(L12="W","L","W"),"")</f>
        <v/>
      </c>
      <c r="H22" s="35" t="str">
        <f ca="1">IF(L14&lt;&gt;"",IF(L14="W","L","W"),"")</f>
        <v/>
      </c>
      <c r="I22" s="35" t="str">
        <f ca="1">IF(L16&lt;&gt;"",IF(L16="W","L","W"),"")</f>
        <v/>
      </c>
      <c r="J22" s="35" t="str">
        <f ca="1">IF(L18&lt;&gt;"",IF(L18="W","L","W"),"")</f>
        <v/>
      </c>
      <c r="K22" s="35" t="str">
        <f ca="1">IF(L20&lt;&gt;"",IF(L20="W","L","W"),"")</f>
        <v/>
      </c>
      <c r="L22" s="31"/>
      <c r="M22" s="35" t="str">
        <f ca="1">IF(VLOOKUP("JK",Team_Matches!$AH$1:$AJ$66,2,FALSE)&lt;&gt;"",IF(VLOOKUP("JK",Team_Matches!$AH$1:$AJ$66,2,FALSE)&gt;=3,"W",IF(VLOOKUP("JK",Team_Matches!$AH$1:$AJ$66,3,FALSE)&gt;=3,"L","")),"")</f>
        <v/>
      </c>
      <c r="N22" s="57" t="str">
        <f ca="1">IF(VLOOKUP("JL",Team_Matches!$AH$1:$AJ$66,2,FALSE)&lt;&gt;"",IF(VLOOKUP("JL",Team_Matches!$AH$1:$AJ$66,2,FALSE)&gt;=3,"W",IF(VLOOKUP("JL",Team_Matches!$AH$1:$AJ$66,3,FALSE)&gt;=3,"L","")),"")</f>
        <v/>
      </c>
      <c r="O22" s="238" t="str">
        <f ca="1">CHOOSE($T$1,O137,O138,O139,O140,O141,O142,O143,O144,O145,O146,O147)</f>
        <v/>
      </c>
      <c r="P22" s="227" t="str">
        <f ca="1">CHOOSE($T$1,P137,P138,P139,P140,P141,P142,P143,P144,P145,P146,P147)</f>
        <v/>
      </c>
      <c r="Q22" s="227" t="str">
        <f ca="1">CHOOSE($T$1,Q137,Q138,Q139,Q140,Q141,Q142,Q143,Q144,Q145,Q146,Q147)</f>
        <v/>
      </c>
      <c r="R22" s="237" t="str">
        <f ca="1">CHOOSE($T$1,R137,R138,R139,R140,R141,R142,R143,R144,R145,R146,R147)</f>
        <v/>
      </c>
      <c r="T22" s="145" t="s">
        <v>1118</v>
      </c>
      <c r="U22" s="149" t="str">
        <f ca="1">HYPERLINK(MID(CELL("filename",$A$1),SEARCH("[",CELL("filename",$A$1)),SEARCH("]",CELL("filename",$A$1))-SEARCH("[",CELL("filename",$A$1))+1)&amp;VLOOKUP("AG",Team_Matches!$AH$1:$AL$66,5,FALSE),"M")</f>
        <v>M</v>
      </c>
      <c r="V22" s="149" t="str">
        <f ca="1">HYPERLINK(MID(CELL("filename",$A$1),SEARCH("[",CELL("filename",$A$1)),SEARCH("]",CELL("filename",$A$1))-SEARCH("[",CELL("filename",$A$1))+1)&amp;VLOOKUP("BG",Team_Matches!$AH$1:$AL$66,5,FALSE),"M")</f>
        <v>M</v>
      </c>
      <c r="W22" s="149" t="str">
        <f ca="1">HYPERLINK(MID(CELL("filename",$A$1),SEARCH("[",CELL("filename",$A$1)),SEARCH("]",CELL("filename",$A$1))-SEARCH("[",CELL("filename",$A$1))+1)&amp;VLOOKUP("CG",Team_Matches!$AH$1:$AL$66,5,FALSE),"M")</f>
        <v>M</v>
      </c>
      <c r="X22" s="149" t="str">
        <f ca="1">HYPERLINK(MID(CELL("filename",$A$1),SEARCH("[",CELL("filename",$A$1)),SEARCH("]",CELL("filename",$A$1))-SEARCH("[",CELL("filename",$A$1))+1)&amp;VLOOKUP("DG",Team_Matches!$AH$1:$AL$66,5,FALSE),"M")</f>
        <v>M</v>
      </c>
      <c r="Y22" s="149" t="str">
        <f ca="1">HYPERLINK(MID(CELL("filename",$A$1),SEARCH("[",CELL("filename",$A$1)),SEARCH("]",CELL("filename",$A$1))-SEARCH("[",CELL("filename",$A$1))+1)&amp;VLOOKUP("EG",Team_Matches!$AH$1:$AL$66,5,FALSE),"M")</f>
        <v>M</v>
      </c>
      <c r="Z22" s="149" t="str">
        <f ca="1">HYPERLINK(MID(CELL("filename",$A$1),SEARCH("[",CELL("filename",$A$1)),SEARCH("]",CELL("filename",$A$1))-SEARCH("[",CELL("filename",$A$1))+1)&amp;VLOOKUP("FG",Team_Matches!$AH$1:$AL$66,5,FALSE),"M")</f>
        <v>M</v>
      </c>
      <c r="AA22" s="148"/>
      <c r="AB22" s="149" t="str">
        <f ca="1">HYPERLINK(MID(CELL("filename",$A$1),SEARCH("[",CELL("filename",$A$1)),SEARCH("]",CELL("filename",$A$1))-SEARCH("[",CELL("filename",$A$1))+1)&amp;VLOOKUP("GH",Team_Matches!$AH$1:$AK$66,4,FALSE),"T")</f>
        <v>T</v>
      </c>
      <c r="AC22" s="149" t="str">
        <f ca="1">HYPERLINK(MID(CELL("filename",$A$1),SEARCH("[",CELL("filename",$A$1)),SEARCH("]",CELL("filename",$A$1))-SEARCH("[",CELL("filename",$A$1))+1)&amp;VLOOKUP("GI",Team_Matches!$AH$1:$AK$66,4,FALSE),"T")</f>
        <v>T</v>
      </c>
      <c r="AD22" s="149" t="str">
        <f ca="1">HYPERLINK(MID(CELL("filename",$A$1),SEARCH("[",CELL("filename",$A$1)),SEARCH("]",CELL("filename",$A$1))-SEARCH("[",CELL("filename",$A$1))+1)&amp;VLOOKUP("GJ",Team_Matches!$AH$1:$AK$66,4,FALSE),"T")</f>
        <v>T</v>
      </c>
      <c r="AE22" s="149" t="str">
        <f ca="1">HYPERLINK(MID(CELL("filename",$A$1),SEARCH("[",CELL("filename",$A$1)),SEARCH("]",CELL("filename",$A$1))-SEARCH("[",CELL("filename",$A$1))+1)&amp;VLOOKUP("GK",Team_Matches!$AH$1:$AK$66,4,FALSE),"T")</f>
        <v>T</v>
      </c>
      <c r="AF22" s="149" t="str">
        <f ca="1">HYPERLINK(MID(CELL("filename",$A$1),SEARCH("[",CELL("filename",$A$1)),SEARCH("]",CELL("filename",$A$1))-SEARCH("[",CELL("filename",$A$1))+1)&amp;VLOOKUP("GL",Team_Matches!$AH$1:$AK$66,4,FALSE),"T")</f>
        <v>T</v>
      </c>
      <c r="AG22" s="171"/>
      <c r="AH22" s="171"/>
      <c r="AI22" s="171"/>
      <c r="AJ22" s="174">
        <v>0.40277777777777773</v>
      </c>
      <c r="AK22" s="176"/>
      <c r="AL22" s="171"/>
    </row>
    <row r="23" spans="1:38" ht="12.75" customHeight="1">
      <c r="A23" s="233"/>
      <c r="B23" s="220"/>
      <c r="C23" s="36" t="str">
        <f ca="1">IF(L5&lt;&gt;"",CONCATENATE(RIGHT(L5,1),"-",LEFT(L5,1)),"")</f>
        <v/>
      </c>
      <c r="D23" s="37" t="str">
        <f ca="1">IF(L7&lt;&gt;"",CONCATENATE(RIGHT(L7,1),"-",LEFT(L7,1)),"")</f>
        <v/>
      </c>
      <c r="E23" s="37" t="str">
        <f ca="1">IF(L9&lt;&gt;"",CONCATENATE(RIGHT(L9,1),"-",LEFT(L9,1)),"")</f>
        <v/>
      </c>
      <c r="F23" s="37" t="str">
        <f ca="1">IF(L11&lt;&gt;"",CONCATENATE(RIGHT(L11,1),"-",LEFT(L11,1)),"")</f>
        <v/>
      </c>
      <c r="G23" s="37" t="str">
        <f ca="1">IF(L13&lt;&gt;"",CONCATENATE(RIGHT(L13,1),"-",LEFT(L13,1)),"")</f>
        <v/>
      </c>
      <c r="H23" s="37" t="str">
        <f ca="1">IF(L15&lt;&gt;"",CONCATENATE(RIGHT(L15,1),"-",LEFT(L15,1)),"")</f>
        <v/>
      </c>
      <c r="I23" s="37" t="str">
        <f ca="1">IF(L17&lt;&gt;"",CONCATENATE(RIGHT(L17,1),"-",LEFT(L17,1)),"")</f>
        <v/>
      </c>
      <c r="J23" s="37" t="str">
        <f ca="1">IF(L19&lt;&gt;"",CONCATENATE(RIGHT(L19,1),"-",LEFT(L19,1)),"")</f>
        <v/>
      </c>
      <c r="K23" s="37" t="str">
        <f ca="1">IF(L21&lt;&gt;"",CONCATENATE(RIGHT(L21,1),"-",LEFT(L21,1)),"")</f>
        <v/>
      </c>
      <c r="L23" s="33"/>
      <c r="M23" s="37" t="str">
        <f ca="1">IF(VLOOKUP("JK",Team_Matches!$AH$1:$AJ$66,2,FALSE)="","",CONCATENATE(VLOOKUP("JK",Team_Matches!$AH$1:$AJ$66,2,FALSE),"-",VLOOKUP("JK",Team_Matches!$AH$1:$AJ$66,3,FALSE)))</f>
        <v/>
      </c>
      <c r="N23" s="56" t="str">
        <f ca="1">IF(VLOOKUP("JL",Team_Matches!$AH$1:$AJ$66,2,FALSE)="","",CONCATENATE(VLOOKUP("JL",Team_Matches!$AH$1:$AJ$66,2,FALSE),"-",VLOOKUP("JL",Team_Matches!$AH$1:$AJ$66,3,FALSE)))</f>
        <v/>
      </c>
      <c r="O23" s="238"/>
      <c r="P23" s="227"/>
      <c r="Q23" s="227"/>
      <c r="R23" s="237"/>
      <c r="T23" s="145" t="s">
        <v>1119</v>
      </c>
      <c r="U23" s="149" t="str">
        <f ca="1">HYPERLINK(MID(CELL("filename",$A$1),SEARCH("[",CELL("filename",$A$1)),SEARCH("]",CELL("filename",$A$1))-SEARCH("[",CELL("filename",$A$1))+1)&amp;VLOOKUP("AH",Team_Matches!$AH$1:$AL$66,5,FALSE),"M")</f>
        <v>M</v>
      </c>
      <c r="V23" s="149" t="str">
        <f ca="1">HYPERLINK(MID(CELL("filename",$A$1),SEARCH("[",CELL("filename",$A$1)),SEARCH("]",CELL("filename",$A$1))-SEARCH("[",CELL("filename",$A$1))+1)&amp;VLOOKUP("BH",Team_Matches!$AH$1:$AL$66,5,FALSE),"M")</f>
        <v>M</v>
      </c>
      <c r="W23" s="149" t="str">
        <f ca="1">HYPERLINK(MID(CELL("filename",$A$1),SEARCH("[",CELL("filename",$A$1)),SEARCH("]",CELL("filename",$A$1))-SEARCH("[",CELL("filename",$A$1))+1)&amp;VLOOKUP("CH",Team_Matches!$AH$1:$AL$66,5,FALSE),"M")</f>
        <v>M</v>
      </c>
      <c r="X23" s="149" t="str">
        <f ca="1">HYPERLINK(MID(CELL("filename",$A$1),SEARCH("[",CELL("filename",$A$1)),SEARCH("]",CELL("filename",$A$1))-SEARCH("[",CELL("filename",$A$1))+1)&amp;VLOOKUP("DH",Team_Matches!$AH$1:$AL$66,5,FALSE),"M")</f>
        <v>M</v>
      </c>
      <c r="Y23" s="149" t="str">
        <f ca="1">HYPERLINK(MID(CELL("filename",$A$1),SEARCH("[",CELL("filename",$A$1)),SEARCH("]",CELL("filename",$A$1))-SEARCH("[",CELL("filename",$A$1))+1)&amp;VLOOKUP("EH",Team_Matches!$AH$1:$AL$66,5,FALSE),"M")</f>
        <v>M</v>
      </c>
      <c r="Z23" s="149" t="str">
        <f ca="1">HYPERLINK(MID(CELL("filename",$A$1),SEARCH("[",CELL("filename",$A$1)),SEARCH("]",CELL("filename",$A$1))-SEARCH("[",CELL("filename",$A$1))+1)&amp;VLOOKUP("FH",Team_Matches!$AH$1:$AL$66,5,FALSE),"M")</f>
        <v>M</v>
      </c>
      <c r="AA23" s="149" t="str">
        <f ca="1">HYPERLINK(MID(CELL("filename",$A$1),SEARCH("[",CELL("filename",$A$1)),SEARCH("]",CELL("filename",$A$1))-SEARCH("[",CELL("filename",$A$1))+1)&amp;VLOOKUP("GH",Team_Matches!$AH$1:$AL$66,5,FALSE),"M")</f>
        <v>M</v>
      </c>
      <c r="AB23" s="148"/>
      <c r="AC23" s="149" t="str">
        <f ca="1">HYPERLINK(MID(CELL("filename",$A$1),SEARCH("[",CELL("filename",$A$1)),SEARCH("]",CELL("filename",$A$1))-SEARCH("[",CELL("filename",$A$1))+1)&amp;VLOOKUP("HI",Team_Matches!$AH$1:$AK$66,4,FALSE),"T")</f>
        <v>T</v>
      </c>
      <c r="AD23" s="149" t="str">
        <f ca="1">HYPERLINK(MID(CELL("filename",$A$1),SEARCH("[",CELL("filename",$A$1)),SEARCH("]",CELL("filename",$A$1))-SEARCH("[",CELL("filename",$A$1))+1)&amp;VLOOKUP("HJ",Team_Matches!$AH$1:$AK$66,4,FALSE),"T")</f>
        <v>T</v>
      </c>
      <c r="AE23" s="149" t="str">
        <f ca="1">HYPERLINK(MID(CELL("filename",$A$1),SEARCH("[",CELL("filename",$A$1)),SEARCH("]",CELL("filename",$A$1))-SEARCH("[",CELL("filename",$A$1))+1)&amp;VLOOKUP("HK",Team_Matches!$AH$1:$AK$66,4,FALSE),"T")</f>
        <v>T</v>
      </c>
      <c r="AF23" s="149" t="str">
        <f ca="1">HYPERLINK(MID(CELL("filename",$A$1),SEARCH("[",CELL("filename",$A$1)),SEARCH("]",CELL("filename",$A$1))-SEARCH("[",CELL("filename",$A$1))+1)&amp;VLOOKUP("HL",Team_Matches!$AH$1:$AK$66,4,FALSE),"T")</f>
        <v>T</v>
      </c>
      <c r="AG23" s="171"/>
      <c r="AH23" s="171"/>
      <c r="AI23" s="171"/>
      <c r="AJ23" s="174">
        <v>0.40625</v>
      </c>
      <c r="AK23" s="176"/>
      <c r="AL23" s="171"/>
    </row>
    <row r="24" spans="1:38" ht="12.75" customHeight="1">
      <c r="A24" s="233" t="s">
        <v>1122</v>
      </c>
      <c r="B24" s="219"/>
      <c r="C24" s="34" t="str">
        <f ca="1">IF(M4&lt;&gt;"",IF(M4="W","L","W"),"")</f>
        <v/>
      </c>
      <c r="D24" s="35" t="str">
        <f ca="1">IF(M6&lt;&gt;"",IF(M6="W","L","W"),"")</f>
        <v/>
      </c>
      <c r="E24" s="35" t="str">
        <f ca="1">IF(M8&lt;&gt;"",IF(M8="W","L","W"),"")</f>
        <v/>
      </c>
      <c r="F24" s="35" t="str">
        <f ca="1">IF(M10&lt;&gt;"",IF(M10="W","L","W"),"")</f>
        <v/>
      </c>
      <c r="G24" s="35" t="str">
        <f ca="1">IF(M12&lt;&gt;"",IF(M12="W","L","W"),"")</f>
        <v/>
      </c>
      <c r="H24" s="35" t="str">
        <f ca="1">IF(M14&lt;&gt;"",IF(M14="W","L","W"),"")</f>
        <v/>
      </c>
      <c r="I24" s="35" t="str">
        <f ca="1">IF(M16&lt;&gt;"",IF(M16="W","L","W"),"")</f>
        <v/>
      </c>
      <c r="J24" s="35" t="str">
        <f ca="1">IF(M18&lt;&gt;"",IF(M18="W","L","W"),"")</f>
        <v/>
      </c>
      <c r="K24" s="35" t="str">
        <f ca="1">IF(M20&lt;&gt;"",IF(M20="W","L","W"),"")</f>
        <v/>
      </c>
      <c r="L24" s="35" t="str">
        <f ca="1">IF(M22&lt;&gt;"",IF(M22="W","L","W"),"")</f>
        <v/>
      </c>
      <c r="M24" s="31"/>
      <c r="N24" s="57" t="str">
        <f ca="1">IF(VLOOKUP("KL",Team_Matches!$AH$1:$AJ$66,2,FALSE)&lt;&gt;"",IF(VLOOKUP("KL",Team_Matches!$AH$1:$AJ$66,2,FALSE)&gt;=3,"W",IF(VLOOKUP("KL",Team_Matches!$AH$1:$AJ$66,3,FALSE)&gt;=3,"L","")),"")</f>
        <v/>
      </c>
      <c r="O24" s="238" t="str">
        <f ca="1">CHOOSE($T$1,O149,O150,O151,O152,O153,O154,O155,O156,O157,O158,O159)</f>
        <v/>
      </c>
      <c r="P24" s="227" t="str">
        <f ca="1">CHOOSE($T$1,P149,P150,P151,P152,P153,P154,P155,P156,P157,P158,P159)</f>
        <v/>
      </c>
      <c r="Q24" s="227" t="str">
        <f ca="1">CHOOSE($T$1,Q149,Q150,Q151,Q152,Q153,Q154,Q155,Q156,Q157,Q158,Q159)</f>
        <v/>
      </c>
      <c r="R24" s="237" t="str">
        <f ca="1">CHOOSE($T$1,R149,R150,R151,R152,R153,R154,R155,R156,R157,R158,R159)</f>
        <v/>
      </c>
      <c r="T24" s="145" t="s">
        <v>1120</v>
      </c>
      <c r="U24" s="149" t="str">
        <f ca="1">HYPERLINK(MID(CELL("filename",$A$1),SEARCH("[",CELL("filename",$A$1)),SEARCH("]",CELL("filename",$A$1))-SEARCH("[",CELL("filename",$A$1))+1)&amp;VLOOKUP("AI",Team_Matches!$AH$1:$AL$66,5,FALSE),"M")</f>
        <v>M</v>
      </c>
      <c r="V24" s="149" t="str">
        <f ca="1">HYPERLINK(MID(CELL("filename",$A$1),SEARCH("[",CELL("filename",$A$1)),SEARCH("]",CELL("filename",$A$1))-SEARCH("[",CELL("filename",$A$1))+1)&amp;VLOOKUP("BI",Team_Matches!$AH$1:$AL$66,5,FALSE),"M")</f>
        <v>M</v>
      </c>
      <c r="W24" s="149" t="str">
        <f ca="1">HYPERLINK(MID(CELL("filename",$A$1),SEARCH("[",CELL("filename",$A$1)),SEARCH("]",CELL("filename",$A$1))-SEARCH("[",CELL("filename",$A$1))+1)&amp;VLOOKUP("CI",Team_Matches!$AH$1:$AL$66,5,FALSE),"M")</f>
        <v>M</v>
      </c>
      <c r="X24" s="149" t="str">
        <f ca="1">HYPERLINK(MID(CELL("filename",$A$1),SEARCH("[",CELL("filename",$A$1)),SEARCH("]",CELL("filename",$A$1))-SEARCH("[",CELL("filename",$A$1))+1)&amp;VLOOKUP("DI",Team_Matches!$AH$1:$AL$66,5,FALSE),"M")</f>
        <v>M</v>
      </c>
      <c r="Y24" s="149" t="str">
        <f ca="1">HYPERLINK(MID(CELL("filename",$A$1),SEARCH("[",CELL("filename",$A$1)),SEARCH("]",CELL("filename",$A$1))-SEARCH("[",CELL("filename",$A$1))+1)&amp;VLOOKUP("EI",Team_Matches!$AH$1:$AL$66,5,FALSE),"M")</f>
        <v>M</v>
      </c>
      <c r="Z24" s="149" t="str">
        <f ca="1">HYPERLINK(MID(CELL("filename",$A$1),SEARCH("[",CELL("filename",$A$1)),SEARCH("]",CELL("filename",$A$1))-SEARCH("[",CELL("filename",$A$1))+1)&amp;VLOOKUP("FI",Team_Matches!$AH$1:$AL$66,5,FALSE),"M")</f>
        <v>M</v>
      </c>
      <c r="AA24" s="149" t="str">
        <f ca="1">HYPERLINK(MID(CELL("filename",$A$1),SEARCH("[",CELL("filename",$A$1)),SEARCH("]",CELL("filename",$A$1))-SEARCH("[",CELL("filename",$A$1))+1)&amp;VLOOKUP("GI",Team_Matches!$AH$1:$AL$66,5,FALSE),"M")</f>
        <v>M</v>
      </c>
      <c r="AB24" s="149" t="str">
        <f ca="1">HYPERLINK(MID(CELL("filename",$A$1),SEARCH("[",CELL("filename",$A$1)),SEARCH("]",CELL("filename",$A$1))-SEARCH("[",CELL("filename",$A$1))+1)&amp;VLOOKUP("HI",Team_Matches!$AH$1:$AL$66,5,FALSE),"M")</f>
        <v>M</v>
      </c>
      <c r="AC24" s="148"/>
      <c r="AD24" s="149" t="str">
        <f ca="1">HYPERLINK(MID(CELL("filename",$A$1),SEARCH("[",CELL("filename",$A$1)),SEARCH("]",CELL("filename",$A$1))-SEARCH("[",CELL("filename",$A$1))+1)&amp;VLOOKUP("IJ",Team_Matches!$AH$1:$AK$66,4,FALSE),"T")</f>
        <v>T</v>
      </c>
      <c r="AE24" s="149" t="str">
        <f ca="1">HYPERLINK(MID(CELL("filename",$A$1),SEARCH("[",CELL("filename",$A$1)),SEARCH("]",CELL("filename",$A$1))-SEARCH("[",CELL("filename",$A$1))+1)&amp;VLOOKUP("IK",Team_Matches!$AH$1:$AK$66,4,FALSE),"T")</f>
        <v>T</v>
      </c>
      <c r="AF24" s="149" t="str">
        <f ca="1">HYPERLINK(MID(CELL("filename",$A$1),SEARCH("[",CELL("filename",$A$1)),SEARCH("]",CELL("filename",$A$1))-SEARCH("[",CELL("filename",$A$1))+1)&amp;VLOOKUP("IL",Team_Matches!$AH$1:$AK$66,4,FALSE),"T")</f>
        <v>T</v>
      </c>
      <c r="AG24" s="171"/>
      <c r="AH24" s="171"/>
      <c r="AI24" s="171"/>
      <c r="AJ24" s="174">
        <v>0.40972222222222227</v>
      </c>
      <c r="AK24" s="176"/>
      <c r="AL24" s="171"/>
    </row>
    <row r="25" spans="1:38" ht="12.75" customHeight="1">
      <c r="A25" s="233"/>
      <c r="B25" s="220"/>
      <c r="C25" s="36" t="str">
        <f ca="1">IF(M5&lt;&gt;"",CONCATENATE(RIGHT(M5,1),"-",LEFT(M5,1)),"")</f>
        <v/>
      </c>
      <c r="D25" s="37" t="str">
        <f ca="1">IF(M7&lt;&gt;"",CONCATENATE(RIGHT(M7,1),"-",LEFT(M7,1)),"")</f>
        <v/>
      </c>
      <c r="E25" s="37" t="str">
        <f ca="1">IF(M9&lt;&gt;"",CONCATENATE(RIGHT(M9,1),"-",LEFT(M9,1)),"")</f>
        <v/>
      </c>
      <c r="F25" s="37" t="str">
        <f ca="1">IF(M11&lt;&gt;"",CONCATENATE(RIGHT(M11,1),"-",LEFT(M11,1)),"")</f>
        <v/>
      </c>
      <c r="G25" s="37" t="str">
        <f ca="1">IF(M13&lt;&gt;"",CONCATENATE(RIGHT(M13,1),"-",LEFT(M13,1)),"")</f>
        <v/>
      </c>
      <c r="H25" s="37" t="str">
        <f ca="1">IF(M15&lt;&gt;"",CONCATENATE(RIGHT(M15,1),"-",LEFT(M15,1)),"")</f>
        <v/>
      </c>
      <c r="I25" s="37" t="str">
        <f ca="1">IF(M17&lt;&gt;"",CONCATENATE(RIGHT(M17,1),"-",LEFT(M17,1)),"")</f>
        <v/>
      </c>
      <c r="J25" s="37" t="str">
        <f ca="1">IF(M19&lt;&gt;"",CONCATENATE(RIGHT(M19,1),"-",LEFT(M19,1)),"")</f>
        <v/>
      </c>
      <c r="K25" s="37" t="str">
        <f ca="1">IF(M21&lt;&gt;"",CONCATENATE(RIGHT(M21,1),"-",LEFT(M21,1)),"")</f>
        <v/>
      </c>
      <c r="L25" s="37" t="str">
        <f ca="1">IF(M23&lt;&gt;"",CONCATENATE(RIGHT(M23,1),"-",LEFT(M23,1)),"")</f>
        <v/>
      </c>
      <c r="M25" s="33"/>
      <c r="N25" s="56" t="str">
        <f ca="1">IF(VLOOKUP("KL",Team_Matches!$AH$1:$AJ$66,2,FALSE)="","",CONCATENATE(VLOOKUP("KL",Team_Matches!$AH$1:$AJ$66,2,FALSE),"-",VLOOKUP("KL",Team_Matches!$AH$1:$AJ$66,3,FALSE)))</f>
        <v/>
      </c>
      <c r="O25" s="238"/>
      <c r="P25" s="227"/>
      <c r="Q25" s="227"/>
      <c r="R25" s="237"/>
      <c r="T25" s="145" t="s">
        <v>1121</v>
      </c>
      <c r="U25" s="149" t="str">
        <f ca="1">HYPERLINK(MID(CELL("filename",$A$1),SEARCH("[",CELL("filename",$A$1)),SEARCH("]",CELL("filename",$A$1))-SEARCH("[",CELL("filename",$A$1))+1)&amp;VLOOKUP("AJ",Team_Matches!$AH$1:$AL$66,5,FALSE),"M")</f>
        <v>M</v>
      </c>
      <c r="V25" s="149" t="str">
        <f ca="1">HYPERLINK(MID(CELL("filename",$A$1),SEARCH("[",CELL("filename",$A$1)),SEARCH("]",CELL("filename",$A$1))-SEARCH("[",CELL("filename",$A$1))+1)&amp;VLOOKUP("BJ",Team_Matches!$AH$1:$AL$66,5,FALSE),"M")</f>
        <v>M</v>
      </c>
      <c r="W25" s="149" t="str">
        <f ca="1">HYPERLINK(MID(CELL("filename",$A$1),SEARCH("[",CELL("filename",$A$1)),SEARCH("]",CELL("filename",$A$1))-SEARCH("[",CELL("filename",$A$1))+1)&amp;VLOOKUP("CJ",Team_Matches!$AH$1:$AL$66,5,FALSE),"M")</f>
        <v>M</v>
      </c>
      <c r="X25" s="149" t="str">
        <f ca="1">HYPERLINK(MID(CELL("filename",$A$1),SEARCH("[",CELL("filename",$A$1)),SEARCH("]",CELL("filename",$A$1))-SEARCH("[",CELL("filename",$A$1))+1)&amp;VLOOKUP("DJ",Team_Matches!$AH$1:$AL$66,5,FALSE),"M")</f>
        <v>M</v>
      </c>
      <c r="Y25" s="149" t="str">
        <f ca="1">HYPERLINK(MID(CELL("filename",$A$1),SEARCH("[",CELL("filename",$A$1)),SEARCH("]",CELL("filename",$A$1))-SEARCH("[",CELL("filename",$A$1))+1)&amp;VLOOKUP("EJ",Team_Matches!$AH$1:$AL$66,5,FALSE),"M")</f>
        <v>M</v>
      </c>
      <c r="Z25" s="149" t="str">
        <f ca="1">HYPERLINK(MID(CELL("filename",$A$1),SEARCH("[",CELL("filename",$A$1)),SEARCH("]",CELL("filename",$A$1))-SEARCH("[",CELL("filename",$A$1))+1)&amp;VLOOKUP("FJ",Team_Matches!$AH$1:$AL$66,5,FALSE),"M")</f>
        <v>M</v>
      </c>
      <c r="AA25" s="149" t="str">
        <f ca="1">HYPERLINK(MID(CELL("filename",$A$1),SEARCH("[",CELL("filename",$A$1)),SEARCH("]",CELL("filename",$A$1))-SEARCH("[",CELL("filename",$A$1))+1)&amp;VLOOKUP("GJ",Team_Matches!$AH$1:$AL$66,5,FALSE),"M")</f>
        <v>M</v>
      </c>
      <c r="AB25" s="149" t="str">
        <f ca="1">HYPERLINK(MID(CELL("filename",$A$1),SEARCH("[",CELL("filename",$A$1)),SEARCH("]",CELL("filename",$A$1))-SEARCH("[",CELL("filename",$A$1))+1)&amp;VLOOKUP("HJ",Team_Matches!$AH$1:$AL$66,5,FALSE),"M")</f>
        <v>M</v>
      </c>
      <c r="AC25" s="149" t="str">
        <f ca="1">HYPERLINK(MID(CELL("filename",$A$1),SEARCH("[",CELL("filename",$A$1)),SEARCH("]",CELL("filename",$A$1))-SEARCH("[",CELL("filename",$A$1))+1)&amp;VLOOKUP("IJ",Team_Matches!$AH$1:$AL$66,5,FALSE),"M")</f>
        <v>M</v>
      </c>
      <c r="AD25" s="148"/>
      <c r="AE25" s="149" t="str">
        <f ca="1">HYPERLINK(MID(CELL("filename",$A$1),SEARCH("[",CELL("filename",$A$1)),SEARCH("]",CELL("filename",$A$1))-SEARCH("[",CELL("filename",$A$1))+1)&amp;VLOOKUP("JK",Team_Matches!$AH$1:$AK$66,4,FALSE),"T")</f>
        <v>T</v>
      </c>
      <c r="AF25" s="149" t="str">
        <f ca="1">HYPERLINK(MID(CELL("filename",$A$1),SEARCH("[",CELL("filename",$A$1)),SEARCH("]",CELL("filename",$A$1))-SEARCH("[",CELL("filename",$A$1))+1)&amp;VLOOKUP("JL",Team_Matches!$AH$1:$AK$66,4,FALSE),"T")</f>
        <v>T</v>
      </c>
      <c r="AG25" s="171"/>
      <c r="AH25" s="171"/>
      <c r="AI25" s="171"/>
      <c r="AJ25" s="174">
        <v>0.41319444444444442</v>
      </c>
      <c r="AK25" s="176"/>
      <c r="AL25" s="171"/>
    </row>
    <row r="26" spans="1:38" ht="12.75" customHeight="1">
      <c r="A26" s="233" t="s">
        <v>1123</v>
      </c>
      <c r="B26" s="234"/>
      <c r="C26" s="34" t="str">
        <f ca="1">IF(N4&lt;&gt;"",IF(N4="W","L","W"),"")</f>
        <v/>
      </c>
      <c r="D26" s="35" t="str">
        <f ca="1">IF(N6&lt;&gt;"",IF(N6="W","L","W"),"")</f>
        <v/>
      </c>
      <c r="E26" s="35" t="str">
        <f ca="1">IF(N8&lt;&gt;"",IF(N8="W","L","W"),"")</f>
        <v/>
      </c>
      <c r="F26" s="35" t="str">
        <f ca="1">IF(N10&lt;&gt;"",IF(N10="W","L","W"),"")</f>
        <v/>
      </c>
      <c r="G26" s="35" t="str">
        <f ca="1">IF(N12&lt;&gt;"",IF(N12="W","L","W"),"")</f>
        <v/>
      </c>
      <c r="H26" s="35" t="str">
        <f ca="1">IF(N14&lt;&gt;"",IF(N14="W","L","W"),"")</f>
        <v/>
      </c>
      <c r="I26" s="35" t="str">
        <f ca="1">IF(N16&lt;&gt;"",IF(N16="W","L","W"),"")</f>
        <v/>
      </c>
      <c r="J26" s="35" t="str">
        <f ca="1">IF(N18&lt;&gt;"",IF(N18="W","L","W"),"")</f>
        <v/>
      </c>
      <c r="K26" s="35" t="str">
        <f ca="1">IF(N20&lt;&gt;"",IF(N20="W","L","W"),"")</f>
        <v/>
      </c>
      <c r="L26" s="35" t="str">
        <f ca="1">IF(N22&lt;&gt;"",IF(N22="W","L","W"),"")</f>
        <v/>
      </c>
      <c r="M26" s="35" t="str">
        <f ca="1">IF(N24&lt;&gt;"",IF(N24="W","L","W"),"")</f>
        <v/>
      </c>
      <c r="N26" s="38"/>
      <c r="O26" s="238" t="str">
        <f ca="1">CHOOSE($T$1,O161,O162,O163,O164,O165,O166,O167,O168,O169,O170,O171)</f>
        <v/>
      </c>
      <c r="P26" s="227" t="str">
        <f ca="1">CHOOSE($T$1,P161,P162,P163,P164,P165,P166,P167,P168,P169,P170,P171)</f>
        <v/>
      </c>
      <c r="Q26" s="227" t="str">
        <f ca="1">CHOOSE($T$1,Q161,Q162,Q163,Q164,Q165,Q166,Q167,Q168,Q169,Q170,Q171)</f>
        <v/>
      </c>
      <c r="R26" s="237" t="str">
        <f ca="1">CHOOSE($T$1,R161,R162,R163,R164,R165,R166,R167,R168,R169,R170,R171)</f>
        <v/>
      </c>
      <c r="T26" s="145" t="s">
        <v>1122</v>
      </c>
      <c r="U26" s="149" t="str">
        <f ca="1">HYPERLINK(MID(CELL("filename",$A$1),SEARCH("[",CELL("filename",$A$1)),SEARCH("]",CELL("filename",$A$1))-SEARCH("[",CELL("filename",$A$1))+1)&amp;VLOOKUP("AK",Team_Matches!$AH$1:$AL$66,5,FALSE),"M")</f>
        <v>M</v>
      </c>
      <c r="V26" s="149" t="str">
        <f ca="1">HYPERLINK(MID(CELL("filename",$A$1),SEARCH("[",CELL("filename",$A$1)),SEARCH("]",CELL("filename",$A$1))-SEARCH("[",CELL("filename",$A$1))+1)&amp;VLOOKUP("BK",Team_Matches!$AH$1:$AL$66,5,FALSE),"M")</f>
        <v>M</v>
      </c>
      <c r="W26" s="149" t="str">
        <f ca="1">HYPERLINK(MID(CELL("filename",$A$1),SEARCH("[",CELL("filename",$A$1)),SEARCH("]",CELL("filename",$A$1))-SEARCH("[",CELL("filename",$A$1))+1)&amp;VLOOKUP("CK",Team_Matches!$AH$1:$AL$66,5,FALSE),"M")</f>
        <v>M</v>
      </c>
      <c r="X26" s="149" t="str">
        <f ca="1">HYPERLINK(MID(CELL("filename",$A$1),SEARCH("[",CELL("filename",$A$1)),SEARCH("]",CELL("filename",$A$1))-SEARCH("[",CELL("filename",$A$1))+1)&amp;VLOOKUP("DK",Team_Matches!$AH$1:$AL$66,5,FALSE),"M")</f>
        <v>M</v>
      </c>
      <c r="Y26" s="149" t="str">
        <f ca="1">HYPERLINK(MID(CELL("filename",$A$1),SEARCH("[",CELL("filename",$A$1)),SEARCH("]",CELL("filename",$A$1))-SEARCH("[",CELL("filename",$A$1))+1)&amp;VLOOKUP("EK",Team_Matches!$AH$1:$AL$66,5,FALSE),"M")</f>
        <v>M</v>
      </c>
      <c r="Z26" s="149" t="str">
        <f ca="1">HYPERLINK(MID(CELL("filename",$A$1),SEARCH("[",CELL("filename",$A$1)),SEARCH("]",CELL("filename",$A$1))-SEARCH("[",CELL("filename",$A$1))+1)&amp;VLOOKUP("FK",Team_Matches!$AH$1:$AL$66,5,FALSE),"M")</f>
        <v>M</v>
      </c>
      <c r="AA26" s="149" t="str">
        <f ca="1">HYPERLINK(MID(CELL("filename",$A$1),SEARCH("[",CELL("filename",$A$1)),SEARCH("]",CELL("filename",$A$1))-SEARCH("[",CELL("filename",$A$1))+1)&amp;VLOOKUP("GK",Team_Matches!$AH$1:$AL$66,5,FALSE),"M")</f>
        <v>M</v>
      </c>
      <c r="AB26" s="149" t="str">
        <f ca="1">HYPERLINK(MID(CELL("filename",$A$1),SEARCH("[",CELL("filename",$A$1)),SEARCH("]",CELL("filename",$A$1))-SEARCH("[",CELL("filename",$A$1))+1)&amp;VLOOKUP("HK",Team_Matches!$AH$1:$AL$66,5,FALSE),"M")</f>
        <v>M</v>
      </c>
      <c r="AC26" s="149" t="str">
        <f ca="1">HYPERLINK(MID(CELL("filename",$A$1),SEARCH("[",CELL("filename",$A$1)),SEARCH("]",CELL("filename",$A$1))-SEARCH("[",CELL("filename",$A$1))+1)&amp;VLOOKUP("IK",Team_Matches!$AH$1:$AL$66,5,FALSE),"M")</f>
        <v>M</v>
      </c>
      <c r="AD26" s="149" t="str">
        <f ca="1">HYPERLINK(MID(CELL("filename",$A$1),SEARCH("[",CELL("filename",$A$1)),SEARCH("]",CELL("filename",$A$1))-SEARCH("[",CELL("filename",$A$1))+1)&amp;VLOOKUP("JK",Team_Matches!$AH$1:$AL$66,5,FALSE),"M")</f>
        <v>M</v>
      </c>
      <c r="AE26" s="148"/>
      <c r="AF26" s="149" t="str">
        <f ca="1">HYPERLINK(MID(CELL("filename",$A$1),SEARCH("[",CELL("filename",$A$1)),SEARCH("]",CELL("filename",$A$1))-SEARCH("[",CELL("filename",$A$1))+1)&amp;VLOOKUP("KL",Team_Matches!$AH$1:$AK$66,4,FALSE),"T")</f>
        <v>T</v>
      </c>
      <c r="AG26" s="171"/>
      <c r="AH26" s="171"/>
      <c r="AI26" s="171"/>
      <c r="AJ26" s="174">
        <v>0.41666666666666669</v>
      </c>
      <c r="AK26" s="176"/>
      <c r="AL26" s="171"/>
    </row>
    <row r="27" spans="1:38" ht="12.75" customHeight="1" thickBot="1">
      <c r="A27" s="233"/>
      <c r="B27" s="235"/>
      <c r="C27" s="39" t="str">
        <f ca="1">IF(N5&lt;&gt;"",CONCATENATE(RIGHT(N5,1),"-",LEFT(N5,1)),"")</f>
        <v/>
      </c>
      <c r="D27" s="40" t="str">
        <f ca="1">IF(N7&lt;&gt;"",CONCATENATE(RIGHT(N7,1),"-",LEFT(N7,1)),"")</f>
        <v/>
      </c>
      <c r="E27" s="40" t="str">
        <f ca="1">IF(N9&lt;&gt;"",CONCATENATE(RIGHT(N9,1),"-",LEFT(N9,1)),"")</f>
        <v/>
      </c>
      <c r="F27" s="40" t="str">
        <f ca="1">IF(N11&lt;&gt;"",CONCATENATE(RIGHT(N11,1),"-",LEFT(N11,1)),"")</f>
        <v/>
      </c>
      <c r="G27" s="40" t="str">
        <f ca="1">IF(N13&lt;&gt;"",CONCATENATE(RIGHT(N13,1),"-",LEFT(N13,1)),"")</f>
        <v/>
      </c>
      <c r="H27" s="40" t="str">
        <f ca="1">IF(N15&lt;&gt;"",CONCATENATE(RIGHT(N15,1),"-",LEFT(N15,1)),"")</f>
        <v/>
      </c>
      <c r="I27" s="40" t="str">
        <f ca="1">IF(N17&lt;&gt;"",CONCATENATE(RIGHT(N17,1),"-",LEFT(N17,1)),"")</f>
        <v/>
      </c>
      <c r="J27" s="40" t="str">
        <f ca="1">IF(N19&lt;&gt;"",CONCATENATE(RIGHT(N19,1),"-",LEFT(N19,1)),"")</f>
        <v/>
      </c>
      <c r="K27" s="40" t="str">
        <f ca="1">IF(N21&lt;&gt;"",CONCATENATE(RIGHT(N21,1),"-",LEFT(N21,1)),"")</f>
        <v/>
      </c>
      <c r="L27" s="40" t="str">
        <f ca="1">IF(N23&lt;&gt;"",CONCATENATE(RIGHT(N23,1),"-",LEFT(N23,1)),"")</f>
        <v/>
      </c>
      <c r="M27" s="40" t="str">
        <f ca="1">IF(N25&lt;&gt;"",CONCATENATE(RIGHT(N25,1),"-",LEFT(N25,1)),"")</f>
        <v/>
      </c>
      <c r="N27" s="41"/>
      <c r="O27" s="239"/>
      <c r="P27" s="240"/>
      <c r="Q27" s="240"/>
      <c r="R27" s="241"/>
      <c r="T27" s="145" t="s">
        <v>1123</v>
      </c>
      <c r="U27" s="149" t="str">
        <f ca="1">HYPERLINK(MID(CELL("filename",$A$1),SEARCH("[",CELL("filename",$A$1)),SEARCH("]",CELL("filename",$A$1))-SEARCH("[",CELL("filename",$A$1))+1)&amp;VLOOKUP("AL",Team_Matches!$AH$1:$AL$66,5,FALSE),"M")</f>
        <v>M</v>
      </c>
      <c r="V27" s="149" t="str">
        <f ca="1">HYPERLINK(MID(CELL("filename",$A$1),SEARCH("[",CELL("filename",$A$1)),SEARCH("]",CELL("filename",$A$1))-SEARCH("[",CELL("filename",$A$1))+1)&amp;VLOOKUP("BL",Team_Matches!$AH$1:$AL$66,5,FALSE),"M")</f>
        <v>M</v>
      </c>
      <c r="W27" s="149" t="str">
        <f ca="1">HYPERLINK(MID(CELL("filename",$A$1),SEARCH("[",CELL("filename",$A$1)),SEARCH("]",CELL("filename",$A$1))-SEARCH("[",CELL("filename",$A$1))+1)&amp;VLOOKUP("CL",Team_Matches!$AH$1:$AL$66,5,FALSE),"M")</f>
        <v>M</v>
      </c>
      <c r="X27" s="149" t="str">
        <f ca="1">HYPERLINK(MID(CELL("filename",$A$1),SEARCH("[",CELL("filename",$A$1)),SEARCH("]",CELL("filename",$A$1))-SEARCH("[",CELL("filename",$A$1))+1)&amp;VLOOKUP("DL",Team_Matches!$AH$1:$AL$66,5,FALSE),"M")</f>
        <v>M</v>
      </c>
      <c r="Y27" s="149" t="str">
        <f ca="1">HYPERLINK(MID(CELL("filename",$A$1),SEARCH("[",CELL("filename",$A$1)),SEARCH("]",CELL("filename",$A$1))-SEARCH("[",CELL("filename",$A$1))+1)&amp;VLOOKUP("EL",Team_Matches!$AH$1:$AL$66,5,FALSE),"M")</f>
        <v>M</v>
      </c>
      <c r="Z27" s="149" t="str">
        <f ca="1">HYPERLINK(MID(CELL("filename",$A$1),SEARCH("[",CELL("filename",$A$1)),SEARCH("]",CELL("filename",$A$1))-SEARCH("[",CELL("filename",$A$1))+1)&amp;VLOOKUP("FL",Team_Matches!$AH$1:$AL$66,5,FALSE),"M")</f>
        <v>M</v>
      </c>
      <c r="AA27" s="149" t="str">
        <f ca="1">HYPERLINK(MID(CELL("filename",$A$1),SEARCH("[",CELL("filename",$A$1)),SEARCH("]",CELL("filename",$A$1))-SEARCH("[",CELL("filename",$A$1))+1)&amp;VLOOKUP("GL",Team_Matches!$AH$1:$AL$66,5,FALSE),"M")</f>
        <v>M</v>
      </c>
      <c r="AB27" s="149" t="str">
        <f ca="1">HYPERLINK(MID(CELL("filename",$A$1),SEARCH("[",CELL("filename",$A$1)),SEARCH("]",CELL("filename",$A$1))-SEARCH("[",CELL("filename",$A$1))+1)&amp;VLOOKUP("HL",Team_Matches!$AH$1:$AL$66,5,FALSE),"M")</f>
        <v>M</v>
      </c>
      <c r="AC27" s="149" t="str">
        <f ca="1">HYPERLINK(MID(CELL("filename",$A$1),SEARCH("[",CELL("filename",$A$1)),SEARCH("]",CELL("filename",$A$1))-SEARCH("[",CELL("filename",$A$1))+1)&amp;VLOOKUP("IL",Team_Matches!$AH$1:$AL$66,5,FALSE),"M")</f>
        <v>M</v>
      </c>
      <c r="AD27" s="149" t="str">
        <f ca="1">HYPERLINK(MID(CELL("filename",$A$1),SEARCH("[",CELL("filename",$A$1)),SEARCH("]",CELL("filename",$A$1))-SEARCH("[",CELL("filename",$A$1))+1)&amp;VLOOKUP("JL",Team_Matches!$AH$1:$AL$66,5,FALSE),"M")</f>
        <v>M</v>
      </c>
      <c r="AE27" s="149" t="str">
        <f ca="1">HYPERLINK(MID(CELL("filename",$A$1),SEARCH("[",CELL("filename",$A$1)),SEARCH("]",CELL("filename",$A$1))-SEARCH("[",CELL("filename",$A$1))+1)&amp;VLOOKUP("KL",Team_Matches!$AH$1:$AL$66,5,FALSE),"M")</f>
        <v>M</v>
      </c>
      <c r="AF27" s="148"/>
      <c r="AG27" s="171"/>
      <c r="AH27" s="171"/>
      <c r="AI27" s="171"/>
      <c r="AJ27" s="174">
        <v>0.4201388888888889</v>
      </c>
      <c r="AK27" s="176"/>
      <c r="AL27" s="171"/>
    </row>
    <row r="28" spans="1:38" ht="13.5" thickTop="1">
      <c r="AG28" s="171"/>
      <c r="AH28" s="171"/>
      <c r="AI28" s="171"/>
      <c r="AJ28" s="174">
        <v>0.4236111111111111</v>
      </c>
      <c r="AK28" s="176"/>
      <c r="AL28" s="171"/>
    </row>
    <row r="29" spans="1:38">
      <c r="M29" s="177" t="s">
        <v>1112</v>
      </c>
      <c r="N29" s="178">
        <v>1</v>
      </c>
      <c r="O29" s="179" t="str">
        <f ca="1">IF(AND(COUNTIF(C4:N4,"W")=0,COUNTIF(C4:N4,"L")=0),"",COUNTIF(C4:N4,"W"))</f>
        <v/>
      </c>
      <c r="P29" s="179" t="str">
        <f ca="1">IF(AND(COUNTIF(C4:N4,"W")=0,COUNTIF(C4:N4,"L")=0),"",COUNTIF(C4:N4,"L"))</f>
        <v/>
      </c>
      <c r="Q29" s="179" t="str">
        <f ca="1">IF(OR(COUNTIF(C4:N4,"W"),COUNTIF(C4:N4,"L")),COUNTIF(C4:N4,"W")*2+COUNTIF(C4:N4,"L"),"")</f>
        <v/>
      </c>
      <c r="R29" s="179" t="str">
        <f ca="1">IF(Q4&lt;&gt;"",RANK(Q4,Q$4:Q$26),"")</f>
        <v/>
      </c>
      <c r="AG29" s="171"/>
      <c r="AH29" s="171"/>
      <c r="AI29" s="171"/>
      <c r="AJ29" s="174">
        <v>0.42708333333333331</v>
      </c>
      <c r="AK29" s="176"/>
      <c r="AL29" s="171"/>
    </row>
    <row r="30" spans="1:38">
      <c r="M30" s="177" t="s">
        <v>1112</v>
      </c>
      <c r="N30" s="178">
        <v>2</v>
      </c>
      <c r="O30" s="179" t="str">
        <f ca="1">IF(AND(COUNTIF(C4:H4,"W")=0,COUNTIF(C4:H4,"L")=0),"",COUNTIF(C4:H4,"W"))</f>
        <v/>
      </c>
      <c r="P30" s="179" t="str">
        <f ca="1">IF(AND(COUNTIF(C4:H4,"W")=0,COUNTIF(C4:H4,"L")=0),"",COUNTIF(C4:H4,"L"))</f>
        <v/>
      </c>
      <c r="Q30" s="179" t="str">
        <f ca="1">IF(OR(COUNTIF(C4:H4,"W"),COUNTIF(C4:H4,"L")),COUNTIF(C4:H4,"W")*2+COUNTIF(C4:H4,"L"),"")</f>
        <v/>
      </c>
      <c r="R30" s="179" t="str">
        <f ca="1">IF(Q4&lt;&gt;"",RANK(Q4,Q$4:Q$14),"")</f>
        <v/>
      </c>
      <c r="AG30" s="171"/>
      <c r="AH30" s="171"/>
      <c r="AI30" s="171"/>
      <c r="AJ30" s="174">
        <v>0.43055555555555558</v>
      </c>
      <c r="AK30" s="176"/>
      <c r="AL30" s="171"/>
    </row>
    <row r="31" spans="1:38">
      <c r="M31" s="177" t="s">
        <v>1112</v>
      </c>
      <c r="N31" s="178">
        <v>3</v>
      </c>
      <c r="O31" s="179" t="str">
        <f ca="1">IF(AND(COUNTIF(C4:F4,"W")=0,COUNTIF(C4:F4,"L")=0),"",COUNTIF(C4:F4,"W"))</f>
        <v/>
      </c>
      <c r="P31" s="179" t="str">
        <f ca="1">IF(AND(COUNTIF(C4:F4,"W")=0,COUNTIF(C4:F4,"L")=0),"",COUNTIF(C4:F4,"L"))</f>
        <v/>
      </c>
      <c r="Q31" s="179" t="str">
        <f ca="1">IF(OR(COUNTIF(C4:F4,"W"),COUNTIF(C4:F4,"L")),COUNTIF(C4:F4,"W")*2+COUNTIF(C4:F4,"L"),"")</f>
        <v/>
      </c>
      <c r="R31" s="179" t="str">
        <f ca="1">IF(Q4&lt;&gt;"",RANK(Q4,Q$4:Q$10),"")</f>
        <v/>
      </c>
      <c r="AG31" s="171"/>
      <c r="AH31" s="171"/>
      <c r="AI31" s="171"/>
      <c r="AJ31" s="174">
        <v>0.43402777777777773</v>
      </c>
      <c r="AK31" s="176"/>
      <c r="AL31" s="171"/>
    </row>
    <row r="32" spans="1:38">
      <c r="M32" s="177" t="s">
        <v>1112</v>
      </c>
      <c r="N32" s="178">
        <v>4</v>
      </c>
      <c r="O32" s="179" t="str">
        <f ca="1">IF(AND(COUNTIF(C4:E4,"W")=0,COUNTIF(C4:E4,"L")=0),"",COUNTIF(C4:E4,"W"))</f>
        <v/>
      </c>
      <c r="P32" s="179" t="str">
        <f ca="1">IF(AND(COUNTIF(C4:E4,"W")=0,COUNTIF(C4:E4,"L")=0),"",COUNTIF(C4:E4,"L"))</f>
        <v/>
      </c>
      <c r="Q32" s="179" t="str">
        <f ca="1">IF(OR(COUNTIF(C4:E4,"W"),COUNTIF(C4:E4,"L")),COUNTIF(C4:E4,"W")*2+COUNTIF(C4:E4,"L"),"")</f>
        <v/>
      </c>
      <c r="R32" s="179" t="str">
        <f ca="1">IF(Q4&lt;&gt;"",RANK(Q4,Q$4:Q$8),"")</f>
        <v/>
      </c>
      <c r="AG32" s="171"/>
      <c r="AH32" s="171"/>
      <c r="AI32" s="171"/>
      <c r="AJ32" s="174">
        <v>0.4375</v>
      </c>
      <c r="AK32" s="176"/>
      <c r="AL32" s="171"/>
    </row>
    <row r="33" spans="13:38">
      <c r="M33" s="177" t="s">
        <v>1112</v>
      </c>
      <c r="N33" s="178">
        <v>5</v>
      </c>
      <c r="O33" s="179" t="str">
        <f ca="1">IF(AND(COUNTIF(C4:G4,"W")=0,COUNTIF(C4:G4,"L")=0),"",COUNTIF(C4:G4,"W"))</f>
        <v/>
      </c>
      <c r="P33" s="179" t="str">
        <f ca="1">IF(AND(COUNTIF(C4:G4,"W")=0,COUNTIF(C4:G4,"L")=0),"",COUNTIF(C4:G4,"L"))</f>
        <v/>
      </c>
      <c r="Q33" s="179" t="str">
        <f ca="1">IF(OR(COUNTIF(C4:G4,"W"),COUNTIF(C4:G4,"L")),COUNTIF(C4:G4,"W")*2+COUNTIF(C4:G4,"L"),"")</f>
        <v/>
      </c>
      <c r="R33" s="179" t="str">
        <f ca="1">IF(Q4&lt;&gt;"",RANK(Q4,Q$4:Q$12),"")</f>
        <v/>
      </c>
      <c r="AG33" s="171"/>
      <c r="AH33" s="171"/>
      <c r="AI33" s="171"/>
      <c r="AJ33" s="174">
        <v>0.44097222222222227</v>
      </c>
      <c r="AK33" s="176"/>
      <c r="AL33" s="171"/>
    </row>
    <row r="34" spans="13:38">
      <c r="M34" s="177" t="s">
        <v>1112</v>
      </c>
      <c r="N34" s="178">
        <v>6</v>
      </c>
      <c r="O34" s="179" t="str">
        <f ca="1">IF(AND(COUNTIF(C4:H4,"W")=0,COUNTIF(C4:H4,"L")=0),"",COUNTIF(C4:H4,"W"))</f>
        <v/>
      </c>
      <c r="P34" s="179" t="str">
        <f ca="1">IF(AND(COUNTIF(C4:H4,"W")=0,COUNTIF(C4:H4,"L")=0),"",COUNTIF(C4:H4,"L"))</f>
        <v/>
      </c>
      <c r="Q34" s="179" t="str">
        <f ca="1">IF(OR(COUNTIF(C4:H4,"W"),COUNTIF(C4:H4,"L")),COUNTIF(C4:H4,"W")*2+COUNTIF(C4:H4,"L"),"")</f>
        <v/>
      </c>
      <c r="R34" s="179" t="str">
        <f ca="1">IF(Q4&lt;&gt;"",RANK(Q4,Q$4:Q$14),"")</f>
        <v/>
      </c>
      <c r="AG34" s="171"/>
      <c r="AH34" s="171"/>
      <c r="AI34" s="171"/>
      <c r="AJ34" s="174">
        <v>0.44444444444444442</v>
      </c>
      <c r="AK34" s="176"/>
      <c r="AL34" s="171"/>
    </row>
    <row r="35" spans="13:38">
      <c r="M35" s="177" t="s">
        <v>1112</v>
      </c>
      <c r="N35" s="178">
        <v>7</v>
      </c>
      <c r="O35" s="179" t="str">
        <f ca="1">IF(AND(COUNTIF(C4:I4,"W")=0,COUNTIF(C4:I4,"L")=0),"",COUNTIF(C4:I4,"W"))</f>
        <v/>
      </c>
      <c r="P35" s="179" t="str">
        <f ca="1">IF(AND(COUNTIF(C4:I4,"W")=0,COUNTIF(C4:I4,"L")=0),"",COUNTIF(C4:I4,"L"))</f>
        <v/>
      </c>
      <c r="Q35" s="179" t="str">
        <f ca="1">IF(OR(COUNTIF(C4:I4,"W"),COUNTIF(C4:I4,"L")),COUNTIF(C4:I4,"W")*2+COUNTIF(C4:I4,"L"),"")</f>
        <v/>
      </c>
      <c r="R35" s="179" t="str">
        <f ca="1">IF(Q4&lt;&gt;"",RANK(Q4,Q$4:Q$16),"")</f>
        <v/>
      </c>
      <c r="AG35" s="171"/>
      <c r="AH35" s="171"/>
      <c r="AI35" s="171"/>
      <c r="AJ35" s="174">
        <v>0.44791666666666669</v>
      </c>
      <c r="AK35" s="176"/>
      <c r="AL35" s="171"/>
    </row>
    <row r="36" spans="13:38">
      <c r="M36" s="177" t="s">
        <v>1112</v>
      </c>
      <c r="N36" s="178">
        <v>8</v>
      </c>
      <c r="O36" s="179" t="str">
        <f ca="1">IF(AND(COUNTIF(C4:J4,"W")=0,COUNTIF(C4:J4,"L")=0),"",COUNTIF(C4:J4,"W"))</f>
        <v/>
      </c>
      <c r="P36" s="179" t="str">
        <f ca="1">IF(AND(COUNTIF(C4:J4,"W")=0,COUNTIF(C4:J4,"L")=0),"",COUNTIF(C4:J4,"L"))</f>
        <v/>
      </c>
      <c r="Q36" s="179" t="str">
        <f ca="1">IF(OR(COUNTIF(C4:J4,"W"),COUNTIF(C4:J4,"L")),COUNTIF(C4:J4,"W")*2+COUNTIF(C4:J4,"L"),"")</f>
        <v/>
      </c>
      <c r="R36" s="179" t="str">
        <f ca="1">IF(Q4&lt;&gt;"",RANK(Q4,Q$4:Q$18),"")</f>
        <v/>
      </c>
      <c r="AG36" s="171"/>
      <c r="AH36" s="171"/>
      <c r="AI36" s="171"/>
      <c r="AJ36" s="174">
        <v>0.4513888888888889</v>
      </c>
      <c r="AK36" s="176"/>
      <c r="AL36" s="171"/>
    </row>
    <row r="37" spans="13:38">
      <c r="M37" s="177" t="s">
        <v>1112</v>
      </c>
      <c r="N37" s="178">
        <v>9</v>
      </c>
      <c r="O37" s="179" t="str">
        <f ca="1">IF(AND(COUNTIF(C4:K4,"W")=0,COUNTIF(C4:K4,"L")=0),"",COUNTIF(C4:K4,"W"))</f>
        <v/>
      </c>
      <c r="P37" s="179" t="str">
        <f ca="1">IF(AND(COUNTIF(C4:K4,"W")=0,COUNTIF(C4:K4,"L")=0),"",COUNTIF(C4:K4,"L"))</f>
        <v/>
      </c>
      <c r="Q37" s="179" t="str">
        <f ca="1">IF(OR(COUNTIF(C4:K4,"W"),COUNTIF(C4:K4,"L")),COUNTIF(C4:K4,"W")*2+COUNTIF(C4:K4,"L"),"")</f>
        <v/>
      </c>
      <c r="R37" s="179" t="str">
        <f ca="1">IF(Q4&lt;&gt;"",RANK(Q4,Q$4:Q$20),"")</f>
        <v/>
      </c>
      <c r="AG37" s="171"/>
      <c r="AH37" s="171"/>
      <c r="AI37" s="171"/>
      <c r="AJ37" s="174">
        <v>0.4548611111111111</v>
      </c>
      <c r="AK37" s="176"/>
      <c r="AL37" s="171"/>
    </row>
    <row r="38" spans="13:38">
      <c r="M38" s="177" t="s">
        <v>1112</v>
      </c>
      <c r="N38" s="178">
        <v>10</v>
      </c>
      <c r="O38" s="179" t="str">
        <f ca="1">IF(AND(COUNTIF(C4:L4,"W")=0,COUNTIF(C4:L4,"L")=0),"",COUNTIF(C4:L4,"W"))</f>
        <v/>
      </c>
      <c r="P38" s="179" t="str">
        <f ca="1">IF(AND(COUNTIF(C4:L4,"W")=0,COUNTIF(C4:L4,"L")=0),"",COUNTIF(C4:L4,"L"))</f>
        <v/>
      </c>
      <c r="Q38" s="179" t="str">
        <f ca="1">IF(OR(COUNTIF(C4:L4,"W"),COUNTIF(C4:L4,"L")),COUNTIF(C4:L4,"W")*2+COUNTIF(C4:L4,"L"),"")</f>
        <v/>
      </c>
      <c r="R38" s="179" t="str">
        <f ca="1">IF(Q4&lt;&gt;"",RANK(Q4,Q$4:Q$22),"")</f>
        <v/>
      </c>
      <c r="AG38" s="171"/>
      <c r="AH38" s="171"/>
      <c r="AI38" s="171"/>
      <c r="AJ38" s="174">
        <v>0.45833333333333331</v>
      </c>
      <c r="AK38" s="176"/>
      <c r="AL38" s="171"/>
    </row>
    <row r="39" spans="13:38">
      <c r="M39" s="177" t="s">
        <v>1112</v>
      </c>
      <c r="N39" s="178">
        <v>11</v>
      </c>
      <c r="O39" s="179" t="str">
        <f ca="1">IF(AND(COUNTIF(C4:M4,"W")=0,COUNTIF(C4:M4,"L")=0),"",COUNTIF(C4:M4,"W"))</f>
        <v/>
      </c>
      <c r="P39" s="179" t="str">
        <f ca="1">IF(AND(COUNTIF(C4:M4,"W")=0,COUNTIF(C4:M4,"L")=0),"",COUNTIF(C4:M4,"L"))</f>
        <v/>
      </c>
      <c r="Q39" s="179" t="str">
        <f ca="1">IF(OR(COUNTIF(C4:M4,"W"),COUNTIF(C4:M4,"L")),COUNTIF(C4:M4,"W")*2+COUNTIF(C4:M4,"L"),"")</f>
        <v/>
      </c>
      <c r="R39" s="179" t="str">
        <f ca="1">IF(Q4&lt;&gt;"",RANK(Q4,Q$4:Q$24),"")</f>
        <v/>
      </c>
      <c r="AG39" s="171"/>
      <c r="AH39" s="171"/>
      <c r="AI39" s="171"/>
      <c r="AJ39" s="174">
        <v>0.46180555555555558</v>
      </c>
      <c r="AK39" s="176"/>
      <c r="AL39" s="171"/>
    </row>
    <row r="40" spans="13:38">
      <c r="M40" s="180"/>
      <c r="N40" s="180"/>
      <c r="O40" s="179"/>
      <c r="P40" s="179"/>
      <c r="Q40" s="179"/>
      <c r="R40" s="179"/>
      <c r="AG40" s="171"/>
      <c r="AH40" s="171"/>
      <c r="AI40" s="171"/>
      <c r="AJ40" s="174">
        <v>0.46527777777777773</v>
      </c>
      <c r="AK40" s="176"/>
      <c r="AL40" s="171"/>
    </row>
    <row r="41" spans="13:38">
      <c r="M41" s="177" t="s">
        <v>1113</v>
      </c>
      <c r="N41" s="178">
        <v>1</v>
      </c>
      <c r="O41" s="179" t="str">
        <f ca="1">IF(AND(COUNTIF(C6:N6,"W")=0,COUNTIF(C6:N6,"L")=0),"",COUNTIF(C6:N6,"W"))</f>
        <v/>
      </c>
      <c r="P41" s="179" t="str">
        <f ca="1">IF(AND(COUNTIF(C6:N6,"W")=0,COUNTIF(C6:N6,"L")=0),"",COUNTIF(C6:N6,"L"))</f>
        <v/>
      </c>
      <c r="Q41" s="179" t="str">
        <f ca="1">IF(OR(COUNTIF(C6:N6,"W"),COUNTIF(C6:N6,"L")),COUNTIF(C6:N6,"W")*2+COUNTIF(C6:N6,"L"),"")</f>
        <v/>
      </c>
      <c r="R41" s="179" t="str">
        <f ca="1">IF(Q6&lt;&gt;"",RANK(Q6,Q$4:Q$26),"")</f>
        <v/>
      </c>
      <c r="AG41" s="171"/>
      <c r="AH41" s="171"/>
      <c r="AI41" s="171"/>
      <c r="AJ41" s="174">
        <v>0.46875</v>
      </c>
      <c r="AK41" s="176"/>
      <c r="AL41" s="171"/>
    </row>
    <row r="42" spans="13:38">
      <c r="M42" s="177" t="s">
        <v>1113</v>
      </c>
      <c r="N42" s="178">
        <v>2</v>
      </c>
      <c r="O42" s="179" t="str">
        <f ca="1">IF(AND(COUNTIF(C6:H6,"W")=0,COUNTIF(C6:H6,"L")=0),"",COUNTIF(C6:H6,"W"))</f>
        <v/>
      </c>
      <c r="P42" s="179" t="str">
        <f ca="1">IF(AND(COUNTIF(C6:H6,"W")=0,COUNTIF(C6:H6,"L")=0),"",COUNTIF(C6:H6,"L"))</f>
        <v/>
      </c>
      <c r="Q42" s="179" t="str">
        <f ca="1">IF(OR(COUNTIF(C6:H6,"W"),COUNTIF(C6:H6,"L")),COUNTIF(C6:H6,"W")*2+COUNTIF(C6:H6,"L"),"")</f>
        <v/>
      </c>
      <c r="R42" s="179" t="str">
        <f ca="1">IF(Q6&lt;&gt;"",RANK(Q6,Q$4:Q$14),"")</f>
        <v/>
      </c>
      <c r="AG42" s="171"/>
      <c r="AH42" s="171"/>
      <c r="AI42" s="171"/>
      <c r="AJ42" s="174">
        <v>0.47222222222222227</v>
      </c>
      <c r="AK42" s="176"/>
      <c r="AL42" s="171"/>
    </row>
    <row r="43" spans="13:38">
      <c r="M43" s="177" t="s">
        <v>1113</v>
      </c>
      <c r="N43" s="178">
        <v>3</v>
      </c>
      <c r="O43" s="179" t="str">
        <f ca="1">IF(AND(COUNTIF(C6:F6,"W")=0,COUNTIF(C6:F6,"L")=0),"",COUNTIF(C6:F6,"W"))</f>
        <v/>
      </c>
      <c r="P43" s="179" t="str">
        <f ca="1">IF(AND(COUNTIF(C6:F6,"W")=0,COUNTIF(C6:F6,"L")=0),"",COUNTIF(C6:F6,"L"))</f>
        <v/>
      </c>
      <c r="Q43" s="179" t="str">
        <f ca="1">IF(OR(COUNTIF(C6:F6,"W"),COUNTIF(C6:F6,"L")),COUNTIF(C6:F6,"W")*2+COUNTIF(C6:F6,"L"),"")</f>
        <v/>
      </c>
      <c r="R43" s="179" t="str">
        <f ca="1">IF(Q6&lt;&gt;"",RANK(Q6,Q$4:Q$10),"")</f>
        <v/>
      </c>
      <c r="AG43" s="171"/>
      <c r="AH43" s="171"/>
      <c r="AI43" s="171"/>
      <c r="AJ43" s="174">
        <v>0.47569444444444442</v>
      </c>
      <c r="AK43" s="176"/>
      <c r="AL43" s="171"/>
    </row>
    <row r="44" spans="13:38">
      <c r="M44" s="177" t="s">
        <v>1113</v>
      </c>
      <c r="N44" s="178">
        <v>4</v>
      </c>
      <c r="O44" s="179" t="str">
        <f ca="1">IF(AND(COUNTIF(C6:E6,"W")=0,COUNTIF(C6:E6,"L")=0),"",COUNTIF(C6:E6,"W"))</f>
        <v/>
      </c>
      <c r="P44" s="179" t="str">
        <f ca="1">IF(AND(COUNTIF(C6:E6,"W")=0,COUNTIF(C6:E6,"L")=0),"",COUNTIF(C6:E6,"L"))</f>
        <v/>
      </c>
      <c r="Q44" s="179" t="str">
        <f ca="1">IF(OR(COUNTIF(C6:E6,"W"),COUNTIF(C6:E6,"L")),COUNTIF(C6:E6,"W")*2+COUNTIF(C6:E6,"L"),"")</f>
        <v/>
      </c>
      <c r="R44" s="179" t="str">
        <f ca="1">IF(Q6&lt;&gt;"",RANK(Q6,Q$4:Q$8),"")</f>
        <v/>
      </c>
      <c r="AG44" s="171"/>
      <c r="AH44" s="171"/>
      <c r="AI44" s="171"/>
      <c r="AJ44" s="174">
        <v>0.47916666666666669</v>
      </c>
      <c r="AK44" s="176"/>
      <c r="AL44" s="171"/>
    </row>
    <row r="45" spans="13:38">
      <c r="M45" s="177" t="s">
        <v>1113</v>
      </c>
      <c r="N45" s="178">
        <v>5</v>
      </c>
      <c r="O45" s="179" t="str">
        <f ca="1">IF(AND(COUNTIF(C6:G6,"W")=0,COUNTIF(C6:G6,"L")=0),"",COUNTIF(C6:G6,"W"))</f>
        <v/>
      </c>
      <c r="P45" s="179" t="str">
        <f ca="1">IF(AND(COUNTIF(C6:G6,"W")=0,COUNTIF(C6:G6,"L")=0),"",COUNTIF(C6:G6,"L"))</f>
        <v/>
      </c>
      <c r="Q45" s="179" t="str">
        <f ca="1">IF(OR(COUNTIF(C6:G6,"W"),COUNTIF(C6:G6,"L")),COUNTIF(C6:G6,"W")*2+COUNTIF(C6:G6,"L"),"")</f>
        <v/>
      </c>
      <c r="R45" s="179" t="str">
        <f ca="1">IF(Q6&lt;&gt;"",RANK(Q6,Q$4:Q$12),"")</f>
        <v/>
      </c>
      <c r="AG45" s="171"/>
      <c r="AH45" s="171"/>
      <c r="AI45" s="171"/>
      <c r="AJ45" s="174">
        <v>0.4826388888888889</v>
      </c>
      <c r="AK45" s="176"/>
      <c r="AL45" s="171"/>
    </row>
    <row r="46" spans="13:38">
      <c r="M46" s="177" t="s">
        <v>1113</v>
      </c>
      <c r="N46" s="178">
        <v>6</v>
      </c>
      <c r="O46" s="179" t="str">
        <f ca="1">IF(AND(COUNTIF(C6:H6,"W")=0,COUNTIF(C6:H6,"L")=0),"",COUNTIF(C6:H6,"W"))</f>
        <v/>
      </c>
      <c r="P46" s="179" t="str">
        <f ca="1">IF(AND(COUNTIF(C6:H6,"W")=0,COUNTIF(C6:H6,"L")=0),"",COUNTIF(C6:H6,"L"))</f>
        <v/>
      </c>
      <c r="Q46" s="179" t="str">
        <f ca="1">IF(OR(COUNTIF(C6:H6,"W"),COUNTIF(C6:H6,"L")),COUNTIF(C6:H6,"W")*2+COUNTIF(C6:H6,"L"),"")</f>
        <v/>
      </c>
      <c r="R46" s="179" t="str">
        <f ca="1">IF(Q6&lt;&gt;"",RANK(Q6,Q$4:Q$14),"")</f>
        <v/>
      </c>
      <c r="AG46" s="171"/>
      <c r="AH46" s="171"/>
      <c r="AI46" s="171"/>
      <c r="AJ46" s="174">
        <v>0.4861111111111111</v>
      </c>
      <c r="AK46" s="176"/>
      <c r="AL46" s="171"/>
    </row>
    <row r="47" spans="13:38">
      <c r="M47" s="177" t="s">
        <v>1113</v>
      </c>
      <c r="N47" s="178">
        <v>7</v>
      </c>
      <c r="O47" s="179" t="str">
        <f ca="1">IF(AND(COUNTIF(C6:I6,"W")=0,COUNTIF(C6:I6,"L")=0),"",COUNTIF(C6:I6,"W"))</f>
        <v/>
      </c>
      <c r="P47" s="179" t="str">
        <f ca="1">IF(AND(COUNTIF(C6:I6,"W")=0,COUNTIF(C6:I6,"L")=0),"",COUNTIF(C6:I6,"L"))</f>
        <v/>
      </c>
      <c r="Q47" s="179" t="str">
        <f ca="1">IF(OR(COUNTIF(C6:I6,"W"),COUNTIF(C6:I6,"L")),COUNTIF(C6:I6,"W")*2+COUNTIF(C6:I6,"L"),"")</f>
        <v/>
      </c>
      <c r="R47" s="179" t="str">
        <f ca="1">IF(Q6&lt;&gt;"",RANK(Q6,Q$4:Q$16),"")</f>
        <v/>
      </c>
      <c r="AG47" s="171"/>
      <c r="AH47" s="171"/>
      <c r="AI47" s="171"/>
      <c r="AJ47" s="174">
        <v>0.48958333333333331</v>
      </c>
      <c r="AK47" s="176"/>
      <c r="AL47" s="171"/>
    </row>
    <row r="48" spans="13:38">
      <c r="M48" s="177" t="s">
        <v>1113</v>
      </c>
      <c r="N48" s="178">
        <v>8</v>
      </c>
      <c r="O48" s="179" t="str">
        <f ca="1">IF(AND(COUNTIF(C6:J6,"W")=0,COUNTIF(C6:J6,"L")=0),"",COUNTIF(C6:J6,"W"))</f>
        <v/>
      </c>
      <c r="P48" s="179" t="str">
        <f ca="1">IF(AND(COUNTIF(C6:J6,"W")=0,COUNTIF(C6:J6,"L")=0),"",COUNTIF(C6:J6,"L"))</f>
        <v/>
      </c>
      <c r="Q48" s="179" t="str">
        <f ca="1">IF(OR(COUNTIF(C6:J6,"W"),COUNTIF(C6:J6,"L")),COUNTIF(C6:J6,"W")*2+COUNTIF(C6:J6,"L"),"")</f>
        <v/>
      </c>
      <c r="R48" s="179" t="str">
        <f ca="1">IF(Q6&lt;&gt;"",RANK(Q6,Q$4:Q$18),"")</f>
        <v/>
      </c>
      <c r="AG48" s="171"/>
      <c r="AH48" s="171"/>
      <c r="AI48" s="171"/>
      <c r="AJ48" s="174">
        <v>0.49305555555555558</v>
      </c>
      <c r="AK48" s="176"/>
      <c r="AL48" s="171"/>
    </row>
    <row r="49" spans="13:38">
      <c r="M49" s="177" t="s">
        <v>1113</v>
      </c>
      <c r="N49" s="178">
        <v>9</v>
      </c>
      <c r="O49" s="179" t="str">
        <f ca="1">IF(AND(COUNTIF(C6:K6,"W")=0,COUNTIF(C6:K6,"L")=0),"",COUNTIF(C6:K6,"W"))</f>
        <v/>
      </c>
      <c r="P49" s="179" t="str">
        <f ca="1">IF(AND(COUNTIF(C6:K6,"W")=0,COUNTIF(C6:K6,"L")=0),"",COUNTIF(C6:K6,"L"))</f>
        <v/>
      </c>
      <c r="Q49" s="179" t="str">
        <f ca="1">IF(OR(COUNTIF(C6:K6,"W"),COUNTIF(C6:K6,"L")),COUNTIF(C6:K6,"W")*2+COUNTIF(C6:K6,"L"),"")</f>
        <v/>
      </c>
      <c r="R49" s="179" t="str">
        <f ca="1">IF(Q6&lt;&gt;"",RANK(Q6,Q$4:Q$20),"")</f>
        <v/>
      </c>
      <c r="AG49" s="171"/>
      <c r="AH49" s="171"/>
      <c r="AI49" s="171"/>
      <c r="AJ49" s="174">
        <v>0.49652777777777773</v>
      </c>
      <c r="AK49" s="176"/>
      <c r="AL49" s="171"/>
    </row>
    <row r="50" spans="13:38">
      <c r="M50" s="177" t="s">
        <v>1113</v>
      </c>
      <c r="N50" s="178">
        <v>10</v>
      </c>
      <c r="O50" s="179" t="str">
        <f ca="1">IF(AND(COUNTIF(C6:L6,"W")=0,COUNTIF(C6:L6,"L")=0),"",COUNTIF(C6:L6,"W"))</f>
        <v/>
      </c>
      <c r="P50" s="179" t="str">
        <f ca="1">IF(AND(COUNTIF(C6:L6,"W")=0,COUNTIF(C6:L6,"L")=0),"",COUNTIF(C6:L6,"L"))</f>
        <v/>
      </c>
      <c r="Q50" s="179" t="str">
        <f ca="1">IF(OR(COUNTIF(C6:L6,"W"),COUNTIF(C6:L6,"L")),COUNTIF(C6:L6,"W")*2+COUNTIF(C6:L6,"L"),"")</f>
        <v/>
      </c>
      <c r="R50" s="179" t="str">
        <f ca="1">IF(Q6&lt;&gt;"",RANK(Q6,Q$4:Q$22),"")</f>
        <v/>
      </c>
      <c r="AG50" s="171"/>
      <c r="AH50" s="171"/>
      <c r="AI50" s="171"/>
      <c r="AJ50" s="174">
        <v>0.5</v>
      </c>
      <c r="AK50" s="176"/>
      <c r="AL50" s="171"/>
    </row>
    <row r="51" spans="13:38">
      <c r="M51" s="177" t="s">
        <v>1113</v>
      </c>
      <c r="N51" s="178">
        <v>11</v>
      </c>
      <c r="O51" s="179" t="str">
        <f ca="1">IF(AND(COUNTIF(C6:M6,"W")=0,COUNTIF(C6:M6,"L")=0),"",COUNTIF(C6:M6,"W"))</f>
        <v/>
      </c>
      <c r="P51" s="179" t="str">
        <f ca="1">IF(AND(COUNTIF(C6:M6,"W")=0,COUNTIF(C6:M6,"L")=0),"",COUNTIF(C6:M6,"L"))</f>
        <v/>
      </c>
      <c r="Q51" s="179" t="str">
        <f ca="1">IF(OR(COUNTIF(C6:M6,"W"),COUNTIF(C6:M6,"L")),COUNTIF(C6:M6,"W")*2+COUNTIF(C6:M6,"L"),"")</f>
        <v/>
      </c>
      <c r="R51" s="179" t="str">
        <f ca="1">IF(Q6&lt;&gt;"",RANK(Q6,Q$4:Q$24),"")</f>
        <v/>
      </c>
      <c r="AG51" s="171"/>
      <c r="AH51" s="171"/>
      <c r="AI51" s="171"/>
      <c r="AJ51" s="174">
        <v>0.50347222222222221</v>
      </c>
      <c r="AK51" s="176"/>
      <c r="AL51" s="171"/>
    </row>
    <row r="52" spans="13:38">
      <c r="M52" s="180"/>
      <c r="N52" s="180"/>
      <c r="O52" s="179"/>
      <c r="P52" s="179"/>
      <c r="Q52" s="179"/>
      <c r="R52" s="179"/>
      <c r="AG52" s="171"/>
      <c r="AH52" s="171"/>
      <c r="AI52" s="171"/>
      <c r="AJ52" s="174">
        <v>0.50694444444444442</v>
      </c>
      <c r="AK52" s="176"/>
      <c r="AL52" s="171"/>
    </row>
    <row r="53" spans="13:38">
      <c r="M53" s="177" t="s">
        <v>1114</v>
      </c>
      <c r="N53" s="178">
        <v>1</v>
      </c>
      <c r="O53" s="179" t="str">
        <f ca="1">IF(AND(COUNTIF(C8:N8,"W")=0,COUNTIF(C8:N8,"L")=0),"",COUNTIF(C8:N8,"W"))</f>
        <v/>
      </c>
      <c r="P53" s="179" t="str">
        <f ca="1">IF(AND(COUNTIF(C8:N8,"W")=0,COUNTIF(C8:N8,"L")=0),"",COUNTIF(C8:N8,"L"))</f>
        <v/>
      </c>
      <c r="Q53" s="179" t="str">
        <f ca="1">IF(OR(COUNTIF(C8:N8,"W"),COUNTIF(C8:N8,"L")),COUNTIF(C8:N8,"W")*2+COUNTIF(C8:N8,"L"),"")</f>
        <v/>
      </c>
      <c r="R53" s="179" t="str">
        <f ca="1">IF(Q8&lt;&gt;"",RANK(Q8,Q$4:Q$26),"")</f>
        <v/>
      </c>
      <c r="AG53" s="171"/>
      <c r="AH53" s="171"/>
      <c r="AI53" s="171"/>
      <c r="AJ53" s="174">
        <v>0.51041666666666663</v>
      </c>
      <c r="AK53" s="176"/>
      <c r="AL53" s="171"/>
    </row>
    <row r="54" spans="13:38">
      <c r="M54" s="177" t="s">
        <v>1114</v>
      </c>
      <c r="N54" s="178">
        <v>2</v>
      </c>
      <c r="O54" s="179" t="str">
        <f ca="1">IF(AND(COUNTIF(C8:H8,"W")=0,COUNTIF(C8:H8,"L")=0),"",COUNTIF(C8:H8,"W"))</f>
        <v/>
      </c>
      <c r="P54" s="179" t="str">
        <f ca="1">IF(AND(COUNTIF(C8:H8,"W")=0,COUNTIF(C8:H8,"L")=0),"",COUNTIF(C8:H8,"L"))</f>
        <v/>
      </c>
      <c r="Q54" s="179" t="str">
        <f ca="1">IF(OR(COUNTIF(C8:H8,"W"),COUNTIF(C8:H8,"L")),COUNTIF(C8:H8,"W")*2+COUNTIF(C8:H8,"L"),"")</f>
        <v/>
      </c>
      <c r="R54" s="179" t="str">
        <f ca="1">IF(Q8&lt;&gt;"",RANK(Q8,Q$4:Q$14),"")</f>
        <v/>
      </c>
      <c r="AG54" s="171"/>
      <c r="AH54" s="171"/>
      <c r="AI54" s="171"/>
      <c r="AJ54" s="174">
        <v>0.51388888888888895</v>
      </c>
      <c r="AK54" s="176"/>
      <c r="AL54" s="171"/>
    </row>
    <row r="55" spans="13:38">
      <c r="M55" s="177" t="s">
        <v>1114</v>
      </c>
      <c r="N55" s="178">
        <v>3</v>
      </c>
      <c r="O55" s="179" t="str">
        <f ca="1">IF(AND(COUNTIF(C8:F8,"W")=0,COUNTIF(C8:F8,"L")=0),"",COUNTIF(C8:F8,"W"))</f>
        <v/>
      </c>
      <c r="P55" s="179" t="str">
        <f ca="1">IF(AND(COUNTIF(C8:F8,"W")=0,COUNTIF(C8:F8,"L")=0),"",COUNTIF(C8:F8,"L"))</f>
        <v/>
      </c>
      <c r="Q55" s="179" t="str">
        <f ca="1">IF(OR(COUNTIF(C8:F8,"W"),COUNTIF(C8:F8,"L")),COUNTIF(C8:F8,"W")*2+COUNTIF(C8:F8,"L"),"")</f>
        <v/>
      </c>
      <c r="R55" s="179" t="str">
        <f ca="1">IF(Q8&lt;&gt;"",RANK(Q8,Q$4:Q$10),"")</f>
        <v/>
      </c>
      <c r="AG55" s="171"/>
      <c r="AH55" s="171"/>
      <c r="AI55" s="171"/>
      <c r="AJ55" s="174">
        <v>0.51736111111111105</v>
      </c>
      <c r="AK55" s="176"/>
      <c r="AL55" s="171"/>
    </row>
    <row r="56" spans="13:38">
      <c r="M56" s="177" t="s">
        <v>1114</v>
      </c>
      <c r="N56" s="178">
        <v>4</v>
      </c>
      <c r="O56" s="179" t="str">
        <f ca="1">IF(AND(COUNTIF(C8:E8,"W")=0,COUNTIF(C8:E8,"L")=0),"",COUNTIF(C8:E8,"W"))</f>
        <v/>
      </c>
      <c r="P56" s="179" t="str">
        <f ca="1">IF(AND(COUNTIF(C8:E8,"W")=0,COUNTIF(C8:E8,"L")=0),"",COUNTIF(C8:E8,"L"))</f>
        <v/>
      </c>
      <c r="Q56" s="179" t="str">
        <f ca="1">IF(OR(COUNTIF(C8:E8,"W"),COUNTIF(C8:E8,"L")),COUNTIF(C8:E8,"W")*2+COUNTIF(C8:E8,"L"),"")</f>
        <v/>
      </c>
      <c r="R56" s="179" t="str">
        <f ca="1">IF(Q8&lt;&gt;"",RANK(Q8,Q$4:Q$8),"")</f>
        <v/>
      </c>
      <c r="AG56" s="171"/>
      <c r="AH56" s="171"/>
      <c r="AI56" s="171"/>
      <c r="AJ56" s="174">
        <v>0.52083333333333337</v>
      </c>
      <c r="AK56" s="176"/>
      <c r="AL56" s="171"/>
    </row>
    <row r="57" spans="13:38">
      <c r="M57" s="177" t="s">
        <v>1114</v>
      </c>
      <c r="N57" s="178">
        <v>5</v>
      </c>
      <c r="O57" s="179" t="str">
        <f ca="1">IF(AND(COUNTIF(C8:G8,"W")=0,COUNTIF(C8:G8,"L")=0),"",COUNTIF(C8:G8,"W"))</f>
        <v/>
      </c>
      <c r="P57" s="179" t="str">
        <f ca="1">IF(AND(COUNTIF(C8:G8,"W")=0,COUNTIF(C8:G8,"L")=0),"",COUNTIF(C8:G8,"L"))</f>
        <v/>
      </c>
      <c r="Q57" s="179" t="str">
        <f ca="1">IF(OR(COUNTIF(C8:G8,"W"),COUNTIF(C8:G8,"L")),COUNTIF(C8:G8,"W")*2+COUNTIF(C8:G8,"L"),"")</f>
        <v/>
      </c>
      <c r="R57" s="179" t="str">
        <f ca="1">IF(Q8&lt;&gt;"",RANK(Q8,Q$4:Q$12),"")</f>
        <v/>
      </c>
      <c r="AG57" s="171"/>
      <c r="AH57" s="171"/>
      <c r="AI57" s="171"/>
      <c r="AJ57" s="174">
        <v>0.52430555555555558</v>
      </c>
      <c r="AK57" s="176"/>
      <c r="AL57" s="171"/>
    </row>
    <row r="58" spans="13:38">
      <c r="M58" s="177" t="s">
        <v>1114</v>
      </c>
      <c r="N58" s="178">
        <v>6</v>
      </c>
      <c r="O58" s="179" t="str">
        <f ca="1">IF(AND(COUNTIF(C8:H8,"W")=0,COUNTIF(C8:H8,"L")=0),"",COUNTIF(C8:H8,"W"))</f>
        <v/>
      </c>
      <c r="P58" s="179" t="str">
        <f ca="1">IF(AND(COUNTIF(C8:H8,"W")=0,COUNTIF(C8:H8,"L")=0),"",COUNTIF(C8:H8,"L"))</f>
        <v/>
      </c>
      <c r="Q58" s="179" t="str">
        <f ca="1">IF(OR(COUNTIF(C8:H8,"W"),COUNTIF(C8:H8,"L")),COUNTIF(C8:H8,"W")*2+COUNTIF(C8:H8,"L"),"")</f>
        <v/>
      </c>
      <c r="R58" s="179" t="str">
        <f ca="1">IF(Q8&lt;&gt;"",RANK(Q8,Q$4:Q$14),"")</f>
        <v/>
      </c>
      <c r="AG58" s="171"/>
      <c r="AH58" s="171"/>
      <c r="AI58" s="171"/>
      <c r="AJ58" s="174">
        <v>0.52777777777777779</v>
      </c>
      <c r="AK58" s="176"/>
      <c r="AL58" s="171"/>
    </row>
    <row r="59" spans="13:38">
      <c r="M59" s="177" t="s">
        <v>1114</v>
      </c>
      <c r="N59" s="178">
        <v>7</v>
      </c>
      <c r="O59" s="179" t="str">
        <f ca="1">IF(AND(COUNTIF(C8:I8,"W")=0,COUNTIF(C8:I8,"L")=0),"",COUNTIF(C8:I8,"W"))</f>
        <v/>
      </c>
      <c r="P59" s="179" t="str">
        <f ca="1">IF(AND(COUNTIF(C8:I8,"W")=0,COUNTIF(C8:I8,"L")=0),"",COUNTIF(C8:I8,"L"))</f>
        <v/>
      </c>
      <c r="Q59" s="179" t="str">
        <f ca="1">IF(OR(COUNTIF(C8:I8,"W"),COUNTIF(C8:I8,"L")),COUNTIF(C8:I8,"W")*2+COUNTIF(C8:I8,"L"),"")</f>
        <v/>
      </c>
      <c r="R59" s="179" t="str">
        <f ca="1">IF(Q8&lt;&gt;"",RANK(Q8,Q$4:Q$16),"")</f>
        <v/>
      </c>
      <c r="AG59" s="171"/>
      <c r="AH59" s="171"/>
      <c r="AI59" s="171"/>
      <c r="AJ59" s="174">
        <v>0.53125</v>
      </c>
      <c r="AK59" s="176"/>
      <c r="AL59" s="171"/>
    </row>
    <row r="60" spans="13:38">
      <c r="M60" s="177" t="s">
        <v>1114</v>
      </c>
      <c r="N60" s="178">
        <v>8</v>
      </c>
      <c r="O60" s="179" t="str">
        <f ca="1">IF(AND(COUNTIF(C8:J8,"W")=0,COUNTIF(C8:J8,"L")=0),"",COUNTIF(C8:J8,"W"))</f>
        <v/>
      </c>
      <c r="P60" s="179" t="str">
        <f ca="1">IF(AND(COUNTIF(C8:J8,"W")=0,COUNTIF(C8:J8,"L")=0),"",COUNTIF(C8:J8,"L"))</f>
        <v/>
      </c>
      <c r="Q60" s="179" t="str">
        <f ca="1">IF(OR(COUNTIF(C8:J8,"W"),COUNTIF(C8:J8,"L")),COUNTIF(C8:J8,"W")*2+COUNTIF(C8:J8,"L"),"")</f>
        <v/>
      </c>
      <c r="R60" s="179" t="str">
        <f ca="1">IF(Q8&lt;&gt;"",RANK(Q8,Q$4:Q$18),"")</f>
        <v/>
      </c>
      <c r="AG60" s="171"/>
      <c r="AH60" s="171"/>
      <c r="AI60" s="171"/>
      <c r="AJ60" s="174">
        <v>0.53472222222222221</v>
      </c>
      <c r="AK60" s="176"/>
      <c r="AL60" s="171"/>
    </row>
    <row r="61" spans="13:38">
      <c r="M61" s="177" t="s">
        <v>1114</v>
      </c>
      <c r="N61" s="178">
        <v>9</v>
      </c>
      <c r="O61" s="179" t="str">
        <f ca="1">IF(AND(COUNTIF(C8:K8,"W")=0,COUNTIF(C8:K8,"L")=0),"",COUNTIF(C8:K8,"W"))</f>
        <v/>
      </c>
      <c r="P61" s="179" t="str">
        <f ca="1">IF(AND(COUNTIF(C8:K8,"W")=0,COUNTIF(C8:K8,"L")=0),"",COUNTIF(C8:K8,"L"))</f>
        <v/>
      </c>
      <c r="Q61" s="179" t="str">
        <f ca="1">IF(OR(COUNTIF(C8:K8,"W"),COUNTIF(C8:K8,"L")),COUNTIF(C8:K8,"W")*2+COUNTIF(C8:K8,"L"),"")</f>
        <v/>
      </c>
      <c r="R61" s="179" t="str">
        <f ca="1">IF(Q8&lt;&gt;"",RANK(Q8,Q$4:Q$20),"")</f>
        <v/>
      </c>
      <c r="AG61" s="171"/>
      <c r="AH61" s="171"/>
      <c r="AI61" s="171"/>
      <c r="AJ61" s="174">
        <v>0.53819444444444442</v>
      </c>
      <c r="AK61" s="176"/>
      <c r="AL61" s="171"/>
    </row>
    <row r="62" spans="13:38">
      <c r="M62" s="177" t="s">
        <v>1114</v>
      </c>
      <c r="N62" s="178">
        <v>10</v>
      </c>
      <c r="O62" s="179" t="str">
        <f ca="1">IF(AND(COUNTIF(C8:L8,"W")=0,COUNTIF(C8:L8,"L")=0),"",COUNTIF(C8:L8,"W"))</f>
        <v/>
      </c>
      <c r="P62" s="179" t="str">
        <f ca="1">IF(AND(COUNTIF(C8:L8,"W")=0,COUNTIF(C8:L8,"L")=0),"",COUNTIF(C8:L8,"L"))</f>
        <v/>
      </c>
      <c r="Q62" s="179" t="str">
        <f ca="1">IF(OR(COUNTIF(C8:L8,"W"),COUNTIF(C8:L8,"L")),COUNTIF(C8:L8,"W")*2+COUNTIF(C8:L8,"L"),"")</f>
        <v/>
      </c>
      <c r="R62" s="179" t="str">
        <f ca="1">IF(Q8&lt;&gt;"",RANK(Q8,Q$4:Q$22),"")</f>
        <v/>
      </c>
      <c r="AG62" s="171"/>
      <c r="AH62" s="171"/>
      <c r="AI62" s="171"/>
      <c r="AJ62" s="174">
        <v>0.54166666666666663</v>
      </c>
      <c r="AK62" s="176"/>
      <c r="AL62" s="171"/>
    </row>
    <row r="63" spans="13:38">
      <c r="M63" s="177" t="s">
        <v>1114</v>
      </c>
      <c r="N63" s="178">
        <v>11</v>
      </c>
      <c r="O63" s="179" t="str">
        <f ca="1">IF(AND(COUNTIF(C8:M8,"W")=0,COUNTIF(C8:M8,"L")=0),"",COUNTIF(C8:M8,"W"))</f>
        <v/>
      </c>
      <c r="P63" s="179" t="str">
        <f ca="1">IF(AND(COUNTIF(C8:M8,"W")=0,COUNTIF(C8:M8,"L")=0),"",COUNTIF(C8:M8,"L"))</f>
        <v/>
      </c>
      <c r="Q63" s="179" t="str">
        <f ca="1">IF(OR(COUNTIF(C8:M8,"W"),COUNTIF(C8:M8,"L")),COUNTIF(C8:M8,"W")*2+COUNTIF(C8:M8,"L"),"")</f>
        <v/>
      </c>
      <c r="R63" s="179" t="str">
        <f ca="1">IF(Q8&lt;&gt;"",RANK(Q8,Q$4:Q$24),"")</f>
        <v/>
      </c>
      <c r="AG63" s="171"/>
      <c r="AH63" s="171"/>
      <c r="AI63" s="171"/>
      <c r="AJ63" s="174">
        <v>0.54513888888888895</v>
      </c>
      <c r="AK63" s="176"/>
      <c r="AL63" s="171"/>
    </row>
    <row r="64" spans="13:38">
      <c r="M64" s="180"/>
      <c r="N64" s="180"/>
      <c r="O64" s="179"/>
      <c r="P64" s="179"/>
      <c r="Q64" s="179"/>
      <c r="R64" s="179"/>
      <c r="AG64" s="171"/>
      <c r="AH64" s="171"/>
      <c r="AI64" s="171"/>
      <c r="AJ64" s="174">
        <v>0.54861111111111105</v>
      </c>
      <c r="AK64" s="176"/>
      <c r="AL64" s="171"/>
    </row>
    <row r="65" spans="13:38">
      <c r="M65" s="177" t="s">
        <v>1115</v>
      </c>
      <c r="N65" s="178">
        <v>1</v>
      </c>
      <c r="O65" s="179" t="str">
        <f ca="1">IF(AND(COUNTIF(C10:N10,"W")=0,COUNTIF(C10:N10,"L")=0),"",COUNTIF(C10:N10,"W"))</f>
        <v/>
      </c>
      <c r="P65" s="179" t="str">
        <f ca="1">IF(AND(COUNTIF(C10:N10,"W")=0,COUNTIF(C10:N10,"L")=0),"",COUNTIF(C10:N10,"L"))</f>
        <v/>
      </c>
      <c r="Q65" s="179" t="str">
        <f ca="1">IF(OR(COUNTIF(C10:N10,"W"),COUNTIF(C10:N10,"L")),COUNTIF(C10:N10,"W")*2+COUNTIF(C10:N10,"L"),"")</f>
        <v/>
      </c>
      <c r="R65" s="179" t="str">
        <f ca="1">IF(Q10&lt;&gt;"",RANK(Q10,Q$4:Q$26),"")</f>
        <v/>
      </c>
      <c r="AG65" s="171"/>
      <c r="AH65" s="171"/>
      <c r="AI65" s="171"/>
      <c r="AJ65" s="174">
        <v>0.55208333333333337</v>
      </c>
      <c r="AK65" s="176"/>
      <c r="AL65" s="171"/>
    </row>
    <row r="66" spans="13:38">
      <c r="M66" s="177" t="s">
        <v>1115</v>
      </c>
      <c r="N66" s="178">
        <v>2</v>
      </c>
      <c r="O66" s="179" t="str">
        <f ca="1">IF(AND(COUNTIF(C10:H10,"W")=0,COUNTIF(C10:H10,"L")=0),"",COUNTIF(C10:H10,"W"))</f>
        <v/>
      </c>
      <c r="P66" s="179" t="str">
        <f ca="1">IF(AND(COUNTIF(C10:H10,"W")=0,COUNTIF(C10:H10,"L")=0),"",COUNTIF(C10:H10,"L"))</f>
        <v/>
      </c>
      <c r="Q66" s="179" t="str">
        <f ca="1">IF(OR(COUNTIF(C10:H10,"W"),COUNTIF(C10:H10,"L")),COUNTIF(C10:H10,"W")*2+COUNTIF(C10:H10,"L"),"")</f>
        <v/>
      </c>
      <c r="R66" s="179" t="str">
        <f ca="1">IF(Q10&lt;&gt;"",RANK(Q10,Q$4:Q$14),"")</f>
        <v/>
      </c>
      <c r="AG66" s="171"/>
      <c r="AH66" s="171"/>
      <c r="AI66" s="171"/>
      <c r="AJ66" s="174">
        <v>0.55555555555555558</v>
      </c>
      <c r="AK66" s="176"/>
      <c r="AL66" s="171"/>
    </row>
    <row r="67" spans="13:38">
      <c r="M67" s="177" t="s">
        <v>1115</v>
      </c>
      <c r="N67" s="178">
        <v>3</v>
      </c>
      <c r="O67" s="179" t="str">
        <f ca="1">IF(AND(COUNTIF(C10:F10,"W")=0,COUNTIF(C10:F10,"L")=0),"",COUNTIF(C10:F10,"W"))</f>
        <v/>
      </c>
      <c r="P67" s="179" t="str">
        <f ca="1">IF(AND(COUNTIF(C10:F10,"W")=0,COUNTIF(C10:F10,"L")=0),"",COUNTIF(C10:F10,"L"))</f>
        <v/>
      </c>
      <c r="Q67" s="179" t="str">
        <f ca="1">IF(OR(COUNTIF(C10:F10,"W"),COUNTIF(C10:F10,"L")),COUNTIF(C10:F10,"W")*2+COUNTIF(C10:F10,"L"),"")</f>
        <v/>
      </c>
      <c r="R67" s="179" t="str">
        <f ca="1">IF(Q10&lt;&gt;"",RANK(Q10,Q$4:Q$10),"")</f>
        <v/>
      </c>
      <c r="AG67" s="171"/>
      <c r="AH67" s="171"/>
      <c r="AI67" s="171"/>
      <c r="AJ67" s="174">
        <v>0.55902777777777779</v>
      </c>
      <c r="AK67" s="176"/>
      <c r="AL67" s="171"/>
    </row>
    <row r="68" spans="13:38">
      <c r="M68" s="177" t="s">
        <v>1115</v>
      </c>
      <c r="N68" s="178">
        <v>4</v>
      </c>
      <c r="O68" s="179" t="str">
        <f ca="1">IF(AND(COUNTIF(F10:H10,"W")=0,COUNTIF(F10:H10,"L")=0),"",COUNTIF(F10:H10,"W"))</f>
        <v/>
      </c>
      <c r="P68" s="179" t="str">
        <f ca="1">IF(AND(COUNTIF(F10:H10,"W")=0,COUNTIF(F10:H10,"L")=0),"",COUNTIF(F10:H10,"L"))</f>
        <v/>
      </c>
      <c r="Q68" s="179" t="str">
        <f ca="1">IF(OR(COUNTIF(F10:H10,"W"),COUNTIF(F10:H10,"L")),COUNTIF(F10:H10,"W")*2+COUNTIF(F10:H10,"L"),"")</f>
        <v/>
      </c>
      <c r="R68" s="179" t="str">
        <f ca="1">IF(Q10&lt;&gt;"",RANK(Q10,Q$10:Q$14),"")</f>
        <v/>
      </c>
      <c r="AG68" s="171"/>
      <c r="AH68" s="171"/>
      <c r="AI68" s="171"/>
      <c r="AJ68" s="174">
        <v>0.5625</v>
      </c>
      <c r="AK68" s="176"/>
      <c r="AL68" s="171"/>
    </row>
    <row r="69" spans="13:38">
      <c r="M69" s="177" t="s">
        <v>1115</v>
      </c>
      <c r="N69" s="178">
        <v>5</v>
      </c>
      <c r="O69" s="179" t="str">
        <f ca="1">IF(AND(COUNTIF(C10:G10,"W")=0,COUNTIF(C10:G10,"L")=0),"",COUNTIF(C10:G10,"W"))</f>
        <v/>
      </c>
      <c r="P69" s="179" t="str">
        <f ca="1">IF(AND(COUNTIF(C10:G10,"W")=0,COUNTIF(C10:G10,"L")=0),"",COUNTIF(C10:G10,"L"))</f>
        <v/>
      </c>
      <c r="Q69" s="179" t="str">
        <f ca="1">IF(OR(COUNTIF(C10:G10,"W"),COUNTIF(C10:G10,"L")),COUNTIF(C10:G10,"W")*2+COUNTIF(C10:G10,"L"),"")</f>
        <v/>
      </c>
      <c r="R69" s="179" t="str">
        <f ca="1">IF(Q10&lt;&gt;"",RANK(Q10,Q$4:Q$12),"")</f>
        <v/>
      </c>
      <c r="AG69" s="171"/>
      <c r="AH69" s="171"/>
      <c r="AI69" s="171"/>
      <c r="AJ69" s="174">
        <v>0.56597222222222221</v>
      </c>
      <c r="AK69" s="176"/>
      <c r="AL69" s="171"/>
    </row>
    <row r="70" spans="13:38">
      <c r="M70" s="177" t="s">
        <v>1115</v>
      </c>
      <c r="N70" s="178">
        <v>6</v>
      </c>
      <c r="O70" s="179" t="str">
        <f ca="1">IF(AND(COUNTIF(C10:H10,"W")=0,COUNTIF(C10:H10,"L")=0),"",COUNTIF(C10:H10,"W"))</f>
        <v/>
      </c>
      <c r="P70" s="179" t="str">
        <f ca="1">IF(AND(COUNTIF(C10:H10,"W")=0,COUNTIF(C10:H10,"L")=0),"",COUNTIF(C10:H10,"L"))</f>
        <v/>
      </c>
      <c r="Q70" s="179" t="str">
        <f ca="1">IF(OR(COUNTIF(C10:H10,"W"),COUNTIF(C10:H10,"L")),COUNTIF(C10:H10,"W")*2+COUNTIF(C10:H10,"L"),"")</f>
        <v/>
      </c>
      <c r="R70" s="179" t="str">
        <f ca="1">IF(Q10&lt;&gt;"",RANK(Q10,Q$4:Q$14),"")</f>
        <v/>
      </c>
      <c r="AG70" s="171"/>
      <c r="AH70" s="171"/>
      <c r="AI70" s="171"/>
      <c r="AJ70" s="174">
        <v>0.56944444444444442</v>
      </c>
      <c r="AK70" s="176"/>
      <c r="AL70" s="171"/>
    </row>
    <row r="71" spans="13:38">
      <c r="M71" s="177" t="s">
        <v>1115</v>
      </c>
      <c r="N71" s="178">
        <v>7</v>
      </c>
      <c r="O71" s="179" t="str">
        <f ca="1">IF(AND(COUNTIF(C10:I10,"W")=0,COUNTIF(C10:I10,"L")=0),"",COUNTIF(C10:I10,"W"))</f>
        <v/>
      </c>
      <c r="P71" s="179" t="str">
        <f ca="1">IF(AND(COUNTIF(C10:I10,"W")=0,COUNTIF(C10:I10,"L")=0),"",COUNTIF(C10:I10,"L"))</f>
        <v/>
      </c>
      <c r="Q71" s="179" t="str">
        <f ca="1">IF(OR(COUNTIF(C10:I10,"W"),COUNTIF(C10:I10,"L")),COUNTIF(C10:I10,"W")*2+COUNTIF(C10:I10,"L"),"")</f>
        <v/>
      </c>
      <c r="R71" s="179" t="str">
        <f ca="1">IF(Q10&lt;&gt;"",RANK(Q10,Q$4:Q$16),"")</f>
        <v/>
      </c>
      <c r="AG71" s="171"/>
      <c r="AH71" s="171"/>
      <c r="AI71" s="171"/>
      <c r="AJ71" s="174">
        <v>0.57291666666666663</v>
      </c>
      <c r="AK71" s="176"/>
      <c r="AL71" s="171"/>
    </row>
    <row r="72" spans="13:38">
      <c r="M72" s="177" t="s">
        <v>1115</v>
      </c>
      <c r="N72" s="178">
        <v>8</v>
      </c>
      <c r="O72" s="179" t="str">
        <f ca="1">IF(AND(COUNTIF(C10:J10,"W")=0,COUNTIF(C10:J10,"L")=0),"",COUNTIF(C10:J10,"W"))</f>
        <v/>
      </c>
      <c r="P72" s="179" t="str">
        <f ca="1">IF(AND(COUNTIF(C10:J10,"W")=0,COUNTIF(C10:J10,"L")=0),"",COUNTIF(C10:J10,"L"))</f>
        <v/>
      </c>
      <c r="Q72" s="179" t="str">
        <f ca="1">IF(OR(COUNTIF(C10:J10,"W"),COUNTIF(C10:J10,"L")),COUNTIF(C10:J10,"W")*2+COUNTIF(C10:J10,"L"),"")</f>
        <v/>
      </c>
      <c r="R72" s="179" t="str">
        <f ca="1">IF(Q10&lt;&gt;"",RANK(Q10,Q$4:Q$18),"")</f>
        <v/>
      </c>
      <c r="AG72" s="171"/>
      <c r="AH72" s="171"/>
      <c r="AI72" s="171"/>
      <c r="AJ72" s="174">
        <v>0.57638888888888895</v>
      </c>
      <c r="AK72" s="176"/>
      <c r="AL72" s="171"/>
    </row>
    <row r="73" spans="13:38">
      <c r="M73" s="177" t="s">
        <v>1115</v>
      </c>
      <c r="N73" s="178">
        <v>9</v>
      </c>
      <c r="O73" s="179" t="str">
        <f ca="1">IF(AND(COUNTIF(C10:K10,"W")=0,COUNTIF(C10:K10,"L")=0),"",COUNTIF(C10:K10,"W"))</f>
        <v/>
      </c>
      <c r="P73" s="179" t="str">
        <f ca="1">IF(AND(COUNTIF(C10:K10,"W")=0,COUNTIF(C10:K10,"L")=0),"",COUNTIF(C10:K10,"L"))</f>
        <v/>
      </c>
      <c r="Q73" s="179" t="str">
        <f ca="1">IF(OR(COUNTIF(C10:K10,"W"),COUNTIF(C10:K10,"L")),COUNTIF(C10:K10,"W")*2+COUNTIF(C10:K10,"L"),"")</f>
        <v/>
      </c>
      <c r="R73" s="179" t="str">
        <f ca="1">IF(Q10&lt;&gt;"",RANK(Q10,Q$4:Q$20),"")</f>
        <v/>
      </c>
      <c r="AG73" s="171"/>
      <c r="AH73" s="171"/>
      <c r="AI73" s="171"/>
      <c r="AJ73" s="174">
        <v>0.57986111111111105</v>
      </c>
      <c r="AK73" s="176"/>
      <c r="AL73" s="171"/>
    </row>
    <row r="74" spans="13:38">
      <c r="M74" s="177" t="s">
        <v>1115</v>
      </c>
      <c r="N74" s="178">
        <v>10</v>
      </c>
      <c r="O74" s="179" t="str">
        <f ca="1">IF(AND(COUNTIF(C10:L10,"W")=0,COUNTIF(C10:L10,"L")=0),"",COUNTIF(C10:L10,"W"))</f>
        <v/>
      </c>
      <c r="P74" s="179" t="str">
        <f ca="1">IF(AND(COUNTIF(C10:L10,"W")=0,COUNTIF(C10:L10,"L")=0),"",COUNTIF(C10:L10,"L"))</f>
        <v/>
      </c>
      <c r="Q74" s="179" t="str">
        <f ca="1">IF(OR(COUNTIF(C10:L10,"W"),COUNTIF(C10:L10,"L")),COUNTIF(C10:L10,"W")*2+COUNTIF(C10:L10,"L"),"")</f>
        <v/>
      </c>
      <c r="R74" s="179" t="str">
        <f ca="1">IF(Q10&lt;&gt;"",RANK(Q10,Q$4:Q$22),"")</f>
        <v/>
      </c>
      <c r="AG74" s="171"/>
      <c r="AH74" s="171"/>
      <c r="AI74" s="171"/>
      <c r="AJ74" s="174">
        <v>0.58333333333333337</v>
      </c>
      <c r="AK74" s="176"/>
      <c r="AL74" s="171"/>
    </row>
    <row r="75" spans="13:38">
      <c r="M75" s="177" t="s">
        <v>1115</v>
      </c>
      <c r="N75" s="178">
        <v>11</v>
      </c>
      <c r="O75" s="179" t="str">
        <f ca="1">IF(AND(COUNTIF(C10:M10,"W")=0,COUNTIF(C10:M10,"L")=0),"",COUNTIF(C10:M10,"W"))</f>
        <v/>
      </c>
      <c r="P75" s="179" t="str">
        <f ca="1">IF(AND(COUNTIF(C10:M10,"W")=0,COUNTIF(C10:M10,"L")=0),"",COUNTIF(C10:M10,"L"))</f>
        <v/>
      </c>
      <c r="Q75" s="179" t="str">
        <f ca="1">IF(OR(COUNTIF(C10:M10,"W"),COUNTIF(C10:M10,"L")),COUNTIF(C10:M10,"W")*2+COUNTIF(C10:M10,"L"),"")</f>
        <v/>
      </c>
      <c r="R75" s="179" t="str">
        <f ca="1">IF(Q10&lt;&gt;"",RANK(Q10,Q$4:Q$24),"")</f>
        <v/>
      </c>
      <c r="AG75" s="171"/>
      <c r="AH75" s="171"/>
      <c r="AI75" s="171"/>
      <c r="AJ75" s="174">
        <v>0.58680555555555558</v>
      </c>
      <c r="AK75" s="176"/>
      <c r="AL75" s="171"/>
    </row>
    <row r="76" spans="13:38">
      <c r="M76" s="180"/>
      <c r="N76" s="180"/>
      <c r="O76" s="179"/>
      <c r="P76" s="179"/>
      <c r="Q76" s="179"/>
      <c r="R76" s="179"/>
      <c r="AG76" s="171"/>
      <c r="AH76" s="171"/>
      <c r="AI76" s="171"/>
      <c r="AJ76" s="174">
        <v>0.59027777777777779</v>
      </c>
      <c r="AK76" s="176"/>
      <c r="AL76" s="171"/>
    </row>
    <row r="77" spans="13:38">
      <c r="M77" s="177" t="s">
        <v>1116</v>
      </c>
      <c r="N77" s="178">
        <v>1</v>
      </c>
      <c r="O77" s="179" t="str">
        <f ca="1">IF(AND(COUNTIF(C12:N12,"W")=0,COUNTIF(C12:N12,"L")=0),"",COUNTIF(C12:N12,"W"))</f>
        <v/>
      </c>
      <c r="P77" s="179" t="str">
        <f ca="1">IF(AND(COUNTIF(C12:N12,"W")=0,COUNTIF(C12:N12,"L")=0),"",COUNTIF(C12:N12,"L"))</f>
        <v/>
      </c>
      <c r="Q77" s="179" t="str">
        <f ca="1">IF(OR(COUNTIF(C12:N12,"W"),COUNTIF(C12:N12,"L")),COUNTIF(C12:N12,"W")*2+COUNTIF(C12:N12,"L"),"")</f>
        <v/>
      </c>
      <c r="R77" s="179" t="str">
        <f ca="1">IF(Q12&lt;&gt;"",RANK(Q12,Q$4:Q$26),"")</f>
        <v/>
      </c>
      <c r="AG77" s="171"/>
      <c r="AH77" s="171"/>
      <c r="AI77" s="171"/>
      <c r="AJ77" s="174">
        <v>0.59375</v>
      </c>
      <c r="AK77" s="176"/>
      <c r="AL77" s="171"/>
    </row>
    <row r="78" spans="13:38">
      <c r="M78" s="177" t="s">
        <v>1116</v>
      </c>
      <c r="N78" s="178">
        <v>2</v>
      </c>
      <c r="O78" s="179" t="str">
        <f ca="1">IF(AND(COUNTIF(C12:H12,"W")=0,COUNTIF(C12:H12,"L")=0),"",COUNTIF(C12:H12,"W"))</f>
        <v/>
      </c>
      <c r="P78" s="179" t="str">
        <f ca="1">IF(AND(COUNTIF(C12:H12,"W")=0,COUNTIF(C12:H12,"L")=0),"",COUNTIF(C12:H12,"L"))</f>
        <v/>
      </c>
      <c r="Q78" s="179" t="str">
        <f ca="1">IF(OR(COUNTIF(C12:H12,"W"),COUNTIF(C12:H12,"L")),COUNTIF(C12:H12,"W")*2+COUNTIF(C12:H12,"L"),"")</f>
        <v/>
      </c>
      <c r="R78" s="179" t="str">
        <f ca="1">IF(Q12&lt;&gt;"",RANK(Q12,Q$4:Q$14),"")</f>
        <v/>
      </c>
      <c r="AG78" s="171"/>
      <c r="AH78" s="171"/>
      <c r="AI78" s="171"/>
      <c r="AJ78" s="174">
        <v>0.59722222222222221</v>
      </c>
      <c r="AK78" s="176"/>
      <c r="AL78" s="171"/>
    </row>
    <row r="79" spans="13:38">
      <c r="M79" s="177" t="s">
        <v>1116</v>
      </c>
      <c r="N79" s="178">
        <v>3</v>
      </c>
      <c r="O79" s="179" t="str">
        <f ca="1">IF(AND(COUNTIF(G12:J12,"W")=0,COUNTIF(G12:J12,"L")=0),"",COUNTIF(G12:J12,"W"))</f>
        <v/>
      </c>
      <c r="P79" s="179" t="str">
        <f ca="1">IF(AND(COUNTIF(G12:J12,"W")=0,COUNTIF(G12:J12,"L")=0),"",COUNTIF(G12:J12,"L"))</f>
        <v/>
      </c>
      <c r="Q79" s="179" t="str">
        <f ca="1">IF(OR(COUNTIF(G12:J12,"W"),COUNTIF(G12:J12,"L")),COUNTIF(G12:J12,"W")*2+COUNTIF(G12:J12,"L"),"")</f>
        <v/>
      </c>
      <c r="R79" s="179" t="str">
        <f ca="1">IF(Q12&lt;&gt;"",RANK(Q12,Q$12:Q$18),"")</f>
        <v/>
      </c>
      <c r="AG79" s="171"/>
      <c r="AH79" s="171"/>
      <c r="AI79" s="171"/>
      <c r="AJ79" s="174">
        <v>0.60069444444444442</v>
      </c>
      <c r="AK79" s="176"/>
      <c r="AL79" s="171"/>
    </row>
    <row r="80" spans="13:38">
      <c r="M80" s="177" t="s">
        <v>1116</v>
      </c>
      <c r="N80" s="178">
        <v>4</v>
      </c>
      <c r="O80" s="179" t="str">
        <f ca="1">IF(AND(COUNTIF(F12:H12,"W")=0,COUNTIF(F12:H12,"L")=0),"",COUNTIF(F12:H12,"W"))</f>
        <v/>
      </c>
      <c r="P80" s="179" t="str">
        <f ca="1">IF(AND(COUNTIF(F12:H12,"W")=0,COUNTIF(F12:H12,"L")=0),"",COUNTIF(F12:H12,"L"))</f>
        <v/>
      </c>
      <c r="Q80" s="179" t="str">
        <f ca="1">IF(OR(COUNTIF(F12:H12,"W"),COUNTIF(F12:H12,"L")),COUNTIF(F12:H12,"W")*2+COUNTIF(F12:H12,"L"),"")</f>
        <v/>
      </c>
      <c r="R80" s="179" t="str">
        <f ca="1">IF(Q12&lt;&gt;"",RANK(Q12,Q$10:Q$14),"")</f>
        <v/>
      </c>
      <c r="AG80" s="171"/>
      <c r="AH80" s="171"/>
      <c r="AI80" s="171"/>
      <c r="AJ80" s="174">
        <v>0.60416666666666663</v>
      </c>
      <c r="AK80" s="176"/>
      <c r="AL80" s="171"/>
    </row>
    <row r="81" spans="13:38">
      <c r="M81" s="177" t="s">
        <v>1116</v>
      </c>
      <c r="N81" s="178">
        <v>5</v>
      </c>
      <c r="O81" s="179" t="str">
        <f ca="1">IF(AND(COUNTIF(C12:G12,"W")=0,COUNTIF(C12:G12,"L")=0),"",COUNTIF(C12:G12,"W"))</f>
        <v/>
      </c>
      <c r="P81" s="179" t="str">
        <f ca="1">IF(AND(COUNTIF(C12:G12,"W")=0,COUNTIF(C12:G12,"L")=0),"",COUNTIF(C12:G12,"L"))</f>
        <v/>
      </c>
      <c r="Q81" s="179" t="str">
        <f ca="1">IF(OR(COUNTIF(C12:G12,"W"),COUNTIF(C12:G12,"L")),COUNTIF(C12:G12,"W")*2+COUNTIF(C12:G12,"L"),"")</f>
        <v/>
      </c>
      <c r="R81" s="179" t="str">
        <f ca="1">IF(Q12&lt;&gt;"",RANK(Q12,Q$4:Q$12),"")</f>
        <v/>
      </c>
      <c r="AG81" s="171"/>
      <c r="AH81" s="171"/>
      <c r="AI81" s="171"/>
      <c r="AJ81" s="174">
        <v>0.60763888888888895</v>
      </c>
      <c r="AK81" s="176"/>
      <c r="AL81" s="171"/>
    </row>
    <row r="82" spans="13:38">
      <c r="M82" s="177" t="s">
        <v>1116</v>
      </c>
      <c r="N82" s="178">
        <v>6</v>
      </c>
      <c r="O82" s="179" t="str">
        <f ca="1">IF(AND(COUNTIF(C12:H12,"W")=0,COUNTIF(C12:H12,"L")=0),"",COUNTIF(C12:H12,"W"))</f>
        <v/>
      </c>
      <c r="P82" s="179" t="str">
        <f ca="1">IF(AND(COUNTIF(C12:H12,"W")=0,COUNTIF(C12:H12,"L")=0),"",COUNTIF(C12:H12,"L"))</f>
        <v/>
      </c>
      <c r="Q82" s="179" t="str">
        <f ca="1">IF(OR(COUNTIF(C12:H12,"W"),COUNTIF(C12:H12,"L")),COUNTIF(C12:H12,"W")*2+COUNTIF(C12:H12,"L"),"")</f>
        <v/>
      </c>
      <c r="R82" s="179" t="str">
        <f ca="1">IF(Q12&lt;&gt;"",RANK(Q12,Q$4:Q$14),"")</f>
        <v/>
      </c>
      <c r="AG82" s="171"/>
      <c r="AH82" s="171"/>
      <c r="AI82" s="171"/>
      <c r="AJ82" s="174">
        <v>0.61111111111111105</v>
      </c>
      <c r="AK82" s="176"/>
      <c r="AL82" s="171"/>
    </row>
    <row r="83" spans="13:38">
      <c r="M83" s="177" t="s">
        <v>1116</v>
      </c>
      <c r="N83" s="178">
        <v>7</v>
      </c>
      <c r="O83" s="179" t="str">
        <f ca="1">IF(AND(COUNTIF(C12:I12,"W")=0,COUNTIF(C12:I12,"L")=0),"",COUNTIF(C12:I12,"W"))</f>
        <v/>
      </c>
      <c r="P83" s="179" t="str">
        <f ca="1">IF(AND(COUNTIF(C12:I12,"W")=0,COUNTIF(C12:I12,"L")=0),"",COUNTIF(C12:I12,"L"))</f>
        <v/>
      </c>
      <c r="Q83" s="179" t="str">
        <f ca="1">IF(OR(COUNTIF(C12:I12,"W"),COUNTIF(C12:I12,"L")),COUNTIF(C12:I12,"W")*2+COUNTIF(C12:I12,"L"),"")</f>
        <v/>
      </c>
      <c r="R83" s="179" t="str">
        <f ca="1">IF(Q12&lt;&gt;"",RANK(Q12,Q$4:Q$16),"")</f>
        <v/>
      </c>
      <c r="AG83" s="171"/>
      <c r="AH83" s="171"/>
      <c r="AI83" s="171"/>
      <c r="AJ83" s="174">
        <v>0.61458333333333337</v>
      </c>
      <c r="AK83" s="176"/>
      <c r="AL83" s="171"/>
    </row>
    <row r="84" spans="13:38">
      <c r="M84" s="177" t="s">
        <v>1116</v>
      </c>
      <c r="N84" s="178">
        <v>8</v>
      </c>
      <c r="O84" s="179" t="str">
        <f ca="1">IF(AND(COUNTIF(C12:J12,"W")=0,COUNTIF(C12:J12,"L")=0),"",COUNTIF(C12:J12,"W"))</f>
        <v/>
      </c>
      <c r="P84" s="179" t="str">
        <f ca="1">IF(AND(COUNTIF(C12:J12,"W")=0,COUNTIF(C12:J12,"L")=0),"",COUNTIF(C12:J12,"L"))</f>
        <v/>
      </c>
      <c r="Q84" s="179" t="str">
        <f ca="1">IF(OR(COUNTIF(C12:J12,"W"),COUNTIF(C12:J12,"L")),COUNTIF(C12:J12,"W")*2+COUNTIF(C12:J12,"L"),"")</f>
        <v/>
      </c>
      <c r="R84" s="179" t="str">
        <f ca="1">IF(Q12&lt;&gt;"",RANK(Q12,Q$4:Q$18),"")</f>
        <v/>
      </c>
      <c r="AG84" s="171"/>
      <c r="AH84" s="171"/>
      <c r="AI84" s="171"/>
      <c r="AJ84" s="174">
        <v>0.61805555555555558</v>
      </c>
      <c r="AK84" s="176"/>
      <c r="AL84" s="171"/>
    </row>
    <row r="85" spans="13:38">
      <c r="M85" s="177" t="s">
        <v>1116</v>
      </c>
      <c r="N85" s="178">
        <v>9</v>
      </c>
      <c r="O85" s="179" t="str">
        <f ca="1">IF(AND(COUNTIF(C12:K12,"W")=0,COUNTIF(C12:K12,"L")=0),"",COUNTIF(C12:K12,"W"))</f>
        <v/>
      </c>
      <c r="P85" s="179" t="str">
        <f ca="1">IF(AND(COUNTIF(C12:K12,"W")=0,COUNTIF(C12:K12,"L")=0),"",COUNTIF(C12:K12,"L"))</f>
        <v/>
      </c>
      <c r="Q85" s="179" t="str">
        <f ca="1">IF(OR(COUNTIF(C12:K12,"W"),COUNTIF(C12:K12,"L")),COUNTIF(C12:K12,"W")*2+COUNTIF(C12:K12,"L"),"")</f>
        <v/>
      </c>
      <c r="R85" s="179" t="str">
        <f ca="1">IF(Q12&lt;&gt;"",RANK(Q12,Q$4:Q$20),"")</f>
        <v/>
      </c>
      <c r="AG85" s="171"/>
      <c r="AH85" s="171"/>
      <c r="AI85" s="171"/>
      <c r="AJ85" s="174">
        <v>0.62152777777777779</v>
      </c>
      <c r="AK85" s="176"/>
      <c r="AL85" s="171"/>
    </row>
    <row r="86" spans="13:38">
      <c r="M86" s="177" t="s">
        <v>1116</v>
      </c>
      <c r="N86" s="178">
        <v>10</v>
      </c>
      <c r="O86" s="179" t="str">
        <f ca="1">IF(AND(COUNTIF(C12:L12,"W")=0,COUNTIF(C12:L12,"L")=0),"",COUNTIF(C12:L12,"W"))</f>
        <v/>
      </c>
      <c r="P86" s="179" t="str">
        <f ca="1">IF(AND(COUNTIF(C12:L12,"W")=0,COUNTIF(C12:L12,"L")=0),"",COUNTIF(C12:L12,"L"))</f>
        <v/>
      </c>
      <c r="Q86" s="179" t="str">
        <f ca="1">IF(OR(COUNTIF(C12:L12,"W"),COUNTIF(C12:L12,"L")),COUNTIF(C12:L12,"W")*2+COUNTIF(C12:L12,"L"),"")</f>
        <v/>
      </c>
      <c r="R86" s="179" t="str">
        <f ca="1">IF(Q12&lt;&gt;"",RANK(Q12,Q$4:Q$22),"")</f>
        <v/>
      </c>
      <c r="AG86" s="171"/>
      <c r="AH86" s="171"/>
      <c r="AI86" s="171"/>
      <c r="AJ86" s="174">
        <v>0.625</v>
      </c>
      <c r="AK86" s="176"/>
      <c r="AL86" s="171"/>
    </row>
    <row r="87" spans="13:38">
      <c r="M87" s="177" t="s">
        <v>1116</v>
      </c>
      <c r="N87" s="178">
        <v>11</v>
      </c>
      <c r="O87" s="179" t="str">
        <f ca="1">IF(AND(COUNTIF(C12:M12,"W")=0,COUNTIF(C12:M12,"L")=0),"",COUNTIF(C12:M12,"W"))</f>
        <v/>
      </c>
      <c r="P87" s="179" t="str">
        <f ca="1">IF(AND(COUNTIF(C12:M12,"W")=0,COUNTIF(C12:M12,"L")=0),"",COUNTIF(C12:M12,"L"))</f>
        <v/>
      </c>
      <c r="Q87" s="179" t="str">
        <f ca="1">IF(OR(COUNTIF(C12:M12,"W"),COUNTIF(C12:M12,"L")),COUNTIF(C12:M12,"W")*2+COUNTIF(C12:M12,"L"),"")</f>
        <v/>
      </c>
      <c r="R87" s="179" t="str">
        <f ca="1">IF(Q12&lt;&gt;"",RANK(Q12,Q$4:Q$24),"")</f>
        <v/>
      </c>
      <c r="AG87" s="171"/>
      <c r="AH87" s="171"/>
      <c r="AI87" s="171"/>
      <c r="AJ87" s="174">
        <v>0.62847222222222221</v>
      </c>
      <c r="AK87" s="176"/>
      <c r="AL87" s="171"/>
    </row>
    <row r="88" spans="13:38">
      <c r="M88" s="180"/>
      <c r="N88" s="180"/>
      <c r="O88" s="179"/>
      <c r="P88" s="179"/>
      <c r="Q88" s="179"/>
      <c r="R88" s="179"/>
      <c r="AG88" s="171"/>
      <c r="AH88" s="171"/>
      <c r="AI88" s="171"/>
      <c r="AJ88" s="174">
        <v>0.63194444444444442</v>
      </c>
      <c r="AK88" s="176"/>
      <c r="AL88" s="171"/>
    </row>
    <row r="89" spans="13:38">
      <c r="M89" s="177" t="s">
        <v>1117</v>
      </c>
      <c r="N89" s="178">
        <v>1</v>
      </c>
      <c r="O89" s="179" t="str">
        <f ca="1">IF(AND(COUNTIF(C14:N14,"W")=0,COUNTIF(C14:N14,"L")=0),"",COUNTIF(C14:N14,"W"))</f>
        <v/>
      </c>
      <c r="P89" s="179" t="str">
        <f ca="1">IF(AND(COUNTIF(C14:N14,"W")=0,COUNTIF(C14:N14,"L")=0),"",COUNTIF(C14:N14,"L"))</f>
        <v/>
      </c>
      <c r="Q89" s="179" t="str">
        <f ca="1">IF(OR(COUNTIF(C14:N14,"W"),COUNTIF(C14:N14,"L")),COUNTIF(C14:N14,"W")*2+COUNTIF(C14:N14,"L"),"")</f>
        <v/>
      </c>
      <c r="R89" s="179" t="str">
        <f ca="1">IF(Q14&lt;&gt;"",RANK(Q14,Q$4:Q$26),"")</f>
        <v/>
      </c>
      <c r="AG89" s="171"/>
      <c r="AH89" s="171"/>
      <c r="AI89" s="171"/>
      <c r="AJ89" s="174">
        <v>0.63541666666666663</v>
      </c>
      <c r="AK89" s="176"/>
      <c r="AL89" s="171"/>
    </row>
    <row r="90" spans="13:38">
      <c r="M90" s="177" t="s">
        <v>1117</v>
      </c>
      <c r="N90" s="178">
        <v>2</v>
      </c>
      <c r="O90" s="179" t="str">
        <f ca="1">IF(AND(COUNTIF(C14:H14,"W")=0,COUNTIF(C14:H14,"L")=0),"",COUNTIF(C14:H14,"W"))</f>
        <v/>
      </c>
      <c r="P90" s="179" t="str">
        <f ca="1">IF(AND(COUNTIF(C14:H14,"W")=0,COUNTIF(C14:H14,"L")=0),"",COUNTIF(C14:H14,"L"))</f>
        <v/>
      </c>
      <c r="Q90" s="179" t="str">
        <f ca="1">IF(OR(COUNTIF(C14:H14,"W"),COUNTIF(C14:H14,"L")),COUNTIF(C14:H14,"W")*2+COUNTIF(C14:H14,"L"),"")</f>
        <v/>
      </c>
      <c r="R90" s="179" t="str">
        <f ca="1">IF(Q14&lt;&gt;"",RANK(Q14,Q$4:Q$14),"")</f>
        <v/>
      </c>
      <c r="AG90" s="171"/>
      <c r="AH90" s="171"/>
      <c r="AI90" s="171"/>
      <c r="AJ90" s="174">
        <v>0.63888888888888895</v>
      </c>
      <c r="AK90" s="176"/>
      <c r="AL90" s="171"/>
    </row>
    <row r="91" spans="13:38">
      <c r="M91" s="177" t="s">
        <v>1117</v>
      </c>
      <c r="N91" s="178">
        <v>3</v>
      </c>
      <c r="O91" s="179" t="str">
        <f ca="1">IF(AND(COUNTIF(G14:J14,"W")=0,COUNTIF(G14:J14,"L")=0),"",COUNTIF(G14:J14,"W"))</f>
        <v/>
      </c>
      <c r="P91" s="179" t="str">
        <f ca="1">IF(AND(COUNTIF(G14:J14,"W")=0,COUNTIF(G14:J14,"L")=0),"",COUNTIF(G14:J14,"L"))</f>
        <v/>
      </c>
      <c r="Q91" s="179" t="str">
        <f ca="1">IF(OR(COUNTIF(G14:J14,"W"),COUNTIF(G14:J14,"L")),COUNTIF(G14:J14,"W")*2+COUNTIF(G14:J14,"L"),"")</f>
        <v/>
      </c>
      <c r="R91" s="179" t="str">
        <f ca="1">IF(Q14&lt;&gt;"",RANK(Q14,Q$12:Q$18),"")</f>
        <v/>
      </c>
      <c r="AG91" s="171"/>
      <c r="AH91" s="171"/>
      <c r="AI91" s="171"/>
      <c r="AJ91" s="174">
        <v>0.64236111111111105</v>
      </c>
      <c r="AK91" s="176"/>
      <c r="AL91" s="171"/>
    </row>
    <row r="92" spans="13:38">
      <c r="M92" s="177" t="s">
        <v>1117</v>
      </c>
      <c r="N92" s="178">
        <v>4</v>
      </c>
      <c r="O92" s="179" t="str">
        <f ca="1">IF(AND(COUNTIF(F14:H14,"W")=0,COUNTIF(F14:H14,"L")=0),"",COUNTIF(F14:H14,"W"))</f>
        <v/>
      </c>
      <c r="P92" s="179" t="str">
        <f ca="1">IF(AND(COUNTIF(F14:H14,"W")=0,COUNTIF(F14:H14,"L")=0),"",COUNTIF(F14:H14,"L"))</f>
        <v/>
      </c>
      <c r="Q92" s="179" t="str">
        <f ca="1">IF(OR(COUNTIF(F14:H14,"W"),COUNTIF(F14:H14,"L")),COUNTIF(F14:H14,"W")*2+COUNTIF(F14:H14,"L"),"")</f>
        <v/>
      </c>
      <c r="R92" s="179" t="str">
        <f ca="1">IF(Q14&lt;&gt;"",RANK(Q14,Q$10:Q$14),"")</f>
        <v/>
      </c>
      <c r="AG92" s="171"/>
      <c r="AH92" s="171"/>
      <c r="AI92" s="171"/>
      <c r="AJ92" s="174">
        <v>0.64583333333333337</v>
      </c>
      <c r="AK92" s="176"/>
      <c r="AL92" s="171"/>
    </row>
    <row r="93" spans="13:38">
      <c r="M93" s="177" t="s">
        <v>1117</v>
      </c>
      <c r="N93" s="178">
        <v>5</v>
      </c>
      <c r="O93" s="179" t="str">
        <f ca="1">IF(AND(COUNTIF(C14:N14,"W")=0,COUNTIF(C14:N14,"L")=0),"",COUNTIF(C14:N14,"W"))</f>
        <v/>
      </c>
      <c r="P93" s="179" t="str">
        <f ca="1">IF(AND(COUNTIF(C14:N14,"W")=0,COUNTIF(C14:N14,"L")=0),"",COUNTIF(C14:N14,"L"))</f>
        <v/>
      </c>
      <c r="Q93" s="179" t="str">
        <f ca="1">IF(OR(COUNTIF(C14:N14,"W"),COUNTIF(C14:N14,"L")),COUNTIF(C14:N14,"W")*2+COUNTIF(C14:N14,"L"),"")</f>
        <v/>
      </c>
      <c r="R93" s="179"/>
      <c r="AG93" s="171"/>
      <c r="AH93" s="171"/>
      <c r="AI93" s="171"/>
      <c r="AJ93" s="174">
        <v>0.64930555555555558</v>
      </c>
      <c r="AK93" s="176"/>
      <c r="AL93" s="171"/>
    </row>
    <row r="94" spans="13:38">
      <c r="M94" s="177" t="s">
        <v>1117</v>
      </c>
      <c r="N94" s="178">
        <v>6</v>
      </c>
      <c r="O94" s="179" t="str">
        <f ca="1">IF(AND(COUNTIF(C14:H14,"W")=0,COUNTIF(C14:H14,"L")=0),"",COUNTIF(C14:H14,"W"))</f>
        <v/>
      </c>
      <c r="P94" s="179" t="str">
        <f ca="1">IF(AND(COUNTIF(C14:H14,"W")=0,COUNTIF(C14:H14,"L")=0),"",COUNTIF(C14:H14,"L"))</f>
        <v/>
      </c>
      <c r="Q94" s="179" t="str">
        <f ca="1">IF(OR(COUNTIF(C14:H14,"W"),COUNTIF(C14:H14,"L")),COUNTIF(C14:H14,"W")*2+COUNTIF(C14:H14,"L"),"")</f>
        <v/>
      </c>
      <c r="R94" s="179" t="str">
        <f ca="1">IF(Q14&lt;&gt;"",RANK(Q14,Q$4:Q$14),"")</f>
        <v/>
      </c>
      <c r="AG94" s="171"/>
      <c r="AH94" s="171"/>
      <c r="AI94" s="171"/>
      <c r="AJ94" s="174">
        <v>0.65277777777777779</v>
      </c>
      <c r="AK94" s="176"/>
      <c r="AL94" s="171"/>
    </row>
    <row r="95" spans="13:38">
      <c r="M95" s="177" t="s">
        <v>1117</v>
      </c>
      <c r="N95" s="178">
        <v>7</v>
      </c>
      <c r="O95" s="179" t="str">
        <f ca="1">IF(AND(COUNTIF(C14:I14,"W")=0,COUNTIF(C14:I14,"L")=0),"",COUNTIF(C14:I14,"W"))</f>
        <v/>
      </c>
      <c r="P95" s="179" t="str">
        <f ca="1">IF(AND(COUNTIF(C14:I14,"W")=0,COUNTIF(C14:I14,"L")=0),"",COUNTIF(C14:I14,"L"))</f>
        <v/>
      </c>
      <c r="Q95" s="179" t="str">
        <f ca="1">IF(OR(COUNTIF(C14:I14,"W"),COUNTIF(C14:I14,"L")),COUNTIF(C14:I14,"W")*2+COUNTIF(C14:I14,"L"),"")</f>
        <v/>
      </c>
      <c r="R95" s="179" t="str">
        <f ca="1">IF(Q14&lt;&gt;"",RANK(Q14,Q$4:Q$16),"")</f>
        <v/>
      </c>
      <c r="AG95" s="171"/>
      <c r="AH95" s="171"/>
      <c r="AI95" s="171"/>
      <c r="AJ95" s="174">
        <v>0.65625</v>
      </c>
      <c r="AK95" s="176"/>
      <c r="AL95" s="171"/>
    </row>
    <row r="96" spans="13:38">
      <c r="M96" s="177" t="s">
        <v>1117</v>
      </c>
      <c r="N96" s="178">
        <v>8</v>
      </c>
      <c r="O96" s="179" t="str">
        <f ca="1">IF(AND(COUNTIF(C14:J14,"W")=0,COUNTIF(C14:J14,"L")=0),"",COUNTIF(C14:J14,"W"))</f>
        <v/>
      </c>
      <c r="P96" s="179" t="str">
        <f ca="1">IF(AND(COUNTIF(C14:J14,"W")=0,COUNTIF(C14:J14,"L")=0),"",COUNTIF(C14:J14,"L"))</f>
        <v/>
      </c>
      <c r="Q96" s="179" t="str">
        <f ca="1">IF(OR(COUNTIF(C14:J14,"W"),COUNTIF(C14:J14,"L")),COUNTIF(C14:J14,"W")*2+COUNTIF(C14:J14,"L"),"")</f>
        <v/>
      </c>
      <c r="R96" s="179" t="str">
        <f ca="1">IF(Q14&lt;&gt;"",RANK(Q14,Q$4:Q$18),"")</f>
        <v/>
      </c>
      <c r="AG96" s="171"/>
      <c r="AH96" s="171"/>
      <c r="AI96" s="171"/>
      <c r="AJ96" s="174">
        <v>0.65972222222222221</v>
      </c>
      <c r="AK96" s="176"/>
      <c r="AL96" s="171"/>
    </row>
    <row r="97" spans="13:38">
      <c r="M97" s="177" t="s">
        <v>1117</v>
      </c>
      <c r="N97" s="178">
        <v>9</v>
      </c>
      <c r="O97" s="179" t="str">
        <f ca="1">IF(AND(COUNTIF(C14:K14,"W")=0,COUNTIF(C14:K14,"L")=0),"",COUNTIF(C14:K14,"W"))</f>
        <v/>
      </c>
      <c r="P97" s="179" t="str">
        <f ca="1">IF(AND(COUNTIF(C14:K14,"W")=0,COUNTIF(C14:K14,"L")=0),"",COUNTIF(C14:K14,"L"))</f>
        <v/>
      </c>
      <c r="Q97" s="179" t="str">
        <f ca="1">IF(OR(COUNTIF(C14:K14,"W"),COUNTIF(C14:K14,"L")),COUNTIF(C14:K14,"W")*2+COUNTIF(C14:K14,"L"),"")</f>
        <v/>
      </c>
      <c r="R97" s="179" t="str">
        <f ca="1">IF(Q14&lt;&gt;"",RANK(Q14,Q$4:Q$20),"")</f>
        <v/>
      </c>
      <c r="AG97" s="171"/>
      <c r="AH97" s="171"/>
      <c r="AI97" s="171"/>
      <c r="AJ97" s="174">
        <v>0.66319444444444442</v>
      </c>
      <c r="AK97" s="176"/>
      <c r="AL97" s="171"/>
    </row>
    <row r="98" spans="13:38">
      <c r="M98" s="177" t="s">
        <v>1117</v>
      </c>
      <c r="N98" s="178">
        <v>10</v>
      </c>
      <c r="O98" s="179" t="str">
        <f ca="1">IF(AND(COUNTIF(C14:L14,"W")=0,COUNTIF(C14:L14,"L")=0),"",COUNTIF(C14:L14,"W"))</f>
        <v/>
      </c>
      <c r="P98" s="179" t="str">
        <f ca="1">IF(AND(COUNTIF(C14:L14,"W")=0,COUNTIF(C14:L14,"L")=0),"",COUNTIF(C14:L14,"L"))</f>
        <v/>
      </c>
      <c r="Q98" s="179" t="str">
        <f ca="1">IF(OR(COUNTIF(C14:L14,"W"),COUNTIF(C14:L14,"L")),COUNTIF(C14:L14,"W")*2+COUNTIF(C14:L14,"L"),"")</f>
        <v/>
      </c>
      <c r="R98" s="179" t="str">
        <f ca="1">IF(Q14&lt;&gt;"",RANK(Q14,Q$4:Q$22),"")</f>
        <v/>
      </c>
      <c r="AG98" s="171"/>
      <c r="AH98" s="171"/>
      <c r="AI98" s="171"/>
      <c r="AJ98" s="174">
        <v>0.66666666666666663</v>
      </c>
      <c r="AK98" s="176"/>
      <c r="AL98" s="171"/>
    </row>
    <row r="99" spans="13:38">
      <c r="M99" s="177" t="s">
        <v>1117</v>
      </c>
      <c r="N99" s="178">
        <v>11</v>
      </c>
      <c r="O99" s="179" t="str">
        <f ca="1">IF(AND(COUNTIF(C14:M14,"W")=0,COUNTIF(C14:M14,"L")=0),"",COUNTIF(C14:M14,"W"))</f>
        <v/>
      </c>
      <c r="P99" s="179" t="str">
        <f ca="1">IF(AND(COUNTIF(C14:M14,"W")=0,COUNTIF(C14:M14,"L")=0),"",COUNTIF(C14:M14,"L"))</f>
        <v/>
      </c>
      <c r="Q99" s="179" t="str">
        <f ca="1">IF(OR(COUNTIF(C14:M14,"W"),COUNTIF(C14:M14,"L")),COUNTIF(C14:M14,"W")*2+COUNTIF(C14:M14,"L"),"")</f>
        <v/>
      </c>
      <c r="R99" s="179" t="str">
        <f ca="1">IF(Q14&lt;&gt;"",RANK(Q14,Q$4:Q$24),"")</f>
        <v/>
      </c>
      <c r="AG99" s="171"/>
      <c r="AH99" s="171"/>
      <c r="AI99" s="171"/>
      <c r="AJ99" s="174">
        <v>0.67013888888888884</v>
      </c>
      <c r="AK99" s="176"/>
      <c r="AL99" s="171"/>
    </row>
    <row r="100" spans="13:38">
      <c r="M100" s="180"/>
      <c r="N100" s="180"/>
      <c r="O100" s="179"/>
      <c r="P100" s="179"/>
      <c r="Q100" s="179"/>
      <c r="R100" s="179"/>
      <c r="AG100" s="171"/>
      <c r="AH100" s="171"/>
      <c r="AI100" s="171"/>
      <c r="AJ100" s="174">
        <v>0.67361111111111116</v>
      </c>
      <c r="AK100" s="176"/>
      <c r="AL100" s="171"/>
    </row>
    <row r="101" spans="13:38">
      <c r="M101" s="177" t="s">
        <v>1118</v>
      </c>
      <c r="N101" s="178">
        <v>1</v>
      </c>
      <c r="O101" s="179" t="str">
        <f ca="1">IF(AND(COUNTIF(C16:N16,"W")=0,COUNTIF(C16:N16,"L")=0),"",COUNTIF(C16:N16,"W"))</f>
        <v/>
      </c>
      <c r="P101" s="179" t="str">
        <f ca="1">IF(AND(COUNTIF(C16:N16,"W")=0,COUNTIF(C16:N16,"L")=0),"",COUNTIF(C16:N16,"L"))</f>
        <v/>
      </c>
      <c r="Q101" s="179" t="str">
        <f ca="1">IF(OR(COUNTIF(C16:N16,"W"),COUNTIF(C16:N16,"L")),COUNTIF(C16:N16,"W")*2+COUNTIF(C16:N16,"L"),"")</f>
        <v/>
      </c>
      <c r="R101" s="179" t="str">
        <f ca="1">IF(Q16&lt;&gt;"",RANK(Q16,Q$4:Q$26),"")</f>
        <v/>
      </c>
      <c r="AG101" s="171"/>
      <c r="AH101" s="171"/>
      <c r="AI101" s="171"/>
      <c r="AJ101" s="174">
        <v>0.67708333333333337</v>
      </c>
      <c r="AK101" s="176"/>
      <c r="AL101" s="171"/>
    </row>
    <row r="102" spans="13:38">
      <c r="M102" s="177" t="s">
        <v>1118</v>
      </c>
      <c r="N102" s="178">
        <v>2</v>
      </c>
      <c r="O102" s="179" t="str">
        <f ca="1">IF(AND(COUNTIF(I16:N16,"W")=0,COUNTIF(I16:N16,"L")=0),"",COUNTIF(I16:N16,"W"))</f>
        <v/>
      </c>
      <c r="P102" s="179" t="str">
        <f ca="1">IF(AND(COUNTIF(I16:N16,"W")=0,COUNTIF(I16:N16,"L")=0),"",COUNTIF(I16:N16,"L"))</f>
        <v/>
      </c>
      <c r="Q102" s="179" t="str">
        <f ca="1">IF(OR(COUNTIF(I16:N16,"W"),COUNTIF(I16:N16,"L")),COUNTIF(I16:N16,"W")*2+COUNTIF(I16:N16,"L"),"")</f>
        <v/>
      </c>
      <c r="R102" s="179" t="str">
        <f ca="1">IF(Q16&lt;&gt;"",RANK(Q16,Q$16:Q$26),"")</f>
        <v/>
      </c>
      <c r="AG102" s="171"/>
      <c r="AH102" s="171"/>
      <c r="AI102" s="171"/>
      <c r="AJ102" s="174">
        <v>0.68055555555555547</v>
      </c>
      <c r="AK102" s="176"/>
      <c r="AL102" s="171"/>
    </row>
    <row r="103" spans="13:38">
      <c r="M103" s="177" t="s">
        <v>1118</v>
      </c>
      <c r="N103" s="178">
        <v>3</v>
      </c>
      <c r="O103" s="179" t="str">
        <f ca="1">IF(AND(COUNTIF(G16:J16,"W")=0,COUNTIF(G16:J16,"L")=0),"",COUNTIF(G16:J16,"W"))</f>
        <v/>
      </c>
      <c r="P103" s="179" t="str">
        <f ca="1">IF(AND(COUNTIF(G16:J16,"W")=0,COUNTIF(G16:J16,"L")=0),"",COUNTIF(G16:J16,"L"))</f>
        <v/>
      </c>
      <c r="Q103" s="179" t="str">
        <f ca="1">IF(OR(COUNTIF(G16:J16,"W"),COUNTIF(G16:J16,"L")),COUNTIF(G16:J16,"W")*2+COUNTIF(G16:J16,"L"),"")</f>
        <v/>
      </c>
      <c r="R103" s="179" t="str">
        <f ca="1">IF(Q16&lt;&gt;"",RANK(Q16,Q$12:Q$18),"")</f>
        <v/>
      </c>
      <c r="AG103" s="171"/>
      <c r="AH103" s="171"/>
      <c r="AI103" s="171"/>
      <c r="AJ103" s="174">
        <v>0.68402777777777779</v>
      </c>
      <c r="AK103" s="176"/>
      <c r="AL103" s="171"/>
    </row>
    <row r="104" spans="13:38">
      <c r="M104" s="177" t="s">
        <v>1118</v>
      </c>
      <c r="N104" s="178">
        <v>4</v>
      </c>
      <c r="O104" s="179" t="str">
        <f ca="1">IF(AND(COUNTIF(I16:K16,"W")=0,COUNTIF(I16:K16,"L")=0),"",COUNTIF(I16:K16,"W"))</f>
        <v/>
      </c>
      <c r="P104" s="179" t="str">
        <f ca="1">IF(AND(COUNTIF(I16:K16,"W")=0,COUNTIF(I16:K16,"L")=0),"",COUNTIF(I16:K16,"L"))</f>
        <v/>
      </c>
      <c r="Q104" s="179" t="str">
        <f ca="1">IF(OR(COUNTIF(I16:K16,"W"),COUNTIF(I16:K16,"L")),COUNTIF(I16:K16,"W")*2+COUNTIF(I16:K16,"L"),"")</f>
        <v/>
      </c>
      <c r="R104" s="179" t="str">
        <f ca="1">IF(Q16&lt;&gt;"",RANK(Q16,Q$16:Q$20),"")</f>
        <v/>
      </c>
      <c r="AG104" s="171"/>
      <c r="AH104" s="171"/>
      <c r="AI104" s="171"/>
      <c r="AJ104" s="174">
        <v>0.6875</v>
      </c>
      <c r="AK104" s="176"/>
      <c r="AL104" s="171"/>
    </row>
    <row r="105" spans="13:38">
      <c r="M105" s="177" t="s">
        <v>1118</v>
      </c>
      <c r="N105" s="178">
        <v>5</v>
      </c>
      <c r="O105" s="179" t="str">
        <f ca="1">IF(AND(COUNTIF(C16:N16,"W")=0,COUNTIF(C16:N16,"L")=0),"",COUNTIF(C16:N16,"W"))</f>
        <v/>
      </c>
      <c r="P105" s="179" t="str">
        <f ca="1">IF(AND(COUNTIF(C16:N16,"W")=0,COUNTIF(C16:N16,"L")=0),"",COUNTIF(C16:N16,"l"))</f>
        <v/>
      </c>
      <c r="Q105" s="179" t="str">
        <f ca="1">IF(OR(COUNTIF(C16:N16,"W"),COUNTIF(C16:N16,"L")),COUNTIF(C16:N16,"W")*2+COUNTIF(C16:N16,"L"),"")</f>
        <v/>
      </c>
      <c r="R105" s="179"/>
      <c r="AG105" s="171"/>
      <c r="AH105" s="171"/>
      <c r="AI105" s="171"/>
      <c r="AJ105" s="174">
        <v>0.69097222222222221</v>
      </c>
      <c r="AK105" s="176"/>
      <c r="AL105" s="171"/>
    </row>
    <row r="106" spans="13:38">
      <c r="M106" s="177" t="s">
        <v>1118</v>
      </c>
      <c r="N106" s="178">
        <v>6</v>
      </c>
      <c r="O106" s="179" t="str">
        <f ca="1">IF(AND(COUNTIF(C16:N16,"W")=0,COUNTIF(C16:N16,"L")=0),"",COUNTIF(C16:N16,"W"))</f>
        <v/>
      </c>
      <c r="P106" s="179" t="str">
        <f ca="1">IF(AND(COUNTIF(C16:N16,"W")=0,COUNTIF(C16:N16,"L")=0),"",COUNTIF(C16:N16,"L"))</f>
        <v/>
      </c>
      <c r="Q106" s="179" t="str">
        <f ca="1">IF(OR(COUNTIF(C16:N16,"W"),COUNTIF(C16:N16,"L")),COUNTIF(C16:N16,"W")*2+COUNTIF(C16:N16,"L"),"")</f>
        <v/>
      </c>
      <c r="R106" s="179"/>
      <c r="AG106" s="171"/>
      <c r="AH106" s="171"/>
      <c r="AI106" s="171"/>
      <c r="AJ106" s="174">
        <v>0.69444444444444453</v>
      </c>
      <c r="AK106" s="176"/>
      <c r="AL106" s="171"/>
    </row>
    <row r="107" spans="13:38">
      <c r="M107" s="177" t="s">
        <v>1118</v>
      </c>
      <c r="N107" s="178">
        <v>7</v>
      </c>
      <c r="O107" s="179" t="str">
        <f ca="1">IF(AND(COUNTIF(C16:H16,"W")=0,COUNTIF(C16:H16,"L")=0),"",COUNTIF(C16:H16,"W"))</f>
        <v/>
      </c>
      <c r="P107" s="179" t="str">
        <f ca="1">IF(AND(COUNTIF(C16:H16,"W")=0,COUNTIF(C16:H16,"L")=0),"",COUNTIF(C16:H16,"L"))</f>
        <v/>
      </c>
      <c r="Q107" s="179" t="str">
        <f ca="1">IF(OR(COUNTIF(C16:H16,"W"),COUNTIF(C16:H16,"L")),COUNTIF(C16:H16,"W")*2+COUNTIF(C16:H16,"L"),"")</f>
        <v/>
      </c>
      <c r="R107" s="179" t="str">
        <f ca="1">IF(Q16&lt;&gt;"",RANK(Q16,Q$4:Q$16),"")</f>
        <v/>
      </c>
      <c r="AG107" s="171"/>
      <c r="AH107" s="171"/>
      <c r="AI107" s="171"/>
      <c r="AJ107" s="174">
        <v>0.69791666666666663</v>
      </c>
      <c r="AK107" s="176"/>
      <c r="AL107" s="171"/>
    </row>
    <row r="108" spans="13:38">
      <c r="M108" s="177" t="s">
        <v>1118</v>
      </c>
      <c r="N108" s="178">
        <v>8</v>
      </c>
      <c r="O108" s="179" t="str">
        <f ca="1">IF(AND(COUNTIF(C16:J16,"W")=0,COUNTIF(C16:J16,"L")=0),"",COUNTIF(C16:J16,"W"))</f>
        <v/>
      </c>
      <c r="P108" s="179" t="str">
        <f ca="1">IF(AND(COUNTIF(C16:J16,"W")=0,COUNTIF(C16:J16,"L")=0),"",COUNTIF(C16:J16,"L"))</f>
        <v/>
      </c>
      <c r="Q108" s="179" t="str">
        <f ca="1">IF(OR(COUNTIF(C16:J16,"W"),COUNTIF(C16:J16,"L")),COUNTIF(C16:J16,"W")*2+COUNTIF(C16:J16,"L"),"")</f>
        <v/>
      </c>
      <c r="R108" s="179" t="str">
        <f ca="1">IF(Q16&lt;&gt;"",RANK(Q16,Q$4:Q$18),"")</f>
        <v/>
      </c>
      <c r="AG108" s="171"/>
      <c r="AH108" s="171"/>
      <c r="AI108" s="171"/>
      <c r="AJ108" s="174">
        <v>0.70138888888888884</v>
      </c>
      <c r="AK108" s="176"/>
      <c r="AL108" s="171"/>
    </row>
    <row r="109" spans="13:38">
      <c r="M109" s="177" t="s">
        <v>1118</v>
      </c>
      <c r="N109" s="178">
        <v>9</v>
      </c>
      <c r="O109" s="179" t="str">
        <f ca="1">IF(AND(COUNTIF(C16:K16,"W")=0,COUNTIF(C16:K16,"L")=0),"",COUNTIF(C16:K16,"W"))</f>
        <v/>
      </c>
      <c r="P109" s="179" t="str">
        <f ca="1">IF(AND(COUNTIF(C16:K16,"W")=0,COUNTIF(C16:K16,"L")=0),"",COUNTIF(C16:K16,"L"))</f>
        <v/>
      </c>
      <c r="Q109" s="179" t="str">
        <f ca="1">IF(OR(COUNTIF(C16:K16,"W"),COUNTIF(C16:K16,"L")),COUNTIF(C16:K16,"W")*2+COUNTIF(C16:K16,"L"),"")</f>
        <v/>
      </c>
      <c r="R109" s="179" t="str">
        <f ca="1">IF(Q16&lt;&gt;"",RANK(Q16,Q$4:Q$20),"")</f>
        <v/>
      </c>
      <c r="AG109" s="171"/>
      <c r="AH109" s="171"/>
      <c r="AI109" s="171"/>
      <c r="AJ109" s="174">
        <v>0.70486111111111116</v>
      </c>
      <c r="AK109" s="176"/>
      <c r="AL109" s="171"/>
    </row>
    <row r="110" spans="13:38">
      <c r="M110" s="177" t="s">
        <v>1118</v>
      </c>
      <c r="N110" s="178">
        <v>10</v>
      </c>
      <c r="O110" s="179" t="str">
        <f ca="1">IF(AND(COUNTIF(C16:L16,"W")=0,COUNTIF(C16:L16,"L")=0),"",COUNTIF(C16:L16,"W"))</f>
        <v/>
      </c>
      <c r="P110" s="179" t="str">
        <f ca="1">IF(AND(COUNTIF(C16:L16,"W")=0,COUNTIF(C16:L16,"L")=0),"",COUNTIF(C16:L16,"L"))</f>
        <v/>
      </c>
      <c r="Q110" s="179" t="str">
        <f ca="1">IF(OR(COUNTIF(C16:L16,"W"),COUNTIF(C16:L16,"L")),COUNTIF(C16:L16,"W")*2+COUNTIF(C16:L16,"L"),"")</f>
        <v/>
      </c>
      <c r="R110" s="179" t="str">
        <f ca="1">IF(Q16&lt;&gt;"",RANK(Q16,Q$4:Q$22),"")</f>
        <v/>
      </c>
      <c r="AG110" s="171"/>
      <c r="AH110" s="171"/>
      <c r="AI110" s="171"/>
      <c r="AJ110" s="174">
        <v>0.70833333333333337</v>
      </c>
      <c r="AK110" s="176"/>
      <c r="AL110" s="171"/>
    </row>
    <row r="111" spans="13:38">
      <c r="M111" s="177" t="s">
        <v>1118</v>
      </c>
      <c r="N111" s="178">
        <v>11</v>
      </c>
      <c r="O111" s="179" t="str">
        <f ca="1">IF(AND(COUNTIF(C16:M16,"W")=0,COUNTIF(C16:M16,"L")=0),"",COUNTIF(C16:M16,"W"))</f>
        <v/>
      </c>
      <c r="P111" s="179" t="str">
        <f ca="1">IF(AND(COUNTIF(C16:M16,"W")=0,COUNTIF(C16:M16,"L")=0),"",COUNTIF(C16:M16,"L"))</f>
        <v/>
      </c>
      <c r="Q111" s="179" t="str">
        <f ca="1">IF(OR(COUNTIF(C16:M16,"W"),COUNTIF(C16:M16,"L")),COUNTIF(C16:M16,"W")*2+COUNTIF(C16:M16,"L"),"")</f>
        <v/>
      </c>
      <c r="R111" s="179" t="str">
        <f ca="1">IF(Q16&lt;&gt;"",RANK(Q16,Q$4:Q$24),"")</f>
        <v/>
      </c>
      <c r="AG111" s="171"/>
      <c r="AH111" s="171"/>
      <c r="AI111" s="171"/>
      <c r="AJ111" s="174">
        <v>0.71180555555555547</v>
      </c>
      <c r="AK111" s="176"/>
      <c r="AL111" s="171"/>
    </row>
    <row r="112" spans="13:38">
      <c r="M112" s="180"/>
      <c r="N112" s="180"/>
      <c r="O112" s="179"/>
      <c r="P112" s="179"/>
      <c r="Q112" s="179"/>
      <c r="R112" s="179"/>
      <c r="AG112" s="171"/>
      <c r="AH112" s="171"/>
      <c r="AI112" s="171"/>
      <c r="AJ112" s="174">
        <v>0.71527777777777779</v>
      </c>
      <c r="AK112" s="176"/>
      <c r="AL112" s="171"/>
    </row>
    <row r="113" spans="13:38">
      <c r="M113" s="177" t="s">
        <v>1119</v>
      </c>
      <c r="N113" s="178">
        <v>1</v>
      </c>
      <c r="O113" s="179" t="str">
        <f ca="1">IF(AND(COUNTIF(C18:N18,"W")=0,COUNTIF(C18:N18,"L")=0),"",COUNTIF(C18:N18,"W"))</f>
        <v/>
      </c>
      <c r="P113" s="179" t="str">
        <f ca="1">IF(AND(COUNTIF(C18:N18,"W")=0,COUNTIF(C18:N18,"L")=0),"",COUNTIF(C18:N18,"L"))</f>
        <v/>
      </c>
      <c r="Q113" s="179" t="str">
        <f ca="1">IF(OR(COUNTIF(C18:N18,"W"),COUNTIF(C18:N18,"L")),COUNTIF(C18:N18,"W")*2+COUNTIF(C18:N18,"L"),"")</f>
        <v/>
      </c>
      <c r="R113" s="179" t="str">
        <f ca="1">IF(Q18&lt;&gt;"",RANK(Q18,Q$4:Q$26),"")</f>
        <v/>
      </c>
      <c r="AG113" s="171"/>
      <c r="AH113" s="171"/>
      <c r="AI113" s="171"/>
      <c r="AJ113" s="174">
        <v>0.71875</v>
      </c>
      <c r="AK113" s="176"/>
      <c r="AL113" s="171"/>
    </row>
    <row r="114" spans="13:38">
      <c r="M114" s="177" t="s">
        <v>1119</v>
      </c>
      <c r="N114" s="178">
        <v>2</v>
      </c>
      <c r="O114" s="179" t="str">
        <f ca="1">IF(AND(COUNTIF(I18:N18,"W")=0,COUNTIF(I18:N18,"L")=0),"",COUNTIF(I18:N18,"W"))</f>
        <v/>
      </c>
      <c r="P114" s="179" t="str">
        <f ca="1">IF(AND(COUNTIF(I18:N18,"W")=0,COUNTIF(I18:N18,"L")=0),"",COUNTIF(I18:N18,"L"))</f>
        <v/>
      </c>
      <c r="Q114" s="179" t="str">
        <f ca="1">IF(OR(COUNTIF(I18:N18,"W"),COUNTIF(I18:N18,"L")),COUNTIF(I18:N18,"W")*2+COUNTIF(I18:N18,"L"),"")</f>
        <v/>
      </c>
      <c r="R114" s="179" t="str">
        <f ca="1">IF(Q18&lt;&gt;"",RANK(Q18,Q$16:Q$26),"")</f>
        <v/>
      </c>
      <c r="AG114" s="171"/>
      <c r="AH114" s="171"/>
      <c r="AI114" s="171"/>
      <c r="AJ114" s="174">
        <v>0.72222222222222221</v>
      </c>
      <c r="AK114" s="176"/>
      <c r="AL114" s="171"/>
    </row>
    <row r="115" spans="13:38">
      <c r="M115" s="177" t="s">
        <v>1119</v>
      </c>
      <c r="N115" s="178">
        <v>3</v>
      </c>
      <c r="O115" s="179" t="str">
        <f ca="1">IF(AND(COUNTIF(G18:J18,"W")=0,COUNTIF(G18:J18,"L")=0),"",COUNTIF(G18:J18,"W"))</f>
        <v/>
      </c>
      <c r="P115" s="179" t="str">
        <f ca="1">IF(AND(COUNTIF(G18:J18,"W")=0,COUNTIF(G18:J18,"L")=0),"",COUNTIF(G18:J18,"L"))</f>
        <v/>
      </c>
      <c r="Q115" s="179" t="str">
        <f ca="1">IF(OR(COUNTIF(G18:J18,"W"),COUNTIF(G18:J18,"L")),COUNTIF(G18:J18,"W")*2+COUNTIF(G18:J18,"L"),"")</f>
        <v/>
      </c>
      <c r="R115" s="179" t="str">
        <f ca="1">IF(Q18&lt;&gt;"",RANK(Q18,Q$12:Q$18),"")</f>
        <v/>
      </c>
      <c r="AG115" s="171"/>
      <c r="AH115" s="171"/>
      <c r="AI115" s="171"/>
      <c r="AJ115" s="174">
        <v>0.72569444444444453</v>
      </c>
      <c r="AK115" s="176"/>
      <c r="AL115" s="171"/>
    </row>
    <row r="116" spans="13:38">
      <c r="M116" s="177" t="s">
        <v>1119</v>
      </c>
      <c r="N116" s="178">
        <v>4</v>
      </c>
      <c r="O116" s="179" t="str">
        <f ca="1">IF(AND(COUNTIF(I18:K18,"W")=0,COUNTIF(I18:K18,"L")=0),"",COUNTIF(I18:K18,"W"))</f>
        <v/>
      </c>
      <c r="P116" s="179" t="str">
        <f ca="1">IF(AND(COUNTIF(I18:K18,"W")=0,COUNTIF(I18:K18,"L")=0),"",COUNTIF(I18:K18,"L"))</f>
        <v/>
      </c>
      <c r="Q116" s="179" t="str">
        <f ca="1">IF(OR(COUNTIF(I18:K18,"W"),COUNTIF(I18:K18,"L")),COUNTIF(I18:K18,"W")*2+COUNTIF(I18:K18,"L"),"")</f>
        <v/>
      </c>
      <c r="R116" s="179" t="str">
        <f ca="1">IF(Q18&lt;&gt;"",RANK(Q18,Q$16:Q$20),"")</f>
        <v/>
      </c>
      <c r="AG116" s="171"/>
      <c r="AH116" s="171"/>
      <c r="AI116" s="171"/>
      <c r="AJ116" s="174">
        <v>0.72916666666666663</v>
      </c>
      <c r="AK116" s="176"/>
      <c r="AL116" s="171"/>
    </row>
    <row r="117" spans="13:38">
      <c r="M117" s="177" t="s">
        <v>1119</v>
      </c>
      <c r="N117" s="178">
        <v>5</v>
      </c>
      <c r="O117" s="179" t="str">
        <f ca="1">IF(AND(COUNTIF(C18:N18,"W")=0,COUNTIF(C18:N18,"L")=0),"",COUNTIF(C18:N18,"W"))</f>
        <v/>
      </c>
      <c r="P117" s="179" t="str">
        <f ca="1">IF(AND(COUNTIF(C18:N18,"W")=0,COUNTIF(C18:N18,"L")=0),"",COUNTIF(C18:N18,"l"))</f>
        <v/>
      </c>
      <c r="Q117" s="179" t="str">
        <f ca="1">IF(OR(COUNTIF(C18:N18,"W"),COUNTIF(C18:N18,"L")),COUNTIF(C18:N18,"W")*2+COUNTIF(C18:N18,"L"),"")</f>
        <v/>
      </c>
      <c r="R117" s="179"/>
      <c r="AG117" s="171"/>
      <c r="AH117" s="171"/>
      <c r="AI117" s="171"/>
      <c r="AJ117" s="174">
        <v>0.73263888888888884</v>
      </c>
      <c r="AK117" s="176"/>
      <c r="AL117" s="171"/>
    </row>
    <row r="118" spans="13:38">
      <c r="M118" s="177" t="s">
        <v>1119</v>
      </c>
      <c r="N118" s="178">
        <v>6</v>
      </c>
      <c r="O118" s="179" t="str">
        <f ca="1">IF(AND(COUNTIF(C18:N18,"W")=0,COUNTIF(C18:N18,"L")=0),"",COUNTIF(C18:N18,"W"))</f>
        <v/>
      </c>
      <c r="P118" s="179" t="str">
        <f ca="1">IF(AND(COUNTIF(C18:N18,"W")=0,COUNTIF(C18:N18,"L")=0),"",COUNTIF(C18:N18,"L"))</f>
        <v/>
      </c>
      <c r="Q118" s="179" t="str">
        <f ca="1">IF(OR(COUNTIF(C18:N18,"W"),COUNTIF(C18:N18,"L")),COUNTIF(C18:N18,"W")*2+COUNTIF(C18:N18,"L"),"")</f>
        <v/>
      </c>
      <c r="R118" s="179"/>
      <c r="AG118" s="171"/>
      <c r="AH118" s="171"/>
      <c r="AI118" s="171"/>
      <c r="AJ118" s="174">
        <v>0.73611111111111116</v>
      </c>
      <c r="AK118" s="176"/>
      <c r="AL118" s="171"/>
    </row>
    <row r="119" spans="13:38">
      <c r="M119" s="177" t="s">
        <v>1119</v>
      </c>
      <c r="N119" s="178">
        <v>7</v>
      </c>
      <c r="O119" s="179" t="str">
        <f ca="1">IF(AND(COUNTIF(C18:N18,"W")=0,COUNTIF(C18:N18,"L")=0),"",COUNTIF(C18:N18,"W"))</f>
        <v/>
      </c>
      <c r="P119" s="179" t="str">
        <f ca="1">IF(AND(COUNTIF(C18:N18,"W")=0,COUNTIF(C18:N18,"L")=0),"",COUNTIF(C18:N18,"L"))</f>
        <v/>
      </c>
      <c r="Q119" s="179" t="str">
        <f ca="1">IF(OR(COUNTIF(C18:N18,"W"),COUNTIF(C18:N18,"L")),COUNTIF(C18:N18,"W")*2+COUNTIF(C18:N18,"L"),"")</f>
        <v/>
      </c>
      <c r="R119" s="179"/>
      <c r="AG119" s="171"/>
      <c r="AH119" s="171"/>
      <c r="AI119" s="171"/>
      <c r="AJ119" s="174">
        <v>0.73958333333333337</v>
      </c>
      <c r="AK119" s="176"/>
      <c r="AL119" s="171"/>
    </row>
    <row r="120" spans="13:38">
      <c r="M120" s="177" t="s">
        <v>1119</v>
      </c>
      <c r="N120" s="178">
        <v>8</v>
      </c>
      <c r="O120" s="179" t="str">
        <f ca="1">IF(AND(COUNTIF(C18:J18,"W")=0,COUNTIF(C18:J18,"L")=0),"",COUNTIF(C18:J18,"W"))</f>
        <v/>
      </c>
      <c r="P120" s="179" t="str">
        <f ca="1">IF(AND(COUNTIF(C18:J18,"W")=0,COUNTIF(C18:J18,"L")=0),"",COUNTIF(C18:J18,"L"))</f>
        <v/>
      </c>
      <c r="Q120" s="179" t="str">
        <f ca="1">IF(OR(COUNTIF(C18:J18,"W"),COUNTIF(C18:J18,"L")),COUNTIF(C18:J18,"W")*2+COUNTIF(C18:J18,"L"),"")</f>
        <v/>
      </c>
      <c r="R120" s="179" t="str">
        <f ca="1">IF(Q18&lt;&gt;"",RANK(Q18,Q$4:Q$18),"")</f>
        <v/>
      </c>
      <c r="AG120" s="171"/>
      <c r="AH120" s="171"/>
      <c r="AI120" s="171"/>
      <c r="AJ120" s="174">
        <v>0.74305555555555547</v>
      </c>
      <c r="AK120" s="176"/>
      <c r="AL120" s="171"/>
    </row>
    <row r="121" spans="13:38">
      <c r="M121" s="177" t="s">
        <v>1119</v>
      </c>
      <c r="N121" s="178">
        <v>9</v>
      </c>
      <c r="O121" s="179" t="str">
        <f ca="1">IF(AND(COUNTIF(C18:K18,"W")=0,COUNTIF(C18:K18,"L")=0),"",COUNTIF(C18:K18,"W"))</f>
        <v/>
      </c>
      <c r="P121" s="179" t="str">
        <f ca="1">IF(AND(COUNTIF(C18:K18,"W")=0,COUNTIF(C18:K18,"L")=0),"",COUNTIF(C18:K18,"L"))</f>
        <v/>
      </c>
      <c r="Q121" s="179" t="str">
        <f ca="1">IF(OR(COUNTIF(C18:K18,"W"),COUNTIF(C18:K18,"L")),COUNTIF(C18:K18,"W")*2+COUNTIF(C18:K18,"L"),"")</f>
        <v/>
      </c>
      <c r="R121" s="179" t="str">
        <f ca="1">IF(Q18&lt;&gt;"",RANK(Q18,Q$4:Q$20),"")</f>
        <v/>
      </c>
      <c r="AG121" s="171"/>
      <c r="AH121" s="171"/>
      <c r="AI121" s="171"/>
      <c r="AJ121" s="174">
        <v>0.74652777777777779</v>
      </c>
      <c r="AK121" s="176"/>
      <c r="AL121" s="171"/>
    </row>
    <row r="122" spans="13:38">
      <c r="M122" s="177" t="s">
        <v>1119</v>
      </c>
      <c r="N122" s="178">
        <v>10</v>
      </c>
      <c r="O122" s="179" t="str">
        <f ca="1">IF(AND(COUNTIF(C18:L18,"W")=0,COUNTIF(C18:L18,"L")=0),"",COUNTIF(C18:L18,"W"))</f>
        <v/>
      </c>
      <c r="P122" s="179" t="str">
        <f ca="1">IF(AND(COUNTIF(C18:L18,"W")=0,COUNTIF(C18:L18,"L")=0),"",COUNTIF(C18:L18,"L"))</f>
        <v/>
      </c>
      <c r="Q122" s="179" t="str">
        <f ca="1">IF(OR(COUNTIF(C18:L18,"W"),COUNTIF(C18:L18,"L")),COUNTIF(C18:L18,"W")*2+COUNTIF(C18:L18,"L"),"")</f>
        <v/>
      </c>
      <c r="R122" s="179" t="str">
        <f ca="1">IF(Q18&lt;&gt;"",RANK(Q18,Q$4:Q$22),"")</f>
        <v/>
      </c>
      <c r="AG122" s="171"/>
      <c r="AH122" s="171"/>
      <c r="AI122" s="171"/>
      <c r="AJ122" s="174">
        <v>0.75</v>
      </c>
      <c r="AK122" s="176"/>
      <c r="AL122" s="171"/>
    </row>
    <row r="123" spans="13:38">
      <c r="M123" s="177" t="s">
        <v>1119</v>
      </c>
      <c r="N123" s="178">
        <v>11</v>
      </c>
      <c r="O123" s="179" t="str">
        <f ca="1">IF(AND(COUNTIF(C18:M18,"W")=0,COUNTIF(C18:M18,"L")=0),"",COUNTIF(C18:M18,"W"))</f>
        <v/>
      </c>
      <c r="P123" s="179" t="str">
        <f ca="1">IF(AND(COUNTIF(C18:M18,"W")=0,COUNTIF(C18:M18,"L")=0),"",COUNTIF(C18:M18,"L"))</f>
        <v/>
      </c>
      <c r="Q123" s="179" t="str">
        <f ca="1">IF(OR(COUNTIF(C18:M18,"W"),COUNTIF(C18:M18,"L")),COUNTIF(C18:M18,"W")*2+COUNTIF(C18:M18,"L"),"")</f>
        <v/>
      </c>
      <c r="R123" s="179" t="str">
        <f ca="1">IF(Q18&lt;&gt;"",RANK(Q18,Q$4:Q$24),"")</f>
        <v/>
      </c>
      <c r="AG123" s="171"/>
      <c r="AH123" s="171"/>
      <c r="AI123" s="171"/>
      <c r="AJ123" s="174">
        <v>0.75347222222222221</v>
      </c>
      <c r="AK123" s="176"/>
      <c r="AL123" s="171"/>
    </row>
    <row r="124" spans="13:38">
      <c r="M124" s="180"/>
      <c r="N124" s="180"/>
      <c r="O124" s="179"/>
      <c r="P124" s="179"/>
      <c r="Q124" s="179"/>
      <c r="R124" s="179"/>
      <c r="AG124" s="171"/>
      <c r="AH124" s="171"/>
      <c r="AI124" s="171"/>
      <c r="AJ124" s="174">
        <v>0.75694444444444453</v>
      </c>
      <c r="AK124" s="176"/>
      <c r="AL124" s="171"/>
    </row>
    <row r="125" spans="13:38">
      <c r="M125" s="177" t="s">
        <v>1120</v>
      </c>
      <c r="N125" s="178">
        <v>1</v>
      </c>
      <c r="O125" s="179" t="str">
        <f ca="1">IF(AND(COUNTIF(C20:N20,"W")=0,COUNTIF(C20:N20,"L")=0),"",COUNTIF(C20:N20,"W"))</f>
        <v/>
      </c>
      <c r="P125" s="179" t="str">
        <f ca="1">IF(AND(COUNTIF(C20:N20,"W")=0,COUNTIF(C20:N20,"L")=0),"",COUNTIF(C20:N20,"L"))</f>
        <v/>
      </c>
      <c r="Q125" s="179" t="str">
        <f ca="1">IF(OR(COUNTIF(C20:N20,"W"),COUNTIF(C20:N20,"L")),COUNTIF(C20:N20,"W")*2+COUNTIF(C20:N20,"L"),"")</f>
        <v/>
      </c>
      <c r="R125" s="179" t="str">
        <f ca="1">IF(Q20&lt;&gt;"",RANK(Q20,Q$4:Q$26),"")</f>
        <v/>
      </c>
      <c r="AG125" s="171"/>
      <c r="AH125" s="171"/>
      <c r="AI125" s="171"/>
      <c r="AJ125" s="174">
        <v>0.76041666666666663</v>
      </c>
      <c r="AK125" s="176"/>
      <c r="AL125" s="171"/>
    </row>
    <row r="126" spans="13:38">
      <c r="M126" s="177" t="s">
        <v>1120</v>
      </c>
      <c r="N126" s="178">
        <v>2</v>
      </c>
      <c r="O126" s="179" t="str">
        <f ca="1">IF(AND(COUNTIF(I20:N20,"W")=0,COUNTIF(I20:N20,"L")=0),"",COUNTIF(I20:N20,"W"))</f>
        <v/>
      </c>
      <c r="P126" s="179" t="str">
        <f ca="1">IF(AND(COUNTIF(I20:N20,"W")=0,COUNTIF(I20:N20,"L")=0),"",COUNTIF(I20:N20,"L"))</f>
        <v/>
      </c>
      <c r="Q126" s="179" t="str">
        <f ca="1">IF(OR(COUNTIF(I20:N20,"W"),COUNTIF(I20:N20,"L")),COUNTIF(I20:N20,"W")*2+COUNTIF(I20:N20,"L"),"")</f>
        <v/>
      </c>
      <c r="R126" s="179" t="str">
        <f ca="1">IF(Q20&lt;&gt;"",RANK(Q20,Q$16:Q$26),"")</f>
        <v/>
      </c>
      <c r="AG126" s="171"/>
      <c r="AH126" s="171"/>
      <c r="AI126" s="171"/>
      <c r="AJ126" s="174">
        <v>0.76388888888888884</v>
      </c>
      <c r="AK126" s="176"/>
      <c r="AL126" s="171"/>
    </row>
    <row r="127" spans="13:38">
      <c r="M127" s="177" t="s">
        <v>1120</v>
      </c>
      <c r="N127" s="178">
        <v>3</v>
      </c>
      <c r="O127" s="179" t="str">
        <f ca="1">IF(AND(COUNTIF(K20:N20,"W")=0,COUNTIF(K20:N20,"L")=0),"",COUNTIF(K20:N20,"W"))</f>
        <v/>
      </c>
      <c r="P127" s="179" t="str">
        <f ca="1">IF(AND(COUNTIF(K20:N20,"W")=0,COUNTIF(K20:N20,"L")=0),"",COUNTIF(K20:N20,"L"))</f>
        <v/>
      </c>
      <c r="Q127" s="179" t="str">
        <f ca="1">IF(OR(COUNTIF(K20:N20,"W"),COUNTIF(K20:N20,"L")),COUNTIF(K20:N20,"W")*2+COUNTIF(K20:N20,"L"),"")</f>
        <v/>
      </c>
      <c r="R127" s="179" t="str">
        <f ca="1">IF(Q20&lt;&gt;"",RANK(Q20,Q$20:Q$26),"")</f>
        <v/>
      </c>
      <c r="AG127" s="171"/>
      <c r="AH127" s="171"/>
      <c r="AI127" s="171"/>
      <c r="AJ127" s="174">
        <v>0.76736111111111116</v>
      </c>
      <c r="AK127" s="176"/>
      <c r="AL127" s="171"/>
    </row>
    <row r="128" spans="13:38">
      <c r="M128" s="177" t="s">
        <v>1120</v>
      </c>
      <c r="N128" s="178">
        <v>4</v>
      </c>
      <c r="O128" s="179" t="str">
        <f ca="1">IF(AND(COUNTIF(I20:K20,"W")=0,COUNTIF(I20:K20,"L")=0),"",COUNTIF(I20:K20,"W"))</f>
        <v/>
      </c>
      <c r="P128" s="179" t="str">
        <f ca="1">IF(AND(COUNTIF(I20:K20,"W")=0,COUNTIF(I20:K20,"L")=0),"",COUNTIF(I20:K20,"L"))</f>
        <v/>
      </c>
      <c r="Q128" s="179" t="str">
        <f ca="1">IF(OR(COUNTIF(I20:K20,"W"),COUNTIF(I20:K20,"L")),COUNTIF(I20:K20,"W")*2+COUNTIF(I20:K20,"L"),"")</f>
        <v/>
      </c>
      <c r="R128" s="179" t="str">
        <f ca="1">IF(Q20&lt;&gt;"",RANK(Q20,Q$16:Q$20),"")</f>
        <v/>
      </c>
      <c r="AG128" s="171"/>
      <c r="AH128" s="171"/>
      <c r="AI128" s="171"/>
      <c r="AJ128" s="174">
        <v>0.77083333333333337</v>
      </c>
      <c r="AK128" s="176"/>
      <c r="AL128" s="171"/>
    </row>
    <row r="129" spans="13:38">
      <c r="M129" s="177" t="s">
        <v>1120</v>
      </c>
      <c r="N129" s="178">
        <v>5</v>
      </c>
      <c r="O129" s="179" t="str">
        <f ca="1">IF(AND(COUNTIF(C20:N20,"W")=0,COUNTIF(C20:N20,"L")=0),"",COUNTIF(C20:N20,"W"))</f>
        <v/>
      </c>
      <c r="P129" s="179" t="str">
        <f ca="1">IF(AND(COUNTIF(C20:N20,"W")=0,COUNTIF(C20:N20,"L")=0),"",COUNTIF(C20:N20,"L"))</f>
        <v/>
      </c>
      <c r="Q129" s="179" t="str">
        <f ca="1">IF(OR(COUNTIF(C20:N20,"W"),COUNTIF(C20:N20,"L")),COUNTIF(C20:N20,"W")*2+COUNTIF(C20:N20,"L"),"")</f>
        <v/>
      </c>
      <c r="R129" s="179"/>
      <c r="AG129" s="171"/>
      <c r="AH129" s="171"/>
      <c r="AI129" s="171"/>
      <c r="AJ129" s="174">
        <v>0.77430555555555547</v>
      </c>
      <c r="AK129" s="176"/>
      <c r="AL129" s="171"/>
    </row>
    <row r="130" spans="13:38">
      <c r="M130" s="177" t="s">
        <v>1120</v>
      </c>
      <c r="N130" s="178">
        <v>6</v>
      </c>
      <c r="O130" s="179" t="str">
        <f ca="1">IF(AND(COUNTIF(C20:N20,"W")=0,COUNTIF(C20:N20,"L")=0),"",COUNTIF(C20:N20,"W"))</f>
        <v/>
      </c>
      <c r="P130" s="179" t="str">
        <f ca="1">IF(AND(COUNTIF(C20:N20,"W")=0,COUNTIF(C20:N20,"L")=0),"",COUNTIF(C20:N20,"L"))</f>
        <v/>
      </c>
      <c r="Q130" s="179" t="str">
        <f ca="1">IF(OR(COUNTIF(C20:N20,"W"),COUNTIF(C20:N20,"L")),COUNTIF(C20:N20,"W")*2+COUNTIF(C20:N20,"L"),"")</f>
        <v/>
      </c>
      <c r="R130" s="179"/>
      <c r="AG130" s="171"/>
      <c r="AH130" s="171"/>
      <c r="AI130" s="171"/>
      <c r="AJ130" s="174">
        <v>0.77777777777777779</v>
      </c>
      <c r="AK130" s="176"/>
      <c r="AL130" s="171"/>
    </row>
    <row r="131" spans="13:38">
      <c r="M131" s="177" t="s">
        <v>1120</v>
      </c>
      <c r="N131" s="178">
        <v>7</v>
      </c>
      <c r="O131" s="179" t="str">
        <f ca="1">IF(AND(COUNTIF(C20:N20,"W")=0,COUNTIF(C20:N20,"L")=0),"",COUNTIF(C20:N20,"W"))</f>
        <v/>
      </c>
      <c r="P131" s="179" t="str">
        <f ca="1">IF(AND(COUNTIF(C20:N20,"W")=0,COUNTIF(C20:N20,"L")=0),"",COUNTIF(C20:N20,"L"))</f>
        <v/>
      </c>
      <c r="Q131" s="179" t="str">
        <f ca="1">IF(OR(COUNTIF(C20:N20,"W"),COUNTIF(C20:N20,"L")),COUNTIF(C20:N20,"W")*2+COUNTIF(C20:N20,"L"),"")</f>
        <v/>
      </c>
      <c r="R131" s="179"/>
      <c r="AG131" s="171"/>
      <c r="AH131" s="171"/>
      <c r="AI131" s="171"/>
      <c r="AJ131" s="174">
        <v>0.78125</v>
      </c>
      <c r="AK131" s="176"/>
      <c r="AL131" s="171"/>
    </row>
    <row r="132" spans="13:38">
      <c r="M132" s="177" t="s">
        <v>1120</v>
      </c>
      <c r="N132" s="178">
        <v>8</v>
      </c>
      <c r="O132" s="179" t="str">
        <f ca="1">IF(AND(COUNTIF(C20:N20,"W")=0,COUNTIF(C20:N20,"L")=0),"",COUNTIF(C20:N20,"W"))</f>
        <v/>
      </c>
      <c r="P132" s="179" t="str">
        <f ca="1">IF(AND(COUNTIF(C20:N20,"W")=0,COUNTIF(C20:N20,"L")=0),"",COUNTIF(C20:N20,"L"))</f>
        <v/>
      </c>
      <c r="Q132" s="179" t="str">
        <f ca="1">IF(OR(COUNTIF(C20:N20,"W"),COUNTIF(C20:N20,"L")),COUNTIF(C20:N20,"W")*2+COUNTIF(C20:N20,"L"),"")</f>
        <v/>
      </c>
      <c r="R132" s="179"/>
      <c r="AG132" s="171"/>
      <c r="AH132" s="171"/>
      <c r="AI132" s="171"/>
      <c r="AJ132" s="174">
        <v>0.78472222222222221</v>
      </c>
      <c r="AK132" s="176"/>
      <c r="AL132" s="171"/>
    </row>
    <row r="133" spans="13:38">
      <c r="M133" s="177" t="s">
        <v>1120</v>
      </c>
      <c r="N133" s="178">
        <v>9</v>
      </c>
      <c r="O133" s="179" t="str">
        <f ca="1">IF(AND(COUNTIF(C20:K20,"W")=0,COUNTIF(C20:K20,"L")=0),"",COUNTIF(C20:K20,"W"))</f>
        <v/>
      </c>
      <c r="P133" s="179" t="str">
        <f ca="1">IF(AND(COUNTIF(C20:K20,"W")=0,COUNTIF(C20:K20,"L")=0),"",COUNTIF(C20:K20,"L"))</f>
        <v/>
      </c>
      <c r="Q133" s="179" t="str">
        <f ca="1">IF(OR(COUNTIF(C20:K20,"W"),COUNTIF(C20:K20,"L")),COUNTIF(C20:K20,"W")*2+COUNTIF(C20:K20,"L"),"")</f>
        <v/>
      </c>
      <c r="R133" s="179" t="str">
        <f ca="1">IF(Q20&lt;&gt;"",RANK(Q20,Q$4:Q$20),"")</f>
        <v/>
      </c>
      <c r="AG133" s="171"/>
      <c r="AH133" s="171"/>
      <c r="AI133" s="171"/>
      <c r="AJ133" s="174">
        <v>0.78819444444444453</v>
      </c>
      <c r="AK133" s="176"/>
      <c r="AL133" s="171"/>
    </row>
    <row r="134" spans="13:38">
      <c r="M134" s="177" t="s">
        <v>1120</v>
      </c>
      <c r="N134" s="178">
        <v>10</v>
      </c>
      <c r="O134" s="179" t="str">
        <f ca="1">IF(AND(COUNTIF(C20:L20,"W")=0,COUNTIF(C20:L20,"L")=0),"",COUNTIF(C20:L20,"W"))</f>
        <v/>
      </c>
      <c r="P134" s="179" t="str">
        <f ca="1">IF(AND(COUNTIF(C20:L20,"W")=0,COUNTIF(C20:L20,"L")=0),"",COUNTIF(C20:L20,"L"))</f>
        <v/>
      </c>
      <c r="Q134" s="179" t="str">
        <f ca="1">IF(OR(COUNTIF(C20:L20,"W"),COUNTIF(C20:L20,"L")),COUNTIF(C20:L20,"W")*2+COUNTIF(C20:L20,"L"),"")</f>
        <v/>
      </c>
      <c r="R134" s="179" t="str">
        <f ca="1">IF(Q20&lt;&gt;"",RANK(Q20,Q$4:Q$22),"")</f>
        <v/>
      </c>
      <c r="AG134" s="171"/>
      <c r="AH134" s="171"/>
      <c r="AI134" s="171"/>
      <c r="AJ134" s="174">
        <v>0.79166666666666663</v>
      </c>
      <c r="AK134" s="176"/>
      <c r="AL134" s="171"/>
    </row>
    <row r="135" spans="13:38">
      <c r="M135" s="177" t="s">
        <v>1120</v>
      </c>
      <c r="N135" s="178">
        <v>11</v>
      </c>
      <c r="O135" s="179" t="str">
        <f ca="1">IF(AND(COUNTIF(C20:M20,"W")=0,COUNTIF(C20:M20,"L")=0),"",COUNTIF(C20:M20,"W"))</f>
        <v/>
      </c>
      <c r="P135" s="179" t="str">
        <f ca="1">IF(AND(COUNTIF(C20:M20,"W")=0,COUNTIF(C20:M20,"L")=0),"",COUNTIF(C20:M20,"L"))</f>
        <v/>
      </c>
      <c r="Q135" s="179" t="str">
        <f ca="1">IF(OR(COUNTIF(C20:M20,"W"),COUNTIF(C20:M20,"L")),COUNTIF(C20:M20,"W")*2+COUNTIF(C20:M20,"L"),"")</f>
        <v/>
      </c>
      <c r="R135" s="179" t="str">
        <f ca="1">IF(Q20&lt;&gt;"",RANK(Q20,Q$4:Q$24),"")</f>
        <v/>
      </c>
      <c r="AG135" s="171"/>
      <c r="AH135" s="171"/>
      <c r="AI135" s="171"/>
      <c r="AJ135" s="174">
        <v>0.79513888888888884</v>
      </c>
      <c r="AK135" s="176"/>
      <c r="AL135" s="171"/>
    </row>
    <row r="136" spans="13:38">
      <c r="M136" s="180"/>
      <c r="N136" s="180"/>
      <c r="O136" s="179"/>
      <c r="P136" s="179"/>
      <c r="Q136" s="179"/>
      <c r="R136" s="179"/>
      <c r="AG136" s="171"/>
      <c r="AH136" s="171"/>
      <c r="AI136" s="171"/>
      <c r="AJ136" s="174">
        <v>0.79861111111111116</v>
      </c>
      <c r="AK136" s="176"/>
      <c r="AL136" s="171"/>
    </row>
    <row r="137" spans="13:38">
      <c r="M137" s="177" t="s">
        <v>1121</v>
      </c>
      <c r="N137" s="178">
        <v>1</v>
      </c>
      <c r="O137" s="179" t="str">
        <f ca="1">IF(AND(COUNTIF(C22:N22,"W")=0,COUNTIF(C22:N22,"L")=0),"",COUNTIF(C22:N22,"W"))</f>
        <v/>
      </c>
      <c r="P137" s="179" t="str">
        <f ca="1">IF(AND(COUNTIF(C22:N22,"W")=0,COUNTIF(C22:N22,"L")=0),"",COUNTIF(C22:N22,"L"))</f>
        <v/>
      </c>
      <c r="Q137" s="179" t="str">
        <f ca="1">IF(OR(COUNTIF(C22:N22,"W"),COUNTIF(C22:N22,"L")),COUNTIF(C22:N22,"W")*2+COUNTIF(C22:N22,"L"),"")</f>
        <v/>
      </c>
      <c r="R137" s="179" t="str">
        <f ca="1">IF(Q22&lt;&gt;"",RANK(Q22,Q$4:Q$26),"")</f>
        <v/>
      </c>
      <c r="AG137" s="171"/>
      <c r="AH137" s="171"/>
      <c r="AI137" s="171"/>
      <c r="AJ137" s="174">
        <v>0.80208333333333337</v>
      </c>
      <c r="AK137" s="176"/>
      <c r="AL137" s="171"/>
    </row>
    <row r="138" spans="13:38">
      <c r="M138" s="177" t="s">
        <v>1121</v>
      </c>
      <c r="N138" s="178">
        <v>2</v>
      </c>
      <c r="O138" s="179" t="str">
        <f ca="1">IF(AND(COUNTIF(I22:N22,"W")=0,COUNTIF(I22:N22,"L")=0),"",COUNTIF(I22:N22,"W"))</f>
        <v/>
      </c>
      <c r="P138" s="179" t="str">
        <f ca="1">IF(AND(COUNTIF(I22:N22,"W")=0,COUNTIF(I22:N22,"L")=0),"",COUNTIF(I22:N22,"L"))</f>
        <v/>
      </c>
      <c r="Q138" s="179" t="str">
        <f ca="1">IF(OR(COUNTIF(I22:N22,"W"),COUNTIF(I22:N22,"L")),COUNTIF(I22:N22,"W")*2+COUNTIF(I22:N22,"L"),"")</f>
        <v/>
      </c>
      <c r="R138" s="179" t="str">
        <f ca="1">IF(Q22&lt;&gt;"",RANK(Q22,Q$16:Q$26),"")</f>
        <v/>
      </c>
      <c r="AG138" s="171"/>
      <c r="AH138" s="171"/>
      <c r="AI138" s="171"/>
      <c r="AJ138" s="174">
        <v>0.80555555555555547</v>
      </c>
      <c r="AK138" s="176"/>
      <c r="AL138" s="171"/>
    </row>
    <row r="139" spans="13:38">
      <c r="M139" s="177" t="s">
        <v>1121</v>
      </c>
      <c r="N139" s="178">
        <v>3</v>
      </c>
      <c r="O139" s="179" t="str">
        <f ca="1">IF(AND(COUNTIF(K22:N22,"W")=0,COUNTIF(K22:N22,"L")=0),"",COUNTIF(K22:N22,"W"))</f>
        <v/>
      </c>
      <c r="P139" s="179" t="str">
        <f ca="1">IF(AND(COUNTIF(K22:N22,"W")=0,COUNTIF(K22:N22,"L")=0),"",COUNTIF(K22:N22,"L"))</f>
        <v/>
      </c>
      <c r="Q139" s="179" t="str">
        <f ca="1">IF(OR(COUNTIF(K22:N22,"W"),COUNTIF(K22:N22,"L")),COUNTIF(K22:N22,"W")*2+COUNTIF(K22:N22,"L"),"")</f>
        <v/>
      </c>
      <c r="R139" s="179" t="str">
        <f ca="1">IF(Q22&lt;&gt;"",RANK(Q22,Q$20:Q$26),"")</f>
        <v/>
      </c>
      <c r="AG139" s="171"/>
      <c r="AH139" s="171"/>
      <c r="AI139" s="171"/>
      <c r="AJ139" s="174">
        <v>0.80902777777777779</v>
      </c>
      <c r="AK139" s="176"/>
      <c r="AL139" s="171"/>
    </row>
    <row r="140" spans="13:38">
      <c r="M140" s="177" t="s">
        <v>1121</v>
      </c>
      <c r="N140" s="178">
        <v>4</v>
      </c>
      <c r="O140" s="179" t="str">
        <f ca="1">IF(AND(COUNTIF(L22:N22,"W")=0,COUNTIF(L22:N22,"L")=0),"",COUNTIF(L22:N22,"W"))</f>
        <v/>
      </c>
      <c r="P140" s="179" t="str">
        <f ca="1">IF(AND(COUNTIF(L22:N22,"W")=0,COUNTIF(L22:N22,"L")=0),"",COUNTIF(L22:N22,"L"))</f>
        <v/>
      </c>
      <c r="Q140" s="179" t="str">
        <f ca="1">IF(OR(COUNTIF(L22:N22,"W"),COUNTIF(L22:N22,"L")),COUNTIF(L22:N22,"W")*2+COUNTIF(L22:N22,"L"),"")</f>
        <v/>
      </c>
      <c r="R140" s="179" t="str">
        <f ca="1">IF(Q22&lt;&gt;"",RANK(Q22,Q$22:Q$26),"")</f>
        <v/>
      </c>
      <c r="AG140" s="171"/>
      <c r="AH140" s="171"/>
      <c r="AI140" s="171"/>
      <c r="AJ140" s="174">
        <v>0.8125</v>
      </c>
      <c r="AK140" s="176"/>
      <c r="AL140" s="171"/>
    </row>
    <row r="141" spans="13:38">
      <c r="M141" s="177" t="s">
        <v>1121</v>
      </c>
      <c r="N141" s="178">
        <v>5</v>
      </c>
      <c r="O141" s="179" t="str">
        <f ca="1">IF(AND(COUNTIF(C22:N22,"W")=0,COUNTIF(C22:N22,"L")=0),"",COUNTIF(C22:N22,"W"))</f>
        <v/>
      </c>
      <c r="P141" s="179" t="str">
        <f ca="1">IF(AND(COUNTIF(C22:N22,"W")=0,COUNTIF(C22:N22,"L")=0),"",COUNTIF(C22:N22,"L"))</f>
        <v/>
      </c>
      <c r="Q141" s="179" t="str">
        <f ca="1">IF(OR(COUNTIF(C22:N22,"W"),COUNTIF(C22:N22,"L")),COUNTIF(C22:N22,"W")*2+COUNTIF(C22:N22,"L"),"")</f>
        <v/>
      </c>
      <c r="R141" s="179"/>
      <c r="AG141" s="171"/>
      <c r="AH141" s="171"/>
      <c r="AI141" s="171"/>
      <c r="AJ141" s="174">
        <v>0.81597222222222221</v>
      </c>
      <c r="AK141" s="176"/>
      <c r="AL141" s="171"/>
    </row>
    <row r="142" spans="13:38">
      <c r="M142" s="177" t="s">
        <v>1121</v>
      </c>
      <c r="N142" s="178">
        <v>6</v>
      </c>
      <c r="O142" s="179" t="str">
        <f ca="1">IF(AND(COUNTIF(C22:N22,"W")=0,COUNTIF(C22:N22,"L")=0),"",COUNTIF(C22:N22,"W"))</f>
        <v/>
      </c>
      <c r="P142" s="179" t="str">
        <f ca="1">IF(AND(COUNTIF(C22:N22,"W")=0,COUNTIF(C22:N22,"L")=0),"",COUNTIF(C22:N22,"L"))</f>
        <v/>
      </c>
      <c r="Q142" s="179" t="str">
        <f ca="1">IF(OR(COUNTIF(C22:N22,"W"),COUNTIF(C22:N22,"L")),COUNTIF(C22:N22,"W")*2+COUNTIF(C22:N22,"L"),"")</f>
        <v/>
      </c>
      <c r="R142" s="179"/>
      <c r="AG142" s="171"/>
      <c r="AH142" s="171"/>
      <c r="AI142" s="171"/>
      <c r="AJ142" s="174">
        <v>0.81944444444444453</v>
      </c>
      <c r="AK142" s="176"/>
      <c r="AL142" s="171"/>
    </row>
    <row r="143" spans="13:38">
      <c r="M143" s="177" t="s">
        <v>1121</v>
      </c>
      <c r="N143" s="178">
        <v>7</v>
      </c>
      <c r="O143" s="179" t="str">
        <f ca="1">IF(AND(COUNTIF(C22:N22,"W")=0,COUNTIF(C22:N22,"L")=0),"",COUNTIF(C22:N22,"W"))</f>
        <v/>
      </c>
      <c r="P143" s="179" t="str">
        <f ca="1">IF(AND(COUNTIF(C22:N22,"W")=0,COUNTIF(C22:N22,"L")=0),"",COUNTIF(C22:N22,"L"))</f>
        <v/>
      </c>
      <c r="Q143" s="179" t="str">
        <f ca="1">IF(OR(COUNTIF(C22:N22,"W"),COUNTIF(C22:N22,"L")),COUNTIF(C22:N22,"W")*2+COUNTIF(C22:N22,"L"),"")</f>
        <v/>
      </c>
      <c r="R143" s="179"/>
      <c r="AG143" s="171"/>
      <c r="AH143" s="171"/>
      <c r="AI143" s="171"/>
      <c r="AJ143" s="174">
        <v>0.82291666666666663</v>
      </c>
      <c r="AK143" s="176"/>
      <c r="AL143" s="171"/>
    </row>
    <row r="144" spans="13:38">
      <c r="M144" s="177" t="s">
        <v>1121</v>
      </c>
      <c r="N144" s="178">
        <v>8</v>
      </c>
      <c r="O144" s="179" t="str">
        <f ca="1">IF(AND(COUNTIF(C22:N22,"W")=0,COUNTIF(C22:N22,"L")=0),"",COUNTIF(C22:N22,"W"))</f>
        <v/>
      </c>
      <c r="P144" s="179" t="str">
        <f ca="1">IF(AND(COUNTIF(C22:N22,"W")=0,COUNTIF(C22:N22,"L")=0),"",COUNTIF(C22:N22,"L"))</f>
        <v/>
      </c>
      <c r="Q144" s="179" t="str">
        <f ca="1">IF(OR(COUNTIF(C22:N22,"W"),COUNTIF(C22:N22,"L")),COUNTIF(C22:N22,"W")*2+COUNTIF(C22:N22,"L"),"")</f>
        <v/>
      </c>
      <c r="R144" s="179"/>
      <c r="AG144" s="171"/>
      <c r="AH144" s="171"/>
      <c r="AI144" s="171"/>
      <c r="AJ144" s="174">
        <v>0.82638888888888884</v>
      </c>
      <c r="AK144" s="176"/>
      <c r="AL144" s="171"/>
    </row>
    <row r="145" spans="13:38">
      <c r="M145" s="177" t="s">
        <v>1121</v>
      </c>
      <c r="N145" s="178">
        <v>9</v>
      </c>
      <c r="O145" s="179" t="str">
        <f ca="1">IF(AND(COUNTIF(C22:N22,"W")=0,COUNTIF(C22:N22,"L")=0),"",COUNTIF(C22:N22,"W"))</f>
        <v/>
      </c>
      <c r="P145" s="179" t="str">
        <f ca="1">IF(AND(COUNTIF(C22:N22,"W")=0,COUNTIF(C22:N22,"L")=0),"",COUNTIF(C22:N22,"L"))</f>
        <v/>
      </c>
      <c r="Q145" s="179" t="str">
        <f ca="1">IF(OR(COUNTIF(C22:N22,"W"),COUNTIF(C22:N22,"L")),COUNTIF(C22:N22,"W")*2+COUNTIF(C22:N22,"L"),"")</f>
        <v/>
      </c>
      <c r="R145" s="179"/>
      <c r="AG145" s="171"/>
      <c r="AH145" s="171"/>
      <c r="AI145" s="171"/>
      <c r="AJ145" s="174">
        <v>0.82986111111111116</v>
      </c>
      <c r="AK145" s="176"/>
      <c r="AL145" s="171"/>
    </row>
    <row r="146" spans="13:38">
      <c r="M146" s="177" t="s">
        <v>1121</v>
      </c>
      <c r="N146" s="178">
        <v>10</v>
      </c>
      <c r="O146" s="179" t="str">
        <f ca="1">IF(AND(COUNTIF(C22:L22,"W")=0,COUNTIF(C22:L22,"L")=0),"",COUNTIF(C22:L22,"W"))</f>
        <v/>
      </c>
      <c r="P146" s="179" t="str">
        <f ca="1">IF(AND(COUNTIF(C22:L22,"W")=0,COUNTIF(C22:L22,"L")=0),"",COUNTIF(C22:L22,"L"))</f>
        <v/>
      </c>
      <c r="Q146" s="179" t="str">
        <f ca="1">IF(OR(COUNTIF(C22:L22,"W"),COUNTIF(C22:L22,"L")),COUNTIF(C22:L22,"W")*2+COUNTIF(C22:L22,"L"),"")</f>
        <v/>
      </c>
      <c r="R146" s="179" t="str">
        <f ca="1">IF(Q22&lt;&gt;"",RANK(Q22,Q$4:Q$22),"")</f>
        <v/>
      </c>
      <c r="AG146" s="171"/>
      <c r="AH146" s="171"/>
      <c r="AI146" s="171"/>
      <c r="AJ146" s="174">
        <v>0.83333333333333337</v>
      </c>
      <c r="AK146" s="176"/>
      <c r="AL146" s="171"/>
    </row>
    <row r="147" spans="13:38">
      <c r="M147" s="177" t="s">
        <v>1121</v>
      </c>
      <c r="N147" s="178">
        <v>11</v>
      </c>
      <c r="O147" s="179" t="str">
        <f ca="1">IF(AND(COUNTIF(C22:M22,"W")=0,COUNTIF(C22:M22,"L")=0),"",COUNTIF(C22:M22,"W"))</f>
        <v/>
      </c>
      <c r="P147" s="179" t="str">
        <f ca="1">IF(AND(COUNTIF(C22:M22,"W")=0,COUNTIF(C22:M22,"L")=0),"",COUNTIF(C22:M22,"L"))</f>
        <v/>
      </c>
      <c r="Q147" s="179" t="str">
        <f ca="1">IF(OR(COUNTIF(C22:M22,"W"),COUNTIF(C22:M22,"L")),COUNTIF(C22:M22,"W")*2+COUNTIF(C22:M22,"L"),"")</f>
        <v/>
      </c>
      <c r="R147" s="179" t="str">
        <f ca="1">IF(Q22&lt;&gt;"",RANK(Q22,Q$4:Q$24),"")</f>
        <v/>
      </c>
      <c r="AG147" s="171"/>
      <c r="AH147" s="171"/>
      <c r="AI147" s="171"/>
      <c r="AJ147" s="174">
        <v>0.83680555555555547</v>
      </c>
      <c r="AK147" s="176"/>
      <c r="AL147" s="171"/>
    </row>
    <row r="148" spans="13:38">
      <c r="M148" s="180"/>
      <c r="N148" s="180"/>
      <c r="O148" s="179"/>
      <c r="P148" s="179"/>
      <c r="Q148" s="179"/>
      <c r="R148" s="179"/>
      <c r="AG148" s="171"/>
      <c r="AH148" s="171"/>
      <c r="AI148" s="171"/>
      <c r="AJ148" s="174">
        <v>0.84027777777777779</v>
      </c>
      <c r="AK148" s="176"/>
      <c r="AL148" s="171"/>
    </row>
    <row r="149" spans="13:38">
      <c r="M149" s="177" t="s">
        <v>1122</v>
      </c>
      <c r="N149" s="178">
        <v>1</v>
      </c>
      <c r="O149" s="179" t="str">
        <f ca="1">IF(AND(COUNTIF(C24:N24,"W")=0,COUNTIF(C24:N24,"L")=0),"",COUNTIF(C24:N24,"W"))</f>
        <v/>
      </c>
      <c r="P149" s="179" t="str">
        <f ca="1">IF(AND(COUNTIF(C24:N24,"W")=0,COUNTIF(C24:N24,"L")=0),"",COUNTIF(C24:N24,"L"))</f>
        <v/>
      </c>
      <c r="Q149" s="179" t="str">
        <f ca="1">IF(OR(COUNTIF(C24:N24,"W"),COUNTIF(C24:N24,"L")),COUNTIF(C24:N24,"W")*2+COUNTIF(C24:N24,"L"),"")</f>
        <v/>
      </c>
      <c r="R149" s="179" t="str">
        <f ca="1">IF(Q24&lt;&gt;"",RANK(Q24,Q$4:Q$26),"")</f>
        <v/>
      </c>
      <c r="AG149" s="171"/>
      <c r="AH149" s="171"/>
      <c r="AI149" s="171"/>
      <c r="AJ149" s="174">
        <v>0.84375</v>
      </c>
      <c r="AK149" s="176"/>
      <c r="AL149" s="171"/>
    </row>
    <row r="150" spans="13:38">
      <c r="M150" s="177" t="s">
        <v>1122</v>
      </c>
      <c r="N150" s="178">
        <v>2</v>
      </c>
      <c r="O150" s="179" t="str">
        <f ca="1">IF(AND(COUNTIF(I24:N24,"W")=0,COUNTIF(I24:N24,"L")=0),"",COUNTIF(I24:N24,"W"))</f>
        <v/>
      </c>
      <c r="P150" s="179" t="str">
        <f ca="1">IF(AND(COUNTIF(I24:N24,"W")=0,COUNTIF(I24:N24,"L")=0),"",COUNTIF(I24:N24,"L"))</f>
        <v/>
      </c>
      <c r="Q150" s="179" t="str">
        <f ca="1">IF(OR(COUNTIF(I24:N24,"W"),COUNTIF(I24:N24,"L")),COUNTIF(I24:N24,"W")*2+COUNTIF(I24:N24,"L"),"")</f>
        <v/>
      </c>
      <c r="R150" s="179" t="str">
        <f ca="1">IF(Q24&lt;&gt;"",RANK(Q24,Q$16:Q$26),"")</f>
        <v/>
      </c>
      <c r="AG150" s="171"/>
      <c r="AH150" s="171"/>
      <c r="AI150" s="171"/>
      <c r="AJ150" s="174">
        <v>0.84722222222222221</v>
      </c>
      <c r="AK150" s="176"/>
      <c r="AL150" s="171"/>
    </row>
    <row r="151" spans="13:38">
      <c r="M151" s="177" t="s">
        <v>1122</v>
      </c>
      <c r="N151" s="178">
        <v>3</v>
      </c>
      <c r="O151" s="179" t="str">
        <f ca="1">IF(AND(COUNTIF(K24:N24,"W")=0,COUNTIF(K24:N24,"L")=0),"",COUNTIF(K24:N24,"W"))</f>
        <v/>
      </c>
      <c r="P151" s="179" t="str">
        <f ca="1">IF(AND(COUNTIF(K24:N24,"W")=0,COUNTIF(K24:N24,"L")=0),"",COUNTIF(K24:N24,"L"))</f>
        <v/>
      </c>
      <c r="Q151" s="179" t="str">
        <f ca="1">IF(OR(COUNTIF(K24:N24,"W"),COUNTIF(K24:N24,"L")),COUNTIF(K24:N24,"W")*2+COUNTIF(K24:N24,"L"),"")</f>
        <v/>
      </c>
      <c r="R151" s="179" t="str">
        <f ca="1">IF(Q24&lt;&gt;"",RANK(Q24,Q$20:Q$26),"")</f>
        <v/>
      </c>
      <c r="AG151" s="171"/>
      <c r="AH151" s="171"/>
      <c r="AI151" s="171"/>
      <c r="AJ151" s="174">
        <v>0.85069444444444453</v>
      </c>
      <c r="AK151" s="176"/>
      <c r="AL151" s="171"/>
    </row>
    <row r="152" spans="13:38">
      <c r="M152" s="177" t="s">
        <v>1122</v>
      </c>
      <c r="N152" s="178">
        <v>4</v>
      </c>
      <c r="O152" s="179" t="str">
        <f ca="1">IF(AND(COUNTIF(L24:N24,"W")=0,COUNTIF(L24:N24,"L")=0),"",COUNTIF(L24:N24,"W"))</f>
        <v/>
      </c>
      <c r="P152" s="179" t="str">
        <f ca="1">IF(AND(COUNTIF(L24:N24,"W")=0,COUNTIF(L24:N24,"L")=0),"",COUNTIF(L24:N24,"L"))</f>
        <v/>
      </c>
      <c r="Q152" s="179" t="str">
        <f ca="1">IF(OR(COUNTIF(L24:N24,"W"),COUNTIF(L24:N24,"L")),COUNTIF(L24:N24,"W")*2+COUNTIF(L24:N24,"L"),"")</f>
        <v/>
      </c>
      <c r="R152" s="179" t="str">
        <f ca="1">IF(Q24&lt;&gt;"",RANK(Q24,Q$22:Q$26),"")</f>
        <v/>
      </c>
      <c r="AG152" s="171"/>
      <c r="AH152" s="171"/>
      <c r="AI152" s="171"/>
      <c r="AJ152" s="174">
        <v>0.85416666666666663</v>
      </c>
      <c r="AK152" s="176"/>
      <c r="AL152" s="171"/>
    </row>
    <row r="153" spans="13:38">
      <c r="M153" s="177" t="s">
        <v>1122</v>
      </c>
      <c r="N153" s="178">
        <v>5</v>
      </c>
      <c r="O153" s="179" t="str">
        <f ca="1">IF(AND(COUNTIF(C24:N24,"W")=0,COUNTIF(C24:N24,"L")=0),"",COUNTIF(C24:N24,"W"))</f>
        <v/>
      </c>
      <c r="P153" s="179" t="str">
        <f ca="1">IF(AND(COUNTIF(C24:N24,"W")=0,COUNTIF(C24:N24,"L")=0),"",COUNTIF(C24:N24,"L"))</f>
        <v/>
      </c>
      <c r="Q153" s="179" t="str">
        <f ca="1">IF(OR(COUNTIF(C24:N24,"W"),COUNTIF(C24:N24,"L")),COUNTIF(C24:N24,"W")*2+COUNTIF(C24:N24,"L"),"")</f>
        <v/>
      </c>
      <c r="R153" s="179"/>
      <c r="AG153" s="171"/>
      <c r="AH153" s="171"/>
      <c r="AI153" s="171"/>
      <c r="AJ153" s="174">
        <v>0.85763888888888884</v>
      </c>
      <c r="AK153" s="176"/>
      <c r="AL153" s="171"/>
    </row>
    <row r="154" spans="13:38">
      <c r="M154" s="177" t="s">
        <v>1122</v>
      </c>
      <c r="N154" s="178">
        <v>6</v>
      </c>
      <c r="O154" s="179" t="str">
        <f ca="1">IF(AND(COUNTIF(C24:N24,"W")=0,COUNTIF(C24:N24,"L")=0),"",COUNTIF(C24:N24,"W"))</f>
        <v/>
      </c>
      <c r="P154" s="179" t="str">
        <f ca="1">IF(AND(COUNTIF(C24:N24,"W")=0,COUNTIF(C24:N24,"L")=0),"",COUNTIF(C24:N24,"L"))</f>
        <v/>
      </c>
      <c r="Q154" s="179" t="str">
        <f ca="1">IF(OR(COUNTIF(C24:N24,"W"),COUNTIF(C24:N24,"L")),COUNTIF(C24:N24,"W")*2+COUNTIF(C24:N24,"L"),"")</f>
        <v/>
      </c>
      <c r="R154" s="179"/>
      <c r="AG154" s="171"/>
      <c r="AH154" s="171"/>
      <c r="AI154" s="171"/>
      <c r="AJ154" s="174">
        <v>0.86111111111111116</v>
      </c>
      <c r="AK154" s="176"/>
      <c r="AL154" s="171"/>
    </row>
    <row r="155" spans="13:38">
      <c r="M155" s="177" t="s">
        <v>1122</v>
      </c>
      <c r="N155" s="178">
        <v>7</v>
      </c>
      <c r="O155" s="179" t="str">
        <f ca="1">IF(AND(COUNTIF(C24:N24,"W")=0,COUNTIF(C24:N24,"L")=0),"",COUNTIF(C24:N24,"W"))</f>
        <v/>
      </c>
      <c r="P155" s="179" t="str">
        <f ca="1">IF(AND(COUNTIF(C24:N24,"W")=0,COUNTIF(C24:N24,"L")=0),"",COUNTIF(C24:N24,"L"))</f>
        <v/>
      </c>
      <c r="Q155" s="179" t="str">
        <f ca="1">IF(OR(COUNTIF(C24:N24,"W"),COUNTIF(C24:N24,"L")),COUNTIF(C24:N24,"W")*2+COUNTIF(C24:N24,"L"),"")</f>
        <v/>
      </c>
      <c r="R155" s="179"/>
      <c r="AG155" s="171"/>
      <c r="AH155" s="171"/>
      <c r="AI155" s="171"/>
      <c r="AJ155" s="174">
        <v>0.86458333333333337</v>
      </c>
      <c r="AK155" s="176"/>
      <c r="AL155" s="171"/>
    </row>
    <row r="156" spans="13:38">
      <c r="M156" s="177" t="s">
        <v>1122</v>
      </c>
      <c r="N156" s="178">
        <v>8</v>
      </c>
      <c r="O156" s="179" t="str">
        <f ca="1">IF(AND(COUNTIF(C24:N24,"W")=0,COUNTIF(C24:N24,"L")=0),"",COUNTIF(C24:N24,"W"))</f>
        <v/>
      </c>
      <c r="P156" s="179" t="str">
        <f ca="1">IF(AND(COUNTIF(C24:N24,"W")=0,COUNTIF(C24:N24,"L")=0),"",COUNTIF(C24:N24,"L"))</f>
        <v/>
      </c>
      <c r="Q156" s="179" t="str">
        <f ca="1">IF(OR(COUNTIF(C24:N24,"W"),COUNTIF(C24:N24,"L")),COUNTIF(C24:N24,"W")*2+COUNTIF(C24:N24,"L"),"")</f>
        <v/>
      </c>
      <c r="R156" s="179"/>
      <c r="AG156" s="171"/>
      <c r="AH156" s="171"/>
      <c r="AI156" s="171"/>
      <c r="AJ156" s="174">
        <v>0.86805555555555547</v>
      </c>
      <c r="AK156" s="176"/>
      <c r="AL156" s="171"/>
    </row>
    <row r="157" spans="13:38">
      <c r="M157" s="177" t="s">
        <v>1122</v>
      </c>
      <c r="N157" s="178">
        <v>9</v>
      </c>
      <c r="O157" s="179" t="str">
        <f ca="1">IF(AND(COUNTIF(C24:N24,"W")=0,COUNTIF(C24:N24,"L")=0),"",COUNTIF(C24:N24,"W"))</f>
        <v/>
      </c>
      <c r="P157" s="179" t="str">
        <f ca="1">IF(AND(COUNTIF(C24:N24,"W")=0,COUNTIF(C24:N24,"L")=0),"",COUNTIF(C24:N24,"L"))</f>
        <v/>
      </c>
      <c r="Q157" s="179" t="str">
        <f ca="1">IF(OR(COUNTIF(C24:N24,"W"),COUNTIF(C24:N24,"L")),COUNTIF(C24:N24,"W")*2+COUNTIF(C24:N24,"L"),"")</f>
        <v/>
      </c>
      <c r="R157" s="179"/>
      <c r="AG157" s="171"/>
      <c r="AH157" s="171"/>
      <c r="AI157" s="171"/>
      <c r="AJ157" s="174">
        <v>0.87152777777777779</v>
      </c>
      <c r="AK157" s="176"/>
      <c r="AL157" s="171"/>
    </row>
    <row r="158" spans="13:38">
      <c r="M158" s="177" t="s">
        <v>1122</v>
      </c>
      <c r="N158" s="178">
        <v>10</v>
      </c>
      <c r="O158" s="179" t="str">
        <f ca="1">IF(AND(COUNTIF(C24:N24,"W")=0,COUNTIF(C24:N24,"L")=0),"",COUNTIF(C24:N24,"W"))</f>
        <v/>
      </c>
      <c r="P158" s="179" t="str">
        <f ca="1">IF(AND(COUNTIF(C24:N24,"W")=0,COUNTIF(C24:N24,"L")=0),"",COUNTIF(C24:N24,"L"))</f>
        <v/>
      </c>
      <c r="Q158" s="179" t="str">
        <f ca="1">IF(OR(COUNTIF(C24:N24,"W"),COUNTIF(C24:N24,"L")),COUNTIF(C24:N24,"W")*2+COUNTIF(C24:N24,"L"),"")</f>
        <v/>
      </c>
      <c r="R158" s="179"/>
      <c r="AG158" s="171"/>
      <c r="AH158" s="171"/>
      <c r="AI158" s="171"/>
      <c r="AJ158" s="174">
        <v>0.875</v>
      </c>
      <c r="AK158" s="176"/>
      <c r="AL158" s="171"/>
    </row>
    <row r="159" spans="13:38">
      <c r="M159" s="177" t="s">
        <v>1122</v>
      </c>
      <c r="N159" s="178">
        <v>11</v>
      </c>
      <c r="O159" s="179" t="str">
        <f ca="1">IF(AND(COUNTIF(C24:M24,"W")=0,COUNTIF(C24:M24,"L")=0),"",COUNTIF(C24:M24,"W"))</f>
        <v/>
      </c>
      <c r="P159" s="179" t="str">
        <f ca="1">IF(AND(COUNTIF(C24:M24,"W")=0,COUNTIF(C24:M24,"L")=0),"",COUNTIF(C24:M24,"L"))</f>
        <v/>
      </c>
      <c r="Q159" s="179" t="str">
        <f ca="1">IF(OR(COUNTIF(C24:M24,"W"),COUNTIF(C24:M24,"L")),COUNTIF(C24:M24,"W")*2+COUNTIF(C24:M24,"L"),"")</f>
        <v/>
      </c>
      <c r="R159" s="179" t="str">
        <f ca="1">IF(Q24&lt;&gt;"",RANK(Q24,Q$4:Q$24),"")</f>
        <v/>
      </c>
    </row>
    <row r="160" spans="13:38">
      <c r="M160" s="180"/>
      <c r="N160" s="180"/>
      <c r="O160" s="179"/>
      <c r="P160" s="179"/>
      <c r="Q160" s="179"/>
      <c r="R160" s="179"/>
    </row>
    <row r="161" spans="13:18">
      <c r="M161" s="177" t="s">
        <v>1123</v>
      </c>
      <c r="N161" s="178">
        <v>1</v>
      </c>
      <c r="O161" s="179" t="str">
        <f ca="1">IF(AND(COUNTIF(C26:N26,"W")=0,COUNTIF(C26:N26,"L")=0),"",COUNTIF(C26:N26,"W"))</f>
        <v/>
      </c>
      <c r="P161" s="179" t="str">
        <f ca="1">IF(AND(COUNTIF(C26:N26,"W")=0,COUNTIF(C26:N26,"L")=0),"",COUNTIF(C26:N26,"L"))</f>
        <v/>
      </c>
      <c r="Q161" s="179" t="str">
        <f ca="1">IF(OR(COUNTIF(C26:N26,"W"),COUNTIF(C26:N26,"L")),COUNTIF(C26:N26,"W")*2+COUNTIF(C26:N26,"L"),"")</f>
        <v/>
      </c>
      <c r="R161" s="179" t="str">
        <f ca="1">IF(Q26&lt;&gt;"",RANK(Q26,Q$4:Q$26),"")</f>
        <v/>
      </c>
    </row>
    <row r="162" spans="13:18">
      <c r="M162" s="177" t="s">
        <v>1123</v>
      </c>
      <c r="N162" s="178">
        <v>2</v>
      </c>
      <c r="O162" s="179" t="str">
        <f ca="1">IF(AND(COUNTIF(I26:N26,"W")=0,COUNTIF(I26:N26,"L")=0),"",COUNTIF(I26:N26,"W"))</f>
        <v/>
      </c>
      <c r="P162" s="179" t="str">
        <f ca="1">IF(AND(COUNTIF(I26:N26,"W")=0,COUNTIF(I26:N26,"L")=0),"",COUNTIF(I26:N26,"L"))</f>
        <v/>
      </c>
      <c r="Q162" s="179" t="str">
        <f ca="1">IF(OR(COUNTIF(I26:N26,"W"),COUNTIF(I26:N26,"L")),COUNTIF(I26:N26,"W")*2+COUNTIF(I26:N26,"L"),"")</f>
        <v/>
      </c>
      <c r="R162" s="179" t="str">
        <f ca="1">IF(Q26&lt;&gt;"",RANK(Q26,Q$16:Q$26),"")</f>
        <v/>
      </c>
    </row>
    <row r="163" spans="13:18">
      <c r="M163" s="177" t="s">
        <v>1123</v>
      </c>
      <c r="N163" s="178">
        <v>3</v>
      </c>
      <c r="O163" s="179" t="str">
        <f ca="1">IF(AND(COUNTIF(K26:N26,"W")=0,COUNTIF(K26:N26,"L")=0),"",COUNTIF(K26:N26,"W"))</f>
        <v/>
      </c>
      <c r="P163" s="179" t="str">
        <f ca="1">IF(AND(COUNTIF(K26:N26,"W")=0,COUNTIF(K26:N26,"L")=0),"",COUNTIF(K26:N26,"L"))</f>
        <v/>
      </c>
      <c r="Q163" s="179" t="str">
        <f ca="1">IF(OR(COUNTIF(K26:N26,"W"),COUNTIF(K26:N26,"L")),COUNTIF(K26:N26,"W")*2+COUNTIF(K26:N26,"L"),"")</f>
        <v/>
      </c>
      <c r="R163" s="179" t="str">
        <f ca="1">IF(Q26&lt;&gt;"",RANK(Q26,Q$20:Q$26),"")</f>
        <v/>
      </c>
    </row>
    <row r="164" spans="13:18">
      <c r="M164" s="177" t="s">
        <v>1123</v>
      </c>
      <c r="N164" s="178">
        <v>4</v>
      </c>
      <c r="O164" s="179" t="str">
        <f ca="1">IF(AND(COUNTIF(L26:N26,"W")=0,COUNTIF(L26:N26,"L")=0),"",COUNTIF(L26:N26,"W"))</f>
        <v/>
      </c>
      <c r="P164" s="179" t="str">
        <f ca="1">IF(AND(COUNTIF(L26:N26,"W")=0,COUNTIF(L26:N26,"L")=0),"",COUNTIF(L26:N26,"L"))</f>
        <v/>
      </c>
      <c r="Q164" s="179" t="str">
        <f ca="1">IF(OR(COUNTIF(L26:N26,"W"),COUNTIF(L26:N26,"L")),COUNTIF(L26:N26,"W")*2+COUNTIF(L26:N26,"L"),"")</f>
        <v/>
      </c>
      <c r="R164" s="179" t="str">
        <f ca="1">IF(Q26&lt;&gt;"",RANK(Q26,Q$22:Q$26),"")</f>
        <v/>
      </c>
    </row>
    <row r="165" spans="13:18">
      <c r="M165" s="177" t="s">
        <v>1123</v>
      </c>
      <c r="N165" s="178">
        <v>5</v>
      </c>
      <c r="O165" s="179" t="str">
        <f ca="1">IF(AND(COUNTIF(C26:N26,"W")=0,COUNTIF(C26:N26,"L")=0),"",COUNTIF(C26:N26,"W"))</f>
        <v/>
      </c>
      <c r="P165" s="179" t="str">
        <f ca="1">IF(AND(COUNTIF(C26:N26,"W")=0,COUNTIF(C26:N26,"L")=0),"",COUNTIF(C26:N26,"L"))</f>
        <v/>
      </c>
      <c r="Q165" s="179" t="str">
        <f ca="1">IF(OR(COUNTIF(C26:N26,"W"),COUNTIF(C26:N26,"L")),COUNTIF(C26:N26,"W")*2+COUNTIF(C26:N26,"L"),"")</f>
        <v/>
      </c>
      <c r="R165" s="179"/>
    </row>
    <row r="166" spans="13:18">
      <c r="M166" s="177" t="s">
        <v>1123</v>
      </c>
      <c r="N166" s="178">
        <v>6</v>
      </c>
      <c r="O166" s="179" t="str">
        <f ca="1">IF(AND(COUNTIF(C26:N26,"W")=0,COUNTIF(C26:N26,"L")=0),"",COUNTIF(C26:N26,"W"))</f>
        <v/>
      </c>
      <c r="P166" s="179" t="str">
        <f ca="1">IF(AND(COUNTIF(C26:N26,"W")=0,COUNTIF(C26:N26,"L")=0),"",COUNTIF(C26:N26,"L"))</f>
        <v/>
      </c>
      <c r="Q166" s="179" t="str">
        <f ca="1">IF(OR(COUNTIF(C26:N26,"W"),COUNTIF(C26:N26,"L")),COUNTIF(C26:N26,"W")*2+COUNTIF(C26:N26,"L"),"")</f>
        <v/>
      </c>
      <c r="R166" s="179"/>
    </row>
    <row r="167" spans="13:18">
      <c r="M167" s="177" t="s">
        <v>1123</v>
      </c>
      <c r="N167" s="178">
        <v>7</v>
      </c>
      <c r="O167" s="179" t="str">
        <f ca="1">IF(AND(COUNTIF(C26:N26,"W")=0,COUNTIF(C26:N26,"L")=0),"",COUNTIF(C26:N26,"W"))</f>
        <v/>
      </c>
      <c r="P167" s="179" t="str">
        <f ca="1">IF(AND(COUNTIF(C26:N26,"W")=0,COUNTIF(C26:N26,"L")=0),"",COUNTIF(C26:N26,"L"))</f>
        <v/>
      </c>
      <c r="Q167" s="179" t="str">
        <f ca="1">IF(OR(COUNTIF(C26:N26,"W"),COUNTIF(C26:N26,"L")),COUNTIF(C26:N26,"W")*2+COUNTIF(C26:N26,"L"),"")</f>
        <v/>
      </c>
      <c r="R167" s="179"/>
    </row>
    <row r="168" spans="13:18">
      <c r="M168" s="177" t="s">
        <v>1123</v>
      </c>
      <c r="N168" s="178">
        <v>8</v>
      </c>
      <c r="O168" s="179" t="str">
        <f ca="1">IF(AND(COUNTIF(C26:N26,"W")=0,COUNTIF(C26:N26,"L")=0),"",COUNTIF(C26:N26,"W"))</f>
        <v/>
      </c>
      <c r="P168" s="179" t="str">
        <f ca="1">IF(AND(COUNTIF(C26:N26,"W")=0,COUNTIF(C26:N26,"L")=0),"",COUNTIF(C26:N26,"L"))</f>
        <v/>
      </c>
      <c r="Q168" s="179" t="str">
        <f ca="1">IF(OR(COUNTIF(C26:N26,"W"),COUNTIF(C26:N26,"L")),COUNTIF(C26:N26,"W")*2+COUNTIF(C26:N26,"L"),"")</f>
        <v/>
      </c>
      <c r="R168" s="179"/>
    </row>
    <row r="169" spans="13:18">
      <c r="M169" s="177" t="s">
        <v>1123</v>
      </c>
      <c r="N169" s="178">
        <v>9</v>
      </c>
      <c r="O169" s="179" t="str">
        <f ca="1">IF(AND(COUNTIF(C26:N26,"W")=0,COUNTIF(C26:N26,"L")=0),"",COUNTIF(C26:N26,"W"))</f>
        <v/>
      </c>
      <c r="P169" s="179" t="str">
        <f ca="1">IF(AND(COUNTIF(C26:N26,"W")=0,COUNTIF(C26:N26,"L")=0),"",COUNTIF(C26:N26,"L"))</f>
        <v/>
      </c>
      <c r="Q169" s="179" t="str">
        <f ca="1">IF(OR(COUNTIF(C26:N26,"W"),COUNTIF(C26:N26,"L")),COUNTIF(C26:N26,"W")*2+COUNTIF(C26:N26,"L"),"")</f>
        <v/>
      </c>
      <c r="R169" s="179"/>
    </row>
    <row r="170" spans="13:18">
      <c r="M170" s="177" t="s">
        <v>1123</v>
      </c>
      <c r="N170" s="178">
        <v>10</v>
      </c>
      <c r="O170" s="179" t="str">
        <f ca="1">IF(AND(COUNTIF(C26:N26,"W")=0,COUNTIF(C26:N26,"L")=0),"",COUNTIF(C26:N26,"W"))</f>
        <v/>
      </c>
      <c r="P170" s="179" t="str">
        <f ca="1">IF(AND(COUNTIF(C26:N26,"W")=0,COUNTIF(C26:N26,"L")=0),"",COUNTIF(C26:N26,"L"))</f>
        <v/>
      </c>
      <c r="Q170" s="179" t="str">
        <f ca="1">IF(OR(COUNTIF(C26:N26,"W"),COUNTIF(C26:N26,"L")),COUNTIF(C26:N26,"W")*2+COUNTIF(C26:N26,"L"),"")</f>
        <v/>
      </c>
      <c r="R170" s="179"/>
    </row>
    <row r="171" spans="13:18">
      <c r="M171" s="177" t="s">
        <v>1123</v>
      </c>
      <c r="N171" s="178">
        <v>11</v>
      </c>
      <c r="O171" s="179" t="str">
        <f ca="1">IF(AND(COUNTIF(C26:N26,"W")=0,COUNTIF(C26:N26,"L")=0),"",COUNTIF(C26:N26,"W"))</f>
        <v/>
      </c>
      <c r="P171" s="179" t="str">
        <f ca="1">IF(AND(COUNTIF(C26:N26,"W")=0,COUNTIF(C26:N26,"L")=0),"",COUNTIF(C26:N26,"L"))</f>
        <v/>
      </c>
      <c r="Q171" s="179" t="str">
        <f ca="1">IF(OR(COUNTIF(C26:N26,"W"),COUNTIF(C26:N26,"L")),COUNTIF(C26:N26,"W")*2+COUNTIF(C26:N26,"L"),"")</f>
        <v/>
      </c>
      <c r="R171" s="179"/>
    </row>
  </sheetData>
  <sheetProtection sheet="1" objects="1" scenarios="1"/>
  <mergeCells count="90">
    <mergeCell ref="O4:O5"/>
    <mergeCell ref="R18:R19"/>
    <mergeCell ref="O14:O15"/>
    <mergeCell ref="Q18:Q19"/>
    <mergeCell ref="P18:P19"/>
    <mergeCell ref="R8:R9"/>
    <mergeCell ref="R10:R11"/>
    <mergeCell ref="R6:R7"/>
    <mergeCell ref="Q14:Q15"/>
    <mergeCell ref="R14:R15"/>
    <mergeCell ref="O8:O9"/>
    <mergeCell ref="P8:P9"/>
    <mergeCell ref="Q8:Q9"/>
    <mergeCell ref="O10:O11"/>
    <mergeCell ref="P10:P11"/>
    <mergeCell ref="R26:R27"/>
    <mergeCell ref="Q16:Q17"/>
    <mergeCell ref="R16:R17"/>
    <mergeCell ref="Q26:Q27"/>
    <mergeCell ref="Q20:Q21"/>
    <mergeCell ref="R24:R25"/>
    <mergeCell ref="Q22:Q23"/>
    <mergeCell ref="Q24:Q25"/>
    <mergeCell ref="R22:R23"/>
    <mergeCell ref="R20:R21"/>
    <mergeCell ref="B16:B17"/>
    <mergeCell ref="B18:B19"/>
    <mergeCell ref="O20:O21"/>
    <mergeCell ref="O18:O19"/>
    <mergeCell ref="O16:O17"/>
    <mergeCell ref="O26:O27"/>
    <mergeCell ref="P26:P27"/>
    <mergeCell ref="P22:P23"/>
    <mergeCell ref="P24:P25"/>
    <mergeCell ref="O22:O23"/>
    <mergeCell ref="O24:O25"/>
    <mergeCell ref="P20:P21"/>
    <mergeCell ref="P16:P17"/>
    <mergeCell ref="Q12:Q13"/>
    <mergeCell ref="R12:R13"/>
    <mergeCell ref="O12:O13"/>
    <mergeCell ref="P14:P15"/>
    <mergeCell ref="A14:A15"/>
    <mergeCell ref="A16:A17"/>
    <mergeCell ref="A18:A19"/>
    <mergeCell ref="A20:A21"/>
    <mergeCell ref="P4:P5"/>
    <mergeCell ref="P12:P13"/>
    <mergeCell ref="A12:A13"/>
    <mergeCell ref="B14:B15"/>
    <mergeCell ref="A4:A5"/>
    <mergeCell ref="B4:B5"/>
    <mergeCell ref="A6:A7"/>
    <mergeCell ref="B6:B7"/>
    <mergeCell ref="A8:A9"/>
    <mergeCell ref="B8:B9"/>
    <mergeCell ref="A10:A11"/>
    <mergeCell ref="B10:B11"/>
    <mergeCell ref="A26:A27"/>
    <mergeCell ref="B26:B27"/>
    <mergeCell ref="B20:B21"/>
    <mergeCell ref="A24:A25"/>
    <mergeCell ref="B24:B25"/>
    <mergeCell ref="A22:A23"/>
    <mergeCell ref="B22:B23"/>
    <mergeCell ref="B12:B13"/>
    <mergeCell ref="T1:Z1"/>
    <mergeCell ref="T3:Z3"/>
    <mergeCell ref="T4:Z4"/>
    <mergeCell ref="T5:Z5"/>
    <mergeCell ref="T6:Z6"/>
    <mergeCell ref="T8:Z8"/>
    <mergeCell ref="T7:Z7"/>
    <mergeCell ref="D1:N1"/>
    <mergeCell ref="O6:O7"/>
    <mergeCell ref="P6:P7"/>
    <mergeCell ref="Q10:Q11"/>
    <mergeCell ref="P1:R1"/>
    <mergeCell ref="Q4:Q5"/>
    <mergeCell ref="R4:R5"/>
    <mergeCell ref="Q6:Q7"/>
    <mergeCell ref="AC13:AF13"/>
    <mergeCell ref="T10:Z10"/>
    <mergeCell ref="T11:Z11"/>
    <mergeCell ref="AC9:AF9"/>
    <mergeCell ref="AC12:AF12"/>
    <mergeCell ref="AC10:AF10"/>
    <mergeCell ref="T12:Z12"/>
    <mergeCell ref="T13:Z13"/>
    <mergeCell ref="T9:Z9"/>
  </mergeCells>
  <phoneticPr fontId="1" type="noConversion"/>
  <conditionalFormatting sqref="G14:G15 O14:R15">
    <cfRule type="expression" dxfId="65" priority="52" stopIfTrue="1">
      <formula>EXACT($T$1,2)</formula>
    </cfRule>
    <cfRule type="expression" dxfId="64" priority="53" stopIfTrue="1">
      <formula>EXACT($T$1,3)</formula>
    </cfRule>
    <cfRule type="expression" dxfId="63" priority="54" stopIfTrue="1">
      <formula>EXACT($T$1,4)</formula>
    </cfRule>
  </conditionalFormatting>
  <conditionalFormatting sqref="O4:R5 D4:E5">
    <cfRule type="expression" dxfId="62" priority="37" stopIfTrue="1">
      <formula>EXACT($T$1,2)</formula>
    </cfRule>
    <cfRule type="expression" dxfId="61" priority="38" stopIfTrue="1">
      <formula>EXACT($T$1,3)</formula>
    </cfRule>
    <cfRule type="expression" dxfId="60" priority="39" stopIfTrue="1">
      <formula>EXACT($T$1,4)</formula>
    </cfRule>
  </conditionalFormatting>
  <conditionalFormatting sqref="C6:C7 O6:R7 E6:E7">
    <cfRule type="expression" dxfId="59" priority="40" stopIfTrue="1">
      <formula>EXACT($T$1,2)</formula>
    </cfRule>
    <cfRule type="expression" dxfId="58" priority="41" stopIfTrue="1">
      <formula>EXACT($T$1,3)</formula>
    </cfRule>
    <cfRule type="expression" dxfId="57" priority="42" stopIfTrue="1">
      <formula>EXACT($T$1,4)</formula>
    </cfRule>
  </conditionalFormatting>
  <conditionalFormatting sqref="C8:D9 O8:R9">
    <cfRule type="expression" dxfId="56" priority="43" stopIfTrue="1">
      <formula>EXACT($T$1,2)</formula>
    </cfRule>
    <cfRule type="expression" dxfId="55" priority="44" stopIfTrue="1">
      <formula>EXACT($T$1,3)</formula>
    </cfRule>
    <cfRule type="expression" dxfId="54" priority="45" stopIfTrue="1">
      <formula>EXACT($T$1,4)</formula>
    </cfRule>
  </conditionalFormatting>
  <conditionalFormatting sqref="O10:R11">
    <cfRule type="expression" dxfId="53" priority="46" stopIfTrue="1">
      <formula>EXACT($T$1,2)</formula>
    </cfRule>
    <cfRule type="expression" dxfId="52" priority="47" stopIfTrue="1">
      <formula>EXACT($T$1,3)</formula>
    </cfRule>
    <cfRule type="expression" dxfId="51" priority="48" stopIfTrue="1">
      <formula>EXACT($T$1,4)</formula>
    </cfRule>
  </conditionalFormatting>
  <conditionalFormatting sqref="H12:H13 O12:R13">
    <cfRule type="expression" dxfId="50" priority="49" stopIfTrue="1">
      <formula>EXACT($T$1,2)</formula>
    </cfRule>
    <cfRule type="expression" dxfId="49" priority="50" stopIfTrue="1">
      <formula>EXACT($T$1,3)</formula>
    </cfRule>
    <cfRule type="expression" dxfId="48" priority="51" stopIfTrue="1">
      <formula>EXACT($T$1,4)</formula>
    </cfRule>
  </conditionalFormatting>
  <conditionalFormatting sqref="J16:J17 O16:R17">
    <cfRule type="expression" dxfId="47" priority="55" stopIfTrue="1">
      <formula>EXACT($T$1,2)</formula>
    </cfRule>
    <cfRule type="expression" dxfId="46" priority="56" stopIfTrue="1">
      <formula>EXACT($T$1,3)</formula>
    </cfRule>
    <cfRule type="expression" dxfId="45" priority="57" stopIfTrue="1">
      <formula>EXACT($T$1,4)</formula>
    </cfRule>
  </conditionalFormatting>
  <conditionalFormatting sqref="I18:I19 O18:R19">
    <cfRule type="expression" dxfId="44" priority="58" stopIfTrue="1">
      <formula>EXACT($T$1,2)</formula>
    </cfRule>
    <cfRule type="expression" dxfId="43" priority="59" stopIfTrue="1">
      <formula>EXACT($T$1,3)</formula>
    </cfRule>
    <cfRule type="expression" dxfId="42" priority="60" stopIfTrue="1">
      <formula>EXACT($T$1,4)</formula>
    </cfRule>
  </conditionalFormatting>
  <conditionalFormatting sqref="O20:R21">
    <cfRule type="expression" dxfId="41" priority="61" stopIfTrue="1">
      <formula>EXACT($T$1,2)</formula>
    </cfRule>
    <cfRule type="expression" dxfId="40" priority="62" stopIfTrue="1">
      <formula>EXACT($T$1,3)</formula>
    </cfRule>
    <cfRule type="expression" dxfId="39" priority="63" stopIfTrue="1">
      <formula>EXACT($T$1,4)</formula>
    </cfRule>
  </conditionalFormatting>
  <conditionalFormatting sqref="M22:R23">
    <cfRule type="expression" dxfId="38" priority="64" stopIfTrue="1">
      <formula>EXACT($T$1,2)</formula>
    </cfRule>
    <cfRule type="expression" dxfId="37" priority="65" stopIfTrue="1">
      <formula>EXACT($T$1,3)</formula>
    </cfRule>
    <cfRule type="expression" dxfId="36" priority="66" stopIfTrue="1">
      <formula>EXACT($T$1,4)</formula>
    </cfRule>
  </conditionalFormatting>
  <conditionalFormatting sqref="L24:L25 N24:R25">
    <cfRule type="expression" dxfId="35" priority="67" stopIfTrue="1">
      <formula>EXACT($T$1,2)</formula>
    </cfRule>
    <cfRule type="expression" dxfId="34" priority="68" stopIfTrue="1">
      <formula>EXACT($T$1,3)</formula>
    </cfRule>
    <cfRule type="expression" dxfId="33" priority="69" stopIfTrue="1">
      <formula>EXACT($T$1,4)</formula>
    </cfRule>
  </conditionalFormatting>
  <conditionalFormatting sqref="L26:M27 O26:R27">
    <cfRule type="expression" dxfId="32" priority="70" stopIfTrue="1">
      <formula>EXACT($T$1,2)</formula>
    </cfRule>
    <cfRule type="expression" dxfId="31" priority="71" stopIfTrue="1">
      <formula>EXACT($T$1,3)</formula>
    </cfRule>
    <cfRule type="expression" dxfId="30" priority="72" stopIfTrue="1">
      <formula>EXACT($T$1,4)</formula>
    </cfRule>
  </conditionalFormatting>
  <conditionalFormatting sqref="C4:C5 D6:D7 E8:E9 F10:F11 G12:G13 H14:H15 I16:I17 J18:J19 K20:K21 L22:L23 M24:M25 N26:N27">
    <cfRule type="expression" dxfId="29" priority="109" stopIfTrue="1">
      <formula>EXACT($T$1,2)</formula>
    </cfRule>
    <cfRule type="expression" dxfId="28" priority="110" stopIfTrue="1">
      <formula>EXACT($T$1,3)</formula>
    </cfRule>
    <cfRule type="expression" dxfId="27" priority="111" stopIfTrue="1">
      <formula>EXACT($T$1,4)</formula>
    </cfRule>
  </conditionalFormatting>
  <conditionalFormatting sqref="G10:H11 F12:F15">
    <cfRule type="expression" dxfId="26" priority="112" stopIfTrue="1">
      <formula>EXACT($T$1,2)</formula>
    </cfRule>
    <cfRule type="expression" dxfId="25" priority="113" stopIfTrue="1">
      <formula>EXACT($T$1,3)</formula>
    </cfRule>
    <cfRule type="expression" dxfId="24" priority="114" stopIfTrue="1">
      <formula>EXACT($T$1,4)</formula>
    </cfRule>
  </conditionalFormatting>
  <conditionalFormatting sqref="K16:K19 J20:J21">
    <cfRule type="expression" dxfId="23" priority="115" stopIfTrue="1">
      <formula>EXACT($T$1,2)</formula>
    </cfRule>
    <cfRule type="expression" dxfId="22" priority="116" stopIfTrue="1">
      <formula>EXACT($T$1,3)</formula>
    </cfRule>
    <cfRule type="expression" dxfId="21" priority="117" stopIfTrue="1">
      <formula>EXACT($T$1,4)</formula>
    </cfRule>
  </conditionalFormatting>
  <conditionalFormatting sqref="I20:I21">
    <cfRule type="expression" dxfId="20" priority="118" stopIfTrue="1">
      <formula>EXACT($T$1,2)</formula>
    </cfRule>
    <cfRule type="expression" dxfId="19" priority="119" stopIfTrue="1">
      <formula>EXACT($T$1,3)</formula>
    </cfRule>
    <cfRule type="expression" dxfId="18" priority="120" stopIfTrue="1">
      <formula>EXACT($T$1,4)</formula>
    </cfRule>
  </conditionalFormatting>
  <conditionalFormatting sqref="F4:F9 C10:E11">
    <cfRule type="expression" dxfId="17" priority="121" stopIfTrue="1">
      <formula>EXACT($T$1,2)</formula>
    </cfRule>
    <cfRule type="expression" dxfId="16" priority="122" stopIfTrue="1">
      <formula>EXACT($T$1,3)</formula>
    </cfRule>
    <cfRule type="expression" dxfId="15" priority="123" stopIfTrue="1">
      <formula>EXACT($T$1,4)</formula>
    </cfRule>
  </conditionalFormatting>
  <conditionalFormatting sqref="G4:H9 C12:E15">
    <cfRule type="expression" dxfId="14" priority="124" stopIfTrue="1">
      <formula>EXACT($T$1,2)</formula>
    </cfRule>
    <cfRule type="expression" dxfId="13" priority="125" stopIfTrue="1">
      <formula>EXACT($T$1,3)</formula>
    </cfRule>
    <cfRule type="expression" dxfId="12" priority="126" stopIfTrue="1">
      <formula>EXACT($T$1,4)</formula>
    </cfRule>
  </conditionalFormatting>
  <conditionalFormatting sqref="I4:N11 K12:N15 G20:H27 C16:F27">
    <cfRule type="expression" dxfId="11" priority="127" stopIfTrue="1">
      <formula>EXACT($T$1,2)</formula>
    </cfRule>
    <cfRule type="expression" dxfId="10" priority="128" stopIfTrue="1">
      <formula>EXACT($T$1,3)</formula>
    </cfRule>
    <cfRule type="expression" dxfId="9" priority="129" stopIfTrue="1">
      <formula>EXACT($T$1,4)</formula>
    </cfRule>
  </conditionalFormatting>
  <conditionalFormatting sqref="I12:J15 G16:H19">
    <cfRule type="expression" dxfId="8" priority="130" stopIfTrue="1">
      <formula>EXACT($T$1,2)</formula>
    </cfRule>
    <cfRule type="expression" dxfId="7" priority="131" stopIfTrue="1">
      <formula>EXACT($T$1,3)</formula>
    </cfRule>
    <cfRule type="expression" dxfId="6" priority="132" stopIfTrue="1">
      <formula>EXACT($T$1,4)</formula>
    </cfRule>
  </conditionalFormatting>
  <conditionalFormatting sqref="L16:N19 I22:J27">
    <cfRule type="expression" dxfId="5" priority="133" stopIfTrue="1">
      <formula>EXACT($T$1,2)</formula>
    </cfRule>
    <cfRule type="expression" dxfId="4" priority="134" stopIfTrue="1">
      <formula>EXACT($T$1,3)</formula>
    </cfRule>
    <cfRule type="expression" dxfId="3" priority="135" stopIfTrue="1">
      <formula>EXACT($T$1,4)</formula>
    </cfRule>
  </conditionalFormatting>
  <conditionalFormatting sqref="L20:N21 K22:K27">
    <cfRule type="expression" dxfId="2" priority="136" stopIfTrue="1">
      <formula>EXACT($T$1,2)</formula>
    </cfRule>
    <cfRule type="expression" dxfId="1" priority="137" stopIfTrue="1">
      <formula>EXACT($T$1,3)</formula>
    </cfRule>
    <cfRule type="expression" dxfId="0" priority="138" stopIfTrue="1">
      <formula>EXACT($T$1,4)</formula>
    </cfRule>
  </conditionalFormatting>
  <dataValidations count="3">
    <dataValidation type="whole" allowBlank="1" showInputMessage="1" showErrorMessage="1" errorTitle="Invalid Number" error="The cell must be between 1 and 11 inclusive." promptTitle="Valid Values are 1-11." prompt="_x000a_Enter a number from 1 to 11." sqref="T1">
      <formula1>1</formula1>
      <formula2>11</formula2>
    </dataValidation>
    <dataValidation type="list" allowBlank="1" showInputMessage="1" showErrorMessage="1" sqref="AC10:AF10">
      <formula1>Start</formula1>
    </dataValidation>
    <dataValidation type="list" allowBlank="1" showInputMessage="1" showErrorMessage="1" sqref="AC13:AF13">
      <formula1>Interval</formula1>
    </dataValidation>
  </dataValidations>
  <printOptions horizontalCentered="1"/>
  <pageMargins left="0.5" right="0.5" top="1" bottom="1" header="0.5" footer="0.5"/>
  <pageSetup orientation="landscape" r:id="rId1"/>
  <headerFooter alignWithMargins="0"/>
  <legacyDrawing r:id="rId2"/>
</worksheet>
</file>

<file path=xl/worksheets/sheet2.xml><?xml version="1.0" encoding="utf-8"?>
<worksheet xmlns="http://schemas.openxmlformats.org/spreadsheetml/2006/main" xmlns:r="http://schemas.openxmlformats.org/officeDocument/2006/relationships">
  <sheetPr codeName="Sheet2"/>
  <dimension ref="A1:T133"/>
  <sheetViews>
    <sheetView workbookViewId="0">
      <pane ySplit="1" topLeftCell="A2" activePane="bottomLeft" state="frozenSplit"/>
      <selection pane="bottomLeft" activeCell="C4" sqref="C4"/>
    </sheetView>
  </sheetViews>
  <sheetFormatPr defaultRowHeight="12.75"/>
  <cols>
    <col min="1" max="1" width="3.28515625" style="1" bestFit="1" customWidth="1"/>
    <col min="2" max="2" width="6.7109375" style="3" customWidth="1"/>
    <col min="3" max="3" width="40.7109375" style="3" customWidth="1"/>
    <col min="4" max="4" width="6.7109375" style="3" customWidth="1"/>
    <col min="5" max="5" width="7.7109375" style="3" bestFit="1" customWidth="1"/>
    <col min="6" max="6" width="35.5703125" style="3" customWidth="1"/>
    <col min="7" max="9" width="5.7109375" style="3" customWidth="1"/>
    <col min="10" max="10" width="9.42578125" style="3" customWidth="1"/>
    <col min="11" max="11" width="8.7109375" style="3" bestFit="1" customWidth="1"/>
    <col min="12" max="16" width="8" style="3" bestFit="1" customWidth="1"/>
    <col min="17" max="18" width="9.42578125" style="3" customWidth="1"/>
    <col min="19" max="19" width="21.85546875" style="3" customWidth="1"/>
    <col min="20" max="20" width="3.28515625" style="3" customWidth="1"/>
    <col min="21" max="35" width="5.7109375" style="3" customWidth="1"/>
    <col min="36" max="16384" width="9.140625" style="3"/>
  </cols>
  <sheetData>
    <row r="1" spans="1:20" ht="13.5" thickBot="1">
      <c r="B1" s="125" t="str">
        <f>IF(MIN($I$4:$I$132)&gt;=0,"",MIN($I$4:$I$132))</f>
        <v/>
      </c>
      <c r="C1" s="159" t="s">
        <v>3989</v>
      </c>
      <c r="D1" s="1"/>
      <c r="E1" s="1"/>
      <c r="F1" s="169"/>
      <c r="G1" s="1"/>
      <c r="H1" s="1"/>
      <c r="I1" s="1"/>
      <c r="J1" s="1"/>
      <c r="K1" s="1"/>
      <c r="L1" s="1"/>
      <c r="M1" s="246"/>
      <c r="N1" s="246"/>
      <c r="P1" s="4"/>
      <c r="Q1" s="1"/>
      <c r="R1" s="1"/>
    </row>
    <row r="2" spans="1:20">
      <c r="A2" s="58" t="s">
        <v>1112</v>
      </c>
      <c r="B2" s="245" t="str">
        <f>IF(Draw!B4&lt;&gt;"",Draw!B4,"")</f>
        <v/>
      </c>
      <c r="C2" s="245"/>
      <c r="D2" s="245"/>
      <c r="E2" s="198"/>
      <c r="F2" s="181" t="str">
        <f>IF(C4="","",ROUND(VLOOKUP(1,$K$17:$L$24,2,FALSE)*1.5+VLOOKUP(2,$K$17:$L$24,2,FALSE)*1.5+VLOOKUP(3,$K$17:$L$24,2,FALSE)+VLOOKUP(4,$K$17:$L$24,2,FALSE),0))</f>
        <v/>
      </c>
      <c r="G2" s="1"/>
      <c r="H2" s="1"/>
      <c r="I2" s="1"/>
      <c r="J2" s="1"/>
      <c r="K2" s="1"/>
      <c r="L2" s="1"/>
      <c r="M2" s="246" t="str">
        <f>CHOOSE(Draw!$T$1,"12-team RR","Two 6-team RRs", "Three 4-team RRs","Four 3-team RRs","5-team RR","6-team RR","7-team RR","8-team RR","9-team RR","10-team RR","11-team RR")</f>
        <v>Three 4-team RRs</v>
      </c>
      <c r="N2" s="246"/>
      <c r="P2" s="4"/>
      <c r="Q2" s="1"/>
      <c r="R2" s="1"/>
    </row>
    <row r="3" spans="1:20">
      <c r="A3" s="59"/>
      <c r="B3" s="60" t="s">
        <v>1124</v>
      </c>
      <c r="C3" s="60" t="s">
        <v>1251</v>
      </c>
      <c r="D3" s="60" t="s">
        <v>1125</v>
      </c>
      <c r="E3" s="163" t="s">
        <v>4922</v>
      </c>
      <c r="F3" s="61" t="s">
        <v>1253</v>
      </c>
      <c r="G3" s="1"/>
      <c r="H3" s="1"/>
      <c r="I3" s="1"/>
      <c r="J3" s="53"/>
      <c r="K3" s="53"/>
      <c r="L3" s="53"/>
      <c r="M3" s="53"/>
      <c r="N3" s="53"/>
      <c r="O3" s="53"/>
      <c r="P3" s="154"/>
      <c r="Q3" s="53"/>
      <c r="R3" s="1"/>
      <c r="S3" s="1"/>
      <c r="T3" s="1"/>
    </row>
    <row r="4" spans="1:20">
      <c r="A4" s="62" t="s">
        <v>1132</v>
      </c>
      <c r="B4" s="69" t="str">
        <f>IF($C4="","",VLOOKUP($C4,RatingList!$A:$E,2,FALSE))</f>
        <v/>
      </c>
      <c r="C4" s="199"/>
      <c r="D4" s="167" t="str">
        <f>IF($C4="","",VLOOKUP($C4,RatingList!$A:$E,3,FALSE))</f>
        <v/>
      </c>
      <c r="E4" s="170" t="str">
        <f>IF($C4="","",VLOOKUP($C4,RatingList!$A:$E,4,FALSE))</f>
        <v/>
      </c>
      <c r="F4" s="200" t="str">
        <f>IF($C4="","",IF(ISERROR(VLOOKUP($C4,RatingList!$A:$E,5,FALSE)),"",IF(VLOOKUP($C4,RatingList!$A:$E,5,FALSE)=0,"",VLOOKUP($C4,RatingList!$A:$E,5,FALSE))))</f>
        <v/>
      </c>
      <c r="G4" s="67" t="str">
        <f>B4</f>
        <v/>
      </c>
      <c r="H4" s="143" t="str">
        <f t="shared" ref="H4:H11" si="0">A4</f>
        <v>A1</v>
      </c>
      <c r="I4" s="153" t="str">
        <f>IF(ISERROR($B4),"",$B4)</f>
        <v/>
      </c>
      <c r="J4" s="53"/>
      <c r="K4" s="53" t="s">
        <v>3968</v>
      </c>
      <c r="L4" s="53" t="s">
        <v>3969</v>
      </c>
      <c r="M4" s="53" t="s">
        <v>3970</v>
      </c>
      <c r="N4" s="53" t="s">
        <v>3971</v>
      </c>
      <c r="O4" s="53" t="s">
        <v>3972</v>
      </c>
      <c r="P4" s="154" t="s">
        <v>3973</v>
      </c>
      <c r="Q4" s="53"/>
      <c r="R4" s="1"/>
      <c r="S4" s="142" t="str">
        <f t="shared" ref="S4:S11" si="1">C4&amp;"("&amp;$A$2&amp;")"</f>
        <v>(A)</v>
      </c>
      <c r="T4" s="142" t="str">
        <f>$A4</f>
        <v>A1</v>
      </c>
    </row>
    <row r="5" spans="1:20" ht="12.75" customHeight="1">
      <c r="A5" s="62" t="s">
        <v>1127</v>
      </c>
      <c r="B5" s="69" t="str">
        <f>IF($C5="","",VLOOKUP($C5,RatingList!$A:$E,2,FALSE))</f>
        <v/>
      </c>
      <c r="C5" s="199"/>
      <c r="D5" s="167" t="str">
        <f>IF($C5="","",VLOOKUP($C5,RatingList!$A:$E,3,FALSE))</f>
        <v/>
      </c>
      <c r="E5" s="170" t="str">
        <f>IF($C5="","",VLOOKUP($C5,RatingList!$A:$E,4,FALSE))</f>
        <v/>
      </c>
      <c r="F5" s="200" t="str">
        <f>IF($C5="","",IF(ISERROR(VLOOKUP($C5,RatingList!$A:$E,5,FALSE)),"",IF(VLOOKUP($C5,RatingList!$A:$E,5,FALSE)=0,"",VLOOKUP($C5,RatingList!$A:$E,5,FALSE))))</f>
        <v/>
      </c>
      <c r="G5" s="67" t="str">
        <f t="shared" ref="G5:G11" si="2">B5</f>
        <v/>
      </c>
      <c r="H5" s="143" t="str">
        <f t="shared" si="0"/>
        <v>A2</v>
      </c>
      <c r="I5" s="153" t="str">
        <f t="shared" ref="I5:I66" si="3">IF(ISERROR($B5),"",$B5)</f>
        <v/>
      </c>
      <c r="J5" s="155" t="str">
        <f>IF(ISERROR(VLOOKUP($Q5&amp;", "&amp;$K$4,Team_Matches!$J$7:$M$3322,4,FALSE)),"",VLOOKUP($Q5&amp;", "&amp;$K$4,Team_Matches!$J$7:$M$3322,4,FALSE))</f>
        <v/>
      </c>
      <c r="K5" s="158" t="str">
        <f>IF(ISERROR(VLOOKUP($Q5&amp;", "&amp;$K$4,Team_Matches!$J$7:$M$3322,4,FALSE)),"",VLOOKUP($Q5&amp;", "&amp;$K$4,Team_Matches!$J$7:$O$3322,6,FALSE))</f>
        <v>A-C</v>
      </c>
      <c r="L5" s="158" t="str">
        <f ca="1">IF(ISERROR(VLOOKUP($Q5&amp;", "&amp;$L$4,Team_Matches!$J$7:$M$3322,4,FALSE)),"",VLOOKUP($Q5&amp;", "&amp;$L$4,Team_Matches!$J$7:$O$3322,6,FALSE))</f>
        <v>B-D</v>
      </c>
      <c r="M5" s="158" t="str">
        <f ca="1">IF(ISERROR(VLOOKUP($Q5&amp;", "&amp;$M$4,Team_Matches!$J$7:$M$3322,4,FALSE)),"",VLOOKUP($Q5&amp;", "&amp;$M$4,Team_Matches!$J$7:$O$3322,6,FALSE))</f>
        <v>E-G</v>
      </c>
      <c r="N5" s="158" t="str">
        <f ca="1">IF(ISERROR(VLOOKUP($Q5&amp;", "&amp;$N$4,Team_Matches!$J$7:$M$3322,4,FALSE)),"",VLOOKUP($Q5&amp;", "&amp;$N$4,Team_Matches!$J$7:$O$3322,6,FALSE))</f>
        <v>F-H</v>
      </c>
      <c r="O5" s="158" t="str">
        <f ca="1">IF(ISERROR(VLOOKUP($Q5&amp;", "&amp;$O$4,Team_Matches!$J$7:$M$3322,4,FALSE)),"",VLOOKUP($Q5&amp;", "&amp;$O$4,Team_Matches!$J$7:$O$3322,6,FALSE))</f>
        <v>I-K</v>
      </c>
      <c r="P5" s="158" t="str">
        <f ca="1">IF(ISERROR(VLOOKUP($Q5&amp;", "&amp;$P$4,Team_Matches!$J$7:$M$3322,4,FALSE)),"",VLOOKUP($Q5&amp;", "&amp;$P$4,Team_Matches!$J$7:$O$3322,6,FALSE))</f>
        <v>J-L</v>
      </c>
      <c r="Q5" s="156" t="s">
        <v>3957</v>
      </c>
      <c r="R5" s="1"/>
      <c r="S5" s="142" t="str">
        <f t="shared" si="1"/>
        <v>(A)</v>
      </c>
      <c r="T5" s="142" t="str">
        <f t="shared" ref="T5:T11" si="4">$A5</f>
        <v>A2</v>
      </c>
    </row>
    <row r="6" spans="1:20" ht="12.75" customHeight="1">
      <c r="A6" s="62" t="s">
        <v>1133</v>
      </c>
      <c r="B6" s="69" t="str">
        <f>IF($C6="","",VLOOKUP($C6,RatingList!$A:$E,2,FALSE))</f>
        <v/>
      </c>
      <c r="C6" s="199"/>
      <c r="D6" s="167" t="str">
        <f>IF($C6="","",VLOOKUP($C6,RatingList!$A:$E,3,FALSE))</f>
        <v/>
      </c>
      <c r="E6" s="170" t="str">
        <f>IF($C6="","",VLOOKUP($C6,RatingList!$A:$E,4,FALSE))</f>
        <v/>
      </c>
      <c r="F6" s="200" t="str">
        <f>IF($C6="","",IF(ISERROR(VLOOKUP($C6,RatingList!$A:$E,5,FALSE)),"",IF(VLOOKUP($C6,RatingList!$A:$E,5,FALSE)=0,"",VLOOKUP($C6,RatingList!$A:$E,5,FALSE))))</f>
        <v/>
      </c>
      <c r="G6" s="67" t="str">
        <f t="shared" si="2"/>
        <v/>
      </c>
      <c r="H6" s="143" t="str">
        <f t="shared" si="0"/>
        <v>A3</v>
      </c>
      <c r="I6" s="153" t="str">
        <f t="shared" si="3"/>
        <v/>
      </c>
      <c r="J6" s="155" t="str">
        <f ca="1">IF(ISERROR(VLOOKUP($Q6&amp;", "&amp;$K$4,Team_Matches!$J$7:$M$3322,4,FALSE)),"",VLOOKUP($Q6&amp;", "&amp;$K$4,Team_Matches!$J$7:$M$3322,4,FALSE))</f>
        <v/>
      </c>
      <c r="K6" s="158" t="str">
        <f ca="1">IF(ISERROR(VLOOKUP($Q6&amp;", "&amp;$K$4,Team_Matches!$J$7:$M$3322,4,FALSE)),"",VLOOKUP($Q6&amp;", "&amp;$K$4,Team_Matches!$J$7:$O$3322,6,FALSE))</f>
        <v>A-B</v>
      </c>
      <c r="L6" s="158" t="str">
        <f ca="1">IF(ISERROR(VLOOKUP($Q6&amp;", "&amp;$L$4,Team_Matches!$J$7:$M$3322,4,FALSE)),"",VLOOKUP($Q6&amp;", "&amp;$L$4,Team_Matches!$J$7:$O$3322,6,FALSE))</f>
        <v>C-D</v>
      </c>
      <c r="M6" s="158" t="str">
        <f ca="1">IF(ISERROR(VLOOKUP($Q6&amp;", "&amp;$M$4,Team_Matches!$J$7:$M$3322,4,FALSE)),"",VLOOKUP($Q6&amp;", "&amp;$M$4,Team_Matches!$J$7:$O$3322,6,FALSE))</f>
        <v>E-F</v>
      </c>
      <c r="N6" s="158" t="str">
        <f ca="1">IF(ISERROR(VLOOKUP($Q6&amp;", "&amp;$N$4,Team_Matches!$J$7:$M$3322,4,FALSE)),"",VLOOKUP($Q6&amp;", "&amp;$N$4,Team_Matches!$J$7:$O$3322,6,FALSE))</f>
        <v>G-H</v>
      </c>
      <c r="O6" s="158" t="str">
        <f ca="1">IF(ISERROR(VLOOKUP($Q6&amp;", "&amp;$O$4,Team_Matches!$J$7:$M$3322,4,FALSE)),"",VLOOKUP($Q6&amp;", "&amp;$O$4,Team_Matches!$J$7:$O$3322,6,FALSE))</f>
        <v>I-J</v>
      </c>
      <c r="P6" s="158" t="str">
        <f ca="1">IF(ISERROR(VLOOKUP($Q6&amp;", "&amp;$P$4,Team_Matches!$J$7:$M$3322,4,FALSE)),"",VLOOKUP($Q6&amp;", "&amp;$P$4,Team_Matches!$J$7:$O$3322,6,FALSE))</f>
        <v>K-L</v>
      </c>
      <c r="Q6" s="156" t="s">
        <v>3967</v>
      </c>
      <c r="R6" s="1"/>
      <c r="S6" s="142" t="str">
        <f t="shared" si="1"/>
        <v>(A)</v>
      </c>
      <c r="T6" s="142" t="str">
        <f t="shared" si="4"/>
        <v>A3</v>
      </c>
    </row>
    <row r="7" spans="1:20" ht="12.75" customHeight="1">
      <c r="A7" s="62" t="s">
        <v>1134</v>
      </c>
      <c r="B7" s="69" t="str">
        <f>IF($C7="","",VLOOKUP($C7,RatingList!$A:$E,2,FALSE))</f>
        <v/>
      </c>
      <c r="C7" s="199"/>
      <c r="D7" s="167" t="str">
        <f>IF($C7="","",VLOOKUP($C7,RatingList!$A:$E,3,FALSE))</f>
        <v/>
      </c>
      <c r="E7" s="170" t="str">
        <f>IF($C7="","",VLOOKUP($C7,RatingList!$A:$E,4,FALSE))</f>
        <v/>
      </c>
      <c r="F7" s="200" t="str">
        <f>IF($C7="","",IF(ISERROR(VLOOKUP($C7,RatingList!$A:$E,5,FALSE)),"",IF(VLOOKUP($C7,RatingList!$A:$E,5,FALSE)=0,"",VLOOKUP($C7,RatingList!$A:$E,5,FALSE))))</f>
        <v/>
      </c>
      <c r="G7" s="67" t="str">
        <f t="shared" si="2"/>
        <v/>
      </c>
      <c r="H7" s="143" t="str">
        <f t="shared" si="0"/>
        <v>A4</v>
      </c>
      <c r="I7" s="153" t="str">
        <f t="shared" si="3"/>
        <v/>
      </c>
      <c r="J7" s="155" t="str">
        <f ca="1">IF(ISERROR(VLOOKUP($Q7&amp;", "&amp;$K$4,Team_Matches!$J$7:$M$3322,4,FALSE)),"",VLOOKUP($Q7&amp;", "&amp;$K$4,Team_Matches!$J$7:$M$3322,4,FALSE))</f>
        <v/>
      </c>
      <c r="K7" s="158" t="str">
        <f ca="1">IF(ISERROR(VLOOKUP($Q7&amp;", "&amp;$K$4,Team_Matches!$J$7:$M$3322,4,FALSE)),"",VLOOKUP($Q7&amp;", "&amp;$K$4,Team_Matches!$J$7:$O$3322,6,FALSE))</f>
        <v>A-D</v>
      </c>
      <c r="L7" s="158" t="str">
        <f ca="1">IF(ISERROR(VLOOKUP($Q7&amp;", "&amp;$L$4,Team_Matches!$J$7:$M$3322,4,FALSE)),"",VLOOKUP($Q7&amp;", "&amp;$L$4,Team_Matches!$J$7:$O$3322,6,FALSE))</f>
        <v>B-C</v>
      </c>
      <c r="M7" s="158" t="str">
        <f ca="1">IF(ISERROR(VLOOKUP($Q7&amp;", "&amp;$M$4,Team_Matches!$J$7:$M$3322,4,FALSE)),"",VLOOKUP($Q7&amp;", "&amp;$M$4,Team_Matches!$J$7:$O$3322,6,FALSE))</f>
        <v>E-H</v>
      </c>
      <c r="N7" s="158" t="str">
        <f ca="1">IF(ISERROR(VLOOKUP($Q7&amp;", "&amp;$N$4,Team_Matches!$J$7:$M$3322,4,FALSE)),"",VLOOKUP($Q7&amp;", "&amp;$N$4,Team_Matches!$J$7:$O$3322,6,FALSE))</f>
        <v>F-G</v>
      </c>
      <c r="O7" s="158" t="str">
        <f ca="1">IF(ISERROR(VLOOKUP($Q7&amp;", "&amp;$O$4,Team_Matches!$J$7:$M$3322,4,FALSE)),"",VLOOKUP($Q7&amp;", "&amp;$O$4,Team_Matches!$J$7:$O$3322,6,FALSE))</f>
        <v>I-L</v>
      </c>
      <c r="P7" s="158" t="str">
        <f ca="1">IF(ISERROR(VLOOKUP($Q7&amp;", "&amp;$P$4,Team_Matches!$J$7:$M$3322,4,FALSE)),"",VLOOKUP($Q7&amp;", "&amp;$P$4,Team_Matches!$J$7:$O$3322,6,FALSE))</f>
        <v>J-K</v>
      </c>
      <c r="Q7" s="156" t="s">
        <v>3959</v>
      </c>
      <c r="R7" s="1"/>
      <c r="S7" s="142" t="str">
        <f t="shared" si="1"/>
        <v>(A)</v>
      </c>
      <c r="T7" s="142" t="str">
        <f t="shared" si="4"/>
        <v>A4</v>
      </c>
    </row>
    <row r="8" spans="1:20" ht="12.75" customHeight="1">
      <c r="A8" s="62" t="s">
        <v>1128</v>
      </c>
      <c r="B8" s="69" t="str">
        <f>IF($C8="","",VLOOKUP($C8,RatingList!$A:$E,2,FALSE))</f>
        <v/>
      </c>
      <c r="C8" s="199"/>
      <c r="D8" s="167" t="str">
        <f>IF($C8="","",VLOOKUP($C8,RatingList!$A:$E,3,FALSE))</f>
        <v/>
      </c>
      <c r="E8" s="170" t="str">
        <f>IF($C8="","",VLOOKUP($C8,RatingList!$A:$E,4,FALSE))</f>
        <v/>
      </c>
      <c r="F8" s="200" t="str">
        <f>IF($C8="","",IF(ISERROR(VLOOKUP($C8,RatingList!$A:$E,5,FALSE)),"",IF(VLOOKUP($C8,RatingList!$A:$E,5,FALSE)=0,"",VLOOKUP($C8,RatingList!$A:$E,5,FALSE))))</f>
        <v/>
      </c>
      <c r="G8" s="67" t="str">
        <f t="shared" si="2"/>
        <v/>
      </c>
      <c r="H8" s="143" t="str">
        <f t="shared" si="0"/>
        <v>A5</v>
      </c>
      <c r="I8" s="153" t="str">
        <f t="shared" si="3"/>
        <v/>
      </c>
      <c r="J8" s="155" t="str">
        <f ca="1">IF(ISERROR(VLOOKUP($Q8&amp;", "&amp;$K$4,Team_Matches!$J$7:$M$3322,4,FALSE)),"",VLOOKUP($Q8&amp;", "&amp;$K$4,Team_Matches!$J$7:$M$3322,4,FALSE))</f>
        <v/>
      </c>
      <c r="K8" s="158" t="str">
        <f ca="1">IF(ISERROR(VLOOKUP($Q8&amp;", "&amp;$K$4,Team_Matches!$J$7:$M$3322,4,FALSE)),"",VLOOKUP($Q8&amp;", "&amp;$K$4,Team_Matches!$J$7:$O$3322,6,FALSE))</f>
        <v/>
      </c>
      <c r="L8" s="158" t="str">
        <f ca="1">IF(ISERROR(VLOOKUP($Q8&amp;", "&amp;$L$4,Team_Matches!$J$7:$M$3322,4,FALSE)),"",VLOOKUP($Q8&amp;", "&amp;$L$4,Team_Matches!$J$7:$O$3322,6,FALSE))</f>
        <v/>
      </c>
      <c r="M8" s="158" t="str">
        <f ca="1">IF(ISERROR(VLOOKUP($Q8&amp;", "&amp;$M$4,Team_Matches!$J$7:$M$3322,4,FALSE)),"",VLOOKUP($Q8&amp;", "&amp;$M$4,Team_Matches!$J$7:$O$3322,6,FALSE))</f>
        <v/>
      </c>
      <c r="N8" s="158" t="str">
        <f ca="1">IF(ISERROR(VLOOKUP($Q8&amp;", "&amp;$N$4,Team_Matches!$J$7:$M$3322,4,FALSE)),"",VLOOKUP($Q8&amp;", "&amp;$N$4,Team_Matches!$J$7:$O$3322,6,FALSE))</f>
        <v/>
      </c>
      <c r="O8" s="158" t="str">
        <f ca="1">IF(ISERROR(VLOOKUP($Q8&amp;", "&amp;$O$4,Team_Matches!$J$7:$M$3322,4,FALSE)),"",VLOOKUP($Q8&amp;", "&amp;$O$4,Team_Matches!$J$7:$O$3322,6,FALSE))</f>
        <v/>
      </c>
      <c r="P8" s="158" t="str">
        <f ca="1">IF(ISERROR(VLOOKUP($Q8&amp;", "&amp;$P$4,Team_Matches!$J$7:$M$3322,4,FALSE)),"",VLOOKUP($Q8&amp;", "&amp;$P$4,Team_Matches!$J$7:$O$3322,6,FALSE))</f>
        <v/>
      </c>
      <c r="Q8" s="156" t="s">
        <v>3960</v>
      </c>
      <c r="R8" s="1"/>
      <c r="S8" s="142" t="str">
        <f t="shared" si="1"/>
        <v>(A)</v>
      </c>
      <c r="T8" s="142" t="str">
        <f t="shared" si="4"/>
        <v>A5</v>
      </c>
    </row>
    <row r="9" spans="1:20" ht="12.75" customHeight="1">
      <c r="A9" s="62" t="s">
        <v>1129</v>
      </c>
      <c r="B9" s="69" t="str">
        <f>IF($C9="","",VLOOKUP($C9,RatingList!$A:$E,2,FALSE))</f>
        <v/>
      </c>
      <c r="C9" s="199"/>
      <c r="D9" s="167" t="str">
        <f>IF($C9="","",VLOOKUP($C9,RatingList!$A:$E,3,FALSE))</f>
        <v/>
      </c>
      <c r="E9" s="170" t="str">
        <f>IF($C9="","",VLOOKUP($C9,RatingList!$A:$E,4,FALSE))</f>
        <v/>
      </c>
      <c r="F9" s="200" t="str">
        <f>IF($C9="","",IF(ISERROR(VLOOKUP($C9,RatingList!$A:$E,5,FALSE)),"",IF(VLOOKUP($C9,RatingList!$A:$E,5,FALSE)=0,"",VLOOKUP($C9,RatingList!$A:$E,5,FALSE))))</f>
        <v/>
      </c>
      <c r="G9" s="67" t="str">
        <f t="shared" si="2"/>
        <v/>
      </c>
      <c r="H9" s="143" t="str">
        <f t="shared" si="0"/>
        <v>A6</v>
      </c>
      <c r="I9" s="153" t="str">
        <f t="shared" si="3"/>
        <v/>
      </c>
      <c r="J9" s="155" t="str">
        <f ca="1">IF(ISERROR(VLOOKUP($Q9&amp;", "&amp;$K$4,Team_Matches!$J$7:$M$3322,4,FALSE)),"",VLOOKUP($Q9&amp;", "&amp;$K$4,Team_Matches!$J$7:$M$3322,4,FALSE))</f>
        <v/>
      </c>
      <c r="K9" s="158" t="str">
        <f ca="1">IF(ISERROR(VLOOKUP($Q9&amp;", "&amp;$K$4,Team_Matches!$J$7:$M$3322,4,FALSE)),"",VLOOKUP($Q9&amp;", "&amp;$K$4,Team_Matches!$J$7:$O$3322,6,FALSE))</f>
        <v/>
      </c>
      <c r="L9" s="158" t="str">
        <f ca="1">IF(ISERROR(VLOOKUP($Q9&amp;", "&amp;$L$4,Team_Matches!$J$7:$M$3322,4,FALSE)),"",VLOOKUP($Q9&amp;", "&amp;$L$4,Team_Matches!$J$7:$O$3322,6,FALSE))</f>
        <v/>
      </c>
      <c r="M9" s="158" t="str">
        <f ca="1">IF(ISERROR(VLOOKUP($Q9&amp;", "&amp;$M$4,Team_Matches!$J$7:$M$3322,4,FALSE)),"",VLOOKUP($Q9&amp;", "&amp;$M$4,Team_Matches!$J$7:$O$3322,6,FALSE))</f>
        <v/>
      </c>
      <c r="N9" s="158" t="str">
        <f ca="1">IF(ISERROR(VLOOKUP($Q9&amp;", "&amp;$N$4,Team_Matches!$J$7:$M$3322,4,FALSE)),"",VLOOKUP($Q9&amp;", "&amp;$N$4,Team_Matches!$J$7:$O$3322,6,FALSE))</f>
        <v/>
      </c>
      <c r="O9" s="158" t="str">
        <f ca="1">IF(ISERROR(VLOOKUP($Q9&amp;", "&amp;$O$4,Team_Matches!$J$7:$M$3322,4,FALSE)),"",VLOOKUP($Q9&amp;", "&amp;$O$4,Team_Matches!$J$7:$O$3322,6,FALSE))</f>
        <v/>
      </c>
      <c r="P9" s="158" t="str">
        <f ca="1">IF(ISERROR(VLOOKUP($Q9&amp;", "&amp;$P$4,Team_Matches!$J$7:$M$3322,4,FALSE)),"",VLOOKUP($Q9&amp;", "&amp;$P$4,Team_Matches!$J$7:$O$3322,6,FALSE))</f>
        <v/>
      </c>
      <c r="Q9" s="156" t="s">
        <v>3961</v>
      </c>
      <c r="R9" s="1"/>
      <c r="S9" s="142" t="str">
        <f t="shared" si="1"/>
        <v>(A)</v>
      </c>
      <c r="T9" s="142" t="str">
        <f t="shared" si="4"/>
        <v>A6</v>
      </c>
    </row>
    <row r="10" spans="1:20" ht="12.75" customHeight="1">
      <c r="A10" s="62" t="s">
        <v>1130</v>
      </c>
      <c r="B10" s="69" t="str">
        <f>IF($C10="","",VLOOKUP($C10,RatingList!$A:$E,2,FALSE))</f>
        <v/>
      </c>
      <c r="C10" s="199"/>
      <c r="D10" s="167" t="str">
        <f>IF($C10="","",VLOOKUP($C10,RatingList!$A:$E,3,FALSE))</f>
        <v/>
      </c>
      <c r="E10" s="170" t="str">
        <f>IF($C10="","",VLOOKUP($C10,RatingList!$A:$E,4,FALSE))</f>
        <v/>
      </c>
      <c r="F10" s="200" t="str">
        <f>IF($C10="","",IF(ISERROR(VLOOKUP($C10,RatingList!$A:$E,5,FALSE)),"",IF(VLOOKUP($C10,RatingList!$A:$E,5,FALSE)=0,"",VLOOKUP($C10,RatingList!$A:$E,5,FALSE))))</f>
        <v/>
      </c>
      <c r="G10" s="67" t="str">
        <f t="shared" si="2"/>
        <v/>
      </c>
      <c r="H10" s="143" t="str">
        <f t="shared" si="0"/>
        <v>A7</v>
      </c>
      <c r="I10" s="153" t="str">
        <f t="shared" si="3"/>
        <v/>
      </c>
      <c r="J10" s="155" t="str">
        <f ca="1">IF(ISERROR(VLOOKUP($Q10&amp;", "&amp;$K$4,Team_Matches!$J$7:$M$3322,4,FALSE)),"",VLOOKUP($Q10&amp;", "&amp;$K$4,Team_Matches!$J$7:$M$3322,4,FALSE))</f>
        <v/>
      </c>
      <c r="K10" s="158" t="str">
        <f ca="1">IF(ISERROR(VLOOKUP($Q10&amp;", "&amp;$K$4,Team_Matches!$J$7:$M$3322,4,FALSE)),"",VLOOKUP($Q10&amp;", "&amp;$K$4,Team_Matches!$J$7:$O$3322,6,FALSE))</f>
        <v/>
      </c>
      <c r="L10" s="158" t="str">
        <f ca="1">IF(ISERROR(VLOOKUP($Q10&amp;", "&amp;$L$4,Team_Matches!$J$7:$M$3322,4,FALSE)),"",VLOOKUP($Q10&amp;", "&amp;$L$4,Team_Matches!$J$7:$O$3322,6,FALSE))</f>
        <v/>
      </c>
      <c r="M10" s="158" t="str">
        <f ca="1">IF(ISERROR(VLOOKUP($Q10&amp;", "&amp;$M$4,Team_Matches!$J$7:$M$3322,4,FALSE)),"",VLOOKUP($Q10&amp;", "&amp;$M$4,Team_Matches!$J$7:$O$3322,6,FALSE))</f>
        <v/>
      </c>
      <c r="N10" s="158" t="str">
        <f ca="1">IF(ISERROR(VLOOKUP($Q10&amp;", "&amp;$N$4,Team_Matches!$J$7:$M$3322,4,FALSE)),"",VLOOKUP($Q10&amp;", "&amp;$N$4,Team_Matches!$J$7:$O$3322,6,FALSE))</f>
        <v/>
      </c>
      <c r="O10" s="158" t="str">
        <f ca="1">IF(ISERROR(VLOOKUP($Q10&amp;", "&amp;$O$4,Team_Matches!$J$7:$M$3322,4,FALSE)),"",VLOOKUP($Q10&amp;", "&amp;$O$4,Team_Matches!$J$7:$O$3322,6,FALSE))</f>
        <v/>
      </c>
      <c r="P10" s="158" t="str">
        <f ca="1">IF(ISERROR(VLOOKUP($Q10&amp;", "&amp;$P$4,Team_Matches!$J$7:$M$3322,4,FALSE)),"",VLOOKUP($Q10&amp;", "&amp;$P$4,Team_Matches!$J$7:$O$3322,6,FALSE))</f>
        <v/>
      </c>
      <c r="Q10" s="156" t="s">
        <v>3962</v>
      </c>
      <c r="R10" s="1"/>
      <c r="S10" s="142" t="str">
        <f t="shared" si="1"/>
        <v>(A)</v>
      </c>
      <c r="T10" s="142" t="str">
        <f t="shared" si="4"/>
        <v>A7</v>
      </c>
    </row>
    <row r="11" spans="1:20" ht="12.75" customHeight="1" thickBot="1">
      <c r="A11" s="63" t="s">
        <v>1131</v>
      </c>
      <c r="B11" s="70" t="str">
        <f>IF($C11="","",VLOOKUP($C11,RatingList!$A:$E,2,FALSE))</f>
        <v/>
      </c>
      <c r="C11" s="201"/>
      <c r="D11" s="168" t="str">
        <f>IF($C11="","",VLOOKUP($C11,RatingList!$A:$E,3,FALSE))</f>
        <v/>
      </c>
      <c r="E11" s="168" t="str">
        <f>IF($C11="","",VLOOKUP($C11,RatingList!$A:$E,4,FALSE))</f>
        <v/>
      </c>
      <c r="F11" s="202" t="str">
        <f>IF($C11="","",IF(ISERROR(VLOOKUP($C11,RatingList!$A:$E,5,FALSE)),"",IF(VLOOKUP($C11,RatingList!$A:$E,5,FALSE)=0,"",VLOOKUP($C11,RatingList!$A:$E,5,FALSE))))</f>
        <v/>
      </c>
      <c r="G11" s="67" t="str">
        <f t="shared" si="2"/>
        <v/>
      </c>
      <c r="H11" s="143" t="str">
        <f t="shared" si="0"/>
        <v>A8</v>
      </c>
      <c r="I11" s="153" t="str">
        <f t="shared" si="3"/>
        <v/>
      </c>
      <c r="J11" s="155" t="str">
        <f ca="1">IF(ISERROR(VLOOKUP($Q11&amp;", "&amp;$K$4,Team_Matches!$J$7:$M$3322,4,FALSE)),"",VLOOKUP($Q11&amp;", "&amp;$K$4,Team_Matches!$J$7:$M$3322,4,FALSE))</f>
        <v/>
      </c>
      <c r="K11" s="158" t="str">
        <f ca="1">IF(ISERROR(VLOOKUP($Q11&amp;", "&amp;$K$4,Team_Matches!$J$7:$M$3322,4,FALSE)),"",VLOOKUP($Q11&amp;", "&amp;$K$4,Team_Matches!$J$7:$O$3322,6,FALSE))</f>
        <v/>
      </c>
      <c r="L11" s="158" t="str">
        <f ca="1">IF(ISERROR(VLOOKUP($Q11&amp;", "&amp;$L$4,Team_Matches!$J$7:$M$3322,4,FALSE)),"",VLOOKUP($Q11&amp;", "&amp;$L$4,Team_Matches!$J$7:$O$3322,6,FALSE))</f>
        <v/>
      </c>
      <c r="M11" s="158" t="str">
        <f ca="1">IF(ISERROR(VLOOKUP($Q11&amp;", "&amp;$M$4,Team_Matches!$J$7:$M$3322,4,FALSE)),"",VLOOKUP($Q11&amp;", "&amp;$M$4,Team_Matches!$J$7:$O$3322,6,FALSE))</f>
        <v/>
      </c>
      <c r="N11" s="158" t="str">
        <f ca="1">IF(ISERROR(VLOOKUP($Q11&amp;", "&amp;$N$4,Team_Matches!$J$7:$M$3322,4,FALSE)),"",VLOOKUP($Q11&amp;", "&amp;$N$4,Team_Matches!$J$7:$O$3322,6,FALSE))</f>
        <v/>
      </c>
      <c r="O11" s="158" t="str">
        <f ca="1">IF(ISERROR(VLOOKUP($Q11&amp;", "&amp;$O$4,Team_Matches!$J$7:$M$3322,4,FALSE)),"",VLOOKUP($Q11&amp;", "&amp;$O$4,Team_Matches!$J$7:$O$3322,6,FALSE))</f>
        <v/>
      </c>
      <c r="P11" s="158" t="str">
        <f ca="1">IF(ISERROR(VLOOKUP($Q11&amp;", "&amp;$P$4,Team_Matches!$J$7:$M$3322,4,FALSE)),"",VLOOKUP($Q11&amp;", "&amp;$P$4,Team_Matches!$J$7:$O$3322,6,FALSE))</f>
        <v/>
      </c>
      <c r="Q11" s="156" t="s">
        <v>3963</v>
      </c>
      <c r="R11" s="1"/>
      <c r="S11" s="142" t="str">
        <f t="shared" si="1"/>
        <v>(A)</v>
      </c>
      <c r="T11" s="142" t="str">
        <f t="shared" si="4"/>
        <v>A8</v>
      </c>
    </row>
    <row r="12" spans="1:20" ht="12.75" customHeight="1" thickBot="1">
      <c r="A12" s="53"/>
      <c r="B12" s="53"/>
      <c r="C12" s="53"/>
      <c r="D12" s="53"/>
      <c r="E12" s="1"/>
      <c r="F12" s="1"/>
      <c r="G12" s="67"/>
      <c r="H12" s="143"/>
      <c r="I12" s="153"/>
      <c r="J12" s="155" t="str">
        <f ca="1">IF(ISERROR(VLOOKUP($Q12&amp;", "&amp;$K$4,Team_Matches!$J$7:$M$3322,4,FALSE)),"",VLOOKUP($Q12&amp;", "&amp;$K$4,Team_Matches!$J$7:$M$3322,4,FALSE))</f>
        <v/>
      </c>
      <c r="K12" s="158" t="str">
        <f ca="1">IF(ISERROR(VLOOKUP($Q12&amp;", "&amp;$K$4,Team_Matches!$J$7:$M$3322,4,FALSE)),"",VLOOKUP($Q12&amp;", "&amp;$K$4,Team_Matches!$J$7:$O$3322,6,FALSE))</f>
        <v/>
      </c>
      <c r="L12" s="158" t="str">
        <f ca="1">IF(ISERROR(VLOOKUP($Q12&amp;", "&amp;$L$4,Team_Matches!$J$7:$M$3322,4,FALSE)),"",VLOOKUP($Q12&amp;", "&amp;$L$4,Team_Matches!$J$7:$O$3322,6,FALSE))</f>
        <v/>
      </c>
      <c r="M12" s="158" t="str">
        <f ca="1">IF(ISERROR(VLOOKUP($Q12&amp;", "&amp;$M$4,Team_Matches!$J$7:$M$3322,4,FALSE)),"",VLOOKUP($Q12&amp;", "&amp;$M$4,Team_Matches!$J$7:$O$3322,6,FALSE))</f>
        <v/>
      </c>
      <c r="N12" s="158" t="str">
        <f ca="1">IF(ISERROR(VLOOKUP($Q12&amp;", "&amp;$N$4,Team_Matches!$J$7:$M$3322,4,FALSE)),"",VLOOKUP($Q12&amp;", "&amp;$N$4,Team_Matches!$J$7:$O$3322,6,FALSE))</f>
        <v/>
      </c>
      <c r="O12" s="158" t="str">
        <f ca="1">IF(ISERROR(VLOOKUP($Q12&amp;", "&amp;$O$4,Team_Matches!$J$7:$M$3322,4,FALSE)),"",VLOOKUP($Q12&amp;", "&amp;$O$4,Team_Matches!$J$7:$O$3322,6,FALSE))</f>
        <v/>
      </c>
      <c r="P12" s="158" t="str">
        <f ca="1">IF(ISERROR(VLOOKUP($Q12&amp;", "&amp;$P$4,Team_Matches!$J$7:$M$3322,4,FALSE)),"",VLOOKUP($Q12&amp;", "&amp;$P$4,Team_Matches!$J$7:$O$3322,6,FALSE))</f>
        <v/>
      </c>
      <c r="Q12" s="156" t="s">
        <v>3964</v>
      </c>
      <c r="R12" s="1"/>
      <c r="S12" s="142"/>
      <c r="T12" s="142"/>
    </row>
    <row r="13" spans="1:20" ht="12.75" customHeight="1">
      <c r="A13" s="58" t="s">
        <v>1113</v>
      </c>
      <c r="B13" s="245" t="str">
        <f>IF(Draw!B6&lt;&gt;"",Draw!B6,"")</f>
        <v/>
      </c>
      <c r="C13" s="245"/>
      <c r="D13" s="245"/>
      <c r="E13" s="198"/>
      <c r="F13" s="181" t="str">
        <f>IF(C15="","",ROUND(VLOOKUP(1,$K$26:$L$33,2,FALSE)*1.5+VLOOKUP(2,$K$26:$L$33,2,FALSE)*1.5+VLOOKUP(3,$K$26:$L$33,2,FALSE)+VLOOKUP(4,$K$26:$L$33,2,FALSE),0))</f>
        <v/>
      </c>
      <c r="G13" s="67"/>
      <c r="H13" s="143"/>
      <c r="I13" s="153"/>
      <c r="J13" s="155" t="str">
        <f ca="1">IF(ISERROR(VLOOKUP($Q13&amp;", "&amp;$K$4,Team_Matches!$J$7:$M$3322,4,FALSE)),"",VLOOKUP($Q13&amp;", "&amp;$K$4,Team_Matches!$J$7:$M$3322,4,FALSE))</f>
        <v/>
      </c>
      <c r="K13" s="158" t="str">
        <f ca="1">IF(ISERROR(VLOOKUP($Q13&amp;", "&amp;$K$4,Team_Matches!$J$7:$M$3322,4,FALSE)),"",VLOOKUP($Q13&amp;", "&amp;$K$4,Team_Matches!$J$7:$O$3322,6,FALSE))</f>
        <v/>
      </c>
      <c r="L13" s="158" t="str">
        <f ca="1">IF(ISERROR(VLOOKUP($Q13&amp;", "&amp;$L$4,Team_Matches!$J$7:$M$3322,4,FALSE)),"",VLOOKUP($Q13&amp;", "&amp;$L$4,Team_Matches!$J$7:$O$3322,6,FALSE))</f>
        <v/>
      </c>
      <c r="M13" s="158" t="str">
        <f ca="1">IF(ISERROR(VLOOKUP($Q13&amp;", "&amp;$M$4,Team_Matches!$J$7:$M$3322,4,FALSE)),"",VLOOKUP($Q13&amp;", "&amp;$M$4,Team_Matches!$J$7:$O$3322,6,FALSE))</f>
        <v/>
      </c>
      <c r="N13" s="158" t="str">
        <f ca="1">IF(ISERROR(VLOOKUP($Q13&amp;", "&amp;$N$4,Team_Matches!$J$7:$M$3322,4,FALSE)),"",VLOOKUP($Q13&amp;", "&amp;$N$4,Team_Matches!$J$7:$O$3322,6,FALSE))</f>
        <v/>
      </c>
      <c r="O13" s="158" t="str">
        <f ca="1">IF(ISERROR(VLOOKUP($Q13&amp;", "&amp;$O$4,Team_Matches!$J$7:$M$3322,4,FALSE)),"",VLOOKUP($Q13&amp;", "&amp;$O$4,Team_Matches!$J$7:$O$3322,6,FALSE))</f>
        <v/>
      </c>
      <c r="P13" s="158" t="str">
        <f ca="1">IF(ISERROR(VLOOKUP($Q13&amp;", "&amp;$P$4,Team_Matches!$J$7:$M$3322,4,FALSE)),"",VLOOKUP($Q13&amp;", "&amp;$P$4,Team_Matches!$J$7:$O$3322,6,FALSE))</f>
        <v/>
      </c>
      <c r="Q13" s="156" t="s">
        <v>3965</v>
      </c>
      <c r="R13" s="1"/>
      <c r="S13" s="142"/>
      <c r="T13" s="142"/>
    </row>
    <row r="14" spans="1:20" ht="12.75" customHeight="1">
      <c r="A14" s="59"/>
      <c r="B14" s="60" t="s">
        <v>1124</v>
      </c>
      <c r="C14" s="60" t="s">
        <v>1251</v>
      </c>
      <c r="D14" s="163" t="s">
        <v>1125</v>
      </c>
      <c r="E14" s="163" t="s">
        <v>4922</v>
      </c>
      <c r="F14" s="61" t="s">
        <v>1253</v>
      </c>
      <c r="G14" s="67"/>
      <c r="H14" s="143"/>
      <c r="I14" s="153"/>
      <c r="J14" s="155" t="str">
        <f ca="1">IF(ISERROR(VLOOKUP($Q14&amp;", "&amp;$K$4,Team_Matches!$J$7:$M$3322,4,FALSE)),"",VLOOKUP($Q14&amp;", "&amp;$K$4,Team_Matches!$J$7:$M$3322,4,FALSE))</f>
        <v/>
      </c>
      <c r="K14" s="158" t="str">
        <f ca="1">IF(ISERROR(VLOOKUP($Q14&amp;", "&amp;$K$4,Team_Matches!$J$7:$M$3322,4,FALSE)),"",VLOOKUP($Q14&amp;", "&amp;$K$4,Team_Matches!$J$7:$O$3322,6,FALSE))</f>
        <v/>
      </c>
      <c r="L14" s="158" t="str">
        <f ca="1">IF(ISERROR(VLOOKUP($Q14&amp;", "&amp;$L$4,Team_Matches!$J$7:$M$3322,4,FALSE)),"",VLOOKUP($Q14&amp;", "&amp;$L$4,Team_Matches!$J$7:$O$3322,6,FALSE))</f>
        <v/>
      </c>
      <c r="M14" s="158" t="str">
        <f ca="1">IF(ISERROR(VLOOKUP($Q14&amp;", "&amp;$M$4,Team_Matches!$J$7:$M$3322,4,FALSE)),"",VLOOKUP($Q14&amp;", "&amp;$M$4,Team_Matches!$J$7:$O$3322,6,FALSE))</f>
        <v/>
      </c>
      <c r="N14" s="158" t="str">
        <f ca="1">IF(ISERROR(VLOOKUP($Q14&amp;", "&amp;$N$4,Team_Matches!$J$7:$M$3322,4,FALSE)),"",VLOOKUP($Q14&amp;", "&amp;$N$4,Team_Matches!$J$7:$O$3322,6,FALSE))</f>
        <v/>
      </c>
      <c r="O14" s="158" t="str">
        <f ca="1">IF(ISERROR(VLOOKUP($Q14&amp;", "&amp;$O$4,Team_Matches!$J$7:$M$3322,4,FALSE)),"",VLOOKUP($Q14&amp;", "&amp;$O$4,Team_Matches!$J$7:$O$3322,6,FALSE))</f>
        <v/>
      </c>
      <c r="P14" s="158" t="str">
        <f ca="1">IF(ISERROR(VLOOKUP($Q14&amp;", "&amp;$P$4,Team_Matches!$J$7:$M$3322,4,FALSE)),"",VLOOKUP($Q14&amp;", "&amp;$P$4,Team_Matches!$J$7:$O$3322,6,FALSE))</f>
        <v/>
      </c>
      <c r="Q14" s="156" t="s">
        <v>3966</v>
      </c>
      <c r="R14" s="1"/>
      <c r="S14" s="142"/>
      <c r="T14" s="142"/>
    </row>
    <row r="15" spans="1:20" ht="12.75" customHeight="1">
      <c r="A15" s="62" t="s">
        <v>1135</v>
      </c>
      <c r="B15" s="69" t="str">
        <f>IF($C15="","",VLOOKUP($C15,RatingList!$A:$E,2,FALSE))</f>
        <v/>
      </c>
      <c r="C15" s="199"/>
      <c r="D15" s="167" t="str">
        <f>IF($C15="","",VLOOKUP($C15,RatingList!$A:$E,3,FALSE))</f>
        <v/>
      </c>
      <c r="E15" s="170" t="str">
        <f>IF($C15="","",VLOOKUP($C15,RatingList!$A:$E,4,FALSE))</f>
        <v/>
      </c>
      <c r="F15" s="200" t="str">
        <f>IF($C15="","",IF(ISERROR(VLOOKUP($C15,RatingList!$A:$E,5,FALSE)),"",IF(VLOOKUP($C15,RatingList!$A:$E,5,FALSE)=0,"",VLOOKUP($C15,RatingList!$A:$E,5,FALSE))))</f>
        <v/>
      </c>
      <c r="G15" s="67" t="str">
        <f>B15</f>
        <v/>
      </c>
      <c r="H15" s="143" t="str">
        <f t="shared" ref="H15:H22" si="5">A15</f>
        <v>B1</v>
      </c>
      <c r="I15" s="153" t="str">
        <f t="shared" si="3"/>
        <v/>
      </c>
      <c r="J15" s="155" t="str">
        <f ca="1">IF(ISERROR(VLOOKUP($Q15&amp;", "&amp;$K$4,Team_Matches!$J$7:$M$3322,4,FALSE)),"",VLOOKUP($Q15&amp;", "&amp;$K$4,Team_Matches!$J$7:$M$3322,4,FALSE))</f>
        <v/>
      </c>
      <c r="K15" s="158" t="str">
        <f ca="1">IF(ISERROR(VLOOKUP($Q15&amp;", "&amp;$K$4,Team_Matches!$J$7:$M$3322,4,FALSE)),"",VLOOKUP($Q15&amp;", "&amp;$K$4,Team_Matches!$J$7:$O$3322,6,FALSE))</f>
        <v/>
      </c>
      <c r="L15" s="158" t="str">
        <f ca="1">IF(ISERROR(VLOOKUP($Q15&amp;", "&amp;$L$4,Team_Matches!$J$7:$M$3322,4,FALSE)),"",VLOOKUP($Q15&amp;", "&amp;$L$4,Team_Matches!$J$7:$O$3322,6,FALSE))</f>
        <v/>
      </c>
      <c r="M15" s="158" t="str">
        <f ca="1">IF(ISERROR(VLOOKUP($Q15&amp;", "&amp;$M$4,Team_Matches!$J$7:$M$3322,4,FALSE)),"",VLOOKUP($Q15&amp;", "&amp;$M$4,Team_Matches!$J$7:$O$3322,6,FALSE))</f>
        <v/>
      </c>
      <c r="N15" s="158" t="str">
        <f ca="1">IF(ISERROR(VLOOKUP($Q15&amp;", "&amp;$N$4,Team_Matches!$J$7:$M$3322,4,FALSE)),"",VLOOKUP($Q15&amp;", "&amp;$N$4,Team_Matches!$J$7:$O$3322,6,FALSE))</f>
        <v/>
      </c>
      <c r="O15" s="158" t="str">
        <f ca="1">IF(ISERROR(VLOOKUP($Q15&amp;", "&amp;$O$4,Team_Matches!$J$7:$M$3322,4,FALSE)),"",VLOOKUP($Q15&amp;", "&amp;$O$4,Team_Matches!$J$7:$O$3322,6,FALSE))</f>
        <v/>
      </c>
      <c r="P15" s="158" t="str">
        <f ca="1">IF(ISERROR(VLOOKUP($Q15&amp;", "&amp;$P$4,Team_Matches!$J$7:$M$3322,4,FALSE)),"",VLOOKUP($Q15&amp;", "&amp;$P$4,Team_Matches!$J$7:$O$3322,6,FALSE))</f>
        <v/>
      </c>
      <c r="Q15" s="156" t="s">
        <v>3958</v>
      </c>
      <c r="R15" s="1"/>
      <c r="S15" s="142" t="str">
        <f t="shared" ref="S15:S22" si="6">C15&amp;"("&amp;$A$13&amp;")"</f>
        <v>(B)</v>
      </c>
      <c r="T15" s="142" t="str">
        <f>$A15</f>
        <v>B1</v>
      </c>
    </row>
    <row r="16" spans="1:20" ht="12.75" customHeight="1">
      <c r="A16" s="62" t="s">
        <v>1136</v>
      </c>
      <c r="B16" s="69" t="str">
        <f>IF($C16="","",VLOOKUP($C16,RatingList!$A:$E,2,FALSE))</f>
        <v/>
      </c>
      <c r="C16" s="199"/>
      <c r="D16" s="167" t="str">
        <f>IF($C16="","",VLOOKUP($C16,RatingList!$A:$E,3,FALSE))</f>
        <v/>
      </c>
      <c r="E16" s="170" t="str">
        <f>IF($C16="","",VLOOKUP($C16,RatingList!$A:$E,4,FALSE))</f>
        <v/>
      </c>
      <c r="F16" s="200" t="str">
        <f>IF($C16="","",IF(ISERROR(VLOOKUP($C16,RatingList!$A:$E,5,FALSE)),"",IF(VLOOKUP($C16,RatingList!$A:$E,5,FALSE)=0,"",VLOOKUP($C16,RatingList!$A:$E,5,FALSE))))</f>
        <v/>
      </c>
      <c r="G16" s="67" t="str">
        <f t="shared" ref="G16:G22" si="7">B16</f>
        <v/>
      </c>
      <c r="H16" s="143" t="str">
        <f t="shared" si="5"/>
        <v>B2</v>
      </c>
      <c r="I16" s="153" t="str">
        <f t="shared" si="3"/>
        <v/>
      </c>
      <c r="J16" s="1"/>
      <c r="K16" s="1"/>
      <c r="L16" s="1"/>
      <c r="M16" s="1"/>
      <c r="N16" s="1"/>
      <c r="P16" s="4"/>
      <c r="Q16" s="1"/>
      <c r="R16" s="1"/>
      <c r="S16" s="142" t="str">
        <f t="shared" si="6"/>
        <v>(B)</v>
      </c>
      <c r="T16" s="142" t="str">
        <f t="shared" ref="T16:T22" si="8">$A16</f>
        <v>B2</v>
      </c>
    </row>
    <row r="17" spans="1:20" ht="12.75" customHeight="1">
      <c r="A17" s="62" t="s">
        <v>1137</v>
      </c>
      <c r="B17" s="69" t="str">
        <f>IF($C17="","",VLOOKUP($C17,RatingList!$A:$E,2,FALSE))</f>
        <v/>
      </c>
      <c r="C17" s="199"/>
      <c r="D17" s="167" t="str">
        <f>IF($C17="","",VLOOKUP($C17,RatingList!$A:$E,3,FALSE))</f>
        <v/>
      </c>
      <c r="E17" s="170" t="str">
        <f>IF($C17="","",VLOOKUP($C17,RatingList!$A:$E,4,FALSE))</f>
        <v/>
      </c>
      <c r="F17" s="200" t="str">
        <f>IF($C17="","",IF(ISERROR(VLOOKUP($C17,RatingList!$A:$E,5,FALSE)),"",IF(VLOOKUP($C17,RatingList!$A:$E,5,FALSE)=0,"",VLOOKUP($C17,RatingList!$A:$E,5,FALSE))))</f>
        <v/>
      </c>
      <c r="G17" s="67" t="str">
        <f t="shared" si="7"/>
        <v/>
      </c>
      <c r="H17" s="143" t="str">
        <f t="shared" si="5"/>
        <v>B3</v>
      </c>
      <c r="I17" s="153" t="str">
        <f t="shared" si="3"/>
        <v/>
      </c>
      <c r="J17" s="1"/>
      <c r="K17" s="182" t="str">
        <f t="shared" ref="K17:K24" si="9">IF($C$4="","",RANK(L17,$L$17:$L$24,0))</f>
        <v/>
      </c>
      <c r="L17" s="182" t="str">
        <f>IF(ISERROR(D4),"",D4)</f>
        <v/>
      </c>
      <c r="M17" s="1"/>
      <c r="N17" s="1"/>
      <c r="P17" s="4"/>
      <c r="Q17" s="1"/>
      <c r="R17" s="1"/>
      <c r="S17" s="142" t="str">
        <f t="shared" si="6"/>
        <v>(B)</v>
      </c>
      <c r="T17" s="142" t="str">
        <f t="shared" si="8"/>
        <v>B3</v>
      </c>
    </row>
    <row r="18" spans="1:20" ht="12.75" customHeight="1">
      <c r="A18" s="62" t="s">
        <v>1138</v>
      </c>
      <c r="B18" s="69" t="str">
        <f>IF($C18="","",VLOOKUP($C18,RatingList!$A:$E,2,FALSE))</f>
        <v/>
      </c>
      <c r="C18" s="199"/>
      <c r="D18" s="167" t="str">
        <f>IF($C18="","",VLOOKUP($C18,RatingList!$A:$E,3,FALSE))</f>
        <v/>
      </c>
      <c r="E18" s="170" t="str">
        <f>IF($C18="","",VLOOKUP($C18,RatingList!$A:$E,4,FALSE))</f>
        <v/>
      </c>
      <c r="F18" s="200" t="str">
        <f>IF($C18="","",IF(ISERROR(VLOOKUP($C18,RatingList!$A:$E,5,FALSE)),"",IF(VLOOKUP($C18,RatingList!$A:$E,5,FALSE)=0,"",VLOOKUP($C18,RatingList!$A:$E,5,FALSE))))</f>
        <v/>
      </c>
      <c r="G18" s="67" t="str">
        <f t="shared" si="7"/>
        <v/>
      </c>
      <c r="H18" s="143" t="str">
        <f t="shared" si="5"/>
        <v>B4</v>
      </c>
      <c r="I18" s="153" t="str">
        <f t="shared" si="3"/>
        <v/>
      </c>
      <c r="J18" s="1"/>
      <c r="K18" s="182" t="str">
        <f t="shared" si="9"/>
        <v/>
      </c>
      <c r="L18" s="182" t="str">
        <f t="shared" ref="L18:L24" si="10">IF(ISERROR(D5),"",D5)</f>
        <v/>
      </c>
      <c r="M18" s="1"/>
      <c r="N18" s="1"/>
      <c r="P18" s="4"/>
      <c r="Q18" s="1"/>
      <c r="R18" s="1"/>
      <c r="S18" s="142" t="str">
        <f t="shared" si="6"/>
        <v>(B)</v>
      </c>
      <c r="T18" s="142" t="str">
        <f t="shared" si="8"/>
        <v>B4</v>
      </c>
    </row>
    <row r="19" spans="1:20" ht="12.75" customHeight="1">
      <c r="A19" s="62" t="s">
        <v>1139</v>
      </c>
      <c r="B19" s="69" t="str">
        <f>IF($C19="","",VLOOKUP($C19,RatingList!$A:$E,2,FALSE))</f>
        <v/>
      </c>
      <c r="C19" s="199"/>
      <c r="D19" s="167" t="str">
        <f>IF($C19="","",VLOOKUP($C19,RatingList!$A:$E,3,FALSE))</f>
        <v/>
      </c>
      <c r="E19" s="170" t="str">
        <f>IF($C19="","",VLOOKUP($C19,RatingList!$A:$E,4,FALSE))</f>
        <v/>
      </c>
      <c r="F19" s="200" t="str">
        <f>IF($C19="","",IF(ISERROR(VLOOKUP($C19,RatingList!$A:$E,5,FALSE)),"",IF(VLOOKUP($C19,RatingList!$A:$E,5,FALSE)=0,"",VLOOKUP($C19,RatingList!$A:$E,5,FALSE))))</f>
        <v/>
      </c>
      <c r="G19" s="67" t="str">
        <f t="shared" si="7"/>
        <v/>
      </c>
      <c r="H19" s="143" t="str">
        <f t="shared" si="5"/>
        <v>B5</v>
      </c>
      <c r="I19" s="153" t="str">
        <f t="shared" si="3"/>
        <v/>
      </c>
      <c r="J19" s="1"/>
      <c r="K19" s="182" t="str">
        <f t="shared" si="9"/>
        <v/>
      </c>
      <c r="L19" s="182" t="str">
        <f t="shared" si="10"/>
        <v/>
      </c>
      <c r="M19" s="1"/>
      <c r="N19" s="1"/>
      <c r="P19" s="4"/>
      <c r="Q19" s="1"/>
      <c r="R19" s="1"/>
      <c r="S19" s="142" t="str">
        <f t="shared" si="6"/>
        <v>(B)</v>
      </c>
      <c r="T19" s="142" t="str">
        <f t="shared" si="8"/>
        <v>B5</v>
      </c>
    </row>
    <row r="20" spans="1:20" ht="12.75" customHeight="1">
      <c r="A20" s="62" t="s">
        <v>1140</v>
      </c>
      <c r="B20" s="69" t="str">
        <f>IF($C20="","",VLOOKUP($C20,RatingList!$A:$E,2,FALSE))</f>
        <v/>
      </c>
      <c r="C20" s="199"/>
      <c r="D20" s="167" t="str">
        <f>IF($C20="","",VLOOKUP($C20,RatingList!$A:$E,3,FALSE))</f>
        <v/>
      </c>
      <c r="E20" s="170" t="str">
        <f>IF($C20="","",VLOOKUP($C20,RatingList!$A:$E,4,FALSE))</f>
        <v/>
      </c>
      <c r="F20" s="200" t="str">
        <f>IF($C20="","",IF(ISERROR(VLOOKUP($C20,RatingList!$A:$E,5,FALSE)),"",IF(VLOOKUP($C20,RatingList!$A:$E,5,FALSE)=0,"",VLOOKUP($C20,RatingList!$A:$E,5,FALSE))))</f>
        <v/>
      </c>
      <c r="G20" s="67" t="str">
        <f t="shared" si="7"/>
        <v/>
      </c>
      <c r="H20" s="143" t="str">
        <f t="shared" si="5"/>
        <v>B6</v>
      </c>
      <c r="I20" s="153" t="str">
        <f t="shared" si="3"/>
        <v/>
      </c>
      <c r="J20" s="1"/>
      <c r="K20" s="182" t="str">
        <f t="shared" si="9"/>
        <v/>
      </c>
      <c r="L20" s="182" t="str">
        <f t="shared" si="10"/>
        <v/>
      </c>
      <c r="M20" s="1"/>
      <c r="N20" s="1"/>
      <c r="P20" s="4"/>
      <c r="Q20" s="1"/>
      <c r="R20" s="1"/>
      <c r="S20" s="142" t="str">
        <f t="shared" si="6"/>
        <v>(B)</v>
      </c>
      <c r="T20" s="142" t="str">
        <f t="shared" si="8"/>
        <v>B6</v>
      </c>
    </row>
    <row r="21" spans="1:20" ht="12.75" customHeight="1">
      <c r="A21" s="62" t="s">
        <v>1141</v>
      </c>
      <c r="B21" s="69" t="str">
        <f>IF($C21="","",VLOOKUP($C21,RatingList!$A:$E,2,FALSE))</f>
        <v/>
      </c>
      <c r="C21" s="199"/>
      <c r="D21" s="167" t="str">
        <f>IF($C21="","",VLOOKUP($C21,RatingList!$A:$E,3,FALSE))</f>
        <v/>
      </c>
      <c r="E21" s="170" t="str">
        <f>IF($C21="","",VLOOKUP($C21,RatingList!$A:$E,4,FALSE))</f>
        <v/>
      </c>
      <c r="F21" s="200" t="str">
        <f>IF($C21="","",IF(ISERROR(VLOOKUP($C21,RatingList!$A:$E,5,FALSE)),"",IF(VLOOKUP($C21,RatingList!$A:$E,5,FALSE)=0,"",VLOOKUP($C21,RatingList!$A:$E,5,FALSE))))</f>
        <v/>
      </c>
      <c r="G21" s="67" t="str">
        <f t="shared" si="7"/>
        <v/>
      </c>
      <c r="H21" s="143" t="str">
        <f t="shared" si="5"/>
        <v>B7</v>
      </c>
      <c r="I21" s="153" t="str">
        <f t="shared" si="3"/>
        <v/>
      </c>
      <c r="J21" s="1"/>
      <c r="K21" s="182" t="str">
        <f t="shared" si="9"/>
        <v/>
      </c>
      <c r="L21" s="182" t="str">
        <f t="shared" si="10"/>
        <v/>
      </c>
      <c r="M21" s="1"/>
      <c r="N21" s="1"/>
      <c r="P21" s="4"/>
      <c r="Q21" s="1"/>
      <c r="R21" s="1"/>
      <c r="S21" s="142" t="str">
        <f t="shared" si="6"/>
        <v>(B)</v>
      </c>
      <c r="T21" s="142" t="str">
        <f t="shared" si="8"/>
        <v>B7</v>
      </c>
    </row>
    <row r="22" spans="1:20" ht="12.75" customHeight="1" thickBot="1">
      <c r="A22" s="63" t="s">
        <v>1142</v>
      </c>
      <c r="B22" s="70" t="str">
        <f>IF($C22="","",VLOOKUP($C22,RatingList!$A:$E,2,FALSE))</f>
        <v/>
      </c>
      <c r="C22" s="201"/>
      <c r="D22" s="168" t="str">
        <f>IF($C22="","",VLOOKUP($C22,RatingList!$A:$E,3,FALSE))</f>
        <v/>
      </c>
      <c r="E22" s="168" t="str">
        <f>IF($C22="","",VLOOKUP($C22,RatingList!$A:$E,4,FALSE))</f>
        <v/>
      </c>
      <c r="F22" s="202" t="str">
        <f>IF($C22="","",IF(ISERROR(VLOOKUP($C22,RatingList!$A:$E,5,FALSE)),"",IF(VLOOKUP($C22,RatingList!$A:$E,5,FALSE)=0,"",VLOOKUP($C22,RatingList!$A:$E,5,FALSE))))</f>
        <v/>
      </c>
      <c r="G22" s="67" t="str">
        <f t="shared" si="7"/>
        <v/>
      </c>
      <c r="H22" s="143" t="str">
        <f t="shared" si="5"/>
        <v>B8</v>
      </c>
      <c r="I22" s="153" t="str">
        <f t="shared" si="3"/>
        <v/>
      </c>
      <c r="J22" s="1"/>
      <c r="K22" s="182" t="str">
        <f t="shared" si="9"/>
        <v/>
      </c>
      <c r="L22" s="182" t="str">
        <f t="shared" si="10"/>
        <v/>
      </c>
      <c r="M22" s="1"/>
      <c r="N22" s="1"/>
      <c r="P22" s="4"/>
      <c r="Q22" s="1"/>
      <c r="R22" s="1"/>
      <c r="S22" s="142" t="str">
        <f t="shared" si="6"/>
        <v>(B)</v>
      </c>
      <c r="T22" s="142" t="str">
        <f t="shared" si="8"/>
        <v>B8</v>
      </c>
    </row>
    <row r="23" spans="1:20" ht="12.75" customHeight="1" thickBot="1">
      <c r="A23" s="53"/>
      <c r="B23" s="53"/>
      <c r="C23" s="53"/>
      <c r="D23" s="53"/>
      <c r="E23" s="1"/>
      <c r="F23" s="1"/>
      <c r="G23" s="67"/>
      <c r="H23" s="143"/>
      <c r="I23" s="153"/>
      <c r="J23" s="1"/>
      <c r="K23" s="182" t="str">
        <f t="shared" si="9"/>
        <v/>
      </c>
      <c r="L23" s="182" t="str">
        <f t="shared" si="10"/>
        <v/>
      </c>
      <c r="M23" s="1"/>
      <c r="N23" s="1"/>
      <c r="P23" s="4"/>
      <c r="Q23" s="1"/>
      <c r="R23" s="1"/>
      <c r="S23" s="142"/>
      <c r="T23" s="142"/>
    </row>
    <row r="24" spans="1:20" ht="12.75" customHeight="1">
      <c r="A24" s="58" t="s">
        <v>1114</v>
      </c>
      <c r="B24" s="245" t="str">
        <f>IF(Draw!B8&lt;&gt;"",Draw!B8,"")</f>
        <v/>
      </c>
      <c r="C24" s="245"/>
      <c r="D24" s="245"/>
      <c r="E24" s="198"/>
      <c r="F24" s="181" t="str">
        <f>IF(C26="","",ROUND(VLOOKUP(1,$K$35:$L$42,2,FALSE)*1.5+VLOOKUP(2,$K$35:$L$42,2,FALSE)*1.5+VLOOKUP(3,$K$35:$L$42,2,FALSE)+VLOOKUP(4,$K$35:$L$42,2,FALSE),0))</f>
        <v/>
      </c>
      <c r="G24" s="67"/>
      <c r="H24" s="143"/>
      <c r="I24" s="153"/>
      <c r="J24" s="1"/>
      <c r="K24" s="182" t="str">
        <f t="shared" si="9"/>
        <v/>
      </c>
      <c r="L24" s="182" t="str">
        <f t="shared" si="10"/>
        <v/>
      </c>
      <c r="M24" s="1"/>
      <c r="N24" s="1"/>
      <c r="P24" s="4"/>
      <c r="Q24" s="1"/>
      <c r="R24" s="1"/>
      <c r="S24" s="142"/>
      <c r="T24" s="142"/>
    </row>
    <row r="25" spans="1:20" ht="12.75" customHeight="1">
      <c r="A25" s="59"/>
      <c r="B25" s="60" t="s">
        <v>1124</v>
      </c>
      <c r="C25" s="60" t="s">
        <v>1251</v>
      </c>
      <c r="D25" s="163" t="s">
        <v>1125</v>
      </c>
      <c r="E25" s="163" t="s">
        <v>4922</v>
      </c>
      <c r="F25" s="61" t="s">
        <v>1253</v>
      </c>
      <c r="G25" s="67"/>
      <c r="H25" s="143"/>
      <c r="I25" s="153"/>
      <c r="J25" s="1"/>
      <c r="K25" s="182"/>
      <c r="L25" s="182"/>
      <c r="M25" s="1"/>
      <c r="N25" s="1"/>
      <c r="P25" s="4"/>
      <c r="Q25" s="1"/>
      <c r="R25" s="1"/>
      <c r="S25" s="142"/>
      <c r="T25" s="142"/>
    </row>
    <row r="26" spans="1:20" ht="12.75" customHeight="1">
      <c r="A26" s="59" t="s">
        <v>1143</v>
      </c>
      <c r="B26" s="69" t="str">
        <f>IF($C26="","",VLOOKUP($C26,RatingList!$A:$E,2,FALSE))</f>
        <v/>
      </c>
      <c r="C26" s="199"/>
      <c r="D26" s="167" t="str">
        <f>IF($C26="","",VLOOKUP($C26,RatingList!$A:$E,3,FALSE))</f>
        <v/>
      </c>
      <c r="E26" s="170" t="str">
        <f>IF($C26="","",VLOOKUP($C26,RatingList!$A:$E,4,FALSE))</f>
        <v/>
      </c>
      <c r="F26" s="200" t="str">
        <f>IF($C26="","",IF(ISERROR(VLOOKUP($C26,RatingList!$A:$E,5,FALSE)),"",IF(VLOOKUP($C26,RatingList!$A:$E,5,FALSE)=0,"",VLOOKUP($C26,RatingList!$A:$E,5,FALSE))))</f>
        <v/>
      </c>
      <c r="G26" s="67" t="str">
        <f>B26</f>
        <v/>
      </c>
      <c r="H26" s="143" t="str">
        <f t="shared" ref="H26:H33" si="11">A26</f>
        <v>C1</v>
      </c>
      <c r="I26" s="153" t="str">
        <f t="shared" si="3"/>
        <v/>
      </c>
      <c r="J26" s="1"/>
      <c r="K26" s="182" t="str">
        <f t="shared" ref="K26:K33" si="12">IF($C$15="","",RANK(L26,$L$26:$L$33,0))</f>
        <v/>
      </c>
      <c r="L26" s="182" t="str">
        <f>IF(ISERROR(D15),"",D15)</f>
        <v/>
      </c>
      <c r="M26" s="1"/>
      <c r="N26" s="1"/>
      <c r="P26" s="4"/>
      <c r="Q26" s="1"/>
      <c r="R26" s="1"/>
      <c r="S26" s="142" t="str">
        <f>C26&amp;"("&amp;$A$24&amp;")"</f>
        <v>(C)</v>
      </c>
      <c r="T26" s="142" t="str">
        <f>$A26</f>
        <v>C1</v>
      </c>
    </row>
    <row r="27" spans="1:20" ht="12.75" customHeight="1">
      <c r="A27" s="59" t="s">
        <v>1144</v>
      </c>
      <c r="B27" s="69" t="str">
        <f>IF($C27="","",VLOOKUP($C27,RatingList!$A:$E,2,FALSE))</f>
        <v/>
      </c>
      <c r="C27" s="199"/>
      <c r="D27" s="167" t="str">
        <f>IF($C27="","",VLOOKUP($C27,RatingList!$A:$E,3,FALSE))</f>
        <v/>
      </c>
      <c r="E27" s="170" t="str">
        <f>IF($C27="","",VLOOKUP($C27,RatingList!$A:$E,4,FALSE))</f>
        <v/>
      </c>
      <c r="F27" s="200" t="str">
        <f>IF($C27="","",IF(ISERROR(VLOOKUP($C27,RatingList!$A:$E,5,FALSE)),"",IF(VLOOKUP($C27,RatingList!$A:$E,5,FALSE)=0,"",VLOOKUP($C27,RatingList!$A:$E,5,FALSE))))</f>
        <v/>
      </c>
      <c r="G27" s="67" t="str">
        <f t="shared" ref="G27:G33" si="13">B27</f>
        <v/>
      </c>
      <c r="H27" s="143" t="str">
        <f t="shared" si="11"/>
        <v>C2</v>
      </c>
      <c r="I27" s="153" t="str">
        <f t="shared" si="3"/>
        <v/>
      </c>
      <c r="J27" s="1"/>
      <c r="K27" s="182" t="str">
        <f t="shared" si="12"/>
        <v/>
      </c>
      <c r="L27" s="182" t="str">
        <f t="shared" ref="L27:L33" si="14">IF(ISERROR(D16),"",D16)</f>
        <v/>
      </c>
      <c r="M27" s="1"/>
      <c r="N27" s="1"/>
      <c r="P27" s="4"/>
      <c r="Q27" s="1"/>
      <c r="R27" s="1"/>
      <c r="S27" s="142" t="str">
        <f t="shared" ref="S27:S33" si="15">C27&amp;"("&amp;$A$24&amp;")"</f>
        <v>(C)</v>
      </c>
      <c r="T27" s="142" t="str">
        <f t="shared" ref="T27:T33" si="16">$A27</f>
        <v>C2</v>
      </c>
    </row>
    <row r="28" spans="1:20" ht="12.75" customHeight="1">
      <c r="A28" s="59" t="s">
        <v>1145</v>
      </c>
      <c r="B28" s="69" t="str">
        <f>IF($C28="","",VLOOKUP($C28,RatingList!$A:$E,2,FALSE))</f>
        <v/>
      </c>
      <c r="C28" s="199"/>
      <c r="D28" s="167" t="str">
        <f>IF($C28="","",VLOOKUP($C28,RatingList!$A:$E,3,FALSE))</f>
        <v/>
      </c>
      <c r="E28" s="170" t="str">
        <f>IF($C28="","",VLOOKUP($C28,RatingList!$A:$E,4,FALSE))</f>
        <v/>
      </c>
      <c r="F28" s="200" t="str">
        <f>IF($C28="","",IF(ISERROR(VLOOKUP($C28,RatingList!$A:$E,5,FALSE)),"",IF(VLOOKUP($C28,RatingList!$A:$E,5,FALSE)=0,"",VLOOKUP($C28,RatingList!$A:$E,5,FALSE))))</f>
        <v/>
      </c>
      <c r="G28" s="67" t="str">
        <f t="shared" si="13"/>
        <v/>
      </c>
      <c r="H28" s="143" t="str">
        <f t="shared" si="11"/>
        <v>C3</v>
      </c>
      <c r="I28" s="153" t="str">
        <f t="shared" si="3"/>
        <v/>
      </c>
      <c r="K28" s="182" t="str">
        <f t="shared" si="12"/>
        <v/>
      </c>
      <c r="L28" s="182" t="str">
        <f t="shared" si="14"/>
        <v/>
      </c>
      <c r="S28" s="142" t="str">
        <f t="shared" si="15"/>
        <v>(C)</v>
      </c>
      <c r="T28" s="142" t="str">
        <f t="shared" si="16"/>
        <v>C3</v>
      </c>
    </row>
    <row r="29" spans="1:20" ht="12.75" customHeight="1">
      <c r="A29" s="59" t="s">
        <v>1146</v>
      </c>
      <c r="B29" s="69" t="str">
        <f>IF($C29="","",VLOOKUP($C29,RatingList!$A:$E,2,FALSE))</f>
        <v/>
      </c>
      <c r="C29" s="199"/>
      <c r="D29" s="167" t="str">
        <f>IF($C29="","",VLOOKUP($C29,RatingList!$A:$E,3,FALSE))</f>
        <v/>
      </c>
      <c r="E29" s="170" t="str">
        <f>IF($C29="","",VLOOKUP($C29,RatingList!$A:$E,4,FALSE))</f>
        <v/>
      </c>
      <c r="F29" s="200" t="str">
        <f>IF($C29="","",IF(ISERROR(VLOOKUP($C29,RatingList!$A:$E,5,FALSE)),"",IF(VLOOKUP($C29,RatingList!$A:$E,5,FALSE)=0,"",VLOOKUP($C29,RatingList!$A:$E,5,FALSE))))</f>
        <v/>
      </c>
      <c r="G29" s="67" t="str">
        <f t="shared" si="13"/>
        <v/>
      </c>
      <c r="H29" s="143" t="str">
        <f t="shared" si="11"/>
        <v>C4</v>
      </c>
      <c r="I29" s="153" t="str">
        <f t="shared" si="3"/>
        <v/>
      </c>
      <c r="K29" s="182" t="str">
        <f t="shared" si="12"/>
        <v/>
      </c>
      <c r="L29" s="182" t="str">
        <f t="shared" si="14"/>
        <v/>
      </c>
      <c r="S29" s="142" t="str">
        <f t="shared" si="15"/>
        <v>(C)</v>
      </c>
      <c r="T29" s="142" t="str">
        <f t="shared" si="16"/>
        <v>C4</v>
      </c>
    </row>
    <row r="30" spans="1:20" ht="12.75" customHeight="1">
      <c r="A30" s="59" t="s">
        <v>1147</v>
      </c>
      <c r="B30" s="69" t="str">
        <f>IF($C30="","",VLOOKUP($C30,RatingList!$A:$E,2,FALSE))</f>
        <v/>
      </c>
      <c r="C30" s="199"/>
      <c r="D30" s="167" t="str">
        <f>IF($C30="","",VLOOKUP($C30,RatingList!$A:$E,3,FALSE))</f>
        <v/>
      </c>
      <c r="E30" s="170" t="str">
        <f>IF($C30="","",VLOOKUP($C30,RatingList!$A:$E,4,FALSE))</f>
        <v/>
      </c>
      <c r="F30" s="200" t="str">
        <f>IF($C30="","",IF(ISERROR(VLOOKUP($C30,RatingList!$A:$E,5,FALSE)),"",IF(VLOOKUP($C30,RatingList!$A:$E,5,FALSE)=0,"",VLOOKUP($C30,RatingList!$A:$E,5,FALSE))))</f>
        <v/>
      </c>
      <c r="G30" s="67" t="str">
        <f t="shared" si="13"/>
        <v/>
      </c>
      <c r="H30" s="143" t="str">
        <f t="shared" si="11"/>
        <v>C5</v>
      </c>
      <c r="I30" s="153" t="str">
        <f t="shared" si="3"/>
        <v/>
      </c>
      <c r="K30" s="182" t="str">
        <f t="shared" si="12"/>
        <v/>
      </c>
      <c r="L30" s="182" t="str">
        <f t="shared" si="14"/>
        <v/>
      </c>
      <c r="S30" s="142" t="str">
        <f t="shared" si="15"/>
        <v>(C)</v>
      </c>
      <c r="T30" s="142" t="str">
        <f t="shared" si="16"/>
        <v>C5</v>
      </c>
    </row>
    <row r="31" spans="1:20" ht="12.75" customHeight="1">
      <c r="A31" s="59" t="s">
        <v>1148</v>
      </c>
      <c r="B31" s="69" t="str">
        <f>IF($C31="","",VLOOKUP($C31,RatingList!$A:$E,2,FALSE))</f>
        <v/>
      </c>
      <c r="C31" s="199"/>
      <c r="D31" s="167" t="str">
        <f>IF($C31="","",VLOOKUP($C31,RatingList!$A:$E,3,FALSE))</f>
        <v/>
      </c>
      <c r="E31" s="170" t="str">
        <f>IF($C31="","",VLOOKUP($C31,RatingList!$A:$E,4,FALSE))</f>
        <v/>
      </c>
      <c r="F31" s="200" t="str">
        <f>IF($C31="","",IF(ISERROR(VLOOKUP($C31,RatingList!$A:$E,5,FALSE)),"",IF(VLOOKUP($C31,RatingList!$A:$E,5,FALSE)=0,"",VLOOKUP($C31,RatingList!$A:$E,5,FALSE))))</f>
        <v/>
      </c>
      <c r="G31" s="67" t="str">
        <f t="shared" si="13"/>
        <v/>
      </c>
      <c r="H31" s="143" t="str">
        <f t="shared" si="11"/>
        <v>C6</v>
      </c>
      <c r="I31" s="153" t="str">
        <f t="shared" si="3"/>
        <v/>
      </c>
      <c r="K31" s="182" t="str">
        <f t="shared" si="12"/>
        <v/>
      </c>
      <c r="L31" s="182" t="str">
        <f t="shared" si="14"/>
        <v/>
      </c>
      <c r="S31" s="142" t="str">
        <f t="shared" si="15"/>
        <v>(C)</v>
      </c>
      <c r="T31" s="142" t="str">
        <f t="shared" si="16"/>
        <v>C6</v>
      </c>
    </row>
    <row r="32" spans="1:20" ht="12.75" customHeight="1">
      <c r="A32" s="59" t="s">
        <v>1149</v>
      </c>
      <c r="B32" s="69" t="str">
        <f>IF($C32="","",VLOOKUP($C32,RatingList!$A:$E,2,FALSE))</f>
        <v/>
      </c>
      <c r="C32" s="199"/>
      <c r="D32" s="167" t="str">
        <f>IF($C32="","",VLOOKUP($C32,RatingList!$A:$E,3,FALSE))</f>
        <v/>
      </c>
      <c r="E32" s="170" t="str">
        <f>IF($C32="","",VLOOKUP($C32,RatingList!$A:$E,4,FALSE))</f>
        <v/>
      </c>
      <c r="F32" s="200" t="str">
        <f>IF($C32="","",IF(ISERROR(VLOOKUP($C32,RatingList!$A:$E,5,FALSE)),"",IF(VLOOKUP($C32,RatingList!$A:$E,5,FALSE)=0,"",VLOOKUP($C32,RatingList!$A:$E,5,FALSE))))</f>
        <v/>
      </c>
      <c r="G32" s="67" t="str">
        <f t="shared" si="13"/>
        <v/>
      </c>
      <c r="H32" s="143" t="str">
        <f t="shared" si="11"/>
        <v>C7</v>
      </c>
      <c r="I32" s="153" t="str">
        <f t="shared" si="3"/>
        <v/>
      </c>
      <c r="K32" s="182" t="str">
        <f t="shared" si="12"/>
        <v/>
      </c>
      <c r="L32" s="182" t="str">
        <f t="shared" si="14"/>
        <v/>
      </c>
      <c r="S32" s="142" t="str">
        <f t="shared" si="15"/>
        <v>(C)</v>
      </c>
      <c r="T32" s="142" t="str">
        <f t="shared" si="16"/>
        <v>C7</v>
      </c>
    </row>
    <row r="33" spans="1:20" ht="12.75" customHeight="1" thickBot="1">
      <c r="A33" s="64" t="s">
        <v>1150</v>
      </c>
      <c r="B33" s="70" t="str">
        <f>IF($C33="","",VLOOKUP($C33,RatingList!$A:$E,2,FALSE))</f>
        <v/>
      </c>
      <c r="C33" s="201"/>
      <c r="D33" s="168" t="str">
        <f>IF($C33="","",VLOOKUP($C33,RatingList!$A:$E,3,FALSE))</f>
        <v/>
      </c>
      <c r="E33" s="168" t="str">
        <f>IF($C33="","",VLOOKUP($C33,RatingList!$A:$E,4,FALSE))</f>
        <v/>
      </c>
      <c r="F33" s="202" t="str">
        <f>IF($C33="","",IF(ISERROR(VLOOKUP($C33,RatingList!$A:$E,5,FALSE)),"",IF(VLOOKUP($C33,RatingList!$A:$E,5,FALSE)=0,"",VLOOKUP($C33,RatingList!$A:$E,5,FALSE))))</f>
        <v/>
      </c>
      <c r="G33" s="67" t="str">
        <f t="shared" si="13"/>
        <v/>
      </c>
      <c r="H33" s="143" t="str">
        <f t="shared" si="11"/>
        <v>C8</v>
      </c>
      <c r="I33" s="153" t="str">
        <f t="shared" si="3"/>
        <v/>
      </c>
      <c r="K33" s="182" t="str">
        <f t="shared" si="12"/>
        <v/>
      </c>
      <c r="L33" s="182" t="str">
        <f t="shared" si="14"/>
        <v/>
      </c>
      <c r="S33" s="142" t="str">
        <f t="shared" si="15"/>
        <v>(C)</v>
      </c>
      <c r="T33" s="142" t="str">
        <f t="shared" si="16"/>
        <v>C8</v>
      </c>
    </row>
    <row r="34" spans="1:20" ht="12.75" customHeight="1" thickBot="1">
      <c r="A34" s="53"/>
      <c r="B34" s="53"/>
      <c r="C34" s="53"/>
      <c r="D34" s="53"/>
      <c r="E34" s="1"/>
      <c r="F34" s="1"/>
      <c r="G34" s="67"/>
      <c r="H34" s="143"/>
      <c r="I34" s="153"/>
      <c r="K34" s="180"/>
      <c r="L34" s="180"/>
      <c r="S34" s="142"/>
      <c r="T34" s="142"/>
    </row>
    <row r="35" spans="1:20" ht="12.75" customHeight="1">
      <c r="A35" s="58" t="s">
        <v>1115</v>
      </c>
      <c r="B35" s="245" t="str">
        <f>IF(Draw!B10&lt;&gt;"",Draw!B10,"")</f>
        <v/>
      </c>
      <c r="C35" s="245"/>
      <c r="D35" s="245"/>
      <c r="E35" s="198"/>
      <c r="F35" s="181" t="str">
        <f>IF(C37="","",ROUND(VLOOKUP(1,$K$44:$L$51,2,FALSE)*1.5+VLOOKUP(2,$K$44:$L$51,2,FALSE)*1.5+VLOOKUP(3,$K$44:$L$51,2,FALSE)+VLOOKUP(4,$K$44:$L$51,2,FALSE),0))</f>
        <v/>
      </c>
      <c r="G35" s="67"/>
      <c r="H35" s="143"/>
      <c r="I35" s="153"/>
      <c r="K35" s="182" t="str">
        <f>IF($C$26="","",RANK(L35,$L$35:$L$42,0))</f>
        <v/>
      </c>
      <c r="L35" s="182" t="str">
        <f>IF(ISERROR(D26),"",D26)</f>
        <v/>
      </c>
      <c r="S35" s="142"/>
      <c r="T35" s="142"/>
    </row>
    <row r="36" spans="1:20" ht="12.75" customHeight="1">
      <c r="A36" s="59"/>
      <c r="B36" s="60" t="s">
        <v>1124</v>
      </c>
      <c r="C36" s="60" t="s">
        <v>1251</v>
      </c>
      <c r="D36" s="163" t="s">
        <v>1125</v>
      </c>
      <c r="E36" s="163" t="s">
        <v>4922</v>
      </c>
      <c r="F36" s="61" t="s">
        <v>1253</v>
      </c>
      <c r="G36" s="67"/>
      <c r="H36" s="143"/>
      <c r="I36" s="153"/>
      <c r="K36" s="182" t="str">
        <f t="shared" ref="K36:K42" si="17">IF($C$26="","",RANK(L36,$L$35:$L$42,0))</f>
        <v/>
      </c>
      <c r="L36" s="182" t="str">
        <f t="shared" ref="L36:L42" si="18">IF(ISERROR(D27),"",D27)</f>
        <v/>
      </c>
      <c r="S36" s="142"/>
      <c r="T36" s="142"/>
    </row>
    <row r="37" spans="1:20" ht="12.75" customHeight="1">
      <c r="A37" s="59" t="s">
        <v>1151</v>
      </c>
      <c r="B37" s="69" t="str">
        <f>IF($C37="","",VLOOKUP($C37,RatingList!$A:$E,2,FALSE))</f>
        <v/>
      </c>
      <c r="C37" s="199"/>
      <c r="D37" s="167" t="str">
        <f>IF($C37="","",VLOOKUP($C37,RatingList!$A:$E,3,FALSE))</f>
        <v/>
      </c>
      <c r="E37" s="170" t="str">
        <f>IF($C37="","",VLOOKUP($C37,RatingList!$A:$E,4,FALSE))</f>
        <v/>
      </c>
      <c r="F37" s="200" t="str">
        <f>IF($C37="","",IF(ISERROR(VLOOKUP($C37,RatingList!$A:$E,5,FALSE)),"",IF(VLOOKUP($C37,RatingList!$A:$E,5,FALSE)=0,"",VLOOKUP($C37,RatingList!$A:$E,5,FALSE))))</f>
        <v/>
      </c>
      <c r="G37" s="67" t="str">
        <f>B37</f>
        <v/>
      </c>
      <c r="H37" s="143" t="str">
        <f t="shared" ref="H37:H44" si="19">A37</f>
        <v>D1</v>
      </c>
      <c r="I37" s="153" t="str">
        <f t="shared" si="3"/>
        <v/>
      </c>
      <c r="K37" s="182" t="str">
        <f t="shared" si="17"/>
        <v/>
      </c>
      <c r="L37" s="182" t="str">
        <f t="shared" si="18"/>
        <v/>
      </c>
      <c r="S37" s="142" t="str">
        <f>C37&amp;"("&amp;$A$35&amp;")"</f>
        <v>(D)</v>
      </c>
      <c r="T37" s="142" t="str">
        <f>$A37</f>
        <v>D1</v>
      </c>
    </row>
    <row r="38" spans="1:20" ht="12.75" customHeight="1">
      <c r="A38" s="59" t="s">
        <v>1152</v>
      </c>
      <c r="B38" s="69" t="str">
        <f>IF($C38="","",VLOOKUP($C38,RatingList!$A:$E,2,FALSE))</f>
        <v/>
      </c>
      <c r="C38" s="199"/>
      <c r="D38" s="167" t="str">
        <f>IF($C38="","",VLOOKUP($C38,RatingList!$A:$E,3,FALSE))</f>
        <v/>
      </c>
      <c r="E38" s="170" t="str">
        <f>IF($C38="","",VLOOKUP($C38,RatingList!$A:$E,4,FALSE))</f>
        <v/>
      </c>
      <c r="F38" s="200" t="str">
        <f>IF($C38="","",IF(ISERROR(VLOOKUP($C38,RatingList!$A:$E,5,FALSE)),"",IF(VLOOKUP($C38,RatingList!$A:$E,5,FALSE)=0,"",VLOOKUP($C38,RatingList!$A:$E,5,FALSE))))</f>
        <v/>
      </c>
      <c r="G38" s="67" t="str">
        <f t="shared" ref="G38:G44" si="20">B38</f>
        <v/>
      </c>
      <c r="H38" s="143" t="str">
        <f t="shared" si="19"/>
        <v>D2</v>
      </c>
      <c r="I38" s="153" t="str">
        <f t="shared" si="3"/>
        <v/>
      </c>
      <c r="K38" s="182" t="str">
        <f t="shared" si="17"/>
        <v/>
      </c>
      <c r="L38" s="182" t="str">
        <f t="shared" si="18"/>
        <v/>
      </c>
      <c r="S38" s="142" t="str">
        <f t="shared" ref="S38:S44" si="21">C38&amp;"("&amp;$A$35&amp;")"</f>
        <v>(D)</v>
      </c>
      <c r="T38" s="142" t="str">
        <f t="shared" ref="T38:T44" si="22">$A38</f>
        <v>D2</v>
      </c>
    </row>
    <row r="39" spans="1:20" ht="12.75" customHeight="1">
      <c r="A39" s="59" t="s">
        <v>1153</v>
      </c>
      <c r="B39" s="69" t="str">
        <f>IF($C39="","",VLOOKUP($C39,RatingList!$A:$E,2,FALSE))</f>
        <v/>
      </c>
      <c r="C39" s="199"/>
      <c r="D39" s="167" t="str">
        <f>IF($C39="","",VLOOKUP($C39,RatingList!$A:$E,3,FALSE))</f>
        <v/>
      </c>
      <c r="E39" s="170" t="str">
        <f>IF($C39="","",VLOOKUP($C39,RatingList!$A:$E,4,FALSE))</f>
        <v/>
      </c>
      <c r="F39" s="200" t="str">
        <f>IF($C39="","",IF(ISERROR(VLOOKUP($C39,RatingList!$A:$E,5,FALSE)),"",IF(VLOOKUP($C39,RatingList!$A:$E,5,FALSE)=0,"",VLOOKUP($C39,RatingList!$A:$E,5,FALSE))))</f>
        <v/>
      </c>
      <c r="G39" s="67" t="str">
        <f t="shared" si="20"/>
        <v/>
      </c>
      <c r="H39" s="143" t="str">
        <f t="shared" si="19"/>
        <v>D3</v>
      </c>
      <c r="I39" s="153" t="str">
        <f t="shared" si="3"/>
        <v/>
      </c>
      <c r="K39" s="182" t="str">
        <f t="shared" si="17"/>
        <v/>
      </c>
      <c r="L39" s="182" t="str">
        <f t="shared" si="18"/>
        <v/>
      </c>
      <c r="S39" s="142" t="str">
        <f t="shared" si="21"/>
        <v>(D)</v>
      </c>
      <c r="T39" s="142" t="str">
        <f t="shared" si="22"/>
        <v>D3</v>
      </c>
    </row>
    <row r="40" spans="1:20" ht="12.75" customHeight="1">
      <c r="A40" s="59" t="s">
        <v>1154</v>
      </c>
      <c r="B40" s="69" t="str">
        <f>IF($C40="","",VLOOKUP($C40,RatingList!$A:$E,2,FALSE))</f>
        <v/>
      </c>
      <c r="C40" s="199"/>
      <c r="D40" s="167" t="str">
        <f>IF($C40="","",VLOOKUP($C40,RatingList!$A:$E,3,FALSE))</f>
        <v/>
      </c>
      <c r="E40" s="170" t="str">
        <f>IF($C40="","",VLOOKUP($C40,RatingList!$A:$E,4,FALSE))</f>
        <v/>
      </c>
      <c r="F40" s="200" t="str">
        <f>IF($C40="","",IF(ISERROR(VLOOKUP($C40,RatingList!$A:$E,5,FALSE)),"",IF(VLOOKUP($C40,RatingList!$A:$E,5,FALSE)=0,"",VLOOKUP($C40,RatingList!$A:$E,5,FALSE))))</f>
        <v/>
      </c>
      <c r="G40" s="67" t="str">
        <f t="shared" si="20"/>
        <v/>
      </c>
      <c r="H40" s="143" t="str">
        <f t="shared" si="19"/>
        <v>D4</v>
      </c>
      <c r="I40" s="153" t="str">
        <f t="shared" si="3"/>
        <v/>
      </c>
      <c r="K40" s="182" t="str">
        <f t="shared" si="17"/>
        <v/>
      </c>
      <c r="L40" s="182" t="str">
        <f t="shared" si="18"/>
        <v/>
      </c>
      <c r="S40" s="142" t="str">
        <f t="shared" si="21"/>
        <v>(D)</v>
      </c>
      <c r="T40" s="142" t="str">
        <f t="shared" si="22"/>
        <v>D4</v>
      </c>
    </row>
    <row r="41" spans="1:20" ht="12.75" customHeight="1">
      <c r="A41" s="59" t="s">
        <v>1155</v>
      </c>
      <c r="B41" s="69" t="str">
        <f>IF($C41="","",VLOOKUP($C41,RatingList!$A:$E,2,FALSE))</f>
        <v/>
      </c>
      <c r="C41" s="199"/>
      <c r="D41" s="167" t="str">
        <f>IF($C41="","",VLOOKUP($C41,RatingList!$A:$E,3,FALSE))</f>
        <v/>
      </c>
      <c r="E41" s="170" t="str">
        <f>IF($C41="","",VLOOKUP($C41,RatingList!$A:$E,4,FALSE))</f>
        <v/>
      </c>
      <c r="F41" s="200" t="str">
        <f>IF($C41="","",IF(ISERROR(VLOOKUP($C41,RatingList!$A:$E,5,FALSE)),"",IF(VLOOKUP($C41,RatingList!$A:$E,5,FALSE)=0,"",VLOOKUP($C41,RatingList!$A:$E,5,FALSE))))</f>
        <v/>
      </c>
      <c r="G41" s="67" t="str">
        <f t="shared" si="20"/>
        <v/>
      </c>
      <c r="H41" s="143" t="str">
        <f t="shared" si="19"/>
        <v>D5</v>
      </c>
      <c r="I41" s="153" t="str">
        <f t="shared" si="3"/>
        <v/>
      </c>
      <c r="K41" s="182" t="str">
        <f t="shared" si="17"/>
        <v/>
      </c>
      <c r="L41" s="182" t="str">
        <f t="shared" si="18"/>
        <v/>
      </c>
      <c r="S41" s="142" t="str">
        <f t="shared" si="21"/>
        <v>(D)</v>
      </c>
      <c r="T41" s="142" t="str">
        <f t="shared" si="22"/>
        <v>D5</v>
      </c>
    </row>
    <row r="42" spans="1:20" ht="12.75" customHeight="1">
      <c r="A42" s="59" t="s">
        <v>1156</v>
      </c>
      <c r="B42" s="69" t="str">
        <f>IF($C42="","",VLOOKUP($C42,RatingList!$A:$E,2,FALSE))</f>
        <v/>
      </c>
      <c r="C42" s="199"/>
      <c r="D42" s="167" t="str">
        <f>IF($C42="","",VLOOKUP($C42,RatingList!$A:$E,3,FALSE))</f>
        <v/>
      </c>
      <c r="E42" s="170" t="str">
        <f>IF($C42="","",VLOOKUP($C42,RatingList!$A:$E,4,FALSE))</f>
        <v/>
      </c>
      <c r="F42" s="200" t="str">
        <f>IF($C42="","",IF(ISERROR(VLOOKUP($C42,RatingList!$A:$E,5,FALSE)),"",IF(VLOOKUP($C42,RatingList!$A:$E,5,FALSE)=0,"",VLOOKUP($C42,RatingList!$A:$E,5,FALSE))))</f>
        <v/>
      </c>
      <c r="G42" s="67" t="str">
        <f t="shared" si="20"/>
        <v/>
      </c>
      <c r="H42" s="143" t="str">
        <f t="shared" si="19"/>
        <v>D6</v>
      </c>
      <c r="I42" s="153" t="str">
        <f t="shared" si="3"/>
        <v/>
      </c>
      <c r="K42" s="182" t="str">
        <f t="shared" si="17"/>
        <v/>
      </c>
      <c r="L42" s="182" t="str">
        <f t="shared" si="18"/>
        <v/>
      </c>
      <c r="S42" s="142" t="str">
        <f t="shared" si="21"/>
        <v>(D)</v>
      </c>
      <c r="T42" s="142" t="str">
        <f t="shared" si="22"/>
        <v>D6</v>
      </c>
    </row>
    <row r="43" spans="1:20" ht="12.75" customHeight="1">
      <c r="A43" s="59" t="s">
        <v>1157</v>
      </c>
      <c r="B43" s="69" t="str">
        <f>IF($C43="","",VLOOKUP($C43,RatingList!$A:$E,2,FALSE))</f>
        <v/>
      </c>
      <c r="C43" s="199"/>
      <c r="D43" s="167" t="str">
        <f>IF($C43="","",VLOOKUP($C43,RatingList!$A:$E,3,FALSE))</f>
        <v/>
      </c>
      <c r="E43" s="170" t="str">
        <f>IF($C43="","",VLOOKUP($C43,RatingList!$A:$E,4,FALSE))</f>
        <v/>
      </c>
      <c r="F43" s="200" t="str">
        <f>IF($C43="","",IF(ISERROR(VLOOKUP($C43,RatingList!$A:$E,5,FALSE)),"",IF(VLOOKUP($C43,RatingList!$A:$E,5,FALSE)=0,"",VLOOKUP($C43,RatingList!$A:$E,5,FALSE))))</f>
        <v/>
      </c>
      <c r="G43" s="67" t="str">
        <f t="shared" si="20"/>
        <v/>
      </c>
      <c r="H43" s="143" t="str">
        <f t="shared" si="19"/>
        <v>D7</v>
      </c>
      <c r="I43" s="153" t="str">
        <f t="shared" si="3"/>
        <v/>
      </c>
      <c r="K43" s="180"/>
      <c r="L43" s="180"/>
      <c r="S43" s="142" t="str">
        <f t="shared" si="21"/>
        <v>(D)</v>
      </c>
      <c r="T43" s="142" t="str">
        <f t="shared" si="22"/>
        <v>D7</v>
      </c>
    </row>
    <row r="44" spans="1:20" ht="12.75" customHeight="1" thickBot="1">
      <c r="A44" s="64" t="s">
        <v>1158</v>
      </c>
      <c r="B44" s="70" t="str">
        <f>IF($C44="","",VLOOKUP($C44,RatingList!$A:$E,2,FALSE))</f>
        <v/>
      </c>
      <c r="C44" s="201"/>
      <c r="D44" s="168" t="str">
        <f>IF($C44="","",VLOOKUP($C44,RatingList!$A:$E,3,FALSE))</f>
        <v/>
      </c>
      <c r="E44" s="168" t="str">
        <f>IF($C44="","",VLOOKUP($C44,RatingList!$A:$E,4,FALSE))</f>
        <v/>
      </c>
      <c r="F44" s="202" t="str">
        <f>IF($C44="","",IF(ISERROR(VLOOKUP($C44,RatingList!$A:$E,5,FALSE)),"",IF(VLOOKUP($C44,RatingList!$A:$E,5,FALSE)=0,"",VLOOKUP($C44,RatingList!$A:$E,5,FALSE))))</f>
        <v/>
      </c>
      <c r="G44" s="67" t="str">
        <f t="shared" si="20"/>
        <v/>
      </c>
      <c r="H44" s="143" t="str">
        <f t="shared" si="19"/>
        <v>D8</v>
      </c>
      <c r="I44" s="153" t="str">
        <f t="shared" si="3"/>
        <v/>
      </c>
      <c r="K44" s="182" t="str">
        <f>IF($C$37="","",RANK(L44,$L$44:$L$51,0))</f>
        <v/>
      </c>
      <c r="L44" s="182" t="str">
        <f>IF(ISERROR(D37),"",D37)</f>
        <v/>
      </c>
      <c r="S44" s="142" t="str">
        <f t="shared" si="21"/>
        <v>(D)</v>
      </c>
      <c r="T44" s="142" t="str">
        <f t="shared" si="22"/>
        <v>D8</v>
      </c>
    </row>
    <row r="45" spans="1:20" ht="12.75" customHeight="1" thickBot="1">
      <c r="A45" s="53"/>
      <c r="B45" s="43"/>
      <c r="C45" s="43"/>
      <c r="D45" s="43"/>
      <c r="G45" s="67"/>
      <c r="H45" s="143"/>
      <c r="I45" s="153"/>
      <c r="K45" s="182" t="str">
        <f t="shared" ref="K45:K51" si="23">IF($C$37="","",RANK(L45,$L$44:$L$51,0))</f>
        <v/>
      </c>
      <c r="L45" s="182" t="str">
        <f t="shared" ref="L45:L51" si="24">IF(ISERROR(D38),"",D38)</f>
        <v/>
      </c>
      <c r="S45" s="142"/>
      <c r="T45" s="142"/>
    </row>
    <row r="46" spans="1:20" ht="12.75" customHeight="1">
      <c r="A46" s="58" t="s">
        <v>1116</v>
      </c>
      <c r="B46" s="245" t="str">
        <f>IF(Draw!B12&lt;&gt;"",Draw!B12,"")</f>
        <v/>
      </c>
      <c r="C46" s="245"/>
      <c r="D46" s="245"/>
      <c r="E46" s="198"/>
      <c r="F46" s="181" t="str">
        <f>IF(C48="","",ROUND(VLOOKUP(1,$K$53:$L$60,2,FALSE)*1.5+VLOOKUP(2,$K$53:$L$60,2,FALSE)*1.5+VLOOKUP(3,$K$53:$L$60,2,FALSE)+VLOOKUP(4,$K$53:$L$60,2,FALSE),0))</f>
        <v/>
      </c>
      <c r="G46" s="67"/>
      <c r="H46" s="143"/>
      <c r="I46" s="153"/>
      <c r="K46" s="182" t="str">
        <f t="shared" si="23"/>
        <v/>
      </c>
      <c r="L46" s="182" t="str">
        <f t="shared" si="24"/>
        <v/>
      </c>
      <c r="S46" s="142"/>
      <c r="T46" s="142"/>
    </row>
    <row r="47" spans="1:20" ht="12.75" customHeight="1">
      <c r="A47" s="59"/>
      <c r="B47" s="60" t="s">
        <v>1124</v>
      </c>
      <c r="C47" s="60" t="s">
        <v>1251</v>
      </c>
      <c r="D47" s="163" t="s">
        <v>1125</v>
      </c>
      <c r="E47" s="163" t="s">
        <v>4922</v>
      </c>
      <c r="F47" s="61" t="s">
        <v>1253</v>
      </c>
      <c r="G47" s="67"/>
      <c r="H47" s="143"/>
      <c r="I47" s="153"/>
      <c r="K47" s="182" t="str">
        <f t="shared" si="23"/>
        <v/>
      </c>
      <c r="L47" s="182" t="str">
        <f t="shared" si="24"/>
        <v/>
      </c>
      <c r="S47" s="142"/>
      <c r="T47" s="142"/>
    </row>
    <row r="48" spans="1:20" ht="12.75" customHeight="1">
      <c r="A48" s="59" t="s">
        <v>1159</v>
      </c>
      <c r="B48" s="69" t="str">
        <f>IF($C48="","",VLOOKUP($C48,RatingList!$A:$E,2,FALSE))</f>
        <v/>
      </c>
      <c r="C48" s="199"/>
      <c r="D48" s="167" t="str">
        <f>IF($C48="","",VLOOKUP($C48,RatingList!$A:$E,3,FALSE))</f>
        <v/>
      </c>
      <c r="E48" s="170" t="str">
        <f>IF($C48="","",VLOOKUP($C48,RatingList!$A:$E,4,FALSE))</f>
        <v/>
      </c>
      <c r="F48" s="200" t="str">
        <f>IF($C48="","",IF(ISERROR(VLOOKUP($C48,RatingList!$A:$E,5,FALSE)),"",IF(VLOOKUP($C48,RatingList!$A:$E,5,FALSE)=0,"",VLOOKUP($C48,RatingList!$A:$E,5,FALSE))))</f>
        <v/>
      </c>
      <c r="G48" s="67" t="str">
        <f>B48</f>
        <v/>
      </c>
      <c r="H48" s="143" t="str">
        <f t="shared" ref="H48:H55" si="25">A48</f>
        <v>E1</v>
      </c>
      <c r="I48" s="153" t="str">
        <f t="shared" si="3"/>
        <v/>
      </c>
      <c r="K48" s="182" t="str">
        <f t="shared" si="23"/>
        <v/>
      </c>
      <c r="L48" s="182" t="str">
        <f t="shared" si="24"/>
        <v/>
      </c>
      <c r="S48" s="142" t="str">
        <f>C48&amp;"("&amp;$A$46&amp;")"</f>
        <v>(E)</v>
      </c>
      <c r="T48" s="142" t="str">
        <f>$A48</f>
        <v>E1</v>
      </c>
    </row>
    <row r="49" spans="1:20" ht="12.75" customHeight="1">
      <c r="A49" s="59" t="s">
        <v>1160</v>
      </c>
      <c r="B49" s="69" t="str">
        <f>IF($C49="","",VLOOKUP($C49,RatingList!$A:$E,2,FALSE))</f>
        <v/>
      </c>
      <c r="C49" s="199"/>
      <c r="D49" s="167" t="str">
        <f>IF($C49="","",VLOOKUP($C49,RatingList!$A:$E,3,FALSE))</f>
        <v/>
      </c>
      <c r="E49" s="170" t="str">
        <f>IF($C49="","",VLOOKUP($C49,RatingList!$A:$E,4,FALSE))</f>
        <v/>
      </c>
      <c r="F49" s="200" t="str">
        <f>IF($C49="","",IF(ISERROR(VLOOKUP($C49,RatingList!$A:$E,5,FALSE)),"",IF(VLOOKUP($C49,RatingList!$A:$E,5,FALSE)=0,"",VLOOKUP($C49,RatingList!$A:$E,5,FALSE))))</f>
        <v/>
      </c>
      <c r="G49" s="67" t="str">
        <f t="shared" ref="G49:G55" si="26">B49</f>
        <v/>
      </c>
      <c r="H49" s="143" t="str">
        <f t="shared" si="25"/>
        <v>E2</v>
      </c>
      <c r="I49" s="153" t="str">
        <f t="shared" si="3"/>
        <v/>
      </c>
      <c r="K49" s="182" t="str">
        <f t="shared" si="23"/>
        <v/>
      </c>
      <c r="L49" s="182" t="str">
        <f t="shared" si="24"/>
        <v/>
      </c>
      <c r="S49" s="142" t="str">
        <f t="shared" ref="S49:S55" si="27">C49&amp;"("&amp;$A$46&amp;")"</f>
        <v>(E)</v>
      </c>
      <c r="T49" s="142" t="str">
        <f t="shared" ref="T49:T55" si="28">$A49</f>
        <v>E2</v>
      </c>
    </row>
    <row r="50" spans="1:20" ht="12.75" customHeight="1">
      <c r="A50" s="59" t="s">
        <v>1161</v>
      </c>
      <c r="B50" s="69" t="str">
        <f>IF($C50="","",VLOOKUP($C50,RatingList!$A:$E,2,FALSE))</f>
        <v/>
      </c>
      <c r="C50" s="199"/>
      <c r="D50" s="167" t="str">
        <f>IF($C50="","",VLOOKUP($C50,RatingList!$A:$E,3,FALSE))</f>
        <v/>
      </c>
      <c r="E50" s="170" t="str">
        <f>IF($C50="","",VLOOKUP($C50,RatingList!$A:$E,4,FALSE))</f>
        <v/>
      </c>
      <c r="F50" s="200" t="str">
        <f>IF($C50="","",IF(ISERROR(VLOOKUP($C50,RatingList!$A:$E,5,FALSE)),"",IF(VLOOKUP($C50,RatingList!$A:$E,5,FALSE)=0,"",VLOOKUP($C50,RatingList!$A:$E,5,FALSE))))</f>
        <v/>
      </c>
      <c r="G50" s="67" t="str">
        <f t="shared" si="26"/>
        <v/>
      </c>
      <c r="H50" s="143" t="str">
        <f t="shared" si="25"/>
        <v>E3</v>
      </c>
      <c r="I50" s="153" t="str">
        <f t="shared" si="3"/>
        <v/>
      </c>
      <c r="K50" s="182" t="str">
        <f t="shared" si="23"/>
        <v/>
      </c>
      <c r="L50" s="182" t="str">
        <f t="shared" si="24"/>
        <v/>
      </c>
      <c r="S50" s="142" t="str">
        <f t="shared" si="27"/>
        <v>(E)</v>
      </c>
      <c r="T50" s="142" t="str">
        <f t="shared" si="28"/>
        <v>E3</v>
      </c>
    </row>
    <row r="51" spans="1:20" ht="12.75" customHeight="1">
      <c r="A51" s="59" t="s">
        <v>1162</v>
      </c>
      <c r="B51" s="69" t="str">
        <f>IF($C51="","",VLOOKUP($C51,RatingList!$A:$E,2,FALSE))</f>
        <v/>
      </c>
      <c r="C51" s="199"/>
      <c r="D51" s="167" t="str">
        <f>IF($C51="","",VLOOKUP($C51,RatingList!$A:$E,3,FALSE))</f>
        <v/>
      </c>
      <c r="E51" s="170" t="str">
        <f>IF($C51="","",VLOOKUP($C51,RatingList!$A:$E,4,FALSE))</f>
        <v/>
      </c>
      <c r="F51" s="200" t="str">
        <f>IF($C51="","",IF(ISERROR(VLOOKUP($C51,RatingList!$A:$E,5,FALSE)),"",IF(VLOOKUP($C51,RatingList!$A:$E,5,FALSE)=0,"",VLOOKUP($C51,RatingList!$A:$E,5,FALSE))))</f>
        <v/>
      </c>
      <c r="G51" s="67" t="str">
        <f t="shared" si="26"/>
        <v/>
      </c>
      <c r="H51" s="143" t="str">
        <f t="shared" si="25"/>
        <v>E4</v>
      </c>
      <c r="I51" s="153" t="str">
        <f t="shared" si="3"/>
        <v/>
      </c>
      <c r="K51" s="182" t="str">
        <f t="shared" si="23"/>
        <v/>
      </c>
      <c r="L51" s="182" t="str">
        <f t="shared" si="24"/>
        <v/>
      </c>
      <c r="S51" s="142" t="str">
        <f t="shared" si="27"/>
        <v>(E)</v>
      </c>
      <c r="T51" s="142" t="str">
        <f t="shared" si="28"/>
        <v>E4</v>
      </c>
    </row>
    <row r="52" spans="1:20">
      <c r="A52" s="59" t="s">
        <v>1163</v>
      </c>
      <c r="B52" s="69" t="str">
        <f>IF($C52="","",VLOOKUP($C52,RatingList!$A:$E,2,FALSE))</f>
        <v/>
      </c>
      <c r="C52" s="199"/>
      <c r="D52" s="167" t="str">
        <f>IF($C52="","",VLOOKUP($C52,RatingList!$A:$E,3,FALSE))</f>
        <v/>
      </c>
      <c r="E52" s="170" t="str">
        <f>IF($C52="","",VLOOKUP($C52,RatingList!$A:$E,4,FALSE))</f>
        <v/>
      </c>
      <c r="F52" s="200" t="str">
        <f>IF($C52="","",IF(ISERROR(VLOOKUP($C52,RatingList!$A:$E,5,FALSE)),"",IF(VLOOKUP($C52,RatingList!$A:$E,5,FALSE)=0,"",VLOOKUP($C52,RatingList!$A:$E,5,FALSE))))</f>
        <v/>
      </c>
      <c r="G52" s="67" t="str">
        <f t="shared" si="26"/>
        <v/>
      </c>
      <c r="H52" s="143" t="str">
        <f t="shared" si="25"/>
        <v>E5</v>
      </c>
      <c r="I52" s="153" t="str">
        <f t="shared" si="3"/>
        <v/>
      </c>
      <c r="K52" s="180"/>
      <c r="L52" s="180"/>
      <c r="S52" s="142" t="str">
        <f t="shared" si="27"/>
        <v>(E)</v>
      </c>
      <c r="T52" s="142" t="str">
        <f t="shared" si="28"/>
        <v>E5</v>
      </c>
    </row>
    <row r="53" spans="1:20">
      <c r="A53" s="59" t="s">
        <v>1164</v>
      </c>
      <c r="B53" s="69" t="str">
        <f>IF($C53="","",VLOOKUP($C53,RatingList!$A:$E,2,FALSE))</f>
        <v/>
      </c>
      <c r="C53" s="199"/>
      <c r="D53" s="167" t="str">
        <f>IF($C53="","",VLOOKUP($C53,RatingList!$A:$E,3,FALSE))</f>
        <v/>
      </c>
      <c r="E53" s="170" t="str">
        <f>IF($C53="","",VLOOKUP($C53,RatingList!$A:$E,4,FALSE))</f>
        <v/>
      </c>
      <c r="F53" s="200" t="str">
        <f>IF($C53="","",IF(ISERROR(VLOOKUP($C53,RatingList!$A:$E,5,FALSE)),"",IF(VLOOKUP($C53,RatingList!$A:$E,5,FALSE)=0,"",VLOOKUP($C53,RatingList!$A:$E,5,FALSE))))</f>
        <v/>
      </c>
      <c r="G53" s="67" t="str">
        <f t="shared" si="26"/>
        <v/>
      </c>
      <c r="H53" s="143" t="str">
        <f t="shared" si="25"/>
        <v>E6</v>
      </c>
      <c r="I53" s="153" t="str">
        <f t="shared" si="3"/>
        <v/>
      </c>
      <c r="K53" s="182" t="str">
        <f>IF($C$48="","",RANK(L53,$L$53:$L$60,0))</f>
        <v/>
      </c>
      <c r="L53" s="182" t="str">
        <f>IF(ISERROR(D48),"",D48)</f>
        <v/>
      </c>
      <c r="S53" s="142" t="str">
        <f t="shared" si="27"/>
        <v>(E)</v>
      </c>
      <c r="T53" s="142" t="str">
        <f t="shared" si="28"/>
        <v>E6</v>
      </c>
    </row>
    <row r="54" spans="1:20">
      <c r="A54" s="59" t="s">
        <v>1165</v>
      </c>
      <c r="B54" s="69" t="str">
        <f>IF($C54="","",VLOOKUP($C54,RatingList!$A:$E,2,FALSE))</f>
        <v/>
      </c>
      <c r="C54" s="199"/>
      <c r="D54" s="167" t="str">
        <f>IF($C54="","",VLOOKUP($C54,RatingList!$A:$E,3,FALSE))</f>
        <v/>
      </c>
      <c r="E54" s="170" t="str">
        <f>IF($C54="","",VLOOKUP($C54,RatingList!$A:$E,4,FALSE))</f>
        <v/>
      </c>
      <c r="F54" s="200" t="str">
        <f>IF($C54="","",IF(ISERROR(VLOOKUP($C54,RatingList!$A:$E,5,FALSE)),"",IF(VLOOKUP($C54,RatingList!$A:$E,5,FALSE)=0,"",VLOOKUP($C54,RatingList!$A:$E,5,FALSE))))</f>
        <v/>
      </c>
      <c r="G54" s="67" t="str">
        <f t="shared" si="26"/>
        <v/>
      </c>
      <c r="H54" s="143" t="str">
        <f t="shared" si="25"/>
        <v>E7</v>
      </c>
      <c r="I54" s="153" t="str">
        <f t="shared" si="3"/>
        <v/>
      </c>
      <c r="K54" s="182" t="str">
        <f t="shared" ref="K54:K60" si="29">IF($C$48="","",RANK(L54,$L$53:$L$60,0))</f>
        <v/>
      </c>
      <c r="L54" s="182" t="str">
        <f t="shared" ref="L54:L60" si="30">IF(ISERROR(D49),"",D49)</f>
        <v/>
      </c>
      <c r="S54" s="142" t="str">
        <f t="shared" si="27"/>
        <v>(E)</v>
      </c>
      <c r="T54" s="142" t="str">
        <f t="shared" si="28"/>
        <v>E7</v>
      </c>
    </row>
    <row r="55" spans="1:20" ht="13.5" thickBot="1">
      <c r="A55" s="64" t="s">
        <v>1166</v>
      </c>
      <c r="B55" s="70" t="str">
        <f>IF($C55="","",VLOOKUP($C55,RatingList!$A:$E,2,FALSE))</f>
        <v/>
      </c>
      <c r="C55" s="201"/>
      <c r="D55" s="168" t="str">
        <f>IF($C55="","",VLOOKUP($C55,RatingList!$A:$E,3,FALSE))</f>
        <v/>
      </c>
      <c r="E55" s="168" t="str">
        <f>IF($C55="","",VLOOKUP($C55,RatingList!$A:$E,4,FALSE))</f>
        <v/>
      </c>
      <c r="F55" s="202" t="str">
        <f>IF($C55="","",IF(ISERROR(VLOOKUP($C55,RatingList!$A:$E,5,FALSE)),"",IF(VLOOKUP($C55,RatingList!$A:$E,5,FALSE)=0,"",VLOOKUP($C55,RatingList!$A:$E,5,FALSE))))</f>
        <v/>
      </c>
      <c r="G55" s="67" t="str">
        <f t="shared" si="26"/>
        <v/>
      </c>
      <c r="H55" s="143" t="str">
        <f t="shared" si="25"/>
        <v>E8</v>
      </c>
      <c r="I55" s="153" t="str">
        <f t="shared" si="3"/>
        <v/>
      </c>
      <c r="K55" s="182" t="str">
        <f t="shared" si="29"/>
        <v/>
      </c>
      <c r="L55" s="182" t="str">
        <f t="shared" si="30"/>
        <v/>
      </c>
      <c r="S55" s="142" t="str">
        <f t="shared" si="27"/>
        <v>(E)</v>
      </c>
      <c r="T55" s="142" t="str">
        <f t="shared" si="28"/>
        <v>E8</v>
      </c>
    </row>
    <row r="56" spans="1:20" ht="13.5" thickBot="1">
      <c r="A56" s="53"/>
      <c r="B56" s="53"/>
      <c r="C56" s="53"/>
      <c r="D56" s="53"/>
      <c r="E56" s="1"/>
      <c r="F56" s="1"/>
      <c r="G56" s="67"/>
      <c r="H56" s="143"/>
      <c r="I56" s="153"/>
      <c r="K56" s="182" t="str">
        <f t="shared" si="29"/>
        <v/>
      </c>
      <c r="L56" s="182" t="str">
        <f t="shared" si="30"/>
        <v/>
      </c>
      <c r="S56" s="142"/>
      <c r="T56" s="142"/>
    </row>
    <row r="57" spans="1:20">
      <c r="A57" s="58" t="s">
        <v>1117</v>
      </c>
      <c r="B57" s="245" t="str">
        <f>IF(Draw!B14&lt;&gt;"",Draw!B14,"")</f>
        <v/>
      </c>
      <c r="C57" s="245"/>
      <c r="D57" s="245"/>
      <c r="E57" s="198"/>
      <c r="F57" s="181" t="str">
        <f>IF(C59="","",ROUND(VLOOKUP(1,$K$62:$L$69,2,FALSE)*1.5+VLOOKUP(2,$K$62:$L$69,2,FALSE)*1.5+VLOOKUP(3,$K$62:$L$69,2,FALSE)+VLOOKUP(4,$K$62:$L$69,2,FALSE),0))</f>
        <v/>
      </c>
      <c r="G57" s="67"/>
      <c r="H57" s="143"/>
      <c r="I57" s="153"/>
      <c r="K57" s="182" t="str">
        <f t="shared" si="29"/>
        <v/>
      </c>
      <c r="L57" s="182" t="str">
        <f t="shared" si="30"/>
        <v/>
      </c>
      <c r="S57" s="142"/>
      <c r="T57" s="142"/>
    </row>
    <row r="58" spans="1:20">
      <c r="A58" s="59"/>
      <c r="B58" s="60" t="s">
        <v>1124</v>
      </c>
      <c r="C58" s="60" t="s">
        <v>1251</v>
      </c>
      <c r="D58" s="163" t="s">
        <v>1125</v>
      </c>
      <c r="E58" s="163" t="s">
        <v>4922</v>
      </c>
      <c r="F58" s="61" t="s">
        <v>1253</v>
      </c>
      <c r="G58" s="67"/>
      <c r="H58" s="143"/>
      <c r="I58" s="153"/>
      <c r="K58" s="182" t="str">
        <f t="shared" si="29"/>
        <v/>
      </c>
      <c r="L58" s="182" t="str">
        <f t="shared" si="30"/>
        <v/>
      </c>
      <c r="S58" s="142"/>
      <c r="T58" s="142"/>
    </row>
    <row r="59" spans="1:20">
      <c r="A59" s="59" t="s">
        <v>1167</v>
      </c>
      <c r="B59" s="69" t="str">
        <f>IF($C59="","",VLOOKUP($C59,RatingList!$A:$E,2,FALSE))</f>
        <v/>
      </c>
      <c r="C59" s="199"/>
      <c r="D59" s="167" t="str">
        <f>IF($C59="","",VLOOKUP($C59,RatingList!$A:$E,3,FALSE))</f>
        <v/>
      </c>
      <c r="E59" s="170" t="str">
        <f>IF($C59="","",VLOOKUP($C59,RatingList!$A:$E,4,FALSE))</f>
        <v/>
      </c>
      <c r="F59" s="200" t="str">
        <f>IF($C59="","",IF(ISERROR(VLOOKUP($C59,RatingList!$A:$E,5,FALSE)),"",IF(VLOOKUP($C59,RatingList!$A:$E,5,FALSE)=0,"",VLOOKUP($C59,RatingList!$A:$E,5,FALSE))))</f>
        <v/>
      </c>
      <c r="G59" s="67" t="str">
        <f>B59</f>
        <v/>
      </c>
      <c r="H59" s="143" t="str">
        <f t="shared" ref="H59:H66" si="31">A59</f>
        <v>F1</v>
      </c>
      <c r="I59" s="153" t="str">
        <f t="shared" si="3"/>
        <v/>
      </c>
      <c r="K59" s="182" t="str">
        <f t="shared" si="29"/>
        <v/>
      </c>
      <c r="L59" s="182" t="str">
        <f t="shared" si="30"/>
        <v/>
      </c>
      <c r="S59" s="142" t="str">
        <f>C59&amp;"("&amp;$A$57&amp;")"</f>
        <v>(F)</v>
      </c>
      <c r="T59" s="142" t="str">
        <f>$A59</f>
        <v>F1</v>
      </c>
    </row>
    <row r="60" spans="1:20">
      <c r="A60" s="59" t="s">
        <v>1168</v>
      </c>
      <c r="B60" s="69" t="str">
        <f>IF($C60="","",VLOOKUP($C60,RatingList!$A:$E,2,FALSE))</f>
        <v/>
      </c>
      <c r="C60" s="199"/>
      <c r="D60" s="167" t="str">
        <f>IF($C60="","",VLOOKUP($C60,RatingList!$A:$E,3,FALSE))</f>
        <v/>
      </c>
      <c r="E60" s="170" t="str">
        <f>IF($C60="","",VLOOKUP($C60,RatingList!$A:$E,4,FALSE))</f>
        <v/>
      </c>
      <c r="F60" s="200" t="str">
        <f>IF($C60="","",IF(ISERROR(VLOOKUP($C60,RatingList!$A:$E,5,FALSE)),"",IF(VLOOKUP($C60,RatingList!$A:$E,5,FALSE)=0,"",VLOOKUP($C60,RatingList!$A:$E,5,FALSE))))</f>
        <v/>
      </c>
      <c r="G60" s="67" t="str">
        <f t="shared" ref="G60:G66" si="32">B60</f>
        <v/>
      </c>
      <c r="H60" s="143" t="str">
        <f t="shared" si="31"/>
        <v>F2</v>
      </c>
      <c r="I60" s="153" t="str">
        <f t="shared" si="3"/>
        <v/>
      </c>
      <c r="K60" s="182" t="str">
        <f t="shared" si="29"/>
        <v/>
      </c>
      <c r="L60" s="182" t="str">
        <f t="shared" si="30"/>
        <v/>
      </c>
      <c r="S60" s="142" t="str">
        <f t="shared" ref="S60:S66" si="33">C60&amp;"("&amp;$A$57&amp;")"</f>
        <v>(F)</v>
      </c>
      <c r="T60" s="142" t="str">
        <f t="shared" ref="T60:T66" si="34">$A60</f>
        <v>F2</v>
      </c>
    </row>
    <row r="61" spans="1:20">
      <c r="A61" s="59" t="s">
        <v>1169</v>
      </c>
      <c r="B61" s="69" t="str">
        <f>IF($C61="","",VLOOKUP($C61,RatingList!$A:$E,2,FALSE))</f>
        <v/>
      </c>
      <c r="C61" s="199"/>
      <c r="D61" s="167" t="str">
        <f>IF($C61="","",VLOOKUP($C61,RatingList!$A:$E,3,FALSE))</f>
        <v/>
      </c>
      <c r="E61" s="170" t="str">
        <f>IF($C61="","",VLOOKUP($C61,RatingList!$A:$E,4,FALSE))</f>
        <v/>
      </c>
      <c r="F61" s="200" t="str">
        <f>IF($C61="","",IF(ISERROR(VLOOKUP($C61,RatingList!$A:$E,5,FALSE)),"",IF(VLOOKUP($C61,RatingList!$A:$E,5,FALSE)=0,"",VLOOKUP($C61,RatingList!$A:$E,5,FALSE))))</f>
        <v/>
      </c>
      <c r="G61" s="67" t="str">
        <f t="shared" si="32"/>
        <v/>
      </c>
      <c r="H61" s="143" t="str">
        <f t="shared" si="31"/>
        <v>F3</v>
      </c>
      <c r="I61" s="153" t="str">
        <f t="shared" si="3"/>
        <v/>
      </c>
      <c r="K61" s="180"/>
      <c r="L61" s="180"/>
      <c r="S61" s="142" t="str">
        <f t="shared" si="33"/>
        <v>(F)</v>
      </c>
      <c r="T61" s="142" t="str">
        <f t="shared" si="34"/>
        <v>F3</v>
      </c>
    </row>
    <row r="62" spans="1:20">
      <c r="A62" s="59" t="s">
        <v>1170</v>
      </c>
      <c r="B62" s="69" t="str">
        <f>IF($C62="","",VLOOKUP($C62,RatingList!$A:$E,2,FALSE))</f>
        <v/>
      </c>
      <c r="C62" s="199"/>
      <c r="D62" s="167" t="str">
        <f>IF($C62="","",VLOOKUP($C62,RatingList!$A:$E,3,FALSE))</f>
        <v/>
      </c>
      <c r="E62" s="170" t="str">
        <f>IF($C62="","",VLOOKUP($C62,RatingList!$A:$E,4,FALSE))</f>
        <v/>
      </c>
      <c r="F62" s="200" t="str">
        <f>IF($C62="","",IF(ISERROR(VLOOKUP($C62,RatingList!$A:$E,5,FALSE)),"",IF(VLOOKUP($C62,RatingList!$A:$E,5,FALSE)=0,"",VLOOKUP($C62,RatingList!$A:$E,5,FALSE))))</f>
        <v/>
      </c>
      <c r="G62" s="67" t="str">
        <f t="shared" si="32"/>
        <v/>
      </c>
      <c r="H62" s="143" t="str">
        <f t="shared" si="31"/>
        <v>F4</v>
      </c>
      <c r="I62" s="153" t="str">
        <f t="shared" si="3"/>
        <v/>
      </c>
      <c r="K62" s="182" t="str">
        <f>IF($C$59="","",RANK(L62,$L$62:$L$69,0))</f>
        <v/>
      </c>
      <c r="L62" s="182" t="str">
        <f>IF(ISERROR(D59),"",D59)</f>
        <v/>
      </c>
      <c r="S62" s="142" t="str">
        <f t="shared" si="33"/>
        <v>(F)</v>
      </c>
      <c r="T62" s="142" t="str">
        <f t="shared" si="34"/>
        <v>F4</v>
      </c>
    </row>
    <row r="63" spans="1:20">
      <c r="A63" s="59" t="s">
        <v>1171</v>
      </c>
      <c r="B63" s="69" t="str">
        <f>IF($C63="","",VLOOKUP($C63,RatingList!$A:$E,2,FALSE))</f>
        <v/>
      </c>
      <c r="C63" s="199"/>
      <c r="D63" s="167" t="str">
        <f>IF($C63="","",VLOOKUP($C63,RatingList!$A:$E,3,FALSE))</f>
        <v/>
      </c>
      <c r="E63" s="170" t="str">
        <f>IF($C63="","",VLOOKUP($C63,RatingList!$A:$E,4,FALSE))</f>
        <v/>
      </c>
      <c r="F63" s="200" t="str">
        <f>IF($C63="","",IF(ISERROR(VLOOKUP($C63,RatingList!$A:$E,5,FALSE)),"",IF(VLOOKUP($C63,RatingList!$A:$E,5,FALSE)=0,"",VLOOKUP($C63,RatingList!$A:$E,5,FALSE))))</f>
        <v/>
      </c>
      <c r="G63" s="67" t="str">
        <f t="shared" si="32"/>
        <v/>
      </c>
      <c r="H63" s="143" t="str">
        <f t="shared" si="31"/>
        <v>F5</v>
      </c>
      <c r="I63" s="153" t="str">
        <f t="shared" si="3"/>
        <v/>
      </c>
      <c r="K63" s="182" t="str">
        <f t="shared" ref="K63:K69" si="35">IF($C$59="","",RANK(L63,$L$62:$L$69,0))</f>
        <v/>
      </c>
      <c r="L63" s="182" t="str">
        <f t="shared" ref="L63:L69" si="36">IF(ISERROR(D60),"",D60)</f>
        <v/>
      </c>
      <c r="S63" s="142" t="str">
        <f t="shared" si="33"/>
        <v>(F)</v>
      </c>
      <c r="T63" s="142" t="str">
        <f t="shared" si="34"/>
        <v>F5</v>
      </c>
    </row>
    <row r="64" spans="1:20">
      <c r="A64" s="59" t="s">
        <v>1172</v>
      </c>
      <c r="B64" s="69" t="str">
        <f>IF($C64="","",VLOOKUP($C64,RatingList!$A:$E,2,FALSE))</f>
        <v/>
      </c>
      <c r="C64" s="199"/>
      <c r="D64" s="167" t="str">
        <f>IF($C64="","",VLOOKUP($C64,RatingList!$A:$E,3,FALSE))</f>
        <v/>
      </c>
      <c r="E64" s="170" t="str">
        <f>IF($C64="","",VLOOKUP($C64,RatingList!$A:$E,4,FALSE))</f>
        <v/>
      </c>
      <c r="F64" s="200" t="str">
        <f>IF($C64="","",IF(ISERROR(VLOOKUP($C64,RatingList!$A:$E,5,FALSE)),"",IF(VLOOKUP($C64,RatingList!$A:$E,5,FALSE)=0,"",VLOOKUP($C64,RatingList!$A:$E,5,FALSE))))</f>
        <v/>
      </c>
      <c r="G64" s="67" t="str">
        <f t="shared" si="32"/>
        <v/>
      </c>
      <c r="H64" s="143" t="str">
        <f t="shared" si="31"/>
        <v>F6</v>
      </c>
      <c r="I64" s="153" t="str">
        <f t="shared" si="3"/>
        <v/>
      </c>
      <c r="K64" s="182" t="str">
        <f t="shared" si="35"/>
        <v/>
      </c>
      <c r="L64" s="182" t="str">
        <f t="shared" si="36"/>
        <v/>
      </c>
      <c r="S64" s="142" t="str">
        <f t="shared" si="33"/>
        <v>(F)</v>
      </c>
      <c r="T64" s="142" t="str">
        <f t="shared" si="34"/>
        <v>F6</v>
      </c>
    </row>
    <row r="65" spans="1:20">
      <c r="A65" s="59" t="s">
        <v>1173</v>
      </c>
      <c r="B65" s="69" t="str">
        <f>IF($C65="","",VLOOKUP($C65,RatingList!$A:$E,2,FALSE))</f>
        <v/>
      </c>
      <c r="C65" s="199"/>
      <c r="D65" s="167" t="str">
        <f>IF($C65="","",VLOOKUP($C65,RatingList!$A:$E,3,FALSE))</f>
        <v/>
      </c>
      <c r="E65" s="170" t="str">
        <f>IF($C65="","",VLOOKUP($C65,RatingList!$A:$E,4,FALSE))</f>
        <v/>
      </c>
      <c r="F65" s="200" t="str">
        <f>IF($C65="","",IF(ISERROR(VLOOKUP($C65,RatingList!$A:$E,5,FALSE)),"",IF(VLOOKUP($C65,RatingList!$A:$E,5,FALSE)=0,"",VLOOKUP($C65,RatingList!$A:$E,5,FALSE))))</f>
        <v/>
      </c>
      <c r="G65" s="67" t="str">
        <f t="shared" si="32"/>
        <v/>
      </c>
      <c r="H65" s="143" t="str">
        <f t="shared" si="31"/>
        <v>F7</v>
      </c>
      <c r="I65" s="153" t="str">
        <f t="shared" si="3"/>
        <v/>
      </c>
      <c r="K65" s="182" t="str">
        <f t="shared" si="35"/>
        <v/>
      </c>
      <c r="L65" s="182" t="str">
        <f t="shared" si="36"/>
        <v/>
      </c>
      <c r="S65" s="142" t="str">
        <f t="shared" si="33"/>
        <v>(F)</v>
      </c>
      <c r="T65" s="142" t="str">
        <f t="shared" si="34"/>
        <v>F7</v>
      </c>
    </row>
    <row r="66" spans="1:20" ht="13.5" thickBot="1">
      <c r="A66" s="64" t="s">
        <v>1174</v>
      </c>
      <c r="B66" s="70" t="str">
        <f>IF($C66="","",VLOOKUP($C66,RatingList!$A:$E,2,FALSE))</f>
        <v/>
      </c>
      <c r="C66" s="201"/>
      <c r="D66" s="168" t="str">
        <f>IF($C66="","",VLOOKUP($C66,RatingList!$A:$E,3,FALSE))</f>
        <v/>
      </c>
      <c r="E66" s="168" t="str">
        <f>IF($C66="","",VLOOKUP($C66,RatingList!$A:$E,4,FALSE))</f>
        <v/>
      </c>
      <c r="F66" s="202" t="str">
        <f>IF($C66="","",IF(ISERROR(VLOOKUP($C66,RatingList!$A:$E,5,FALSE)),"",IF(VLOOKUP($C66,RatingList!$A:$E,5,FALSE)=0,"",VLOOKUP($C66,RatingList!$A:$E,5,FALSE))))</f>
        <v/>
      </c>
      <c r="G66" s="67" t="str">
        <f t="shared" si="32"/>
        <v/>
      </c>
      <c r="H66" s="143" t="str">
        <f t="shared" si="31"/>
        <v>F8</v>
      </c>
      <c r="I66" s="153" t="str">
        <f t="shared" si="3"/>
        <v/>
      </c>
      <c r="K66" s="182" t="str">
        <f t="shared" si="35"/>
        <v/>
      </c>
      <c r="L66" s="182" t="str">
        <f t="shared" si="36"/>
        <v/>
      </c>
      <c r="S66" s="142" t="str">
        <f t="shared" si="33"/>
        <v>(F)</v>
      </c>
      <c r="T66" s="142" t="str">
        <f t="shared" si="34"/>
        <v>F8</v>
      </c>
    </row>
    <row r="67" spans="1:20" ht="13.5" thickBot="1">
      <c r="A67" s="53"/>
      <c r="B67" s="53"/>
      <c r="C67" s="53"/>
      <c r="D67" s="53"/>
      <c r="E67" s="1"/>
      <c r="F67" s="1"/>
      <c r="G67" s="67"/>
      <c r="H67" s="143"/>
      <c r="I67" s="153"/>
      <c r="K67" s="182" t="str">
        <f t="shared" si="35"/>
        <v/>
      </c>
      <c r="L67" s="182" t="str">
        <f t="shared" si="36"/>
        <v/>
      </c>
      <c r="S67" s="142"/>
      <c r="T67" s="142"/>
    </row>
    <row r="68" spans="1:20">
      <c r="A68" s="58" t="s">
        <v>1118</v>
      </c>
      <c r="B68" s="245" t="str">
        <f>IF(Draw!B16&lt;&gt;"",Draw!B16,"")</f>
        <v/>
      </c>
      <c r="C68" s="245"/>
      <c r="D68" s="245"/>
      <c r="E68" s="198"/>
      <c r="F68" s="181" t="str">
        <f>IF(C70="","",ROUND(VLOOKUP(1,$K$71:$L$78,2,FALSE)*1.5+VLOOKUP(2,$K$71:$L$78,2,FALSE)*1.5+VLOOKUP(3,$K$71:$L$78,2,FALSE)+VLOOKUP(4,$K$71:$L$78,2,FALSE),0))</f>
        <v/>
      </c>
      <c r="G68" s="67"/>
      <c r="H68" s="143"/>
      <c r="I68" s="153"/>
      <c r="K68" s="182" t="str">
        <f t="shared" si="35"/>
        <v/>
      </c>
      <c r="L68" s="182" t="str">
        <f t="shared" si="36"/>
        <v/>
      </c>
      <c r="S68" s="142"/>
      <c r="T68" s="142"/>
    </row>
    <row r="69" spans="1:20">
      <c r="A69" s="59"/>
      <c r="B69" s="60" t="s">
        <v>1124</v>
      </c>
      <c r="C69" s="60" t="s">
        <v>1251</v>
      </c>
      <c r="D69" s="163" t="s">
        <v>1125</v>
      </c>
      <c r="E69" s="163" t="s">
        <v>4922</v>
      </c>
      <c r="F69" s="61" t="s">
        <v>1253</v>
      </c>
      <c r="G69" s="67"/>
      <c r="H69" s="143"/>
      <c r="I69" s="153"/>
      <c r="K69" s="182" t="str">
        <f t="shared" si="35"/>
        <v/>
      </c>
      <c r="L69" s="182" t="str">
        <f t="shared" si="36"/>
        <v/>
      </c>
      <c r="S69" s="142"/>
      <c r="T69" s="142"/>
    </row>
    <row r="70" spans="1:20">
      <c r="A70" s="59" t="s">
        <v>1175</v>
      </c>
      <c r="B70" s="69" t="str">
        <f>IF($C70="","",VLOOKUP($C70,RatingList!$A:$E,2,FALSE))</f>
        <v/>
      </c>
      <c r="C70" s="199"/>
      <c r="D70" s="167" t="str">
        <f>IF($C70="","",VLOOKUP($C70,RatingList!$A:$E,3,FALSE))</f>
        <v/>
      </c>
      <c r="E70" s="170" t="str">
        <f>IF($C70="","",VLOOKUP($C70,RatingList!$A:$E,4,FALSE))</f>
        <v/>
      </c>
      <c r="F70" s="200" t="str">
        <f>IF($C70="","",IF(ISERROR(VLOOKUP($C70,RatingList!$A:$E,5,FALSE)),"",IF(VLOOKUP($C70,RatingList!$A:$E,5,FALSE)=0,"",VLOOKUP($C70,RatingList!$A:$E,5,FALSE))))</f>
        <v/>
      </c>
      <c r="G70" s="67" t="str">
        <f>B70</f>
        <v/>
      </c>
      <c r="H70" s="143" t="str">
        <f t="shared" ref="H70:H77" si="37">A70</f>
        <v>G1</v>
      </c>
      <c r="I70" s="153" t="str">
        <f t="shared" ref="I70:I132" si="38">IF(ISERROR($B70),"",$B70)</f>
        <v/>
      </c>
      <c r="K70" s="180"/>
      <c r="L70" s="180"/>
      <c r="S70" s="142" t="str">
        <f>C70&amp;"("&amp;$A$68&amp;")"</f>
        <v>(G)</v>
      </c>
      <c r="T70" s="142" t="str">
        <f>$A70</f>
        <v>G1</v>
      </c>
    </row>
    <row r="71" spans="1:20">
      <c r="A71" s="59" t="s">
        <v>1176</v>
      </c>
      <c r="B71" s="69" t="str">
        <f>IF($C71="","",VLOOKUP($C71,RatingList!$A:$E,2,FALSE))</f>
        <v/>
      </c>
      <c r="C71" s="199"/>
      <c r="D71" s="167" t="str">
        <f>IF($C71="","",VLOOKUP($C71,RatingList!$A:$E,3,FALSE))</f>
        <v/>
      </c>
      <c r="E71" s="170" t="str">
        <f>IF($C71="","",VLOOKUP($C71,RatingList!$A:$E,4,FALSE))</f>
        <v/>
      </c>
      <c r="F71" s="200" t="str">
        <f>IF($C71="","",IF(ISERROR(VLOOKUP($C71,RatingList!$A:$E,5,FALSE)),"",IF(VLOOKUP($C71,RatingList!$A:$E,5,FALSE)=0,"",VLOOKUP($C71,RatingList!$A:$E,5,FALSE))))</f>
        <v/>
      </c>
      <c r="G71" s="67" t="str">
        <f t="shared" ref="G71:G77" si="39">B71</f>
        <v/>
      </c>
      <c r="H71" s="143" t="str">
        <f t="shared" si="37"/>
        <v>G2</v>
      </c>
      <c r="I71" s="153" t="str">
        <f t="shared" si="38"/>
        <v/>
      </c>
      <c r="K71" s="182" t="str">
        <f t="shared" ref="K71:K78" si="40">IF($C$70="","",RANK(L71,$L$71:$L$78,0))</f>
        <v/>
      </c>
      <c r="L71" s="182" t="str">
        <f>IF(ISERROR(D70),"",D70)</f>
        <v/>
      </c>
      <c r="S71" s="142" t="str">
        <f t="shared" ref="S71:S77" si="41">C71&amp;"("&amp;$A$68&amp;")"</f>
        <v>(G)</v>
      </c>
      <c r="T71" s="142" t="str">
        <f t="shared" ref="T71:T77" si="42">$A71</f>
        <v>G2</v>
      </c>
    </row>
    <row r="72" spans="1:20">
      <c r="A72" s="59" t="s">
        <v>1177</v>
      </c>
      <c r="B72" s="69" t="str">
        <f>IF($C72="","",VLOOKUP($C72,RatingList!$A:$E,2,FALSE))</f>
        <v/>
      </c>
      <c r="C72" s="199"/>
      <c r="D72" s="167" t="str">
        <f>IF($C72="","",VLOOKUP($C72,RatingList!$A:$E,3,FALSE))</f>
        <v/>
      </c>
      <c r="E72" s="170" t="str">
        <f>IF($C72="","",VLOOKUP($C72,RatingList!$A:$E,4,FALSE))</f>
        <v/>
      </c>
      <c r="F72" s="200" t="str">
        <f>IF($C72="","",IF(ISERROR(VLOOKUP($C72,RatingList!$A:$E,5,FALSE)),"",IF(VLOOKUP($C72,RatingList!$A:$E,5,FALSE)=0,"",VLOOKUP($C72,RatingList!$A:$E,5,FALSE))))</f>
        <v/>
      </c>
      <c r="G72" s="67" t="str">
        <f t="shared" si="39"/>
        <v/>
      </c>
      <c r="H72" s="143" t="str">
        <f t="shared" si="37"/>
        <v>G3</v>
      </c>
      <c r="I72" s="153" t="str">
        <f t="shared" si="38"/>
        <v/>
      </c>
      <c r="K72" s="182" t="str">
        <f t="shared" si="40"/>
        <v/>
      </c>
      <c r="L72" s="182" t="str">
        <f t="shared" ref="L72:L78" si="43">IF(ISERROR(D71),"",D71)</f>
        <v/>
      </c>
      <c r="S72" s="142" t="str">
        <f t="shared" si="41"/>
        <v>(G)</v>
      </c>
      <c r="T72" s="142" t="str">
        <f t="shared" si="42"/>
        <v>G3</v>
      </c>
    </row>
    <row r="73" spans="1:20">
      <c r="A73" s="59" t="s">
        <v>1178</v>
      </c>
      <c r="B73" s="69" t="str">
        <f>IF($C73="","",VLOOKUP($C73,RatingList!$A:$E,2,FALSE))</f>
        <v/>
      </c>
      <c r="C73" s="199"/>
      <c r="D73" s="167" t="str">
        <f>IF($C73="","",VLOOKUP($C73,RatingList!$A:$E,3,FALSE))</f>
        <v/>
      </c>
      <c r="E73" s="170" t="str">
        <f>IF($C73="","",VLOOKUP($C73,RatingList!$A:$E,4,FALSE))</f>
        <v/>
      </c>
      <c r="F73" s="200" t="str">
        <f>IF($C73="","",IF(ISERROR(VLOOKUP($C73,RatingList!$A:$E,5,FALSE)),"",IF(VLOOKUP($C73,RatingList!$A:$E,5,FALSE)=0,"",VLOOKUP($C73,RatingList!$A:$E,5,FALSE))))</f>
        <v/>
      </c>
      <c r="G73" s="67" t="str">
        <f t="shared" si="39"/>
        <v/>
      </c>
      <c r="H73" s="143" t="str">
        <f t="shared" si="37"/>
        <v>G4</v>
      </c>
      <c r="I73" s="153" t="str">
        <f t="shared" si="38"/>
        <v/>
      </c>
      <c r="K73" s="182" t="str">
        <f t="shared" si="40"/>
        <v/>
      </c>
      <c r="L73" s="182" t="str">
        <f t="shared" si="43"/>
        <v/>
      </c>
      <c r="S73" s="142" t="str">
        <f t="shared" si="41"/>
        <v>(G)</v>
      </c>
      <c r="T73" s="142" t="str">
        <f t="shared" si="42"/>
        <v>G4</v>
      </c>
    </row>
    <row r="74" spans="1:20">
      <c r="A74" s="59" t="s">
        <v>1179</v>
      </c>
      <c r="B74" s="69" t="str">
        <f>IF($C74="","",VLOOKUP($C74,RatingList!$A:$E,2,FALSE))</f>
        <v/>
      </c>
      <c r="C74" s="199"/>
      <c r="D74" s="167" t="str">
        <f>IF($C74="","",VLOOKUP($C74,RatingList!$A:$E,3,FALSE))</f>
        <v/>
      </c>
      <c r="E74" s="170" t="str">
        <f>IF($C74="","",VLOOKUP($C74,RatingList!$A:$E,4,FALSE))</f>
        <v/>
      </c>
      <c r="F74" s="200" t="str">
        <f>IF($C74="","",IF(ISERROR(VLOOKUP($C74,RatingList!$A:$E,5,FALSE)),"",IF(VLOOKUP($C74,RatingList!$A:$E,5,FALSE)=0,"",VLOOKUP($C74,RatingList!$A:$E,5,FALSE))))</f>
        <v/>
      </c>
      <c r="G74" s="67" t="str">
        <f t="shared" si="39"/>
        <v/>
      </c>
      <c r="H74" s="143" t="str">
        <f t="shared" si="37"/>
        <v>G5</v>
      </c>
      <c r="I74" s="153" t="str">
        <f t="shared" si="38"/>
        <v/>
      </c>
      <c r="K74" s="182" t="str">
        <f t="shared" si="40"/>
        <v/>
      </c>
      <c r="L74" s="182" t="str">
        <f t="shared" si="43"/>
        <v/>
      </c>
      <c r="S74" s="142" t="str">
        <f t="shared" si="41"/>
        <v>(G)</v>
      </c>
      <c r="T74" s="142" t="str">
        <f t="shared" si="42"/>
        <v>G5</v>
      </c>
    </row>
    <row r="75" spans="1:20">
      <c r="A75" s="59" t="s">
        <v>1180</v>
      </c>
      <c r="B75" s="69" t="str">
        <f>IF($C75="","",VLOOKUP($C75,RatingList!$A:$E,2,FALSE))</f>
        <v/>
      </c>
      <c r="C75" s="199"/>
      <c r="D75" s="167" t="str">
        <f>IF($C75="","",VLOOKUP($C75,RatingList!$A:$E,3,FALSE))</f>
        <v/>
      </c>
      <c r="E75" s="170" t="str">
        <f>IF($C75="","",VLOOKUP($C75,RatingList!$A:$E,4,FALSE))</f>
        <v/>
      </c>
      <c r="F75" s="200" t="str">
        <f>IF($C75="","",IF(ISERROR(VLOOKUP($C75,RatingList!$A:$E,5,FALSE)),"",IF(VLOOKUP($C75,RatingList!$A:$E,5,FALSE)=0,"",VLOOKUP($C75,RatingList!$A:$E,5,FALSE))))</f>
        <v/>
      </c>
      <c r="G75" s="67" t="str">
        <f t="shared" si="39"/>
        <v/>
      </c>
      <c r="H75" s="143" t="str">
        <f t="shared" si="37"/>
        <v>G6</v>
      </c>
      <c r="I75" s="153" t="str">
        <f t="shared" si="38"/>
        <v/>
      </c>
      <c r="K75" s="182" t="str">
        <f t="shared" si="40"/>
        <v/>
      </c>
      <c r="L75" s="182" t="str">
        <f t="shared" si="43"/>
        <v/>
      </c>
      <c r="S75" s="142" t="str">
        <f t="shared" si="41"/>
        <v>(G)</v>
      </c>
      <c r="T75" s="142" t="str">
        <f t="shared" si="42"/>
        <v>G6</v>
      </c>
    </row>
    <row r="76" spans="1:20">
      <c r="A76" s="59" t="s">
        <v>1181</v>
      </c>
      <c r="B76" s="69" t="str">
        <f>IF($C76="","",VLOOKUP($C76,RatingList!$A:$E,2,FALSE))</f>
        <v/>
      </c>
      <c r="C76" s="199"/>
      <c r="D76" s="167" t="str">
        <f>IF($C76="","",VLOOKUP($C76,RatingList!$A:$E,3,FALSE))</f>
        <v/>
      </c>
      <c r="E76" s="170" t="str">
        <f>IF($C76="","",VLOOKUP($C76,RatingList!$A:$E,4,FALSE))</f>
        <v/>
      </c>
      <c r="F76" s="200" t="str">
        <f>IF($C76="","",IF(ISERROR(VLOOKUP($C76,RatingList!$A:$E,5,FALSE)),"",IF(VLOOKUP($C76,RatingList!$A:$E,5,FALSE)=0,"",VLOOKUP($C76,RatingList!$A:$E,5,FALSE))))</f>
        <v/>
      </c>
      <c r="G76" s="67" t="str">
        <f t="shared" si="39"/>
        <v/>
      </c>
      <c r="H76" s="143" t="str">
        <f t="shared" si="37"/>
        <v>G7</v>
      </c>
      <c r="I76" s="153" t="str">
        <f t="shared" si="38"/>
        <v/>
      </c>
      <c r="K76" s="182" t="str">
        <f t="shared" si="40"/>
        <v/>
      </c>
      <c r="L76" s="182" t="str">
        <f t="shared" si="43"/>
        <v/>
      </c>
      <c r="S76" s="142" t="str">
        <f t="shared" si="41"/>
        <v>(G)</v>
      </c>
      <c r="T76" s="142" t="str">
        <f t="shared" si="42"/>
        <v>G7</v>
      </c>
    </row>
    <row r="77" spans="1:20" ht="13.5" thickBot="1">
      <c r="A77" s="64" t="s">
        <v>1182</v>
      </c>
      <c r="B77" s="70" t="str">
        <f>IF($C77="","",VLOOKUP($C77,RatingList!$A:$E,2,FALSE))</f>
        <v/>
      </c>
      <c r="C77" s="201"/>
      <c r="D77" s="168" t="str">
        <f>IF($C77="","",VLOOKUP($C77,RatingList!$A:$E,3,FALSE))</f>
        <v/>
      </c>
      <c r="E77" s="168" t="str">
        <f>IF($C77="","",VLOOKUP($C77,RatingList!$A:$E,4,FALSE))</f>
        <v/>
      </c>
      <c r="F77" s="202" t="str">
        <f>IF($C77="","",IF(ISERROR(VLOOKUP($C77,RatingList!$A:$E,5,FALSE)),"",IF(VLOOKUP($C77,RatingList!$A:$E,5,FALSE)=0,"",VLOOKUP($C77,RatingList!$A:$E,5,FALSE))))</f>
        <v/>
      </c>
      <c r="G77" s="67" t="str">
        <f t="shared" si="39"/>
        <v/>
      </c>
      <c r="H77" s="143" t="str">
        <f t="shared" si="37"/>
        <v>G8</v>
      </c>
      <c r="I77" s="153" t="str">
        <f t="shared" si="38"/>
        <v/>
      </c>
      <c r="K77" s="182" t="str">
        <f t="shared" si="40"/>
        <v/>
      </c>
      <c r="L77" s="182" t="str">
        <f t="shared" si="43"/>
        <v/>
      </c>
      <c r="S77" s="142" t="str">
        <f t="shared" si="41"/>
        <v>(G)</v>
      </c>
      <c r="T77" s="142" t="str">
        <f t="shared" si="42"/>
        <v>G8</v>
      </c>
    </row>
    <row r="78" spans="1:20" ht="13.5" thickBot="1">
      <c r="A78" s="53"/>
      <c r="B78" s="53"/>
      <c r="C78" s="53"/>
      <c r="D78" s="53"/>
      <c r="E78" s="1"/>
      <c r="F78" s="1"/>
      <c r="G78" s="67"/>
      <c r="H78" s="143"/>
      <c r="I78" s="153"/>
      <c r="K78" s="182" t="str">
        <f t="shared" si="40"/>
        <v/>
      </c>
      <c r="L78" s="182" t="str">
        <f t="shared" si="43"/>
        <v/>
      </c>
      <c r="S78" s="142"/>
      <c r="T78" s="142"/>
    </row>
    <row r="79" spans="1:20">
      <c r="A79" s="58" t="s">
        <v>1119</v>
      </c>
      <c r="B79" s="245" t="str">
        <f>IF(Draw!B18&lt;&gt;"",Draw!B18,"")</f>
        <v/>
      </c>
      <c r="C79" s="245"/>
      <c r="D79" s="245"/>
      <c r="E79" s="198"/>
      <c r="F79" s="181" t="str">
        <f>IF(C81="","",ROUND(VLOOKUP(1,$K$80:$L$87,2,FALSE)*1.5+VLOOKUP(2,$K$80:$L$87,2,FALSE)*1.5+VLOOKUP(3,$K$80:$L$87,2,FALSE)+VLOOKUP(4,$K$80:$L$87,2,FALSE),0))</f>
        <v/>
      </c>
      <c r="G79" s="67"/>
      <c r="H79" s="143"/>
      <c r="I79" s="153"/>
      <c r="K79" s="180"/>
      <c r="L79" s="180"/>
      <c r="S79" s="142"/>
      <c r="T79" s="142"/>
    </row>
    <row r="80" spans="1:20">
      <c r="A80" s="59"/>
      <c r="B80" s="60" t="s">
        <v>1124</v>
      </c>
      <c r="C80" s="60" t="s">
        <v>1251</v>
      </c>
      <c r="D80" s="163" t="s">
        <v>1125</v>
      </c>
      <c r="E80" s="163" t="s">
        <v>4922</v>
      </c>
      <c r="F80" s="61" t="s">
        <v>1253</v>
      </c>
      <c r="G80" s="67"/>
      <c r="H80" s="143"/>
      <c r="I80" s="153"/>
      <c r="K80" s="182" t="str">
        <f>IF($C$81="","",RANK(L80,$L$80:$L$87,0))</f>
        <v/>
      </c>
      <c r="L80" s="182" t="str">
        <f>IF(ISERROR(D81),"",D81)</f>
        <v/>
      </c>
      <c r="S80" s="142"/>
      <c r="T80" s="142"/>
    </row>
    <row r="81" spans="1:20">
      <c r="A81" s="59" t="s">
        <v>1183</v>
      </c>
      <c r="B81" s="69" t="str">
        <f>IF($C81="","",VLOOKUP($C81,RatingList!$A:$E,2,FALSE))</f>
        <v/>
      </c>
      <c r="C81" s="199"/>
      <c r="D81" s="167" t="str">
        <f>IF($C81="","",VLOOKUP($C81,RatingList!$A:$E,3,FALSE))</f>
        <v/>
      </c>
      <c r="E81" s="170" t="str">
        <f>IF($C81="","",VLOOKUP($C81,RatingList!$A:$E,4,FALSE))</f>
        <v/>
      </c>
      <c r="F81" s="200" t="str">
        <f>IF($C81="","",IF(ISERROR(VLOOKUP($C81,RatingList!$A:$E,5,FALSE)),"",IF(VLOOKUP($C81,RatingList!$A:$E,5,FALSE)=0,"",VLOOKUP($C81,RatingList!$A:$E,5,FALSE))))</f>
        <v/>
      </c>
      <c r="G81" s="67" t="str">
        <f>B81</f>
        <v/>
      </c>
      <c r="H81" s="143" t="str">
        <f t="shared" ref="H81:H88" si="44">A81</f>
        <v>H1</v>
      </c>
      <c r="I81" s="153" t="str">
        <f t="shared" si="38"/>
        <v/>
      </c>
      <c r="K81" s="182" t="str">
        <f t="shared" ref="K81:K87" si="45">IF($C$81="","",RANK(L81,$L$80:$L$87,0))</f>
        <v/>
      </c>
      <c r="L81" s="182" t="str">
        <f t="shared" ref="L81:L87" si="46">IF(ISERROR(D82),"",D82)</f>
        <v/>
      </c>
      <c r="S81" s="142" t="str">
        <f>C81&amp;"("&amp;$A$79&amp;")"</f>
        <v>(H)</v>
      </c>
      <c r="T81" s="142" t="str">
        <f>$A81</f>
        <v>H1</v>
      </c>
    </row>
    <row r="82" spans="1:20">
      <c r="A82" s="59" t="s">
        <v>1184</v>
      </c>
      <c r="B82" s="69" t="str">
        <f>IF($C82="","",VLOOKUP($C82,RatingList!$A:$E,2,FALSE))</f>
        <v/>
      </c>
      <c r="C82" s="199"/>
      <c r="D82" s="167" t="str">
        <f>IF($C82="","",VLOOKUP($C82,RatingList!$A:$E,3,FALSE))</f>
        <v/>
      </c>
      <c r="E82" s="170" t="str">
        <f>IF($C82="","",VLOOKUP($C82,RatingList!$A:$E,4,FALSE))</f>
        <v/>
      </c>
      <c r="F82" s="200" t="str">
        <f>IF($C82="","",IF(ISERROR(VLOOKUP($C82,RatingList!$A:$E,5,FALSE)),"",IF(VLOOKUP($C82,RatingList!$A:$E,5,FALSE)=0,"",VLOOKUP($C82,RatingList!$A:$E,5,FALSE))))</f>
        <v/>
      </c>
      <c r="G82" s="67" t="str">
        <f t="shared" ref="G82:G88" si="47">B82</f>
        <v/>
      </c>
      <c r="H82" s="143" t="str">
        <f t="shared" si="44"/>
        <v>H2</v>
      </c>
      <c r="I82" s="153" t="str">
        <f t="shared" si="38"/>
        <v/>
      </c>
      <c r="K82" s="182" t="str">
        <f t="shared" si="45"/>
        <v/>
      </c>
      <c r="L82" s="182" t="str">
        <f t="shared" si="46"/>
        <v/>
      </c>
      <c r="S82" s="142" t="str">
        <f t="shared" ref="S82:S88" si="48">C82&amp;"("&amp;$A$79&amp;")"</f>
        <v>(H)</v>
      </c>
      <c r="T82" s="142" t="str">
        <f t="shared" ref="T82:T88" si="49">$A82</f>
        <v>H2</v>
      </c>
    </row>
    <row r="83" spans="1:20">
      <c r="A83" s="59" t="s">
        <v>1185</v>
      </c>
      <c r="B83" s="69" t="str">
        <f>IF($C83="","",VLOOKUP($C83,RatingList!$A:$E,2,FALSE))</f>
        <v/>
      </c>
      <c r="C83" s="199"/>
      <c r="D83" s="167" t="str">
        <f>IF($C83="","",VLOOKUP($C83,RatingList!$A:$E,3,FALSE))</f>
        <v/>
      </c>
      <c r="E83" s="170" t="str">
        <f>IF($C83="","",VLOOKUP($C83,RatingList!$A:$E,4,FALSE))</f>
        <v/>
      </c>
      <c r="F83" s="200" t="str">
        <f>IF($C83="","",IF(ISERROR(VLOOKUP($C83,RatingList!$A:$E,5,FALSE)),"",IF(VLOOKUP($C83,RatingList!$A:$E,5,FALSE)=0,"",VLOOKUP($C83,RatingList!$A:$E,5,FALSE))))</f>
        <v/>
      </c>
      <c r="G83" s="67" t="str">
        <f t="shared" si="47"/>
        <v/>
      </c>
      <c r="H83" s="143" t="str">
        <f t="shared" si="44"/>
        <v>H3</v>
      </c>
      <c r="I83" s="153" t="str">
        <f t="shared" si="38"/>
        <v/>
      </c>
      <c r="K83" s="182" t="str">
        <f t="shared" si="45"/>
        <v/>
      </c>
      <c r="L83" s="182" t="str">
        <f t="shared" si="46"/>
        <v/>
      </c>
      <c r="S83" s="142" t="str">
        <f t="shared" si="48"/>
        <v>(H)</v>
      </c>
      <c r="T83" s="142" t="str">
        <f t="shared" si="49"/>
        <v>H3</v>
      </c>
    </row>
    <row r="84" spans="1:20">
      <c r="A84" s="59" t="s">
        <v>1186</v>
      </c>
      <c r="B84" s="69" t="str">
        <f>IF($C84="","",VLOOKUP($C84,RatingList!$A:$E,2,FALSE))</f>
        <v/>
      </c>
      <c r="C84" s="199"/>
      <c r="D84" s="167" t="str">
        <f>IF($C84="","",VLOOKUP($C84,RatingList!$A:$E,3,FALSE))</f>
        <v/>
      </c>
      <c r="E84" s="170" t="str">
        <f>IF($C84="","",VLOOKUP($C84,RatingList!$A:$E,4,FALSE))</f>
        <v/>
      </c>
      <c r="F84" s="200" t="str">
        <f>IF($C84="","",IF(ISERROR(VLOOKUP($C84,RatingList!$A:$E,5,FALSE)),"",IF(VLOOKUP($C84,RatingList!$A:$E,5,FALSE)=0,"",VLOOKUP($C84,RatingList!$A:$E,5,FALSE))))</f>
        <v/>
      </c>
      <c r="G84" s="67" t="str">
        <f t="shared" si="47"/>
        <v/>
      </c>
      <c r="H84" s="143" t="str">
        <f t="shared" si="44"/>
        <v>H4</v>
      </c>
      <c r="I84" s="153" t="str">
        <f t="shared" si="38"/>
        <v/>
      </c>
      <c r="K84" s="182" t="str">
        <f t="shared" si="45"/>
        <v/>
      </c>
      <c r="L84" s="182" t="str">
        <f t="shared" si="46"/>
        <v/>
      </c>
      <c r="S84" s="142" t="str">
        <f t="shared" si="48"/>
        <v>(H)</v>
      </c>
      <c r="T84" s="142" t="str">
        <f t="shared" si="49"/>
        <v>H4</v>
      </c>
    </row>
    <row r="85" spans="1:20">
      <c r="A85" s="59" t="s">
        <v>1187</v>
      </c>
      <c r="B85" s="69" t="str">
        <f>IF($C85="","",VLOOKUP($C85,RatingList!$A:$E,2,FALSE))</f>
        <v/>
      </c>
      <c r="C85" s="199"/>
      <c r="D85" s="167" t="str">
        <f>IF($C85="","",VLOOKUP($C85,RatingList!$A:$E,3,FALSE))</f>
        <v/>
      </c>
      <c r="E85" s="170" t="str">
        <f>IF($C85="","",VLOOKUP($C85,RatingList!$A:$E,4,FALSE))</f>
        <v/>
      </c>
      <c r="F85" s="200" t="str">
        <f>IF($C85="","",IF(ISERROR(VLOOKUP($C85,RatingList!$A:$E,5,FALSE)),"",IF(VLOOKUP($C85,RatingList!$A:$E,5,FALSE)=0,"",VLOOKUP($C85,RatingList!$A:$E,5,FALSE))))</f>
        <v/>
      </c>
      <c r="G85" s="67" t="str">
        <f t="shared" si="47"/>
        <v/>
      </c>
      <c r="H85" s="143" t="str">
        <f t="shared" si="44"/>
        <v>H5</v>
      </c>
      <c r="I85" s="153" t="str">
        <f t="shared" si="38"/>
        <v/>
      </c>
      <c r="K85" s="182" t="str">
        <f t="shared" si="45"/>
        <v/>
      </c>
      <c r="L85" s="182" t="str">
        <f t="shared" si="46"/>
        <v/>
      </c>
      <c r="S85" s="142" t="str">
        <f t="shared" si="48"/>
        <v>(H)</v>
      </c>
      <c r="T85" s="142" t="str">
        <f t="shared" si="49"/>
        <v>H5</v>
      </c>
    </row>
    <row r="86" spans="1:20">
      <c r="A86" s="59" t="s">
        <v>1188</v>
      </c>
      <c r="B86" s="69" t="str">
        <f>IF($C86="","",VLOOKUP($C86,RatingList!$A:$E,2,FALSE))</f>
        <v/>
      </c>
      <c r="C86" s="199"/>
      <c r="D86" s="167" t="str">
        <f>IF($C86="","",VLOOKUP($C86,RatingList!$A:$E,3,FALSE))</f>
        <v/>
      </c>
      <c r="E86" s="170" t="str">
        <f>IF($C86="","",VLOOKUP($C86,RatingList!$A:$E,4,FALSE))</f>
        <v/>
      </c>
      <c r="F86" s="200" t="str">
        <f>IF($C86="","",IF(ISERROR(VLOOKUP($C86,RatingList!$A:$E,5,FALSE)),"",IF(VLOOKUP($C86,RatingList!$A:$E,5,FALSE)=0,"",VLOOKUP($C86,RatingList!$A:$E,5,FALSE))))</f>
        <v/>
      </c>
      <c r="G86" s="67" t="str">
        <f t="shared" si="47"/>
        <v/>
      </c>
      <c r="H86" s="143" t="str">
        <f t="shared" si="44"/>
        <v>H6</v>
      </c>
      <c r="I86" s="153" t="str">
        <f t="shared" si="38"/>
        <v/>
      </c>
      <c r="K86" s="182" t="str">
        <f t="shared" si="45"/>
        <v/>
      </c>
      <c r="L86" s="182" t="str">
        <f t="shared" si="46"/>
        <v/>
      </c>
      <c r="S86" s="142" t="str">
        <f t="shared" si="48"/>
        <v>(H)</v>
      </c>
      <c r="T86" s="142" t="str">
        <f t="shared" si="49"/>
        <v>H6</v>
      </c>
    </row>
    <row r="87" spans="1:20">
      <c r="A87" s="59" t="s">
        <v>1189</v>
      </c>
      <c r="B87" s="69" t="str">
        <f>IF($C87="","",VLOOKUP($C87,RatingList!$A:$E,2,FALSE))</f>
        <v/>
      </c>
      <c r="C87" s="199"/>
      <c r="D87" s="167" t="str">
        <f>IF($C87="","",VLOOKUP($C87,RatingList!$A:$E,3,FALSE))</f>
        <v/>
      </c>
      <c r="E87" s="170" t="str">
        <f>IF($C87="","",VLOOKUP($C87,RatingList!$A:$E,4,FALSE))</f>
        <v/>
      </c>
      <c r="F87" s="200" t="str">
        <f>IF($C87="","",IF(ISERROR(VLOOKUP($C87,RatingList!$A:$E,5,FALSE)),"",IF(VLOOKUP($C87,RatingList!$A:$E,5,FALSE)=0,"",VLOOKUP($C87,RatingList!$A:$E,5,FALSE))))</f>
        <v/>
      </c>
      <c r="G87" s="67" t="str">
        <f t="shared" si="47"/>
        <v/>
      </c>
      <c r="H87" s="143" t="str">
        <f t="shared" si="44"/>
        <v>H7</v>
      </c>
      <c r="I87" s="153" t="str">
        <f t="shared" si="38"/>
        <v/>
      </c>
      <c r="K87" s="182" t="str">
        <f t="shared" si="45"/>
        <v/>
      </c>
      <c r="L87" s="182" t="str">
        <f t="shared" si="46"/>
        <v/>
      </c>
      <c r="S87" s="142" t="str">
        <f t="shared" si="48"/>
        <v>(H)</v>
      </c>
      <c r="T87" s="142" t="str">
        <f t="shared" si="49"/>
        <v>H7</v>
      </c>
    </row>
    <row r="88" spans="1:20" ht="13.5" thickBot="1">
      <c r="A88" s="64" t="s">
        <v>1190</v>
      </c>
      <c r="B88" s="70" t="str">
        <f>IF($C88="","",VLOOKUP($C88,RatingList!$A:$E,2,FALSE))</f>
        <v/>
      </c>
      <c r="C88" s="201"/>
      <c r="D88" s="168" t="str">
        <f>IF($C88="","",VLOOKUP($C88,RatingList!$A:$E,3,FALSE))</f>
        <v/>
      </c>
      <c r="E88" s="168" t="str">
        <f>IF($C88="","",VLOOKUP($C88,RatingList!$A:$E,4,FALSE))</f>
        <v/>
      </c>
      <c r="F88" s="202" t="str">
        <f>IF($C88="","",IF(ISERROR(VLOOKUP($C88,RatingList!$A:$E,5,FALSE)),"",IF(VLOOKUP($C88,RatingList!$A:$E,5,FALSE)=0,"",VLOOKUP($C88,RatingList!$A:$E,5,FALSE))))</f>
        <v/>
      </c>
      <c r="G88" s="67" t="str">
        <f t="shared" si="47"/>
        <v/>
      </c>
      <c r="H88" s="143" t="str">
        <f t="shared" si="44"/>
        <v>H8</v>
      </c>
      <c r="I88" s="153" t="str">
        <f t="shared" si="38"/>
        <v/>
      </c>
      <c r="K88" s="180"/>
      <c r="L88" s="180"/>
      <c r="S88" s="142" t="str">
        <f t="shared" si="48"/>
        <v>(H)</v>
      </c>
      <c r="T88" s="142" t="str">
        <f t="shared" si="49"/>
        <v>H8</v>
      </c>
    </row>
    <row r="89" spans="1:20" ht="13.5" thickBot="1">
      <c r="A89" s="53"/>
      <c r="B89" s="43"/>
      <c r="C89" s="43"/>
      <c r="D89" s="43"/>
      <c r="G89" s="67"/>
      <c r="H89" s="143"/>
      <c r="I89" s="153"/>
      <c r="K89" s="182" t="str">
        <f>IF($C$92="","",RANK(L89,$L$89:$L$96,0))</f>
        <v/>
      </c>
      <c r="L89" s="182" t="str">
        <f>IF(ISERROR(D92),"",D92)</f>
        <v/>
      </c>
      <c r="S89" s="142"/>
      <c r="T89" s="142"/>
    </row>
    <row r="90" spans="1:20">
      <c r="A90" s="58" t="s">
        <v>1120</v>
      </c>
      <c r="B90" s="245" t="str">
        <f>IF(Draw!B20&lt;&gt;"",Draw!B20,"")</f>
        <v/>
      </c>
      <c r="C90" s="245"/>
      <c r="D90" s="245"/>
      <c r="E90" s="198"/>
      <c r="F90" s="181" t="str">
        <f>IF(C92="","",ROUND(VLOOKUP(1,$K$89:$L$96,2,FALSE)*1.5+VLOOKUP(2,$K$89:$L$96,2,FALSE)*1.5+VLOOKUP(3,$K$89:$L$96,2,FALSE)+VLOOKUP(4,$K$89:$L$96,2,FALSE),0))</f>
        <v/>
      </c>
      <c r="G90" s="67"/>
      <c r="H90" s="143"/>
      <c r="I90" s="153"/>
      <c r="K90" s="182" t="str">
        <f t="shared" ref="K90:K96" si="50">IF($C$92="","",RANK(L90,$L$89:$L$96,0))</f>
        <v/>
      </c>
      <c r="L90" s="182" t="str">
        <f t="shared" ref="L90:L96" si="51">IF(ISERROR(D93),"",D93)</f>
        <v/>
      </c>
      <c r="S90" s="142"/>
      <c r="T90" s="142"/>
    </row>
    <row r="91" spans="1:20">
      <c r="A91" s="59"/>
      <c r="B91" s="60" t="s">
        <v>1124</v>
      </c>
      <c r="C91" s="60" t="s">
        <v>1251</v>
      </c>
      <c r="D91" s="163" t="s">
        <v>1125</v>
      </c>
      <c r="E91" s="163" t="s">
        <v>4922</v>
      </c>
      <c r="F91" s="61" t="s">
        <v>1253</v>
      </c>
      <c r="G91" s="67"/>
      <c r="H91" s="143"/>
      <c r="I91" s="153"/>
      <c r="K91" s="182" t="str">
        <f t="shared" si="50"/>
        <v/>
      </c>
      <c r="L91" s="182" t="str">
        <f t="shared" si="51"/>
        <v/>
      </c>
      <c r="S91" s="142"/>
      <c r="T91" s="142"/>
    </row>
    <row r="92" spans="1:20">
      <c r="A92" s="59" t="s">
        <v>1191</v>
      </c>
      <c r="B92" s="69" t="str">
        <f>IF($C92="","",VLOOKUP($C92,RatingList!$A:$E,2,FALSE))</f>
        <v/>
      </c>
      <c r="C92" s="199"/>
      <c r="D92" s="167" t="str">
        <f>IF($C92="","",VLOOKUP($C92,RatingList!$A:$E,3,FALSE))</f>
        <v/>
      </c>
      <c r="E92" s="170" t="str">
        <f>IF($C92="","",VLOOKUP($C92,RatingList!$A:$E,4,FALSE))</f>
        <v/>
      </c>
      <c r="F92" s="200" t="str">
        <f>IF($C92="","",IF(ISERROR(VLOOKUP($C92,RatingList!$A:$E,5,FALSE)),"",IF(VLOOKUP($C92,RatingList!$A:$E,5,FALSE)=0,"",VLOOKUP($C92,RatingList!$A:$E,5,FALSE))))</f>
        <v/>
      </c>
      <c r="G92" s="67" t="str">
        <f>B92</f>
        <v/>
      </c>
      <c r="H92" s="143" t="str">
        <f t="shared" ref="H92:H99" si="52">A92</f>
        <v>I1</v>
      </c>
      <c r="I92" s="153" t="str">
        <f t="shared" si="38"/>
        <v/>
      </c>
      <c r="K92" s="182" t="str">
        <f t="shared" si="50"/>
        <v/>
      </c>
      <c r="L92" s="182" t="str">
        <f t="shared" si="51"/>
        <v/>
      </c>
      <c r="S92" s="142" t="str">
        <f>C92&amp;"("&amp;$A$90&amp;")"</f>
        <v>(I)</v>
      </c>
      <c r="T92" s="142" t="str">
        <f>$A92</f>
        <v>I1</v>
      </c>
    </row>
    <row r="93" spans="1:20">
      <c r="A93" s="59" t="s">
        <v>1192</v>
      </c>
      <c r="B93" s="69" t="str">
        <f>IF($C93="","",VLOOKUP($C93,RatingList!$A:$E,2,FALSE))</f>
        <v/>
      </c>
      <c r="C93" s="199"/>
      <c r="D93" s="167" t="str">
        <f>IF($C93="","",VLOOKUP($C93,RatingList!$A:$E,3,FALSE))</f>
        <v/>
      </c>
      <c r="E93" s="170" t="str">
        <f>IF($C93="","",VLOOKUP($C93,RatingList!$A:$E,4,FALSE))</f>
        <v/>
      </c>
      <c r="F93" s="200" t="str">
        <f>IF($C93="","",IF(ISERROR(VLOOKUP($C93,RatingList!$A:$E,5,FALSE)),"",IF(VLOOKUP($C93,RatingList!$A:$E,5,FALSE)=0,"",VLOOKUP($C93,RatingList!$A:$E,5,FALSE))))</f>
        <v/>
      </c>
      <c r="G93" s="67" t="str">
        <f t="shared" ref="G93:G99" si="53">B93</f>
        <v/>
      </c>
      <c r="H93" s="143" t="str">
        <f t="shared" si="52"/>
        <v>I2</v>
      </c>
      <c r="I93" s="153" t="str">
        <f t="shared" si="38"/>
        <v/>
      </c>
      <c r="K93" s="182" t="str">
        <f t="shared" si="50"/>
        <v/>
      </c>
      <c r="L93" s="182" t="str">
        <f t="shared" si="51"/>
        <v/>
      </c>
      <c r="S93" s="142" t="str">
        <f t="shared" ref="S93:S99" si="54">C93&amp;"("&amp;$A$90&amp;")"</f>
        <v>(I)</v>
      </c>
      <c r="T93" s="142" t="str">
        <f t="shared" ref="T93:T99" si="55">$A93</f>
        <v>I2</v>
      </c>
    </row>
    <row r="94" spans="1:20">
      <c r="A94" s="59" t="s">
        <v>1193</v>
      </c>
      <c r="B94" s="69" t="str">
        <f>IF($C94="","",VLOOKUP($C94,RatingList!$A:$E,2,FALSE))</f>
        <v/>
      </c>
      <c r="C94" s="199"/>
      <c r="D94" s="167" t="str">
        <f>IF($C94="","",VLOOKUP($C94,RatingList!$A:$E,3,FALSE))</f>
        <v/>
      </c>
      <c r="E94" s="170" t="str">
        <f>IF($C94="","",VLOOKUP($C94,RatingList!$A:$E,4,FALSE))</f>
        <v/>
      </c>
      <c r="F94" s="200" t="str">
        <f>IF($C94="","",IF(ISERROR(VLOOKUP($C94,RatingList!$A:$E,5,FALSE)),"",IF(VLOOKUP($C94,RatingList!$A:$E,5,FALSE)=0,"",VLOOKUP($C94,RatingList!$A:$E,5,FALSE))))</f>
        <v/>
      </c>
      <c r="G94" s="67" t="str">
        <f t="shared" si="53"/>
        <v/>
      </c>
      <c r="H94" s="143" t="str">
        <f t="shared" si="52"/>
        <v>I3</v>
      </c>
      <c r="I94" s="153" t="str">
        <f t="shared" si="38"/>
        <v/>
      </c>
      <c r="K94" s="182" t="str">
        <f t="shared" si="50"/>
        <v/>
      </c>
      <c r="L94" s="182" t="str">
        <f t="shared" si="51"/>
        <v/>
      </c>
      <c r="S94" s="142" t="str">
        <f t="shared" si="54"/>
        <v>(I)</v>
      </c>
      <c r="T94" s="142" t="str">
        <f t="shared" si="55"/>
        <v>I3</v>
      </c>
    </row>
    <row r="95" spans="1:20">
      <c r="A95" s="59" t="s">
        <v>1194</v>
      </c>
      <c r="B95" s="69" t="str">
        <f>IF($C95="","",VLOOKUP($C95,RatingList!$A:$E,2,FALSE))</f>
        <v/>
      </c>
      <c r="C95" s="199"/>
      <c r="D95" s="167" t="str">
        <f>IF($C95="","",VLOOKUP($C95,RatingList!$A:$E,3,FALSE))</f>
        <v/>
      </c>
      <c r="E95" s="170" t="str">
        <f>IF($C95="","",VLOOKUP($C95,RatingList!$A:$E,4,FALSE))</f>
        <v/>
      </c>
      <c r="F95" s="200" t="str">
        <f>IF($C95="","",IF(ISERROR(VLOOKUP($C95,RatingList!$A:$E,5,FALSE)),"",IF(VLOOKUP($C95,RatingList!$A:$E,5,FALSE)=0,"",VLOOKUP($C95,RatingList!$A:$E,5,FALSE))))</f>
        <v/>
      </c>
      <c r="G95" s="67" t="str">
        <f t="shared" si="53"/>
        <v/>
      </c>
      <c r="H95" s="143" t="str">
        <f t="shared" si="52"/>
        <v>I4</v>
      </c>
      <c r="I95" s="153" t="str">
        <f t="shared" si="38"/>
        <v/>
      </c>
      <c r="K95" s="182" t="str">
        <f t="shared" si="50"/>
        <v/>
      </c>
      <c r="L95" s="182" t="str">
        <f t="shared" si="51"/>
        <v/>
      </c>
      <c r="S95" s="142" t="str">
        <f t="shared" si="54"/>
        <v>(I)</v>
      </c>
      <c r="T95" s="142" t="str">
        <f t="shared" si="55"/>
        <v>I4</v>
      </c>
    </row>
    <row r="96" spans="1:20">
      <c r="A96" s="59" t="s">
        <v>1195</v>
      </c>
      <c r="B96" s="69" t="str">
        <f>IF($C96="","",VLOOKUP($C96,RatingList!$A:$E,2,FALSE))</f>
        <v/>
      </c>
      <c r="C96" s="199"/>
      <c r="D96" s="167" t="str">
        <f>IF($C96="","",VLOOKUP($C96,RatingList!$A:$E,3,FALSE))</f>
        <v/>
      </c>
      <c r="E96" s="170" t="str">
        <f>IF($C96="","",VLOOKUP($C96,RatingList!$A:$E,4,FALSE))</f>
        <v/>
      </c>
      <c r="F96" s="200" t="str">
        <f>IF($C96="","",IF(ISERROR(VLOOKUP($C96,RatingList!$A:$E,5,FALSE)),"",IF(VLOOKUP($C96,RatingList!$A:$E,5,FALSE)=0,"",VLOOKUP($C96,RatingList!$A:$E,5,FALSE))))</f>
        <v/>
      </c>
      <c r="G96" s="67" t="str">
        <f t="shared" si="53"/>
        <v/>
      </c>
      <c r="H96" s="143" t="str">
        <f t="shared" si="52"/>
        <v>I5</v>
      </c>
      <c r="I96" s="153" t="str">
        <f t="shared" si="38"/>
        <v/>
      </c>
      <c r="K96" s="182" t="str">
        <f t="shared" si="50"/>
        <v/>
      </c>
      <c r="L96" s="182" t="str">
        <f t="shared" si="51"/>
        <v/>
      </c>
      <c r="S96" s="142" t="str">
        <f t="shared" si="54"/>
        <v>(I)</v>
      </c>
      <c r="T96" s="142" t="str">
        <f t="shared" si="55"/>
        <v>I5</v>
      </c>
    </row>
    <row r="97" spans="1:20">
      <c r="A97" s="59" t="s">
        <v>1196</v>
      </c>
      <c r="B97" s="69" t="str">
        <f>IF($C97="","",VLOOKUP($C97,RatingList!$A:$E,2,FALSE))</f>
        <v/>
      </c>
      <c r="C97" s="199"/>
      <c r="D97" s="167" t="str">
        <f>IF($C97="","",VLOOKUP($C97,RatingList!$A:$E,3,FALSE))</f>
        <v/>
      </c>
      <c r="E97" s="170" t="str">
        <f>IF($C97="","",VLOOKUP($C97,RatingList!$A:$E,4,FALSE))</f>
        <v/>
      </c>
      <c r="F97" s="200" t="str">
        <f>IF($C97="","",IF(ISERROR(VLOOKUP($C97,RatingList!$A:$E,5,FALSE)),"",IF(VLOOKUP($C97,RatingList!$A:$E,5,FALSE)=0,"",VLOOKUP($C97,RatingList!$A:$E,5,FALSE))))</f>
        <v/>
      </c>
      <c r="G97" s="67" t="str">
        <f t="shared" si="53"/>
        <v/>
      </c>
      <c r="H97" s="143" t="str">
        <f t="shared" si="52"/>
        <v>I6</v>
      </c>
      <c r="I97" s="153" t="str">
        <f t="shared" si="38"/>
        <v/>
      </c>
      <c r="K97" s="180"/>
      <c r="L97" s="180"/>
      <c r="S97" s="142" t="str">
        <f t="shared" si="54"/>
        <v>(I)</v>
      </c>
      <c r="T97" s="142" t="str">
        <f t="shared" si="55"/>
        <v>I6</v>
      </c>
    </row>
    <row r="98" spans="1:20">
      <c r="A98" s="59" t="s">
        <v>1197</v>
      </c>
      <c r="B98" s="69" t="str">
        <f>IF($C98="","",VLOOKUP($C98,RatingList!$A:$E,2,FALSE))</f>
        <v/>
      </c>
      <c r="C98" s="199"/>
      <c r="D98" s="167" t="str">
        <f>IF($C98="","",VLOOKUP($C98,RatingList!$A:$E,3,FALSE))</f>
        <v/>
      </c>
      <c r="E98" s="170" t="str">
        <f>IF($C98="","",VLOOKUP($C98,RatingList!$A:$E,4,FALSE))</f>
        <v/>
      </c>
      <c r="F98" s="200" t="str">
        <f>IF($C98="","",IF(ISERROR(VLOOKUP($C98,RatingList!$A:$E,5,FALSE)),"",IF(VLOOKUP($C98,RatingList!$A:$E,5,FALSE)=0,"",VLOOKUP($C98,RatingList!$A:$E,5,FALSE))))</f>
        <v/>
      </c>
      <c r="G98" s="67" t="str">
        <f t="shared" si="53"/>
        <v/>
      </c>
      <c r="H98" s="143" t="str">
        <f t="shared" si="52"/>
        <v>I7</v>
      </c>
      <c r="I98" s="153" t="str">
        <f t="shared" si="38"/>
        <v/>
      </c>
      <c r="K98" s="182" t="str">
        <f>IF($C$103="","",RANK(L98,$L$98:$L$105,0))</f>
        <v/>
      </c>
      <c r="L98" s="182" t="str">
        <f>IF(ISERROR(D103),"",D103)</f>
        <v/>
      </c>
      <c r="S98" s="142" t="str">
        <f t="shared" si="54"/>
        <v>(I)</v>
      </c>
      <c r="T98" s="142" t="str">
        <f t="shared" si="55"/>
        <v>I7</v>
      </c>
    </row>
    <row r="99" spans="1:20" ht="13.5" thickBot="1">
      <c r="A99" s="64" t="s">
        <v>1198</v>
      </c>
      <c r="B99" s="70" t="str">
        <f>IF($C99="","",VLOOKUP($C99,RatingList!$A:$E,2,FALSE))</f>
        <v/>
      </c>
      <c r="C99" s="201"/>
      <c r="D99" s="168" t="str">
        <f>IF($C99="","",VLOOKUP($C99,RatingList!$A:$E,3,FALSE))</f>
        <v/>
      </c>
      <c r="E99" s="168" t="str">
        <f>IF($C99="","",VLOOKUP($C99,RatingList!$A:$E,4,FALSE))</f>
        <v/>
      </c>
      <c r="F99" s="202" t="str">
        <f>IF($C99="","",IF(ISERROR(VLOOKUP($C99,RatingList!$A:$E,5,FALSE)),"",IF(VLOOKUP($C99,RatingList!$A:$E,5,FALSE)=0,"",VLOOKUP($C99,RatingList!$A:$E,5,FALSE))))</f>
        <v/>
      </c>
      <c r="G99" s="67" t="str">
        <f t="shared" si="53"/>
        <v/>
      </c>
      <c r="H99" s="143" t="str">
        <f t="shared" si="52"/>
        <v>I8</v>
      </c>
      <c r="I99" s="153" t="str">
        <f t="shared" si="38"/>
        <v/>
      </c>
      <c r="K99" s="182" t="str">
        <f t="shared" ref="K99:K105" si="56">IF($C$103="","",RANK(L99,$L$98:$L$105,0))</f>
        <v/>
      </c>
      <c r="L99" s="182" t="str">
        <f t="shared" ref="L99:L105" si="57">IF(ISERROR(D104),"",D104)</f>
        <v/>
      </c>
      <c r="S99" s="142" t="str">
        <f t="shared" si="54"/>
        <v>(I)</v>
      </c>
      <c r="T99" s="142" t="str">
        <f t="shared" si="55"/>
        <v>I8</v>
      </c>
    </row>
    <row r="100" spans="1:20" ht="13.5" thickBot="1">
      <c r="A100" s="53"/>
      <c r="B100" s="53"/>
      <c r="C100" s="53"/>
      <c r="D100" s="53"/>
      <c r="E100" s="1"/>
      <c r="F100" s="1"/>
      <c r="G100" s="67"/>
      <c r="H100" s="143"/>
      <c r="I100" s="153"/>
      <c r="K100" s="182" t="str">
        <f t="shared" si="56"/>
        <v/>
      </c>
      <c r="L100" s="182" t="str">
        <f t="shared" si="57"/>
        <v/>
      </c>
      <c r="S100" s="142"/>
      <c r="T100" s="142"/>
    </row>
    <row r="101" spans="1:20">
      <c r="A101" s="58" t="s">
        <v>1121</v>
      </c>
      <c r="B101" s="245" t="str">
        <f>IF(Draw!B22&lt;&gt;"",Draw!B22,"")</f>
        <v/>
      </c>
      <c r="C101" s="245"/>
      <c r="D101" s="245"/>
      <c r="E101" s="198"/>
      <c r="F101" s="181" t="str">
        <f>IF(C103="","",ROUND(VLOOKUP(1,$K$98:$L$105,2,FALSE)*1.5+VLOOKUP(2,$K$98:$L$105,2,FALSE)*1.5+VLOOKUP(3,$K$98:$L$105,2,FALSE)+VLOOKUP(4,$K$98:$L$105,2,FALSE),0))</f>
        <v/>
      </c>
      <c r="G101" s="67"/>
      <c r="H101" s="143"/>
      <c r="I101" s="153"/>
      <c r="K101" s="182" t="str">
        <f t="shared" si="56"/>
        <v/>
      </c>
      <c r="L101" s="182" t="str">
        <f t="shared" si="57"/>
        <v/>
      </c>
      <c r="S101" s="142"/>
      <c r="T101" s="142"/>
    </row>
    <row r="102" spans="1:20">
      <c r="A102" s="59"/>
      <c r="B102" s="60" t="s">
        <v>1124</v>
      </c>
      <c r="C102" s="60" t="s">
        <v>1251</v>
      </c>
      <c r="D102" s="163" t="s">
        <v>1125</v>
      </c>
      <c r="E102" s="163" t="s">
        <v>4922</v>
      </c>
      <c r="F102" s="61" t="s">
        <v>1253</v>
      </c>
      <c r="G102" s="67"/>
      <c r="H102" s="143"/>
      <c r="I102" s="153"/>
      <c r="K102" s="182" t="str">
        <f t="shared" si="56"/>
        <v/>
      </c>
      <c r="L102" s="182" t="str">
        <f t="shared" si="57"/>
        <v/>
      </c>
      <c r="S102" s="142"/>
      <c r="T102" s="142"/>
    </row>
    <row r="103" spans="1:20">
      <c r="A103" s="59" t="s">
        <v>1199</v>
      </c>
      <c r="B103" s="69" t="str">
        <f>IF($C103="","",VLOOKUP($C103,RatingList!$A:$E,2,FALSE))</f>
        <v/>
      </c>
      <c r="C103" s="199"/>
      <c r="D103" s="167" t="str">
        <f>IF($C103="","",VLOOKUP($C103,RatingList!$A:$E,3,FALSE))</f>
        <v/>
      </c>
      <c r="E103" s="170" t="str">
        <f>IF($C103="","",VLOOKUP($C103,RatingList!$A:$E,4,FALSE))</f>
        <v/>
      </c>
      <c r="F103" s="200" t="str">
        <f>IF($C103="","",IF(ISERROR(VLOOKUP($C103,RatingList!$A:$E,5,FALSE)),"",IF(VLOOKUP($C103,RatingList!$A:$E,5,FALSE)=0,"",VLOOKUP($C103,RatingList!$A:$E,5,FALSE))))</f>
        <v/>
      </c>
      <c r="G103" s="67" t="str">
        <f>B103</f>
        <v/>
      </c>
      <c r="H103" s="143" t="str">
        <f t="shared" ref="H103:H110" si="58">A103</f>
        <v>J1</v>
      </c>
      <c r="I103" s="153" t="str">
        <f t="shared" si="38"/>
        <v/>
      </c>
      <c r="K103" s="182" t="str">
        <f t="shared" si="56"/>
        <v/>
      </c>
      <c r="L103" s="182" t="str">
        <f t="shared" si="57"/>
        <v/>
      </c>
      <c r="S103" s="142" t="str">
        <f>C103&amp;"("&amp;$A$101&amp;")"</f>
        <v>(J)</v>
      </c>
      <c r="T103" s="142" t="str">
        <f>$A103</f>
        <v>J1</v>
      </c>
    </row>
    <row r="104" spans="1:20">
      <c r="A104" s="59" t="s">
        <v>1200</v>
      </c>
      <c r="B104" s="69" t="str">
        <f>IF($C104="","",VLOOKUP($C104,RatingList!$A:$E,2,FALSE))</f>
        <v/>
      </c>
      <c r="C104" s="199"/>
      <c r="D104" s="167" t="str">
        <f>IF($C104="","",VLOOKUP($C104,RatingList!$A:$E,3,FALSE))</f>
        <v/>
      </c>
      <c r="E104" s="170" t="str">
        <f>IF($C104="","",VLOOKUP($C104,RatingList!$A:$E,4,FALSE))</f>
        <v/>
      </c>
      <c r="F104" s="200" t="str">
        <f>IF($C104="","",IF(ISERROR(VLOOKUP($C104,RatingList!$A:$E,5,FALSE)),"",IF(VLOOKUP($C104,RatingList!$A:$E,5,FALSE)=0,"",VLOOKUP($C104,RatingList!$A:$E,5,FALSE))))</f>
        <v/>
      </c>
      <c r="G104" s="67" t="str">
        <f t="shared" ref="G104:G110" si="59">B104</f>
        <v/>
      </c>
      <c r="H104" s="143" t="str">
        <f t="shared" si="58"/>
        <v>J2</v>
      </c>
      <c r="I104" s="153" t="str">
        <f t="shared" si="38"/>
        <v/>
      </c>
      <c r="K104" s="182" t="str">
        <f t="shared" si="56"/>
        <v/>
      </c>
      <c r="L104" s="182" t="str">
        <f t="shared" si="57"/>
        <v/>
      </c>
      <c r="S104" s="142" t="str">
        <f t="shared" ref="S104:S110" si="60">C104&amp;"("&amp;$A$101&amp;")"</f>
        <v>(J)</v>
      </c>
      <c r="T104" s="142" t="str">
        <f t="shared" ref="T104:T110" si="61">$A104</f>
        <v>J2</v>
      </c>
    </row>
    <row r="105" spans="1:20">
      <c r="A105" s="59" t="s">
        <v>1201</v>
      </c>
      <c r="B105" s="69" t="str">
        <f>IF($C105="","",VLOOKUP($C105,RatingList!$A:$E,2,FALSE))</f>
        <v/>
      </c>
      <c r="C105" s="199"/>
      <c r="D105" s="167" t="str">
        <f>IF($C105="","",VLOOKUP($C105,RatingList!$A:$E,3,FALSE))</f>
        <v/>
      </c>
      <c r="E105" s="170" t="str">
        <f>IF($C105="","",VLOOKUP($C105,RatingList!$A:$E,4,FALSE))</f>
        <v/>
      </c>
      <c r="F105" s="200" t="str">
        <f>IF($C105="","",IF(ISERROR(VLOOKUP($C105,RatingList!$A:$E,5,FALSE)),"",IF(VLOOKUP($C105,RatingList!$A:$E,5,FALSE)=0,"",VLOOKUP($C105,RatingList!$A:$E,5,FALSE))))</f>
        <v/>
      </c>
      <c r="G105" s="67" t="str">
        <f t="shared" si="59"/>
        <v/>
      </c>
      <c r="H105" s="143" t="str">
        <f t="shared" si="58"/>
        <v>J3</v>
      </c>
      <c r="I105" s="153" t="str">
        <f t="shared" si="38"/>
        <v/>
      </c>
      <c r="K105" s="182" t="str">
        <f t="shared" si="56"/>
        <v/>
      </c>
      <c r="L105" s="182" t="str">
        <f t="shared" si="57"/>
        <v/>
      </c>
      <c r="S105" s="142" t="str">
        <f t="shared" si="60"/>
        <v>(J)</v>
      </c>
      <c r="T105" s="142" t="str">
        <f t="shared" si="61"/>
        <v>J3</v>
      </c>
    </row>
    <row r="106" spans="1:20">
      <c r="A106" s="59" t="s">
        <v>1202</v>
      </c>
      <c r="B106" s="69" t="str">
        <f>IF($C106="","",VLOOKUP($C106,RatingList!$A:$E,2,FALSE))</f>
        <v/>
      </c>
      <c r="C106" s="199"/>
      <c r="D106" s="167" t="str">
        <f>IF($C106="","",VLOOKUP($C106,RatingList!$A:$E,3,FALSE))</f>
        <v/>
      </c>
      <c r="E106" s="170" t="str">
        <f>IF($C106="","",VLOOKUP($C106,RatingList!$A:$E,4,FALSE))</f>
        <v/>
      </c>
      <c r="F106" s="200" t="str">
        <f>IF($C106="","",IF(ISERROR(VLOOKUP($C106,RatingList!$A:$E,5,FALSE)),"",IF(VLOOKUP($C106,RatingList!$A:$E,5,FALSE)=0,"",VLOOKUP($C106,RatingList!$A:$E,5,FALSE))))</f>
        <v/>
      </c>
      <c r="G106" s="67" t="str">
        <f t="shared" si="59"/>
        <v/>
      </c>
      <c r="H106" s="143" t="str">
        <f t="shared" si="58"/>
        <v>J4</v>
      </c>
      <c r="I106" s="153" t="str">
        <f t="shared" si="38"/>
        <v/>
      </c>
      <c r="K106" s="180"/>
      <c r="L106" s="180"/>
      <c r="S106" s="142" t="str">
        <f t="shared" si="60"/>
        <v>(J)</v>
      </c>
      <c r="T106" s="142" t="str">
        <f t="shared" si="61"/>
        <v>J4</v>
      </c>
    </row>
    <row r="107" spans="1:20">
      <c r="A107" s="59" t="s">
        <v>1203</v>
      </c>
      <c r="B107" s="69" t="str">
        <f>IF($C107="","",VLOOKUP($C107,RatingList!$A:$E,2,FALSE))</f>
        <v/>
      </c>
      <c r="C107" s="199"/>
      <c r="D107" s="167" t="str">
        <f>IF($C107="","",VLOOKUP($C107,RatingList!$A:$E,3,FALSE))</f>
        <v/>
      </c>
      <c r="E107" s="170" t="str">
        <f>IF($C107="","",VLOOKUP($C107,RatingList!$A:$E,4,FALSE))</f>
        <v/>
      </c>
      <c r="F107" s="200" t="str">
        <f>IF($C107="","",IF(ISERROR(VLOOKUP($C107,RatingList!$A:$E,5,FALSE)),"",IF(VLOOKUP($C107,RatingList!$A:$E,5,FALSE)=0,"",VLOOKUP($C107,RatingList!$A:$E,5,FALSE))))</f>
        <v/>
      </c>
      <c r="G107" s="67" t="str">
        <f t="shared" si="59"/>
        <v/>
      </c>
      <c r="H107" s="143" t="str">
        <f t="shared" si="58"/>
        <v>J5</v>
      </c>
      <c r="I107" s="153" t="str">
        <f t="shared" si="38"/>
        <v/>
      </c>
      <c r="K107" s="182" t="str">
        <f>IF($C$114="","",RANK(L107,$L$107:$L$114,0))</f>
        <v/>
      </c>
      <c r="L107" s="182" t="str">
        <f>IF(ISERROR(D114),"",D114)</f>
        <v/>
      </c>
      <c r="S107" s="142" t="str">
        <f t="shared" si="60"/>
        <v>(J)</v>
      </c>
      <c r="T107" s="142" t="str">
        <f t="shared" si="61"/>
        <v>J5</v>
      </c>
    </row>
    <row r="108" spans="1:20">
      <c r="A108" s="59" t="s">
        <v>1204</v>
      </c>
      <c r="B108" s="69" t="str">
        <f>IF($C108="","",VLOOKUP($C108,RatingList!$A:$E,2,FALSE))</f>
        <v/>
      </c>
      <c r="C108" s="199"/>
      <c r="D108" s="167" t="str">
        <f>IF($C108="","",VLOOKUP($C108,RatingList!$A:$E,3,FALSE))</f>
        <v/>
      </c>
      <c r="E108" s="170" t="str">
        <f>IF($C108="","",VLOOKUP($C108,RatingList!$A:$E,4,FALSE))</f>
        <v/>
      </c>
      <c r="F108" s="200" t="str">
        <f>IF($C108="","",IF(ISERROR(VLOOKUP($C108,RatingList!$A:$E,5,FALSE)),"",IF(VLOOKUP($C108,RatingList!$A:$E,5,FALSE)=0,"",VLOOKUP($C108,RatingList!$A:$E,5,FALSE))))</f>
        <v/>
      </c>
      <c r="G108" s="67" t="str">
        <f t="shared" si="59"/>
        <v/>
      </c>
      <c r="H108" s="143" t="str">
        <f t="shared" si="58"/>
        <v>J6</v>
      </c>
      <c r="I108" s="153" t="str">
        <f t="shared" si="38"/>
        <v/>
      </c>
      <c r="K108" s="182" t="str">
        <f t="shared" ref="K108:K114" si="62">IF($C$114="","",RANK(L108,$L$107:$L$114,0))</f>
        <v/>
      </c>
      <c r="L108" s="182" t="str">
        <f t="shared" ref="L108:L114" si="63">IF(ISERROR(D115),"",D115)</f>
        <v/>
      </c>
      <c r="S108" s="142" t="str">
        <f t="shared" si="60"/>
        <v>(J)</v>
      </c>
      <c r="T108" s="142" t="str">
        <f t="shared" si="61"/>
        <v>J6</v>
      </c>
    </row>
    <row r="109" spans="1:20">
      <c r="A109" s="59" t="s">
        <v>1205</v>
      </c>
      <c r="B109" s="69" t="str">
        <f>IF($C109="","",VLOOKUP($C109,RatingList!$A:$E,2,FALSE))</f>
        <v/>
      </c>
      <c r="C109" s="199"/>
      <c r="D109" s="167" t="str">
        <f>IF($C109="","",VLOOKUP($C109,RatingList!$A:$E,3,FALSE))</f>
        <v/>
      </c>
      <c r="E109" s="170" t="str">
        <f>IF($C109="","",VLOOKUP($C109,RatingList!$A:$E,4,FALSE))</f>
        <v/>
      </c>
      <c r="F109" s="200" t="str">
        <f>IF($C109="","",IF(ISERROR(VLOOKUP($C109,RatingList!$A:$E,5,FALSE)),"",IF(VLOOKUP($C109,RatingList!$A:$E,5,FALSE)=0,"",VLOOKUP($C109,RatingList!$A:$E,5,FALSE))))</f>
        <v/>
      </c>
      <c r="G109" s="67" t="str">
        <f t="shared" si="59"/>
        <v/>
      </c>
      <c r="H109" s="143" t="str">
        <f t="shared" si="58"/>
        <v>J7</v>
      </c>
      <c r="I109" s="153" t="str">
        <f t="shared" si="38"/>
        <v/>
      </c>
      <c r="K109" s="182" t="str">
        <f t="shared" si="62"/>
        <v/>
      </c>
      <c r="L109" s="182" t="str">
        <f t="shared" si="63"/>
        <v/>
      </c>
      <c r="S109" s="142" t="str">
        <f t="shared" si="60"/>
        <v>(J)</v>
      </c>
      <c r="T109" s="142" t="str">
        <f t="shared" si="61"/>
        <v>J7</v>
      </c>
    </row>
    <row r="110" spans="1:20" ht="13.5" thickBot="1">
      <c r="A110" s="64" t="s">
        <v>1206</v>
      </c>
      <c r="B110" s="70" t="str">
        <f>IF($C110="","",VLOOKUP($C110,RatingList!$A:$E,2,FALSE))</f>
        <v/>
      </c>
      <c r="C110" s="201"/>
      <c r="D110" s="168" t="str">
        <f>IF($C110="","",VLOOKUP($C110,RatingList!$A:$E,3,FALSE))</f>
        <v/>
      </c>
      <c r="E110" s="168" t="str">
        <f>IF($C110="","",VLOOKUP($C110,RatingList!$A:$E,4,FALSE))</f>
        <v/>
      </c>
      <c r="F110" s="202" t="str">
        <f>IF($C110="","",IF(ISERROR(VLOOKUP($C110,RatingList!$A:$E,5,FALSE)),"",IF(VLOOKUP($C110,RatingList!$A:$E,5,FALSE)=0,"",VLOOKUP($C110,RatingList!$A:$E,5,FALSE))))</f>
        <v/>
      </c>
      <c r="G110" s="67" t="str">
        <f t="shared" si="59"/>
        <v/>
      </c>
      <c r="H110" s="143" t="str">
        <f t="shared" si="58"/>
        <v>J8</v>
      </c>
      <c r="I110" s="153" t="str">
        <f t="shared" si="38"/>
        <v/>
      </c>
      <c r="K110" s="182" t="str">
        <f t="shared" si="62"/>
        <v/>
      </c>
      <c r="L110" s="182" t="str">
        <f t="shared" si="63"/>
        <v/>
      </c>
      <c r="S110" s="142" t="str">
        <f t="shared" si="60"/>
        <v>(J)</v>
      </c>
      <c r="T110" s="142" t="str">
        <f t="shared" si="61"/>
        <v>J8</v>
      </c>
    </row>
    <row r="111" spans="1:20" ht="13.5" thickBot="1">
      <c r="A111" s="53"/>
      <c r="B111" s="53"/>
      <c r="C111" s="53"/>
      <c r="D111" s="53"/>
      <c r="E111" s="1"/>
      <c r="F111" s="1"/>
      <c r="G111" s="67"/>
      <c r="H111" s="143"/>
      <c r="I111" s="153"/>
      <c r="K111" s="182" t="str">
        <f t="shared" si="62"/>
        <v/>
      </c>
      <c r="L111" s="182" t="str">
        <f t="shared" si="63"/>
        <v/>
      </c>
      <c r="S111" s="142"/>
      <c r="T111" s="142"/>
    </row>
    <row r="112" spans="1:20">
      <c r="A112" s="58" t="s">
        <v>1122</v>
      </c>
      <c r="B112" s="245" t="str">
        <f>IF(Draw!B24&lt;&gt;"",Draw!B24,"")</f>
        <v/>
      </c>
      <c r="C112" s="245"/>
      <c r="D112" s="245"/>
      <c r="E112" s="198"/>
      <c r="F112" s="181" t="str">
        <f>IF(C114="","",ROUND(VLOOKUP(1,$K$107:$L$114,2,FALSE)*1.5+VLOOKUP(2,$K$107:$L$114,2,FALSE)*1.5+VLOOKUP(3,$K$107:$L$114,2,FALSE)+VLOOKUP(4,$K$107:$L$114,2,FALSE),0))</f>
        <v/>
      </c>
      <c r="G112" s="67"/>
      <c r="H112" s="143"/>
      <c r="I112" s="153"/>
      <c r="K112" s="182" t="str">
        <f t="shared" si="62"/>
        <v/>
      </c>
      <c r="L112" s="182" t="str">
        <f t="shared" si="63"/>
        <v/>
      </c>
      <c r="S112" s="142"/>
      <c r="T112" s="142"/>
    </row>
    <row r="113" spans="1:20">
      <c r="A113" s="59"/>
      <c r="B113" s="60" t="s">
        <v>1124</v>
      </c>
      <c r="C113" s="60" t="s">
        <v>1251</v>
      </c>
      <c r="D113" s="163" t="s">
        <v>1125</v>
      </c>
      <c r="E113" s="163" t="s">
        <v>4922</v>
      </c>
      <c r="F113" s="61" t="s">
        <v>1253</v>
      </c>
      <c r="G113" s="67"/>
      <c r="H113" s="143"/>
      <c r="I113" s="153"/>
      <c r="K113" s="182" t="str">
        <f t="shared" si="62"/>
        <v/>
      </c>
      <c r="L113" s="182" t="str">
        <f t="shared" si="63"/>
        <v/>
      </c>
      <c r="S113" s="142"/>
      <c r="T113" s="142"/>
    </row>
    <row r="114" spans="1:20">
      <c r="A114" s="59" t="s">
        <v>1207</v>
      </c>
      <c r="B114" s="69" t="str">
        <f>IF($C114="","",VLOOKUP($C114,RatingList!$A:$E,2,FALSE))</f>
        <v/>
      </c>
      <c r="C114" s="199"/>
      <c r="D114" s="167" t="str">
        <f>IF($C114="","",VLOOKUP($C114,RatingList!$A:$E,3,FALSE))</f>
        <v/>
      </c>
      <c r="E114" s="170" t="str">
        <f>IF($C114="","",VLOOKUP($C114,RatingList!$A:$E,4,FALSE))</f>
        <v/>
      </c>
      <c r="F114" s="200" t="str">
        <f>IF($C114="","",IF(ISERROR(VLOOKUP($C114,RatingList!$A:$E,5,FALSE)),"",IF(VLOOKUP($C114,RatingList!$A:$E,5,FALSE)=0,"",VLOOKUP($C114,RatingList!$A:$E,5,FALSE))))</f>
        <v/>
      </c>
      <c r="G114" s="67" t="str">
        <f>B114</f>
        <v/>
      </c>
      <c r="H114" s="143" t="str">
        <f t="shared" ref="H114:H121" si="64">A114</f>
        <v>K1</v>
      </c>
      <c r="I114" s="153" t="str">
        <f t="shared" si="38"/>
        <v/>
      </c>
      <c r="K114" s="182" t="str">
        <f t="shared" si="62"/>
        <v/>
      </c>
      <c r="L114" s="182" t="str">
        <f t="shared" si="63"/>
        <v/>
      </c>
      <c r="S114" s="142" t="str">
        <f>C114&amp;"("&amp;$A$112&amp;")"</f>
        <v>(K)</v>
      </c>
      <c r="T114" s="142" t="str">
        <f>$A114</f>
        <v>K1</v>
      </c>
    </row>
    <row r="115" spans="1:20">
      <c r="A115" s="59" t="s">
        <v>1208</v>
      </c>
      <c r="B115" s="69" t="str">
        <f>IF($C115="","",VLOOKUP($C115,RatingList!$A:$E,2,FALSE))</f>
        <v/>
      </c>
      <c r="C115" s="199"/>
      <c r="D115" s="167" t="str">
        <f>IF($C115="","",VLOOKUP($C115,RatingList!$A:$E,3,FALSE))</f>
        <v/>
      </c>
      <c r="E115" s="170" t="str">
        <f>IF($C115="","",VLOOKUP($C115,RatingList!$A:$E,4,FALSE))</f>
        <v/>
      </c>
      <c r="F115" s="200" t="str">
        <f>IF($C115="","",IF(ISERROR(VLOOKUP($C115,RatingList!$A:$E,5,FALSE)),"",IF(VLOOKUP($C115,RatingList!$A:$E,5,FALSE)=0,"",VLOOKUP($C115,RatingList!$A:$E,5,FALSE))))</f>
        <v/>
      </c>
      <c r="G115" s="67" t="str">
        <f t="shared" ref="G115:G121" si="65">B115</f>
        <v/>
      </c>
      <c r="H115" s="143" t="str">
        <f t="shared" si="64"/>
        <v>K2</v>
      </c>
      <c r="I115" s="153" t="str">
        <f t="shared" si="38"/>
        <v/>
      </c>
      <c r="K115" s="180"/>
      <c r="L115" s="180"/>
      <c r="S115" s="142" t="str">
        <f t="shared" ref="S115:S121" si="66">C115&amp;"("&amp;$A$112&amp;")"</f>
        <v>(K)</v>
      </c>
      <c r="T115" s="142" t="str">
        <f t="shared" ref="T115:T121" si="67">$A115</f>
        <v>K2</v>
      </c>
    </row>
    <row r="116" spans="1:20">
      <c r="A116" s="59" t="s">
        <v>1209</v>
      </c>
      <c r="B116" s="69" t="str">
        <f>IF($C116="","",VLOOKUP($C116,RatingList!$A:$E,2,FALSE))</f>
        <v/>
      </c>
      <c r="C116" s="199"/>
      <c r="D116" s="167" t="str">
        <f>IF($C116="","",VLOOKUP($C116,RatingList!$A:$E,3,FALSE))</f>
        <v/>
      </c>
      <c r="E116" s="170" t="str">
        <f>IF($C116="","",VLOOKUP($C116,RatingList!$A:$E,4,FALSE))</f>
        <v/>
      </c>
      <c r="F116" s="200" t="str">
        <f>IF($C116="","",IF(ISERROR(VLOOKUP($C116,RatingList!$A:$E,5,FALSE)),"",IF(VLOOKUP($C116,RatingList!$A:$E,5,FALSE)=0,"",VLOOKUP($C116,RatingList!$A:$E,5,FALSE))))</f>
        <v/>
      </c>
      <c r="G116" s="67" t="str">
        <f t="shared" si="65"/>
        <v/>
      </c>
      <c r="H116" s="143" t="str">
        <f t="shared" si="64"/>
        <v>K3</v>
      </c>
      <c r="I116" s="153" t="str">
        <f t="shared" si="38"/>
        <v/>
      </c>
      <c r="K116" s="182" t="str">
        <f>IF($C$125="","",RANK(L116,$L$116:$L$123,0))</f>
        <v/>
      </c>
      <c r="L116" s="182" t="str">
        <f>IF(ISERROR(D125),"",D125)</f>
        <v/>
      </c>
      <c r="S116" s="142" t="str">
        <f t="shared" si="66"/>
        <v>(K)</v>
      </c>
      <c r="T116" s="142" t="str">
        <f t="shared" si="67"/>
        <v>K3</v>
      </c>
    </row>
    <row r="117" spans="1:20">
      <c r="A117" s="59" t="s">
        <v>1210</v>
      </c>
      <c r="B117" s="69" t="str">
        <f>IF($C117="","",VLOOKUP($C117,RatingList!$A:$E,2,FALSE))</f>
        <v/>
      </c>
      <c r="C117" s="199"/>
      <c r="D117" s="167" t="str">
        <f>IF($C117="","",VLOOKUP($C117,RatingList!$A:$E,3,FALSE))</f>
        <v/>
      </c>
      <c r="E117" s="170" t="str">
        <f>IF($C117="","",VLOOKUP($C117,RatingList!$A:$E,4,FALSE))</f>
        <v/>
      </c>
      <c r="F117" s="200" t="str">
        <f>IF($C117="","",IF(ISERROR(VLOOKUP($C117,RatingList!$A:$E,5,FALSE)),"",IF(VLOOKUP($C117,RatingList!$A:$E,5,FALSE)=0,"",VLOOKUP($C117,RatingList!$A:$E,5,FALSE))))</f>
        <v/>
      </c>
      <c r="G117" s="67" t="str">
        <f t="shared" si="65"/>
        <v/>
      </c>
      <c r="H117" s="143" t="str">
        <f t="shared" si="64"/>
        <v>K4</v>
      </c>
      <c r="I117" s="153" t="str">
        <f t="shared" si="38"/>
        <v/>
      </c>
      <c r="K117" s="182" t="str">
        <f t="shared" ref="K117:K123" si="68">IF($C$125="","",RANK(L117,$L$116:$L$123,0))</f>
        <v/>
      </c>
      <c r="L117" s="182" t="str">
        <f t="shared" ref="L117:L123" si="69">IF(ISERROR(D126),"",D126)</f>
        <v/>
      </c>
      <c r="S117" s="142" t="str">
        <f t="shared" si="66"/>
        <v>(K)</v>
      </c>
      <c r="T117" s="142" t="str">
        <f t="shared" si="67"/>
        <v>K4</v>
      </c>
    </row>
    <row r="118" spans="1:20">
      <c r="A118" s="59" t="s">
        <v>1211</v>
      </c>
      <c r="B118" s="69" t="str">
        <f>IF($C118="","",VLOOKUP($C118,RatingList!$A:$E,2,FALSE))</f>
        <v/>
      </c>
      <c r="C118" s="199"/>
      <c r="D118" s="167" t="str">
        <f>IF($C118="","",VLOOKUP($C118,RatingList!$A:$E,3,FALSE))</f>
        <v/>
      </c>
      <c r="E118" s="170" t="str">
        <f>IF($C118="","",VLOOKUP($C118,RatingList!$A:$E,4,FALSE))</f>
        <v/>
      </c>
      <c r="F118" s="200" t="str">
        <f>IF($C118="","",IF(ISERROR(VLOOKUP($C118,RatingList!$A:$E,5,FALSE)),"",IF(VLOOKUP($C118,RatingList!$A:$E,5,FALSE)=0,"",VLOOKUP($C118,RatingList!$A:$E,5,FALSE))))</f>
        <v/>
      </c>
      <c r="G118" s="67" t="str">
        <f t="shared" si="65"/>
        <v/>
      </c>
      <c r="H118" s="143" t="str">
        <f t="shared" si="64"/>
        <v>K5</v>
      </c>
      <c r="I118" s="153" t="str">
        <f t="shared" si="38"/>
        <v/>
      </c>
      <c r="K118" s="182" t="str">
        <f t="shared" si="68"/>
        <v/>
      </c>
      <c r="L118" s="182" t="str">
        <f t="shared" si="69"/>
        <v/>
      </c>
      <c r="S118" s="142" t="str">
        <f t="shared" si="66"/>
        <v>(K)</v>
      </c>
      <c r="T118" s="142" t="str">
        <f t="shared" si="67"/>
        <v>K5</v>
      </c>
    </row>
    <row r="119" spans="1:20">
      <c r="A119" s="59" t="s">
        <v>1212</v>
      </c>
      <c r="B119" s="69" t="str">
        <f>IF($C119="","",VLOOKUP($C119,RatingList!$A:$E,2,FALSE))</f>
        <v/>
      </c>
      <c r="C119" s="199"/>
      <c r="D119" s="167" t="str">
        <f>IF($C119="","",VLOOKUP($C119,RatingList!$A:$E,3,FALSE))</f>
        <v/>
      </c>
      <c r="E119" s="170" t="str">
        <f>IF($C119="","",VLOOKUP($C119,RatingList!$A:$E,4,FALSE))</f>
        <v/>
      </c>
      <c r="F119" s="200" t="str">
        <f>IF($C119="","",IF(ISERROR(VLOOKUP($C119,RatingList!$A:$E,5,FALSE)),"",IF(VLOOKUP($C119,RatingList!$A:$E,5,FALSE)=0,"",VLOOKUP($C119,RatingList!$A:$E,5,FALSE))))</f>
        <v/>
      </c>
      <c r="G119" s="67" t="str">
        <f t="shared" si="65"/>
        <v/>
      </c>
      <c r="H119" s="143" t="str">
        <f t="shared" si="64"/>
        <v>K6</v>
      </c>
      <c r="I119" s="153" t="str">
        <f t="shared" si="38"/>
        <v/>
      </c>
      <c r="K119" s="182" t="str">
        <f t="shared" si="68"/>
        <v/>
      </c>
      <c r="L119" s="182" t="str">
        <f t="shared" si="69"/>
        <v/>
      </c>
      <c r="S119" s="142" t="str">
        <f t="shared" si="66"/>
        <v>(K)</v>
      </c>
      <c r="T119" s="142" t="str">
        <f t="shared" si="67"/>
        <v>K6</v>
      </c>
    </row>
    <row r="120" spans="1:20">
      <c r="A120" s="59" t="s">
        <v>1213</v>
      </c>
      <c r="B120" s="69" t="str">
        <f>IF($C120="","",VLOOKUP($C120,RatingList!$A:$E,2,FALSE))</f>
        <v/>
      </c>
      <c r="C120" s="199"/>
      <c r="D120" s="167" t="str">
        <f>IF($C120="","",VLOOKUP($C120,RatingList!$A:$E,3,FALSE))</f>
        <v/>
      </c>
      <c r="E120" s="170" t="str">
        <f>IF($C120="","",VLOOKUP($C120,RatingList!$A:$E,4,FALSE))</f>
        <v/>
      </c>
      <c r="F120" s="200" t="str">
        <f>IF($C120="","",IF(ISERROR(VLOOKUP($C120,RatingList!$A:$E,5,FALSE)),"",IF(VLOOKUP($C120,RatingList!$A:$E,5,FALSE)=0,"",VLOOKUP($C120,RatingList!$A:$E,5,FALSE))))</f>
        <v/>
      </c>
      <c r="G120" s="67" t="str">
        <f t="shared" si="65"/>
        <v/>
      </c>
      <c r="H120" s="143" t="str">
        <f t="shared" si="64"/>
        <v>K7</v>
      </c>
      <c r="I120" s="153" t="str">
        <f t="shared" si="38"/>
        <v/>
      </c>
      <c r="K120" s="182" t="str">
        <f t="shared" si="68"/>
        <v/>
      </c>
      <c r="L120" s="182" t="str">
        <f t="shared" si="69"/>
        <v/>
      </c>
      <c r="S120" s="142" t="str">
        <f t="shared" si="66"/>
        <v>(K)</v>
      </c>
      <c r="T120" s="142" t="str">
        <f t="shared" si="67"/>
        <v>K7</v>
      </c>
    </row>
    <row r="121" spans="1:20" ht="13.5" thickBot="1">
      <c r="A121" s="64" t="s">
        <v>1214</v>
      </c>
      <c r="B121" s="70" t="str">
        <f>IF($C121="","",VLOOKUP($C121,RatingList!$A:$E,2,FALSE))</f>
        <v/>
      </c>
      <c r="C121" s="201"/>
      <c r="D121" s="168" t="str">
        <f>IF($C121="","",VLOOKUP($C121,RatingList!$A:$E,3,FALSE))</f>
        <v/>
      </c>
      <c r="E121" s="168" t="str">
        <f>IF($C121="","",VLOOKUP($C121,RatingList!$A:$E,4,FALSE))</f>
        <v/>
      </c>
      <c r="F121" s="202" t="str">
        <f>IF($C121="","",IF(ISERROR(VLOOKUP($C121,RatingList!$A:$E,5,FALSE)),"",IF(VLOOKUP($C121,RatingList!$A:$E,5,FALSE)=0,"",VLOOKUP($C121,RatingList!$A:$E,5,FALSE))))</f>
        <v/>
      </c>
      <c r="G121" s="67" t="str">
        <f t="shared" si="65"/>
        <v/>
      </c>
      <c r="H121" s="143" t="str">
        <f t="shared" si="64"/>
        <v>K8</v>
      </c>
      <c r="I121" s="153" t="str">
        <f t="shared" si="38"/>
        <v/>
      </c>
      <c r="K121" s="182" t="str">
        <f t="shared" si="68"/>
        <v/>
      </c>
      <c r="L121" s="182" t="str">
        <f t="shared" si="69"/>
        <v/>
      </c>
      <c r="S121" s="142" t="str">
        <f t="shared" si="66"/>
        <v>(K)</v>
      </c>
      <c r="T121" s="142" t="str">
        <f t="shared" si="67"/>
        <v>K8</v>
      </c>
    </row>
    <row r="122" spans="1:20" ht="13.5" thickBot="1">
      <c r="A122" s="53"/>
      <c r="B122" s="53"/>
      <c r="C122" s="53"/>
      <c r="D122" s="53"/>
      <c r="E122" s="1"/>
      <c r="F122" s="1"/>
      <c r="G122" s="67"/>
      <c r="H122" s="143"/>
      <c r="I122" s="153"/>
      <c r="K122" s="182" t="str">
        <f t="shared" si="68"/>
        <v/>
      </c>
      <c r="L122" s="182" t="str">
        <f t="shared" si="69"/>
        <v/>
      </c>
      <c r="S122" s="142"/>
      <c r="T122" s="142"/>
    </row>
    <row r="123" spans="1:20">
      <c r="A123" s="58" t="s">
        <v>1123</v>
      </c>
      <c r="B123" s="245" t="str">
        <f>IF(Draw!B26&lt;&gt;"",Draw!B26,"")</f>
        <v/>
      </c>
      <c r="C123" s="245"/>
      <c r="D123" s="245"/>
      <c r="E123" s="198"/>
      <c r="F123" s="181" t="str">
        <f>IF(C125="","",ROUND(VLOOKUP(1,$K$116:$L$123,2,FALSE)*1.5+VLOOKUP(2,$K$116:$L$123,2,FALSE)*1.5+VLOOKUP(3,$K$116:$L$123,2,FALSE)+VLOOKUP(4,$K$116:$L$123,2,FALSE),0))</f>
        <v/>
      </c>
      <c r="G123" s="67"/>
      <c r="H123" s="143"/>
      <c r="I123" s="153"/>
      <c r="K123" s="182" t="str">
        <f t="shared" si="68"/>
        <v/>
      </c>
      <c r="L123" s="182" t="str">
        <f t="shared" si="69"/>
        <v/>
      </c>
      <c r="S123" s="142"/>
      <c r="T123" s="142"/>
    </row>
    <row r="124" spans="1:20">
      <c r="A124" s="59"/>
      <c r="B124" s="60" t="s">
        <v>1124</v>
      </c>
      <c r="C124" s="60" t="s">
        <v>1251</v>
      </c>
      <c r="D124" s="163" t="s">
        <v>1125</v>
      </c>
      <c r="E124" s="163" t="s">
        <v>4922</v>
      </c>
      <c r="F124" s="61" t="s">
        <v>1253</v>
      </c>
      <c r="G124" s="67"/>
      <c r="H124" s="143"/>
      <c r="I124" s="153"/>
      <c r="S124" s="142"/>
      <c r="T124" s="142"/>
    </row>
    <row r="125" spans="1:20">
      <c r="A125" s="59" t="s">
        <v>1215</v>
      </c>
      <c r="B125" s="69" t="str">
        <f>IF($C125="","",VLOOKUP($C125,RatingList!$A:$E,2,FALSE))</f>
        <v/>
      </c>
      <c r="C125" s="199"/>
      <c r="D125" s="167" t="str">
        <f>IF($C125="","",VLOOKUP($C125,RatingList!$A:$E,3,FALSE))</f>
        <v/>
      </c>
      <c r="E125" s="170" t="str">
        <f>IF($C125="","",VLOOKUP($C125,RatingList!$A:$E,4,FALSE))</f>
        <v/>
      </c>
      <c r="F125" s="200" t="str">
        <f>IF($C125="","",IF(ISERROR(VLOOKUP($C125,RatingList!$A:$E,5,FALSE)),"",IF(VLOOKUP($C125,RatingList!$A:$E,5,FALSE)=0,"",VLOOKUP($C125,RatingList!$A:$E,5,FALSE))))</f>
        <v/>
      </c>
      <c r="G125" s="67" t="str">
        <f>B125</f>
        <v/>
      </c>
      <c r="H125" s="143" t="str">
        <f t="shared" ref="H125:H132" si="70">A125</f>
        <v>L1</v>
      </c>
      <c r="I125" s="153" t="str">
        <f t="shared" si="38"/>
        <v/>
      </c>
      <c r="S125" s="142" t="str">
        <f>C125&amp;"("&amp;$A$123&amp;")"</f>
        <v>(L)</v>
      </c>
      <c r="T125" s="142" t="str">
        <f>$A125</f>
        <v>L1</v>
      </c>
    </row>
    <row r="126" spans="1:20">
      <c r="A126" s="59" t="s">
        <v>1216</v>
      </c>
      <c r="B126" s="69" t="str">
        <f>IF($C126="","",VLOOKUP($C126,RatingList!$A:$E,2,FALSE))</f>
        <v/>
      </c>
      <c r="C126" s="199"/>
      <c r="D126" s="167" t="str">
        <f>IF($C126="","",VLOOKUP($C126,RatingList!$A:$E,3,FALSE))</f>
        <v/>
      </c>
      <c r="E126" s="170" t="str">
        <f>IF($C126="","",VLOOKUP($C126,RatingList!$A:$E,4,FALSE))</f>
        <v/>
      </c>
      <c r="F126" s="200" t="str">
        <f>IF($C126="","",IF(ISERROR(VLOOKUP($C126,RatingList!$A:$E,5,FALSE)),"",IF(VLOOKUP($C126,RatingList!$A:$E,5,FALSE)=0,"",VLOOKUP($C126,RatingList!$A:$E,5,FALSE))))</f>
        <v/>
      </c>
      <c r="G126" s="67" t="str">
        <f t="shared" ref="G126:G132" si="71">B126</f>
        <v/>
      </c>
      <c r="H126" s="143" t="str">
        <f t="shared" si="70"/>
        <v>L2</v>
      </c>
      <c r="I126" s="153" t="str">
        <f t="shared" si="38"/>
        <v/>
      </c>
      <c r="S126" s="142" t="str">
        <f t="shared" ref="S126:S132" si="72">C126&amp;"("&amp;$A$123&amp;")"</f>
        <v>(L)</v>
      </c>
      <c r="T126" s="142" t="str">
        <f t="shared" ref="T126:T132" si="73">$A126</f>
        <v>L2</v>
      </c>
    </row>
    <row r="127" spans="1:20">
      <c r="A127" s="59" t="s">
        <v>1217</v>
      </c>
      <c r="B127" s="69" t="str">
        <f>IF($C127="","",VLOOKUP($C127,RatingList!$A:$E,2,FALSE))</f>
        <v/>
      </c>
      <c r="C127" s="199"/>
      <c r="D127" s="167" t="str">
        <f>IF($C127="","",VLOOKUP($C127,RatingList!$A:$E,3,FALSE))</f>
        <v/>
      </c>
      <c r="E127" s="170" t="str">
        <f>IF($C127="","",VLOOKUP($C127,RatingList!$A:$E,4,FALSE))</f>
        <v/>
      </c>
      <c r="F127" s="200" t="str">
        <f>IF($C127="","",IF(ISERROR(VLOOKUP($C127,RatingList!$A:$E,5,FALSE)),"",IF(VLOOKUP($C127,RatingList!$A:$E,5,FALSE)=0,"",VLOOKUP($C127,RatingList!$A:$E,5,FALSE))))</f>
        <v/>
      </c>
      <c r="G127" s="67" t="str">
        <f t="shared" si="71"/>
        <v/>
      </c>
      <c r="H127" s="143" t="str">
        <f t="shared" si="70"/>
        <v>L3</v>
      </c>
      <c r="I127" s="153" t="str">
        <f t="shared" si="38"/>
        <v/>
      </c>
      <c r="S127" s="142" t="str">
        <f t="shared" si="72"/>
        <v>(L)</v>
      </c>
      <c r="T127" s="142" t="str">
        <f t="shared" si="73"/>
        <v>L3</v>
      </c>
    </row>
    <row r="128" spans="1:20">
      <c r="A128" s="59" t="s">
        <v>1218</v>
      </c>
      <c r="B128" s="69" t="str">
        <f>IF($C128="","",VLOOKUP($C128,RatingList!$A:$E,2,FALSE))</f>
        <v/>
      </c>
      <c r="C128" s="199"/>
      <c r="D128" s="167" t="str">
        <f>IF($C128="","",VLOOKUP($C128,RatingList!$A:$E,3,FALSE))</f>
        <v/>
      </c>
      <c r="E128" s="170" t="str">
        <f>IF($C128="","",VLOOKUP($C128,RatingList!$A:$E,4,FALSE))</f>
        <v/>
      </c>
      <c r="F128" s="200" t="str">
        <f>IF($C128="","",IF(ISERROR(VLOOKUP($C128,RatingList!$A:$E,5,FALSE)),"",IF(VLOOKUP($C128,RatingList!$A:$E,5,FALSE)=0,"",VLOOKUP($C128,RatingList!$A:$E,5,FALSE))))</f>
        <v/>
      </c>
      <c r="G128" s="67" t="str">
        <f t="shared" si="71"/>
        <v/>
      </c>
      <c r="H128" s="143" t="str">
        <f t="shared" si="70"/>
        <v>L4</v>
      </c>
      <c r="I128" s="153" t="str">
        <f t="shared" si="38"/>
        <v/>
      </c>
      <c r="S128" s="142" t="str">
        <f t="shared" si="72"/>
        <v>(L)</v>
      </c>
      <c r="T128" s="142" t="str">
        <f t="shared" si="73"/>
        <v>L4</v>
      </c>
    </row>
    <row r="129" spans="1:20">
      <c r="A129" s="59" t="s">
        <v>1219</v>
      </c>
      <c r="B129" s="69" t="str">
        <f>IF($C129="","",VLOOKUP($C129,RatingList!$A:$E,2,FALSE))</f>
        <v/>
      </c>
      <c r="C129" s="199"/>
      <c r="D129" s="167" t="str">
        <f>IF($C129="","",VLOOKUP($C129,RatingList!$A:$E,3,FALSE))</f>
        <v/>
      </c>
      <c r="E129" s="170" t="str">
        <f>IF($C129="","",VLOOKUP($C129,RatingList!$A:$E,4,FALSE))</f>
        <v/>
      </c>
      <c r="F129" s="200" t="str">
        <f>IF($C129="","",IF(ISERROR(VLOOKUP($C129,RatingList!$A:$E,5,FALSE)),"",IF(VLOOKUP($C129,RatingList!$A:$E,5,FALSE)=0,"",VLOOKUP($C129,RatingList!$A:$E,5,FALSE))))</f>
        <v/>
      </c>
      <c r="G129" s="67" t="str">
        <f t="shared" si="71"/>
        <v/>
      </c>
      <c r="H129" s="143" t="str">
        <f t="shared" si="70"/>
        <v>L5</v>
      </c>
      <c r="I129" s="153" t="str">
        <f t="shared" si="38"/>
        <v/>
      </c>
      <c r="S129" s="142" t="str">
        <f t="shared" si="72"/>
        <v>(L)</v>
      </c>
      <c r="T129" s="142" t="str">
        <f t="shared" si="73"/>
        <v>L5</v>
      </c>
    </row>
    <row r="130" spans="1:20">
      <c r="A130" s="59" t="s">
        <v>1220</v>
      </c>
      <c r="B130" s="69" t="str">
        <f>IF($C130="","",VLOOKUP($C130,RatingList!$A:$E,2,FALSE))</f>
        <v/>
      </c>
      <c r="C130" s="199"/>
      <c r="D130" s="167" t="str">
        <f>IF($C130="","",VLOOKUP($C130,RatingList!$A:$E,3,FALSE))</f>
        <v/>
      </c>
      <c r="E130" s="170" t="str">
        <f>IF($C130="","",VLOOKUP($C130,RatingList!$A:$E,4,FALSE))</f>
        <v/>
      </c>
      <c r="F130" s="200" t="str">
        <f>IF($C130="","",IF(ISERROR(VLOOKUP($C130,RatingList!$A:$E,5,FALSE)),"",IF(VLOOKUP($C130,RatingList!$A:$E,5,FALSE)=0,"",VLOOKUP($C130,RatingList!$A:$E,5,FALSE))))</f>
        <v/>
      </c>
      <c r="G130" s="67" t="str">
        <f t="shared" si="71"/>
        <v/>
      </c>
      <c r="H130" s="143" t="str">
        <f t="shared" si="70"/>
        <v>L6</v>
      </c>
      <c r="I130" s="153" t="str">
        <f t="shared" si="38"/>
        <v/>
      </c>
      <c r="S130" s="142" t="str">
        <f t="shared" si="72"/>
        <v>(L)</v>
      </c>
      <c r="T130" s="142" t="str">
        <f t="shared" si="73"/>
        <v>L6</v>
      </c>
    </row>
    <row r="131" spans="1:20">
      <c r="A131" s="59" t="s">
        <v>1221</v>
      </c>
      <c r="B131" s="69" t="str">
        <f>IF($C131="","",VLOOKUP($C131,RatingList!$A:$E,2,FALSE))</f>
        <v/>
      </c>
      <c r="C131" s="199"/>
      <c r="D131" s="167" t="str">
        <f>IF($C131="","",VLOOKUP($C131,RatingList!$A:$E,3,FALSE))</f>
        <v/>
      </c>
      <c r="E131" s="170" t="str">
        <f>IF($C131="","",VLOOKUP($C131,RatingList!$A:$E,4,FALSE))</f>
        <v/>
      </c>
      <c r="F131" s="200" t="str">
        <f>IF($C131="","",IF(ISERROR(VLOOKUP($C131,RatingList!$A:$E,5,FALSE)),"",IF(VLOOKUP($C131,RatingList!$A:$E,5,FALSE)=0,"",VLOOKUP($C131,RatingList!$A:$E,5,FALSE))))</f>
        <v/>
      </c>
      <c r="G131" s="67" t="str">
        <f t="shared" si="71"/>
        <v/>
      </c>
      <c r="H131" s="143" t="str">
        <f t="shared" si="70"/>
        <v>L7</v>
      </c>
      <c r="I131" s="153" t="str">
        <f t="shared" si="38"/>
        <v/>
      </c>
      <c r="S131" s="142" t="str">
        <f t="shared" si="72"/>
        <v>(L)</v>
      </c>
      <c r="T131" s="142" t="str">
        <f t="shared" si="73"/>
        <v>L7</v>
      </c>
    </row>
    <row r="132" spans="1:20" ht="13.5" thickBot="1">
      <c r="A132" s="64" t="s">
        <v>1222</v>
      </c>
      <c r="B132" s="70" t="str">
        <f>IF($C132="","",VLOOKUP($C132,RatingList!$A:$E,2,FALSE))</f>
        <v/>
      </c>
      <c r="C132" s="201"/>
      <c r="D132" s="168" t="str">
        <f>IF($C132="","",VLOOKUP($C132,RatingList!$A:$E,3,FALSE))</f>
        <v/>
      </c>
      <c r="E132" s="168" t="str">
        <f>IF($C132="","",VLOOKUP($C132,RatingList!$A:$E,4,FALSE))</f>
        <v/>
      </c>
      <c r="F132" s="202" t="str">
        <f>IF($C132="","",IF(ISERROR(VLOOKUP($C132,RatingList!$A:$E,5,FALSE)),"",IF(VLOOKUP($C132,RatingList!$A:$E,5,FALSE)=0,"",VLOOKUP($C132,RatingList!$A:$E,5,FALSE))))</f>
        <v/>
      </c>
      <c r="G132" s="67" t="str">
        <f t="shared" si="71"/>
        <v/>
      </c>
      <c r="H132" s="143" t="str">
        <f t="shared" si="70"/>
        <v>L8</v>
      </c>
      <c r="I132" s="153" t="str">
        <f t="shared" si="38"/>
        <v/>
      </c>
      <c r="S132" s="142" t="str">
        <f t="shared" si="72"/>
        <v>(L)</v>
      </c>
      <c r="T132" s="142" t="str">
        <f t="shared" si="73"/>
        <v>L8</v>
      </c>
    </row>
    <row r="133" spans="1:20">
      <c r="G133" s="166"/>
      <c r="M133" s="166"/>
    </row>
  </sheetData>
  <sheetProtection sheet="1" objects="1" scenarios="1"/>
  <mergeCells count="14">
    <mergeCell ref="B123:D123"/>
    <mergeCell ref="B68:D68"/>
    <mergeCell ref="B79:D79"/>
    <mergeCell ref="M1:N1"/>
    <mergeCell ref="B2:D2"/>
    <mergeCell ref="B13:D13"/>
    <mergeCell ref="B112:D112"/>
    <mergeCell ref="B90:D90"/>
    <mergeCell ref="B101:D101"/>
    <mergeCell ref="B24:D24"/>
    <mergeCell ref="M2:N2"/>
    <mergeCell ref="B35:D35"/>
    <mergeCell ref="B46:D46"/>
    <mergeCell ref="B57:D57"/>
  </mergeCells>
  <phoneticPr fontId="1" type="noConversion"/>
  <dataValidations xWindow="495" yWindow="236" count="2">
    <dataValidation type="custom" allowBlank="1" showInputMessage="1" showErrorMessage="1" errorTitle="Team Type" error="Valid entries are &quot;C&quot;, &quot;W&quot;, or &quot;JV&quot;" promptTitle="Valid Team Types" prompt="Valid entries are &quot;C&quot; for Coed, &quot;W&quot; for Women, and &quot;JV&quot; for Junior Varsity." sqref="E13 E24 E35 E46 E57 E68 E79 E90 E101 E112 E123 E2">
      <formula1>OR($E2="C",$E2="W",$E2="JV")</formula1>
    </dataValidation>
    <dataValidation type="custom" allowBlank="1" showInputMessage="1" showErrorMessage="1" errorTitle="Gender" error="Validate entries are &quot;M&quot; for Male or &quot;F&quot; for Female." promptTitle="Gender" prompt="Enter &quot;M&quot; for Male or &quot;F&quot; for Female." sqref="E103:E110 E4:E11 E114:E121 E15:E22 E26:E33 E37:E44 E48:E55 E59:E66 E70:E77 E81:E88 E92:E99 E125:E132">
      <formula1>OR($E4="M",$E4="F")</formula1>
    </dataValidation>
  </dataValidations>
  <printOptions horizontalCentered="1"/>
  <pageMargins left="0.5" right="0.25" top="0.5" bottom="0.5" header="0.5" footer="0.5"/>
  <pageSetup orientation="portrait" r:id="rId1"/>
  <headerFooter alignWithMargins="0"/>
  <rowBreaks count="2" manualBreakCount="2">
    <brk id="45" max="16383" man="1"/>
    <brk id="89" max="16383" man="1"/>
  </rowBreaks>
  <colBreaks count="1" manualBreakCount="1">
    <brk id="6" max="1048575" man="1"/>
  </colBreaks>
</worksheet>
</file>

<file path=xl/worksheets/sheet3.xml><?xml version="1.0" encoding="utf-8"?>
<worksheet xmlns="http://schemas.openxmlformats.org/spreadsheetml/2006/main" xmlns:r="http://schemas.openxmlformats.org/officeDocument/2006/relationships">
  <sheetPr codeName="Sheet3"/>
  <dimension ref="A1:L4488"/>
  <sheetViews>
    <sheetView zoomScaleNormal="100" workbookViewId="0">
      <selection activeCell="K1" sqref="K1"/>
    </sheetView>
  </sheetViews>
  <sheetFormatPr defaultRowHeight="12.75"/>
  <cols>
    <col min="1" max="1" width="7.7109375" customWidth="1"/>
    <col min="6" max="6" width="10.28515625" customWidth="1"/>
    <col min="8" max="9" width="8.7109375" customWidth="1"/>
  </cols>
  <sheetData>
    <row r="1" spans="1:12" ht="15.75">
      <c r="A1" s="42" t="s">
        <v>1223</v>
      </c>
      <c r="B1" s="43"/>
      <c r="C1" s="43"/>
      <c r="D1" s="43"/>
      <c r="E1" s="43"/>
      <c r="F1" s="43"/>
      <c r="G1" s="43"/>
      <c r="H1" s="43"/>
      <c r="I1" s="43"/>
      <c r="J1" s="96" t="s">
        <v>4218</v>
      </c>
    </row>
    <row r="2" spans="1:12" ht="12.75" customHeight="1">
      <c r="A2" s="42"/>
      <c r="B2" s="43"/>
      <c r="C2" s="43"/>
      <c r="D2" s="43"/>
      <c r="E2" s="43"/>
      <c r="F2" s="43"/>
      <c r="G2" s="43" t="str">
        <f ca="1">Team_Matches!$J$6</f>
        <v>[NCTTA Teams Template (v2.06).xlsx]</v>
      </c>
      <c r="H2" s="43"/>
      <c r="I2" s="43"/>
      <c r="J2" s="160"/>
    </row>
    <row r="3" spans="1:12" ht="12.75" customHeight="1">
      <c r="A3" s="42"/>
      <c r="B3" s="43"/>
      <c r="C3" s="43"/>
      <c r="D3" s="43"/>
      <c r="E3" s="43"/>
      <c r="F3" s="43"/>
      <c r="G3" s="247" t="str">
        <f>Team_Matches!$J7</f>
        <v>Round 1, Match 1</v>
      </c>
      <c r="H3" s="247"/>
      <c r="I3" s="161" t="str">
        <f>Team_Matches!$M7</f>
        <v/>
      </c>
      <c r="J3" s="161"/>
    </row>
    <row r="4" spans="1:12" ht="15.75">
      <c r="A4" s="42"/>
      <c r="B4" s="43"/>
      <c r="C4" s="43"/>
      <c r="D4" s="43"/>
      <c r="E4" s="43"/>
      <c r="F4" s="43"/>
      <c r="G4" s="43"/>
      <c r="H4" s="43"/>
      <c r="I4" s="43"/>
      <c r="J4" s="43"/>
    </row>
    <row r="5" spans="1:12">
      <c r="A5" s="43"/>
      <c r="B5" s="43"/>
      <c r="C5" s="9" t="s">
        <v>1228</v>
      </c>
      <c r="D5" s="52" t="str">
        <f>Team_Matches!$B9</f>
        <v>A</v>
      </c>
      <c r="E5" s="43"/>
      <c r="F5" s="97" t="str">
        <f>CONCATENATE($D5,"-","-",$I5)</f>
        <v>A--C</v>
      </c>
      <c r="G5" s="43"/>
      <c r="H5" s="9" t="s">
        <v>1228</v>
      </c>
      <c r="I5" s="3" t="str">
        <f>Team_Matches!$K9</f>
        <v>C</v>
      </c>
      <c r="J5" s="43"/>
    </row>
    <row r="6" spans="1:12" ht="25.5" customHeight="1">
      <c r="A6" s="44"/>
      <c r="B6" s="248" t="str">
        <f>IF(VLOOKUP($D5,Draw!$A$4:$B$27,2)&lt;&gt;0,VLOOKUP($D5,Draw!$A$4:$B$27,2),"")</f>
        <v/>
      </c>
      <c r="C6" s="248"/>
      <c r="D6" s="248"/>
      <c r="E6" s="249"/>
      <c r="F6" s="45"/>
      <c r="G6" s="252" t="str">
        <f>IF(VLOOKUP($I5,Draw!$A$4:$B$27,2)&lt;&gt;0,VLOOKUP($I5,Draw!$A$4:$B$27,2),"")</f>
        <v/>
      </c>
      <c r="H6" s="252"/>
      <c r="I6" s="252"/>
      <c r="J6" s="253"/>
    </row>
    <row r="7" spans="1:12" ht="25.5" customHeight="1"/>
    <row r="8" spans="1:12" ht="25.5" customHeight="1"/>
    <row r="9" spans="1:12" ht="24" customHeight="1">
      <c r="A9" s="48" t="s">
        <v>1246</v>
      </c>
      <c r="B9" s="43"/>
      <c r="C9" s="43"/>
      <c r="D9" s="43"/>
      <c r="E9" s="43"/>
      <c r="F9" s="43"/>
      <c r="G9" s="43"/>
      <c r="H9" s="43"/>
      <c r="I9" s="43"/>
      <c r="J9" s="43"/>
    </row>
    <row r="10" spans="1:12" ht="24" customHeight="1">
      <c r="A10" s="48"/>
      <c r="B10" s="43"/>
      <c r="C10" s="43"/>
      <c r="D10" s="43"/>
      <c r="E10" s="43"/>
      <c r="F10" s="43"/>
      <c r="G10" s="43"/>
      <c r="H10" s="43"/>
      <c r="I10" s="43"/>
      <c r="J10" s="43"/>
    </row>
    <row r="11" spans="1:12">
      <c r="A11" s="49" t="s">
        <v>1224</v>
      </c>
      <c r="B11" s="46"/>
      <c r="C11" s="46"/>
      <c r="D11" s="46"/>
      <c r="E11" s="46"/>
      <c r="F11" s="46"/>
      <c r="G11" s="260" t="s">
        <v>10336</v>
      </c>
      <c r="H11" s="260"/>
      <c r="I11" s="260"/>
      <c r="J11" s="260"/>
    </row>
    <row r="12" spans="1:12" ht="24" customHeight="1">
      <c r="A12" s="50" t="str">
        <f>CONCATENATE($D5,"1")</f>
        <v>A1</v>
      </c>
      <c r="B12" s="255" t="str">
        <f>IF(VLOOKUP($A12,Players!$A$2:$C$132,3)&lt;&gt;0,VLOOKUP($A12,Players!$A$2:$C$132,3),"")</f>
        <v/>
      </c>
      <c r="C12" s="255"/>
      <c r="D12" s="255"/>
      <c r="E12" s="255"/>
      <c r="F12" s="255"/>
      <c r="G12" s="254" t="str">
        <f>IF(VLOOKUP($I5&amp;RIGHT($A12,1),Players!$A$2:$D$132,3)&lt;&gt;0,VLOOKUP($I5&amp;RIGHT($A12,1),Players!$A$2:$D$132,3),"")</f>
        <v/>
      </c>
      <c r="H12" s="254"/>
      <c r="I12" s="254"/>
      <c r="J12" s="210" t="str">
        <f>IF(VLOOKUP($I5&amp;RIGHT($A12,1),Players!$A$2:$D$132,3)&lt;&gt;0,"("&amp;VLOOKUP($I5&amp;RIGHT($A12,1),Players!$A$2:$D$132,4)&amp;")","")</f>
        <v/>
      </c>
      <c r="L12" s="208"/>
    </row>
    <row r="13" spans="1:12" ht="25.5" customHeight="1">
      <c r="A13" s="50" t="str">
        <f>CONCATENATE($D5,"2")</f>
        <v>A2</v>
      </c>
      <c r="B13" s="255" t="str">
        <f>IF(VLOOKUP($A13,Players!$A$2:$C$132,3)&lt;&gt;0,VLOOKUP($A13,Players!$A$2:$C$132,3),"")</f>
        <v/>
      </c>
      <c r="C13" s="255"/>
      <c r="D13" s="255"/>
      <c r="E13" s="255"/>
      <c r="F13" s="255"/>
      <c r="G13" s="254" t="str">
        <f>IF(VLOOKUP($I5&amp;RIGHT($A13,1),Players!$A$2:$D$132,3)&lt;&gt;0,VLOOKUP($I5&amp;RIGHT($A13,1),Players!$A$2:$D$132,3),"")</f>
        <v/>
      </c>
      <c r="H13" s="254"/>
      <c r="I13" s="254"/>
      <c r="J13" s="210" t="str">
        <f>IF(VLOOKUP($I5&amp;RIGHT($A13,1),Players!$A$2:$D$132,3)&lt;&gt;0,"("&amp;VLOOKUP($I5&amp;RIGHT($A13,1),Players!$A$2:$D$132,4)&amp;")","")</f>
        <v/>
      </c>
    </row>
    <row r="14" spans="1:12" ht="25.5" customHeight="1">
      <c r="A14" s="50" t="str">
        <f>CONCATENATE($D5,"3")</f>
        <v>A3</v>
      </c>
      <c r="B14" s="255" t="str">
        <f>IF(VLOOKUP($A14,Players!$A$2:$C$132,3)&lt;&gt;0,VLOOKUP($A14,Players!$A$2:$C$132,3),"")</f>
        <v/>
      </c>
      <c r="C14" s="255"/>
      <c r="D14" s="255"/>
      <c r="E14" s="255"/>
      <c r="F14" s="255"/>
      <c r="G14" s="254" t="str">
        <f>IF(VLOOKUP($I5&amp;RIGHT($A14,1),Players!$A$2:$D$132,3)&lt;&gt;0,VLOOKUP($I5&amp;RIGHT($A14,1),Players!$A$2:$D$132,3),"")</f>
        <v/>
      </c>
      <c r="H14" s="254"/>
      <c r="I14" s="254"/>
      <c r="J14" s="210" t="str">
        <f>IF(VLOOKUP($I5&amp;RIGHT($A14,1),Players!$A$2:$D$132,3)&lt;&gt;0,"("&amp;VLOOKUP($I5&amp;RIGHT($A14,1),Players!$A$2:$D$132,4)&amp;")","")</f>
        <v/>
      </c>
    </row>
    <row r="15" spans="1:12" ht="25.5" customHeight="1">
      <c r="A15" s="50" t="str">
        <f>CONCATENATE($D5,"4")</f>
        <v>A4</v>
      </c>
      <c r="B15" s="255" t="str">
        <f>IF(VLOOKUP($A15,Players!$A$2:$C$132,3)&lt;&gt;0,VLOOKUP($A15,Players!$A$2:$C$132,3),"")</f>
        <v/>
      </c>
      <c r="C15" s="255"/>
      <c r="D15" s="255"/>
      <c r="E15" s="255"/>
      <c r="F15" s="255"/>
      <c r="G15" s="254" t="str">
        <f>IF(VLOOKUP($I5&amp;RIGHT($A15,1),Players!$A$2:$D$132,3)&lt;&gt;0,VLOOKUP($I5&amp;RIGHT($A15,1),Players!$A$2:$D$132,3),"")</f>
        <v/>
      </c>
      <c r="H15" s="254"/>
      <c r="I15" s="254"/>
      <c r="J15" s="210" t="str">
        <f>IF(VLOOKUP($I5&amp;RIGHT($A15,1),Players!$A$2:$D$132,3)&lt;&gt;0,"("&amp;VLOOKUP($I5&amp;RIGHT($A15,1),Players!$A$2:$D$132,4)&amp;")","")</f>
        <v/>
      </c>
    </row>
    <row r="16" spans="1:12" ht="25.5" customHeight="1">
      <c r="A16" s="50" t="str">
        <f>CONCATENATE($D5,"5")</f>
        <v>A5</v>
      </c>
      <c r="B16" s="255" t="str">
        <f>IF(VLOOKUP($A16,Players!$A$2:$C$132,3)&lt;&gt;0,VLOOKUP($A16,Players!$A$2:$C$132,3),"")</f>
        <v/>
      </c>
      <c r="C16" s="255"/>
      <c r="D16" s="255"/>
      <c r="E16" s="255"/>
      <c r="F16" s="255"/>
      <c r="G16" s="254" t="str">
        <f>IF(VLOOKUP($I5&amp;RIGHT($A16,1),Players!$A$2:$D$132,3)&lt;&gt;0,VLOOKUP($I5&amp;RIGHT($A16,1),Players!$A$2:$D$132,3),"")</f>
        <v/>
      </c>
      <c r="H16" s="254"/>
      <c r="I16" s="254"/>
      <c r="J16" s="210" t="str">
        <f>IF(VLOOKUP($I5&amp;RIGHT($A16,1),Players!$A$2:$D$132,3)&lt;&gt;0,"("&amp;VLOOKUP($I5&amp;RIGHT($A16,1),Players!$A$2:$D$132,4)&amp;")","")</f>
        <v/>
      </c>
    </row>
    <row r="17" spans="1:10" ht="25.5" customHeight="1">
      <c r="A17" s="50" t="str">
        <f>CONCATENATE($D5,"6")</f>
        <v>A6</v>
      </c>
      <c r="B17" s="255" t="str">
        <f>IF(VLOOKUP($A17,Players!$A$2:$C$132,3)&lt;&gt;0,VLOOKUP($A17,Players!$A$2:$C$132,3),"")</f>
        <v/>
      </c>
      <c r="C17" s="255"/>
      <c r="D17" s="255"/>
      <c r="E17" s="255"/>
      <c r="F17" s="255"/>
      <c r="G17" s="254" t="str">
        <f>IF(VLOOKUP($I5&amp;RIGHT($A17,1),Players!$A$2:$D$132,3)&lt;&gt;0,VLOOKUP($I5&amp;RIGHT($A17,1),Players!$A$2:$D$132,3),"")</f>
        <v/>
      </c>
      <c r="H17" s="254"/>
      <c r="I17" s="254"/>
      <c r="J17" s="210" t="str">
        <f>IF(VLOOKUP($I5&amp;RIGHT($A17,1),Players!$A$2:$D$132,3)&lt;&gt;0,"("&amp;VLOOKUP($I5&amp;RIGHT($A17,1),Players!$A$2:$D$132,4)&amp;")","")</f>
        <v/>
      </c>
    </row>
    <row r="18" spans="1:10" ht="25.5" customHeight="1">
      <c r="A18" s="50" t="str">
        <f>CONCATENATE($D5,"7")</f>
        <v>A7</v>
      </c>
      <c r="B18" s="255" t="str">
        <f>IF(VLOOKUP($A18,Players!$A$2:$C$132,3)&lt;&gt;0,VLOOKUP($A18,Players!$A$2:$C$132,3),"")</f>
        <v/>
      </c>
      <c r="C18" s="255"/>
      <c r="D18" s="255"/>
      <c r="E18" s="255"/>
      <c r="F18" s="255"/>
      <c r="G18" s="254" t="str">
        <f>IF(VLOOKUP($I5&amp;RIGHT($A18,1),Players!$A$2:$D$132,3)&lt;&gt;0,VLOOKUP($I5&amp;RIGHT($A18,1),Players!$A$2:$D$132,3),"")</f>
        <v/>
      </c>
      <c r="H18" s="254"/>
      <c r="I18" s="254"/>
      <c r="J18" s="210" t="str">
        <f>IF(VLOOKUP($I5&amp;RIGHT($A18,1),Players!$A$2:$D$132,3)&lt;&gt;0,"("&amp;VLOOKUP($I5&amp;RIGHT($A18,1),Players!$A$2:$D$132,4)&amp;")","")</f>
        <v/>
      </c>
    </row>
    <row r="19" spans="1:10" ht="25.5" customHeight="1">
      <c r="A19" s="50" t="str">
        <f>CONCATENATE($D5,"8")</f>
        <v>A8</v>
      </c>
      <c r="B19" s="255" t="str">
        <f>IF(VLOOKUP($A19,Players!$A$2:$C$132,3)&lt;&gt;0,VLOOKUP($A19,Players!$A$2:$C$132,3),"")</f>
        <v/>
      </c>
      <c r="C19" s="255"/>
      <c r="D19" s="255"/>
      <c r="E19" s="255"/>
      <c r="F19" s="255"/>
      <c r="G19" s="254" t="str">
        <f>IF(VLOOKUP($I5&amp;RIGHT($A19,1),Players!$A$2:$D$132,3)&lt;&gt;0,VLOOKUP($I5&amp;RIGHT($A19,1),Players!$A$2:$D$132,3),"")</f>
        <v/>
      </c>
      <c r="H19" s="254"/>
      <c r="I19" s="254"/>
      <c r="J19" s="210" t="str">
        <f>IF(VLOOKUP($I5&amp;RIGHT($A19,1),Players!$A$2:$D$132,3)&lt;&gt;0,"("&amp;VLOOKUP($I5&amp;RIGHT($A19,1),Players!$A$2:$D$132,4)&amp;")","")</f>
        <v/>
      </c>
    </row>
    <row r="20" spans="1:10" ht="25.5" customHeight="1">
      <c r="A20" s="50"/>
      <c r="B20" s="26"/>
      <c r="C20" s="26"/>
      <c r="D20" s="26"/>
      <c r="E20" s="26"/>
      <c r="F20" s="27"/>
      <c r="G20" s="43"/>
      <c r="H20" s="43"/>
      <c r="I20" s="43"/>
      <c r="J20" s="43"/>
    </row>
    <row r="21" spans="1:10">
      <c r="A21" s="49" t="s">
        <v>1225</v>
      </c>
      <c r="B21" s="46"/>
      <c r="C21" s="46"/>
      <c r="D21" s="46"/>
      <c r="E21" s="46"/>
      <c r="F21" s="46"/>
      <c r="G21" s="43"/>
      <c r="H21" s="43"/>
      <c r="I21" s="43"/>
      <c r="J21" s="43"/>
    </row>
    <row r="22" spans="1:10">
      <c r="A22" s="46" t="s">
        <v>1247</v>
      </c>
      <c r="B22" s="46"/>
      <c r="C22" s="46"/>
      <c r="D22" s="46"/>
      <c r="E22" s="46"/>
      <c r="F22" s="46"/>
      <c r="G22" s="43"/>
      <c r="H22" s="43"/>
      <c r="I22" s="43"/>
      <c r="J22" s="43"/>
    </row>
    <row r="23" spans="1:10">
      <c r="A23" s="46" t="s">
        <v>1248</v>
      </c>
      <c r="B23" s="46"/>
      <c r="C23" s="46"/>
      <c r="D23" s="46"/>
      <c r="E23" s="46"/>
      <c r="F23" s="46"/>
      <c r="G23" s="43"/>
      <c r="H23" s="43"/>
      <c r="I23" s="43"/>
      <c r="J23" s="43"/>
    </row>
    <row r="24" spans="1:10" ht="13.5" thickBot="1">
      <c r="A24" s="46"/>
      <c r="B24" s="46"/>
      <c r="C24" s="46"/>
      <c r="D24" s="46"/>
      <c r="E24" s="46"/>
      <c r="F24" s="46"/>
      <c r="G24" s="43"/>
      <c r="H24" s="43"/>
      <c r="I24" s="43"/>
      <c r="J24" s="43"/>
    </row>
    <row r="25" spans="1:10" ht="25.5" customHeight="1" thickBot="1">
      <c r="A25" s="50"/>
      <c r="B25" s="257"/>
      <c r="C25" s="258"/>
      <c r="D25" s="258"/>
      <c r="E25" s="258"/>
      <c r="F25" s="259"/>
      <c r="G25" s="43"/>
      <c r="H25" s="43"/>
      <c r="I25" s="43"/>
      <c r="J25" s="43"/>
    </row>
    <row r="26" spans="1:10">
      <c r="A26" s="43"/>
      <c r="B26" s="43"/>
      <c r="C26" s="43"/>
      <c r="D26" s="43"/>
      <c r="E26" s="43"/>
      <c r="F26" s="43"/>
      <c r="G26" s="43"/>
      <c r="H26" s="43"/>
      <c r="I26" s="43"/>
      <c r="J26" s="43"/>
    </row>
    <row r="27" spans="1:10">
      <c r="A27" s="43"/>
      <c r="B27" s="43"/>
      <c r="C27" s="43"/>
      <c r="D27" s="43"/>
      <c r="E27" s="43"/>
      <c r="F27" s="43"/>
      <c r="G27" s="43"/>
      <c r="H27" s="43"/>
      <c r="I27" s="43"/>
      <c r="J27" s="43"/>
    </row>
    <row r="28" spans="1:10">
      <c r="A28" s="43"/>
      <c r="B28" s="43"/>
      <c r="C28" s="43"/>
      <c r="D28" s="43"/>
      <c r="E28" s="43"/>
      <c r="F28" s="43"/>
      <c r="G28" s="43"/>
      <c r="H28" s="43"/>
      <c r="I28" s="43"/>
      <c r="J28" s="43"/>
    </row>
    <row r="29" spans="1:10">
      <c r="A29" s="43"/>
      <c r="B29" s="43"/>
      <c r="C29" s="43"/>
      <c r="D29" s="43"/>
      <c r="E29" s="43"/>
      <c r="F29" s="43"/>
      <c r="G29" s="43"/>
      <c r="H29" s="43"/>
      <c r="I29" s="43"/>
      <c r="J29" s="43"/>
    </row>
    <row r="30" spans="1:10">
      <c r="A30" s="43"/>
      <c r="B30" s="43"/>
      <c r="C30" s="43"/>
      <c r="D30" s="43"/>
      <c r="E30" s="43"/>
      <c r="F30" s="43"/>
      <c r="G30" s="43"/>
      <c r="H30" s="43"/>
      <c r="I30" s="43"/>
      <c r="J30" s="43"/>
    </row>
    <row r="31" spans="1:10" ht="25.5" customHeight="1">
      <c r="A31" s="47"/>
      <c r="B31" s="47"/>
      <c r="C31" s="47"/>
      <c r="D31" s="47"/>
      <c r="E31" s="47"/>
      <c r="F31" s="43"/>
      <c r="G31" s="51"/>
      <c r="H31" s="250" t="s">
        <v>1227</v>
      </c>
      <c r="I31" s="251"/>
      <c r="J31" s="43"/>
    </row>
    <row r="32" spans="1:10">
      <c r="A32" s="43" t="s">
        <v>1226</v>
      </c>
      <c r="B32" s="43"/>
      <c r="C32" s="43"/>
      <c r="D32" s="43"/>
      <c r="E32" s="43"/>
      <c r="F32" s="43"/>
      <c r="G32" s="43"/>
      <c r="H32" s="43"/>
      <c r="I32" s="43"/>
      <c r="J32" s="43"/>
    </row>
    <row r="33" spans="1:10">
      <c r="A33" s="43"/>
      <c r="B33" s="43"/>
      <c r="C33" s="43"/>
      <c r="D33" s="43"/>
      <c r="E33" s="43"/>
      <c r="F33" s="43"/>
      <c r="G33" s="43"/>
      <c r="H33" s="43"/>
      <c r="I33" s="43"/>
      <c r="J33" s="43"/>
    </row>
    <row r="34" spans="1:10">
      <c r="A34" s="43"/>
      <c r="B34" s="43"/>
      <c r="C34" s="43"/>
      <c r="D34" s="43"/>
      <c r="E34" s="256" t="str">
        <f>CONCATENATE("(",$D5," vs ",$I5,")")</f>
        <v>(A vs C)</v>
      </c>
      <c r="F34" s="256"/>
      <c r="G34" s="43"/>
      <c r="H34" s="43"/>
      <c r="I34" s="43"/>
      <c r="J34" s="43"/>
    </row>
    <row r="35" spans="1:10" ht="15.75">
      <c r="A35" s="42" t="s">
        <v>1223</v>
      </c>
      <c r="B35" s="43"/>
      <c r="C35" s="43"/>
      <c r="D35" s="43"/>
      <c r="E35" s="43"/>
      <c r="F35" s="43"/>
      <c r="G35" s="43"/>
      <c r="H35" s="43"/>
      <c r="I35" s="43"/>
      <c r="J35" s="96" t="s">
        <v>4220</v>
      </c>
    </row>
    <row r="36" spans="1:10" ht="12.75" customHeight="1">
      <c r="A36" s="42"/>
      <c r="B36" s="43"/>
      <c r="C36" s="43"/>
      <c r="D36" s="43"/>
      <c r="E36" s="43"/>
      <c r="F36" s="43"/>
      <c r="G36" s="43" t="str">
        <f ca="1">Team_Matches!$J$6</f>
        <v>[NCTTA Teams Template (v2.06).xlsx]</v>
      </c>
      <c r="H36" s="43"/>
      <c r="I36" s="43"/>
      <c r="J36" s="160"/>
    </row>
    <row r="37" spans="1:10" ht="12.75" customHeight="1">
      <c r="A37" s="42"/>
      <c r="B37" s="43"/>
      <c r="C37" s="43"/>
      <c r="D37" s="43"/>
      <c r="E37" s="43"/>
      <c r="F37" s="43"/>
      <c r="G37" s="247" t="str">
        <f>Team_Matches!$J7</f>
        <v>Round 1, Match 1</v>
      </c>
      <c r="H37" s="247"/>
      <c r="I37" s="161" t="str">
        <f>Team_Matches!$M7</f>
        <v/>
      </c>
      <c r="J37" s="161"/>
    </row>
    <row r="38" spans="1:10" ht="15.75">
      <c r="A38" s="42"/>
      <c r="B38" s="43"/>
      <c r="C38" s="43"/>
      <c r="D38" s="43"/>
      <c r="E38" s="43"/>
      <c r="F38" s="43"/>
      <c r="G38" s="43"/>
      <c r="H38" s="43"/>
      <c r="I38" s="43"/>
      <c r="J38" s="43"/>
    </row>
    <row r="39" spans="1:10">
      <c r="A39" s="43"/>
      <c r="B39" s="43"/>
      <c r="C39" s="9" t="s">
        <v>1228</v>
      </c>
      <c r="D39" s="3" t="str">
        <f>Team_Matches!$B9</f>
        <v>A</v>
      </c>
      <c r="E39" s="43"/>
      <c r="F39" s="97" t="str">
        <f>CONCATENATE($D39,"-","-",$I39)</f>
        <v>A--C</v>
      </c>
      <c r="G39" s="43"/>
      <c r="H39" s="9" t="s">
        <v>1228</v>
      </c>
      <c r="I39" s="52" t="str">
        <f>Team_Matches!$K9</f>
        <v>C</v>
      </c>
      <c r="J39" s="43"/>
    </row>
    <row r="40" spans="1:10" ht="25.5" customHeight="1">
      <c r="A40" s="44"/>
      <c r="B40" s="252" t="str">
        <f>IF(VLOOKUP($D39,Draw!$A$4:$B$27,2)&lt;&gt;0,VLOOKUP($D39,Draw!$A$4:$B$27,2),"")</f>
        <v/>
      </c>
      <c r="C40" s="252"/>
      <c r="D40" s="252"/>
      <c r="E40" s="253"/>
      <c r="F40" s="45"/>
      <c r="G40" s="248" t="str">
        <f>IF(VLOOKUP($I39,Draw!$A$4:$B$27,2)&lt;&gt;0,VLOOKUP($I39,Draw!$A$4:$B$27,2),"")</f>
        <v/>
      </c>
      <c r="H40" s="248"/>
      <c r="I40" s="248"/>
      <c r="J40" s="249"/>
    </row>
    <row r="41" spans="1:10" ht="25.5" customHeight="1"/>
    <row r="42" spans="1:10" ht="25.5" customHeight="1"/>
    <row r="43" spans="1:10" ht="24" customHeight="1">
      <c r="A43" s="48" t="s">
        <v>1246</v>
      </c>
      <c r="B43" s="43"/>
      <c r="C43" s="43"/>
      <c r="D43" s="43"/>
      <c r="E43" s="43"/>
      <c r="F43" s="43"/>
      <c r="G43" s="43"/>
      <c r="H43" s="43"/>
      <c r="I43" s="43"/>
      <c r="J43" s="43"/>
    </row>
    <row r="44" spans="1:10" ht="24" customHeight="1">
      <c r="A44" s="48"/>
      <c r="B44" s="43"/>
      <c r="C44" s="43"/>
      <c r="D44" s="43"/>
      <c r="E44" s="43"/>
      <c r="F44" s="43"/>
      <c r="G44" s="43"/>
      <c r="H44" s="43"/>
      <c r="I44" s="43"/>
      <c r="J44" s="43"/>
    </row>
    <row r="45" spans="1:10">
      <c r="A45" s="49" t="s">
        <v>1224</v>
      </c>
      <c r="B45" s="46"/>
      <c r="C45" s="46"/>
      <c r="D45" s="46"/>
      <c r="E45" s="46"/>
      <c r="F45" s="46"/>
      <c r="G45" s="260" t="s">
        <v>10336</v>
      </c>
      <c r="H45" s="260"/>
      <c r="I45" s="260"/>
      <c r="J45" s="260"/>
    </row>
    <row r="46" spans="1:10" ht="24" customHeight="1">
      <c r="A46" s="50" t="str">
        <f>CONCATENATE($I39,"1")</f>
        <v>C1</v>
      </c>
      <c r="B46" s="255" t="str">
        <f>IF(VLOOKUP($A46,Players!$A$2:$C$132,3)&lt;&gt;0,VLOOKUP($A46,Players!$A$2:$C$132,3),"")</f>
        <v/>
      </c>
      <c r="C46" s="255"/>
      <c r="D46" s="255"/>
      <c r="E46" s="255"/>
      <c r="F46" s="255"/>
      <c r="G46" s="254" t="str">
        <f>IF(VLOOKUP($D39&amp;RIGHT($A46,1),Players!$A$2:$D$132,3)&lt;&gt;0,VLOOKUP($D39&amp;RIGHT($A46,1),Players!$A$2:$D$132,3),"")</f>
        <v/>
      </c>
      <c r="H46" s="254"/>
      <c r="I46" s="254"/>
      <c r="J46" s="210" t="str">
        <f>IF(VLOOKUP($D39&amp;RIGHT($A46,1),Players!$A$2:$D$132,3)&lt;&gt;0,"("&amp;VLOOKUP($D39&amp;RIGHT($A46,1),Players!$A$2:$D$132,4)&amp;")","")</f>
        <v/>
      </c>
    </row>
    <row r="47" spans="1:10" ht="25.5" customHeight="1">
      <c r="A47" s="50" t="str">
        <f>CONCATENATE($I39,"2")</f>
        <v>C2</v>
      </c>
      <c r="B47" s="255" t="str">
        <f>IF(VLOOKUP($A47,Players!$A$2:$C$132,3)&lt;&gt;0,VLOOKUP($A47,Players!$A$2:$C$132,3),"")</f>
        <v/>
      </c>
      <c r="C47" s="255"/>
      <c r="D47" s="255"/>
      <c r="E47" s="255"/>
      <c r="F47" s="255"/>
      <c r="G47" s="254" t="str">
        <f>IF(VLOOKUP($D39&amp;RIGHT($A47,1),Players!$A$2:$D$132,3)&lt;&gt;0,VLOOKUP($D39&amp;RIGHT($A47,1),Players!$A$2:$D$132,3),"")</f>
        <v/>
      </c>
      <c r="H47" s="254"/>
      <c r="I47" s="254"/>
      <c r="J47" s="210" t="str">
        <f>IF(VLOOKUP($D39&amp;RIGHT($A47,1),Players!$A$2:$D$132,3)&lt;&gt;0,"("&amp;VLOOKUP($D39&amp;RIGHT($A47,1),Players!$A$2:$D$132,4)&amp;")","")</f>
        <v/>
      </c>
    </row>
    <row r="48" spans="1:10" ht="25.5" customHeight="1">
      <c r="A48" s="50" t="str">
        <f>CONCATENATE($I39,"3")</f>
        <v>C3</v>
      </c>
      <c r="B48" s="255" t="str">
        <f>IF(VLOOKUP($A48,Players!$A$2:$C$132,3)&lt;&gt;0,VLOOKUP($A48,Players!$A$2:$C$132,3),"")</f>
        <v/>
      </c>
      <c r="C48" s="255"/>
      <c r="D48" s="255"/>
      <c r="E48" s="255"/>
      <c r="F48" s="255"/>
      <c r="G48" s="254" t="str">
        <f>IF(VLOOKUP($D39&amp;RIGHT($A48,1),Players!$A$2:$D$132,3)&lt;&gt;0,VLOOKUP($D39&amp;RIGHT($A48,1),Players!$A$2:$D$132,3),"")</f>
        <v/>
      </c>
      <c r="H48" s="254"/>
      <c r="I48" s="254"/>
      <c r="J48" s="210" t="str">
        <f>IF(VLOOKUP($D39&amp;RIGHT($A48,1),Players!$A$2:$D$132,3)&lt;&gt;0,"("&amp;VLOOKUP($D39&amp;RIGHT($A48,1),Players!$A$2:$D$132,4)&amp;")","")</f>
        <v/>
      </c>
    </row>
    <row r="49" spans="1:10" ht="25.5" customHeight="1">
      <c r="A49" s="50" t="str">
        <f>CONCATENATE($I39,"4")</f>
        <v>C4</v>
      </c>
      <c r="B49" s="255" t="str">
        <f>IF(VLOOKUP($A49,Players!$A$2:$C$132,3)&lt;&gt;0,VLOOKUP($A49,Players!$A$2:$C$132,3),"")</f>
        <v/>
      </c>
      <c r="C49" s="255"/>
      <c r="D49" s="255"/>
      <c r="E49" s="255"/>
      <c r="F49" s="255"/>
      <c r="G49" s="254" t="str">
        <f>IF(VLOOKUP($D39&amp;RIGHT($A49,1),Players!$A$2:$D$132,3)&lt;&gt;0,VLOOKUP($D39&amp;RIGHT($A49,1),Players!$A$2:$D$132,3),"")</f>
        <v/>
      </c>
      <c r="H49" s="254"/>
      <c r="I49" s="254"/>
      <c r="J49" s="210" t="str">
        <f>IF(VLOOKUP($D39&amp;RIGHT($A49,1),Players!$A$2:$D$132,3)&lt;&gt;0,"("&amp;VLOOKUP($D39&amp;RIGHT($A49,1),Players!$A$2:$D$132,4)&amp;")","")</f>
        <v/>
      </c>
    </row>
    <row r="50" spans="1:10" ht="25.5" customHeight="1">
      <c r="A50" s="50" t="str">
        <f>CONCATENATE($I39,"5")</f>
        <v>C5</v>
      </c>
      <c r="B50" s="255" t="str">
        <f>IF(VLOOKUP($A50,Players!$A$2:$C$132,3)&lt;&gt;0,VLOOKUP($A50,Players!$A$2:$C$132,3),"")</f>
        <v/>
      </c>
      <c r="C50" s="255"/>
      <c r="D50" s="255"/>
      <c r="E50" s="255"/>
      <c r="F50" s="255"/>
      <c r="G50" s="254" t="str">
        <f>IF(VLOOKUP($D39&amp;RIGHT($A50,1),Players!$A$2:$D$132,3)&lt;&gt;0,VLOOKUP($D39&amp;RIGHT($A50,1),Players!$A$2:$D$132,3),"")</f>
        <v/>
      </c>
      <c r="H50" s="254"/>
      <c r="I50" s="254"/>
      <c r="J50" s="210" t="str">
        <f>IF(VLOOKUP($D39&amp;RIGHT($A50,1),Players!$A$2:$D$132,3)&lt;&gt;0,"("&amp;VLOOKUP($D39&amp;RIGHT($A50,1),Players!$A$2:$D$132,4)&amp;")","")</f>
        <v/>
      </c>
    </row>
    <row r="51" spans="1:10" ht="25.5" customHeight="1">
      <c r="A51" s="50" t="str">
        <f>CONCATENATE($I39,"6")</f>
        <v>C6</v>
      </c>
      <c r="B51" s="255" t="str">
        <f>IF(VLOOKUP($A51,Players!$A$2:$C$132,3)&lt;&gt;0,VLOOKUP($A51,Players!$A$2:$C$132,3),"")</f>
        <v/>
      </c>
      <c r="C51" s="255"/>
      <c r="D51" s="255"/>
      <c r="E51" s="255"/>
      <c r="F51" s="255"/>
      <c r="G51" s="254" t="str">
        <f>IF(VLOOKUP($D39&amp;RIGHT($A51,1),Players!$A$2:$D$132,3)&lt;&gt;0,VLOOKUP($D39&amp;RIGHT($A51,1),Players!$A$2:$D$132,3),"")</f>
        <v/>
      </c>
      <c r="H51" s="254"/>
      <c r="I51" s="254"/>
      <c r="J51" s="210" t="str">
        <f>IF(VLOOKUP($D39&amp;RIGHT($A51,1),Players!$A$2:$D$132,3)&lt;&gt;0,"("&amp;VLOOKUP($D39&amp;RIGHT($A51,1),Players!$A$2:$D$132,4)&amp;")","")</f>
        <v/>
      </c>
    </row>
    <row r="52" spans="1:10" ht="25.5" customHeight="1">
      <c r="A52" s="50" t="str">
        <f>CONCATENATE($I39,"7")</f>
        <v>C7</v>
      </c>
      <c r="B52" s="255" t="str">
        <f>IF(VLOOKUP($A52,Players!$A$2:$C$132,3)&lt;&gt;0,VLOOKUP($A52,Players!$A$2:$C$132,3),"")</f>
        <v/>
      </c>
      <c r="C52" s="255"/>
      <c r="D52" s="255"/>
      <c r="E52" s="255"/>
      <c r="F52" s="255"/>
      <c r="G52" s="254" t="str">
        <f>IF(VLOOKUP($D39&amp;RIGHT($A52,1),Players!$A$2:$D$132,3)&lt;&gt;0,VLOOKUP($D39&amp;RIGHT($A52,1),Players!$A$2:$D$132,3),"")</f>
        <v/>
      </c>
      <c r="H52" s="254"/>
      <c r="I52" s="254"/>
      <c r="J52" s="210" t="str">
        <f>IF(VLOOKUP($D39&amp;RIGHT($A52,1),Players!$A$2:$D$132,3)&lt;&gt;0,"("&amp;VLOOKUP($D39&amp;RIGHT($A52,1),Players!$A$2:$D$132,4)&amp;")","")</f>
        <v/>
      </c>
    </row>
    <row r="53" spans="1:10" ht="25.5" customHeight="1">
      <c r="A53" s="50" t="str">
        <f>CONCATENATE($I39,"8")</f>
        <v>C8</v>
      </c>
      <c r="B53" s="255" t="str">
        <f>IF(VLOOKUP($A53,Players!$A$2:$C$132,3)&lt;&gt;0,VLOOKUP($A53,Players!$A$2:$C$132,3),"")</f>
        <v/>
      </c>
      <c r="C53" s="255"/>
      <c r="D53" s="255"/>
      <c r="E53" s="255"/>
      <c r="F53" s="255"/>
      <c r="G53" s="254" t="str">
        <f>IF(VLOOKUP($D39&amp;RIGHT($A53,1),Players!$A$2:$D$132,3)&lt;&gt;0,VLOOKUP($D39&amp;RIGHT($A53,1),Players!$A$2:$D$132,3),"")</f>
        <v/>
      </c>
      <c r="H53" s="254"/>
      <c r="I53" s="254"/>
      <c r="J53" s="210" t="str">
        <f>IF(VLOOKUP($D39&amp;RIGHT($A53,1),Players!$A$2:$D$132,3)&lt;&gt;0,"("&amp;VLOOKUP($D39&amp;RIGHT($A53,1),Players!$A$2:$D$132,4)&amp;")","")</f>
        <v/>
      </c>
    </row>
    <row r="54" spans="1:10" ht="25.5" customHeight="1">
      <c r="A54" s="50"/>
      <c r="B54" s="26"/>
      <c r="C54" s="26"/>
      <c r="D54" s="26"/>
      <c r="E54" s="26"/>
      <c r="F54" s="27"/>
      <c r="G54" s="43"/>
      <c r="H54" s="43"/>
      <c r="I54" s="43"/>
      <c r="J54" s="43"/>
    </row>
    <row r="55" spans="1:10">
      <c r="A55" s="49" t="s">
        <v>1225</v>
      </c>
      <c r="B55" s="46"/>
      <c r="C55" s="46"/>
      <c r="D55" s="46"/>
      <c r="E55" s="46"/>
      <c r="F55" s="46"/>
      <c r="G55" s="43"/>
      <c r="H55" s="43"/>
      <c r="I55" s="43"/>
      <c r="J55" s="43"/>
    </row>
    <row r="56" spans="1:10">
      <c r="A56" s="46" t="s">
        <v>1247</v>
      </c>
      <c r="B56" s="46"/>
      <c r="C56" s="46"/>
      <c r="D56" s="46"/>
      <c r="E56" s="46"/>
      <c r="F56" s="46"/>
      <c r="G56" s="43"/>
      <c r="H56" s="43"/>
      <c r="I56" s="43"/>
      <c r="J56" s="43"/>
    </row>
    <row r="57" spans="1:10">
      <c r="A57" s="46" t="s">
        <v>1248</v>
      </c>
      <c r="B57" s="46"/>
      <c r="C57" s="46"/>
      <c r="D57" s="46"/>
      <c r="E57" s="46"/>
      <c r="F57" s="46"/>
      <c r="G57" s="43"/>
      <c r="H57" s="43"/>
      <c r="I57" s="43"/>
      <c r="J57" s="43"/>
    </row>
    <row r="58" spans="1:10" ht="13.5" thickBot="1">
      <c r="A58" s="46"/>
      <c r="B58" s="46"/>
      <c r="C58" s="46"/>
      <c r="D58" s="46"/>
      <c r="E58" s="46"/>
      <c r="F58" s="46"/>
      <c r="G58" s="43"/>
      <c r="H58" s="43"/>
      <c r="I58" s="43"/>
      <c r="J58" s="43"/>
    </row>
    <row r="59" spans="1:10" ht="25.5" customHeight="1" thickBot="1">
      <c r="A59" s="50"/>
      <c r="B59" s="257"/>
      <c r="C59" s="258"/>
      <c r="D59" s="258"/>
      <c r="E59" s="258"/>
      <c r="F59" s="259"/>
      <c r="G59" s="43"/>
      <c r="H59" s="43"/>
      <c r="I59" s="43"/>
      <c r="J59" s="43"/>
    </row>
    <row r="60" spans="1:10">
      <c r="A60" s="43"/>
      <c r="B60" s="43"/>
      <c r="C60" s="43"/>
      <c r="D60" s="43"/>
      <c r="E60" s="43"/>
      <c r="F60" s="43"/>
      <c r="G60" s="43"/>
      <c r="H60" s="43"/>
      <c r="I60" s="43"/>
      <c r="J60" s="43"/>
    </row>
    <row r="61" spans="1:10">
      <c r="A61" s="43"/>
      <c r="B61" s="43"/>
      <c r="C61" s="43"/>
      <c r="D61" s="43"/>
      <c r="E61" s="43"/>
      <c r="F61" s="43"/>
      <c r="G61" s="43"/>
      <c r="H61" s="43"/>
      <c r="I61" s="43"/>
      <c r="J61" s="43"/>
    </row>
    <row r="62" spans="1:10">
      <c r="A62" s="43"/>
      <c r="B62" s="43"/>
      <c r="C62" s="43"/>
      <c r="D62" s="43"/>
      <c r="E62" s="43"/>
      <c r="F62" s="43"/>
      <c r="G62" s="43"/>
      <c r="H62" s="43"/>
      <c r="I62" s="43"/>
      <c r="J62" s="43"/>
    </row>
    <row r="63" spans="1:10">
      <c r="A63" s="43"/>
      <c r="B63" s="43"/>
      <c r="C63" s="43"/>
      <c r="D63" s="43"/>
      <c r="E63" s="43"/>
      <c r="F63" s="43"/>
      <c r="G63" s="43"/>
      <c r="H63" s="43"/>
      <c r="I63" s="43"/>
      <c r="J63" s="43"/>
    </row>
    <row r="64" spans="1:10">
      <c r="A64" s="43"/>
      <c r="B64" s="43"/>
      <c r="C64" s="43"/>
      <c r="D64" s="43"/>
      <c r="E64" s="43"/>
      <c r="F64" s="43"/>
      <c r="G64" s="43"/>
      <c r="H64" s="43"/>
      <c r="I64" s="43"/>
      <c r="J64" s="43"/>
    </row>
    <row r="65" spans="1:10" ht="25.5" customHeight="1">
      <c r="A65" s="47"/>
      <c r="B65" s="47"/>
      <c r="C65" s="47"/>
      <c r="D65" s="47"/>
      <c r="E65" s="47"/>
      <c r="F65" s="43"/>
      <c r="G65" s="51"/>
      <c r="H65" s="250" t="s">
        <v>1227</v>
      </c>
      <c r="I65" s="251"/>
      <c r="J65" s="43"/>
    </row>
    <row r="66" spans="1:10">
      <c r="A66" s="43" t="s">
        <v>1226</v>
      </c>
      <c r="B66" s="43"/>
      <c r="C66" s="43"/>
      <c r="D66" s="43"/>
      <c r="E66" s="43"/>
      <c r="F66" s="43"/>
      <c r="G66" s="43"/>
      <c r="H66" s="43"/>
      <c r="I66" s="43"/>
      <c r="J66" s="43"/>
    </row>
    <row r="67" spans="1:10">
      <c r="A67" s="43"/>
      <c r="B67" s="43"/>
      <c r="C67" s="43"/>
      <c r="D67" s="43"/>
      <c r="E67" s="43"/>
      <c r="F67" s="43"/>
      <c r="G67" s="43"/>
      <c r="H67" s="43"/>
      <c r="I67" s="43"/>
      <c r="J67" s="43"/>
    </row>
    <row r="68" spans="1:10">
      <c r="A68" s="43"/>
      <c r="B68" s="43"/>
      <c r="C68" s="43"/>
      <c r="D68" s="43"/>
      <c r="E68" s="256" t="str">
        <f>CONCATENATE("(",$D39," vs ",$I39,")")</f>
        <v>(A vs C)</v>
      </c>
      <c r="F68" s="256"/>
      <c r="G68" s="43"/>
      <c r="H68" s="43"/>
      <c r="I68" s="43"/>
      <c r="J68" s="43"/>
    </row>
    <row r="69" spans="1:10" ht="15.75">
      <c r="A69" s="42" t="s">
        <v>1223</v>
      </c>
      <c r="B69" s="43"/>
      <c r="C69" s="43"/>
      <c r="D69" s="43"/>
      <c r="E69" s="43"/>
      <c r="F69" s="43"/>
      <c r="G69" s="43"/>
      <c r="H69" s="43"/>
      <c r="I69" s="43"/>
      <c r="J69" s="96" t="s">
        <v>4221</v>
      </c>
    </row>
    <row r="70" spans="1:10" ht="12.75" customHeight="1">
      <c r="A70" s="42"/>
      <c r="B70" s="43"/>
      <c r="C70" s="43"/>
      <c r="D70" s="43"/>
      <c r="E70" s="43"/>
      <c r="F70" s="43"/>
      <c r="G70" s="43" t="str">
        <f ca="1">Team_Matches!$J$6</f>
        <v>[NCTTA Teams Template (v2.06).xlsx]</v>
      </c>
      <c r="H70" s="43"/>
      <c r="I70" s="43"/>
      <c r="J70" s="160"/>
    </row>
    <row r="71" spans="1:10" ht="12.75" customHeight="1">
      <c r="A71" s="42"/>
      <c r="B71" s="43"/>
      <c r="C71" s="43"/>
      <c r="D71" s="43"/>
      <c r="E71" s="43"/>
      <c r="F71" s="43"/>
      <c r="G71" s="247" t="str">
        <f>Team_Matches!$J58</f>
        <v>Round 1, Match 2</v>
      </c>
      <c r="H71" s="247"/>
      <c r="I71" s="161" t="str">
        <f>Team_Matches!$M58</f>
        <v/>
      </c>
      <c r="J71" s="161"/>
    </row>
    <row r="72" spans="1:10" ht="15.75">
      <c r="A72" s="42"/>
      <c r="B72" s="43"/>
      <c r="C72" s="43"/>
      <c r="D72" s="43"/>
      <c r="E72" s="43"/>
      <c r="F72" s="43"/>
      <c r="G72" s="43"/>
      <c r="H72" s="43"/>
      <c r="I72" s="43"/>
      <c r="J72" s="43"/>
    </row>
    <row r="73" spans="1:10">
      <c r="A73" s="43"/>
      <c r="B73" s="43"/>
      <c r="C73" s="9" t="s">
        <v>1228</v>
      </c>
      <c r="D73" s="3" t="str">
        <f>Team_Matches!$B60</f>
        <v>B</v>
      </c>
      <c r="E73" s="43"/>
      <c r="F73" s="97" t="str">
        <f>CONCATENATE($D73,"-",$I73)</f>
        <v>B-D</v>
      </c>
      <c r="G73" s="43"/>
      <c r="H73" s="9" t="s">
        <v>1228</v>
      </c>
      <c r="I73" s="3" t="str">
        <f>Team_Matches!$K60</f>
        <v>D</v>
      </c>
      <c r="J73" s="43"/>
    </row>
    <row r="74" spans="1:10" ht="25.5" customHeight="1">
      <c r="A74" s="44"/>
      <c r="B74" s="248" t="str">
        <f>IF(VLOOKUP($D73,Draw!$A$4:$B$27,2)&lt;&gt;0,VLOOKUP($D73,Draw!$A$4:$B$27,2),"")</f>
        <v/>
      </c>
      <c r="C74" s="248"/>
      <c r="D74" s="248"/>
      <c r="E74" s="249"/>
      <c r="F74" s="45"/>
      <c r="G74" s="252" t="str">
        <f>IF(VLOOKUP($I73,Draw!$A$4:$B$27,2)&lt;&gt;0,VLOOKUP($I73,Draw!$A$4:$B$27,2),"")</f>
        <v/>
      </c>
      <c r="H74" s="252"/>
      <c r="I74" s="252"/>
      <c r="J74" s="253"/>
    </row>
    <row r="75" spans="1:10" ht="25.5" customHeight="1"/>
    <row r="76" spans="1:10" ht="25.5" customHeight="1"/>
    <row r="77" spans="1:10" ht="24" customHeight="1">
      <c r="A77" s="48" t="s">
        <v>1246</v>
      </c>
      <c r="B77" s="43"/>
      <c r="C77" s="43"/>
      <c r="D77" s="43"/>
      <c r="E77" s="43"/>
      <c r="F77" s="43"/>
      <c r="G77" s="43"/>
      <c r="H77" s="43"/>
      <c r="I77" s="43"/>
      <c r="J77" s="43"/>
    </row>
    <row r="78" spans="1:10" ht="24" customHeight="1">
      <c r="A78" s="48"/>
      <c r="B78" s="43"/>
      <c r="C78" s="43"/>
      <c r="D78" s="43"/>
      <c r="E78" s="43"/>
      <c r="F78" s="43"/>
      <c r="G78" s="43"/>
      <c r="H78" s="43"/>
      <c r="I78" s="43"/>
      <c r="J78" s="43"/>
    </row>
    <row r="79" spans="1:10">
      <c r="A79" s="49" t="s">
        <v>1224</v>
      </c>
      <c r="B79" s="46"/>
      <c r="C79" s="46"/>
      <c r="D79" s="46"/>
      <c r="E79" s="46"/>
      <c r="F79" s="46"/>
      <c r="G79" s="260" t="s">
        <v>10336</v>
      </c>
      <c r="H79" s="260"/>
      <c r="I79" s="260"/>
      <c r="J79" s="260"/>
    </row>
    <row r="80" spans="1:10" ht="24" customHeight="1">
      <c r="A80" s="50" t="str">
        <f>CONCATENATE($D73,"1")</f>
        <v>B1</v>
      </c>
      <c r="B80" s="255" t="str">
        <f>IF(VLOOKUP($A80,Players!$A$2:$C$132,3)&lt;&gt;0,VLOOKUP($A80,Players!$A$2:$C$132,3),"")</f>
        <v/>
      </c>
      <c r="C80" s="255"/>
      <c r="D80" s="255"/>
      <c r="E80" s="255"/>
      <c r="F80" s="255"/>
      <c r="G80" s="254" t="str">
        <f>IF(VLOOKUP($I73&amp;RIGHT($A80,1),Players!$A$2:$D$132,3)&lt;&gt;0,VLOOKUP($I73&amp;RIGHT($A80,1),Players!$A$2:$D$132,3),"")</f>
        <v/>
      </c>
      <c r="H80" s="254"/>
      <c r="I80" s="254"/>
      <c r="J80" s="210" t="str">
        <f>IF(VLOOKUP($I73&amp;RIGHT($A80,1),Players!$A$2:$D$132,3)&lt;&gt;0,"("&amp;VLOOKUP($I73&amp;RIGHT($A80,1),Players!$A$2:$D$132,4)&amp;")","")</f>
        <v/>
      </c>
    </row>
    <row r="81" spans="1:10" ht="25.5" customHeight="1">
      <c r="A81" s="50" t="str">
        <f>CONCATENATE($D73,"2")</f>
        <v>B2</v>
      </c>
      <c r="B81" s="255" t="str">
        <f>IF(VLOOKUP($A81,Players!$A$2:$C$132,3)&lt;&gt;0,VLOOKUP($A81,Players!$A$2:$C$132,3),"")</f>
        <v/>
      </c>
      <c r="C81" s="255"/>
      <c r="D81" s="255"/>
      <c r="E81" s="255"/>
      <c r="F81" s="255"/>
      <c r="G81" s="254" t="str">
        <f>IF(VLOOKUP($I73&amp;RIGHT($A81,1),Players!$A$2:$D$132,3)&lt;&gt;0,VLOOKUP($I73&amp;RIGHT($A81,1),Players!$A$2:$D$132,3),"")</f>
        <v/>
      </c>
      <c r="H81" s="254"/>
      <c r="I81" s="254"/>
      <c r="J81" s="210" t="str">
        <f>IF(VLOOKUP($I73&amp;RIGHT($A81,1),Players!$A$2:$D$132,3)&lt;&gt;0,"("&amp;VLOOKUP($I73&amp;RIGHT($A81,1),Players!$A$2:$D$132,4)&amp;")","")</f>
        <v/>
      </c>
    </row>
    <row r="82" spans="1:10" ht="25.5" customHeight="1">
      <c r="A82" s="50" t="str">
        <f>CONCATENATE($D73,"3")</f>
        <v>B3</v>
      </c>
      <c r="B82" s="255" t="str">
        <f>IF(VLOOKUP($A82,Players!$A$2:$C$132,3)&lt;&gt;0,VLOOKUP($A82,Players!$A$2:$C$132,3),"")</f>
        <v/>
      </c>
      <c r="C82" s="255"/>
      <c r="D82" s="255"/>
      <c r="E82" s="255"/>
      <c r="F82" s="255"/>
      <c r="G82" s="254" t="str">
        <f>IF(VLOOKUP($I73&amp;RIGHT($A82,1),Players!$A$2:$D$132,3)&lt;&gt;0,VLOOKUP($I73&amp;RIGHT($A82,1),Players!$A$2:$D$132,3),"")</f>
        <v/>
      </c>
      <c r="H82" s="254"/>
      <c r="I82" s="254"/>
      <c r="J82" s="210" t="str">
        <f>IF(VLOOKUP($I73&amp;RIGHT($A82,1),Players!$A$2:$D$132,3)&lt;&gt;0,"("&amp;VLOOKUP($I73&amp;RIGHT($A82,1),Players!$A$2:$D$132,4)&amp;")","")</f>
        <v/>
      </c>
    </row>
    <row r="83" spans="1:10" ht="25.5" customHeight="1">
      <c r="A83" s="50" t="str">
        <f>CONCATENATE($D73,"4")</f>
        <v>B4</v>
      </c>
      <c r="B83" s="255" t="str">
        <f>IF(VLOOKUP($A83,Players!$A$2:$C$132,3)&lt;&gt;0,VLOOKUP($A83,Players!$A$2:$C$132,3),"")</f>
        <v/>
      </c>
      <c r="C83" s="255"/>
      <c r="D83" s="255"/>
      <c r="E83" s="255"/>
      <c r="F83" s="255"/>
      <c r="G83" s="254" t="str">
        <f>IF(VLOOKUP($I73&amp;RIGHT($A83,1),Players!$A$2:$D$132,3)&lt;&gt;0,VLOOKUP($I73&amp;RIGHT($A83,1),Players!$A$2:$D$132,3),"")</f>
        <v/>
      </c>
      <c r="H83" s="254"/>
      <c r="I83" s="254"/>
      <c r="J83" s="210" t="str">
        <f>IF(VLOOKUP($I73&amp;RIGHT($A83,1),Players!$A$2:$D$132,3)&lt;&gt;0,"("&amp;VLOOKUP($I73&amp;RIGHT($A83,1),Players!$A$2:$D$132,4)&amp;")","")</f>
        <v/>
      </c>
    </row>
    <row r="84" spans="1:10" ht="25.5" customHeight="1">
      <c r="A84" s="50" t="str">
        <f>CONCATENATE($D73,"5")</f>
        <v>B5</v>
      </c>
      <c r="B84" s="255" t="str">
        <f>IF(VLOOKUP($A84,Players!$A$2:$C$132,3)&lt;&gt;0,VLOOKUP($A84,Players!$A$2:$C$132,3),"")</f>
        <v/>
      </c>
      <c r="C84" s="255"/>
      <c r="D84" s="255"/>
      <c r="E84" s="255"/>
      <c r="F84" s="255"/>
      <c r="G84" s="254" t="str">
        <f>IF(VLOOKUP($I73&amp;RIGHT($A84,1),Players!$A$2:$D$132,3)&lt;&gt;0,VLOOKUP($I73&amp;RIGHT($A84,1),Players!$A$2:$D$132,3),"")</f>
        <v/>
      </c>
      <c r="H84" s="254"/>
      <c r="I84" s="254"/>
      <c r="J84" s="210" t="str">
        <f>IF(VLOOKUP($I73&amp;RIGHT($A84,1),Players!$A$2:$D$132,3)&lt;&gt;0,"("&amp;VLOOKUP($I73&amp;RIGHT($A84,1),Players!$A$2:$D$132,4)&amp;")","")</f>
        <v/>
      </c>
    </row>
    <row r="85" spans="1:10" ht="25.5" customHeight="1">
      <c r="A85" s="50" t="str">
        <f>CONCATENATE($D73,"6")</f>
        <v>B6</v>
      </c>
      <c r="B85" s="255" t="str">
        <f>IF(VLOOKUP($A85,Players!$A$2:$C$132,3)&lt;&gt;0,VLOOKUP($A85,Players!$A$2:$C$132,3),"")</f>
        <v/>
      </c>
      <c r="C85" s="255"/>
      <c r="D85" s="255"/>
      <c r="E85" s="255"/>
      <c r="F85" s="255"/>
      <c r="G85" s="254" t="str">
        <f>IF(VLOOKUP($I73&amp;RIGHT($A85,1),Players!$A$2:$D$132,3)&lt;&gt;0,VLOOKUP($I73&amp;RIGHT($A85,1),Players!$A$2:$D$132,3),"")</f>
        <v/>
      </c>
      <c r="H85" s="254"/>
      <c r="I85" s="254"/>
      <c r="J85" s="210" t="str">
        <f>IF(VLOOKUP($I73&amp;RIGHT($A85,1),Players!$A$2:$D$132,3)&lt;&gt;0,"("&amp;VLOOKUP($I73&amp;RIGHT($A85,1),Players!$A$2:$D$132,4)&amp;")","")</f>
        <v/>
      </c>
    </row>
    <row r="86" spans="1:10" ht="25.5" customHeight="1">
      <c r="A86" s="50" t="str">
        <f>CONCATENATE($D73,"7")</f>
        <v>B7</v>
      </c>
      <c r="B86" s="255" t="str">
        <f>IF(VLOOKUP($A86,Players!$A$2:$C$132,3)&lt;&gt;0,VLOOKUP($A86,Players!$A$2:$C$132,3),"")</f>
        <v/>
      </c>
      <c r="C86" s="255"/>
      <c r="D86" s="255"/>
      <c r="E86" s="255"/>
      <c r="F86" s="255"/>
      <c r="G86" s="254" t="str">
        <f>IF(VLOOKUP($I73&amp;RIGHT($A86,1),Players!$A$2:$D$132,3)&lt;&gt;0,VLOOKUP($I73&amp;RIGHT($A86,1),Players!$A$2:$D$132,3),"")</f>
        <v/>
      </c>
      <c r="H86" s="254"/>
      <c r="I86" s="254"/>
      <c r="J86" s="210" t="str">
        <f>IF(VLOOKUP($I73&amp;RIGHT($A86,1),Players!$A$2:$D$132,3)&lt;&gt;0,"("&amp;VLOOKUP($I73&amp;RIGHT($A86,1),Players!$A$2:$D$132,4)&amp;")","")</f>
        <v/>
      </c>
    </row>
    <row r="87" spans="1:10" ht="25.5" customHeight="1">
      <c r="A87" s="50" t="str">
        <f>CONCATENATE($D73,"8")</f>
        <v>B8</v>
      </c>
      <c r="B87" s="255" t="str">
        <f>IF(VLOOKUP($A87,Players!$A$2:$C$132,3)&lt;&gt;0,VLOOKUP($A87,Players!$A$2:$C$132,3),"")</f>
        <v/>
      </c>
      <c r="C87" s="255"/>
      <c r="D87" s="255"/>
      <c r="E87" s="255"/>
      <c r="F87" s="255"/>
      <c r="G87" s="254" t="str">
        <f>IF(VLOOKUP($I73&amp;RIGHT($A87,1),Players!$A$2:$D$132,3)&lt;&gt;0,VLOOKUP($I73&amp;RIGHT($A87,1),Players!$A$2:$D$132,3),"")</f>
        <v/>
      </c>
      <c r="H87" s="254"/>
      <c r="I87" s="254"/>
      <c r="J87" s="210" t="str">
        <f>IF(VLOOKUP($I73&amp;RIGHT($A87,1),Players!$A$2:$D$132,3)&lt;&gt;0,"("&amp;VLOOKUP($I73&amp;RIGHT($A87,1),Players!$A$2:$D$132,4)&amp;")","")</f>
        <v/>
      </c>
    </row>
    <row r="88" spans="1:10" ht="25.5" customHeight="1">
      <c r="A88" s="50"/>
      <c r="B88" s="26"/>
      <c r="C88" s="26"/>
      <c r="D88" s="26"/>
      <c r="E88" s="26"/>
      <c r="F88" s="27"/>
      <c r="G88" s="43"/>
      <c r="H88" s="43"/>
      <c r="I88" s="43"/>
      <c r="J88" s="43"/>
    </row>
    <row r="89" spans="1:10">
      <c r="A89" s="49" t="s">
        <v>1225</v>
      </c>
      <c r="B89" s="46"/>
      <c r="C89" s="46"/>
      <c r="D89" s="46"/>
      <c r="E89" s="46"/>
      <c r="F89" s="46"/>
      <c r="G89" s="43"/>
      <c r="H89" s="43"/>
      <c r="I89" s="43"/>
      <c r="J89" s="43"/>
    </row>
    <row r="90" spans="1:10">
      <c r="A90" s="46" t="s">
        <v>1247</v>
      </c>
      <c r="B90" s="46"/>
      <c r="C90" s="46"/>
      <c r="D90" s="46"/>
      <c r="E90" s="46"/>
      <c r="F90" s="46"/>
      <c r="G90" s="43"/>
      <c r="H90" s="43"/>
      <c r="I90" s="43"/>
      <c r="J90" s="43"/>
    </row>
    <row r="91" spans="1:10">
      <c r="A91" s="46" t="s">
        <v>1248</v>
      </c>
      <c r="B91" s="46"/>
      <c r="C91" s="46"/>
      <c r="D91" s="46"/>
      <c r="E91" s="46"/>
      <c r="F91" s="46"/>
      <c r="G91" s="43"/>
      <c r="H91" s="43"/>
      <c r="I91" s="43"/>
      <c r="J91" s="43"/>
    </row>
    <row r="92" spans="1:10" ht="13.5" thickBot="1">
      <c r="A92" s="46"/>
      <c r="B92" s="46"/>
      <c r="C92" s="46"/>
      <c r="D92" s="46"/>
      <c r="E92" s="46"/>
      <c r="F92" s="46"/>
      <c r="G92" s="43"/>
      <c r="H92" s="43"/>
      <c r="I92" s="43"/>
      <c r="J92" s="43"/>
    </row>
    <row r="93" spans="1:10" ht="25.5" customHeight="1" thickBot="1">
      <c r="A93" s="50"/>
      <c r="B93" s="257"/>
      <c r="C93" s="258"/>
      <c r="D93" s="258"/>
      <c r="E93" s="258"/>
      <c r="F93" s="259"/>
      <c r="G93" s="43"/>
      <c r="H93" s="43"/>
      <c r="I93" s="43"/>
      <c r="J93" s="43"/>
    </row>
    <row r="94" spans="1:10">
      <c r="A94" s="43"/>
      <c r="B94" s="43"/>
      <c r="C94" s="43"/>
      <c r="D94" s="43"/>
      <c r="E94" s="43"/>
      <c r="F94" s="43"/>
      <c r="G94" s="43"/>
      <c r="H94" s="43"/>
      <c r="I94" s="43"/>
      <c r="J94" s="43"/>
    </row>
    <row r="95" spans="1:10">
      <c r="A95" s="43"/>
      <c r="B95" s="43"/>
      <c r="C95" s="43"/>
      <c r="D95" s="43"/>
      <c r="E95" s="43"/>
      <c r="F95" s="43"/>
      <c r="G95" s="43"/>
      <c r="H95" s="43"/>
      <c r="I95" s="43"/>
      <c r="J95" s="43"/>
    </row>
    <row r="96" spans="1:10">
      <c r="A96" s="43"/>
      <c r="B96" s="43"/>
      <c r="C96" s="43"/>
      <c r="D96" s="43"/>
      <c r="E96" s="43"/>
      <c r="F96" s="43"/>
      <c r="G96" s="43"/>
      <c r="H96" s="43"/>
      <c r="I96" s="43"/>
      <c r="J96" s="43"/>
    </row>
    <row r="97" spans="1:10">
      <c r="A97" s="43"/>
      <c r="B97" s="43"/>
      <c r="C97" s="43"/>
      <c r="D97" s="43"/>
      <c r="E97" s="43"/>
      <c r="F97" s="43"/>
      <c r="G97" s="43"/>
      <c r="H97" s="43"/>
      <c r="I97" s="43"/>
      <c r="J97" s="43"/>
    </row>
    <row r="98" spans="1:10">
      <c r="A98" s="43"/>
      <c r="B98" s="43"/>
      <c r="C98" s="43"/>
      <c r="D98" s="43"/>
      <c r="E98" s="43"/>
      <c r="F98" s="43"/>
      <c r="G98" s="43"/>
      <c r="H98" s="43"/>
      <c r="I98" s="43"/>
      <c r="J98" s="43"/>
    </row>
    <row r="99" spans="1:10" ht="25.5" customHeight="1">
      <c r="A99" s="47"/>
      <c r="B99" s="47"/>
      <c r="C99" s="47"/>
      <c r="D99" s="47"/>
      <c r="E99" s="47"/>
      <c r="F99" s="43"/>
      <c r="G99" s="51"/>
      <c r="H99" s="250" t="s">
        <v>1227</v>
      </c>
      <c r="I99" s="261"/>
      <c r="J99" s="43"/>
    </row>
    <row r="100" spans="1:10">
      <c r="A100" s="43" t="s">
        <v>1226</v>
      </c>
      <c r="B100" s="43"/>
      <c r="C100" s="43"/>
      <c r="D100" s="43"/>
      <c r="E100" s="43"/>
      <c r="F100" s="43"/>
      <c r="G100" s="43"/>
      <c r="H100" s="43"/>
      <c r="I100" s="43"/>
      <c r="J100" s="43"/>
    </row>
    <row r="101" spans="1:10">
      <c r="A101" s="43"/>
      <c r="B101" s="43"/>
      <c r="C101" s="43"/>
      <c r="D101" s="43"/>
      <c r="E101" s="43"/>
      <c r="F101" s="43"/>
      <c r="G101" s="43"/>
      <c r="H101" s="43"/>
      <c r="I101" s="43"/>
      <c r="J101" s="43"/>
    </row>
    <row r="102" spans="1:10">
      <c r="A102" s="43"/>
      <c r="B102" s="43"/>
      <c r="C102" s="43"/>
      <c r="D102" s="43"/>
      <c r="E102" s="256" t="str">
        <f>CONCATENATE("(",$D73," vs ",$I73,")")</f>
        <v>(B vs D)</v>
      </c>
      <c r="F102" s="256"/>
      <c r="G102" s="43"/>
      <c r="H102" s="43"/>
      <c r="I102" s="43"/>
      <c r="J102" s="43"/>
    </row>
    <row r="103" spans="1:10" ht="15.75">
      <c r="A103" s="42" t="s">
        <v>1223</v>
      </c>
      <c r="B103" s="43"/>
      <c r="C103" s="43"/>
      <c r="D103" s="43"/>
      <c r="E103" s="43"/>
      <c r="F103" s="43"/>
      <c r="G103" s="43"/>
      <c r="H103" s="43"/>
      <c r="I103" s="43"/>
      <c r="J103" s="96" t="s">
        <v>4222</v>
      </c>
    </row>
    <row r="104" spans="1:10" ht="12.75" customHeight="1">
      <c r="A104" s="42"/>
      <c r="B104" s="43"/>
      <c r="C104" s="43"/>
      <c r="D104" s="43"/>
      <c r="E104" s="43"/>
      <c r="F104" s="43"/>
      <c r="G104" s="43" t="str">
        <f ca="1">Team_Matches!$J$6</f>
        <v>[NCTTA Teams Template (v2.06).xlsx]</v>
      </c>
      <c r="H104" s="43"/>
      <c r="I104" s="43"/>
      <c r="J104" s="160"/>
    </row>
    <row r="105" spans="1:10" ht="12.75" customHeight="1">
      <c r="A105" s="42"/>
      <c r="B105" s="43"/>
      <c r="C105" s="43"/>
      <c r="D105" s="43"/>
      <c r="E105" s="43"/>
      <c r="F105" s="43"/>
      <c r="G105" s="247" t="str">
        <f>Team_Matches!$J58</f>
        <v>Round 1, Match 2</v>
      </c>
      <c r="H105" s="247"/>
      <c r="I105" s="161" t="str">
        <f>Team_Matches!$M58</f>
        <v/>
      </c>
      <c r="J105" s="161"/>
    </row>
    <row r="106" spans="1:10" ht="15.75">
      <c r="A106" s="42"/>
      <c r="B106" s="43"/>
      <c r="C106" s="43"/>
      <c r="D106" s="43"/>
      <c r="E106" s="43"/>
      <c r="F106" s="43"/>
      <c r="G106" s="43"/>
      <c r="H106" s="43"/>
      <c r="I106" s="43"/>
      <c r="J106" s="43"/>
    </row>
    <row r="107" spans="1:10">
      <c r="A107" s="43"/>
      <c r="B107" s="43"/>
      <c r="C107" s="9" t="s">
        <v>1228</v>
      </c>
      <c r="D107" s="3" t="str">
        <f>Team_Matches!$B60</f>
        <v>B</v>
      </c>
      <c r="E107" s="43"/>
      <c r="F107" s="97" t="str">
        <f>CONCATENATE($D107,"-",$I107)</f>
        <v>B-D</v>
      </c>
      <c r="G107" s="43"/>
      <c r="H107" s="9" t="s">
        <v>1228</v>
      </c>
      <c r="I107" s="3" t="str">
        <f>Team_Matches!$K60</f>
        <v>D</v>
      </c>
      <c r="J107" s="43"/>
    </row>
    <row r="108" spans="1:10" ht="25.5" customHeight="1">
      <c r="A108" s="44"/>
      <c r="B108" s="252" t="str">
        <f>IF(VLOOKUP($D107,Draw!$A$4:$B$27,2)&lt;&gt;0,VLOOKUP($D107,Draw!$A$4:$B$27,2),"")</f>
        <v/>
      </c>
      <c r="C108" s="252"/>
      <c r="D108" s="252"/>
      <c r="E108" s="253"/>
      <c r="F108" s="45"/>
      <c r="G108" s="248" t="str">
        <f>IF(VLOOKUP($I107,Draw!$A$4:$B$27,2)&lt;&gt;0,VLOOKUP($I107,Draw!$A$4:$B$27,2),"")</f>
        <v/>
      </c>
      <c r="H108" s="248"/>
      <c r="I108" s="248"/>
      <c r="J108" s="249"/>
    </row>
    <row r="109" spans="1:10" ht="25.5" customHeight="1"/>
    <row r="110" spans="1:10" ht="25.5" customHeight="1"/>
    <row r="111" spans="1:10" ht="24" customHeight="1">
      <c r="A111" s="48" t="s">
        <v>1246</v>
      </c>
      <c r="B111" s="43"/>
      <c r="C111" s="43"/>
      <c r="D111" s="43"/>
      <c r="E111" s="43"/>
      <c r="F111" s="43"/>
      <c r="G111" s="43"/>
      <c r="H111" s="43"/>
      <c r="I111" s="43"/>
      <c r="J111" s="43"/>
    </row>
    <row r="112" spans="1:10" ht="24" customHeight="1">
      <c r="A112" s="48"/>
      <c r="B112" s="43"/>
      <c r="C112" s="43"/>
      <c r="D112" s="43"/>
      <c r="E112" s="43"/>
      <c r="F112" s="43"/>
      <c r="G112" s="43"/>
      <c r="H112" s="43"/>
      <c r="I112" s="43"/>
      <c r="J112" s="43"/>
    </row>
    <row r="113" spans="1:10">
      <c r="A113" s="49" t="s">
        <v>1224</v>
      </c>
      <c r="B113" s="46"/>
      <c r="C113" s="46"/>
      <c r="D113" s="46"/>
      <c r="E113" s="46"/>
      <c r="F113" s="46"/>
      <c r="G113" s="260" t="s">
        <v>10336</v>
      </c>
      <c r="H113" s="260"/>
      <c r="I113" s="260"/>
      <c r="J113" s="260"/>
    </row>
    <row r="114" spans="1:10" ht="24" customHeight="1">
      <c r="A114" s="50" t="str">
        <f>CONCATENATE($I107,"1")</f>
        <v>D1</v>
      </c>
      <c r="B114" s="255" t="str">
        <f>IF(VLOOKUP($A114,Players!$A$2:$C$132,3)&lt;&gt;0,VLOOKUP($A114,Players!$A$2:$C$132,3),"")</f>
        <v/>
      </c>
      <c r="C114" s="255"/>
      <c r="D114" s="255"/>
      <c r="E114" s="255"/>
      <c r="F114" s="255"/>
      <c r="G114" s="254" t="str">
        <f>IF(VLOOKUP($D107&amp;RIGHT($A114,1),Players!$A$2:$D$132,3)&lt;&gt;0,VLOOKUP($D107&amp;RIGHT($A114,1),Players!$A$2:$D$132,3),"")</f>
        <v/>
      </c>
      <c r="H114" s="254"/>
      <c r="I114" s="254"/>
      <c r="J114" s="210" t="str">
        <f>IF(VLOOKUP($D107&amp;RIGHT($A114,1),Players!$A$2:$D$132,3)&lt;&gt;0,"("&amp;VLOOKUP($D107&amp;RIGHT($A114,1),Players!$A$2:$D$132,4)&amp;")","")</f>
        <v/>
      </c>
    </row>
    <row r="115" spans="1:10" ht="25.5" customHeight="1">
      <c r="A115" s="50" t="str">
        <f>CONCATENATE($I107,"2")</f>
        <v>D2</v>
      </c>
      <c r="B115" s="255" t="str">
        <f>IF(VLOOKUP($A115,Players!$A$2:$C$132,3)&lt;&gt;0,VLOOKUP($A115,Players!$A$2:$C$132,3),"")</f>
        <v/>
      </c>
      <c r="C115" s="255"/>
      <c r="D115" s="255"/>
      <c r="E115" s="255"/>
      <c r="F115" s="255"/>
      <c r="G115" s="254" t="str">
        <f>IF(VLOOKUP($D107&amp;RIGHT($A115,1),Players!$A$2:$D$132,3)&lt;&gt;0,VLOOKUP($D107&amp;RIGHT($A115,1),Players!$A$2:$D$132,3),"")</f>
        <v/>
      </c>
      <c r="H115" s="254"/>
      <c r="I115" s="254"/>
      <c r="J115" s="210" t="str">
        <f>IF(VLOOKUP($D107&amp;RIGHT($A115,1),Players!$A$2:$D$132,3)&lt;&gt;0,"("&amp;VLOOKUP($D107&amp;RIGHT($A115,1),Players!$A$2:$D$132,4)&amp;")","")</f>
        <v/>
      </c>
    </row>
    <row r="116" spans="1:10" ht="25.5" customHeight="1">
      <c r="A116" s="50" t="str">
        <f>CONCATENATE($I107,"3")</f>
        <v>D3</v>
      </c>
      <c r="B116" s="255" t="str">
        <f>IF(VLOOKUP($A116,Players!$A$2:$C$132,3)&lt;&gt;0,VLOOKUP($A116,Players!$A$2:$C$132,3),"")</f>
        <v/>
      </c>
      <c r="C116" s="255"/>
      <c r="D116" s="255"/>
      <c r="E116" s="255"/>
      <c r="F116" s="255"/>
      <c r="G116" s="254" t="str">
        <f>IF(VLOOKUP($D107&amp;RIGHT($A116,1),Players!$A$2:$D$132,3)&lt;&gt;0,VLOOKUP($D107&amp;RIGHT($A116,1),Players!$A$2:$D$132,3),"")</f>
        <v/>
      </c>
      <c r="H116" s="254"/>
      <c r="I116" s="254"/>
      <c r="J116" s="210" t="str">
        <f>IF(VLOOKUP($D107&amp;RIGHT($A116,1),Players!$A$2:$D$132,3)&lt;&gt;0,"("&amp;VLOOKUP($D107&amp;RIGHT($A116,1),Players!$A$2:$D$132,4)&amp;")","")</f>
        <v/>
      </c>
    </row>
    <row r="117" spans="1:10" ht="25.5" customHeight="1">
      <c r="A117" s="50" t="str">
        <f>CONCATENATE($I107,"4")</f>
        <v>D4</v>
      </c>
      <c r="B117" s="255" t="str">
        <f>IF(VLOOKUP($A117,Players!$A$2:$C$132,3)&lt;&gt;0,VLOOKUP($A117,Players!$A$2:$C$132,3),"")</f>
        <v/>
      </c>
      <c r="C117" s="255"/>
      <c r="D117" s="255"/>
      <c r="E117" s="255"/>
      <c r="F117" s="255"/>
      <c r="G117" s="254" t="str">
        <f>IF(VLOOKUP($D107&amp;RIGHT($A117,1),Players!$A$2:$D$132,3)&lt;&gt;0,VLOOKUP($D107&amp;RIGHT($A117,1),Players!$A$2:$D$132,3),"")</f>
        <v/>
      </c>
      <c r="H117" s="254"/>
      <c r="I117" s="254"/>
      <c r="J117" s="210" t="str">
        <f>IF(VLOOKUP($D107&amp;RIGHT($A117,1),Players!$A$2:$D$132,3)&lt;&gt;0,"("&amp;VLOOKUP($D107&amp;RIGHT($A117,1),Players!$A$2:$D$132,4)&amp;")","")</f>
        <v/>
      </c>
    </row>
    <row r="118" spans="1:10" ht="25.5" customHeight="1">
      <c r="A118" s="50" t="str">
        <f>CONCATENATE($I107,"5")</f>
        <v>D5</v>
      </c>
      <c r="B118" s="255" t="str">
        <f>IF(VLOOKUP($A118,Players!$A$2:$C$132,3)&lt;&gt;0,VLOOKUP($A118,Players!$A$2:$C$132,3),"")</f>
        <v/>
      </c>
      <c r="C118" s="255"/>
      <c r="D118" s="255"/>
      <c r="E118" s="255"/>
      <c r="F118" s="255"/>
      <c r="G118" s="254" t="str">
        <f>IF(VLOOKUP($D107&amp;RIGHT($A118,1),Players!$A$2:$D$132,3)&lt;&gt;0,VLOOKUP($D107&amp;RIGHT($A118,1),Players!$A$2:$D$132,3),"")</f>
        <v/>
      </c>
      <c r="H118" s="254"/>
      <c r="I118" s="254"/>
      <c r="J118" s="210" t="str">
        <f>IF(VLOOKUP($D107&amp;RIGHT($A118,1),Players!$A$2:$D$132,3)&lt;&gt;0,"("&amp;VLOOKUP($D107&amp;RIGHT($A118,1),Players!$A$2:$D$132,4)&amp;")","")</f>
        <v/>
      </c>
    </row>
    <row r="119" spans="1:10" ht="25.5" customHeight="1">
      <c r="A119" s="50" t="str">
        <f>CONCATENATE($I107,"6")</f>
        <v>D6</v>
      </c>
      <c r="B119" s="255" t="str">
        <f>IF(VLOOKUP($A119,Players!$A$2:$C$132,3)&lt;&gt;0,VLOOKUP($A119,Players!$A$2:$C$132,3),"")</f>
        <v/>
      </c>
      <c r="C119" s="255"/>
      <c r="D119" s="255"/>
      <c r="E119" s="255"/>
      <c r="F119" s="255"/>
      <c r="G119" s="254" t="str">
        <f>IF(VLOOKUP($D107&amp;RIGHT($A119,1),Players!$A$2:$D$132,3)&lt;&gt;0,VLOOKUP($D107&amp;RIGHT($A119,1),Players!$A$2:$D$132,3),"")</f>
        <v/>
      </c>
      <c r="H119" s="254"/>
      <c r="I119" s="254"/>
      <c r="J119" s="210" t="str">
        <f>IF(VLOOKUP($D107&amp;RIGHT($A119,1),Players!$A$2:$D$132,3)&lt;&gt;0,"("&amp;VLOOKUP($D107&amp;RIGHT($A119,1),Players!$A$2:$D$132,4)&amp;")","")</f>
        <v/>
      </c>
    </row>
    <row r="120" spans="1:10" ht="25.5" customHeight="1">
      <c r="A120" s="50" t="str">
        <f>CONCATENATE($I107,"7")</f>
        <v>D7</v>
      </c>
      <c r="B120" s="255" t="str">
        <f>IF(VLOOKUP($A120,Players!$A$2:$C$132,3)&lt;&gt;0,VLOOKUP($A120,Players!$A$2:$C$132,3),"")</f>
        <v/>
      </c>
      <c r="C120" s="255"/>
      <c r="D120" s="255"/>
      <c r="E120" s="255"/>
      <c r="F120" s="255"/>
      <c r="G120" s="254" t="str">
        <f>IF(VLOOKUP($D107&amp;RIGHT($A120,1),Players!$A$2:$D$132,3)&lt;&gt;0,VLOOKUP($D107&amp;RIGHT($A120,1),Players!$A$2:$D$132,3),"")</f>
        <v/>
      </c>
      <c r="H120" s="254"/>
      <c r="I120" s="254"/>
      <c r="J120" s="210" t="str">
        <f>IF(VLOOKUP($D107&amp;RIGHT($A120,1),Players!$A$2:$D$132,3)&lt;&gt;0,"("&amp;VLOOKUP($D107&amp;RIGHT($A120,1),Players!$A$2:$D$132,4)&amp;")","")</f>
        <v/>
      </c>
    </row>
    <row r="121" spans="1:10" ht="25.5" customHeight="1">
      <c r="A121" s="50" t="str">
        <f>CONCATENATE($I107,"8")</f>
        <v>D8</v>
      </c>
      <c r="B121" s="255" t="str">
        <f>IF(VLOOKUP($A121,Players!$A$2:$C$132,3)&lt;&gt;0,VLOOKUP($A121,Players!$A$2:$C$132,3),"")</f>
        <v/>
      </c>
      <c r="C121" s="255"/>
      <c r="D121" s="255"/>
      <c r="E121" s="255"/>
      <c r="F121" s="255"/>
      <c r="G121" s="254" t="str">
        <f>IF(VLOOKUP($D107&amp;RIGHT($A121,1),Players!$A$2:$D$132,3)&lt;&gt;0,VLOOKUP($D107&amp;RIGHT($A121,1),Players!$A$2:$D$132,3),"")</f>
        <v/>
      </c>
      <c r="H121" s="254"/>
      <c r="I121" s="254"/>
      <c r="J121" s="210" t="str">
        <f>IF(VLOOKUP($D107&amp;RIGHT($A121,1),Players!$A$2:$D$132,3)&lt;&gt;0,"("&amp;VLOOKUP($D107&amp;RIGHT($A121,1),Players!$A$2:$D$132,4)&amp;")","")</f>
        <v/>
      </c>
    </row>
    <row r="122" spans="1:10" ht="25.5" customHeight="1">
      <c r="A122" s="50"/>
      <c r="B122" s="255"/>
      <c r="C122" s="255"/>
      <c r="D122" s="255"/>
      <c r="E122" s="255"/>
      <c r="F122" s="255"/>
      <c r="G122" s="95"/>
      <c r="H122" s="43"/>
      <c r="I122" s="43"/>
      <c r="J122" s="43"/>
    </row>
    <row r="123" spans="1:10">
      <c r="A123" s="49" t="s">
        <v>1225</v>
      </c>
      <c r="B123" s="46"/>
      <c r="C123" s="46"/>
      <c r="D123" s="46"/>
      <c r="E123" s="46"/>
      <c r="F123" s="46"/>
      <c r="G123" s="43"/>
      <c r="H123" s="43"/>
      <c r="I123" s="43"/>
      <c r="J123" s="43"/>
    </row>
    <row r="124" spans="1:10">
      <c r="A124" s="46" t="s">
        <v>1247</v>
      </c>
      <c r="B124" s="46"/>
      <c r="C124" s="46"/>
      <c r="D124" s="46"/>
      <c r="E124" s="46"/>
      <c r="F124" s="46"/>
      <c r="G124" s="43"/>
      <c r="H124" s="43"/>
      <c r="I124" s="43"/>
      <c r="J124" s="43"/>
    </row>
    <row r="125" spans="1:10">
      <c r="A125" s="46" t="s">
        <v>1248</v>
      </c>
      <c r="B125" s="46"/>
      <c r="C125" s="46"/>
      <c r="D125" s="46"/>
      <c r="E125" s="46"/>
      <c r="F125" s="46"/>
      <c r="G125" s="43"/>
      <c r="H125" s="43"/>
      <c r="I125" s="43"/>
      <c r="J125" s="43"/>
    </row>
    <row r="126" spans="1:10" ht="13.5" thickBot="1">
      <c r="A126" s="46"/>
      <c r="B126" s="46"/>
      <c r="C126" s="46"/>
      <c r="D126" s="46"/>
      <c r="E126" s="46"/>
      <c r="F126" s="46"/>
      <c r="G126" s="43"/>
      <c r="H126" s="43"/>
      <c r="I126" s="43"/>
      <c r="J126" s="43"/>
    </row>
    <row r="127" spans="1:10" ht="25.5" customHeight="1" thickBot="1">
      <c r="A127" s="50"/>
      <c r="B127" s="257"/>
      <c r="C127" s="258"/>
      <c r="D127" s="258"/>
      <c r="E127" s="258"/>
      <c r="F127" s="259"/>
      <c r="G127" s="43"/>
      <c r="H127" s="43"/>
      <c r="I127" s="43"/>
      <c r="J127" s="43"/>
    </row>
    <row r="128" spans="1:10">
      <c r="A128" s="43"/>
      <c r="B128" s="43"/>
      <c r="C128" s="43"/>
      <c r="D128" s="43"/>
      <c r="E128" s="43"/>
      <c r="F128" s="43"/>
      <c r="G128" s="43"/>
      <c r="H128" s="43"/>
      <c r="I128" s="43"/>
      <c r="J128" s="43"/>
    </row>
    <row r="129" spans="1:10">
      <c r="A129" s="43"/>
      <c r="B129" s="43"/>
      <c r="C129" s="43"/>
      <c r="D129" s="43"/>
      <c r="E129" s="43"/>
      <c r="F129" s="43"/>
      <c r="G129" s="43"/>
      <c r="H129" s="43"/>
      <c r="I129" s="43"/>
      <c r="J129" s="43"/>
    </row>
    <row r="130" spans="1:10">
      <c r="A130" s="43"/>
      <c r="B130" s="43"/>
      <c r="C130" s="43"/>
      <c r="D130" s="43"/>
      <c r="E130" s="43"/>
      <c r="F130" s="43"/>
      <c r="G130" s="43"/>
      <c r="H130" s="43"/>
      <c r="I130" s="43"/>
      <c r="J130" s="43"/>
    </row>
    <row r="131" spans="1:10">
      <c r="A131" s="43"/>
      <c r="B131" s="43"/>
      <c r="C131" s="43"/>
      <c r="D131" s="43"/>
      <c r="E131" s="43"/>
      <c r="F131" s="43"/>
      <c r="G131" s="43"/>
      <c r="H131" s="43"/>
      <c r="I131" s="43"/>
      <c r="J131" s="43"/>
    </row>
    <row r="132" spans="1:10">
      <c r="A132" s="43"/>
      <c r="B132" s="43"/>
      <c r="C132" s="43"/>
      <c r="D132" s="43"/>
      <c r="E132" s="43"/>
      <c r="F132" s="43"/>
      <c r="G132" s="43"/>
      <c r="H132" s="43"/>
      <c r="I132" s="43"/>
      <c r="J132" s="43"/>
    </row>
    <row r="133" spans="1:10" ht="25.5" customHeight="1">
      <c r="A133" s="47"/>
      <c r="B133" s="47"/>
      <c r="C133" s="47"/>
      <c r="D133" s="47"/>
      <c r="E133" s="47"/>
      <c r="F133" s="43"/>
      <c r="G133" s="51"/>
      <c r="H133" s="250" t="s">
        <v>1227</v>
      </c>
      <c r="I133" s="261"/>
      <c r="J133" s="43"/>
    </row>
    <row r="134" spans="1:10">
      <c r="A134" s="43" t="s">
        <v>1226</v>
      </c>
      <c r="B134" s="43"/>
      <c r="C134" s="43"/>
      <c r="D134" s="43"/>
      <c r="E134" s="43"/>
      <c r="F134" s="43"/>
      <c r="G134" s="43"/>
      <c r="H134" s="43"/>
      <c r="I134" s="43"/>
      <c r="J134" s="43"/>
    </row>
    <row r="135" spans="1:10">
      <c r="A135" s="43"/>
      <c r="B135" s="43"/>
      <c r="C135" s="43"/>
      <c r="D135" s="43"/>
      <c r="E135" s="43"/>
      <c r="F135" s="43"/>
      <c r="G135" s="43"/>
      <c r="H135" s="43"/>
      <c r="I135" s="43"/>
      <c r="J135" s="43"/>
    </row>
    <row r="136" spans="1:10">
      <c r="A136" s="43"/>
      <c r="B136" s="43"/>
      <c r="C136" s="43"/>
      <c r="D136" s="43"/>
      <c r="E136" s="256" t="str">
        <f>CONCATENATE("(",$D107," vs ",$I107,")")</f>
        <v>(B vs D)</v>
      </c>
      <c r="F136" s="256"/>
      <c r="G136" s="43"/>
      <c r="H136" s="43"/>
      <c r="I136" s="43"/>
      <c r="J136" s="43"/>
    </row>
    <row r="137" spans="1:10" ht="15.75">
      <c r="A137" s="42" t="s">
        <v>1223</v>
      </c>
      <c r="B137" s="43"/>
      <c r="C137" s="43"/>
      <c r="D137" s="43"/>
      <c r="E137" s="43"/>
      <c r="F137" s="43"/>
      <c r="G137" s="43"/>
      <c r="H137" s="43"/>
      <c r="I137" s="43"/>
      <c r="J137" s="96" t="s">
        <v>4223</v>
      </c>
    </row>
    <row r="138" spans="1:10" ht="12.75" customHeight="1">
      <c r="A138" s="42"/>
      <c r="B138" s="43"/>
      <c r="C138" s="43"/>
      <c r="D138" s="43"/>
      <c r="E138" s="43"/>
      <c r="F138" s="43"/>
      <c r="G138" s="43" t="str">
        <f ca="1">Team_Matches!$J$6</f>
        <v>[NCTTA Teams Template (v2.06).xlsx]</v>
      </c>
      <c r="H138" s="43"/>
      <c r="I138" s="43"/>
      <c r="J138" s="160"/>
    </row>
    <row r="139" spans="1:10" ht="12.75" customHeight="1">
      <c r="A139" s="42"/>
      <c r="B139" s="43"/>
      <c r="C139" s="43"/>
      <c r="D139" s="43"/>
      <c r="E139" s="43"/>
      <c r="F139" s="43"/>
      <c r="G139" s="247" t="str">
        <f>Team_Matches!$J109</f>
        <v>Round 2, Match 1</v>
      </c>
      <c r="H139" s="247"/>
      <c r="I139" s="161" t="str">
        <f>Team_Matches!$M109</f>
        <v/>
      </c>
      <c r="J139" s="161"/>
    </row>
    <row r="140" spans="1:10" ht="15.75">
      <c r="A140" s="42"/>
      <c r="B140" s="43"/>
      <c r="C140" s="43"/>
      <c r="D140" s="43"/>
      <c r="E140" s="43"/>
      <c r="F140" s="43"/>
      <c r="G140" s="43"/>
      <c r="H140" s="43"/>
      <c r="I140" s="43"/>
      <c r="J140" s="43"/>
    </row>
    <row r="141" spans="1:10">
      <c r="A141" s="43"/>
      <c r="B141" s="43"/>
      <c r="C141" s="9" t="s">
        <v>1228</v>
      </c>
      <c r="D141" s="52" t="str">
        <f>Team_Matches!$B111</f>
        <v>A</v>
      </c>
      <c r="E141" s="43"/>
      <c r="F141" s="97" t="str">
        <f>CONCATENATE($D141,"-",$I141)</f>
        <v>A-B</v>
      </c>
      <c r="G141" s="43"/>
      <c r="H141" s="9" t="s">
        <v>1228</v>
      </c>
      <c r="I141" s="52" t="str">
        <f>Team_Matches!$K111</f>
        <v>B</v>
      </c>
      <c r="J141" s="43"/>
    </row>
    <row r="142" spans="1:10" ht="25.5" customHeight="1">
      <c r="A142" s="44"/>
      <c r="B142" s="248" t="str">
        <f>IF(VLOOKUP($D141,Draw!$A$4:$B$27,2)&lt;&gt;0,VLOOKUP($D141,Draw!$A$4:$B$27,2),"")</f>
        <v/>
      </c>
      <c r="C142" s="248"/>
      <c r="D142" s="248"/>
      <c r="E142" s="249"/>
      <c r="F142" s="45"/>
      <c r="G142" s="252" t="str">
        <f>IF(VLOOKUP($I141,Draw!$A$4:$B$27,2)&lt;&gt;0,VLOOKUP($I141,Draw!$A$4:$B$27,2),"")</f>
        <v/>
      </c>
      <c r="H142" s="252"/>
      <c r="I142" s="252"/>
      <c r="J142" s="253"/>
    </row>
    <row r="143" spans="1:10" ht="25.5" customHeight="1"/>
    <row r="144" spans="1:10" ht="25.5" customHeight="1"/>
    <row r="145" spans="1:10" ht="24" customHeight="1">
      <c r="A145" s="48" t="s">
        <v>1246</v>
      </c>
      <c r="B145" s="43"/>
      <c r="C145" s="43"/>
      <c r="D145" s="43"/>
      <c r="E145" s="43"/>
      <c r="F145" s="43"/>
      <c r="G145" s="43"/>
      <c r="H145" s="43"/>
      <c r="I145" s="43"/>
      <c r="J145" s="43"/>
    </row>
    <row r="146" spans="1:10" ht="24" customHeight="1">
      <c r="A146" s="48"/>
      <c r="B146" s="43"/>
      <c r="C146" s="43"/>
      <c r="D146" s="43"/>
      <c r="E146" s="43"/>
      <c r="F146" s="43"/>
      <c r="G146" s="43"/>
      <c r="H146" s="43"/>
      <c r="I146" s="43"/>
      <c r="J146" s="43"/>
    </row>
    <row r="147" spans="1:10">
      <c r="A147" s="49" t="s">
        <v>1224</v>
      </c>
      <c r="B147" s="46"/>
      <c r="C147" s="46"/>
      <c r="D147" s="46"/>
      <c r="E147" s="46"/>
      <c r="F147" s="46"/>
      <c r="G147" s="260" t="s">
        <v>10336</v>
      </c>
      <c r="H147" s="260"/>
      <c r="I147" s="260"/>
      <c r="J147" s="260"/>
    </row>
    <row r="148" spans="1:10" ht="24" customHeight="1">
      <c r="A148" s="50" t="str">
        <f>CONCATENATE($D141,"1")</f>
        <v>A1</v>
      </c>
      <c r="B148" s="255" t="str">
        <f>IF(VLOOKUP($A148,Players!$A$2:$C$132,3)&lt;&gt;0,VLOOKUP($A148,Players!$A$2:$C$132,3),"")</f>
        <v/>
      </c>
      <c r="C148" s="255"/>
      <c r="D148" s="255"/>
      <c r="E148" s="255"/>
      <c r="F148" s="255"/>
      <c r="G148" s="254" t="str">
        <f>IF(VLOOKUP($I141&amp;RIGHT($A148,1),Players!$A$2:$D$132,3)&lt;&gt;0,VLOOKUP($I141&amp;RIGHT($A148,1),Players!$A$2:$D$132,3),"")</f>
        <v/>
      </c>
      <c r="H148" s="254"/>
      <c r="I148" s="254"/>
      <c r="J148" s="210" t="str">
        <f>IF(VLOOKUP($I141&amp;RIGHT($A148,1),Players!$A$2:$D$132,3)&lt;&gt;0,"("&amp;VLOOKUP($I141&amp;RIGHT($A148,1),Players!$A$2:$D$132,4)&amp;")","")</f>
        <v/>
      </c>
    </row>
    <row r="149" spans="1:10" ht="25.5" customHeight="1">
      <c r="A149" s="50" t="str">
        <f>CONCATENATE($D141,"2")</f>
        <v>A2</v>
      </c>
      <c r="B149" s="255" t="str">
        <f>IF(VLOOKUP($A149,Players!$A$2:$C$132,3)&lt;&gt;0,VLOOKUP($A149,Players!$A$2:$C$132,3),"")</f>
        <v/>
      </c>
      <c r="C149" s="255"/>
      <c r="D149" s="255"/>
      <c r="E149" s="255"/>
      <c r="F149" s="255"/>
      <c r="G149" s="254" t="str">
        <f>IF(VLOOKUP($I141&amp;RIGHT($A149,1),Players!$A$2:$D$132,3)&lt;&gt;0,VLOOKUP($I141&amp;RIGHT($A149,1),Players!$A$2:$D$132,3),"")</f>
        <v/>
      </c>
      <c r="H149" s="254"/>
      <c r="I149" s="254"/>
      <c r="J149" s="210" t="str">
        <f>IF(VLOOKUP($I141&amp;RIGHT($A149,1),Players!$A$2:$D$132,3)&lt;&gt;0,"("&amp;VLOOKUP($I141&amp;RIGHT($A149,1),Players!$A$2:$D$132,4)&amp;")","")</f>
        <v/>
      </c>
    </row>
    <row r="150" spans="1:10" ht="25.5" customHeight="1">
      <c r="A150" s="50" t="str">
        <f>CONCATENATE($D141,"3")</f>
        <v>A3</v>
      </c>
      <c r="B150" s="255" t="str">
        <f>IF(VLOOKUP($A150,Players!$A$2:$C$132,3)&lt;&gt;0,VLOOKUP($A150,Players!$A$2:$C$132,3),"")</f>
        <v/>
      </c>
      <c r="C150" s="255"/>
      <c r="D150" s="255"/>
      <c r="E150" s="255"/>
      <c r="F150" s="255"/>
      <c r="G150" s="254" t="str">
        <f>IF(VLOOKUP($I141&amp;RIGHT($A150,1),Players!$A$2:$D$132,3)&lt;&gt;0,VLOOKUP($I141&amp;RIGHT($A150,1),Players!$A$2:$D$132,3),"")</f>
        <v/>
      </c>
      <c r="H150" s="254"/>
      <c r="I150" s="254"/>
      <c r="J150" s="210" t="str">
        <f>IF(VLOOKUP($I141&amp;RIGHT($A150,1),Players!$A$2:$D$132,3)&lt;&gt;0,"("&amp;VLOOKUP($I141&amp;RIGHT($A150,1),Players!$A$2:$D$132,4)&amp;")","")</f>
        <v/>
      </c>
    </row>
    <row r="151" spans="1:10" ht="25.5" customHeight="1">
      <c r="A151" s="50" t="str">
        <f>CONCATENATE($D141,"4")</f>
        <v>A4</v>
      </c>
      <c r="B151" s="255" t="str">
        <f>IF(VLOOKUP($A151,Players!$A$2:$C$132,3)&lt;&gt;0,VLOOKUP($A151,Players!$A$2:$C$132,3),"")</f>
        <v/>
      </c>
      <c r="C151" s="255"/>
      <c r="D151" s="255"/>
      <c r="E151" s="255"/>
      <c r="F151" s="255"/>
      <c r="G151" s="254" t="str">
        <f>IF(VLOOKUP($I141&amp;RIGHT($A151,1),Players!$A$2:$D$132,3)&lt;&gt;0,VLOOKUP($I141&amp;RIGHT($A151,1),Players!$A$2:$D$132,3),"")</f>
        <v/>
      </c>
      <c r="H151" s="254"/>
      <c r="I151" s="254"/>
      <c r="J151" s="210" t="str">
        <f>IF(VLOOKUP($I141&amp;RIGHT($A151,1),Players!$A$2:$D$132,3)&lt;&gt;0,"("&amp;VLOOKUP($I141&amp;RIGHT($A151,1),Players!$A$2:$D$132,4)&amp;")","")</f>
        <v/>
      </c>
    </row>
    <row r="152" spans="1:10" ht="25.5" customHeight="1">
      <c r="A152" s="50" t="str">
        <f>CONCATENATE($D141,"5")</f>
        <v>A5</v>
      </c>
      <c r="B152" s="255" t="str">
        <f>IF(VLOOKUP($A152,Players!$A$2:$C$132,3)&lt;&gt;0,VLOOKUP($A152,Players!$A$2:$C$132,3),"")</f>
        <v/>
      </c>
      <c r="C152" s="255"/>
      <c r="D152" s="255"/>
      <c r="E152" s="255"/>
      <c r="F152" s="255"/>
      <c r="G152" s="254" t="str">
        <f>IF(VLOOKUP($I141&amp;RIGHT($A152,1),Players!$A$2:$D$132,3)&lt;&gt;0,VLOOKUP($I141&amp;RIGHT($A152,1),Players!$A$2:$D$132,3),"")</f>
        <v/>
      </c>
      <c r="H152" s="254"/>
      <c r="I152" s="254"/>
      <c r="J152" s="210" t="str">
        <f>IF(VLOOKUP($I141&amp;RIGHT($A152,1),Players!$A$2:$D$132,3)&lt;&gt;0,"("&amp;VLOOKUP($I141&amp;RIGHT($A152,1),Players!$A$2:$D$132,4)&amp;")","")</f>
        <v/>
      </c>
    </row>
    <row r="153" spans="1:10" ht="25.5" customHeight="1">
      <c r="A153" s="50" t="str">
        <f>CONCATENATE($D141,"6")</f>
        <v>A6</v>
      </c>
      <c r="B153" s="255" t="str">
        <f>IF(VLOOKUP($A153,Players!$A$2:$C$132,3)&lt;&gt;0,VLOOKUP($A153,Players!$A$2:$C$132,3),"")</f>
        <v/>
      </c>
      <c r="C153" s="255"/>
      <c r="D153" s="255"/>
      <c r="E153" s="255"/>
      <c r="F153" s="255"/>
      <c r="G153" s="254" t="str">
        <f>IF(VLOOKUP($I141&amp;RIGHT($A153,1),Players!$A$2:$D$132,3)&lt;&gt;0,VLOOKUP($I141&amp;RIGHT($A153,1),Players!$A$2:$D$132,3),"")</f>
        <v/>
      </c>
      <c r="H153" s="254"/>
      <c r="I153" s="254"/>
      <c r="J153" s="210" t="str">
        <f>IF(VLOOKUP($I141&amp;RIGHT($A153,1),Players!$A$2:$D$132,3)&lt;&gt;0,"("&amp;VLOOKUP($I141&amp;RIGHT($A153,1),Players!$A$2:$D$132,4)&amp;")","")</f>
        <v/>
      </c>
    </row>
    <row r="154" spans="1:10" ht="25.5" customHeight="1">
      <c r="A154" s="50" t="str">
        <f>CONCATENATE($D141,"7")</f>
        <v>A7</v>
      </c>
      <c r="B154" s="255" t="str">
        <f>IF(VLOOKUP($A154,Players!$A$2:$C$132,3)&lt;&gt;0,VLOOKUP($A154,Players!$A$2:$C$132,3),"")</f>
        <v/>
      </c>
      <c r="C154" s="255"/>
      <c r="D154" s="255"/>
      <c r="E154" s="255"/>
      <c r="F154" s="255"/>
      <c r="G154" s="254" t="str">
        <f>IF(VLOOKUP($I141&amp;RIGHT($A154,1),Players!$A$2:$D$132,3)&lt;&gt;0,VLOOKUP($I141&amp;RIGHT($A154,1),Players!$A$2:$D$132,3),"")</f>
        <v/>
      </c>
      <c r="H154" s="254"/>
      <c r="I154" s="254"/>
      <c r="J154" s="210" t="str">
        <f>IF(VLOOKUP($I141&amp;RIGHT($A154,1),Players!$A$2:$D$132,3)&lt;&gt;0,"("&amp;VLOOKUP($I141&amp;RIGHT($A154,1),Players!$A$2:$D$132,4)&amp;")","")</f>
        <v/>
      </c>
    </row>
    <row r="155" spans="1:10" ht="25.5" customHeight="1">
      <c r="A155" s="50" t="str">
        <f>CONCATENATE($D141,"8")</f>
        <v>A8</v>
      </c>
      <c r="B155" s="255" t="str">
        <f>IF(VLOOKUP($A155,Players!$A$2:$C$132,3)&lt;&gt;0,VLOOKUP($A155,Players!$A$2:$C$132,3),"")</f>
        <v/>
      </c>
      <c r="C155" s="255"/>
      <c r="D155" s="255"/>
      <c r="E155" s="255"/>
      <c r="F155" s="255"/>
      <c r="G155" s="254" t="str">
        <f>IF(VLOOKUP($I141&amp;RIGHT($A155,1),Players!$A$2:$D$132,3)&lt;&gt;0,VLOOKUP($I141&amp;RIGHT($A155,1),Players!$A$2:$D$132,3),"")</f>
        <v/>
      </c>
      <c r="H155" s="254"/>
      <c r="I155" s="254"/>
      <c r="J155" s="210" t="str">
        <f>IF(VLOOKUP($I141&amp;RIGHT($A155,1),Players!$A$2:$D$132,3)&lt;&gt;0,"("&amp;VLOOKUP($I141&amp;RIGHT($A155,1),Players!$A$2:$D$132,4)&amp;")","")</f>
        <v/>
      </c>
    </row>
    <row r="156" spans="1:10" ht="25.5" customHeight="1">
      <c r="A156" s="50"/>
      <c r="B156" s="26"/>
      <c r="C156" s="26"/>
      <c r="D156" s="26"/>
      <c r="E156" s="26"/>
      <c r="F156" s="27"/>
      <c r="G156" s="43"/>
      <c r="H156" s="43"/>
      <c r="I156" s="43"/>
      <c r="J156" s="43"/>
    </row>
    <row r="157" spans="1:10">
      <c r="A157" s="49" t="s">
        <v>1225</v>
      </c>
      <c r="B157" s="46"/>
      <c r="C157" s="46"/>
      <c r="D157" s="46"/>
      <c r="E157" s="46"/>
      <c r="F157" s="46"/>
      <c r="G157" s="43"/>
      <c r="H157" s="43"/>
      <c r="I157" s="43"/>
      <c r="J157" s="43"/>
    </row>
    <row r="158" spans="1:10">
      <c r="A158" s="46" t="s">
        <v>1247</v>
      </c>
      <c r="B158" s="46"/>
      <c r="C158" s="46"/>
      <c r="D158" s="46"/>
      <c r="E158" s="46"/>
      <c r="F158" s="46"/>
      <c r="G158" s="43"/>
      <c r="H158" s="43"/>
      <c r="I158" s="43"/>
      <c r="J158" s="43"/>
    </row>
    <row r="159" spans="1:10">
      <c r="A159" s="46" t="s">
        <v>1248</v>
      </c>
      <c r="B159" s="46"/>
      <c r="C159" s="46"/>
      <c r="D159" s="46"/>
      <c r="E159" s="46"/>
      <c r="F159" s="46"/>
      <c r="G159" s="43"/>
      <c r="H159" s="43"/>
      <c r="I159" s="43"/>
      <c r="J159" s="43"/>
    </row>
    <row r="160" spans="1:10" ht="13.5" thickBot="1">
      <c r="A160" s="46"/>
      <c r="B160" s="46"/>
      <c r="C160" s="46"/>
      <c r="D160" s="46"/>
      <c r="E160" s="46"/>
      <c r="F160" s="46"/>
      <c r="G160" s="43"/>
      <c r="H160" s="43"/>
      <c r="I160" s="43"/>
      <c r="J160" s="43"/>
    </row>
    <row r="161" spans="1:10" ht="25.5" customHeight="1" thickBot="1">
      <c r="A161" s="50"/>
      <c r="B161" s="257"/>
      <c r="C161" s="258"/>
      <c r="D161" s="258"/>
      <c r="E161" s="258"/>
      <c r="F161" s="259"/>
      <c r="G161" s="43"/>
      <c r="H161" s="43"/>
      <c r="I161" s="43"/>
      <c r="J161" s="43"/>
    </row>
    <row r="162" spans="1:10">
      <c r="A162" s="43"/>
      <c r="B162" s="43"/>
      <c r="C162" s="43"/>
      <c r="D162" s="43"/>
      <c r="E162" s="43"/>
      <c r="F162" s="43"/>
      <c r="G162" s="43"/>
      <c r="H162" s="43"/>
      <c r="I162" s="43"/>
      <c r="J162" s="43"/>
    </row>
    <row r="163" spans="1:10">
      <c r="A163" s="43"/>
      <c r="B163" s="43"/>
      <c r="C163" s="43"/>
      <c r="D163" s="43"/>
      <c r="E163" s="43"/>
      <c r="F163" s="43"/>
      <c r="G163" s="43"/>
      <c r="H163" s="43"/>
      <c r="I163" s="43"/>
      <c r="J163" s="43"/>
    </row>
    <row r="164" spans="1:10">
      <c r="A164" s="43"/>
      <c r="B164" s="43"/>
      <c r="C164" s="43"/>
      <c r="D164" s="43"/>
      <c r="E164" s="43"/>
      <c r="F164" s="43"/>
      <c r="G164" s="43"/>
      <c r="H164" s="43"/>
      <c r="I164" s="43"/>
      <c r="J164" s="43"/>
    </row>
    <row r="165" spans="1:10">
      <c r="A165" s="43"/>
      <c r="B165" s="43"/>
      <c r="C165" s="43"/>
      <c r="D165" s="43"/>
      <c r="E165" s="43"/>
      <c r="F165" s="43"/>
      <c r="G165" s="43"/>
      <c r="H165" s="43"/>
      <c r="I165" s="43"/>
      <c r="J165" s="43"/>
    </row>
    <row r="166" spans="1:10">
      <c r="A166" s="43"/>
      <c r="B166" s="43"/>
      <c r="C166" s="43"/>
      <c r="D166" s="43"/>
      <c r="E166" s="43"/>
      <c r="F166" s="43"/>
      <c r="G166" s="43"/>
      <c r="H166" s="43"/>
      <c r="I166" s="43"/>
      <c r="J166" s="43"/>
    </row>
    <row r="167" spans="1:10" ht="25.5" customHeight="1">
      <c r="A167" s="47"/>
      <c r="B167" s="47"/>
      <c r="C167" s="47"/>
      <c r="D167" s="47"/>
      <c r="E167" s="47"/>
      <c r="F167" s="43"/>
      <c r="G167" s="51"/>
      <c r="H167" s="250" t="s">
        <v>1227</v>
      </c>
      <c r="I167" s="251"/>
      <c r="J167" s="43"/>
    </row>
    <row r="168" spans="1:10">
      <c r="A168" s="43" t="s">
        <v>1226</v>
      </c>
      <c r="B168" s="43"/>
      <c r="C168" s="43"/>
      <c r="D168" s="43"/>
      <c r="E168" s="43"/>
      <c r="F168" s="43"/>
      <c r="G168" s="43"/>
      <c r="H168" s="43"/>
      <c r="I168" s="43"/>
      <c r="J168" s="43"/>
    </row>
    <row r="169" spans="1:10">
      <c r="A169" s="43"/>
      <c r="B169" s="43"/>
      <c r="C169" s="43"/>
      <c r="D169" s="43"/>
      <c r="E169" s="43"/>
      <c r="F169" s="43"/>
      <c r="G169" s="43"/>
      <c r="H169" s="43"/>
      <c r="I169" s="43"/>
      <c r="J169" s="43"/>
    </row>
    <row r="170" spans="1:10">
      <c r="A170" s="43"/>
      <c r="B170" s="43"/>
      <c r="C170" s="43"/>
      <c r="D170" s="43"/>
      <c r="E170" s="256" t="str">
        <f>CONCATENATE("(",$D141," vs ",$I141,")")</f>
        <v>(A vs B)</v>
      </c>
      <c r="F170" s="256"/>
      <c r="G170" s="43"/>
      <c r="H170" s="43"/>
      <c r="I170" s="43"/>
      <c r="J170" s="43"/>
    </row>
    <row r="171" spans="1:10" ht="15.75">
      <c r="A171" s="42" t="s">
        <v>1223</v>
      </c>
      <c r="B171" s="43"/>
      <c r="C171" s="43"/>
      <c r="D171" s="43"/>
      <c r="E171" s="43"/>
      <c r="F171" s="43"/>
      <c r="G171" s="43"/>
      <c r="H171" s="43"/>
      <c r="I171" s="43"/>
      <c r="J171" s="96" t="s">
        <v>4224</v>
      </c>
    </row>
    <row r="172" spans="1:10" ht="12.75" customHeight="1">
      <c r="A172" s="42"/>
      <c r="B172" s="43"/>
      <c r="C172" s="43"/>
      <c r="D172" s="43"/>
      <c r="E172" s="43"/>
      <c r="F172" s="43"/>
      <c r="G172" s="43" t="str">
        <f ca="1">Team_Matches!$J$6</f>
        <v>[NCTTA Teams Template (v2.06).xlsx]</v>
      </c>
      <c r="H172" s="43"/>
      <c r="I172" s="43"/>
      <c r="J172" s="160"/>
    </row>
    <row r="173" spans="1:10" ht="12.75" customHeight="1">
      <c r="A173" s="42"/>
      <c r="B173" s="43"/>
      <c r="C173" s="43"/>
      <c r="D173" s="43"/>
      <c r="E173" s="43"/>
      <c r="F173" s="43"/>
      <c r="G173" s="247" t="str">
        <f>Team_Matches!$J109</f>
        <v>Round 2, Match 1</v>
      </c>
      <c r="H173" s="247"/>
      <c r="I173" s="161" t="str">
        <f>Team_Matches!$M109</f>
        <v/>
      </c>
      <c r="J173" s="161"/>
    </row>
    <row r="174" spans="1:10" ht="15.75">
      <c r="A174" s="42"/>
      <c r="B174" s="43"/>
      <c r="C174" s="43"/>
      <c r="D174" s="43"/>
      <c r="E174" s="43"/>
      <c r="F174" s="43"/>
      <c r="G174" s="43"/>
      <c r="H174" s="43"/>
      <c r="I174" s="43"/>
      <c r="J174" s="43"/>
    </row>
    <row r="175" spans="1:10">
      <c r="A175" s="43"/>
      <c r="B175" s="43"/>
      <c r="C175" s="9" t="s">
        <v>1228</v>
      </c>
      <c r="D175" s="52" t="str">
        <f>Team_Matches!$B111</f>
        <v>A</v>
      </c>
      <c r="E175" s="43"/>
      <c r="F175" s="97" t="str">
        <f>CONCATENATE($D175,"-",$I175)</f>
        <v>A-B</v>
      </c>
      <c r="G175" s="43"/>
      <c r="H175" s="9" t="s">
        <v>1228</v>
      </c>
      <c r="I175" s="52" t="str">
        <f>Team_Matches!$K111</f>
        <v>B</v>
      </c>
      <c r="J175" s="43"/>
    </row>
    <row r="176" spans="1:10" ht="25.5" customHeight="1">
      <c r="A176" s="44"/>
      <c r="B176" s="252" t="str">
        <f>IF(VLOOKUP($D175,Draw!$A$4:$B$27,2)&lt;&gt;0,VLOOKUP($D175,Draw!$A$4:$B$27,2),"")</f>
        <v/>
      </c>
      <c r="C176" s="252"/>
      <c r="D176" s="252"/>
      <c r="E176" s="253"/>
      <c r="F176" s="45"/>
      <c r="G176" s="248" t="str">
        <f>IF(VLOOKUP($I175,Draw!$A$4:$B$27,2)&lt;&gt;0,VLOOKUP($I175,Draw!$A$4:$B$27,2),"")</f>
        <v/>
      </c>
      <c r="H176" s="248"/>
      <c r="I176" s="248"/>
      <c r="J176" s="249"/>
    </row>
    <row r="177" spans="1:10" ht="25.5" customHeight="1"/>
    <row r="178" spans="1:10" ht="25.5" customHeight="1"/>
    <row r="179" spans="1:10" ht="24" customHeight="1">
      <c r="A179" s="48" t="s">
        <v>1246</v>
      </c>
      <c r="B179" s="43"/>
      <c r="C179" s="43"/>
      <c r="D179" s="43"/>
      <c r="E179" s="43"/>
      <c r="F179" s="43"/>
      <c r="G179" s="43"/>
      <c r="H179" s="43"/>
      <c r="I179" s="43"/>
      <c r="J179" s="43"/>
    </row>
    <row r="180" spans="1:10" ht="24" customHeight="1">
      <c r="A180" s="48"/>
      <c r="B180" s="43"/>
      <c r="C180" s="43"/>
      <c r="D180" s="43"/>
      <c r="E180" s="43"/>
      <c r="F180" s="43"/>
      <c r="G180" s="43"/>
      <c r="H180" s="43"/>
      <c r="I180" s="43"/>
      <c r="J180" s="43"/>
    </row>
    <row r="181" spans="1:10">
      <c r="A181" s="49" t="s">
        <v>1224</v>
      </c>
      <c r="B181" s="46"/>
      <c r="C181" s="46"/>
      <c r="D181" s="46"/>
      <c r="E181" s="46"/>
      <c r="F181" s="46"/>
      <c r="G181" s="260" t="s">
        <v>10336</v>
      </c>
      <c r="H181" s="260"/>
      <c r="I181" s="260"/>
      <c r="J181" s="260"/>
    </row>
    <row r="182" spans="1:10" ht="24" customHeight="1">
      <c r="A182" s="50" t="str">
        <f>CONCATENATE($I175,"1")</f>
        <v>B1</v>
      </c>
      <c r="B182" s="255" t="str">
        <f>IF(VLOOKUP($A182,Players!$A$2:$C$132,3)&lt;&gt;0,VLOOKUP($A182,Players!$A$2:$C$132,3),"")</f>
        <v/>
      </c>
      <c r="C182" s="255"/>
      <c r="D182" s="255"/>
      <c r="E182" s="255"/>
      <c r="F182" s="255"/>
      <c r="G182" s="254" t="str">
        <f>IF(VLOOKUP($D175&amp;RIGHT($A182,1),Players!$A$2:$D$132,3)&lt;&gt;0,VLOOKUP($D175&amp;RIGHT($A182,1),Players!$A$2:$D$132,3),"")</f>
        <v/>
      </c>
      <c r="H182" s="254"/>
      <c r="I182" s="254"/>
      <c r="J182" s="210" t="str">
        <f>IF(VLOOKUP($D175&amp;RIGHT($A182,1),Players!$A$2:$D$132,3)&lt;&gt;0,"("&amp;VLOOKUP($D175&amp;RIGHT($A182,1),Players!$A$2:$D$132,4)&amp;")","")</f>
        <v/>
      </c>
    </row>
    <row r="183" spans="1:10" ht="25.5" customHeight="1">
      <c r="A183" s="50" t="str">
        <f>CONCATENATE($I175,"2")</f>
        <v>B2</v>
      </c>
      <c r="B183" s="255" t="str">
        <f>IF(VLOOKUP($A183,Players!$A$2:$C$132,3)&lt;&gt;0,VLOOKUP($A183,Players!$A$2:$C$132,3),"")</f>
        <v/>
      </c>
      <c r="C183" s="255"/>
      <c r="D183" s="255"/>
      <c r="E183" s="255"/>
      <c r="F183" s="255"/>
      <c r="G183" s="254" t="str">
        <f>IF(VLOOKUP($D175&amp;RIGHT($A183,1),Players!$A$2:$D$132,3)&lt;&gt;0,VLOOKUP($D175&amp;RIGHT($A183,1),Players!$A$2:$D$132,3),"")</f>
        <v/>
      </c>
      <c r="H183" s="254"/>
      <c r="I183" s="254"/>
      <c r="J183" s="210" t="str">
        <f>IF(VLOOKUP($D175&amp;RIGHT($A183,1),Players!$A$2:$D$132,3)&lt;&gt;0,"("&amp;VLOOKUP($D175&amp;RIGHT($A183,1),Players!$A$2:$D$132,4)&amp;")","")</f>
        <v/>
      </c>
    </row>
    <row r="184" spans="1:10" ht="25.5" customHeight="1">
      <c r="A184" s="50" t="str">
        <f>CONCATENATE($I175,"3")</f>
        <v>B3</v>
      </c>
      <c r="B184" s="255" t="str">
        <f>IF(VLOOKUP($A184,Players!$A$2:$C$132,3)&lt;&gt;0,VLOOKUP($A184,Players!$A$2:$C$132,3),"")</f>
        <v/>
      </c>
      <c r="C184" s="255"/>
      <c r="D184" s="255"/>
      <c r="E184" s="255"/>
      <c r="F184" s="255"/>
      <c r="G184" s="254" t="str">
        <f>IF(VLOOKUP($D175&amp;RIGHT($A184,1),Players!$A$2:$D$132,3)&lt;&gt;0,VLOOKUP($D175&amp;RIGHT($A184,1),Players!$A$2:$D$132,3),"")</f>
        <v/>
      </c>
      <c r="H184" s="254"/>
      <c r="I184" s="254"/>
      <c r="J184" s="210" t="str">
        <f>IF(VLOOKUP($D175&amp;RIGHT($A184,1),Players!$A$2:$D$132,3)&lt;&gt;0,"("&amp;VLOOKUP($D175&amp;RIGHT($A184,1),Players!$A$2:$D$132,4)&amp;")","")</f>
        <v/>
      </c>
    </row>
    <row r="185" spans="1:10" ht="25.5" customHeight="1">
      <c r="A185" s="50" t="str">
        <f>CONCATENATE($I175,"4")</f>
        <v>B4</v>
      </c>
      <c r="B185" s="255" t="str">
        <f>IF(VLOOKUP($A185,Players!$A$2:$C$132,3)&lt;&gt;0,VLOOKUP($A185,Players!$A$2:$C$132,3),"")</f>
        <v/>
      </c>
      <c r="C185" s="255"/>
      <c r="D185" s="255"/>
      <c r="E185" s="255"/>
      <c r="F185" s="255"/>
      <c r="G185" s="254" t="str">
        <f>IF(VLOOKUP($D175&amp;RIGHT($A185,1),Players!$A$2:$D$132,3)&lt;&gt;0,VLOOKUP($D175&amp;RIGHT($A185,1),Players!$A$2:$D$132,3),"")</f>
        <v/>
      </c>
      <c r="H185" s="254"/>
      <c r="I185" s="254"/>
      <c r="J185" s="210" t="str">
        <f>IF(VLOOKUP($D175&amp;RIGHT($A185,1),Players!$A$2:$D$132,3)&lt;&gt;0,"("&amp;VLOOKUP($D175&amp;RIGHT($A185,1),Players!$A$2:$D$132,4)&amp;")","")</f>
        <v/>
      </c>
    </row>
    <row r="186" spans="1:10" ht="25.5" customHeight="1">
      <c r="A186" s="50" t="str">
        <f>CONCATENATE($I175,"5")</f>
        <v>B5</v>
      </c>
      <c r="B186" s="255" t="str">
        <f>IF(VLOOKUP($A186,Players!$A$2:$C$132,3)&lt;&gt;0,VLOOKUP($A186,Players!$A$2:$C$132,3),"")</f>
        <v/>
      </c>
      <c r="C186" s="255"/>
      <c r="D186" s="255"/>
      <c r="E186" s="255"/>
      <c r="F186" s="255"/>
      <c r="G186" s="254" t="str">
        <f>IF(VLOOKUP($D175&amp;RIGHT($A186,1),Players!$A$2:$D$132,3)&lt;&gt;0,VLOOKUP($D175&amp;RIGHT($A186,1),Players!$A$2:$D$132,3),"")</f>
        <v/>
      </c>
      <c r="H186" s="254"/>
      <c r="I186" s="254"/>
      <c r="J186" s="210" t="str">
        <f>IF(VLOOKUP($D175&amp;RIGHT($A186,1),Players!$A$2:$D$132,3)&lt;&gt;0,"("&amp;VLOOKUP($D175&amp;RIGHT($A186,1),Players!$A$2:$D$132,4)&amp;")","")</f>
        <v/>
      </c>
    </row>
    <row r="187" spans="1:10" ht="25.5" customHeight="1">
      <c r="A187" s="50" t="str">
        <f>CONCATENATE($I175,"6")</f>
        <v>B6</v>
      </c>
      <c r="B187" s="255" t="str">
        <f>IF(VLOOKUP($A187,Players!$A$2:$C$132,3)&lt;&gt;0,VLOOKUP($A187,Players!$A$2:$C$132,3),"")</f>
        <v/>
      </c>
      <c r="C187" s="255"/>
      <c r="D187" s="255"/>
      <c r="E187" s="255"/>
      <c r="F187" s="255"/>
      <c r="G187" s="254" t="str">
        <f>IF(VLOOKUP($D175&amp;RIGHT($A187,1),Players!$A$2:$D$132,3)&lt;&gt;0,VLOOKUP($D175&amp;RIGHT($A187,1),Players!$A$2:$D$132,3),"")</f>
        <v/>
      </c>
      <c r="H187" s="254"/>
      <c r="I187" s="254"/>
      <c r="J187" s="210" t="str">
        <f>IF(VLOOKUP($D175&amp;RIGHT($A187,1),Players!$A$2:$D$132,3)&lt;&gt;0,"("&amp;VLOOKUP($D175&amp;RIGHT($A187,1),Players!$A$2:$D$132,4)&amp;")","")</f>
        <v/>
      </c>
    </row>
    <row r="188" spans="1:10" ht="25.5" customHeight="1">
      <c r="A188" s="50" t="str">
        <f>CONCATENATE($I175,"7")</f>
        <v>B7</v>
      </c>
      <c r="B188" s="255" t="str">
        <f>IF(VLOOKUP($A188,Players!$A$2:$C$132,3)&lt;&gt;0,VLOOKUP($A188,Players!$A$2:$C$132,3),"")</f>
        <v/>
      </c>
      <c r="C188" s="255"/>
      <c r="D188" s="255"/>
      <c r="E188" s="255"/>
      <c r="F188" s="255"/>
      <c r="G188" s="254" t="str">
        <f>IF(VLOOKUP($D175&amp;RIGHT($A188,1),Players!$A$2:$D$132,3)&lt;&gt;0,VLOOKUP($D175&amp;RIGHT($A188,1),Players!$A$2:$D$132,3),"")</f>
        <v/>
      </c>
      <c r="H188" s="254"/>
      <c r="I188" s="254"/>
      <c r="J188" s="210" t="str">
        <f>IF(VLOOKUP($D175&amp;RIGHT($A188,1),Players!$A$2:$D$132,3)&lt;&gt;0,"("&amp;VLOOKUP($D175&amp;RIGHT($A188,1),Players!$A$2:$D$132,4)&amp;")","")</f>
        <v/>
      </c>
    </row>
    <row r="189" spans="1:10" ht="25.5" customHeight="1">
      <c r="A189" s="50" t="str">
        <f>CONCATENATE($I175,"8")</f>
        <v>B8</v>
      </c>
      <c r="B189" s="255" t="str">
        <f>IF(VLOOKUP($A189,Players!$A$2:$C$132,3)&lt;&gt;0,VLOOKUP($A189,Players!$A$2:$C$132,3),"")</f>
        <v/>
      </c>
      <c r="C189" s="255"/>
      <c r="D189" s="255"/>
      <c r="E189" s="255"/>
      <c r="F189" s="255"/>
      <c r="G189" s="254" t="str">
        <f>IF(VLOOKUP($D175&amp;RIGHT($A189,1),Players!$A$2:$D$132,3)&lt;&gt;0,VLOOKUP($D175&amp;RIGHT($A189,1),Players!$A$2:$D$132,3),"")</f>
        <v/>
      </c>
      <c r="H189" s="254"/>
      <c r="I189" s="254"/>
      <c r="J189" s="210" t="str">
        <f>IF(VLOOKUP($D175&amp;RIGHT($A189,1),Players!$A$2:$D$132,3)&lt;&gt;0,"("&amp;VLOOKUP($D175&amp;RIGHT($A189,1),Players!$A$2:$D$132,4)&amp;")","")</f>
        <v/>
      </c>
    </row>
    <row r="190" spans="1:10" ht="25.5" customHeight="1">
      <c r="A190" s="50"/>
      <c r="B190" s="26"/>
      <c r="C190" s="26"/>
      <c r="D190" s="26"/>
      <c r="E190" s="26"/>
      <c r="F190" s="27"/>
      <c r="G190" s="43"/>
      <c r="H190" s="43"/>
      <c r="I190" s="43"/>
      <c r="J190" s="43"/>
    </row>
    <row r="191" spans="1:10">
      <c r="A191" s="49" t="s">
        <v>1225</v>
      </c>
      <c r="B191" s="46"/>
      <c r="C191" s="46"/>
      <c r="D191" s="46"/>
      <c r="E191" s="46"/>
      <c r="F191" s="46"/>
      <c r="G191" s="43"/>
      <c r="H191" s="43"/>
      <c r="I191" s="43"/>
      <c r="J191" s="43"/>
    </row>
    <row r="192" spans="1:10">
      <c r="A192" s="46" t="s">
        <v>1247</v>
      </c>
      <c r="B192" s="46"/>
      <c r="C192" s="46"/>
      <c r="D192" s="46"/>
      <c r="E192" s="46"/>
      <c r="F192" s="46"/>
      <c r="G192" s="43"/>
      <c r="H192" s="43"/>
      <c r="I192" s="43"/>
      <c r="J192" s="43"/>
    </row>
    <row r="193" spans="1:10">
      <c r="A193" s="46" t="s">
        <v>1248</v>
      </c>
      <c r="B193" s="46"/>
      <c r="C193" s="46"/>
      <c r="D193" s="46"/>
      <c r="E193" s="46"/>
      <c r="F193" s="46"/>
      <c r="G193" s="43"/>
      <c r="H193" s="43"/>
      <c r="I193" s="43"/>
      <c r="J193" s="43"/>
    </row>
    <row r="194" spans="1:10" ht="13.5" thickBot="1">
      <c r="A194" s="46"/>
      <c r="B194" s="46"/>
      <c r="C194" s="46"/>
      <c r="D194" s="46"/>
      <c r="E194" s="46"/>
      <c r="F194" s="46"/>
      <c r="G194" s="43"/>
      <c r="H194" s="43"/>
      <c r="I194" s="43"/>
      <c r="J194" s="43"/>
    </row>
    <row r="195" spans="1:10" ht="25.5" customHeight="1" thickBot="1">
      <c r="A195" s="50"/>
      <c r="B195" s="257"/>
      <c r="C195" s="258"/>
      <c r="D195" s="258"/>
      <c r="E195" s="258"/>
      <c r="F195" s="259"/>
      <c r="G195" s="43"/>
      <c r="H195" s="43"/>
      <c r="I195" s="43"/>
      <c r="J195" s="43"/>
    </row>
    <row r="196" spans="1:10">
      <c r="A196" s="43"/>
      <c r="B196" s="43"/>
      <c r="C196" s="43"/>
      <c r="D196" s="43"/>
      <c r="E196" s="43"/>
      <c r="F196" s="43"/>
      <c r="G196" s="43"/>
      <c r="H196" s="43"/>
      <c r="I196" s="43"/>
      <c r="J196" s="43"/>
    </row>
    <row r="197" spans="1:10">
      <c r="A197" s="43"/>
      <c r="B197" s="43"/>
      <c r="C197" s="43"/>
      <c r="D197" s="43"/>
      <c r="E197" s="43"/>
      <c r="F197" s="43"/>
      <c r="G197" s="43"/>
      <c r="H197" s="43"/>
      <c r="I197" s="43"/>
      <c r="J197" s="43"/>
    </row>
    <row r="198" spans="1:10">
      <c r="A198" s="43"/>
      <c r="B198" s="43"/>
      <c r="C198" s="43"/>
      <c r="D198" s="43"/>
      <c r="E198" s="43"/>
      <c r="F198" s="43"/>
      <c r="G198" s="43"/>
      <c r="H198" s="43"/>
      <c r="I198" s="43"/>
      <c r="J198" s="43"/>
    </row>
    <row r="199" spans="1:10">
      <c r="A199" s="43"/>
      <c r="B199" s="43"/>
      <c r="C199" s="43"/>
      <c r="D199" s="43"/>
      <c r="E199" s="43"/>
      <c r="F199" s="43"/>
      <c r="G199" s="43"/>
      <c r="H199" s="43"/>
      <c r="I199" s="43"/>
      <c r="J199" s="43"/>
    </row>
    <row r="200" spans="1:10">
      <c r="A200" s="43"/>
      <c r="B200" s="43"/>
      <c r="C200" s="43"/>
      <c r="D200" s="43"/>
      <c r="E200" s="43"/>
      <c r="F200" s="43"/>
      <c r="G200" s="43"/>
      <c r="H200" s="43"/>
      <c r="I200" s="43"/>
      <c r="J200" s="43"/>
    </row>
    <row r="201" spans="1:10" ht="25.5" customHeight="1">
      <c r="A201" s="47"/>
      <c r="B201" s="47"/>
      <c r="C201" s="47"/>
      <c r="D201" s="47"/>
      <c r="E201" s="47"/>
      <c r="F201" s="43"/>
      <c r="G201" s="51"/>
      <c r="H201" s="250" t="s">
        <v>1227</v>
      </c>
      <c r="I201" s="251"/>
      <c r="J201" s="43"/>
    </row>
    <row r="202" spans="1:10">
      <c r="A202" s="43" t="s">
        <v>1226</v>
      </c>
      <c r="B202" s="43"/>
      <c r="C202" s="43"/>
      <c r="D202" s="43"/>
      <c r="E202" s="43"/>
      <c r="F202" s="43"/>
      <c r="G202" s="43"/>
      <c r="H202" s="43"/>
      <c r="I202" s="43"/>
      <c r="J202" s="43"/>
    </row>
    <row r="203" spans="1:10">
      <c r="A203" s="43"/>
      <c r="B203" s="43"/>
      <c r="C203" s="43"/>
      <c r="D203" s="43"/>
      <c r="E203" s="43"/>
      <c r="F203" s="43"/>
      <c r="G203" s="43"/>
      <c r="H203" s="43"/>
      <c r="I203" s="43"/>
      <c r="J203" s="43"/>
    </row>
    <row r="204" spans="1:10">
      <c r="A204" s="43"/>
      <c r="B204" s="43"/>
      <c r="C204" s="43"/>
      <c r="D204" s="43"/>
      <c r="E204" s="256" t="str">
        <f>CONCATENATE("(",$D175," vs ",$I175,")")</f>
        <v>(A vs B)</v>
      </c>
      <c r="F204" s="256"/>
      <c r="G204" s="43"/>
      <c r="H204" s="43"/>
      <c r="I204" s="43"/>
      <c r="J204" s="43"/>
    </row>
    <row r="205" spans="1:10" ht="15.75">
      <c r="A205" s="42" t="s">
        <v>1223</v>
      </c>
      <c r="B205" s="43"/>
      <c r="C205" s="43"/>
      <c r="D205" s="43"/>
      <c r="E205" s="43"/>
      <c r="F205" s="43"/>
      <c r="G205" s="43"/>
      <c r="H205" s="43"/>
      <c r="I205" s="43"/>
      <c r="J205" s="96" t="s">
        <v>4225</v>
      </c>
    </row>
    <row r="206" spans="1:10" ht="12.75" customHeight="1">
      <c r="A206" s="42"/>
      <c r="B206" s="43"/>
      <c r="C206" s="43"/>
      <c r="D206" s="43"/>
      <c r="E206" s="43"/>
      <c r="F206" s="43"/>
      <c r="G206" s="43" t="str">
        <f ca="1">Team_Matches!$J$6</f>
        <v>[NCTTA Teams Template (v2.06).xlsx]</v>
      </c>
      <c r="H206" s="43"/>
      <c r="I206" s="43"/>
      <c r="J206" s="160"/>
    </row>
    <row r="207" spans="1:10" ht="12.75" customHeight="1">
      <c r="A207" s="42"/>
      <c r="B207" s="43"/>
      <c r="C207" s="43"/>
      <c r="D207" s="43"/>
      <c r="E207" s="43"/>
      <c r="F207" s="43"/>
      <c r="G207" s="247" t="str">
        <f>Team_Matches!$J160</f>
        <v>Round 2, Match 2</v>
      </c>
      <c r="H207" s="247"/>
      <c r="I207" s="161" t="str">
        <f>Team_Matches!$M160</f>
        <v/>
      </c>
      <c r="J207" s="161"/>
    </row>
    <row r="208" spans="1:10" ht="15.75">
      <c r="A208" s="42"/>
      <c r="B208" s="43"/>
      <c r="C208" s="43"/>
      <c r="D208" s="43"/>
      <c r="E208" s="43"/>
      <c r="F208" s="43"/>
      <c r="G208" s="43"/>
      <c r="H208" s="43"/>
      <c r="I208" s="43"/>
      <c r="J208" s="43"/>
    </row>
    <row r="209" spans="1:10">
      <c r="A209" s="43"/>
      <c r="B209" s="43"/>
      <c r="C209" s="9" t="s">
        <v>1228</v>
      </c>
      <c r="D209" s="3" t="str">
        <f>Team_Matches!$B162</f>
        <v>C</v>
      </c>
      <c r="E209" s="43"/>
      <c r="F209" s="97" t="str">
        <f>CONCATENATE($D209,"-",$I209)</f>
        <v>C-D</v>
      </c>
      <c r="G209" s="43"/>
      <c r="H209" s="9" t="s">
        <v>1228</v>
      </c>
      <c r="I209" s="52" t="str">
        <f>Team_Matches!$K162</f>
        <v>D</v>
      </c>
      <c r="J209" s="43"/>
    </row>
    <row r="210" spans="1:10" ht="25.5" customHeight="1">
      <c r="A210" s="44"/>
      <c r="B210" s="248" t="str">
        <f>IF(VLOOKUP($D209,Draw!$A$4:$B$27,2)&lt;&gt;0,VLOOKUP($D209,Draw!$A$4:$B$27,2),"")</f>
        <v/>
      </c>
      <c r="C210" s="248"/>
      <c r="D210" s="248"/>
      <c r="E210" s="249"/>
      <c r="F210" s="45"/>
      <c r="G210" s="252" t="str">
        <f>IF(VLOOKUP($I209,Draw!$A$4:$B$27,2)&lt;&gt;0,VLOOKUP($I209,Draw!$A$4:$B$27,2),"")</f>
        <v/>
      </c>
      <c r="H210" s="252"/>
      <c r="I210" s="252"/>
      <c r="J210" s="253"/>
    </row>
    <row r="211" spans="1:10" ht="25.5" customHeight="1"/>
    <row r="212" spans="1:10" ht="25.5" customHeight="1"/>
    <row r="213" spans="1:10" ht="24" customHeight="1">
      <c r="A213" s="48" t="s">
        <v>1246</v>
      </c>
      <c r="B213" s="43"/>
      <c r="C213" s="43"/>
      <c r="D213" s="43"/>
      <c r="E213" s="43"/>
      <c r="F213" s="43"/>
      <c r="G213" s="43"/>
      <c r="H213" s="43"/>
      <c r="I213" s="43"/>
      <c r="J213" s="43"/>
    </row>
    <row r="214" spans="1:10" ht="24" customHeight="1">
      <c r="A214" s="48"/>
      <c r="B214" s="43"/>
      <c r="C214" s="43"/>
      <c r="D214" s="43"/>
      <c r="E214" s="43"/>
      <c r="F214" s="43"/>
      <c r="G214" s="43"/>
      <c r="H214" s="43"/>
      <c r="I214" s="43"/>
      <c r="J214" s="43"/>
    </row>
    <row r="215" spans="1:10">
      <c r="A215" s="49" t="s">
        <v>1224</v>
      </c>
      <c r="B215" s="46"/>
      <c r="C215" s="46"/>
      <c r="D215" s="46"/>
      <c r="E215" s="46"/>
      <c r="F215" s="46"/>
      <c r="G215" s="260" t="s">
        <v>10336</v>
      </c>
      <c r="H215" s="260"/>
      <c r="I215" s="260"/>
      <c r="J215" s="260"/>
    </row>
    <row r="216" spans="1:10" ht="24" customHeight="1">
      <c r="A216" s="50" t="str">
        <f>CONCATENATE($D209,"1")</f>
        <v>C1</v>
      </c>
      <c r="B216" s="255" t="str">
        <f>IF(VLOOKUP($A216,Players!$A$2:$C$132,3)&lt;&gt;0,VLOOKUP($A216,Players!$A$2:$C$132,3),"")</f>
        <v/>
      </c>
      <c r="C216" s="255"/>
      <c r="D216" s="255"/>
      <c r="E216" s="255"/>
      <c r="F216" s="255"/>
      <c r="G216" s="254" t="str">
        <f>IF(VLOOKUP($I209&amp;RIGHT($A216,1),Players!$A$2:$D$132,3)&lt;&gt;0,VLOOKUP($I209&amp;RIGHT($A216,1),Players!$A$2:$D$132,3),"")</f>
        <v/>
      </c>
      <c r="H216" s="254"/>
      <c r="I216" s="254"/>
      <c r="J216" s="210" t="str">
        <f>IF(VLOOKUP($I209&amp;RIGHT($A216,1),Players!$A$2:$D$132,3)&lt;&gt;0,"("&amp;VLOOKUP($I209&amp;RIGHT($A216,1),Players!$A$2:$D$132,4)&amp;")","")</f>
        <v/>
      </c>
    </row>
    <row r="217" spans="1:10" ht="25.5" customHeight="1">
      <c r="A217" s="50" t="str">
        <f>CONCATENATE($D209,"2")</f>
        <v>C2</v>
      </c>
      <c r="B217" s="255" t="str">
        <f>IF(VLOOKUP($A217,Players!$A$2:$C$132,3)&lt;&gt;0,VLOOKUP($A217,Players!$A$2:$C$132,3),"")</f>
        <v/>
      </c>
      <c r="C217" s="255"/>
      <c r="D217" s="255"/>
      <c r="E217" s="255"/>
      <c r="F217" s="255"/>
      <c r="G217" s="254" t="str">
        <f>IF(VLOOKUP($I209&amp;RIGHT($A217,1),Players!$A$2:$D$132,3)&lt;&gt;0,VLOOKUP($I209&amp;RIGHT($A217,1),Players!$A$2:$D$132,3),"")</f>
        <v/>
      </c>
      <c r="H217" s="254"/>
      <c r="I217" s="254"/>
      <c r="J217" s="210" t="str">
        <f>IF(VLOOKUP($I209&amp;RIGHT($A217,1),Players!$A$2:$D$132,3)&lt;&gt;0,"("&amp;VLOOKUP($I209&amp;RIGHT($A217,1),Players!$A$2:$D$132,4)&amp;")","")</f>
        <v/>
      </c>
    </row>
    <row r="218" spans="1:10" ht="25.5" customHeight="1">
      <c r="A218" s="50" t="str">
        <f>CONCATENATE($D209,"3")</f>
        <v>C3</v>
      </c>
      <c r="B218" s="255" t="str">
        <f>IF(VLOOKUP($A218,Players!$A$2:$C$132,3)&lt;&gt;0,VLOOKUP($A218,Players!$A$2:$C$132,3),"")</f>
        <v/>
      </c>
      <c r="C218" s="255"/>
      <c r="D218" s="255"/>
      <c r="E218" s="255"/>
      <c r="F218" s="255"/>
      <c r="G218" s="254" t="str">
        <f>IF(VLOOKUP($I209&amp;RIGHT($A218,1),Players!$A$2:$D$132,3)&lt;&gt;0,VLOOKUP($I209&amp;RIGHT($A218,1),Players!$A$2:$D$132,3),"")</f>
        <v/>
      </c>
      <c r="H218" s="254"/>
      <c r="I218" s="254"/>
      <c r="J218" s="210" t="str">
        <f>IF(VLOOKUP($I209&amp;RIGHT($A218,1),Players!$A$2:$D$132,3)&lt;&gt;0,"("&amp;VLOOKUP($I209&amp;RIGHT($A218,1),Players!$A$2:$D$132,4)&amp;")","")</f>
        <v/>
      </c>
    </row>
    <row r="219" spans="1:10" ht="25.5" customHeight="1">
      <c r="A219" s="50" t="str">
        <f>CONCATENATE($D209,"4")</f>
        <v>C4</v>
      </c>
      <c r="B219" s="255" t="str">
        <f>IF(VLOOKUP($A219,Players!$A$2:$C$132,3)&lt;&gt;0,VLOOKUP($A219,Players!$A$2:$C$132,3),"")</f>
        <v/>
      </c>
      <c r="C219" s="255"/>
      <c r="D219" s="255"/>
      <c r="E219" s="255"/>
      <c r="F219" s="255"/>
      <c r="G219" s="254" t="str">
        <f>IF(VLOOKUP($I209&amp;RIGHT($A219,1),Players!$A$2:$D$132,3)&lt;&gt;0,VLOOKUP($I209&amp;RIGHT($A219,1),Players!$A$2:$D$132,3),"")</f>
        <v/>
      </c>
      <c r="H219" s="254"/>
      <c r="I219" s="254"/>
      <c r="J219" s="210" t="str">
        <f>IF(VLOOKUP($I209&amp;RIGHT($A219,1),Players!$A$2:$D$132,3)&lt;&gt;0,"("&amp;VLOOKUP($I209&amp;RIGHT($A219,1),Players!$A$2:$D$132,4)&amp;")","")</f>
        <v/>
      </c>
    </row>
    <row r="220" spans="1:10" ht="25.5" customHeight="1">
      <c r="A220" s="50" t="str">
        <f>CONCATENATE($D209,"5")</f>
        <v>C5</v>
      </c>
      <c r="B220" s="255" t="str">
        <f>IF(VLOOKUP($A220,Players!$A$2:$C$132,3)&lt;&gt;0,VLOOKUP($A220,Players!$A$2:$C$132,3),"")</f>
        <v/>
      </c>
      <c r="C220" s="255"/>
      <c r="D220" s="255"/>
      <c r="E220" s="255"/>
      <c r="F220" s="255"/>
      <c r="G220" s="254" t="str">
        <f>IF(VLOOKUP($I209&amp;RIGHT($A220,1),Players!$A$2:$D$132,3)&lt;&gt;0,VLOOKUP($I209&amp;RIGHT($A220,1),Players!$A$2:$D$132,3),"")</f>
        <v/>
      </c>
      <c r="H220" s="254"/>
      <c r="I220" s="254"/>
      <c r="J220" s="210" t="str">
        <f>IF(VLOOKUP($I209&amp;RIGHT($A220,1),Players!$A$2:$D$132,3)&lt;&gt;0,"("&amp;VLOOKUP($I209&amp;RIGHT($A220,1),Players!$A$2:$D$132,4)&amp;")","")</f>
        <v/>
      </c>
    </row>
    <row r="221" spans="1:10" ht="25.5" customHeight="1">
      <c r="A221" s="50" t="str">
        <f>CONCATENATE($D209,"6")</f>
        <v>C6</v>
      </c>
      <c r="B221" s="255" t="str">
        <f>IF(VLOOKUP($A221,Players!$A$2:$C$132,3)&lt;&gt;0,VLOOKUP($A221,Players!$A$2:$C$132,3),"")</f>
        <v/>
      </c>
      <c r="C221" s="255"/>
      <c r="D221" s="255"/>
      <c r="E221" s="255"/>
      <c r="F221" s="255"/>
      <c r="G221" s="254" t="str">
        <f>IF(VLOOKUP($I209&amp;RIGHT($A221,1),Players!$A$2:$D$132,3)&lt;&gt;0,VLOOKUP($I209&amp;RIGHT($A221,1),Players!$A$2:$D$132,3),"")</f>
        <v/>
      </c>
      <c r="H221" s="254"/>
      <c r="I221" s="254"/>
      <c r="J221" s="210" t="str">
        <f>IF(VLOOKUP($I209&amp;RIGHT($A221,1),Players!$A$2:$D$132,3)&lt;&gt;0,"("&amp;VLOOKUP($I209&amp;RIGHT($A221,1),Players!$A$2:$D$132,4)&amp;")","")</f>
        <v/>
      </c>
    </row>
    <row r="222" spans="1:10" ht="25.5" customHeight="1">
      <c r="A222" s="50" t="str">
        <f>CONCATENATE($D209,"7")</f>
        <v>C7</v>
      </c>
      <c r="B222" s="255" t="str">
        <f>IF(VLOOKUP($A222,Players!$A$2:$C$132,3)&lt;&gt;0,VLOOKUP($A222,Players!$A$2:$C$132,3),"")</f>
        <v/>
      </c>
      <c r="C222" s="255"/>
      <c r="D222" s="255"/>
      <c r="E222" s="255"/>
      <c r="F222" s="255"/>
      <c r="G222" s="254" t="str">
        <f>IF(VLOOKUP($I209&amp;RIGHT($A222,1),Players!$A$2:$D$132,3)&lt;&gt;0,VLOOKUP($I209&amp;RIGHT($A222,1),Players!$A$2:$D$132,3),"")</f>
        <v/>
      </c>
      <c r="H222" s="254"/>
      <c r="I222" s="254"/>
      <c r="J222" s="210" t="str">
        <f>IF(VLOOKUP($I209&amp;RIGHT($A222,1),Players!$A$2:$D$132,3)&lt;&gt;0,"("&amp;VLOOKUP($I209&amp;RIGHT($A222,1),Players!$A$2:$D$132,4)&amp;")","")</f>
        <v/>
      </c>
    </row>
    <row r="223" spans="1:10" ht="25.5" customHeight="1">
      <c r="A223" s="50" t="str">
        <f>CONCATENATE($D209,"8")</f>
        <v>C8</v>
      </c>
      <c r="B223" s="255" t="str">
        <f>IF(VLOOKUP($A223,Players!$A$2:$C$132,3)&lt;&gt;0,VLOOKUP($A223,Players!$A$2:$C$132,3),"")</f>
        <v/>
      </c>
      <c r="C223" s="255"/>
      <c r="D223" s="255"/>
      <c r="E223" s="255"/>
      <c r="F223" s="255"/>
      <c r="G223" s="254" t="str">
        <f>IF(VLOOKUP($I209&amp;RIGHT($A223,1),Players!$A$2:$D$132,3)&lt;&gt;0,VLOOKUP($I209&amp;RIGHT($A223,1),Players!$A$2:$D$132,3),"")</f>
        <v/>
      </c>
      <c r="H223" s="254"/>
      <c r="I223" s="254"/>
      <c r="J223" s="210" t="str">
        <f>IF(VLOOKUP($I209&amp;RIGHT($A223,1),Players!$A$2:$D$132,3)&lt;&gt;0,"("&amp;VLOOKUP($I209&amp;RIGHT($A223,1),Players!$A$2:$D$132,4)&amp;")","")</f>
        <v/>
      </c>
    </row>
    <row r="224" spans="1:10" ht="25.5" customHeight="1">
      <c r="A224" s="50"/>
      <c r="B224" s="26"/>
      <c r="C224" s="26"/>
      <c r="D224" s="26"/>
      <c r="E224" s="26"/>
      <c r="F224" s="27"/>
      <c r="G224" s="43"/>
      <c r="H224" s="43"/>
      <c r="I224" s="43"/>
      <c r="J224" s="43"/>
    </row>
    <row r="225" spans="1:10">
      <c r="A225" s="49" t="s">
        <v>1225</v>
      </c>
      <c r="B225" s="46"/>
      <c r="C225" s="46"/>
      <c r="D225" s="46"/>
      <c r="E225" s="46"/>
      <c r="F225" s="46"/>
      <c r="G225" s="43"/>
      <c r="H225" s="43"/>
      <c r="I225" s="43"/>
      <c r="J225" s="43"/>
    </row>
    <row r="226" spans="1:10">
      <c r="A226" s="46" t="s">
        <v>1247</v>
      </c>
      <c r="B226" s="46"/>
      <c r="C226" s="46"/>
      <c r="D226" s="46"/>
      <c r="E226" s="46"/>
      <c r="F226" s="46"/>
      <c r="G226" s="43"/>
      <c r="H226" s="43"/>
      <c r="I226" s="43"/>
      <c r="J226" s="43"/>
    </row>
    <row r="227" spans="1:10">
      <c r="A227" s="46" t="s">
        <v>1248</v>
      </c>
      <c r="B227" s="46"/>
      <c r="C227" s="46"/>
      <c r="D227" s="46"/>
      <c r="E227" s="46"/>
      <c r="F227" s="46"/>
      <c r="G227" s="43"/>
      <c r="H227" s="43"/>
      <c r="I227" s="43"/>
      <c r="J227" s="43"/>
    </row>
    <row r="228" spans="1:10" ht="13.5" thickBot="1">
      <c r="A228" s="46"/>
      <c r="B228" s="46"/>
      <c r="C228" s="46"/>
      <c r="D228" s="46"/>
      <c r="E228" s="46"/>
      <c r="F228" s="46"/>
      <c r="G228" s="43"/>
      <c r="H228" s="43"/>
      <c r="I228" s="43"/>
      <c r="J228" s="43"/>
    </row>
    <row r="229" spans="1:10" ht="25.5" customHeight="1" thickBot="1">
      <c r="A229" s="50"/>
      <c r="B229" s="257"/>
      <c r="C229" s="258"/>
      <c r="D229" s="258"/>
      <c r="E229" s="258"/>
      <c r="F229" s="259"/>
      <c r="G229" s="43"/>
      <c r="H229" s="43"/>
      <c r="I229" s="43"/>
      <c r="J229" s="43"/>
    </row>
    <row r="230" spans="1:10">
      <c r="A230" s="43"/>
      <c r="B230" s="43"/>
      <c r="C230" s="43"/>
      <c r="D230" s="43"/>
      <c r="E230" s="43"/>
      <c r="F230" s="43"/>
      <c r="G230" s="43"/>
      <c r="H230" s="43"/>
      <c r="I230" s="43"/>
      <c r="J230" s="43"/>
    </row>
    <row r="231" spans="1:10">
      <c r="A231" s="43"/>
      <c r="B231" s="43"/>
      <c r="C231" s="43"/>
      <c r="D231" s="43"/>
      <c r="E231" s="43"/>
      <c r="F231" s="43"/>
      <c r="G231" s="43"/>
      <c r="H231" s="43"/>
      <c r="I231" s="43"/>
      <c r="J231" s="43"/>
    </row>
    <row r="232" spans="1:10">
      <c r="A232" s="43"/>
      <c r="B232" s="43"/>
      <c r="C232" s="43"/>
      <c r="D232" s="43"/>
      <c r="E232" s="43"/>
      <c r="F232" s="43"/>
      <c r="G232" s="43"/>
      <c r="H232" s="43"/>
      <c r="I232" s="43"/>
      <c r="J232" s="43"/>
    </row>
    <row r="233" spans="1:10">
      <c r="A233" s="43"/>
      <c r="B233" s="43"/>
      <c r="C233" s="43"/>
      <c r="D233" s="43"/>
      <c r="E233" s="43"/>
      <c r="F233" s="43"/>
      <c r="G233" s="43"/>
      <c r="H233" s="43"/>
      <c r="I233" s="43"/>
      <c r="J233" s="43"/>
    </row>
    <row r="234" spans="1:10">
      <c r="A234" s="43"/>
      <c r="B234" s="43"/>
      <c r="C234" s="43"/>
      <c r="D234" s="43"/>
      <c r="E234" s="43"/>
      <c r="F234" s="43"/>
      <c r="G234" s="43"/>
      <c r="H234" s="43"/>
      <c r="I234" s="43"/>
      <c r="J234" s="43"/>
    </row>
    <row r="235" spans="1:10" ht="25.5" customHeight="1">
      <c r="A235" s="47"/>
      <c r="B235" s="47"/>
      <c r="C235" s="47"/>
      <c r="D235" s="47"/>
      <c r="E235" s="47"/>
      <c r="F235" s="43"/>
      <c r="G235" s="51"/>
      <c r="H235" s="250" t="s">
        <v>1227</v>
      </c>
      <c r="I235" s="251"/>
      <c r="J235" s="43"/>
    </row>
    <row r="236" spans="1:10">
      <c r="A236" s="43" t="s">
        <v>1226</v>
      </c>
      <c r="B236" s="43"/>
      <c r="C236" s="43"/>
      <c r="D236" s="43"/>
      <c r="E236" s="43"/>
      <c r="F236" s="43"/>
      <c r="G236" s="43"/>
      <c r="H236" s="43"/>
      <c r="I236" s="43"/>
      <c r="J236" s="43"/>
    </row>
    <row r="237" spans="1:10">
      <c r="A237" s="43"/>
      <c r="B237" s="43"/>
      <c r="C237" s="43"/>
      <c r="D237" s="43"/>
      <c r="E237" s="43"/>
      <c r="F237" s="43"/>
      <c r="G237" s="43"/>
      <c r="H237" s="43"/>
      <c r="I237" s="43"/>
      <c r="J237" s="43"/>
    </row>
    <row r="238" spans="1:10">
      <c r="A238" s="43"/>
      <c r="B238" s="43"/>
      <c r="C238" s="43"/>
      <c r="D238" s="43"/>
      <c r="E238" s="256" t="str">
        <f>CONCATENATE("(",$D209," vs ",$I209,")")</f>
        <v>(C vs D)</v>
      </c>
      <c r="F238" s="256"/>
      <c r="G238" s="43"/>
      <c r="H238" s="43"/>
      <c r="I238" s="43"/>
      <c r="J238" s="43"/>
    </row>
    <row r="239" spans="1:10" ht="15.75">
      <c r="A239" s="42" t="s">
        <v>1223</v>
      </c>
      <c r="B239" s="43"/>
      <c r="C239" s="43"/>
      <c r="D239" s="43"/>
      <c r="E239" s="43"/>
      <c r="F239" s="43"/>
      <c r="G239" s="43"/>
      <c r="H239" s="43"/>
      <c r="I239" s="43"/>
      <c r="J239" s="96" t="s">
        <v>4226</v>
      </c>
    </row>
    <row r="240" spans="1:10" ht="12.75" customHeight="1">
      <c r="A240" s="42"/>
      <c r="B240" s="43"/>
      <c r="C240" s="43"/>
      <c r="D240" s="43"/>
      <c r="E240" s="43"/>
      <c r="F240" s="43"/>
      <c r="G240" s="43" t="str">
        <f ca="1">Team_Matches!$J$6</f>
        <v>[NCTTA Teams Template (v2.06).xlsx]</v>
      </c>
      <c r="H240" s="43"/>
      <c r="I240" s="43"/>
      <c r="J240" s="160"/>
    </row>
    <row r="241" spans="1:10" ht="12.75" customHeight="1">
      <c r="A241" s="42"/>
      <c r="B241" s="43"/>
      <c r="C241" s="43"/>
      <c r="D241" s="43"/>
      <c r="E241" s="43"/>
      <c r="F241" s="43"/>
      <c r="G241" s="247" t="str">
        <f>Team_Matches!$J160</f>
        <v>Round 2, Match 2</v>
      </c>
      <c r="H241" s="247"/>
      <c r="I241" s="161" t="str">
        <f>Team_Matches!$M160</f>
        <v/>
      </c>
      <c r="J241" s="161"/>
    </row>
    <row r="242" spans="1:10" ht="15.75">
      <c r="A242" s="42"/>
      <c r="B242" s="43"/>
      <c r="C242" s="43"/>
      <c r="D242" s="43"/>
      <c r="E242" s="43"/>
      <c r="F242" s="43"/>
      <c r="G242" s="43"/>
      <c r="H242" s="43"/>
      <c r="I242" s="43"/>
      <c r="J242" s="43"/>
    </row>
    <row r="243" spans="1:10">
      <c r="A243" s="43"/>
      <c r="B243" s="43"/>
      <c r="C243" s="9" t="s">
        <v>1228</v>
      </c>
      <c r="D243" s="3" t="str">
        <f>Team_Matches!$B162</f>
        <v>C</v>
      </c>
      <c r="E243" s="43"/>
      <c r="F243" s="97" t="str">
        <f>CONCATENATE($D243,"-",$I243)</f>
        <v>C-D</v>
      </c>
      <c r="G243" s="43"/>
      <c r="H243" s="9" t="s">
        <v>1228</v>
      </c>
      <c r="I243" s="52" t="str">
        <f>Team_Matches!$K162</f>
        <v>D</v>
      </c>
      <c r="J243" s="43"/>
    </row>
    <row r="244" spans="1:10" ht="25.5" customHeight="1">
      <c r="A244" s="44"/>
      <c r="B244" s="252" t="str">
        <f>IF(VLOOKUP($D243,Draw!$A$4:$B$27,2)&lt;&gt;0,VLOOKUP($D243,Draw!$A$4:$B$27,2),"")</f>
        <v/>
      </c>
      <c r="C244" s="252"/>
      <c r="D244" s="252"/>
      <c r="E244" s="253"/>
      <c r="F244" s="45"/>
      <c r="G244" s="248" t="str">
        <f>IF(VLOOKUP($I243,Draw!$A$4:$B$27,2)&lt;&gt;0,VLOOKUP($I243,Draw!$A$4:$B$27,2),"")</f>
        <v/>
      </c>
      <c r="H244" s="248"/>
      <c r="I244" s="248"/>
      <c r="J244" s="249"/>
    </row>
    <row r="245" spans="1:10" ht="25.5" customHeight="1"/>
    <row r="246" spans="1:10" ht="25.5" customHeight="1"/>
    <row r="247" spans="1:10" ht="24" customHeight="1">
      <c r="A247" s="48" t="s">
        <v>1246</v>
      </c>
      <c r="B247" s="43"/>
      <c r="C247" s="43"/>
      <c r="D247" s="43"/>
      <c r="E247" s="43"/>
      <c r="F247" s="43"/>
      <c r="G247" s="43"/>
      <c r="H247" s="43"/>
      <c r="I247" s="43"/>
      <c r="J247" s="43"/>
    </row>
    <row r="248" spans="1:10" ht="24" customHeight="1">
      <c r="A248" s="48"/>
      <c r="B248" s="43"/>
      <c r="C248" s="43"/>
      <c r="D248" s="43"/>
      <c r="E248" s="43"/>
      <c r="F248" s="43"/>
      <c r="G248" s="43"/>
      <c r="H248" s="43"/>
      <c r="I248" s="43"/>
      <c r="J248" s="43"/>
    </row>
    <row r="249" spans="1:10">
      <c r="A249" s="49" t="s">
        <v>1224</v>
      </c>
      <c r="B249" s="46"/>
      <c r="C249" s="46"/>
      <c r="D249" s="46"/>
      <c r="E249" s="46"/>
      <c r="F249" s="46"/>
      <c r="G249" s="260" t="s">
        <v>10336</v>
      </c>
      <c r="H249" s="260"/>
      <c r="I249" s="260"/>
      <c r="J249" s="260"/>
    </row>
    <row r="250" spans="1:10" ht="24" customHeight="1">
      <c r="A250" s="50" t="str">
        <f>CONCATENATE($I243,"1")</f>
        <v>D1</v>
      </c>
      <c r="B250" s="255" t="str">
        <f>IF(VLOOKUP($A250,Players!$A$2:$C$132,3)&lt;&gt;0,VLOOKUP($A250,Players!$A$2:$C$132,3),"")</f>
        <v/>
      </c>
      <c r="C250" s="255"/>
      <c r="D250" s="255"/>
      <c r="E250" s="255"/>
      <c r="F250" s="255"/>
      <c r="G250" s="254" t="str">
        <f>IF(VLOOKUP($D243&amp;RIGHT($A250,1),Players!$A$2:$D$132,3)&lt;&gt;0,VLOOKUP($D243&amp;RIGHT($A250,1),Players!$A$2:$D$132,3),"")</f>
        <v/>
      </c>
      <c r="H250" s="254"/>
      <c r="I250" s="254"/>
      <c r="J250" s="210" t="str">
        <f>IF(VLOOKUP($D243&amp;RIGHT($A250,1),Players!$A$2:$D$132,3)&lt;&gt;0,"("&amp;VLOOKUP($D243&amp;RIGHT($A250,1),Players!$A$2:$D$132,4)&amp;")","")</f>
        <v/>
      </c>
    </row>
    <row r="251" spans="1:10" ht="25.5" customHeight="1">
      <c r="A251" s="50" t="str">
        <f>CONCATENATE($I243,"2")</f>
        <v>D2</v>
      </c>
      <c r="B251" s="255" t="str">
        <f>IF(VLOOKUP($A251,Players!$A$2:$C$132,3)&lt;&gt;0,VLOOKUP($A251,Players!$A$2:$C$132,3),"")</f>
        <v/>
      </c>
      <c r="C251" s="255"/>
      <c r="D251" s="255"/>
      <c r="E251" s="255"/>
      <c r="F251" s="255"/>
      <c r="G251" s="254" t="str">
        <f>IF(VLOOKUP($D243&amp;RIGHT($A251,1),Players!$A$2:$D$132,3)&lt;&gt;0,VLOOKUP($D243&amp;RIGHT($A251,1),Players!$A$2:$D$132,3),"")</f>
        <v/>
      </c>
      <c r="H251" s="254"/>
      <c r="I251" s="254"/>
      <c r="J251" s="210" t="str">
        <f>IF(VLOOKUP($D243&amp;RIGHT($A251,1),Players!$A$2:$D$132,3)&lt;&gt;0,"("&amp;VLOOKUP($D243&amp;RIGHT($A251,1),Players!$A$2:$D$132,4)&amp;")","")</f>
        <v/>
      </c>
    </row>
    <row r="252" spans="1:10" ht="25.5" customHeight="1">
      <c r="A252" s="50" t="str">
        <f>CONCATENATE($I243,"3")</f>
        <v>D3</v>
      </c>
      <c r="B252" s="255" t="str">
        <f>IF(VLOOKUP($A252,Players!$A$2:$C$132,3)&lt;&gt;0,VLOOKUP($A252,Players!$A$2:$C$132,3),"")</f>
        <v/>
      </c>
      <c r="C252" s="255"/>
      <c r="D252" s="255"/>
      <c r="E252" s="255"/>
      <c r="F252" s="255"/>
      <c r="G252" s="254" t="str">
        <f>IF(VLOOKUP($D243&amp;RIGHT($A252,1),Players!$A$2:$D$132,3)&lt;&gt;0,VLOOKUP($D243&amp;RIGHT($A252,1),Players!$A$2:$D$132,3),"")</f>
        <v/>
      </c>
      <c r="H252" s="254"/>
      <c r="I252" s="254"/>
      <c r="J252" s="210" t="str">
        <f>IF(VLOOKUP($D243&amp;RIGHT($A252,1),Players!$A$2:$D$132,3)&lt;&gt;0,"("&amp;VLOOKUP($D243&amp;RIGHT($A252,1),Players!$A$2:$D$132,4)&amp;")","")</f>
        <v/>
      </c>
    </row>
    <row r="253" spans="1:10" ht="25.5" customHeight="1">
      <c r="A253" s="50" t="str">
        <f>CONCATENATE($I243,"4")</f>
        <v>D4</v>
      </c>
      <c r="B253" s="255" t="str">
        <f>IF(VLOOKUP($A253,Players!$A$2:$C$132,3)&lt;&gt;0,VLOOKUP($A253,Players!$A$2:$C$132,3),"")</f>
        <v/>
      </c>
      <c r="C253" s="255"/>
      <c r="D253" s="255"/>
      <c r="E253" s="255"/>
      <c r="F253" s="255"/>
      <c r="G253" s="254" t="str">
        <f>IF(VLOOKUP($D243&amp;RIGHT($A253,1),Players!$A$2:$D$132,3)&lt;&gt;0,VLOOKUP($D243&amp;RIGHT($A253,1),Players!$A$2:$D$132,3),"")</f>
        <v/>
      </c>
      <c r="H253" s="254"/>
      <c r="I253" s="254"/>
      <c r="J253" s="210" t="str">
        <f>IF(VLOOKUP($D243&amp;RIGHT($A253,1),Players!$A$2:$D$132,3)&lt;&gt;0,"("&amp;VLOOKUP($D243&amp;RIGHT($A253,1),Players!$A$2:$D$132,4)&amp;")","")</f>
        <v/>
      </c>
    </row>
    <row r="254" spans="1:10" ht="25.5" customHeight="1">
      <c r="A254" s="50" t="str">
        <f>CONCATENATE($I243,"5")</f>
        <v>D5</v>
      </c>
      <c r="B254" s="255" t="str">
        <f>IF(VLOOKUP($A254,Players!$A$2:$C$132,3)&lt;&gt;0,VLOOKUP($A254,Players!$A$2:$C$132,3),"")</f>
        <v/>
      </c>
      <c r="C254" s="255"/>
      <c r="D254" s="255"/>
      <c r="E254" s="255"/>
      <c r="F254" s="255"/>
      <c r="G254" s="254" t="str">
        <f>IF(VLOOKUP($D243&amp;RIGHT($A254,1),Players!$A$2:$D$132,3)&lt;&gt;0,VLOOKUP($D243&amp;RIGHT($A254,1),Players!$A$2:$D$132,3),"")</f>
        <v/>
      </c>
      <c r="H254" s="254"/>
      <c r="I254" s="254"/>
      <c r="J254" s="210" t="str">
        <f>IF(VLOOKUP($D243&amp;RIGHT($A254,1),Players!$A$2:$D$132,3)&lt;&gt;0,"("&amp;VLOOKUP($D243&amp;RIGHT($A254,1),Players!$A$2:$D$132,4)&amp;")","")</f>
        <v/>
      </c>
    </row>
    <row r="255" spans="1:10" ht="25.5" customHeight="1">
      <c r="A255" s="50" t="str">
        <f>CONCATENATE($I243,"6")</f>
        <v>D6</v>
      </c>
      <c r="B255" s="255" t="str">
        <f>IF(VLOOKUP($A255,Players!$A$2:$C$132,3)&lt;&gt;0,VLOOKUP($A255,Players!$A$2:$C$132,3),"")</f>
        <v/>
      </c>
      <c r="C255" s="255"/>
      <c r="D255" s="255"/>
      <c r="E255" s="255"/>
      <c r="F255" s="255"/>
      <c r="G255" s="254" t="str">
        <f>IF(VLOOKUP($D243&amp;RIGHT($A255,1),Players!$A$2:$D$132,3)&lt;&gt;0,VLOOKUP($D243&amp;RIGHT($A255,1),Players!$A$2:$D$132,3),"")</f>
        <v/>
      </c>
      <c r="H255" s="254"/>
      <c r="I255" s="254"/>
      <c r="J255" s="210" t="str">
        <f>IF(VLOOKUP($D243&amp;RIGHT($A255,1),Players!$A$2:$D$132,3)&lt;&gt;0,"("&amp;VLOOKUP($D243&amp;RIGHT($A255,1),Players!$A$2:$D$132,4)&amp;")","")</f>
        <v/>
      </c>
    </row>
    <row r="256" spans="1:10" ht="25.5" customHeight="1">
      <c r="A256" s="50" t="str">
        <f>CONCATENATE($I243,"7")</f>
        <v>D7</v>
      </c>
      <c r="B256" s="255" t="str">
        <f>IF(VLOOKUP($A256,Players!$A$2:$C$132,3)&lt;&gt;0,VLOOKUP($A256,Players!$A$2:$C$132,3),"")</f>
        <v/>
      </c>
      <c r="C256" s="255"/>
      <c r="D256" s="255"/>
      <c r="E256" s="255"/>
      <c r="F256" s="255"/>
      <c r="G256" s="254" t="str">
        <f>IF(VLOOKUP($D243&amp;RIGHT($A256,1),Players!$A$2:$D$132,3)&lt;&gt;0,VLOOKUP($D243&amp;RIGHT($A256,1),Players!$A$2:$D$132,3),"")</f>
        <v/>
      </c>
      <c r="H256" s="254"/>
      <c r="I256" s="254"/>
      <c r="J256" s="210" t="str">
        <f>IF(VLOOKUP($D243&amp;RIGHT($A256,1),Players!$A$2:$D$132,3)&lt;&gt;0,"("&amp;VLOOKUP($D243&amp;RIGHT($A256,1),Players!$A$2:$D$132,4)&amp;")","")</f>
        <v/>
      </c>
    </row>
    <row r="257" spans="1:10" ht="25.5" customHeight="1">
      <c r="A257" s="50" t="str">
        <f>CONCATENATE($I243,"8")</f>
        <v>D8</v>
      </c>
      <c r="B257" s="255" t="str">
        <f>IF(VLOOKUP($A257,Players!$A$2:$C$132,3)&lt;&gt;0,VLOOKUP($A257,Players!$A$2:$C$132,3),"")</f>
        <v/>
      </c>
      <c r="C257" s="255"/>
      <c r="D257" s="255"/>
      <c r="E257" s="255"/>
      <c r="F257" s="255"/>
      <c r="G257" s="254" t="str">
        <f>IF(VLOOKUP($D243&amp;RIGHT($A257,1),Players!$A$2:$D$132,3)&lt;&gt;0,VLOOKUP($D243&amp;RIGHT($A257,1),Players!$A$2:$D$132,3),"")</f>
        <v/>
      </c>
      <c r="H257" s="254"/>
      <c r="I257" s="254"/>
      <c r="J257" s="210" t="str">
        <f>IF(VLOOKUP($D243&amp;RIGHT($A257,1),Players!$A$2:$D$132,3)&lt;&gt;0,"("&amp;VLOOKUP($D243&amp;RIGHT($A257,1),Players!$A$2:$D$132,4)&amp;")","")</f>
        <v/>
      </c>
    </row>
    <row r="258" spans="1:10" ht="25.5" customHeight="1">
      <c r="A258" s="50"/>
      <c r="B258" s="26"/>
      <c r="C258" s="26"/>
      <c r="D258" s="26"/>
      <c r="E258" s="26"/>
      <c r="F258" s="27"/>
      <c r="G258" s="43"/>
      <c r="H258" s="43"/>
      <c r="I258" s="43"/>
      <c r="J258" s="43"/>
    </row>
    <row r="259" spans="1:10">
      <c r="A259" s="49" t="s">
        <v>1225</v>
      </c>
      <c r="B259" s="46"/>
      <c r="C259" s="46"/>
      <c r="D259" s="46"/>
      <c r="E259" s="46"/>
      <c r="F259" s="46"/>
      <c r="G259" s="43"/>
      <c r="H259" s="43"/>
      <c r="I259" s="43"/>
      <c r="J259" s="43"/>
    </row>
    <row r="260" spans="1:10">
      <c r="A260" s="46" t="s">
        <v>1247</v>
      </c>
      <c r="B260" s="46"/>
      <c r="C260" s="46"/>
      <c r="D260" s="46"/>
      <c r="E260" s="46"/>
      <c r="F260" s="46"/>
      <c r="G260" s="43"/>
      <c r="H260" s="43"/>
      <c r="I260" s="43"/>
      <c r="J260" s="43"/>
    </row>
    <row r="261" spans="1:10">
      <c r="A261" s="46" t="s">
        <v>1248</v>
      </c>
      <c r="B261" s="46"/>
      <c r="C261" s="46"/>
      <c r="D261" s="46"/>
      <c r="E261" s="46"/>
      <c r="F261" s="46"/>
      <c r="G261" s="43"/>
      <c r="H261" s="43"/>
      <c r="I261" s="43"/>
      <c r="J261" s="43"/>
    </row>
    <row r="262" spans="1:10" ht="13.5" thickBot="1">
      <c r="A262" s="46"/>
      <c r="B262" s="46"/>
      <c r="C262" s="46"/>
      <c r="D262" s="46"/>
      <c r="E262" s="46"/>
      <c r="F262" s="46"/>
      <c r="G262" s="43"/>
      <c r="H262" s="43"/>
      <c r="I262" s="43"/>
      <c r="J262" s="43"/>
    </row>
    <row r="263" spans="1:10" ht="25.5" customHeight="1" thickBot="1">
      <c r="A263" s="50"/>
      <c r="B263" s="257"/>
      <c r="C263" s="258"/>
      <c r="D263" s="258"/>
      <c r="E263" s="258"/>
      <c r="F263" s="259"/>
      <c r="G263" s="43"/>
      <c r="H263" s="43"/>
      <c r="I263" s="43"/>
      <c r="J263" s="43"/>
    </row>
    <row r="264" spans="1:10">
      <c r="A264" s="43"/>
      <c r="B264" s="43"/>
      <c r="C264" s="43"/>
      <c r="D264" s="43"/>
      <c r="E264" s="43"/>
      <c r="F264" s="43"/>
      <c r="G264" s="43"/>
      <c r="H264" s="43"/>
      <c r="I264" s="43"/>
      <c r="J264" s="43"/>
    </row>
    <row r="265" spans="1:10">
      <c r="A265" s="43"/>
      <c r="B265" s="43"/>
      <c r="C265" s="43"/>
      <c r="D265" s="43"/>
      <c r="E265" s="43"/>
      <c r="F265" s="43"/>
      <c r="G265" s="43"/>
      <c r="H265" s="43"/>
      <c r="I265" s="43"/>
      <c r="J265" s="43"/>
    </row>
    <row r="266" spans="1:10">
      <c r="A266" s="43"/>
      <c r="B266" s="43"/>
      <c r="C266" s="43"/>
      <c r="D266" s="43"/>
      <c r="E266" s="43"/>
      <c r="F266" s="43"/>
      <c r="G266" s="43"/>
      <c r="H266" s="43"/>
      <c r="I266" s="43"/>
      <c r="J266" s="43"/>
    </row>
    <row r="267" spans="1:10">
      <c r="A267" s="43"/>
      <c r="B267" s="43"/>
      <c r="C267" s="43"/>
      <c r="D267" s="43"/>
      <c r="E267" s="43"/>
      <c r="F267" s="43"/>
      <c r="G267" s="43"/>
      <c r="H267" s="43"/>
      <c r="I267" s="43"/>
      <c r="J267" s="43"/>
    </row>
    <row r="268" spans="1:10">
      <c r="A268" s="43"/>
      <c r="B268" s="43"/>
      <c r="C268" s="43"/>
      <c r="D268" s="43"/>
      <c r="E268" s="43"/>
      <c r="F268" s="43"/>
      <c r="G268" s="43"/>
      <c r="H268" s="43"/>
      <c r="I268" s="43"/>
      <c r="J268" s="43"/>
    </row>
    <row r="269" spans="1:10" ht="25.5" customHeight="1">
      <c r="A269" s="47"/>
      <c r="B269" s="47"/>
      <c r="C269" s="47"/>
      <c r="D269" s="47"/>
      <c r="E269" s="47"/>
      <c r="F269" s="43"/>
      <c r="G269" s="51"/>
      <c r="H269" s="250" t="s">
        <v>1227</v>
      </c>
      <c r="I269" s="251"/>
      <c r="J269" s="43"/>
    </row>
    <row r="270" spans="1:10">
      <c r="A270" s="43" t="s">
        <v>1226</v>
      </c>
      <c r="B270" s="43"/>
      <c r="C270" s="43"/>
      <c r="D270" s="43"/>
      <c r="E270" s="43"/>
      <c r="F270" s="43"/>
      <c r="G270" s="43"/>
      <c r="H270" s="43"/>
      <c r="I270" s="43"/>
      <c r="J270" s="43"/>
    </row>
    <row r="271" spans="1:10">
      <c r="A271" s="43"/>
      <c r="B271" s="43"/>
      <c r="C271" s="43"/>
      <c r="D271" s="43"/>
      <c r="E271" s="43"/>
      <c r="F271" s="43"/>
      <c r="G271" s="43"/>
      <c r="H271" s="43"/>
      <c r="I271" s="43"/>
      <c r="J271" s="43"/>
    </row>
    <row r="272" spans="1:10">
      <c r="A272" s="43"/>
      <c r="B272" s="43"/>
      <c r="C272" s="43"/>
      <c r="D272" s="43"/>
      <c r="E272" s="256" t="str">
        <f>CONCATENATE("(",$D243," vs ",$I243,")")</f>
        <v>(C vs D)</v>
      </c>
      <c r="F272" s="256"/>
      <c r="G272" s="43"/>
      <c r="H272" s="43"/>
      <c r="I272" s="43"/>
      <c r="J272" s="43"/>
    </row>
    <row r="273" spans="1:10" ht="15.75">
      <c r="A273" s="42" t="s">
        <v>1223</v>
      </c>
      <c r="B273" s="43"/>
      <c r="C273" s="43"/>
      <c r="D273" s="43"/>
      <c r="E273" s="43"/>
      <c r="F273" s="43"/>
      <c r="G273" s="43"/>
      <c r="H273" s="43"/>
      <c r="I273" s="43"/>
      <c r="J273" s="96" t="s">
        <v>4227</v>
      </c>
    </row>
    <row r="274" spans="1:10" ht="12.75" customHeight="1">
      <c r="A274" s="42"/>
      <c r="B274" s="43"/>
      <c r="C274" s="43"/>
      <c r="D274" s="43"/>
      <c r="E274" s="43"/>
      <c r="F274" s="43"/>
      <c r="G274" s="43" t="str">
        <f ca="1">Team_Matches!$J$6</f>
        <v>[NCTTA Teams Template (v2.06).xlsx]</v>
      </c>
      <c r="H274" s="43"/>
      <c r="I274" s="43"/>
      <c r="J274" s="160"/>
    </row>
    <row r="275" spans="1:10" ht="12.75" customHeight="1">
      <c r="A275" s="42"/>
      <c r="B275" s="43"/>
      <c r="C275" s="43"/>
      <c r="D275" s="43"/>
      <c r="E275" s="43"/>
      <c r="F275" s="43"/>
      <c r="G275" s="247" t="str">
        <f>Team_Matches!$J211</f>
        <v>Round 3, Match 1</v>
      </c>
      <c r="H275" s="247"/>
      <c r="I275" s="161" t="str">
        <f>Team_Matches!$M211</f>
        <v/>
      </c>
      <c r="J275" s="161"/>
    </row>
    <row r="276" spans="1:10" ht="15.75">
      <c r="A276" s="42"/>
      <c r="B276" s="43"/>
      <c r="C276" s="43"/>
      <c r="D276" s="43"/>
      <c r="E276" s="43"/>
      <c r="F276" s="43"/>
      <c r="G276" s="43"/>
      <c r="H276" s="43"/>
      <c r="I276" s="43"/>
      <c r="J276" s="43"/>
    </row>
    <row r="277" spans="1:10">
      <c r="A277" s="43"/>
      <c r="B277" s="43"/>
      <c r="C277" s="9" t="s">
        <v>1228</v>
      </c>
      <c r="D277" s="52" t="str">
        <f>Team_Matches!$B213</f>
        <v>A</v>
      </c>
      <c r="E277" s="43"/>
      <c r="F277" s="97" t="str">
        <f>CONCATENATE($D277,"-",$I277)</f>
        <v>A-D</v>
      </c>
      <c r="G277" s="43"/>
      <c r="H277" s="9" t="s">
        <v>1228</v>
      </c>
      <c r="I277" s="52" t="str">
        <f>Team_Matches!$K213</f>
        <v>D</v>
      </c>
      <c r="J277" s="43"/>
    </row>
    <row r="278" spans="1:10" ht="25.5" customHeight="1">
      <c r="A278" s="44"/>
      <c r="B278" s="248" t="str">
        <f>IF(VLOOKUP($D277,Draw!$A$4:$B$27,2)&lt;&gt;0,VLOOKUP($D277,Draw!$A$4:$B$27,2),"")</f>
        <v/>
      </c>
      <c r="C278" s="248"/>
      <c r="D278" s="248"/>
      <c r="E278" s="249"/>
      <c r="F278" s="45"/>
      <c r="G278" s="252" t="str">
        <f>IF(VLOOKUP($I277,Draw!$A$4:$B$27,2)&lt;&gt;0,VLOOKUP($I277,Draw!$A$4:$B$27,2),"")</f>
        <v/>
      </c>
      <c r="H278" s="252"/>
      <c r="I278" s="252"/>
      <c r="J278" s="253"/>
    </row>
    <row r="279" spans="1:10" ht="25.5" customHeight="1"/>
    <row r="280" spans="1:10" ht="25.5" customHeight="1"/>
    <row r="281" spans="1:10" ht="24" customHeight="1">
      <c r="A281" s="48" t="s">
        <v>1246</v>
      </c>
      <c r="B281" s="43"/>
      <c r="C281" s="43"/>
      <c r="D281" s="43"/>
      <c r="E281" s="43"/>
      <c r="F281" s="43"/>
      <c r="G281" s="43"/>
      <c r="H281" s="43"/>
      <c r="I281" s="43"/>
      <c r="J281" s="43"/>
    </row>
    <row r="282" spans="1:10" ht="24" customHeight="1">
      <c r="A282" s="48"/>
      <c r="B282" s="43"/>
      <c r="C282" s="43"/>
      <c r="D282" s="43"/>
      <c r="E282" s="43"/>
      <c r="F282" s="43"/>
      <c r="G282" s="43"/>
      <c r="H282" s="43"/>
      <c r="I282" s="43"/>
      <c r="J282" s="43"/>
    </row>
    <row r="283" spans="1:10">
      <c r="A283" s="49" t="s">
        <v>1224</v>
      </c>
      <c r="B283" s="46"/>
      <c r="C283" s="46"/>
      <c r="D283" s="46"/>
      <c r="E283" s="46"/>
      <c r="F283" s="46"/>
      <c r="G283" s="260" t="s">
        <v>10336</v>
      </c>
      <c r="H283" s="260"/>
      <c r="I283" s="260"/>
      <c r="J283" s="260"/>
    </row>
    <row r="284" spans="1:10" ht="24" customHeight="1">
      <c r="A284" s="50" t="str">
        <f>CONCATENATE($D277,"1")</f>
        <v>A1</v>
      </c>
      <c r="B284" s="255" t="str">
        <f>IF(VLOOKUP($A284,Players!$A$2:$C$132,3)&lt;&gt;0,VLOOKUP($A284,Players!$A$2:$C$132,3),"")</f>
        <v/>
      </c>
      <c r="C284" s="255"/>
      <c r="D284" s="255"/>
      <c r="E284" s="255"/>
      <c r="F284" s="255"/>
      <c r="G284" s="254" t="str">
        <f>IF(VLOOKUP($I277&amp;RIGHT($A284,1),Players!$A$2:$D$132,3)&lt;&gt;0,VLOOKUP($I277&amp;RIGHT($A284,1),Players!$A$2:$D$132,3),"")</f>
        <v/>
      </c>
      <c r="H284" s="254"/>
      <c r="I284" s="254"/>
      <c r="J284" s="210" t="str">
        <f>IF(VLOOKUP($I277&amp;RIGHT($A284,1),Players!$A$2:$D$132,3)&lt;&gt;0,"("&amp;VLOOKUP($I277&amp;RIGHT($A284,1),Players!$A$2:$D$132,4)&amp;")","")</f>
        <v/>
      </c>
    </row>
    <row r="285" spans="1:10" ht="25.5" customHeight="1">
      <c r="A285" s="50" t="str">
        <f>CONCATENATE($D277,"2")</f>
        <v>A2</v>
      </c>
      <c r="B285" s="255" t="str">
        <f>IF(VLOOKUP($A285,Players!$A$2:$C$132,3)&lt;&gt;0,VLOOKUP($A285,Players!$A$2:$C$132,3),"")</f>
        <v/>
      </c>
      <c r="C285" s="255"/>
      <c r="D285" s="255"/>
      <c r="E285" s="255"/>
      <c r="F285" s="255"/>
      <c r="G285" s="254" t="str">
        <f>IF(VLOOKUP($I277&amp;RIGHT($A285,1),Players!$A$2:$D$132,3)&lt;&gt;0,VLOOKUP($I277&amp;RIGHT($A285,1),Players!$A$2:$D$132,3),"")</f>
        <v/>
      </c>
      <c r="H285" s="254"/>
      <c r="I285" s="254"/>
      <c r="J285" s="210" t="str">
        <f>IF(VLOOKUP($I277&amp;RIGHT($A285,1),Players!$A$2:$D$132,3)&lt;&gt;0,"("&amp;VLOOKUP($I277&amp;RIGHT($A285,1),Players!$A$2:$D$132,4)&amp;")","")</f>
        <v/>
      </c>
    </row>
    <row r="286" spans="1:10" ht="25.5" customHeight="1">
      <c r="A286" s="50" t="str">
        <f>CONCATENATE($D277,"3")</f>
        <v>A3</v>
      </c>
      <c r="B286" s="255" t="str">
        <f>IF(VLOOKUP($A286,Players!$A$2:$C$132,3)&lt;&gt;0,VLOOKUP($A286,Players!$A$2:$C$132,3),"")</f>
        <v/>
      </c>
      <c r="C286" s="255"/>
      <c r="D286" s="255"/>
      <c r="E286" s="255"/>
      <c r="F286" s="255"/>
      <c r="G286" s="254" t="str">
        <f>IF(VLOOKUP($I277&amp;RIGHT($A286,1),Players!$A$2:$D$132,3)&lt;&gt;0,VLOOKUP($I277&amp;RIGHT($A286,1),Players!$A$2:$D$132,3),"")</f>
        <v/>
      </c>
      <c r="H286" s="254"/>
      <c r="I286" s="254"/>
      <c r="J286" s="210" t="str">
        <f>IF(VLOOKUP($I277&amp;RIGHT($A286,1),Players!$A$2:$D$132,3)&lt;&gt;0,"("&amp;VLOOKUP($I277&amp;RIGHT($A286,1),Players!$A$2:$D$132,4)&amp;")","")</f>
        <v/>
      </c>
    </row>
    <row r="287" spans="1:10" ht="25.5" customHeight="1">
      <c r="A287" s="50" t="str">
        <f>CONCATENATE($D277,"4")</f>
        <v>A4</v>
      </c>
      <c r="B287" s="255" t="str">
        <f>IF(VLOOKUP($A287,Players!$A$2:$C$132,3)&lt;&gt;0,VLOOKUP($A287,Players!$A$2:$C$132,3),"")</f>
        <v/>
      </c>
      <c r="C287" s="255"/>
      <c r="D287" s="255"/>
      <c r="E287" s="255"/>
      <c r="F287" s="255"/>
      <c r="G287" s="254" t="str">
        <f>IF(VLOOKUP($I277&amp;RIGHT($A287,1),Players!$A$2:$D$132,3)&lt;&gt;0,VLOOKUP($I277&amp;RIGHT($A287,1),Players!$A$2:$D$132,3),"")</f>
        <v/>
      </c>
      <c r="H287" s="254"/>
      <c r="I287" s="254"/>
      <c r="J287" s="210" t="str">
        <f>IF(VLOOKUP($I277&amp;RIGHT($A287,1),Players!$A$2:$D$132,3)&lt;&gt;0,"("&amp;VLOOKUP($I277&amp;RIGHT($A287,1),Players!$A$2:$D$132,4)&amp;")","")</f>
        <v/>
      </c>
    </row>
    <row r="288" spans="1:10" ht="25.5" customHeight="1">
      <c r="A288" s="50" t="str">
        <f>CONCATENATE($D277,"5")</f>
        <v>A5</v>
      </c>
      <c r="B288" s="255" t="str">
        <f>IF(VLOOKUP($A288,Players!$A$2:$C$132,3)&lt;&gt;0,VLOOKUP($A288,Players!$A$2:$C$132,3),"")</f>
        <v/>
      </c>
      <c r="C288" s="255"/>
      <c r="D288" s="255"/>
      <c r="E288" s="255"/>
      <c r="F288" s="255"/>
      <c r="G288" s="254" t="str">
        <f>IF(VLOOKUP($I277&amp;RIGHT($A288,1),Players!$A$2:$D$132,3)&lt;&gt;0,VLOOKUP($I277&amp;RIGHT($A288,1),Players!$A$2:$D$132,3),"")</f>
        <v/>
      </c>
      <c r="H288" s="254"/>
      <c r="I288" s="254"/>
      <c r="J288" s="210" t="str">
        <f>IF(VLOOKUP($I277&amp;RIGHT($A288,1),Players!$A$2:$D$132,3)&lt;&gt;0,"("&amp;VLOOKUP($I277&amp;RIGHT($A288,1),Players!$A$2:$D$132,4)&amp;")","")</f>
        <v/>
      </c>
    </row>
    <row r="289" spans="1:10" ht="25.5" customHeight="1">
      <c r="A289" s="50" t="str">
        <f>CONCATENATE($D277,"6")</f>
        <v>A6</v>
      </c>
      <c r="B289" s="255" t="str">
        <f>IF(VLOOKUP($A289,Players!$A$2:$C$132,3)&lt;&gt;0,VLOOKUP($A289,Players!$A$2:$C$132,3),"")</f>
        <v/>
      </c>
      <c r="C289" s="255"/>
      <c r="D289" s="255"/>
      <c r="E289" s="255"/>
      <c r="F289" s="255"/>
      <c r="G289" s="254" t="str">
        <f>IF(VLOOKUP($I277&amp;RIGHT($A289,1),Players!$A$2:$D$132,3)&lt;&gt;0,VLOOKUP($I277&amp;RIGHT($A289,1),Players!$A$2:$D$132,3),"")</f>
        <v/>
      </c>
      <c r="H289" s="254"/>
      <c r="I289" s="254"/>
      <c r="J289" s="210" t="str">
        <f>IF(VLOOKUP($I277&amp;RIGHT($A289,1),Players!$A$2:$D$132,3)&lt;&gt;0,"("&amp;VLOOKUP($I277&amp;RIGHT($A289,1),Players!$A$2:$D$132,4)&amp;")","")</f>
        <v/>
      </c>
    </row>
    <row r="290" spans="1:10" ht="25.5" customHeight="1">
      <c r="A290" s="50" t="str">
        <f>CONCATENATE($D277,"7")</f>
        <v>A7</v>
      </c>
      <c r="B290" s="255" t="str">
        <f>IF(VLOOKUP($A290,Players!$A$2:$C$132,3)&lt;&gt;0,VLOOKUP($A290,Players!$A$2:$C$132,3),"")</f>
        <v/>
      </c>
      <c r="C290" s="255"/>
      <c r="D290" s="255"/>
      <c r="E290" s="255"/>
      <c r="F290" s="255"/>
      <c r="G290" s="254" t="str">
        <f>IF(VLOOKUP($I277&amp;RIGHT($A290,1),Players!$A$2:$D$132,3)&lt;&gt;0,VLOOKUP($I277&amp;RIGHT($A290,1),Players!$A$2:$D$132,3),"")</f>
        <v/>
      </c>
      <c r="H290" s="254"/>
      <c r="I290" s="254"/>
      <c r="J290" s="210" t="str">
        <f>IF(VLOOKUP($I277&amp;RIGHT($A290,1),Players!$A$2:$D$132,3)&lt;&gt;0,"("&amp;VLOOKUP($I277&amp;RIGHT($A290,1),Players!$A$2:$D$132,4)&amp;")","")</f>
        <v/>
      </c>
    </row>
    <row r="291" spans="1:10" ht="25.5" customHeight="1">
      <c r="A291" s="50" t="str">
        <f>CONCATENATE($D277,"8")</f>
        <v>A8</v>
      </c>
      <c r="B291" s="255" t="str">
        <f>IF(VLOOKUP($A291,Players!$A$2:$C$132,3)&lt;&gt;0,VLOOKUP($A291,Players!$A$2:$C$132,3),"")</f>
        <v/>
      </c>
      <c r="C291" s="255"/>
      <c r="D291" s="255"/>
      <c r="E291" s="255"/>
      <c r="F291" s="255"/>
      <c r="G291" s="254" t="str">
        <f>IF(VLOOKUP($I277&amp;RIGHT($A291,1),Players!$A$2:$D$132,3)&lt;&gt;0,VLOOKUP($I277&amp;RIGHT($A291,1),Players!$A$2:$D$132,3),"")</f>
        <v/>
      </c>
      <c r="H291" s="254"/>
      <c r="I291" s="254"/>
      <c r="J291" s="210" t="str">
        <f>IF(VLOOKUP($I277&amp;RIGHT($A291,1),Players!$A$2:$D$132,3)&lt;&gt;0,"("&amp;VLOOKUP($I277&amp;RIGHT($A291,1),Players!$A$2:$D$132,4)&amp;")","")</f>
        <v/>
      </c>
    </row>
    <row r="292" spans="1:10" ht="25.5" customHeight="1">
      <c r="A292" s="50"/>
      <c r="B292" s="26"/>
      <c r="C292" s="26"/>
      <c r="D292" s="26"/>
      <c r="E292" s="26"/>
      <c r="F292" s="27"/>
      <c r="G292" s="43"/>
      <c r="H292" s="43"/>
      <c r="I292" s="43"/>
      <c r="J292" s="43"/>
    </row>
    <row r="293" spans="1:10">
      <c r="A293" s="49" t="s">
        <v>1225</v>
      </c>
      <c r="B293" s="46"/>
      <c r="C293" s="46"/>
      <c r="D293" s="46"/>
      <c r="E293" s="46"/>
      <c r="F293" s="46"/>
      <c r="G293" s="43"/>
      <c r="H293" s="43"/>
      <c r="I293" s="43"/>
      <c r="J293" s="43"/>
    </row>
    <row r="294" spans="1:10">
      <c r="A294" s="46" t="s">
        <v>1247</v>
      </c>
      <c r="B294" s="46"/>
      <c r="C294" s="46"/>
      <c r="D294" s="46"/>
      <c r="E294" s="46"/>
      <c r="F294" s="46"/>
      <c r="G294" s="43"/>
      <c r="H294" s="43"/>
      <c r="I294" s="43"/>
      <c r="J294" s="43"/>
    </row>
    <row r="295" spans="1:10">
      <c r="A295" s="46" t="s">
        <v>1248</v>
      </c>
      <c r="B295" s="46"/>
      <c r="C295" s="46"/>
      <c r="D295" s="46"/>
      <c r="E295" s="46"/>
      <c r="F295" s="46"/>
      <c r="G295" s="43"/>
      <c r="H295" s="43"/>
      <c r="I295" s="43"/>
      <c r="J295" s="43"/>
    </row>
    <row r="296" spans="1:10" ht="13.5" thickBot="1">
      <c r="A296" s="46"/>
      <c r="B296" s="46"/>
      <c r="C296" s="46"/>
      <c r="D296" s="46"/>
      <c r="E296" s="46"/>
      <c r="F296" s="46"/>
      <c r="G296" s="43"/>
      <c r="H296" s="43"/>
      <c r="I296" s="43"/>
      <c r="J296" s="43"/>
    </row>
    <row r="297" spans="1:10" ht="25.5" customHeight="1" thickBot="1">
      <c r="A297" s="50"/>
      <c r="B297" s="257"/>
      <c r="C297" s="258"/>
      <c r="D297" s="258"/>
      <c r="E297" s="258"/>
      <c r="F297" s="259"/>
      <c r="G297" s="43"/>
      <c r="H297" s="43"/>
      <c r="I297" s="43"/>
      <c r="J297" s="43"/>
    </row>
    <row r="298" spans="1:10">
      <c r="A298" s="43"/>
      <c r="B298" s="43"/>
      <c r="C298" s="43"/>
      <c r="D298" s="43"/>
      <c r="E298" s="43"/>
      <c r="F298" s="43"/>
      <c r="G298" s="43"/>
      <c r="H298" s="43"/>
      <c r="I298" s="43"/>
      <c r="J298" s="43"/>
    </row>
    <row r="299" spans="1:10">
      <c r="A299" s="43"/>
      <c r="B299" s="43"/>
      <c r="C299" s="43"/>
      <c r="D299" s="43"/>
      <c r="E299" s="43"/>
      <c r="F299" s="43"/>
      <c r="G299" s="43"/>
      <c r="H299" s="43"/>
      <c r="I299" s="43"/>
      <c r="J299" s="43"/>
    </row>
    <row r="300" spans="1:10">
      <c r="A300" s="43"/>
      <c r="B300" s="43"/>
      <c r="C300" s="43"/>
      <c r="D300" s="43"/>
      <c r="E300" s="43"/>
      <c r="F300" s="43"/>
      <c r="G300" s="43"/>
      <c r="H300" s="43"/>
      <c r="I300" s="43"/>
      <c r="J300" s="43"/>
    </row>
    <row r="301" spans="1:10">
      <c r="A301" s="43"/>
      <c r="B301" s="43"/>
      <c r="C301" s="43"/>
      <c r="D301" s="43"/>
      <c r="E301" s="43"/>
      <c r="F301" s="43"/>
      <c r="G301" s="43"/>
      <c r="H301" s="43"/>
      <c r="I301" s="43"/>
      <c r="J301" s="43"/>
    </row>
    <row r="302" spans="1:10">
      <c r="A302" s="43"/>
      <c r="B302" s="43"/>
      <c r="C302" s="43"/>
      <c r="D302" s="43"/>
      <c r="E302" s="43"/>
      <c r="F302" s="43"/>
      <c r="G302" s="43"/>
      <c r="H302" s="43"/>
      <c r="I302" s="43"/>
      <c r="J302" s="43"/>
    </row>
    <row r="303" spans="1:10" ht="25.5" customHeight="1">
      <c r="A303" s="47"/>
      <c r="B303" s="47"/>
      <c r="C303" s="47"/>
      <c r="D303" s="47"/>
      <c r="E303" s="47"/>
      <c r="F303" s="43"/>
      <c r="G303" s="51"/>
      <c r="H303" s="250" t="s">
        <v>1227</v>
      </c>
      <c r="I303" s="251"/>
      <c r="J303" s="43"/>
    </row>
    <row r="304" spans="1:10">
      <c r="A304" s="43" t="s">
        <v>1226</v>
      </c>
      <c r="B304" s="43"/>
      <c r="C304" s="43"/>
      <c r="D304" s="43"/>
      <c r="E304" s="43"/>
      <c r="F304" s="43"/>
      <c r="G304" s="43"/>
      <c r="H304" s="43"/>
      <c r="I304" s="43"/>
      <c r="J304" s="43"/>
    </row>
    <row r="305" spans="1:10">
      <c r="A305" s="43"/>
      <c r="B305" s="43"/>
      <c r="C305" s="43"/>
      <c r="D305" s="43"/>
      <c r="E305" s="43"/>
      <c r="F305" s="43"/>
      <c r="G305" s="43"/>
      <c r="H305" s="43"/>
      <c r="I305" s="43"/>
      <c r="J305" s="43"/>
    </row>
    <row r="306" spans="1:10">
      <c r="A306" s="43"/>
      <c r="B306" s="43"/>
      <c r="C306" s="43"/>
      <c r="D306" s="43"/>
      <c r="E306" s="256" t="str">
        <f>CONCATENATE("(",$D277," vs ",$I277,")")</f>
        <v>(A vs D)</v>
      </c>
      <c r="F306" s="256"/>
      <c r="G306" s="43"/>
      <c r="H306" s="43"/>
      <c r="I306" s="43"/>
      <c r="J306" s="43"/>
    </row>
    <row r="307" spans="1:10" ht="15.75">
      <c r="A307" s="42" t="s">
        <v>1223</v>
      </c>
      <c r="B307" s="43"/>
      <c r="C307" s="43"/>
      <c r="D307" s="43"/>
      <c r="E307" s="43"/>
      <c r="F307" s="43"/>
      <c r="G307" s="43"/>
      <c r="H307" s="43"/>
      <c r="I307" s="43"/>
      <c r="J307" s="96" t="s">
        <v>4228</v>
      </c>
    </row>
    <row r="308" spans="1:10" ht="12.75" customHeight="1">
      <c r="A308" s="42"/>
      <c r="B308" s="43"/>
      <c r="C308" s="43"/>
      <c r="D308" s="43"/>
      <c r="E308" s="43"/>
      <c r="F308" s="43"/>
      <c r="G308" s="43" t="str">
        <f ca="1">Team_Matches!$J$6</f>
        <v>[NCTTA Teams Template (v2.06).xlsx]</v>
      </c>
      <c r="H308" s="43"/>
      <c r="I308" s="43"/>
      <c r="J308" s="160"/>
    </row>
    <row r="309" spans="1:10" ht="12.75" customHeight="1">
      <c r="A309" s="42"/>
      <c r="B309" s="43"/>
      <c r="C309" s="43"/>
      <c r="D309" s="43"/>
      <c r="E309" s="43"/>
      <c r="F309" s="43"/>
      <c r="G309" s="247" t="str">
        <f>Team_Matches!$J211</f>
        <v>Round 3, Match 1</v>
      </c>
      <c r="H309" s="247"/>
      <c r="I309" s="161" t="str">
        <f>Team_Matches!$M211</f>
        <v/>
      </c>
      <c r="J309" s="161"/>
    </row>
    <row r="310" spans="1:10" ht="15.75">
      <c r="A310" s="42"/>
      <c r="B310" s="43"/>
      <c r="C310" s="43"/>
      <c r="D310" s="43"/>
      <c r="E310" s="43"/>
      <c r="F310" s="43"/>
      <c r="G310" s="43"/>
      <c r="H310" s="43"/>
      <c r="I310" s="43"/>
      <c r="J310" s="43"/>
    </row>
    <row r="311" spans="1:10">
      <c r="A311" s="43"/>
      <c r="B311" s="43"/>
      <c r="C311" s="9" t="s">
        <v>1228</v>
      </c>
      <c r="D311" s="52" t="str">
        <f>Team_Matches!$B213</f>
        <v>A</v>
      </c>
      <c r="E311" s="43"/>
      <c r="F311" s="97" t="str">
        <f>CONCATENATE($D311,"-",$I311)</f>
        <v>A-D</v>
      </c>
      <c r="G311" s="43"/>
      <c r="H311" s="9" t="s">
        <v>1228</v>
      </c>
      <c r="I311" s="52" t="str">
        <f>Team_Matches!$K213</f>
        <v>D</v>
      </c>
      <c r="J311" s="43"/>
    </row>
    <row r="312" spans="1:10" ht="25.5" customHeight="1">
      <c r="A312" s="44"/>
      <c r="B312" s="252" t="str">
        <f>IF(VLOOKUP($D311,Draw!$A$4:$B$27,2)&lt;&gt;0,VLOOKUP($D311,Draw!$A$4:$B$27,2),"")</f>
        <v/>
      </c>
      <c r="C312" s="252"/>
      <c r="D312" s="252"/>
      <c r="E312" s="253"/>
      <c r="F312" s="45"/>
      <c r="G312" s="248" t="str">
        <f>IF(VLOOKUP($I311,Draw!$A$4:$B$27,2)&lt;&gt;0,VLOOKUP($I311,Draw!$A$4:$B$27,2),"")</f>
        <v/>
      </c>
      <c r="H312" s="248"/>
      <c r="I312" s="248"/>
      <c r="J312" s="249"/>
    </row>
    <row r="313" spans="1:10" ht="25.5" customHeight="1"/>
    <row r="314" spans="1:10" ht="25.5" customHeight="1"/>
    <row r="315" spans="1:10" ht="24" customHeight="1">
      <c r="A315" s="48" t="s">
        <v>1246</v>
      </c>
      <c r="B315" s="43"/>
      <c r="C315" s="43"/>
      <c r="D315" s="43"/>
      <c r="E315" s="43"/>
      <c r="F315" s="43"/>
      <c r="G315" s="43"/>
      <c r="H315" s="43"/>
      <c r="I315" s="43"/>
      <c r="J315" s="43"/>
    </row>
    <row r="316" spans="1:10" ht="24" customHeight="1">
      <c r="A316" s="48"/>
      <c r="B316" s="43"/>
      <c r="C316" s="43"/>
      <c r="D316" s="43"/>
      <c r="E316" s="43"/>
      <c r="F316" s="43"/>
      <c r="G316" s="43"/>
      <c r="H316" s="43"/>
      <c r="I316" s="43"/>
      <c r="J316" s="43"/>
    </row>
    <row r="317" spans="1:10">
      <c r="A317" s="49" t="s">
        <v>1224</v>
      </c>
      <c r="B317" s="46"/>
      <c r="C317" s="46"/>
      <c r="D317" s="46"/>
      <c r="E317" s="46"/>
      <c r="F317" s="46"/>
      <c r="G317" s="260" t="s">
        <v>10336</v>
      </c>
      <c r="H317" s="260"/>
      <c r="I317" s="260"/>
      <c r="J317" s="260"/>
    </row>
    <row r="318" spans="1:10" ht="24" customHeight="1">
      <c r="A318" s="50" t="str">
        <f>CONCATENATE($I311,"1")</f>
        <v>D1</v>
      </c>
      <c r="B318" s="255" t="str">
        <f>IF(VLOOKUP($A318,Players!$A$2:$C$132,3)&lt;&gt;0,VLOOKUP($A318,Players!$A$2:$C$132,3),"")</f>
        <v/>
      </c>
      <c r="C318" s="255"/>
      <c r="D318" s="255"/>
      <c r="E318" s="255"/>
      <c r="F318" s="255"/>
      <c r="G318" s="254" t="str">
        <f>IF(VLOOKUP($D311&amp;RIGHT($A318,1),Players!$A$2:$D$132,3)&lt;&gt;0,VLOOKUP($D311&amp;RIGHT($A318,1),Players!$A$2:$D$132,3),"")</f>
        <v/>
      </c>
      <c r="H318" s="254"/>
      <c r="I318" s="254"/>
      <c r="J318" s="210" t="str">
        <f>IF(VLOOKUP($D311&amp;RIGHT($A318,1),Players!$A$2:$D$132,3)&lt;&gt;0,"("&amp;VLOOKUP($D311&amp;RIGHT($A318,1),Players!$A$2:$D$132,4)&amp;")","")</f>
        <v/>
      </c>
    </row>
    <row r="319" spans="1:10" ht="25.5" customHeight="1">
      <c r="A319" s="50" t="str">
        <f>CONCATENATE($I311,"2")</f>
        <v>D2</v>
      </c>
      <c r="B319" s="255" t="str">
        <f>IF(VLOOKUP($A319,Players!$A$2:$C$132,3)&lt;&gt;0,VLOOKUP($A319,Players!$A$2:$C$132,3),"")</f>
        <v/>
      </c>
      <c r="C319" s="255"/>
      <c r="D319" s="255"/>
      <c r="E319" s="255"/>
      <c r="F319" s="255"/>
      <c r="G319" s="254" t="str">
        <f>IF(VLOOKUP($D311&amp;RIGHT($A319,1),Players!$A$2:$D$132,3)&lt;&gt;0,VLOOKUP($D311&amp;RIGHT($A319,1),Players!$A$2:$D$132,3),"")</f>
        <v/>
      </c>
      <c r="H319" s="254"/>
      <c r="I319" s="254"/>
      <c r="J319" s="210" t="str">
        <f>IF(VLOOKUP($D311&amp;RIGHT($A319,1),Players!$A$2:$D$132,3)&lt;&gt;0,"("&amp;VLOOKUP($D311&amp;RIGHT($A319,1),Players!$A$2:$D$132,4)&amp;")","")</f>
        <v/>
      </c>
    </row>
    <row r="320" spans="1:10" ht="25.5" customHeight="1">
      <c r="A320" s="50" t="str">
        <f>CONCATENATE($I311,"3")</f>
        <v>D3</v>
      </c>
      <c r="B320" s="255" t="str">
        <f>IF(VLOOKUP($A320,Players!$A$2:$C$132,3)&lt;&gt;0,VLOOKUP($A320,Players!$A$2:$C$132,3),"")</f>
        <v/>
      </c>
      <c r="C320" s="255"/>
      <c r="D320" s="255"/>
      <c r="E320" s="255"/>
      <c r="F320" s="255"/>
      <c r="G320" s="254" t="str">
        <f>IF(VLOOKUP($D311&amp;RIGHT($A320,1),Players!$A$2:$D$132,3)&lt;&gt;0,VLOOKUP($D311&amp;RIGHT($A320,1),Players!$A$2:$D$132,3),"")</f>
        <v/>
      </c>
      <c r="H320" s="254"/>
      <c r="I320" s="254"/>
      <c r="J320" s="210" t="str">
        <f>IF(VLOOKUP($D311&amp;RIGHT($A320,1),Players!$A$2:$D$132,3)&lt;&gt;0,"("&amp;VLOOKUP($D311&amp;RIGHT($A320,1),Players!$A$2:$D$132,4)&amp;")","")</f>
        <v/>
      </c>
    </row>
    <row r="321" spans="1:10" ht="25.5" customHeight="1">
      <c r="A321" s="50" t="str">
        <f>CONCATENATE($I311,"4")</f>
        <v>D4</v>
      </c>
      <c r="B321" s="255" t="str">
        <f>IF(VLOOKUP($A321,Players!$A$2:$C$132,3)&lt;&gt;0,VLOOKUP($A321,Players!$A$2:$C$132,3),"")</f>
        <v/>
      </c>
      <c r="C321" s="255"/>
      <c r="D321" s="255"/>
      <c r="E321" s="255"/>
      <c r="F321" s="255"/>
      <c r="G321" s="254" t="str">
        <f>IF(VLOOKUP($D311&amp;RIGHT($A321,1),Players!$A$2:$D$132,3)&lt;&gt;0,VLOOKUP($D311&amp;RIGHT($A321,1),Players!$A$2:$D$132,3),"")</f>
        <v/>
      </c>
      <c r="H321" s="254"/>
      <c r="I321" s="254"/>
      <c r="J321" s="210" t="str">
        <f>IF(VLOOKUP($D311&amp;RIGHT($A321,1),Players!$A$2:$D$132,3)&lt;&gt;0,"("&amp;VLOOKUP($D311&amp;RIGHT($A321,1),Players!$A$2:$D$132,4)&amp;")","")</f>
        <v/>
      </c>
    </row>
    <row r="322" spans="1:10" ht="25.5" customHeight="1">
      <c r="A322" s="50" t="str">
        <f>CONCATENATE($I311,"5")</f>
        <v>D5</v>
      </c>
      <c r="B322" s="255" t="str">
        <f>IF(VLOOKUP($A322,Players!$A$2:$C$132,3)&lt;&gt;0,VLOOKUP($A322,Players!$A$2:$C$132,3),"")</f>
        <v/>
      </c>
      <c r="C322" s="255"/>
      <c r="D322" s="255"/>
      <c r="E322" s="255"/>
      <c r="F322" s="255"/>
      <c r="G322" s="254" t="str">
        <f>IF(VLOOKUP($D311&amp;RIGHT($A322,1),Players!$A$2:$D$132,3)&lt;&gt;0,VLOOKUP($D311&amp;RIGHT($A322,1),Players!$A$2:$D$132,3),"")</f>
        <v/>
      </c>
      <c r="H322" s="254"/>
      <c r="I322" s="254"/>
      <c r="J322" s="210" t="str">
        <f>IF(VLOOKUP($D311&amp;RIGHT($A322,1),Players!$A$2:$D$132,3)&lt;&gt;0,"("&amp;VLOOKUP($D311&amp;RIGHT($A322,1),Players!$A$2:$D$132,4)&amp;")","")</f>
        <v/>
      </c>
    </row>
    <row r="323" spans="1:10" ht="25.5" customHeight="1">
      <c r="A323" s="50" t="str">
        <f>CONCATENATE($I311,"6")</f>
        <v>D6</v>
      </c>
      <c r="B323" s="255" t="str">
        <f>IF(VLOOKUP($A323,Players!$A$2:$C$132,3)&lt;&gt;0,VLOOKUP($A323,Players!$A$2:$C$132,3),"")</f>
        <v/>
      </c>
      <c r="C323" s="255"/>
      <c r="D323" s="255"/>
      <c r="E323" s="255"/>
      <c r="F323" s="255"/>
      <c r="G323" s="254" t="str">
        <f>IF(VLOOKUP($D311&amp;RIGHT($A323,1),Players!$A$2:$D$132,3)&lt;&gt;0,VLOOKUP($D311&amp;RIGHT($A323,1),Players!$A$2:$D$132,3),"")</f>
        <v/>
      </c>
      <c r="H323" s="254"/>
      <c r="I323" s="254"/>
      <c r="J323" s="210" t="str">
        <f>IF(VLOOKUP($D311&amp;RIGHT($A323,1),Players!$A$2:$D$132,3)&lt;&gt;0,"("&amp;VLOOKUP($D311&amp;RIGHT($A323,1),Players!$A$2:$D$132,4)&amp;")","")</f>
        <v/>
      </c>
    </row>
    <row r="324" spans="1:10" ht="25.5" customHeight="1">
      <c r="A324" s="50" t="str">
        <f>CONCATENATE($I311,"7")</f>
        <v>D7</v>
      </c>
      <c r="B324" s="255" t="str">
        <f>IF(VLOOKUP($A324,Players!$A$2:$C$132,3)&lt;&gt;0,VLOOKUP($A324,Players!$A$2:$C$132,3),"")</f>
        <v/>
      </c>
      <c r="C324" s="255"/>
      <c r="D324" s="255"/>
      <c r="E324" s="255"/>
      <c r="F324" s="255"/>
      <c r="G324" s="254" t="str">
        <f>IF(VLOOKUP($D311&amp;RIGHT($A324,1),Players!$A$2:$D$132,3)&lt;&gt;0,VLOOKUP($D311&amp;RIGHT($A324,1),Players!$A$2:$D$132,3),"")</f>
        <v/>
      </c>
      <c r="H324" s="254"/>
      <c r="I324" s="254"/>
      <c r="J324" s="210" t="str">
        <f>IF(VLOOKUP($D311&amp;RIGHT($A324,1),Players!$A$2:$D$132,3)&lt;&gt;0,"("&amp;VLOOKUP($D311&amp;RIGHT($A324,1),Players!$A$2:$D$132,4)&amp;")","")</f>
        <v/>
      </c>
    </row>
    <row r="325" spans="1:10" ht="25.5" customHeight="1">
      <c r="A325" s="50" t="str">
        <f>CONCATENATE($I311,"8")</f>
        <v>D8</v>
      </c>
      <c r="B325" s="255" t="str">
        <f>IF(VLOOKUP($A325,Players!$A$2:$C$132,3)&lt;&gt;0,VLOOKUP($A325,Players!$A$2:$C$132,3),"")</f>
        <v/>
      </c>
      <c r="C325" s="255"/>
      <c r="D325" s="255"/>
      <c r="E325" s="255"/>
      <c r="F325" s="255"/>
      <c r="G325" s="254" t="str">
        <f>IF(VLOOKUP($D311&amp;RIGHT($A325,1),Players!$A$2:$D$132,3)&lt;&gt;0,VLOOKUP($D311&amp;RIGHT($A325,1),Players!$A$2:$D$132,3),"")</f>
        <v/>
      </c>
      <c r="H325" s="254"/>
      <c r="I325" s="254"/>
      <c r="J325" s="210" t="str">
        <f>IF(VLOOKUP($D311&amp;RIGHT($A325,1),Players!$A$2:$D$132,3)&lt;&gt;0,"("&amp;VLOOKUP($D311&amp;RIGHT($A325,1),Players!$A$2:$D$132,4)&amp;")","")</f>
        <v/>
      </c>
    </row>
    <row r="326" spans="1:10" ht="25.5" customHeight="1">
      <c r="A326" s="50"/>
      <c r="B326" s="26"/>
      <c r="C326" s="26"/>
      <c r="D326" s="26"/>
      <c r="E326" s="26"/>
      <c r="F326" s="27"/>
      <c r="G326" s="43"/>
      <c r="H326" s="43"/>
      <c r="I326" s="43"/>
      <c r="J326" s="43"/>
    </row>
    <row r="327" spans="1:10">
      <c r="A327" s="49" t="s">
        <v>1225</v>
      </c>
      <c r="B327" s="46"/>
      <c r="C327" s="46"/>
      <c r="D327" s="46"/>
      <c r="E327" s="46"/>
      <c r="F327" s="46"/>
      <c r="G327" s="43"/>
      <c r="H327" s="43"/>
      <c r="I327" s="43"/>
      <c r="J327" s="43"/>
    </row>
    <row r="328" spans="1:10">
      <c r="A328" s="46" t="s">
        <v>1247</v>
      </c>
      <c r="B328" s="46"/>
      <c r="C328" s="46"/>
      <c r="D328" s="46"/>
      <c r="E328" s="46"/>
      <c r="F328" s="46"/>
      <c r="G328" s="43"/>
      <c r="H328" s="43"/>
      <c r="I328" s="43"/>
      <c r="J328" s="43"/>
    </row>
    <row r="329" spans="1:10">
      <c r="A329" s="46" t="s">
        <v>1248</v>
      </c>
      <c r="B329" s="46"/>
      <c r="C329" s="46"/>
      <c r="D329" s="46"/>
      <c r="E329" s="46"/>
      <c r="F329" s="46"/>
      <c r="G329" s="43"/>
      <c r="H329" s="43"/>
      <c r="I329" s="43"/>
      <c r="J329" s="43"/>
    </row>
    <row r="330" spans="1:10" ht="13.5" thickBot="1">
      <c r="A330" s="46"/>
      <c r="B330" s="46"/>
      <c r="C330" s="46"/>
      <c r="D330" s="46"/>
      <c r="E330" s="46"/>
      <c r="F330" s="46"/>
      <c r="G330" s="43"/>
      <c r="H330" s="43"/>
      <c r="I330" s="43"/>
      <c r="J330" s="43"/>
    </row>
    <row r="331" spans="1:10" ht="25.5" customHeight="1" thickBot="1">
      <c r="A331" s="50"/>
      <c r="B331" s="257"/>
      <c r="C331" s="258"/>
      <c r="D331" s="258"/>
      <c r="E331" s="258"/>
      <c r="F331" s="259"/>
      <c r="G331" s="43"/>
      <c r="H331" s="43"/>
      <c r="I331" s="43"/>
      <c r="J331" s="43"/>
    </row>
    <row r="332" spans="1:10">
      <c r="A332" s="43"/>
      <c r="B332" s="43"/>
      <c r="C332" s="43"/>
      <c r="D332" s="43"/>
      <c r="E332" s="43"/>
      <c r="F332" s="43"/>
      <c r="G332" s="43"/>
      <c r="H332" s="43"/>
      <c r="I332" s="43"/>
      <c r="J332" s="43"/>
    </row>
    <row r="333" spans="1:10">
      <c r="A333" s="43"/>
      <c r="B333" s="43"/>
      <c r="C333" s="43"/>
      <c r="D333" s="43"/>
      <c r="E333" s="43"/>
      <c r="F333" s="43"/>
      <c r="G333" s="43"/>
      <c r="H333" s="43"/>
      <c r="I333" s="43"/>
      <c r="J333" s="43"/>
    </row>
    <row r="334" spans="1:10">
      <c r="A334" s="43"/>
      <c r="B334" s="43"/>
      <c r="C334" s="43"/>
      <c r="D334" s="43"/>
      <c r="E334" s="43"/>
      <c r="F334" s="43"/>
      <c r="G334" s="43"/>
      <c r="H334" s="43"/>
      <c r="I334" s="43"/>
      <c r="J334" s="43"/>
    </row>
    <row r="335" spans="1:10">
      <c r="A335" s="43"/>
      <c r="B335" s="43"/>
      <c r="C335" s="43"/>
      <c r="D335" s="43"/>
      <c r="E335" s="43"/>
      <c r="F335" s="43"/>
      <c r="G335" s="43"/>
      <c r="H335" s="43"/>
      <c r="I335" s="43"/>
      <c r="J335" s="43"/>
    </row>
    <row r="336" spans="1:10">
      <c r="A336" s="43"/>
      <c r="B336" s="43"/>
      <c r="C336" s="43"/>
      <c r="D336" s="43"/>
      <c r="E336" s="43"/>
      <c r="F336" s="43"/>
      <c r="G336" s="43"/>
      <c r="H336" s="43"/>
      <c r="I336" s="43"/>
      <c r="J336" s="43"/>
    </row>
    <row r="337" spans="1:10" ht="25.5" customHeight="1">
      <c r="A337" s="47"/>
      <c r="B337" s="47"/>
      <c r="C337" s="47"/>
      <c r="D337" s="47"/>
      <c r="E337" s="47"/>
      <c r="F337" s="43"/>
      <c r="G337" s="51"/>
      <c r="H337" s="250" t="s">
        <v>1227</v>
      </c>
      <c r="I337" s="251"/>
      <c r="J337" s="43"/>
    </row>
    <row r="338" spans="1:10">
      <c r="A338" s="43" t="s">
        <v>1226</v>
      </c>
      <c r="B338" s="43"/>
      <c r="C338" s="43"/>
      <c r="D338" s="43"/>
      <c r="E338" s="43"/>
      <c r="F338" s="43"/>
      <c r="G338" s="43"/>
      <c r="H338" s="43"/>
      <c r="I338" s="43"/>
      <c r="J338" s="43"/>
    </row>
    <row r="339" spans="1:10">
      <c r="A339" s="43"/>
      <c r="B339" s="43"/>
      <c r="C339" s="43"/>
      <c r="D339" s="43"/>
      <c r="E339" s="43"/>
      <c r="F339" s="43"/>
      <c r="G339" s="43"/>
      <c r="H339" s="43"/>
      <c r="I339" s="43"/>
      <c r="J339" s="43"/>
    </row>
    <row r="340" spans="1:10">
      <c r="A340" s="43"/>
      <c r="B340" s="43"/>
      <c r="C340" s="43"/>
      <c r="D340" s="43"/>
      <c r="E340" s="256" t="str">
        <f>CONCATENATE("(",$D311," vs ",$I311,")")</f>
        <v>(A vs D)</v>
      </c>
      <c r="F340" s="256"/>
      <c r="G340" s="43"/>
      <c r="H340" s="43"/>
      <c r="I340" s="43"/>
      <c r="J340" s="43"/>
    </row>
    <row r="341" spans="1:10" ht="15.75">
      <c r="A341" s="42" t="s">
        <v>1223</v>
      </c>
      <c r="B341" s="43"/>
      <c r="C341" s="43"/>
      <c r="D341" s="43"/>
      <c r="E341" s="43"/>
      <c r="F341" s="43"/>
      <c r="G341" s="43"/>
      <c r="H341" s="43"/>
      <c r="I341" s="43"/>
      <c r="J341" s="96" t="s">
        <v>4229</v>
      </c>
    </row>
    <row r="342" spans="1:10" ht="12.75" customHeight="1">
      <c r="A342" s="42"/>
      <c r="B342" s="43"/>
      <c r="C342" s="43"/>
      <c r="D342" s="43"/>
      <c r="E342" s="43"/>
      <c r="F342" s="43"/>
      <c r="G342" s="43" t="str">
        <f ca="1">Team_Matches!$J$6</f>
        <v>[NCTTA Teams Template (v2.06).xlsx]</v>
      </c>
      <c r="H342" s="43"/>
      <c r="I342" s="43"/>
      <c r="J342" s="160"/>
    </row>
    <row r="343" spans="1:10" ht="12.75" customHeight="1">
      <c r="A343" s="42"/>
      <c r="B343" s="43"/>
      <c r="C343" s="43"/>
      <c r="D343" s="43"/>
      <c r="E343" s="43"/>
      <c r="F343" s="43"/>
      <c r="G343" s="247" t="str">
        <f>Team_Matches!$J262</f>
        <v>Round 3, Match 2</v>
      </c>
      <c r="H343" s="247"/>
      <c r="I343" s="161" t="str">
        <f>Team_Matches!$M262</f>
        <v/>
      </c>
      <c r="J343" s="161"/>
    </row>
    <row r="344" spans="1:10" ht="15.75">
      <c r="A344" s="42"/>
      <c r="B344" s="43"/>
      <c r="C344" s="43"/>
      <c r="D344" s="43"/>
      <c r="E344" s="43"/>
      <c r="F344" s="43"/>
      <c r="G344" s="43"/>
      <c r="H344" s="43"/>
      <c r="I344" s="43"/>
      <c r="J344" s="43"/>
    </row>
    <row r="345" spans="1:10">
      <c r="A345" s="43"/>
      <c r="B345" s="43"/>
      <c r="C345" s="9" t="s">
        <v>1228</v>
      </c>
      <c r="D345" s="52" t="str">
        <f>Team_Matches!$B264</f>
        <v>B</v>
      </c>
      <c r="E345" s="43"/>
      <c r="F345" s="97" t="str">
        <f>CONCATENATE($D345,"-",$I345)</f>
        <v>B-C</v>
      </c>
      <c r="G345" s="43"/>
      <c r="H345" s="9" t="s">
        <v>1228</v>
      </c>
      <c r="I345" s="52" t="str">
        <f>Team_Matches!$K264</f>
        <v>C</v>
      </c>
      <c r="J345" s="43"/>
    </row>
    <row r="346" spans="1:10" ht="25.5" customHeight="1">
      <c r="A346" s="44"/>
      <c r="B346" s="248" t="str">
        <f>IF(VLOOKUP($D345,Draw!$A$4:$B$27,2)&lt;&gt;0,VLOOKUP($D345,Draw!$A$4:$B$27,2),"")</f>
        <v/>
      </c>
      <c r="C346" s="248"/>
      <c r="D346" s="248"/>
      <c r="E346" s="249"/>
      <c r="F346" s="45"/>
      <c r="G346" s="252" t="str">
        <f>IF(VLOOKUP($I345,Draw!$A$4:$B$27,2)&lt;&gt;0,VLOOKUP($I345,Draw!$A$4:$B$27,2),"")</f>
        <v/>
      </c>
      <c r="H346" s="252"/>
      <c r="I346" s="252"/>
      <c r="J346" s="253"/>
    </row>
    <row r="347" spans="1:10" ht="25.5" customHeight="1"/>
    <row r="348" spans="1:10" ht="25.5" customHeight="1"/>
    <row r="349" spans="1:10" ht="24" customHeight="1">
      <c r="A349" s="48" t="s">
        <v>1246</v>
      </c>
      <c r="B349" s="43"/>
      <c r="C349" s="43"/>
      <c r="D349" s="43"/>
      <c r="E349" s="43"/>
      <c r="F349" s="43"/>
      <c r="G349" s="43"/>
      <c r="H349" s="43"/>
      <c r="I349" s="43"/>
      <c r="J349" s="43"/>
    </row>
    <row r="350" spans="1:10" ht="24" customHeight="1">
      <c r="A350" s="48"/>
      <c r="B350" s="43"/>
      <c r="C350" s="43"/>
      <c r="D350" s="43"/>
      <c r="E350" s="43"/>
      <c r="F350" s="43"/>
      <c r="G350" s="43"/>
      <c r="H350" s="43"/>
      <c r="I350" s="43"/>
      <c r="J350" s="43"/>
    </row>
    <row r="351" spans="1:10">
      <c r="A351" s="49" t="s">
        <v>1224</v>
      </c>
      <c r="B351" s="46"/>
      <c r="C351" s="46"/>
      <c r="D351" s="46"/>
      <c r="E351" s="46"/>
      <c r="F351" s="46"/>
      <c r="G351" s="260" t="s">
        <v>10336</v>
      </c>
      <c r="H351" s="260"/>
      <c r="I351" s="260"/>
      <c r="J351" s="260"/>
    </row>
    <row r="352" spans="1:10" ht="24" customHeight="1">
      <c r="A352" s="50" t="str">
        <f>CONCATENATE($D345,"1")</f>
        <v>B1</v>
      </c>
      <c r="B352" s="255" t="str">
        <f>IF(VLOOKUP($A352,Players!$A$2:$C$132,3)&lt;&gt;0,VLOOKUP($A352,Players!$A$2:$C$132,3),"")</f>
        <v/>
      </c>
      <c r="C352" s="255"/>
      <c r="D352" s="255"/>
      <c r="E352" s="255"/>
      <c r="F352" s="255"/>
      <c r="G352" s="254" t="str">
        <f>IF(VLOOKUP($I345&amp;RIGHT($A352,1),Players!$A$2:$D$132,3)&lt;&gt;0,VLOOKUP($I345&amp;RIGHT($A352,1),Players!$A$2:$D$132,3),"")</f>
        <v/>
      </c>
      <c r="H352" s="254"/>
      <c r="I352" s="254"/>
      <c r="J352" s="210" t="str">
        <f>IF(VLOOKUP($I345&amp;RIGHT($A352,1),Players!$A$2:$D$132,3)&lt;&gt;0,"("&amp;VLOOKUP($I345&amp;RIGHT($A352,1),Players!$A$2:$D$132,4)&amp;")","")</f>
        <v/>
      </c>
    </row>
    <row r="353" spans="1:10" ht="25.5" customHeight="1">
      <c r="A353" s="50" t="str">
        <f>CONCATENATE($D345,"2")</f>
        <v>B2</v>
      </c>
      <c r="B353" s="255" t="str">
        <f>IF(VLOOKUP($A353,Players!$A$2:$C$132,3)&lt;&gt;0,VLOOKUP($A353,Players!$A$2:$C$132,3),"")</f>
        <v/>
      </c>
      <c r="C353" s="255"/>
      <c r="D353" s="255"/>
      <c r="E353" s="255"/>
      <c r="F353" s="255"/>
      <c r="G353" s="254" t="str">
        <f>IF(VLOOKUP($I345&amp;RIGHT($A353,1),Players!$A$2:$D$132,3)&lt;&gt;0,VLOOKUP($I345&amp;RIGHT($A353,1),Players!$A$2:$D$132,3),"")</f>
        <v/>
      </c>
      <c r="H353" s="254"/>
      <c r="I353" s="254"/>
      <c r="J353" s="210" t="str">
        <f>IF(VLOOKUP($I345&amp;RIGHT($A353,1),Players!$A$2:$D$132,3)&lt;&gt;0,"("&amp;VLOOKUP($I345&amp;RIGHT($A353,1),Players!$A$2:$D$132,4)&amp;")","")</f>
        <v/>
      </c>
    </row>
    <row r="354" spans="1:10" ht="25.5" customHeight="1">
      <c r="A354" s="50" t="str">
        <f>CONCATENATE($D345,"3")</f>
        <v>B3</v>
      </c>
      <c r="B354" s="255" t="str">
        <f>IF(VLOOKUP($A354,Players!$A$2:$C$132,3)&lt;&gt;0,VLOOKUP($A354,Players!$A$2:$C$132,3),"")</f>
        <v/>
      </c>
      <c r="C354" s="255"/>
      <c r="D354" s="255"/>
      <c r="E354" s="255"/>
      <c r="F354" s="255"/>
      <c r="G354" s="254" t="str">
        <f>IF(VLOOKUP($I345&amp;RIGHT($A354,1),Players!$A$2:$D$132,3)&lt;&gt;0,VLOOKUP($I345&amp;RIGHT($A354,1),Players!$A$2:$D$132,3),"")</f>
        <v/>
      </c>
      <c r="H354" s="254"/>
      <c r="I354" s="254"/>
      <c r="J354" s="210" t="str">
        <f>IF(VLOOKUP($I345&amp;RIGHT($A354,1),Players!$A$2:$D$132,3)&lt;&gt;0,"("&amp;VLOOKUP($I345&amp;RIGHT($A354,1),Players!$A$2:$D$132,4)&amp;")","")</f>
        <v/>
      </c>
    </row>
    <row r="355" spans="1:10" ht="25.5" customHeight="1">
      <c r="A355" s="50" t="str">
        <f>CONCATENATE($D345,"4")</f>
        <v>B4</v>
      </c>
      <c r="B355" s="255" t="str">
        <f>IF(VLOOKUP($A355,Players!$A$2:$C$132,3)&lt;&gt;0,VLOOKUP($A355,Players!$A$2:$C$132,3),"")</f>
        <v/>
      </c>
      <c r="C355" s="255"/>
      <c r="D355" s="255"/>
      <c r="E355" s="255"/>
      <c r="F355" s="255"/>
      <c r="G355" s="254" t="str">
        <f>IF(VLOOKUP($I345&amp;RIGHT($A355,1),Players!$A$2:$D$132,3)&lt;&gt;0,VLOOKUP($I345&amp;RIGHT($A355,1),Players!$A$2:$D$132,3),"")</f>
        <v/>
      </c>
      <c r="H355" s="254"/>
      <c r="I355" s="254"/>
      <c r="J355" s="210" t="str">
        <f>IF(VLOOKUP($I345&amp;RIGHT($A355,1),Players!$A$2:$D$132,3)&lt;&gt;0,"("&amp;VLOOKUP($I345&amp;RIGHT($A355,1),Players!$A$2:$D$132,4)&amp;")","")</f>
        <v/>
      </c>
    </row>
    <row r="356" spans="1:10" ht="25.5" customHeight="1">
      <c r="A356" s="50" t="str">
        <f>CONCATENATE($D345,"5")</f>
        <v>B5</v>
      </c>
      <c r="B356" s="255" t="str">
        <f>IF(VLOOKUP($A356,Players!$A$2:$C$132,3)&lt;&gt;0,VLOOKUP($A356,Players!$A$2:$C$132,3),"")</f>
        <v/>
      </c>
      <c r="C356" s="255"/>
      <c r="D356" s="255"/>
      <c r="E356" s="255"/>
      <c r="F356" s="255"/>
      <c r="G356" s="254" t="str">
        <f>IF(VLOOKUP($I345&amp;RIGHT($A356,1),Players!$A$2:$D$132,3)&lt;&gt;0,VLOOKUP($I345&amp;RIGHT($A356,1),Players!$A$2:$D$132,3),"")</f>
        <v/>
      </c>
      <c r="H356" s="254"/>
      <c r="I356" s="254"/>
      <c r="J356" s="210" t="str">
        <f>IF(VLOOKUP($I345&amp;RIGHT($A356,1),Players!$A$2:$D$132,3)&lt;&gt;0,"("&amp;VLOOKUP($I345&amp;RIGHT($A356,1),Players!$A$2:$D$132,4)&amp;")","")</f>
        <v/>
      </c>
    </row>
    <row r="357" spans="1:10" ht="25.5" customHeight="1">
      <c r="A357" s="50" t="str">
        <f>CONCATENATE($D345,"6")</f>
        <v>B6</v>
      </c>
      <c r="B357" s="255" t="str">
        <f>IF(VLOOKUP($A357,Players!$A$2:$C$132,3)&lt;&gt;0,VLOOKUP($A357,Players!$A$2:$C$132,3),"")</f>
        <v/>
      </c>
      <c r="C357" s="255"/>
      <c r="D357" s="255"/>
      <c r="E357" s="255"/>
      <c r="F357" s="255"/>
      <c r="G357" s="254" t="str">
        <f>IF(VLOOKUP($I345&amp;RIGHT($A357,1),Players!$A$2:$D$132,3)&lt;&gt;0,VLOOKUP($I345&amp;RIGHT($A357,1),Players!$A$2:$D$132,3),"")</f>
        <v/>
      </c>
      <c r="H357" s="254"/>
      <c r="I357" s="254"/>
      <c r="J357" s="210" t="str">
        <f>IF(VLOOKUP($I345&amp;RIGHT($A357,1),Players!$A$2:$D$132,3)&lt;&gt;0,"("&amp;VLOOKUP($I345&amp;RIGHT($A357,1),Players!$A$2:$D$132,4)&amp;")","")</f>
        <v/>
      </c>
    </row>
    <row r="358" spans="1:10" ht="25.5" customHeight="1">
      <c r="A358" s="50" t="str">
        <f>CONCATENATE($D345,"7")</f>
        <v>B7</v>
      </c>
      <c r="B358" s="255" t="str">
        <f>IF(VLOOKUP($A358,Players!$A$2:$C$132,3)&lt;&gt;0,VLOOKUP($A358,Players!$A$2:$C$132,3),"")</f>
        <v/>
      </c>
      <c r="C358" s="255"/>
      <c r="D358" s="255"/>
      <c r="E358" s="255"/>
      <c r="F358" s="255"/>
      <c r="G358" s="254" t="str">
        <f>IF(VLOOKUP($I345&amp;RIGHT($A358,1),Players!$A$2:$D$132,3)&lt;&gt;0,VLOOKUP($I345&amp;RIGHT($A358,1),Players!$A$2:$D$132,3),"")</f>
        <v/>
      </c>
      <c r="H358" s="254"/>
      <c r="I358" s="254"/>
      <c r="J358" s="210" t="str">
        <f>IF(VLOOKUP($I345&amp;RIGHT($A358,1),Players!$A$2:$D$132,3)&lt;&gt;0,"("&amp;VLOOKUP($I345&amp;RIGHT($A358,1),Players!$A$2:$D$132,4)&amp;")","")</f>
        <v/>
      </c>
    </row>
    <row r="359" spans="1:10" ht="25.5" customHeight="1">
      <c r="A359" s="50" t="str">
        <f>CONCATENATE($D345,"8")</f>
        <v>B8</v>
      </c>
      <c r="B359" s="255" t="str">
        <f>IF(VLOOKUP($A359,Players!$A$2:$C$132,3)&lt;&gt;0,VLOOKUP($A359,Players!$A$2:$C$132,3),"")</f>
        <v/>
      </c>
      <c r="C359" s="255"/>
      <c r="D359" s="255"/>
      <c r="E359" s="255"/>
      <c r="F359" s="255"/>
      <c r="G359" s="254" t="str">
        <f>IF(VLOOKUP($I345&amp;RIGHT($A359,1),Players!$A$2:$D$132,3)&lt;&gt;0,VLOOKUP($I345&amp;RIGHT($A359,1),Players!$A$2:$D$132,3),"")</f>
        <v/>
      </c>
      <c r="H359" s="254"/>
      <c r="I359" s="254"/>
      <c r="J359" s="210" t="str">
        <f>IF(VLOOKUP($I345&amp;RIGHT($A359,1),Players!$A$2:$D$132,3)&lt;&gt;0,"("&amp;VLOOKUP($I345&amp;RIGHT($A359,1),Players!$A$2:$D$132,4)&amp;")","")</f>
        <v/>
      </c>
    </row>
    <row r="360" spans="1:10" ht="25.5" customHeight="1">
      <c r="A360" s="50"/>
      <c r="B360" s="26"/>
      <c r="C360" s="26"/>
      <c r="D360" s="26"/>
      <c r="E360" s="26"/>
      <c r="F360" s="27"/>
      <c r="G360" s="43"/>
      <c r="H360" s="43"/>
      <c r="I360" s="43"/>
      <c r="J360" s="43"/>
    </row>
    <row r="361" spans="1:10">
      <c r="A361" s="49" t="s">
        <v>1225</v>
      </c>
      <c r="B361" s="46"/>
      <c r="C361" s="46"/>
      <c r="D361" s="46"/>
      <c r="E361" s="46"/>
      <c r="F361" s="46"/>
      <c r="G361" s="43"/>
      <c r="H361" s="43"/>
      <c r="I361" s="43"/>
      <c r="J361" s="43"/>
    </row>
    <row r="362" spans="1:10">
      <c r="A362" s="46" t="s">
        <v>1247</v>
      </c>
      <c r="B362" s="46"/>
      <c r="C362" s="46"/>
      <c r="D362" s="46"/>
      <c r="E362" s="46"/>
      <c r="F362" s="46"/>
      <c r="G362" s="43"/>
      <c r="H362" s="43"/>
      <c r="I362" s="43"/>
      <c r="J362" s="43"/>
    </row>
    <row r="363" spans="1:10">
      <c r="A363" s="46" t="s">
        <v>1248</v>
      </c>
      <c r="B363" s="46"/>
      <c r="C363" s="46"/>
      <c r="D363" s="46"/>
      <c r="E363" s="46"/>
      <c r="F363" s="46"/>
      <c r="G363" s="43"/>
      <c r="H363" s="43"/>
      <c r="I363" s="43"/>
      <c r="J363" s="43"/>
    </row>
    <row r="364" spans="1:10" ht="13.5" thickBot="1">
      <c r="A364" s="46"/>
      <c r="B364" s="46"/>
      <c r="C364" s="46"/>
      <c r="D364" s="46"/>
      <c r="E364" s="46"/>
      <c r="F364" s="46"/>
      <c r="G364" s="43"/>
      <c r="H364" s="43"/>
      <c r="I364" s="43"/>
      <c r="J364" s="43"/>
    </row>
    <row r="365" spans="1:10" ht="25.5" customHeight="1" thickBot="1">
      <c r="A365" s="50"/>
      <c r="B365" s="257"/>
      <c r="C365" s="258"/>
      <c r="D365" s="258"/>
      <c r="E365" s="258"/>
      <c r="F365" s="259"/>
      <c r="G365" s="43"/>
      <c r="H365" s="43"/>
      <c r="I365" s="43"/>
      <c r="J365" s="43"/>
    </row>
    <row r="366" spans="1:10">
      <c r="A366" s="43"/>
      <c r="B366" s="43"/>
      <c r="C366" s="43"/>
      <c r="D366" s="43"/>
      <c r="E366" s="43"/>
      <c r="F366" s="43"/>
      <c r="G366" s="43"/>
      <c r="H366" s="43"/>
      <c r="I366" s="43"/>
      <c r="J366" s="43"/>
    </row>
    <row r="367" spans="1:10">
      <c r="A367" s="43"/>
      <c r="B367" s="43"/>
      <c r="C367" s="43"/>
      <c r="D367" s="43"/>
      <c r="E367" s="43"/>
      <c r="F367" s="43"/>
      <c r="G367" s="43"/>
      <c r="H367" s="43"/>
      <c r="I367" s="43"/>
      <c r="J367" s="43"/>
    </row>
    <row r="368" spans="1:10">
      <c r="A368" s="43"/>
      <c r="B368" s="43"/>
      <c r="C368" s="43"/>
      <c r="D368" s="43"/>
      <c r="E368" s="43"/>
      <c r="F368" s="43"/>
      <c r="G368" s="43"/>
      <c r="H368" s="43"/>
      <c r="I368" s="43"/>
      <c r="J368" s="43"/>
    </row>
    <row r="369" spans="1:10">
      <c r="A369" s="43"/>
      <c r="B369" s="43"/>
      <c r="C369" s="43"/>
      <c r="D369" s="43"/>
      <c r="E369" s="43"/>
      <c r="F369" s="43"/>
      <c r="G369" s="43"/>
      <c r="H369" s="43"/>
      <c r="I369" s="43"/>
      <c r="J369" s="43"/>
    </row>
    <row r="370" spans="1:10">
      <c r="A370" s="43"/>
      <c r="B370" s="43"/>
      <c r="C370" s="43"/>
      <c r="D370" s="43"/>
      <c r="E370" s="43"/>
      <c r="F370" s="43"/>
      <c r="G370" s="43"/>
      <c r="H370" s="43"/>
      <c r="I370" s="43"/>
      <c r="J370" s="43"/>
    </row>
    <row r="371" spans="1:10" ht="25.5" customHeight="1">
      <c r="A371" s="47"/>
      <c r="B371" s="47"/>
      <c r="C371" s="47"/>
      <c r="D371" s="47"/>
      <c r="E371" s="47"/>
      <c r="F371" s="43"/>
      <c r="G371" s="51"/>
      <c r="H371" s="250" t="s">
        <v>1227</v>
      </c>
      <c r="I371" s="251"/>
      <c r="J371" s="43"/>
    </row>
    <row r="372" spans="1:10">
      <c r="A372" s="43" t="s">
        <v>1226</v>
      </c>
      <c r="B372" s="43"/>
      <c r="C372" s="43"/>
      <c r="D372" s="43"/>
      <c r="E372" s="43"/>
      <c r="F372" s="43"/>
      <c r="G372" s="43"/>
      <c r="H372" s="43"/>
      <c r="I372" s="43"/>
      <c r="J372" s="43"/>
    </row>
    <row r="373" spans="1:10">
      <c r="A373" s="43"/>
      <c r="B373" s="43"/>
      <c r="C373" s="43"/>
      <c r="D373" s="43"/>
      <c r="E373" s="43"/>
      <c r="F373" s="43"/>
      <c r="G373" s="43"/>
      <c r="H373" s="43"/>
      <c r="I373" s="43"/>
      <c r="J373" s="43"/>
    </row>
    <row r="374" spans="1:10">
      <c r="A374" s="43"/>
      <c r="B374" s="43"/>
      <c r="C374" s="43"/>
      <c r="D374" s="43"/>
      <c r="E374" s="256" t="str">
        <f>CONCATENATE("(",$D345," vs ",$I345,")")</f>
        <v>(B vs C)</v>
      </c>
      <c r="F374" s="256"/>
      <c r="G374" s="43"/>
      <c r="H374" s="43"/>
      <c r="I374" s="43"/>
      <c r="J374" s="43"/>
    </row>
    <row r="375" spans="1:10" ht="15.75">
      <c r="A375" s="42" t="s">
        <v>1223</v>
      </c>
      <c r="B375" s="43"/>
      <c r="C375" s="43"/>
      <c r="D375" s="43"/>
      <c r="E375" s="43"/>
      <c r="F375" s="43"/>
      <c r="G375" s="43"/>
      <c r="H375" s="43"/>
      <c r="I375" s="43"/>
      <c r="J375" s="96" t="s">
        <v>4230</v>
      </c>
    </row>
    <row r="376" spans="1:10" ht="12.75" customHeight="1">
      <c r="A376" s="42"/>
      <c r="B376" s="43"/>
      <c r="C376" s="43"/>
      <c r="D376" s="43"/>
      <c r="E376" s="43"/>
      <c r="F376" s="43"/>
      <c r="G376" s="43" t="str">
        <f ca="1">Team_Matches!$J$6</f>
        <v>[NCTTA Teams Template (v2.06).xlsx]</v>
      </c>
      <c r="H376" s="43"/>
      <c r="I376" s="43"/>
      <c r="J376" s="160"/>
    </row>
    <row r="377" spans="1:10" ht="12.75" customHeight="1">
      <c r="A377" s="42"/>
      <c r="B377" s="43"/>
      <c r="C377" s="43"/>
      <c r="D377" s="43"/>
      <c r="E377" s="43"/>
      <c r="F377" s="43"/>
      <c r="G377" s="247" t="str">
        <f>Team_Matches!$J262</f>
        <v>Round 3, Match 2</v>
      </c>
      <c r="H377" s="247"/>
      <c r="I377" s="161" t="str">
        <f>Team_Matches!$M262</f>
        <v/>
      </c>
      <c r="J377" s="161"/>
    </row>
    <row r="378" spans="1:10" ht="15.75">
      <c r="A378" s="42"/>
      <c r="B378" s="43"/>
      <c r="C378" s="43"/>
      <c r="D378" s="43"/>
      <c r="E378" s="43"/>
      <c r="F378" s="43"/>
      <c r="G378" s="43"/>
      <c r="H378" s="43"/>
      <c r="I378" s="43"/>
      <c r="J378" s="43"/>
    </row>
    <row r="379" spans="1:10">
      <c r="A379" s="43"/>
      <c r="B379" s="43"/>
      <c r="C379" s="9" t="s">
        <v>1228</v>
      </c>
      <c r="D379" s="52" t="str">
        <f>Team_Matches!$B264</f>
        <v>B</v>
      </c>
      <c r="E379" s="43"/>
      <c r="F379" s="97" t="str">
        <f>CONCATENATE($D379,"-",$I379)</f>
        <v>B-C</v>
      </c>
      <c r="G379" s="43"/>
      <c r="H379" s="9" t="s">
        <v>1228</v>
      </c>
      <c r="I379" s="52" t="str">
        <f>Team_Matches!$K264</f>
        <v>C</v>
      </c>
      <c r="J379" s="43"/>
    </row>
    <row r="380" spans="1:10" ht="25.5" customHeight="1">
      <c r="A380" s="44"/>
      <c r="B380" s="252" t="str">
        <f>IF(VLOOKUP($D379,Draw!$A$4:$B$27,2)&lt;&gt;0,VLOOKUP($D379,Draw!$A$4:$B$27,2),"")</f>
        <v/>
      </c>
      <c r="C380" s="252"/>
      <c r="D380" s="252"/>
      <c r="E380" s="253"/>
      <c r="F380" s="45"/>
      <c r="G380" s="248" t="str">
        <f>IF(VLOOKUP($I379,Draw!$A$4:$B$27,2)&lt;&gt;0,VLOOKUP($I379,Draw!$A$4:$B$27,2),"")</f>
        <v/>
      </c>
      <c r="H380" s="248"/>
      <c r="I380" s="248"/>
      <c r="J380" s="249"/>
    </row>
    <row r="381" spans="1:10" ht="25.5" customHeight="1"/>
    <row r="382" spans="1:10" ht="25.5" customHeight="1"/>
    <row r="383" spans="1:10" ht="24" customHeight="1">
      <c r="A383" s="48" t="s">
        <v>1246</v>
      </c>
      <c r="B383" s="43"/>
      <c r="C383" s="43"/>
      <c r="D383" s="43"/>
      <c r="E383" s="43"/>
      <c r="F383" s="43"/>
      <c r="G383" s="43"/>
      <c r="H383" s="43"/>
      <c r="I383" s="43"/>
      <c r="J383" s="43"/>
    </row>
    <row r="384" spans="1:10" ht="24" customHeight="1">
      <c r="A384" s="48"/>
      <c r="B384" s="43"/>
      <c r="C384" s="43"/>
      <c r="D384" s="43"/>
      <c r="E384" s="43"/>
      <c r="F384" s="43"/>
      <c r="G384" s="43"/>
      <c r="H384" s="43"/>
      <c r="I384" s="43"/>
      <c r="J384" s="43"/>
    </row>
    <row r="385" spans="1:10">
      <c r="A385" s="49" t="s">
        <v>1224</v>
      </c>
      <c r="B385" s="46"/>
      <c r="C385" s="46"/>
      <c r="D385" s="46"/>
      <c r="E385" s="46"/>
      <c r="F385" s="46"/>
      <c r="G385" s="260" t="s">
        <v>10336</v>
      </c>
      <c r="H385" s="260"/>
      <c r="I385" s="260"/>
      <c r="J385" s="260"/>
    </row>
    <row r="386" spans="1:10" ht="24" customHeight="1">
      <c r="A386" s="50" t="str">
        <f>CONCATENATE($I379,"1")</f>
        <v>C1</v>
      </c>
      <c r="B386" s="255" t="str">
        <f>IF(VLOOKUP($A386,Players!$A$2:$C$132,3)&lt;&gt;0,VLOOKUP($A386,Players!$A$2:$C$132,3),"")</f>
        <v/>
      </c>
      <c r="C386" s="255"/>
      <c r="D386" s="255"/>
      <c r="E386" s="255"/>
      <c r="F386" s="255"/>
      <c r="G386" s="254" t="str">
        <f>IF(VLOOKUP($D379&amp;RIGHT($A386,1),Players!$A$2:$D$132,3)&lt;&gt;0,VLOOKUP($D379&amp;RIGHT($A386,1),Players!$A$2:$D$132,3),"")</f>
        <v/>
      </c>
      <c r="H386" s="254"/>
      <c r="I386" s="254"/>
      <c r="J386" s="210" t="str">
        <f>IF(VLOOKUP($D379&amp;RIGHT($A386,1),Players!$A$2:$D$132,3)&lt;&gt;0,"("&amp;VLOOKUP($D379&amp;RIGHT($A386,1),Players!$A$2:$D$132,4)&amp;")","")</f>
        <v/>
      </c>
    </row>
    <row r="387" spans="1:10" ht="25.5" customHeight="1">
      <c r="A387" s="50" t="str">
        <f>CONCATENATE($I379,"2")</f>
        <v>C2</v>
      </c>
      <c r="B387" s="255" t="str">
        <f>IF(VLOOKUP($A387,Players!$A$2:$C$132,3)&lt;&gt;0,VLOOKUP($A387,Players!$A$2:$C$132,3),"")</f>
        <v/>
      </c>
      <c r="C387" s="255"/>
      <c r="D387" s="255"/>
      <c r="E387" s="255"/>
      <c r="F387" s="255"/>
      <c r="G387" s="254" t="str">
        <f>IF(VLOOKUP($D379&amp;RIGHT($A387,1),Players!$A$2:$D$132,3)&lt;&gt;0,VLOOKUP($D379&amp;RIGHT($A387,1),Players!$A$2:$D$132,3),"")</f>
        <v/>
      </c>
      <c r="H387" s="254"/>
      <c r="I387" s="254"/>
      <c r="J387" s="210" t="str">
        <f>IF(VLOOKUP($D379&amp;RIGHT($A387,1),Players!$A$2:$D$132,3)&lt;&gt;0,"("&amp;VLOOKUP($D379&amp;RIGHT($A387,1),Players!$A$2:$D$132,4)&amp;")","")</f>
        <v/>
      </c>
    </row>
    <row r="388" spans="1:10" ht="25.5" customHeight="1">
      <c r="A388" s="50" t="str">
        <f>CONCATENATE($I379,"3")</f>
        <v>C3</v>
      </c>
      <c r="B388" s="255" t="str">
        <f>IF(VLOOKUP($A388,Players!$A$2:$C$132,3)&lt;&gt;0,VLOOKUP($A388,Players!$A$2:$C$132,3),"")</f>
        <v/>
      </c>
      <c r="C388" s="255"/>
      <c r="D388" s="255"/>
      <c r="E388" s="255"/>
      <c r="F388" s="255"/>
      <c r="G388" s="254" t="str">
        <f>IF(VLOOKUP($D379&amp;RIGHT($A388,1),Players!$A$2:$D$132,3)&lt;&gt;0,VLOOKUP($D379&amp;RIGHT($A388,1),Players!$A$2:$D$132,3),"")</f>
        <v/>
      </c>
      <c r="H388" s="254"/>
      <c r="I388" s="254"/>
      <c r="J388" s="210" t="str">
        <f>IF(VLOOKUP($D379&amp;RIGHT($A388,1),Players!$A$2:$D$132,3)&lt;&gt;0,"("&amp;VLOOKUP($D379&amp;RIGHT($A388,1),Players!$A$2:$D$132,4)&amp;")","")</f>
        <v/>
      </c>
    </row>
    <row r="389" spans="1:10" ht="25.5" customHeight="1">
      <c r="A389" s="50" t="str">
        <f>CONCATENATE($I379,"4")</f>
        <v>C4</v>
      </c>
      <c r="B389" s="255" t="str">
        <f>IF(VLOOKUP($A389,Players!$A$2:$C$132,3)&lt;&gt;0,VLOOKUP($A389,Players!$A$2:$C$132,3),"")</f>
        <v/>
      </c>
      <c r="C389" s="255"/>
      <c r="D389" s="255"/>
      <c r="E389" s="255"/>
      <c r="F389" s="255"/>
      <c r="G389" s="254" t="str">
        <f>IF(VLOOKUP($D379&amp;RIGHT($A389,1),Players!$A$2:$D$132,3)&lt;&gt;0,VLOOKUP($D379&amp;RIGHT($A389,1),Players!$A$2:$D$132,3),"")</f>
        <v/>
      </c>
      <c r="H389" s="254"/>
      <c r="I389" s="254"/>
      <c r="J389" s="210" t="str">
        <f>IF(VLOOKUP($D379&amp;RIGHT($A389,1),Players!$A$2:$D$132,3)&lt;&gt;0,"("&amp;VLOOKUP($D379&amp;RIGHT($A389,1),Players!$A$2:$D$132,4)&amp;")","")</f>
        <v/>
      </c>
    </row>
    <row r="390" spans="1:10" ht="25.5" customHeight="1">
      <c r="A390" s="50" t="str">
        <f>CONCATENATE($I379,"5")</f>
        <v>C5</v>
      </c>
      <c r="B390" s="255" t="str">
        <f>IF(VLOOKUP($A390,Players!$A$2:$C$132,3)&lt;&gt;0,VLOOKUP($A390,Players!$A$2:$C$132,3),"")</f>
        <v/>
      </c>
      <c r="C390" s="255"/>
      <c r="D390" s="255"/>
      <c r="E390" s="255"/>
      <c r="F390" s="255"/>
      <c r="G390" s="254" t="str">
        <f>IF(VLOOKUP($D379&amp;RIGHT($A390,1),Players!$A$2:$D$132,3)&lt;&gt;0,VLOOKUP($D379&amp;RIGHT($A390,1),Players!$A$2:$D$132,3),"")</f>
        <v/>
      </c>
      <c r="H390" s="254"/>
      <c r="I390" s="254"/>
      <c r="J390" s="210" t="str">
        <f>IF(VLOOKUP($D379&amp;RIGHT($A390,1),Players!$A$2:$D$132,3)&lt;&gt;0,"("&amp;VLOOKUP($D379&amp;RIGHT($A390,1),Players!$A$2:$D$132,4)&amp;")","")</f>
        <v/>
      </c>
    </row>
    <row r="391" spans="1:10" ht="25.5" customHeight="1">
      <c r="A391" s="50" t="str">
        <f>CONCATENATE($I379,"6")</f>
        <v>C6</v>
      </c>
      <c r="B391" s="255" t="str">
        <f>IF(VLOOKUP($A391,Players!$A$2:$C$132,3)&lt;&gt;0,VLOOKUP($A391,Players!$A$2:$C$132,3),"")</f>
        <v/>
      </c>
      <c r="C391" s="255"/>
      <c r="D391" s="255"/>
      <c r="E391" s="255"/>
      <c r="F391" s="255"/>
      <c r="G391" s="254" t="str">
        <f>IF(VLOOKUP($D379&amp;RIGHT($A391,1),Players!$A$2:$D$132,3)&lt;&gt;0,VLOOKUP($D379&amp;RIGHT($A391,1),Players!$A$2:$D$132,3),"")</f>
        <v/>
      </c>
      <c r="H391" s="254"/>
      <c r="I391" s="254"/>
      <c r="J391" s="210" t="str">
        <f>IF(VLOOKUP($D379&amp;RIGHT($A391,1),Players!$A$2:$D$132,3)&lt;&gt;0,"("&amp;VLOOKUP($D379&amp;RIGHT($A391,1),Players!$A$2:$D$132,4)&amp;")","")</f>
        <v/>
      </c>
    </row>
    <row r="392" spans="1:10" ht="25.5" customHeight="1">
      <c r="A392" s="50" t="str">
        <f>CONCATENATE($I379,"7")</f>
        <v>C7</v>
      </c>
      <c r="B392" s="255" t="str">
        <f>IF(VLOOKUP($A392,Players!$A$2:$C$132,3)&lt;&gt;0,VLOOKUP($A392,Players!$A$2:$C$132,3),"")</f>
        <v/>
      </c>
      <c r="C392" s="255"/>
      <c r="D392" s="255"/>
      <c r="E392" s="255"/>
      <c r="F392" s="255"/>
      <c r="G392" s="254" t="str">
        <f>IF(VLOOKUP($D379&amp;RIGHT($A392,1),Players!$A$2:$D$132,3)&lt;&gt;0,VLOOKUP($D379&amp;RIGHT($A392,1),Players!$A$2:$D$132,3),"")</f>
        <v/>
      </c>
      <c r="H392" s="254"/>
      <c r="I392" s="254"/>
      <c r="J392" s="210" t="str">
        <f>IF(VLOOKUP($D379&amp;RIGHT($A392,1),Players!$A$2:$D$132,3)&lt;&gt;0,"("&amp;VLOOKUP($D379&amp;RIGHT($A392,1),Players!$A$2:$D$132,4)&amp;")","")</f>
        <v/>
      </c>
    </row>
    <row r="393" spans="1:10" ht="25.5" customHeight="1">
      <c r="A393" s="50" t="str">
        <f>CONCATENATE($I379,"8")</f>
        <v>C8</v>
      </c>
      <c r="B393" s="255" t="str">
        <f>IF(VLOOKUP($A393,Players!$A$2:$C$132,3)&lt;&gt;0,VLOOKUP($A393,Players!$A$2:$C$132,3),"")</f>
        <v/>
      </c>
      <c r="C393" s="255"/>
      <c r="D393" s="255"/>
      <c r="E393" s="255"/>
      <c r="F393" s="255"/>
      <c r="G393" s="254" t="str">
        <f>IF(VLOOKUP($D379&amp;RIGHT($A393,1),Players!$A$2:$D$132,3)&lt;&gt;0,VLOOKUP($D379&amp;RIGHT($A393,1),Players!$A$2:$D$132,3),"")</f>
        <v/>
      </c>
      <c r="H393" s="254"/>
      <c r="I393" s="254"/>
      <c r="J393" s="210" t="str">
        <f>IF(VLOOKUP($D379&amp;RIGHT($A393,1),Players!$A$2:$D$132,3)&lt;&gt;0,"("&amp;VLOOKUP($D379&amp;RIGHT($A393,1),Players!$A$2:$D$132,4)&amp;")","")</f>
        <v/>
      </c>
    </row>
    <row r="394" spans="1:10" ht="25.5" customHeight="1">
      <c r="A394" s="50"/>
      <c r="B394" s="26"/>
      <c r="C394" s="26"/>
      <c r="D394" s="26"/>
      <c r="E394" s="26"/>
      <c r="F394" s="27"/>
      <c r="G394" s="43"/>
      <c r="H394" s="43"/>
      <c r="I394" s="43"/>
      <c r="J394" s="43"/>
    </row>
    <row r="395" spans="1:10">
      <c r="A395" s="49" t="s">
        <v>1225</v>
      </c>
      <c r="B395" s="46"/>
      <c r="C395" s="46"/>
      <c r="D395" s="46"/>
      <c r="E395" s="46"/>
      <c r="F395" s="46"/>
      <c r="G395" s="43"/>
      <c r="H395" s="43"/>
      <c r="I395" s="43"/>
      <c r="J395" s="43"/>
    </row>
    <row r="396" spans="1:10">
      <c r="A396" s="46" t="s">
        <v>1247</v>
      </c>
      <c r="B396" s="46"/>
      <c r="C396" s="46"/>
      <c r="D396" s="46"/>
      <c r="E396" s="46"/>
      <c r="F396" s="46"/>
      <c r="G396" s="43"/>
      <c r="H396" s="43"/>
      <c r="I396" s="43"/>
      <c r="J396" s="43"/>
    </row>
    <row r="397" spans="1:10">
      <c r="A397" s="46" t="s">
        <v>1248</v>
      </c>
      <c r="B397" s="46"/>
      <c r="C397" s="46"/>
      <c r="D397" s="46"/>
      <c r="E397" s="46"/>
      <c r="F397" s="46"/>
      <c r="G397" s="43"/>
      <c r="H397" s="43"/>
      <c r="I397" s="43"/>
      <c r="J397" s="43"/>
    </row>
    <row r="398" spans="1:10" ht="13.5" thickBot="1">
      <c r="A398" s="46"/>
      <c r="B398" s="46"/>
      <c r="C398" s="46"/>
      <c r="D398" s="46"/>
      <c r="E398" s="46"/>
      <c r="F398" s="46"/>
      <c r="G398" s="43"/>
      <c r="H398" s="43"/>
      <c r="I398" s="43"/>
      <c r="J398" s="43"/>
    </row>
    <row r="399" spans="1:10" ht="25.5" customHeight="1" thickBot="1">
      <c r="A399" s="50"/>
      <c r="B399" s="257"/>
      <c r="C399" s="258"/>
      <c r="D399" s="258"/>
      <c r="E399" s="258"/>
      <c r="F399" s="259"/>
      <c r="G399" s="43"/>
      <c r="H399" s="43"/>
      <c r="I399" s="43"/>
      <c r="J399" s="43"/>
    </row>
    <row r="400" spans="1:10">
      <c r="A400" s="43"/>
      <c r="B400" s="43"/>
      <c r="C400" s="43"/>
      <c r="D400" s="43"/>
      <c r="E400" s="43"/>
      <c r="F400" s="43"/>
      <c r="G400" s="43"/>
      <c r="H400" s="43"/>
      <c r="I400" s="43"/>
      <c r="J400" s="43"/>
    </row>
    <row r="401" spans="1:10">
      <c r="A401" s="43"/>
      <c r="B401" s="43"/>
      <c r="C401" s="43"/>
      <c r="D401" s="43"/>
      <c r="E401" s="43"/>
      <c r="F401" s="43"/>
      <c r="G401" s="43"/>
      <c r="H401" s="43"/>
      <c r="I401" s="43"/>
      <c r="J401" s="43"/>
    </row>
    <row r="402" spans="1:10">
      <c r="A402" s="43"/>
      <c r="B402" s="43"/>
      <c r="C402" s="43"/>
      <c r="D402" s="43"/>
      <c r="E402" s="43"/>
      <c r="F402" s="43"/>
      <c r="G402" s="43"/>
      <c r="H402" s="43"/>
      <c r="I402" s="43"/>
      <c r="J402" s="43"/>
    </row>
    <row r="403" spans="1:10">
      <c r="A403" s="43"/>
      <c r="B403" s="43"/>
      <c r="C403" s="43"/>
      <c r="D403" s="43"/>
      <c r="E403" s="43"/>
      <c r="F403" s="43"/>
      <c r="G403" s="43"/>
      <c r="H403" s="43"/>
      <c r="I403" s="43"/>
      <c r="J403" s="43"/>
    </row>
    <row r="404" spans="1:10">
      <c r="A404" s="43"/>
      <c r="B404" s="43"/>
      <c r="C404" s="43"/>
      <c r="D404" s="43"/>
      <c r="E404" s="43"/>
      <c r="F404" s="43"/>
      <c r="G404" s="43"/>
      <c r="H404" s="43"/>
      <c r="I404" s="43"/>
      <c r="J404" s="43"/>
    </row>
    <row r="405" spans="1:10" ht="25.5" customHeight="1">
      <c r="A405" s="47"/>
      <c r="B405" s="47"/>
      <c r="C405" s="47"/>
      <c r="D405" s="47"/>
      <c r="E405" s="47"/>
      <c r="F405" s="43"/>
      <c r="G405" s="51"/>
      <c r="H405" s="250" t="s">
        <v>1227</v>
      </c>
      <c r="I405" s="251"/>
      <c r="J405" s="43"/>
    </row>
    <row r="406" spans="1:10">
      <c r="A406" s="43" t="s">
        <v>1226</v>
      </c>
      <c r="B406" s="43"/>
      <c r="C406" s="43"/>
      <c r="D406" s="43"/>
      <c r="E406" s="43"/>
      <c r="F406" s="43"/>
      <c r="G406" s="43"/>
      <c r="H406" s="43"/>
      <c r="I406" s="43"/>
      <c r="J406" s="43"/>
    </row>
    <row r="407" spans="1:10">
      <c r="A407" s="43"/>
      <c r="B407" s="43"/>
      <c r="C407" s="43"/>
      <c r="D407" s="43"/>
      <c r="E407" s="43"/>
      <c r="F407" s="43"/>
      <c r="G407" s="43"/>
      <c r="H407" s="43"/>
      <c r="I407" s="43"/>
      <c r="J407" s="43"/>
    </row>
    <row r="408" spans="1:10">
      <c r="A408" s="43"/>
      <c r="B408" s="43"/>
      <c r="C408" s="43"/>
      <c r="D408" s="43"/>
      <c r="E408" s="256" t="str">
        <f>CONCATENATE("(",$D379," vs ",$I379,")")</f>
        <v>(B vs C)</v>
      </c>
      <c r="F408" s="256"/>
      <c r="G408" s="43"/>
      <c r="H408" s="43"/>
      <c r="I408" s="43"/>
      <c r="J408" s="43"/>
    </row>
    <row r="409" spans="1:10" ht="15.75">
      <c r="A409" s="42" t="s">
        <v>1223</v>
      </c>
      <c r="B409" s="43"/>
      <c r="C409" s="43"/>
      <c r="D409" s="43"/>
      <c r="E409" s="43"/>
      <c r="F409" s="43"/>
      <c r="G409" s="43"/>
      <c r="H409" s="43"/>
      <c r="I409" s="43"/>
      <c r="J409" s="96" t="s">
        <v>4231</v>
      </c>
    </row>
    <row r="410" spans="1:10" ht="12.75" customHeight="1">
      <c r="A410" s="42"/>
      <c r="B410" s="43"/>
      <c r="C410" s="43"/>
      <c r="D410" s="43"/>
      <c r="E410" s="43"/>
      <c r="F410" s="43"/>
      <c r="G410" s="43" t="str">
        <f ca="1">Team_Matches!$J$6</f>
        <v>[NCTTA Teams Template (v2.06).xlsx]</v>
      </c>
      <c r="H410" s="43"/>
      <c r="I410" s="43"/>
      <c r="J410" s="160"/>
    </row>
    <row r="411" spans="1:10" ht="12.75" customHeight="1">
      <c r="A411" s="42"/>
      <c r="B411" s="43"/>
      <c r="C411" s="43"/>
      <c r="D411" s="43"/>
      <c r="E411" s="43"/>
      <c r="F411" s="43"/>
      <c r="G411" s="247" t="str">
        <f>Team_Matches!$J313</f>
        <v>Round 1, Match 3</v>
      </c>
      <c r="H411" s="247"/>
      <c r="I411" s="161" t="str">
        <f>Team_Matches!$M313</f>
        <v/>
      </c>
      <c r="J411" s="161"/>
    </row>
    <row r="412" spans="1:10" ht="15.75">
      <c r="A412" s="42"/>
      <c r="B412" s="43"/>
      <c r="C412" s="43"/>
      <c r="D412" s="43"/>
      <c r="E412" s="43"/>
      <c r="F412" s="43"/>
      <c r="G412" s="43"/>
      <c r="H412" s="43"/>
      <c r="I412" s="43"/>
      <c r="J412" s="43"/>
    </row>
    <row r="413" spans="1:10">
      <c r="A413" s="43"/>
      <c r="B413" s="43"/>
      <c r="C413" s="9" t="s">
        <v>1228</v>
      </c>
      <c r="D413" s="3" t="str">
        <f>Team_Matches!$B315</f>
        <v>E</v>
      </c>
      <c r="E413" s="43"/>
      <c r="F413" s="97" t="str">
        <f>CONCATENATE($D413,"-",$I413)</f>
        <v>E-G</v>
      </c>
      <c r="G413" s="43"/>
      <c r="H413" s="9" t="s">
        <v>1228</v>
      </c>
      <c r="I413" s="52" t="str">
        <f>Team_Matches!$K315</f>
        <v>G</v>
      </c>
      <c r="J413" s="43"/>
    </row>
    <row r="414" spans="1:10" ht="25.5" customHeight="1">
      <c r="A414" s="44"/>
      <c r="B414" s="248" t="str">
        <f>IF(VLOOKUP($D413,Draw!$A$4:$B$27,2)&lt;&gt;0,VLOOKUP($D413,Draw!$A$4:$B$27,2),"")</f>
        <v/>
      </c>
      <c r="C414" s="248"/>
      <c r="D414" s="248"/>
      <c r="E414" s="249"/>
      <c r="F414" s="45"/>
      <c r="G414" s="252" t="str">
        <f>IF(VLOOKUP($I413,Draw!$A$4:$B$27,2)&lt;&gt;0,VLOOKUP($I413,Draw!$A$4:$B$27,2),"")</f>
        <v/>
      </c>
      <c r="H414" s="252"/>
      <c r="I414" s="252"/>
      <c r="J414" s="253"/>
    </row>
    <row r="415" spans="1:10" ht="25.5" customHeight="1"/>
    <row r="416" spans="1:10" ht="25.5" customHeight="1"/>
    <row r="417" spans="1:10" ht="24" customHeight="1">
      <c r="A417" s="48" t="s">
        <v>1246</v>
      </c>
      <c r="B417" s="43"/>
      <c r="C417" s="43"/>
      <c r="D417" s="43"/>
      <c r="E417" s="43"/>
      <c r="F417" s="43"/>
      <c r="G417" s="43"/>
      <c r="H417" s="43"/>
      <c r="I417" s="43"/>
      <c r="J417" s="43"/>
    </row>
    <row r="418" spans="1:10" ht="24" customHeight="1">
      <c r="A418" s="48"/>
      <c r="B418" s="43"/>
      <c r="C418" s="43"/>
      <c r="D418" s="43"/>
      <c r="E418" s="43"/>
      <c r="F418" s="43"/>
      <c r="G418" s="43"/>
      <c r="H418" s="43"/>
      <c r="I418" s="43"/>
      <c r="J418" s="43"/>
    </row>
    <row r="419" spans="1:10">
      <c r="A419" s="49" t="s">
        <v>1224</v>
      </c>
      <c r="B419" s="46"/>
      <c r="C419" s="46"/>
      <c r="D419" s="46"/>
      <c r="E419" s="46"/>
      <c r="F419" s="46"/>
      <c r="G419" s="260" t="s">
        <v>10336</v>
      </c>
      <c r="H419" s="260"/>
      <c r="I419" s="260"/>
      <c r="J419" s="260"/>
    </row>
    <row r="420" spans="1:10" ht="24" customHeight="1">
      <c r="A420" s="50" t="str">
        <f>CONCATENATE($D413,"1")</f>
        <v>E1</v>
      </c>
      <c r="B420" s="255" t="str">
        <f>IF(VLOOKUP($A420,Players!$A$2:$C$132,3)&lt;&gt;0,VLOOKUP($A420,Players!$A$2:$C$132,3),"")</f>
        <v/>
      </c>
      <c r="C420" s="255"/>
      <c r="D420" s="255"/>
      <c r="E420" s="255"/>
      <c r="F420" s="255"/>
      <c r="G420" s="254" t="str">
        <f>IF(VLOOKUP($I413&amp;RIGHT($A420,1),Players!$A$2:$D$132,3)&lt;&gt;0,VLOOKUP($I413&amp;RIGHT($A420,1),Players!$A$2:$D$132,3),"")</f>
        <v/>
      </c>
      <c r="H420" s="254"/>
      <c r="I420" s="254"/>
      <c r="J420" s="210" t="str">
        <f>IF(VLOOKUP($I413&amp;RIGHT($A420,1),Players!$A$2:$D$132,3)&lt;&gt;0,"("&amp;VLOOKUP($I413&amp;RIGHT($A420,1),Players!$A$2:$D$132,4)&amp;")","")</f>
        <v/>
      </c>
    </row>
    <row r="421" spans="1:10" ht="25.5" customHeight="1">
      <c r="A421" s="50" t="str">
        <f>CONCATENATE($D413,"2")</f>
        <v>E2</v>
      </c>
      <c r="B421" s="255" t="str">
        <f>IF(VLOOKUP($A421,Players!$A$2:$C$132,3)&lt;&gt;0,VLOOKUP($A421,Players!$A$2:$C$132,3),"")</f>
        <v/>
      </c>
      <c r="C421" s="255"/>
      <c r="D421" s="255"/>
      <c r="E421" s="255"/>
      <c r="F421" s="255"/>
      <c r="G421" s="254" t="str">
        <f>IF(VLOOKUP($I413&amp;RIGHT($A421,1),Players!$A$2:$D$132,3)&lt;&gt;0,VLOOKUP($I413&amp;RIGHT($A421,1),Players!$A$2:$D$132,3),"")</f>
        <v/>
      </c>
      <c r="H421" s="254"/>
      <c r="I421" s="254"/>
      <c r="J421" s="210" t="str">
        <f>IF(VLOOKUP($I413&amp;RIGHT($A421,1),Players!$A$2:$D$132,3)&lt;&gt;0,"("&amp;VLOOKUP($I413&amp;RIGHT($A421,1),Players!$A$2:$D$132,4)&amp;")","")</f>
        <v/>
      </c>
    </row>
    <row r="422" spans="1:10" ht="25.5" customHeight="1">
      <c r="A422" s="50" t="str">
        <f>CONCATENATE($D413,"3")</f>
        <v>E3</v>
      </c>
      <c r="B422" s="255" t="str">
        <f>IF(VLOOKUP($A422,Players!$A$2:$C$132,3)&lt;&gt;0,VLOOKUP($A422,Players!$A$2:$C$132,3),"")</f>
        <v/>
      </c>
      <c r="C422" s="255"/>
      <c r="D422" s="255"/>
      <c r="E422" s="255"/>
      <c r="F422" s="255"/>
      <c r="G422" s="254" t="str">
        <f>IF(VLOOKUP($I413&amp;RIGHT($A422,1),Players!$A$2:$D$132,3)&lt;&gt;0,VLOOKUP($I413&amp;RIGHT($A422,1),Players!$A$2:$D$132,3),"")</f>
        <v/>
      </c>
      <c r="H422" s="254"/>
      <c r="I422" s="254"/>
      <c r="J422" s="210" t="str">
        <f>IF(VLOOKUP($I413&amp;RIGHT($A422,1),Players!$A$2:$D$132,3)&lt;&gt;0,"("&amp;VLOOKUP($I413&amp;RIGHT($A422,1),Players!$A$2:$D$132,4)&amp;")","")</f>
        <v/>
      </c>
    </row>
    <row r="423" spans="1:10" ht="25.5" customHeight="1">
      <c r="A423" s="50" t="str">
        <f>CONCATENATE($D413,"4")</f>
        <v>E4</v>
      </c>
      <c r="B423" s="255" t="str">
        <f>IF(VLOOKUP($A423,Players!$A$2:$C$132,3)&lt;&gt;0,VLOOKUP($A423,Players!$A$2:$C$132,3),"")</f>
        <v/>
      </c>
      <c r="C423" s="255"/>
      <c r="D423" s="255"/>
      <c r="E423" s="255"/>
      <c r="F423" s="255"/>
      <c r="G423" s="254" t="str">
        <f>IF(VLOOKUP($I413&amp;RIGHT($A423,1),Players!$A$2:$D$132,3)&lt;&gt;0,VLOOKUP($I413&amp;RIGHT($A423,1),Players!$A$2:$D$132,3),"")</f>
        <v/>
      </c>
      <c r="H423" s="254"/>
      <c r="I423" s="254"/>
      <c r="J423" s="210" t="str">
        <f>IF(VLOOKUP($I413&amp;RIGHT($A423,1),Players!$A$2:$D$132,3)&lt;&gt;0,"("&amp;VLOOKUP($I413&amp;RIGHT($A423,1),Players!$A$2:$D$132,4)&amp;")","")</f>
        <v/>
      </c>
    </row>
    <row r="424" spans="1:10" ht="25.5" customHeight="1">
      <c r="A424" s="50" t="str">
        <f>CONCATENATE($D413,"5")</f>
        <v>E5</v>
      </c>
      <c r="B424" s="255" t="str">
        <f>IF(VLOOKUP($A424,Players!$A$2:$C$132,3)&lt;&gt;0,VLOOKUP($A424,Players!$A$2:$C$132,3),"")</f>
        <v/>
      </c>
      <c r="C424" s="255"/>
      <c r="D424" s="255"/>
      <c r="E424" s="255"/>
      <c r="F424" s="255"/>
      <c r="G424" s="254" t="str">
        <f>IF(VLOOKUP($I413&amp;RIGHT($A424,1),Players!$A$2:$D$132,3)&lt;&gt;0,VLOOKUP($I413&amp;RIGHT($A424,1),Players!$A$2:$D$132,3),"")</f>
        <v/>
      </c>
      <c r="H424" s="254"/>
      <c r="I424" s="254"/>
      <c r="J424" s="210" t="str">
        <f>IF(VLOOKUP($I413&amp;RIGHT($A424,1),Players!$A$2:$D$132,3)&lt;&gt;0,"("&amp;VLOOKUP($I413&amp;RIGHT($A424,1),Players!$A$2:$D$132,4)&amp;")","")</f>
        <v/>
      </c>
    </row>
    <row r="425" spans="1:10" ht="25.5" customHeight="1">
      <c r="A425" s="50" t="str">
        <f>CONCATENATE($D413,"6")</f>
        <v>E6</v>
      </c>
      <c r="B425" s="255" t="str">
        <f>IF(VLOOKUP($A425,Players!$A$2:$C$132,3)&lt;&gt;0,VLOOKUP($A425,Players!$A$2:$C$132,3),"")</f>
        <v/>
      </c>
      <c r="C425" s="255"/>
      <c r="D425" s="255"/>
      <c r="E425" s="255"/>
      <c r="F425" s="255"/>
      <c r="G425" s="254" t="str">
        <f>IF(VLOOKUP($I413&amp;RIGHT($A425,1),Players!$A$2:$D$132,3)&lt;&gt;0,VLOOKUP($I413&amp;RIGHT($A425,1),Players!$A$2:$D$132,3),"")</f>
        <v/>
      </c>
      <c r="H425" s="254"/>
      <c r="I425" s="254"/>
      <c r="J425" s="210" t="str">
        <f>IF(VLOOKUP($I413&amp;RIGHT($A425,1),Players!$A$2:$D$132,3)&lt;&gt;0,"("&amp;VLOOKUP($I413&amp;RIGHT($A425,1),Players!$A$2:$D$132,4)&amp;")","")</f>
        <v/>
      </c>
    </row>
    <row r="426" spans="1:10" ht="25.5" customHeight="1">
      <c r="A426" s="50" t="str">
        <f>CONCATENATE($D413,"7")</f>
        <v>E7</v>
      </c>
      <c r="B426" s="255" t="str">
        <f>IF(VLOOKUP($A426,Players!$A$2:$C$132,3)&lt;&gt;0,VLOOKUP($A426,Players!$A$2:$C$132,3),"")</f>
        <v/>
      </c>
      <c r="C426" s="255"/>
      <c r="D426" s="255"/>
      <c r="E426" s="255"/>
      <c r="F426" s="255"/>
      <c r="G426" s="254" t="str">
        <f>IF(VLOOKUP($I413&amp;RIGHT($A426,1),Players!$A$2:$D$132,3)&lt;&gt;0,VLOOKUP($I413&amp;RIGHT($A426,1),Players!$A$2:$D$132,3),"")</f>
        <v/>
      </c>
      <c r="H426" s="254"/>
      <c r="I426" s="254"/>
      <c r="J426" s="210" t="str">
        <f>IF(VLOOKUP($I413&amp;RIGHT($A426,1),Players!$A$2:$D$132,3)&lt;&gt;0,"("&amp;VLOOKUP($I413&amp;RIGHT($A426,1),Players!$A$2:$D$132,4)&amp;")","")</f>
        <v/>
      </c>
    </row>
    <row r="427" spans="1:10" ht="25.5" customHeight="1">
      <c r="A427" s="50" t="str">
        <f>CONCATENATE($D413,"8")</f>
        <v>E8</v>
      </c>
      <c r="B427" s="255" t="str">
        <f>IF(VLOOKUP($A427,Players!$A$2:$C$132,3)&lt;&gt;0,VLOOKUP($A427,Players!$A$2:$C$132,3),"")</f>
        <v/>
      </c>
      <c r="C427" s="255"/>
      <c r="D427" s="255"/>
      <c r="E427" s="255"/>
      <c r="F427" s="255"/>
      <c r="G427" s="254" t="str">
        <f>IF(VLOOKUP($I413&amp;RIGHT($A427,1),Players!$A$2:$D$132,3)&lt;&gt;0,VLOOKUP($I413&amp;RIGHT($A427,1),Players!$A$2:$D$132,3),"")</f>
        <v/>
      </c>
      <c r="H427" s="254"/>
      <c r="I427" s="254"/>
      <c r="J427" s="210" t="str">
        <f>IF(VLOOKUP($I413&amp;RIGHT($A427,1),Players!$A$2:$D$132,3)&lt;&gt;0,"("&amp;VLOOKUP($I413&amp;RIGHT($A427,1),Players!$A$2:$D$132,4)&amp;")","")</f>
        <v/>
      </c>
    </row>
    <row r="428" spans="1:10" ht="25.5" customHeight="1">
      <c r="A428" s="50"/>
      <c r="B428" s="26"/>
      <c r="C428" s="26"/>
      <c r="D428" s="26"/>
      <c r="E428" s="26"/>
      <c r="F428" s="27"/>
      <c r="G428" s="43"/>
      <c r="H428" s="43"/>
      <c r="I428" s="43"/>
      <c r="J428" s="43"/>
    </row>
    <row r="429" spans="1:10">
      <c r="A429" s="49" t="s">
        <v>1225</v>
      </c>
      <c r="B429" s="46"/>
      <c r="C429" s="46"/>
      <c r="D429" s="46"/>
      <c r="E429" s="46"/>
      <c r="F429" s="46"/>
      <c r="G429" s="43"/>
      <c r="H429" s="43"/>
      <c r="I429" s="43"/>
      <c r="J429" s="43"/>
    </row>
    <row r="430" spans="1:10">
      <c r="A430" s="46" t="s">
        <v>1247</v>
      </c>
      <c r="B430" s="46"/>
      <c r="C430" s="46"/>
      <c r="D430" s="46"/>
      <c r="E430" s="46"/>
      <c r="F430" s="46"/>
      <c r="G430" s="43"/>
      <c r="H430" s="43"/>
      <c r="I430" s="43"/>
      <c r="J430" s="43"/>
    </row>
    <row r="431" spans="1:10">
      <c r="A431" s="46" t="s">
        <v>1248</v>
      </c>
      <c r="B431" s="46"/>
      <c r="C431" s="46"/>
      <c r="D431" s="46"/>
      <c r="E431" s="46"/>
      <c r="F431" s="46"/>
      <c r="G431" s="43"/>
      <c r="H431" s="43"/>
      <c r="I431" s="43"/>
      <c r="J431" s="43"/>
    </row>
    <row r="432" spans="1:10" ht="13.5" thickBot="1">
      <c r="A432" s="46"/>
      <c r="B432" s="46"/>
      <c r="C432" s="46"/>
      <c r="D432" s="46"/>
      <c r="E432" s="46"/>
      <c r="F432" s="46"/>
      <c r="G432" s="43"/>
      <c r="H432" s="43"/>
      <c r="I432" s="43"/>
      <c r="J432" s="43"/>
    </row>
    <row r="433" spans="1:10" ht="25.5" customHeight="1" thickBot="1">
      <c r="A433" s="50"/>
      <c r="B433" s="257"/>
      <c r="C433" s="258"/>
      <c r="D433" s="258"/>
      <c r="E433" s="258"/>
      <c r="F433" s="259"/>
      <c r="G433" s="43"/>
      <c r="H433" s="43"/>
      <c r="I433" s="43"/>
      <c r="J433" s="43"/>
    </row>
    <row r="434" spans="1:10">
      <c r="A434" s="43"/>
      <c r="B434" s="43"/>
      <c r="C434" s="43"/>
      <c r="D434" s="43"/>
      <c r="E434" s="43"/>
      <c r="F434" s="43"/>
      <c r="G434" s="43"/>
      <c r="H434" s="43"/>
      <c r="I434" s="43"/>
      <c r="J434" s="43"/>
    </row>
    <row r="435" spans="1:10">
      <c r="A435" s="43"/>
      <c r="B435" s="43"/>
      <c r="C435" s="43"/>
      <c r="D435" s="43"/>
      <c r="E435" s="43"/>
      <c r="F435" s="43"/>
      <c r="G435" s="43"/>
      <c r="H435" s="43"/>
      <c r="I435" s="43"/>
      <c r="J435" s="43"/>
    </row>
    <row r="436" spans="1:10">
      <c r="A436" s="43"/>
      <c r="B436" s="43"/>
      <c r="C436" s="43"/>
      <c r="D436" s="43"/>
      <c r="E436" s="43"/>
      <c r="F436" s="43"/>
      <c r="G436" s="43"/>
      <c r="H436" s="43"/>
      <c r="I436" s="43"/>
      <c r="J436" s="43"/>
    </row>
    <row r="437" spans="1:10">
      <c r="A437" s="43"/>
      <c r="B437" s="43"/>
      <c r="C437" s="43"/>
      <c r="D437" s="43"/>
      <c r="E437" s="43"/>
      <c r="F437" s="43"/>
      <c r="G437" s="43"/>
      <c r="H437" s="43"/>
      <c r="I437" s="43"/>
      <c r="J437" s="43"/>
    </row>
    <row r="438" spans="1:10">
      <c r="A438" s="43"/>
      <c r="B438" s="43"/>
      <c r="C438" s="43"/>
      <c r="D438" s="43"/>
      <c r="E438" s="43"/>
      <c r="F438" s="43"/>
      <c r="G438" s="43"/>
      <c r="H438" s="43"/>
      <c r="I438" s="43"/>
      <c r="J438" s="43"/>
    </row>
    <row r="439" spans="1:10" ht="25.5" customHeight="1">
      <c r="A439" s="47"/>
      <c r="B439" s="47"/>
      <c r="C439" s="47"/>
      <c r="D439" s="47"/>
      <c r="E439" s="47"/>
      <c r="F439" s="43"/>
      <c r="G439" s="51"/>
      <c r="H439" s="250" t="s">
        <v>1227</v>
      </c>
      <c r="I439" s="251"/>
      <c r="J439" s="43"/>
    </row>
    <row r="440" spans="1:10">
      <c r="A440" s="43" t="s">
        <v>1226</v>
      </c>
      <c r="B440" s="43"/>
      <c r="C440" s="43"/>
      <c r="D440" s="43"/>
      <c r="E440" s="43"/>
      <c r="F440" s="43"/>
      <c r="G440" s="43"/>
      <c r="H440" s="43"/>
      <c r="I440" s="43"/>
      <c r="J440" s="43"/>
    </row>
    <row r="441" spans="1:10">
      <c r="A441" s="43"/>
      <c r="B441" s="43"/>
      <c r="C441" s="43"/>
      <c r="D441" s="43"/>
      <c r="E441" s="43"/>
      <c r="F441" s="43"/>
      <c r="G441" s="43"/>
      <c r="H441" s="43"/>
      <c r="I441" s="43"/>
      <c r="J441" s="43"/>
    </row>
    <row r="442" spans="1:10">
      <c r="A442" s="43"/>
      <c r="B442" s="43"/>
      <c r="C442" s="43"/>
      <c r="D442" s="43"/>
      <c r="E442" s="256" t="str">
        <f>CONCATENATE("(",$D413," vs ",$I413,")")</f>
        <v>(E vs G)</v>
      </c>
      <c r="F442" s="256"/>
      <c r="G442" s="43"/>
      <c r="H442" s="43"/>
      <c r="I442" s="43"/>
      <c r="J442" s="43"/>
    </row>
    <row r="443" spans="1:10" ht="15.75">
      <c r="A443" s="42" t="s">
        <v>1223</v>
      </c>
      <c r="B443" s="43"/>
      <c r="C443" s="43"/>
      <c r="D443" s="43"/>
      <c r="E443" s="43"/>
      <c r="F443" s="43"/>
      <c r="G443" s="43"/>
      <c r="H443" s="43"/>
      <c r="I443" s="43"/>
      <c r="J443" s="96" t="s">
        <v>4232</v>
      </c>
    </row>
    <row r="444" spans="1:10" ht="12.75" customHeight="1">
      <c r="A444" s="42"/>
      <c r="B444" s="43"/>
      <c r="C444" s="43"/>
      <c r="D444" s="43"/>
      <c r="E444" s="43"/>
      <c r="F444" s="43"/>
      <c r="G444" s="43" t="str">
        <f ca="1">Team_Matches!$J$6</f>
        <v>[NCTTA Teams Template (v2.06).xlsx]</v>
      </c>
      <c r="H444" s="43"/>
      <c r="I444" s="43"/>
      <c r="J444" s="160"/>
    </row>
    <row r="445" spans="1:10" ht="12.75" customHeight="1">
      <c r="A445" s="42"/>
      <c r="B445" s="43"/>
      <c r="C445" s="43"/>
      <c r="D445" s="43"/>
      <c r="E445" s="43"/>
      <c r="F445" s="43"/>
      <c r="G445" s="247" t="str">
        <f>Team_Matches!$J313</f>
        <v>Round 1, Match 3</v>
      </c>
      <c r="H445" s="247"/>
      <c r="I445" s="161" t="str">
        <f>Team_Matches!$M313</f>
        <v/>
      </c>
      <c r="J445" s="161"/>
    </row>
    <row r="446" spans="1:10" ht="15.75">
      <c r="A446" s="42"/>
      <c r="B446" s="43"/>
      <c r="C446" s="43"/>
      <c r="D446" s="43"/>
      <c r="E446" s="43"/>
      <c r="F446" s="43"/>
      <c r="G446" s="43"/>
      <c r="H446" s="43"/>
      <c r="I446" s="43"/>
      <c r="J446" s="43"/>
    </row>
    <row r="447" spans="1:10">
      <c r="A447" s="43"/>
      <c r="B447" s="43"/>
      <c r="C447" s="9" t="s">
        <v>1228</v>
      </c>
      <c r="D447" s="3" t="str">
        <f>Team_Matches!$B315</f>
        <v>E</v>
      </c>
      <c r="E447" s="43"/>
      <c r="F447" s="97" t="str">
        <f>CONCATENATE($D447,"-",$I447)</f>
        <v>E-G</v>
      </c>
      <c r="G447" s="43"/>
      <c r="H447" s="9" t="s">
        <v>1228</v>
      </c>
      <c r="I447" s="52" t="str">
        <f>Team_Matches!$K315</f>
        <v>G</v>
      </c>
      <c r="J447" s="43"/>
    </row>
    <row r="448" spans="1:10" ht="25.5" customHeight="1">
      <c r="A448" s="44"/>
      <c r="B448" s="252" t="str">
        <f>IF(VLOOKUP($D447,Draw!$A$4:$B$27,2)&lt;&gt;0,VLOOKUP($D447,Draw!$A$4:$B$27,2),"")</f>
        <v/>
      </c>
      <c r="C448" s="252"/>
      <c r="D448" s="252"/>
      <c r="E448" s="253"/>
      <c r="F448" s="45"/>
      <c r="G448" s="248" t="str">
        <f>IF(VLOOKUP($I447,Draw!$A$4:$B$27,2)&lt;&gt;0,VLOOKUP($I447,Draw!$A$4:$B$27,2),"")</f>
        <v/>
      </c>
      <c r="H448" s="248"/>
      <c r="I448" s="248"/>
      <c r="J448" s="249"/>
    </row>
    <row r="449" spans="1:10" ht="25.5" customHeight="1"/>
    <row r="450" spans="1:10" ht="25.5" customHeight="1"/>
    <row r="451" spans="1:10" ht="24" customHeight="1">
      <c r="A451" s="48" t="s">
        <v>1246</v>
      </c>
      <c r="B451" s="43"/>
      <c r="C451" s="43"/>
      <c r="D451" s="43"/>
      <c r="E451" s="43"/>
      <c r="F451" s="43"/>
      <c r="G451" s="43"/>
      <c r="H451" s="43"/>
      <c r="I451" s="43"/>
      <c r="J451" s="43"/>
    </row>
    <row r="452" spans="1:10" ht="24" customHeight="1">
      <c r="A452" s="48"/>
      <c r="B452" s="43"/>
      <c r="C452" s="43"/>
      <c r="D452" s="43"/>
      <c r="E452" s="43"/>
      <c r="F452" s="43"/>
      <c r="G452" s="43"/>
      <c r="H452" s="43"/>
      <c r="I452" s="43"/>
      <c r="J452" s="43"/>
    </row>
    <row r="453" spans="1:10">
      <c r="A453" s="49" t="s">
        <v>1224</v>
      </c>
      <c r="B453" s="46"/>
      <c r="C453" s="46"/>
      <c r="D453" s="46"/>
      <c r="E453" s="46"/>
      <c r="F453" s="46"/>
      <c r="G453" s="260" t="s">
        <v>10336</v>
      </c>
      <c r="H453" s="260"/>
      <c r="I453" s="260"/>
      <c r="J453" s="260"/>
    </row>
    <row r="454" spans="1:10" ht="24" customHeight="1">
      <c r="A454" s="50" t="str">
        <f>CONCATENATE($I447,"1")</f>
        <v>G1</v>
      </c>
      <c r="B454" s="255" t="str">
        <f>IF(VLOOKUP($A454,Players!$A$2:$C$132,3)&lt;&gt;0,VLOOKUP($A454,Players!$A$2:$C$132,3),"")</f>
        <v/>
      </c>
      <c r="C454" s="255"/>
      <c r="D454" s="255"/>
      <c r="E454" s="255"/>
      <c r="F454" s="255"/>
      <c r="G454" s="254" t="str">
        <f>IF(VLOOKUP($D447&amp;RIGHT($A454,1),Players!$A$2:$D$132,3)&lt;&gt;0,VLOOKUP($D447&amp;RIGHT($A454,1),Players!$A$2:$D$132,3),"")</f>
        <v/>
      </c>
      <c r="H454" s="254"/>
      <c r="I454" s="254"/>
      <c r="J454" s="210" t="str">
        <f>IF(VLOOKUP($D447&amp;RIGHT($A454,1),Players!$A$2:$D$132,3)&lt;&gt;0,"("&amp;VLOOKUP($D447&amp;RIGHT($A454,1),Players!$A$2:$D$132,4)&amp;")","")</f>
        <v/>
      </c>
    </row>
    <row r="455" spans="1:10" ht="25.5" customHeight="1">
      <c r="A455" s="50" t="str">
        <f>CONCATENATE($I447,"2")</f>
        <v>G2</v>
      </c>
      <c r="B455" s="255" t="str">
        <f>IF(VLOOKUP($A455,Players!$A$2:$C$132,3)&lt;&gt;0,VLOOKUP($A455,Players!$A$2:$C$132,3),"")</f>
        <v/>
      </c>
      <c r="C455" s="255"/>
      <c r="D455" s="255"/>
      <c r="E455" s="255"/>
      <c r="F455" s="255"/>
      <c r="G455" s="254" t="str">
        <f>IF(VLOOKUP($D447&amp;RIGHT($A455,1),Players!$A$2:$D$132,3)&lt;&gt;0,VLOOKUP($D447&amp;RIGHT($A455,1),Players!$A$2:$D$132,3),"")</f>
        <v/>
      </c>
      <c r="H455" s="254"/>
      <c r="I455" s="254"/>
      <c r="J455" s="210" t="str">
        <f>IF(VLOOKUP($D447&amp;RIGHT($A455,1),Players!$A$2:$D$132,3)&lt;&gt;0,"("&amp;VLOOKUP($D447&amp;RIGHT($A455,1),Players!$A$2:$D$132,4)&amp;")","")</f>
        <v/>
      </c>
    </row>
    <row r="456" spans="1:10" ht="25.5" customHeight="1">
      <c r="A456" s="50" t="str">
        <f>CONCATENATE($I447,"3")</f>
        <v>G3</v>
      </c>
      <c r="B456" s="255" t="str">
        <f>IF(VLOOKUP($A456,Players!$A$2:$C$132,3)&lt;&gt;0,VLOOKUP($A456,Players!$A$2:$C$132,3),"")</f>
        <v/>
      </c>
      <c r="C456" s="255"/>
      <c r="D456" s="255"/>
      <c r="E456" s="255"/>
      <c r="F456" s="255"/>
      <c r="G456" s="254" t="str">
        <f>IF(VLOOKUP($D447&amp;RIGHT($A456,1),Players!$A$2:$D$132,3)&lt;&gt;0,VLOOKUP($D447&amp;RIGHT($A456,1),Players!$A$2:$D$132,3),"")</f>
        <v/>
      </c>
      <c r="H456" s="254"/>
      <c r="I456" s="254"/>
      <c r="J456" s="210" t="str">
        <f>IF(VLOOKUP($D447&amp;RIGHT($A456,1),Players!$A$2:$D$132,3)&lt;&gt;0,"("&amp;VLOOKUP($D447&amp;RIGHT($A456,1),Players!$A$2:$D$132,4)&amp;")","")</f>
        <v/>
      </c>
    </row>
    <row r="457" spans="1:10" ht="25.5" customHeight="1">
      <c r="A457" s="50" t="str">
        <f>CONCATENATE($I447,"4")</f>
        <v>G4</v>
      </c>
      <c r="B457" s="255" t="str">
        <f>IF(VLOOKUP($A457,Players!$A$2:$C$132,3)&lt;&gt;0,VLOOKUP($A457,Players!$A$2:$C$132,3),"")</f>
        <v/>
      </c>
      <c r="C457" s="255"/>
      <c r="D457" s="255"/>
      <c r="E457" s="255"/>
      <c r="F457" s="255"/>
      <c r="G457" s="254" t="str">
        <f>IF(VLOOKUP($D447&amp;RIGHT($A457,1),Players!$A$2:$D$132,3)&lt;&gt;0,VLOOKUP($D447&amp;RIGHT($A457,1),Players!$A$2:$D$132,3),"")</f>
        <v/>
      </c>
      <c r="H457" s="254"/>
      <c r="I457" s="254"/>
      <c r="J457" s="210" t="str">
        <f>IF(VLOOKUP($D447&amp;RIGHT($A457,1),Players!$A$2:$D$132,3)&lt;&gt;0,"("&amp;VLOOKUP($D447&amp;RIGHT($A457,1),Players!$A$2:$D$132,4)&amp;")","")</f>
        <v/>
      </c>
    </row>
    <row r="458" spans="1:10" ht="25.5" customHeight="1">
      <c r="A458" s="50" t="str">
        <f>CONCATENATE($I447,"5")</f>
        <v>G5</v>
      </c>
      <c r="B458" s="255" t="str">
        <f>IF(VLOOKUP($A458,Players!$A$2:$C$132,3)&lt;&gt;0,VLOOKUP($A458,Players!$A$2:$C$132,3),"")</f>
        <v/>
      </c>
      <c r="C458" s="255"/>
      <c r="D458" s="255"/>
      <c r="E458" s="255"/>
      <c r="F458" s="255"/>
      <c r="G458" s="254" t="str">
        <f>IF(VLOOKUP($D447&amp;RIGHT($A458,1),Players!$A$2:$D$132,3)&lt;&gt;0,VLOOKUP($D447&amp;RIGHT($A458,1),Players!$A$2:$D$132,3),"")</f>
        <v/>
      </c>
      <c r="H458" s="254"/>
      <c r="I458" s="254"/>
      <c r="J458" s="210" t="str">
        <f>IF(VLOOKUP($D447&amp;RIGHT($A458,1),Players!$A$2:$D$132,3)&lt;&gt;0,"("&amp;VLOOKUP($D447&amp;RIGHT($A458,1),Players!$A$2:$D$132,4)&amp;")","")</f>
        <v/>
      </c>
    </row>
    <row r="459" spans="1:10" ht="25.5" customHeight="1">
      <c r="A459" s="50" t="str">
        <f>CONCATENATE($I447,"6")</f>
        <v>G6</v>
      </c>
      <c r="B459" s="255" t="str">
        <f>IF(VLOOKUP($A459,Players!$A$2:$C$132,3)&lt;&gt;0,VLOOKUP($A459,Players!$A$2:$C$132,3),"")</f>
        <v/>
      </c>
      <c r="C459" s="255"/>
      <c r="D459" s="255"/>
      <c r="E459" s="255"/>
      <c r="F459" s="255"/>
      <c r="G459" s="254" t="str">
        <f>IF(VLOOKUP($D447&amp;RIGHT($A459,1),Players!$A$2:$D$132,3)&lt;&gt;0,VLOOKUP($D447&amp;RIGHT($A459,1),Players!$A$2:$D$132,3),"")</f>
        <v/>
      </c>
      <c r="H459" s="254"/>
      <c r="I459" s="254"/>
      <c r="J459" s="210" t="str">
        <f>IF(VLOOKUP($D447&amp;RIGHT($A459,1),Players!$A$2:$D$132,3)&lt;&gt;0,"("&amp;VLOOKUP($D447&amp;RIGHT($A459,1),Players!$A$2:$D$132,4)&amp;")","")</f>
        <v/>
      </c>
    </row>
    <row r="460" spans="1:10" ht="25.5" customHeight="1">
      <c r="A460" s="50" t="str">
        <f>CONCATENATE($I447,"7")</f>
        <v>G7</v>
      </c>
      <c r="B460" s="255" t="str">
        <f>IF(VLOOKUP($A460,Players!$A$2:$C$132,3)&lt;&gt;0,VLOOKUP($A460,Players!$A$2:$C$132,3),"")</f>
        <v/>
      </c>
      <c r="C460" s="255"/>
      <c r="D460" s="255"/>
      <c r="E460" s="255"/>
      <c r="F460" s="255"/>
      <c r="G460" s="254" t="str">
        <f>IF(VLOOKUP($D447&amp;RIGHT($A460,1),Players!$A$2:$D$132,3)&lt;&gt;0,VLOOKUP($D447&amp;RIGHT($A460,1),Players!$A$2:$D$132,3),"")</f>
        <v/>
      </c>
      <c r="H460" s="254"/>
      <c r="I460" s="254"/>
      <c r="J460" s="210" t="str">
        <f>IF(VLOOKUP($D447&amp;RIGHT($A460,1),Players!$A$2:$D$132,3)&lt;&gt;0,"("&amp;VLOOKUP($D447&amp;RIGHT($A460,1),Players!$A$2:$D$132,4)&amp;")","")</f>
        <v/>
      </c>
    </row>
    <row r="461" spans="1:10" ht="25.5" customHeight="1">
      <c r="A461" s="50" t="str">
        <f>CONCATENATE($I447,"8")</f>
        <v>G8</v>
      </c>
      <c r="B461" s="255" t="str">
        <f>IF(VLOOKUP($A461,Players!$A$2:$C$132,3)&lt;&gt;0,VLOOKUP($A461,Players!$A$2:$C$132,3),"")</f>
        <v/>
      </c>
      <c r="C461" s="255"/>
      <c r="D461" s="255"/>
      <c r="E461" s="255"/>
      <c r="F461" s="255"/>
      <c r="G461" s="254" t="str">
        <f>IF(VLOOKUP($D447&amp;RIGHT($A461,1),Players!$A$2:$D$132,3)&lt;&gt;0,VLOOKUP($D447&amp;RIGHT($A461,1),Players!$A$2:$D$132,3),"")</f>
        <v/>
      </c>
      <c r="H461" s="254"/>
      <c r="I461" s="254"/>
      <c r="J461" s="210" t="str">
        <f>IF(VLOOKUP($D447&amp;RIGHT($A461,1),Players!$A$2:$D$132,3)&lt;&gt;0,"("&amp;VLOOKUP($D447&amp;RIGHT($A461,1),Players!$A$2:$D$132,4)&amp;")","")</f>
        <v/>
      </c>
    </row>
    <row r="462" spans="1:10" ht="25.5" customHeight="1">
      <c r="A462" s="50"/>
      <c r="B462" s="26"/>
      <c r="C462" s="26"/>
      <c r="D462" s="26"/>
      <c r="E462" s="26"/>
      <c r="F462" s="27"/>
      <c r="G462" s="43"/>
      <c r="H462" s="43"/>
      <c r="I462" s="43"/>
      <c r="J462" s="43"/>
    </row>
    <row r="463" spans="1:10">
      <c r="A463" s="49" t="s">
        <v>1225</v>
      </c>
      <c r="B463" s="46"/>
      <c r="C463" s="46"/>
      <c r="D463" s="46"/>
      <c r="E463" s="46"/>
      <c r="F463" s="46"/>
      <c r="G463" s="43"/>
      <c r="H463" s="43"/>
      <c r="I463" s="43"/>
      <c r="J463" s="43"/>
    </row>
    <row r="464" spans="1:10">
      <c r="A464" s="46" t="s">
        <v>1247</v>
      </c>
      <c r="B464" s="46"/>
      <c r="C464" s="46"/>
      <c r="D464" s="46"/>
      <c r="E464" s="46"/>
      <c r="F464" s="46"/>
      <c r="G464" s="43"/>
      <c r="H464" s="43"/>
      <c r="I464" s="43"/>
      <c r="J464" s="43"/>
    </row>
    <row r="465" spans="1:10">
      <c r="A465" s="46" t="s">
        <v>1248</v>
      </c>
      <c r="B465" s="46"/>
      <c r="C465" s="46"/>
      <c r="D465" s="46"/>
      <c r="E465" s="46"/>
      <c r="F465" s="46"/>
      <c r="G465" s="43"/>
      <c r="H465" s="43"/>
      <c r="I465" s="43"/>
      <c r="J465" s="43"/>
    </row>
    <row r="466" spans="1:10" ht="13.5" thickBot="1">
      <c r="A466" s="46"/>
      <c r="B466" s="46"/>
      <c r="C466" s="46"/>
      <c r="D466" s="46"/>
      <c r="E466" s="46"/>
      <c r="F466" s="46"/>
      <c r="G466" s="43"/>
      <c r="H466" s="43"/>
      <c r="I466" s="43"/>
      <c r="J466" s="43"/>
    </row>
    <row r="467" spans="1:10" ht="25.5" customHeight="1" thickBot="1">
      <c r="A467" s="50"/>
      <c r="B467" s="257"/>
      <c r="C467" s="258"/>
      <c r="D467" s="258"/>
      <c r="E467" s="258"/>
      <c r="F467" s="259"/>
      <c r="G467" s="43"/>
      <c r="H467" s="43"/>
      <c r="I467" s="43"/>
      <c r="J467" s="43"/>
    </row>
    <row r="468" spans="1:10">
      <c r="A468" s="43"/>
      <c r="B468" s="43"/>
      <c r="C468" s="43"/>
      <c r="D468" s="43"/>
      <c r="E468" s="43"/>
      <c r="F468" s="43"/>
      <c r="G468" s="43"/>
      <c r="H468" s="43"/>
      <c r="I468" s="43"/>
      <c r="J468" s="43"/>
    </row>
    <row r="469" spans="1:10">
      <c r="A469" s="43"/>
      <c r="B469" s="43"/>
      <c r="C469" s="43"/>
      <c r="D469" s="43"/>
      <c r="E469" s="43"/>
      <c r="F469" s="43"/>
      <c r="G469" s="43"/>
      <c r="H469" s="43"/>
      <c r="I469" s="43"/>
      <c r="J469" s="43"/>
    </row>
    <row r="470" spans="1:10">
      <c r="A470" s="43"/>
      <c r="B470" s="43"/>
      <c r="C470" s="43"/>
      <c r="D470" s="43"/>
      <c r="E470" s="43"/>
      <c r="F470" s="43"/>
      <c r="G470" s="43"/>
      <c r="H470" s="43"/>
      <c r="I470" s="43"/>
      <c r="J470" s="43"/>
    </row>
    <row r="471" spans="1:10">
      <c r="A471" s="43"/>
      <c r="B471" s="43"/>
      <c r="C471" s="43"/>
      <c r="D471" s="43"/>
      <c r="E471" s="43"/>
      <c r="F471" s="43"/>
      <c r="G471" s="43"/>
      <c r="H471" s="43"/>
      <c r="I471" s="43"/>
      <c r="J471" s="43"/>
    </row>
    <row r="472" spans="1:10">
      <c r="A472" s="43"/>
      <c r="B472" s="43"/>
      <c r="C472" s="43"/>
      <c r="D472" s="43"/>
      <c r="E472" s="43"/>
      <c r="F472" s="43"/>
      <c r="G472" s="43"/>
      <c r="H472" s="43"/>
      <c r="I472" s="43"/>
      <c r="J472" s="43"/>
    </row>
    <row r="473" spans="1:10" ht="25.5" customHeight="1">
      <c r="A473" s="47"/>
      <c r="B473" s="47"/>
      <c r="C473" s="47"/>
      <c r="D473" s="47"/>
      <c r="E473" s="47"/>
      <c r="F473" s="43"/>
      <c r="G473" s="51"/>
      <c r="H473" s="250" t="s">
        <v>1227</v>
      </c>
      <c r="I473" s="251"/>
      <c r="J473" s="43"/>
    </row>
    <row r="474" spans="1:10">
      <c r="A474" s="43" t="s">
        <v>1226</v>
      </c>
      <c r="B474" s="43"/>
      <c r="C474" s="43"/>
      <c r="D474" s="43"/>
      <c r="E474" s="43"/>
      <c r="F474" s="43"/>
      <c r="G474" s="43"/>
      <c r="H474" s="43"/>
      <c r="I474" s="43"/>
      <c r="J474" s="43"/>
    </row>
    <row r="475" spans="1:10">
      <c r="A475" s="43"/>
      <c r="B475" s="43"/>
      <c r="C475" s="43"/>
      <c r="D475" s="43"/>
      <c r="E475" s="43"/>
      <c r="F475" s="43"/>
      <c r="G475" s="43"/>
      <c r="H475" s="43"/>
      <c r="I475" s="43"/>
      <c r="J475" s="43"/>
    </row>
    <row r="476" spans="1:10">
      <c r="A476" s="43"/>
      <c r="B476" s="43"/>
      <c r="C476" s="43"/>
      <c r="D476" s="43"/>
      <c r="E476" s="256" t="str">
        <f>CONCATENATE("(",$D447," vs ",$I447,")")</f>
        <v>(E vs G)</v>
      </c>
      <c r="F476" s="256"/>
      <c r="G476" s="43"/>
      <c r="H476" s="43"/>
      <c r="I476" s="43"/>
      <c r="J476" s="43"/>
    </row>
    <row r="477" spans="1:10" ht="15.75">
      <c r="A477" s="42" t="s">
        <v>1223</v>
      </c>
      <c r="B477" s="43"/>
      <c r="C477" s="43"/>
      <c r="D477" s="43"/>
      <c r="E477" s="43"/>
      <c r="F477" s="43"/>
      <c r="G477" s="43"/>
      <c r="H477" s="43"/>
      <c r="I477" s="43"/>
      <c r="J477" s="96" t="s">
        <v>4233</v>
      </c>
    </row>
    <row r="478" spans="1:10" ht="12.75" customHeight="1">
      <c r="A478" s="42"/>
      <c r="B478" s="43"/>
      <c r="C478" s="43"/>
      <c r="D478" s="43"/>
      <c r="E478" s="43"/>
      <c r="F478" s="43"/>
      <c r="G478" s="43" t="str">
        <f ca="1">Team_Matches!$J$6</f>
        <v>[NCTTA Teams Template (v2.06).xlsx]</v>
      </c>
      <c r="H478" s="43"/>
      <c r="I478" s="43"/>
      <c r="J478" s="160"/>
    </row>
    <row r="479" spans="1:10" ht="12.75" customHeight="1">
      <c r="A479" s="42"/>
      <c r="B479" s="43"/>
      <c r="C479" s="43"/>
      <c r="D479" s="43"/>
      <c r="E479" s="43"/>
      <c r="F479" s="43"/>
      <c r="G479" s="247" t="str">
        <f>Team_Matches!$J364</f>
        <v>Round 1, Match 4</v>
      </c>
      <c r="H479" s="247"/>
      <c r="I479" s="161" t="str">
        <f>Team_Matches!$M364</f>
        <v/>
      </c>
      <c r="J479" s="161"/>
    </row>
    <row r="480" spans="1:10" ht="15.75">
      <c r="A480" s="42"/>
      <c r="B480" s="43"/>
      <c r="C480" s="43"/>
      <c r="D480" s="43"/>
      <c r="E480" s="43"/>
      <c r="F480" s="43"/>
      <c r="G480" s="43"/>
      <c r="H480" s="43"/>
      <c r="I480" s="43"/>
      <c r="J480" s="43"/>
    </row>
    <row r="481" spans="1:10">
      <c r="A481" s="43"/>
      <c r="B481" s="43"/>
      <c r="C481" s="9" t="s">
        <v>1228</v>
      </c>
      <c r="D481" s="52" t="str">
        <f>Team_Matches!$B366</f>
        <v>F</v>
      </c>
      <c r="E481" s="43"/>
      <c r="F481" s="97" t="str">
        <f>CONCATENATE($D481,"-",$I481)</f>
        <v>F-H</v>
      </c>
      <c r="G481" s="43"/>
      <c r="H481" s="9" t="s">
        <v>1228</v>
      </c>
      <c r="I481" s="52" t="str">
        <f>Team_Matches!$K366</f>
        <v>H</v>
      </c>
      <c r="J481" s="43"/>
    </row>
    <row r="482" spans="1:10" ht="25.5" customHeight="1">
      <c r="A482" s="44"/>
      <c r="B482" s="248" t="str">
        <f>IF(VLOOKUP($D481,Draw!$A$4:$B$27,2)&lt;&gt;0,VLOOKUP($D481,Draw!$A$4:$B$27,2),"")</f>
        <v/>
      </c>
      <c r="C482" s="248"/>
      <c r="D482" s="248"/>
      <c r="E482" s="249"/>
      <c r="F482" s="45"/>
      <c r="G482" s="252" t="str">
        <f>IF(VLOOKUP($I481,Draw!$A$4:$B$27,2)&lt;&gt;0,VLOOKUP($I481,Draw!$A$4:$B$27,2),"")</f>
        <v/>
      </c>
      <c r="H482" s="252"/>
      <c r="I482" s="252"/>
      <c r="J482" s="253"/>
    </row>
    <row r="483" spans="1:10" ht="25.5" customHeight="1"/>
    <row r="484" spans="1:10" ht="25.5" customHeight="1"/>
    <row r="485" spans="1:10" ht="24" customHeight="1">
      <c r="A485" s="48" t="s">
        <v>1246</v>
      </c>
      <c r="B485" s="43"/>
      <c r="C485" s="43"/>
      <c r="D485" s="43"/>
      <c r="E485" s="43"/>
      <c r="F485" s="43"/>
      <c r="G485" s="43"/>
      <c r="H485" s="43"/>
      <c r="I485" s="43"/>
      <c r="J485" s="43"/>
    </row>
    <row r="486" spans="1:10" ht="24" customHeight="1">
      <c r="A486" s="48"/>
      <c r="B486" s="43"/>
      <c r="C486" s="43"/>
      <c r="D486" s="43"/>
      <c r="E486" s="43"/>
      <c r="F486" s="43"/>
      <c r="G486" s="43"/>
      <c r="H486" s="43"/>
      <c r="I486" s="43"/>
      <c r="J486" s="43"/>
    </row>
    <row r="487" spans="1:10">
      <c r="A487" s="49" t="s">
        <v>1224</v>
      </c>
      <c r="B487" s="46"/>
      <c r="C487" s="46"/>
      <c r="D487" s="46"/>
      <c r="E487" s="46"/>
      <c r="F487" s="46"/>
      <c r="G487" s="260" t="s">
        <v>10336</v>
      </c>
      <c r="H487" s="260"/>
      <c r="I487" s="260"/>
      <c r="J487" s="260"/>
    </row>
    <row r="488" spans="1:10" ht="24" customHeight="1">
      <c r="A488" s="50" t="str">
        <f>CONCATENATE($D481,"1")</f>
        <v>F1</v>
      </c>
      <c r="B488" s="255" t="str">
        <f>IF(VLOOKUP($A488,Players!$A$2:$C$132,3)&lt;&gt;0,VLOOKUP($A488,Players!$A$2:$C$132,3),"")</f>
        <v/>
      </c>
      <c r="C488" s="255"/>
      <c r="D488" s="255"/>
      <c r="E488" s="255"/>
      <c r="F488" s="255"/>
      <c r="G488" s="254" t="str">
        <f>IF(VLOOKUP($I481&amp;RIGHT($A488,1),Players!$A$2:$D$132,3)&lt;&gt;0,VLOOKUP($I481&amp;RIGHT($A488,1),Players!$A$2:$D$132,3),"")</f>
        <v/>
      </c>
      <c r="H488" s="254"/>
      <c r="I488" s="254"/>
      <c r="J488" s="210" t="str">
        <f>IF(VLOOKUP($I481&amp;RIGHT($A488,1),Players!$A$2:$D$132,3)&lt;&gt;0,"("&amp;VLOOKUP($I481&amp;RIGHT($A488,1),Players!$A$2:$D$132,4)&amp;")","")</f>
        <v/>
      </c>
    </row>
    <row r="489" spans="1:10" ht="25.5" customHeight="1">
      <c r="A489" s="50" t="str">
        <f>CONCATENATE($D481,"2")</f>
        <v>F2</v>
      </c>
      <c r="B489" s="255" t="str">
        <f>IF(VLOOKUP($A489,Players!$A$2:$C$132,3)&lt;&gt;0,VLOOKUP($A489,Players!$A$2:$C$132,3),"")</f>
        <v/>
      </c>
      <c r="C489" s="255"/>
      <c r="D489" s="255"/>
      <c r="E489" s="255"/>
      <c r="F489" s="255"/>
      <c r="G489" s="254" t="str">
        <f>IF(VLOOKUP($I481&amp;RIGHT($A489,1),Players!$A$2:$D$132,3)&lt;&gt;0,VLOOKUP($I481&amp;RIGHT($A489,1),Players!$A$2:$D$132,3),"")</f>
        <v/>
      </c>
      <c r="H489" s="254"/>
      <c r="I489" s="254"/>
      <c r="J489" s="210" t="str">
        <f>IF(VLOOKUP($I481&amp;RIGHT($A489,1),Players!$A$2:$D$132,3)&lt;&gt;0,"("&amp;VLOOKUP($I481&amp;RIGHT($A489,1),Players!$A$2:$D$132,4)&amp;")","")</f>
        <v/>
      </c>
    </row>
    <row r="490" spans="1:10" ht="25.5" customHeight="1">
      <c r="A490" s="50" t="str">
        <f>CONCATENATE($D481,"3")</f>
        <v>F3</v>
      </c>
      <c r="B490" s="255" t="str">
        <f>IF(VLOOKUP($A490,Players!$A$2:$C$132,3)&lt;&gt;0,VLOOKUP($A490,Players!$A$2:$C$132,3),"")</f>
        <v/>
      </c>
      <c r="C490" s="255"/>
      <c r="D490" s="255"/>
      <c r="E490" s="255"/>
      <c r="F490" s="255"/>
      <c r="G490" s="254" t="str">
        <f>IF(VLOOKUP($I481&amp;RIGHT($A490,1),Players!$A$2:$D$132,3)&lt;&gt;0,VLOOKUP($I481&amp;RIGHT($A490,1),Players!$A$2:$D$132,3),"")</f>
        <v/>
      </c>
      <c r="H490" s="254"/>
      <c r="I490" s="254"/>
      <c r="J490" s="210" t="str">
        <f>IF(VLOOKUP($I481&amp;RIGHT($A490,1),Players!$A$2:$D$132,3)&lt;&gt;0,"("&amp;VLOOKUP($I481&amp;RIGHT($A490,1),Players!$A$2:$D$132,4)&amp;")","")</f>
        <v/>
      </c>
    </row>
    <row r="491" spans="1:10" ht="25.5" customHeight="1">
      <c r="A491" s="50" t="str">
        <f>CONCATENATE($D481,"4")</f>
        <v>F4</v>
      </c>
      <c r="B491" s="255" t="str">
        <f>IF(VLOOKUP($A491,Players!$A$2:$C$132,3)&lt;&gt;0,VLOOKUP($A491,Players!$A$2:$C$132,3),"")</f>
        <v/>
      </c>
      <c r="C491" s="255"/>
      <c r="D491" s="255"/>
      <c r="E491" s="255"/>
      <c r="F491" s="255"/>
      <c r="G491" s="254" t="str">
        <f>IF(VLOOKUP($I481&amp;RIGHT($A491,1),Players!$A$2:$D$132,3)&lt;&gt;0,VLOOKUP($I481&amp;RIGHT($A491,1),Players!$A$2:$D$132,3),"")</f>
        <v/>
      </c>
      <c r="H491" s="254"/>
      <c r="I491" s="254"/>
      <c r="J491" s="210" t="str">
        <f>IF(VLOOKUP($I481&amp;RIGHT($A491,1),Players!$A$2:$D$132,3)&lt;&gt;0,"("&amp;VLOOKUP($I481&amp;RIGHT($A491,1),Players!$A$2:$D$132,4)&amp;")","")</f>
        <v/>
      </c>
    </row>
    <row r="492" spans="1:10" ht="25.5" customHeight="1">
      <c r="A492" s="50" t="str">
        <f>CONCATENATE($D481,"5")</f>
        <v>F5</v>
      </c>
      <c r="B492" s="255" t="str">
        <f>IF(VLOOKUP($A492,Players!$A$2:$C$132,3)&lt;&gt;0,VLOOKUP($A492,Players!$A$2:$C$132,3),"")</f>
        <v/>
      </c>
      <c r="C492" s="255"/>
      <c r="D492" s="255"/>
      <c r="E492" s="255"/>
      <c r="F492" s="255"/>
      <c r="G492" s="254" t="str">
        <f>IF(VLOOKUP($I481&amp;RIGHT($A492,1),Players!$A$2:$D$132,3)&lt;&gt;0,VLOOKUP($I481&amp;RIGHT($A492,1),Players!$A$2:$D$132,3),"")</f>
        <v/>
      </c>
      <c r="H492" s="254"/>
      <c r="I492" s="254"/>
      <c r="J492" s="210" t="str">
        <f>IF(VLOOKUP($I481&amp;RIGHT($A492,1),Players!$A$2:$D$132,3)&lt;&gt;0,"("&amp;VLOOKUP($I481&amp;RIGHT($A492,1),Players!$A$2:$D$132,4)&amp;")","")</f>
        <v/>
      </c>
    </row>
    <row r="493" spans="1:10" ht="25.5" customHeight="1">
      <c r="A493" s="50" t="str">
        <f>CONCATENATE($D481,"6")</f>
        <v>F6</v>
      </c>
      <c r="B493" s="255" t="str">
        <f>IF(VLOOKUP($A493,Players!$A$2:$C$132,3)&lt;&gt;0,VLOOKUP($A493,Players!$A$2:$C$132,3),"")</f>
        <v/>
      </c>
      <c r="C493" s="255"/>
      <c r="D493" s="255"/>
      <c r="E493" s="255"/>
      <c r="F493" s="255"/>
      <c r="G493" s="254" t="str">
        <f>IF(VLOOKUP($I481&amp;RIGHT($A493,1),Players!$A$2:$D$132,3)&lt;&gt;0,VLOOKUP($I481&amp;RIGHT($A493,1),Players!$A$2:$D$132,3),"")</f>
        <v/>
      </c>
      <c r="H493" s="254"/>
      <c r="I493" s="254"/>
      <c r="J493" s="210" t="str">
        <f>IF(VLOOKUP($I481&amp;RIGHT($A493,1),Players!$A$2:$D$132,3)&lt;&gt;0,"("&amp;VLOOKUP($I481&amp;RIGHT($A493,1),Players!$A$2:$D$132,4)&amp;")","")</f>
        <v/>
      </c>
    </row>
    <row r="494" spans="1:10" ht="25.5" customHeight="1">
      <c r="A494" s="50" t="str">
        <f>CONCATENATE($D481,"7")</f>
        <v>F7</v>
      </c>
      <c r="B494" s="255" t="str">
        <f>IF(VLOOKUP($A494,Players!$A$2:$C$132,3)&lt;&gt;0,VLOOKUP($A494,Players!$A$2:$C$132,3),"")</f>
        <v/>
      </c>
      <c r="C494" s="255"/>
      <c r="D494" s="255"/>
      <c r="E494" s="255"/>
      <c r="F494" s="255"/>
      <c r="G494" s="254" t="str">
        <f>IF(VLOOKUP($I481&amp;RIGHT($A494,1),Players!$A$2:$D$132,3)&lt;&gt;0,VLOOKUP($I481&amp;RIGHT($A494,1),Players!$A$2:$D$132,3),"")</f>
        <v/>
      </c>
      <c r="H494" s="254"/>
      <c r="I494" s="254"/>
      <c r="J494" s="210" t="str">
        <f>IF(VLOOKUP($I481&amp;RIGHT($A494,1),Players!$A$2:$D$132,3)&lt;&gt;0,"("&amp;VLOOKUP($I481&amp;RIGHT($A494,1),Players!$A$2:$D$132,4)&amp;")","")</f>
        <v/>
      </c>
    </row>
    <row r="495" spans="1:10" ht="25.5" customHeight="1">
      <c r="A495" s="50" t="str">
        <f>CONCATENATE($D481,"8")</f>
        <v>F8</v>
      </c>
      <c r="B495" s="255" t="str">
        <f>IF(VLOOKUP($A495,Players!$A$2:$C$132,3)&lt;&gt;0,VLOOKUP($A495,Players!$A$2:$C$132,3),"")</f>
        <v/>
      </c>
      <c r="C495" s="255"/>
      <c r="D495" s="255"/>
      <c r="E495" s="255"/>
      <c r="F495" s="255"/>
      <c r="G495" s="254" t="str">
        <f>IF(VLOOKUP($I481&amp;RIGHT($A495,1),Players!$A$2:$D$132,3)&lt;&gt;0,VLOOKUP($I481&amp;RIGHT($A495,1),Players!$A$2:$D$132,3),"")</f>
        <v/>
      </c>
      <c r="H495" s="254"/>
      <c r="I495" s="254"/>
      <c r="J495" s="210" t="str">
        <f>IF(VLOOKUP($I481&amp;RIGHT($A495,1),Players!$A$2:$D$132,3)&lt;&gt;0,"("&amp;VLOOKUP($I481&amp;RIGHT($A495,1),Players!$A$2:$D$132,4)&amp;")","")</f>
        <v/>
      </c>
    </row>
    <row r="496" spans="1:10" ht="25.5" customHeight="1">
      <c r="A496" s="50"/>
      <c r="B496" s="26"/>
      <c r="C496" s="26"/>
      <c r="D496" s="26"/>
      <c r="E496" s="26"/>
      <c r="F496" s="27"/>
      <c r="G496" s="43"/>
      <c r="H496" s="43"/>
      <c r="I496" s="43"/>
      <c r="J496" s="43"/>
    </row>
    <row r="497" spans="1:10">
      <c r="A497" s="49" t="s">
        <v>1225</v>
      </c>
      <c r="B497" s="46"/>
      <c r="C497" s="46"/>
      <c r="D497" s="46"/>
      <c r="E497" s="46"/>
      <c r="F497" s="46"/>
      <c r="G497" s="43"/>
      <c r="H497" s="43"/>
      <c r="I497" s="43"/>
      <c r="J497" s="43"/>
    </row>
    <row r="498" spans="1:10">
      <c r="A498" s="46" t="s">
        <v>1247</v>
      </c>
      <c r="B498" s="46"/>
      <c r="C498" s="46"/>
      <c r="D498" s="46"/>
      <c r="E498" s="46"/>
      <c r="F498" s="46"/>
      <c r="G498" s="43"/>
      <c r="H498" s="43"/>
      <c r="I498" s="43"/>
      <c r="J498" s="43"/>
    </row>
    <row r="499" spans="1:10">
      <c r="A499" s="46" t="s">
        <v>1248</v>
      </c>
      <c r="B499" s="46"/>
      <c r="C499" s="46"/>
      <c r="D499" s="46"/>
      <c r="E499" s="46"/>
      <c r="F499" s="46"/>
      <c r="G499" s="43"/>
      <c r="H499" s="43"/>
      <c r="I499" s="43"/>
      <c r="J499" s="43"/>
    </row>
    <row r="500" spans="1:10" ht="13.5" thickBot="1">
      <c r="A500" s="46"/>
      <c r="B500" s="46"/>
      <c r="C500" s="46"/>
      <c r="D500" s="46"/>
      <c r="E500" s="46"/>
      <c r="F500" s="46"/>
      <c r="G500" s="43"/>
      <c r="H500" s="43"/>
      <c r="I500" s="43"/>
      <c r="J500" s="43"/>
    </row>
    <row r="501" spans="1:10" ht="25.5" customHeight="1" thickBot="1">
      <c r="A501" s="50"/>
      <c r="B501" s="257"/>
      <c r="C501" s="258"/>
      <c r="D501" s="258"/>
      <c r="E501" s="258"/>
      <c r="F501" s="259"/>
      <c r="G501" s="43"/>
      <c r="H501" s="43"/>
      <c r="I501" s="43"/>
      <c r="J501" s="43"/>
    </row>
    <row r="502" spans="1:10">
      <c r="A502" s="43"/>
      <c r="B502" s="43"/>
      <c r="C502" s="43"/>
      <c r="D502" s="43"/>
      <c r="E502" s="43"/>
      <c r="F502" s="43"/>
      <c r="G502" s="43"/>
      <c r="H502" s="43"/>
      <c r="I502" s="43"/>
      <c r="J502" s="43"/>
    </row>
    <row r="503" spans="1:10">
      <c r="A503" s="43"/>
      <c r="B503" s="43"/>
      <c r="C503" s="43"/>
      <c r="D503" s="43"/>
      <c r="E503" s="43"/>
      <c r="F503" s="43"/>
      <c r="G503" s="43"/>
      <c r="H503" s="43"/>
      <c r="I503" s="43"/>
      <c r="J503" s="43"/>
    </row>
    <row r="504" spans="1:10">
      <c r="A504" s="43"/>
      <c r="B504" s="43"/>
      <c r="C504" s="43"/>
      <c r="D504" s="43"/>
      <c r="E504" s="43"/>
      <c r="F504" s="43"/>
      <c r="G504" s="43"/>
      <c r="H504" s="43"/>
      <c r="I504" s="43"/>
      <c r="J504" s="43"/>
    </row>
    <row r="505" spans="1:10">
      <c r="A505" s="43"/>
      <c r="B505" s="43"/>
      <c r="C505" s="43"/>
      <c r="D505" s="43"/>
      <c r="E505" s="43"/>
      <c r="F505" s="43"/>
      <c r="G505" s="43"/>
      <c r="H505" s="43"/>
      <c r="I505" s="43"/>
      <c r="J505" s="43"/>
    </row>
    <row r="506" spans="1:10">
      <c r="A506" s="43"/>
      <c r="B506" s="43"/>
      <c r="C506" s="43"/>
      <c r="D506" s="43"/>
      <c r="E506" s="43"/>
      <c r="F506" s="43"/>
      <c r="G506" s="43"/>
      <c r="H506" s="43"/>
      <c r="I506" s="43"/>
      <c r="J506" s="43"/>
    </row>
    <row r="507" spans="1:10" ht="25.5" customHeight="1">
      <c r="A507" s="47"/>
      <c r="B507" s="47"/>
      <c r="C507" s="47"/>
      <c r="D507" s="47"/>
      <c r="E507" s="47"/>
      <c r="F507" s="43"/>
      <c r="G507" s="51"/>
      <c r="H507" s="250" t="s">
        <v>1227</v>
      </c>
      <c r="I507" s="251"/>
      <c r="J507" s="43"/>
    </row>
    <row r="508" spans="1:10">
      <c r="A508" s="43" t="s">
        <v>1226</v>
      </c>
      <c r="B508" s="43"/>
      <c r="C508" s="43"/>
      <c r="D508" s="43"/>
      <c r="E508" s="43"/>
      <c r="F508" s="43"/>
      <c r="G508" s="43"/>
      <c r="H508" s="43"/>
      <c r="I508" s="43"/>
      <c r="J508" s="43"/>
    </row>
    <row r="509" spans="1:10">
      <c r="A509" s="43"/>
      <c r="B509" s="43"/>
      <c r="C509" s="43"/>
      <c r="D509" s="43"/>
      <c r="E509" s="43"/>
      <c r="F509" s="43"/>
      <c r="G509" s="43"/>
      <c r="H509" s="43"/>
      <c r="I509" s="43"/>
      <c r="J509" s="43"/>
    </row>
    <row r="510" spans="1:10">
      <c r="A510" s="43"/>
      <c r="B510" s="43"/>
      <c r="C510" s="43"/>
      <c r="D510" s="43"/>
      <c r="E510" s="256" t="str">
        <f>CONCATENATE("(",$D481," vs ",$I481,")")</f>
        <v>(F vs H)</v>
      </c>
      <c r="F510" s="256"/>
      <c r="G510" s="43"/>
      <c r="H510" s="43"/>
      <c r="I510" s="43"/>
      <c r="J510" s="43"/>
    </row>
    <row r="511" spans="1:10" ht="15.75">
      <c r="A511" s="42" t="s">
        <v>1223</v>
      </c>
      <c r="B511" s="43"/>
      <c r="C511" s="43"/>
      <c r="D511" s="43"/>
      <c r="E511" s="43"/>
      <c r="F511" s="43"/>
      <c r="G511" s="43"/>
      <c r="H511" s="43"/>
      <c r="I511" s="43"/>
      <c r="J511" s="96" t="s">
        <v>4234</v>
      </c>
    </row>
    <row r="512" spans="1:10" ht="12.75" customHeight="1">
      <c r="A512" s="42"/>
      <c r="B512" s="43"/>
      <c r="C512" s="43"/>
      <c r="D512" s="43"/>
      <c r="E512" s="43"/>
      <c r="F512" s="43"/>
      <c r="G512" s="43" t="str">
        <f ca="1">Team_Matches!$J$6</f>
        <v>[NCTTA Teams Template (v2.06).xlsx]</v>
      </c>
      <c r="H512" s="43"/>
      <c r="I512" s="43"/>
      <c r="J512" s="160"/>
    </row>
    <row r="513" spans="1:10" ht="12.75" customHeight="1">
      <c r="A513" s="42"/>
      <c r="B513" s="43"/>
      <c r="C513" s="43"/>
      <c r="D513" s="43"/>
      <c r="E513" s="43"/>
      <c r="F513" s="43"/>
      <c r="G513" s="247" t="str">
        <f>Team_Matches!$J364</f>
        <v>Round 1, Match 4</v>
      </c>
      <c r="H513" s="247"/>
      <c r="I513" s="161" t="str">
        <f>Team_Matches!$M364</f>
        <v/>
      </c>
      <c r="J513" s="161"/>
    </row>
    <row r="514" spans="1:10" ht="15.75">
      <c r="A514" s="42"/>
      <c r="B514" s="43"/>
      <c r="C514" s="43"/>
      <c r="D514" s="43"/>
      <c r="E514" s="43"/>
      <c r="F514" s="43"/>
      <c r="G514" s="43"/>
      <c r="H514" s="43"/>
      <c r="I514" s="43"/>
      <c r="J514" s="43"/>
    </row>
    <row r="515" spans="1:10">
      <c r="A515" s="43"/>
      <c r="B515" s="43"/>
      <c r="C515" s="9" t="s">
        <v>1228</v>
      </c>
      <c r="D515" s="52" t="str">
        <f>Team_Matches!$B366</f>
        <v>F</v>
      </c>
      <c r="E515" s="43"/>
      <c r="F515" s="97" t="str">
        <f>CONCATENATE($D515,"-",$I515)</f>
        <v>F-H</v>
      </c>
      <c r="G515" s="43"/>
      <c r="H515" s="9" t="s">
        <v>1228</v>
      </c>
      <c r="I515" s="52" t="str">
        <f>Team_Matches!$K366</f>
        <v>H</v>
      </c>
      <c r="J515" s="43"/>
    </row>
    <row r="516" spans="1:10" ht="25.5" customHeight="1">
      <c r="A516" s="44"/>
      <c r="B516" s="252" t="str">
        <f>IF(VLOOKUP($D515,Draw!$A$4:$B$27,2)&lt;&gt;0,VLOOKUP($D515,Draw!$A$4:$B$27,2),"")</f>
        <v/>
      </c>
      <c r="C516" s="252"/>
      <c r="D516" s="252"/>
      <c r="E516" s="253"/>
      <c r="F516" s="45"/>
      <c r="G516" s="248" t="str">
        <f>IF(VLOOKUP($I515,Draw!$A$4:$B$27,2)&lt;&gt;0,VLOOKUP($I515,Draw!$A$4:$B$27,2),"")</f>
        <v/>
      </c>
      <c r="H516" s="248"/>
      <c r="I516" s="248"/>
      <c r="J516" s="249"/>
    </row>
    <row r="517" spans="1:10" ht="25.5" customHeight="1"/>
    <row r="518" spans="1:10" ht="25.5" customHeight="1"/>
    <row r="519" spans="1:10" ht="24" customHeight="1">
      <c r="A519" s="48" t="s">
        <v>1246</v>
      </c>
      <c r="B519" s="43"/>
      <c r="C519" s="43"/>
      <c r="D519" s="43"/>
      <c r="E519" s="43"/>
      <c r="F519" s="43"/>
      <c r="G519" s="43"/>
      <c r="H519" s="43"/>
      <c r="I519" s="43"/>
      <c r="J519" s="43"/>
    </row>
    <row r="520" spans="1:10" ht="24" customHeight="1">
      <c r="A520" s="48"/>
      <c r="B520" s="43"/>
      <c r="C520" s="43"/>
      <c r="D520" s="43"/>
      <c r="E520" s="43"/>
      <c r="F520" s="43"/>
      <c r="G520" s="43"/>
      <c r="H520" s="43"/>
      <c r="I520" s="43"/>
      <c r="J520" s="43"/>
    </row>
    <row r="521" spans="1:10">
      <c r="A521" s="49" t="s">
        <v>1224</v>
      </c>
      <c r="B521" s="46"/>
      <c r="C521" s="46"/>
      <c r="D521" s="46"/>
      <c r="E521" s="46"/>
      <c r="F521" s="46"/>
      <c r="G521" s="260" t="s">
        <v>10336</v>
      </c>
      <c r="H521" s="260"/>
      <c r="I521" s="260"/>
      <c r="J521" s="260"/>
    </row>
    <row r="522" spans="1:10" ht="24" customHeight="1">
      <c r="A522" s="50" t="str">
        <f>CONCATENATE($I515,"1")</f>
        <v>H1</v>
      </c>
      <c r="B522" s="255" t="str">
        <f>IF(VLOOKUP($A522,Players!$A$2:$C$132,3)&lt;&gt;0,VLOOKUP($A522,Players!$A$2:$C$132,3),"")</f>
        <v/>
      </c>
      <c r="C522" s="255"/>
      <c r="D522" s="255"/>
      <c r="E522" s="255"/>
      <c r="F522" s="255"/>
      <c r="G522" s="254" t="str">
        <f>IF(VLOOKUP($D515&amp;RIGHT($A522,1),Players!$A$2:$D$132,3)&lt;&gt;0,VLOOKUP($D515&amp;RIGHT($A522,1),Players!$A$2:$D$132,3),"")</f>
        <v/>
      </c>
      <c r="H522" s="254"/>
      <c r="I522" s="254"/>
      <c r="J522" s="210" t="str">
        <f>IF(VLOOKUP($D515&amp;RIGHT($A522,1),Players!$A$2:$D$132,3)&lt;&gt;0,"("&amp;VLOOKUP($D515&amp;RIGHT($A522,1),Players!$A$2:$D$132,4)&amp;")","")</f>
        <v/>
      </c>
    </row>
    <row r="523" spans="1:10" ht="25.5" customHeight="1">
      <c r="A523" s="50" t="str">
        <f>CONCATENATE($I515,"2")</f>
        <v>H2</v>
      </c>
      <c r="B523" s="255" t="str">
        <f>IF(VLOOKUP($A523,Players!$A$2:$C$132,3)&lt;&gt;0,VLOOKUP($A523,Players!$A$2:$C$132,3),"")</f>
        <v/>
      </c>
      <c r="C523" s="255"/>
      <c r="D523" s="255"/>
      <c r="E523" s="255"/>
      <c r="F523" s="255"/>
      <c r="G523" s="254" t="str">
        <f>IF(VLOOKUP($D515&amp;RIGHT($A523,1),Players!$A$2:$D$132,3)&lt;&gt;0,VLOOKUP($D515&amp;RIGHT($A523,1),Players!$A$2:$D$132,3),"")</f>
        <v/>
      </c>
      <c r="H523" s="254"/>
      <c r="I523" s="254"/>
      <c r="J523" s="210" t="str">
        <f>IF(VLOOKUP($D515&amp;RIGHT($A523,1),Players!$A$2:$D$132,3)&lt;&gt;0,"("&amp;VLOOKUP($D515&amp;RIGHT($A523,1),Players!$A$2:$D$132,4)&amp;")","")</f>
        <v/>
      </c>
    </row>
    <row r="524" spans="1:10" ht="25.5" customHeight="1">
      <c r="A524" s="50" t="str">
        <f>CONCATENATE($I515,"3")</f>
        <v>H3</v>
      </c>
      <c r="B524" s="255" t="str">
        <f>IF(VLOOKUP($A524,Players!$A$2:$C$132,3)&lt;&gt;0,VLOOKUP($A524,Players!$A$2:$C$132,3),"")</f>
        <v/>
      </c>
      <c r="C524" s="255"/>
      <c r="D524" s="255"/>
      <c r="E524" s="255"/>
      <c r="F524" s="255"/>
      <c r="G524" s="254" t="str">
        <f>IF(VLOOKUP($D515&amp;RIGHT($A524,1),Players!$A$2:$D$132,3)&lt;&gt;0,VLOOKUP($D515&amp;RIGHT($A524,1),Players!$A$2:$D$132,3),"")</f>
        <v/>
      </c>
      <c r="H524" s="254"/>
      <c r="I524" s="254"/>
      <c r="J524" s="210" t="str">
        <f>IF(VLOOKUP($D515&amp;RIGHT($A524,1),Players!$A$2:$D$132,3)&lt;&gt;0,"("&amp;VLOOKUP($D515&amp;RIGHT($A524,1),Players!$A$2:$D$132,4)&amp;")","")</f>
        <v/>
      </c>
    </row>
    <row r="525" spans="1:10" ht="25.5" customHeight="1">
      <c r="A525" s="50" t="str">
        <f>CONCATENATE($I515,"4")</f>
        <v>H4</v>
      </c>
      <c r="B525" s="255" t="str">
        <f>IF(VLOOKUP($A525,Players!$A$2:$C$132,3)&lt;&gt;0,VLOOKUP($A525,Players!$A$2:$C$132,3),"")</f>
        <v/>
      </c>
      <c r="C525" s="255"/>
      <c r="D525" s="255"/>
      <c r="E525" s="255"/>
      <c r="F525" s="255"/>
      <c r="G525" s="254" t="str">
        <f>IF(VLOOKUP($D515&amp;RIGHT($A525,1),Players!$A$2:$D$132,3)&lt;&gt;0,VLOOKUP($D515&amp;RIGHT($A525,1),Players!$A$2:$D$132,3),"")</f>
        <v/>
      </c>
      <c r="H525" s="254"/>
      <c r="I525" s="254"/>
      <c r="J525" s="210" t="str">
        <f>IF(VLOOKUP($D515&amp;RIGHT($A525,1),Players!$A$2:$D$132,3)&lt;&gt;0,"("&amp;VLOOKUP($D515&amp;RIGHT($A525,1),Players!$A$2:$D$132,4)&amp;")","")</f>
        <v/>
      </c>
    </row>
    <row r="526" spans="1:10" ht="25.5" customHeight="1">
      <c r="A526" s="50" t="str">
        <f>CONCATENATE($I515,"5")</f>
        <v>H5</v>
      </c>
      <c r="B526" s="255" t="str">
        <f>IF(VLOOKUP($A526,Players!$A$2:$C$132,3)&lt;&gt;0,VLOOKUP($A526,Players!$A$2:$C$132,3),"")</f>
        <v/>
      </c>
      <c r="C526" s="255"/>
      <c r="D526" s="255"/>
      <c r="E526" s="255"/>
      <c r="F526" s="255"/>
      <c r="G526" s="254" t="str">
        <f>IF(VLOOKUP($D515&amp;RIGHT($A526,1),Players!$A$2:$D$132,3)&lt;&gt;0,VLOOKUP($D515&amp;RIGHT($A526,1),Players!$A$2:$D$132,3),"")</f>
        <v/>
      </c>
      <c r="H526" s="254"/>
      <c r="I526" s="254"/>
      <c r="J526" s="210" t="str">
        <f>IF(VLOOKUP($D515&amp;RIGHT($A526,1),Players!$A$2:$D$132,3)&lt;&gt;0,"("&amp;VLOOKUP($D515&amp;RIGHT($A526,1),Players!$A$2:$D$132,4)&amp;")","")</f>
        <v/>
      </c>
    </row>
    <row r="527" spans="1:10" ht="25.5" customHeight="1">
      <c r="A527" s="50" t="str">
        <f>CONCATENATE($I515,"6")</f>
        <v>H6</v>
      </c>
      <c r="B527" s="255" t="str">
        <f>IF(VLOOKUP($A527,Players!$A$2:$C$132,3)&lt;&gt;0,VLOOKUP($A527,Players!$A$2:$C$132,3),"")</f>
        <v/>
      </c>
      <c r="C527" s="255"/>
      <c r="D527" s="255"/>
      <c r="E527" s="255"/>
      <c r="F527" s="255"/>
      <c r="G527" s="254" t="str">
        <f>IF(VLOOKUP($D515&amp;RIGHT($A527,1),Players!$A$2:$D$132,3)&lt;&gt;0,VLOOKUP($D515&amp;RIGHT($A527,1),Players!$A$2:$D$132,3),"")</f>
        <v/>
      </c>
      <c r="H527" s="254"/>
      <c r="I527" s="254"/>
      <c r="J527" s="210" t="str">
        <f>IF(VLOOKUP($D515&amp;RIGHT($A527,1),Players!$A$2:$D$132,3)&lt;&gt;0,"("&amp;VLOOKUP($D515&amp;RIGHT($A527,1),Players!$A$2:$D$132,4)&amp;")","")</f>
        <v/>
      </c>
    </row>
    <row r="528" spans="1:10" ht="25.5" customHeight="1">
      <c r="A528" s="50" t="str">
        <f>CONCATENATE($I515,"7")</f>
        <v>H7</v>
      </c>
      <c r="B528" s="255" t="str">
        <f>IF(VLOOKUP($A528,Players!$A$2:$C$132,3)&lt;&gt;0,VLOOKUP($A528,Players!$A$2:$C$132,3),"")</f>
        <v/>
      </c>
      <c r="C528" s="255"/>
      <c r="D528" s="255"/>
      <c r="E528" s="255"/>
      <c r="F528" s="255"/>
      <c r="G528" s="254" t="str">
        <f>IF(VLOOKUP($D515&amp;RIGHT($A528,1),Players!$A$2:$D$132,3)&lt;&gt;0,VLOOKUP($D515&amp;RIGHT($A528,1),Players!$A$2:$D$132,3),"")</f>
        <v/>
      </c>
      <c r="H528" s="254"/>
      <c r="I528" s="254"/>
      <c r="J528" s="210" t="str">
        <f>IF(VLOOKUP($D515&amp;RIGHT($A528,1),Players!$A$2:$D$132,3)&lt;&gt;0,"("&amp;VLOOKUP($D515&amp;RIGHT($A528,1),Players!$A$2:$D$132,4)&amp;")","")</f>
        <v/>
      </c>
    </row>
    <row r="529" spans="1:10" ht="25.5" customHeight="1">
      <c r="A529" s="50" t="str">
        <f>CONCATENATE($I515,"8")</f>
        <v>H8</v>
      </c>
      <c r="B529" s="255" t="str">
        <f>IF(VLOOKUP($A529,Players!$A$2:$C$132,3)&lt;&gt;0,VLOOKUP($A529,Players!$A$2:$C$132,3),"")</f>
        <v/>
      </c>
      <c r="C529" s="255"/>
      <c r="D529" s="255"/>
      <c r="E529" s="255"/>
      <c r="F529" s="255"/>
      <c r="G529" s="254" t="str">
        <f>IF(VLOOKUP($D515&amp;RIGHT($A529,1),Players!$A$2:$D$132,3)&lt;&gt;0,VLOOKUP($D515&amp;RIGHT($A529,1),Players!$A$2:$D$132,3),"")</f>
        <v/>
      </c>
      <c r="H529" s="254"/>
      <c r="I529" s="254"/>
      <c r="J529" s="210" t="str">
        <f>IF(VLOOKUP($D515&amp;RIGHT($A529,1),Players!$A$2:$D$132,3)&lt;&gt;0,"("&amp;VLOOKUP($D515&amp;RIGHT($A529,1),Players!$A$2:$D$132,4)&amp;")","")</f>
        <v/>
      </c>
    </row>
    <row r="530" spans="1:10" ht="25.5" customHeight="1">
      <c r="A530" s="50"/>
      <c r="B530" s="26"/>
      <c r="C530" s="26"/>
      <c r="D530" s="26"/>
      <c r="E530" s="26"/>
      <c r="F530" s="27"/>
      <c r="G530" s="43"/>
      <c r="H530" s="43"/>
      <c r="I530" s="43"/>
      <c r="J530" s="43"/>
    </row>
    <row r="531" spans="1:10">
      <c r="A531" s="49" t="s">
        <v>1225</v>
      </c>
      <c r="B531" s="46"/>
      <c r="C531" s="46"/>
      <c r="D531" s="46"/>
      <c r="E531" s="46"/>
      <c r="F531" s="46"/>
      <c r="G531" s="43"/>
      <c r="H531" s="43"/>
      <c r="I531" s="43"/>
      <c r="J531" s="43"/>
    </row>
    <row r="532" spans="1:10">
      <c r="A532" s="46" t="s">
        <v>1247</v>
      </c>
      <c r="B532" s="46"/>
      <c r="C532" s="46"/>
      <c r="D532" s="46"/>
      <c r="E532" s="46"/>
      <c r="F532" s="46"/>
      <c r="G532" s="43"/>
      <c r="H532" s="43"/>
      <c r="I532" s="43"/>
      <c r="J532" s="43"/>
    </row>
    <row r="533" spans="1:10">
      <c r="A533" s="46" t="s">
        <v>1248</v>
      </c>
      <c r="B533" s="46"/>
      <c r="C533" s="46"/>
      <c r="D533" s="46"/>
      <c r="E533" s="46"/>
      <c r="F533" s="46"/>
      <c r="G533" s="43"/>
      <c r="H533" s="43"/>
      <c r="I533" s="43"/>
      <c r="J533" s="43"/>
    </row>
    <row r="534" spans="1:10" ht="13.5" thickBot="1">
      <c r="A534" s="46"/>
      <c r="B534" s="46"/>
      <c r="C534" s="46"/>
      <c r="D534" s="46"/>
      <c r="E534" s="46"/>
      <c r="F534" s="46"/>
      <c r="G534" s="43"/>
      <c r="H534" s="43"/>
      <c r="I534" s="43"/>
      <c r="J534" s="43"/>
    </row>
    <row r="535" spans="1:10" ht="25.5" customHeight="1" thickBot="1">
      <c r="A535" s="50"/>
      <c r="B535" s="257"/>
      <c r="C535" s="258"/>
      <c r="D535" s="258"/>
      <c r="E535" s="258"/>
      <c r="F535" s="259"/>
      <c r="G535" s="43"/>
      <c r="H535" s="43"/>
      <c r="I535" s="43"/>
      <c r="J535" s="43"/>
    </row>
    <row r="536" spans="1:10">
      <c r="A536" s="43"/>
      <c r="B536" s="43"/>
      <c r="C536" s="43"/>
      <c r="D536" s="43"/>
      <c r="E536" s="43"/>
      <c r="F536" s="43"/>
      <c r="G536" s="43"/>
      <c r="H536" s="43"/>
      <c r="I536" s="43"/>
      <c r="J536" s="43"/>
    </row>
    <row r="537" spans="1:10">
      <c r="A537" s="43"/>
      <c r="B537" s="43"/>
      <c r="C537" s="43"/>
      <c r="D537" s="43"/>
      <c r="E537" s="43"/>
      <c r="F537" s="43"/>
      <c r="G537" s="43"/>
      <c r="H537" s="43"/>
      <c r="I537" s="43"/>
      <c r="J537" s="43"/>
    </row>
    <row r="538" spans="1:10">
      <c r="A538" s="43"/>
      <c r="B538" s="43"/>
      <c r="C538" s="43"/>
      <c r="D538" s="43"/>
      <c r="E538" s="43"/>
      <c r="F538" s="43"/>
      <c r="G538" s="43"/>
      <c r="H538" s="43"/>
      <c r="I538" s="43"/>
      <c r="J538" s="43"/>
    </row>
    <row r="539" spans="1:10">
      <c r="A539" s="43"/>
      <c r="B539" s="43"/>
      <c r="C539" s="43"/>
      <c r="D539" s="43"/>
      <c r="E539" s="43"/>
      <c r="F539" s="43"/>
      <c r="G539" s="43"/>
      <c r="H539" s="43"/>
      <c r="I539" s="43"/>
      <c r="J539" s="43"/>
    </row>
    <row r="540" spans="1:10">
      <c r="A540" s="43"/>
      <c r="B540" s="43"/>
      <c r="C540" s="43"/>
      <c r="D540" s="43"/>
      <c r="E540" s="43"/>
      <c r="F540" s="43"/>
      <c r="G540" s="43"/>
      <c r="H540" s="43"/>
      <c r="I540" s="43"/>
      <c r="J540" s="43"/>
    </row>
    <row r="541" spans="1:10" ht="25.5" customHeight="1">
      <c r="A541" s="47"/>
      <c r="B541" s="47"/>
      <c r="C541" s="47"/>
      <c r="D541" s="47"/>
      <c r="E541" s="47"/>
      <c r="F541" s="43"/>
      <c r="G541" s="51"/>
      <c r="H541" s="250" t="s">
        <v>1227</v>
      </c>
      <c r="I541" s="251"/>
      <c r="J541" s="43"/>
    </row>
    <row r="542" spans="1:10">
      <c r="A542" s="43" t="s">
        <v>1226</v>
      </c>
      <c r="B542" s="43"/>
      <c r="C542" s="43"/>
      <c r="D542" s="43"/>
      <c r="E542" s="43"/>
      <c r="F542" s="43"/>
      <c r="G542" s="43"/>
      <c r="H542" s="43"/>
      <c r="I542" s="43"/>
      <c r="J542" s="43"/>
    </row>
    <row r="543" spans="1:10">
      <c r="A543" s="43"/>
      <c r="B543" s="43"/>
      <c r="C543" s="43"/>
      <c r="D543" s="43"/>
      <c r="E543" s="43"/>
      <c r="F543" s="43"/>
      <c r="G543" s="43"/>
      <c r="H543" s="43"/>
      <c r="I543" s="43"/>
      <c r="J543" s="43"/>
    </row>
    <row r="544" spans="1:10">
      <c r="A544" s="43"/>
      <c r="B544" s="43"/>
      <c r="C544" s="43"/>
      <c r="D544" s="43"/>
      <c r="E544" s="256" t="str">
        <f>CONCATENATE("(",$D515," vs ",$I515,")")</f>
        <v>(F vs H)</v>
      </c>
      <c r="F544" s="256"/>
      <c r="G544" s="43"/>
      <c r="H544" s="43"/>
      <c r="I544" s="43"/>
      <c r="J544" s="43"/>
    </row>
    <row r="545" spans="1:10" ht="15.75">
      <c r="A545" s="42" t="s">
        <v>1223</v>
      </c>
      <c r="B545" s="43"/>
      <c r="C545" s="43"/>
      <c r="D545" s="43"/>
      <c r="E545" s="43"/>
      <c r="F545" s="43"/>
      <c r="G545" s="43"/>
      <c r="H545" s="43"/>
      <c r="I545" s="43"/>
      <c r="J545" s="96" t="s">
        <v>4235</v>
      </c>
    </row>
    <row r="546" spans="1:10" ht="12.75" customHeight="1">
      <c r="A546" s="42"/>
      <c r="B546" s="43"/>
      <c r="C546" s="43"/>
      <c r="D546" s="43"/>
      <c r="E546" s="43"/>
      <c r="F546" s="43"/>
      <c r="G546" s="43" t="str">
        <f ca="1">Team_Matches!$J$6</f>
        <v>[NCTTA Teams Template (v2.06).xlsx]</v>
      </c>
      <c r="H546" s="43"/>
      <c r="I546" s="43"/>
      <c r="J546" s="160"/>
    </row>
    <row r="547" spans="1:10" ht="12.75" customHeight="1">
      <c r="A547" s="42"/>
      <c r="B547" s="43"/>
      <c r="C547" s="43"/>
      <c r="D547" s="43"/>
      <c r="E547" s="43"/>
      <c r="F547" s="43"/>
      <c r="G547" s="247" t="str">
        <f>Team_Matches!$J415</f>
        <v>Round 2, Match 3</v>
      </c>
      <c r="H547" s="247"/>
      <c r="I547" s="161" t="str">
        <f>Team_Matches!$M415</f>
        <v/>
      </c>
      <c r="J547" s="161"/>
    </row>
    <row r="548" spans="1:10" ht="15.75">
      <c r="A548" s="42"/>
      <c r="B548" s="43"/>
      <c r="C548" s="43"/>
      <c r="D548" s="43"/>
      <c r="E548" s="43"/>
      <c r="F548" s="43"/>
      <c r="G548" s="43"/>
      <c r="H548" s="43"/>
      <c r="I548" s="43"/>
      <c r="J548" s="43"/>
    </row>
    <row r="549" spans="1:10">
      <c r="A549" s="43"/>
      <c r="B549" s="43"/>
      <c r="C549" s="9" t="s">
        <v>1228</v>
      </c>
      <c r="D549" s="52" t="str">
        <f>Team_Matches!$B417</f>
        <v>E</v>
      </c>
      <c r="E549" s="43"/>
      <c r="F549" s="97" t="str">
        <f>CONCATENATE($D549,"-",$I549)</f>
        <v>E-F</v>
      </c>
      <c r="G549" s="43"/>
      <c r="H549" s="9" t="s">
        <v>1228</v>
      </c>
      <c r="I549" s="52" t="str">
        <f>Team_Matches!$K417</f>
        <v>F</v>
      </c>
      <c r="J549" s="43"/>
    </row>
    <row r="550" spans="1:10" ht="25.5" customHeight="1">
      <c r="A550" s="44"/>
      <c r="B550" s="248" t="str">
        <f>IF(VLOOKUP($D549,Draw!$A$4:$B$27,2)&lt;&gt;0,VLOOKUP($D549,Draw!$A$4:$B$27,2),"")</f>
        <v/>
      </c>
      <c r="C550" s="248"/>
      <c r="D550" s="248"/>
      <c r="E550" s="249"/>
      <c r="F550" s="45"/>
      <c r="G550" s="252" t="str">
        <f>IF(VLOOKUP($I549,Draw!$A$4:$B$27,2)&lt;&gt;0,VLOOKUP($I549,Draw!$A$4:$B$27,2),"")</f>
        <v/>
      </c>
      <c r="H550" s="252"/>
      <c r="I550" s="252"/>
      <c r="J550" s="253"/>
    </row>
    <row r="551" spans="1:10" ht="25.5" customHeight="1"/>
    <row r="552" spans="1:10" ht="25.5" customHeight="1"/>
    <row r="553" spans="1:10" ht="24" customHeight="1">
      <c r="A553" s="48" t="s">
        <v>1246</v>
      </c>
      <c r="B553" s="43"/>
      <c r="C553" s="43"/>
      <c r="D553" s="43"/>
      <c r="E553" s="43"/>
      <c r="F553" s="43"/>
      <c r="G553" s="43"/>
      <c r="H553" s="43"/>
      <c r="I553" s="43"/>
      <c r="J553" s="43"/>
    </row>
    <row r="554" spans="1:10" ht="24" customHeight="1">
      <c r="A554" s="48"/>
      <c r="B554" s="43"/>
      <c r="C554" s="43"/>
      <c r="D554" s="43"/>
      <c r="E554" s="43"/>
      <c r="F554" s="43"/>
      <c r="G554" s="43"/>
      <c r="H554" s="43"/>
      <c r="I554" s="43"/>
      <c r="J554" s="43"/>
    </row>
    <row r="555" spans="1:10">
      <c r="A555" s="49" t="s">
        <v>1224</v>
      </c>
      <c r="B555" s="46"/>
      <c r="C555" s="46"/>
      <c r="D555" s="46"/>
      <c r="E555" s="46"/>
      <c r="F555" s="46"/>
      <c r="G555" s="260" t="s">
        <v>10336</v>
      </c>
      <c r="H555" s="260"/>
      <c r="I555" s="260"/>
      <c r="J555" s="260"/>
    </row>
    <row r="556" spans="1:10" ht="24" customHeight="1">
      <c r="A556" s="50" t="str">
        <f>CONCATENATE($D549,"1")</f>
        <v>E1</v>
      </c>
      <c r="B556" s="255" t="str">
        <f>IF(VLOOKUP($A556,Players!$A$2:$C$132,3)&lt;&gt;0,VLOOKUP($A556,Players!$A$2:$C$132,3),"")</f>
        <v/>
      </c>
      <c r="C556" s="255"/>
      <c r="D556" s="255"/>
      <c r="E556" s="255"/>
      <c r="F556" s="255"/>
      <c r="G556" s="254" t="str">
        <f>IF(VLOOKUP($I549&amp;RIGHT($A556,1),Players!$A$2:$D$132,3)&lt;&gt;0,VLOOKUP($I549&amp;RIGHT($A556,1),Players!$A$2:$D$132,3),"")</f>
        <v/>
      </c>
      <c r="H556" s="254"/>
      <c r="I556" s="254"/>
      <c r="J556" s="210" t="str">
        <f>IF(VLOOKUP($I549&amp;RIGHT($A556,1),Players!$A$2:$D$132,3)&lt;&gt;0,"("&amp;VLOOKUP($I549&amp;RIGHT($A556,1),Players!$A$2:$D$132,4)&amp;")","")</f>
        <v/>
      </c>
    </row>
    <row r="557" spans="1:10" ht="25.5" customHeight="1">
      <c r="A557" s="50" t="str">
        <f>CONCATENATE($D549,"2")</f>
        <v>E2</v>
      </c>
      <c r="B557" s="255" t="str">
        <f>IF(VLOOKUP($A557,Players!$A$2:$C$132,3)&lt;&gt;0,VLOOKUP($A557,Players!$A$2:$C$132,3),"")</f>
        <v/>
      </c>
      <c r="C557" s="255"/>
      <c r="D557" s="255"/>
      <c r="E557" s="255"/>
      <c r="F557" s="255"/>
      <c r="G557" s="254" t="str">
        <f>IF(VLOOKUP($I549&amp;RIGHT($A557,1),Players!$A$2:$D$132,3)&lt;&gt;0,VLOOKUP($I549&amp;RIGHT($A557,1),Players!$A$2:$D$132,3),"")</f>
        <v/>
      </c>
      <c r="H557" s="254"/>
      <c r="I557" s="254"/>
      <c r="J557" s="210" t="str">
        <f>IF(VLOOKUP($I549&amp;RIGHT($A557,1),Players!$A$2:$D$132,3)&lt;&gt;0,"("&amp;VLOOKUP($I549&amp;RIGHT($A557,1),Players!$A$2:$D$132,4)&amp;")","")</f>
        <v/>
      </c>
    </row>
    <row r="558" spans="1:10" ht="25.5" customHeight="1">
      <c r="A558" s="50" t="str">
        <f>CONCATENATE($D549,"3")</f>
        <v>E3</v>
      </c>
      <c r="B558" s="255" t="str">
        <f>IF(VLOOKUP($A558,Players!$A$2:$C$132,3)&lt;&gt;0,VLOOKUP($A558,Players!$A$2:$C$132,3),"")</f>
        <v/>
      </c>
      <c r="C558" s="255"/>
      <c r="D558" s="255"/>
      <c r="E558" s="255"/>
      <c r="F558" s="255"/>
      <c r="G558" s="254" t="str">
        <f>IF(VLOOKUP($I549&amp;RIGHT($A558,1),Players!$A$2:$D$132,3)&lt;&gt;0,VLOOKUP($I549&amp;RIGHT($A558,1),Players!$A$2:$D$132,3),"")</f>
        <v/>
      </c>
      <c r="H558" s="254"/>
      <c r="I558" s="254"/>
      <c r="J558" s="210" t="str">
        <f>IF(VLOOKUP($I549&amp;RIGHT($A558,1),Players!$A$2:$D$132,3)&lt;&gt;0,"("&amp;VLOOKUP($I549&amp;RIGHT($A558,1),Players!$A$2:$D$132,4)&amp;")","")</f>
        <v/>
      </c>
    </row>
    <row r="559" spans="1:10" ht="25.5" customHeight="1">
      <c r="A559" s="50" t="str">
        <f>CONCATENATE($D549,"4")</f>
        <v>E4</v>
      </c>
      <c r="B559" s="255" t="str">
        <f>IF(VLOOKUP($A559,Players!$A$2:$C$132,3)&lt;&gt;0,VLOOKUP($A559,Players!$A$2:$C$132,3),"")</f>
        <v/>
      </c>
      <c r="C559" s="255"/>
      <c r="D559" s="255"/>
      <c r="E559" s="255"/>
      <c r="F559" s="255"/>
      <c r="G559" s="254" t="str">
        <f>IF(VLOOKUP($I549&amp;RIGHT($A559,1),Players!$A$2:$D$132,3)&lt;&gt;0,VLOOKUP($I549&amp;RIGHT($A559,1),Players!$A$2:$D$132,3),"")</f>
        <v/>
      </c>
      <c r="H559" s="254"/>
      <c r="I559" s="254"/>
      <c r="J559" s="210" t="str">
        <f>IF(VLOOKUP($I549&amp;RIGHT($A559,1),Players!$A$2:$D$132,3)&lt;&gt;0,"("&amp;VLOOKUP($I549&amp;RIGHT($A559,1),Players!$A$2:$D$132,4)&amp;")","")</f>
        <v/>
      </c>
    </row>
    <row r="560" spans="1:10" ht="25.5" customHeight="1">
      <c r="A560" s="50" t="str">
        <f>CONCATENATE($D549,"5")</f>
        <v>E5</v>
      </c>
      <c r="B560" s="255" t="str">
        <f>IF(VLOOKUP($A560,Players!$A$2:$C$132,3)&lt;&gt;0,VLOOKUP($A560,Players!$A$2:$C$132,3),"")</f>
        <v/>
      </c>
      <c r="C560" s="255"/>
      <c r="D560" s="255"/>
      <c r="E560" s="255"/>
      <c r="F560" s="255"/>
      <c r="G560" s="254" t="str">
        <f>IF(VLOOKUP($I549&amp;RIGHT($A560,1),Players!$A$2:$D$132,3)&lt;&gt;0,VLOOKUP($I549&amp;RIGHT($A560,1),Players!$A$2:$D$132,3),"")</f>
        <v/>
      </c>
      <c r="H560" s="254"/>
      <c r="I560" s="254"/>
      <c r="J560" s="210" t="str">
        <f>IF(VLOOKUP($I549&amp;RIGHT($A560,1),Players!$A$2:$D$132,3)&lt;&gt;0,"("&amp;VLOOKUP($I549&amp;RIGHT($A560,1),Players!$A$2:$D$132,4)&amp;")","")</f>
        <v/>
      </c>
    </row>
    <row r="561" spans="1:10" ht="25.5" customHeight="1">
      <c r="A561" s="50" t="str">
        <f>CONCATENATE($D549,"6")</f>
        <v>E6</v>
      </c>
      <c r="B561" s="255" t="str">
        <f>IF(VLOOKUP($A561,Players!$A$2:$C$132,3)&lt;&gt;0,VLOOKUP($A561,Players!$A$2:$C$132,3),"")</f>
        <v/>
      </c>
      <c r="C561" s="255"/>
      <c r="D561" s="255"/>
      <c r="E561" s="255"/>
      <c r="F561" s="255"/>
      <c r="G561" s="254" t="str">
        <f>IF(VLOOKUP($I549&amp;RIGHT($A561,1),Players!$A$2:$D$132,3)&lt;&gt;0,VLOOKUP($I549&amp;RIGHT($A561,1),Players!$A$2:$D$132,3),"")</f>
        <v/>
      </c>
      <c r="H561" s="254"/>
      <c r="I561" s="254"/>
      <c r="J561" s="210" t="str">
        <f>IF(VLOOKUP($I549&amp;RIGHT($A561,1),Players!$A$2:$D$132,3)&lt;&gt;0,"("&amp;VLOOKUP($I549&amp;RIGHT($A561,1),Players!$A$2:$D$132,4)&amp;")","")</f>
        <v/>
      </c>
    </row>
    <row r="562" spans="1:10" ht="25.5" customHeight="1">
      <c r="A562" s="50" t="str">
        <f>CONCATENATE($D549,"7")</f>
        <v>E7</v>
      </c>
      <c r="B562" s="255" t="str">
        <f>IF(VLOOKUP($A562,Players!$A$2:$C$132,3)&lt;&gt;0,VLOOKUP($A562,Players!$A$2:$C$132,3),"")</f>
        <v/>
      </c>
      <c r="C562" s="255"/>
      <c r="D562" s="255"/>
      <c r="E562" s="255"/>
      <c r="F562" s="255"/>
      <c r="G562" s="254" t="str">
        <f>IF(VLOOKUP($I549&amp;RIGHT($A562,1),Players!$A$2:$D$132,3)&lt;&gt;0,VLOOKUP($I549&amp;RIGHT($A562,1),Players!$A$2:$D$132,3),"")</f>
        <v/>
      </c>
      <c r="H562" s="254"/>
      <c r="I562" s="254"/>
      <c r="J562" s="210" t="str">
        <f>IF(VLOOKUP($I549&amp;RIGHT($A562,1),Players!$A$2:$D$132,3)&lt;&gt;0,"("&amp;VLOOKUP($I549&amp;RIGHT($A562,1),Players!$A$2:$D$132,4)&amp;")","")</f>
        <v/>
      </c>
    </row>
    <row r="563" spans="1:10" ht="25.5" customHeight="1">
      <c r="A563" s="50" t="str">
        <f>CONCATENATE($D549,"8")</f>
        <v>E8</v>
      </c>
      <c r="B563" s="255" t="str">
        <f>IF(VLOOKUP($A563,Players!$A$2:$C$132,3)&lt;&gt;0,VLOOKUP($A563,Players!$A$2:$C$132,3),"")</f>
        <v/>
      </c>
      <c r="C563" s="255"/>
      <c r="D563" s="255"/>
      <c r="E563" s="255"/>
      <c r="F563" s="255"/>
      <c r="G563" s="254" t="str">
        <f>IF(VLOOKUP($I549&amp;RIGHT($A563,1),Players!$A$2:$D$132,3)&lt;&gt;0,VLOOKUP($I549&amp;RIGHT($A563,1),Players!$A$2:$D$132,3),"")</f>
        <v/>
      </c>
      <c r="H563" s="254"/>
      <c r="I563" s="254"/>
      <c r="J563" s="210" t="str">
        <f>IF(VLOOKUP($I549&amp;RIGHT($A563,1),Players!$A$2:$D$132,3)&lt;&gt;0,"("&amp;VLOOKUP($I549&amp;RIGHT($A563,1),Players!$A$2:$D$132,4)&amp;")","")</f>
        <v/>
      </c>
    </row>
    <row r="564" spans="1:10" ht="25.5" customHeight="1">
      <c r="A564" s="50"/>
      <c r="B564" s="26"/>
      <c r="C564" s="26"/>
      <c r="D564" s="26"/>
      <c r="E564" s="26"/>
      <c r="F564" s="27"/>
      <c r="G564" s="43"/>
      <c r="H564" s="43"/>
      <c r="I564" s="43"/>
      <c r="J564" s="43"/>
    </row>
    <row r="565" spans="1:10">
      <c r="A565" s="49" t="s">
        <v>1225</v>
      </c>
      <c r="B565" s="46"/>
      <c r="C565" s="46"/>
      <c r="D565" s="46"/>
      <c r="E565" s="46"/>
      <c r="F565" s="46"/>
      <c r="G565" s="43"/>
      <c r="H565" s="43"/>
      <c r="I565" s="43"/>
      <c r="J565" s="43"/>
    </row>
    <row r="566" spans="1:10">
      <c r="A566" s="46" t="s">
        <v>1247</v>
      </c>
      <c r="B566" s="46"/>
      <c r="C566" s="46"/>
      <c r="D566" s="46"/>
      <c r="E566" s="46"/>
      <c r="F566" s="46"/>
      <c r="G566" s="43"/>
      <c r="H566" s="43"/>
      <c r="I566" s="43"/>
      <c r="J566" s="43"/>
    </row>
    <row r="567" spans="1:10">
      <c r="A567" s="46" t="s">
        <v>1248</v>
      </c>
      <c r="B567" s="46"/>
      <c r="C567" s="46"/>
      <c r="D567" s="46"/>
      <c r="E567" s="46"/>
      <c r="F567" s="46"/>
      <c r="G567" s="43"/>
      <c r="H567" s="43"/>
      <c r="I567" s="43"/>
      <c r="J567" s="43"/>
    </row>
    <row r="568" spans="1:10" ht="13.5" thickBot="1">
      <c r="A568" s="46"/>
      <c r="B568" s="46"/>
      <c r="C568" s="46"/>
      <c r="D568" s="46"/>
      <c r="E568" s="46"/>
      <c r="F568" s="46"/>
      <c r="G568" s="43"/>
      <c r="H568" s="43"/>
      <c r="I568" s="43"/>
      <c r="J568" s="43"/>
    </row>
    <row r="569" spans="1:10" ht="25.5" customHeight="1" thickBot="1">
      <c r="A569" s="50"/>
      <c r="B569" s="257"/>
      <c r="C569" s="258"/>
      <c r="D569" s="258"/>
      <c r="E569" s="258"/>
      <c r="F569" s="259"/>
      <c r="G569" s="43"/>
      <c r="H569" s="43"/>
      <c r="I569" s="43"/>
      <c r="J569" s="43"/>
    </row>
    <row r="570" spans="1:10">
      <c r="A570" s="43"/>
      <c r="B570" s="43"/>
      <c r="C570" s="43"/>
      <c r="D570" s="43"/>
      <c r="E570" s="43"/>
      <c r="F570" s="43"/>
      <c r="G570" s="43"/>
      <c r="H570" s="43"/>
      <c r="I570" s="43"/>
      <c r="J570" s="43"/>
    </row>
    <row r="571" spans="1:10">
      <c r="A571" s="43"/>
      <c r="B571" s="43"/>
      <c r="C571" s="43"/>
      <c r="D571" s="43"/>
      <c r="E571" s="43"/>
      <c r="F571" s="43"/>
      <c r="G571" s="43"/>
      <c r="H571" s="43"/>
      <c r="I571" s="43"/>
      <c r="J571" s="43"/>
    </row>
    <row r="572" spans="1:10">
      <c r="A572" s="43"/>
      <c r="B572" s="43"/>
      <c r="C572" s="43"/>
      <c r="D572" s="43"/>
      <c r="E572" s="43"/>
      <c r="F572" s="43"/>
      <c r="G572" s="43"/>
      <c r="H572" s="43"/>
      <c r="I572" s="43"/>
      <c r="J572" s="43"/>
    </row>
    <row r="573" spans="1:10">
      <c r="A573" s="43"/>
      <c r="B573" s="43"/>
      <c r="C573" s="43"/>
      <c r="D573" s="43"/>
      <c r="E573" s="43"/>
      <c r="F573" s="43"/>
      <c r="G573" s="43"/>
      <c r="H573" s="43"/>
      <c r="I573" s="43"/>
      <c r="J573" s="43"/>
    </row>
    <row r="574" spans="1:10">
      <c r="A574" s="43"/>
      <c r="B574" s="43"/>
      <c r="C574" s="43"/>
      <c r="D574" s="43"/>
      <c r="E574" s="43"/>
      <c r="F574" s="43"/>
      <c r="G574" s="43"/>
      <c r="H574" s="43"/>
      <c r="I574" s="43"/>
      <c r="J574" s="43"/>
    </row>
    <row r="575" spans="1:10" ht="25.5" customHeight="1">
      <c r="A575" s="47"/>
      <c r="B575" s="47"/>
      <c r="C575" s="47"/>
      <c r="D575" s="47"/>
      <c r="E575" s="47"/>
      <c r="F575" s="43"/>
      <c r="G575" s="51"/>
      <c r="H575" s="250" t="s">
        <v>1227</v>
      </c>
      <c r="I575" s="251"/>
      <c r="J575" s="43"/>
    </row>
    <row r="576" spans="1:10">
      <c r="A576" s="43" t="s">
        <v>1226</v>
      </c>
      <c r="B576" s="43"/>
      <c r="C576" s="43"/>
      <c r="D576" s="43"/>
      <c r="E576" s="43"/>
      <c r="F576" s="43"/>
      <c r="G576" s="43"/>
      <c r="H576" s="43"/>
      <c r="I576" s="43"/>
      <c r="J576" s="43"/>
    </row>
    <row r="577" spans="1:10">
      <c r="A577" s="43"/>
      <c r="B577" s="43"/>
      <c r="C577" s="43"/>
      <c r="D577" s="43"/>
      <c r="E577" s="43"/>
      <c r="F577" s="43"/>
      <c r="G577" s="43"/>
      <c r="H577" s="43"/>
      <c r="I577" s="43"/>
      <c r="J577" s="43"/>
    </row>
    <row r="578" spans="1:10">
      <c r="A578" s="43"/>
      <c r="B578" s="43"/>
      <c r="C578" s="43"/>
      <c r="D578" s="43"/>
      <c r="E578" s="256" t="str">
        <f>CONCATENATE("(",$D549," vs ",$I549,")")</f>
        <v>(E vs F)</v>
      </c>
      <c r="F578" s="256"/>
      <c r="G578" s="43"/>
      <c r="H578" s="43"/>
      <c r="I578" s="43"/>
      <c r="J578" s="43"/>
    </row>
    <row r="579" spans="1:10" ht="15.75">
      <c r="A579" s="42" t="s">
        <v>1223</v>
      </c>
      <c r="B579" s="43"/>
      <c r="C579" s="43"/>
      <c r="D579" s="43"/>
      <c r="E579" s="43"/>
      <c r="F579" s="43"/>
      <c r="G579" s="43"/>
      <c r="H579" s="43"/>
      <c r="I579" s="43"/>
      <c r="J579" s="96" t="s">
        <v>4236</v>
      </c>
    </row>
    <row r="580" spans="1:10" ht="12.75" customHeight="1">
      <c r="A580" s="42"/>
      <c r="B580" s="43"/>
      <c r="C580" s="43"/>
      <c r="D580" s="43"/>
      <c r="E580" s="43"/>
      <c r="F580" s="43"/>
      <c r="G580" s="43" t="str">
        <f ca="1">Team_Matches!$J$6</f>
        <v>[NCTTA Teams Template (v2.06).xlsx]</v>
      </c>
      <c r="H580" s="43"/>
      <c r="I580" s="43"/>
      <c r="J580" s="160"/>
    </row>
    <row r="581" spans="1:10" ht="12.75" customHeight="1">
      <c r="A581" s="42"/>
      <c r="B581" s="43"/>
      <c r="C581" s="43"/>
      <c r="D581" s="43"/>
      <c r="E581" s="43"/>
      <c r="F581" s="43"/>
      <c r="G581" s="247" t="str">
        <f>Team_Matches!$J415</f>
        <v>Round 2, Match 3</v>
      </c>
      <c r="H581" s="247"/>
      <c r="I581" s="161" t="str">
        <f>Team_Matches!$M415</f>
        <v/>
      </c>
      <c r="J581" s="161"/>
    </row>
    <row r="582" spans="1:10" ht="15.75">
      <c r="A582" s="42"/>
      <c r="B582" s="43"/>
      <c r="C582" s="43"/>
      <c r="D582" s="43"/>
      <c r="E582" s="43"/>
      <c r="F582" s="43"/>
      <c r="G582" s="43"/>
      <c r="H582" s="43"/>
      <c r="I582" s="43"/>
      <c r="J582" s="43"/>
    </row>
    <row r="583" spans="1:10">
      <c r="A583" s="43"/>
      <c r="B583" s="43"/>
      <c r="C583" s="9" t="s">
        <v>1228</v>
      </c>
      <c r="D583" s="52" t="str">
        <f>Team_Matches!$B417</f>
        <v>E</v>
      </c>
      <c r="E583" s="43"/>
      <c r="F583" s="97" t="str">
        <f>CONCATENATE($D583,"-",$I583)</f>
        <v>E-F</v>
      </c>
      <c r="G583" s="43"/>
      <c r="H583" s="9" t="s">
        <v>1228</v>
      </c>
      <c r="I583" s="52" t="str">
        <f>Team_Matches!$K417</f>
        <v>F</v>
      </c>
      <c r="J583" s="43"/>
    </row>
    <row r="584" spans="1:10" ht="25.5" customHeight="1">
      <c r="A584" s="44"/>
      <c r="B584" s="252" t="str">
        <f>IF(VLOOKUP($D583,Draw!$A$4:$B$27,2)&lt;&gt;0,VLOOKUP($D583,Draw!$A$4:$B$27,2),"")</f>
        <v/>
      </c>
      <c r="C584" s="252"/>
      <c r="D584" s="252"/>
      <c r="E584" s="253"/>
      <c r="F584" s="45"/>
      <c r="G584" s="248" t="str">
        <f>IF(VLOOKUP($I583,Draw!$A$4:$B$27,2)&lt;&gt;0,VLOOKUP($I583,Draw!$A$4:$B$27,2),"")</f>
        <v/>
      </c>
      <c r="H584" s="248"/>
      <c r="I584" s="248"/>
      <c r="J584" s="249"/>
    </row>
    <row r="585" spans="1:10" ht="25.5" customHeight="1"/>
    <row r="586" spans="1:10" ht="25.5" customHeight="1"/>
    <row r="587" spans="1:10" ht="24" customHeight="1">
      <c r="A587" s="48" t="s">
        <v>1246</v>
      </c>
      <c r="B587" s="43"/>
      <c r="C587" s="43"/>
      <c r="D587" s="43"/>
      <c r="E587" s="43"/>
      <c r="F587" s="43"/>
      <c r="G587" s="43"/>
      <c r="H587" s="43"/>
      <c r="I587" s="43"/>
      <c r="J587" s="43"/>
    </row>
    <row r="588" spans="1:10" ht="24" customHeight="1">
      <c r="A588" s="48"/>
      <c r="B588" s="43"/>
      <c r="C588" s="43"/>
      <c r="D588" s="43"/>
      <c r="E588" s="43"/>
      <c r="F588" s="43"/>
      <c r="G588" s="43"/>
      <c r="H588" s="43"/>
      <c r="I588" s="43"/>
      <c r="J588" s="43"/>
    </row>
    <row r="589" spans="1:10">
      <c r="A589" s="49" t="s">
        <v>1224</v>
      </c>
      <c r="B589" s="46"/>
      <c r="C589" s="46"/>
      <c r="D589" s="46"/>
      <c r="E589" s="46"/>
      <c r="F589" s="46"/>
      <c r="G589" s="260" t="s">
        <v>10336</v>
      </c>
      <c r="H589" s="260"/>
      <c r="I589" s="260"/>
      <c r="J589" s="260"/>
    </row>
    <row r="590" spans="1:10" ht="24" customHeight="1">
      <c r="A590" s="50" t="str">
        <f>CONCATENATE($I583,"1")</f>
        <v>F1</v>
      </c>
      <c r="B590" s="255" t="str">
        <f>IF(VLOOKUP($A590,Players!$A$2:$C$132,3)&lt;&gt;0,VLOOKUP($A590,Players!$A$2:$C$132,3),"")</f>
        <v/>
      </c>
      <c r="C590" s="255"/>
      <c r="D590" s="255"/>
      <c r="E590" s="255"/>
      <c r="F590" s="255"/>
      <c r="G590" s="254" t="str">
        <f>IF(VLOOKUP($D583&amp;RIGHT($A590,1),Players!$A$2:$D$132,3)&lt;&gt;0,VLOOKUP($D583&amp;RIGHT($A590,1),Players!$A$2:$D$132,3),"")</f>
        <v/>
      </c>
      <c r="H590" s="254"/>
      <c r="I590" s="254"/>
      <c r="J590" s="210" t="str">
        <f>IF(VLOOKUP($D583&amp;RIGHT($A590,1),Players!$A$2:$D$132,3)&lt;&gt;0,"("&amp;VLOOKUP($D583&amp;RIGHT($A590,1),Players!$A$2:$D$132,4)&amp;")","")</f>
        <v/>
      </c>
    </row>
    <row r="591" spans="1:10" ht="25.5" customHeight="1">
      <c r="A591" s="50" t="str">
        <f>CONCATENATE($I583,"2")</f>
        <v>F2</v>
      </c>
      <c r="B591" s="255" t="str">
        <f>IF(VLOOKUP($A591,Players!$A$2:$C$132,3)&lt;&gt;0,VLOOKUP($A591,Players!$A$2:$C$132,3),"")</f>
        <v/>
      </c>
      <c r="C591" s="255"/>
      <c r="D591" s="255"/>
      <c r="E591" s="255"/>
      <c r="F591" s="255"/>
      <c r="G591" s="254" t="str">
        <f>IF(VLOOKUP($D583&amp;RIGHT($A591,1),Players!$A$2:$D$132,3)&lt;&gt;0,VLOOKUP($D583&amp;RIGHT($A591,1),Players!$A$2:$D$132,3),"")</f>
        <v/>
      </c>
      <c r="H591" s="254"/>
      <c r="I591" s="254"/>
      <c r="J591" s="210" t="str">
        <f>IF(VLOOKUP($D583&amp;RIGHT($A591,1),Players!$A$2:$D$132,3)&lt;&gt;0,"("&amp;VLOOKUP($D583&amp;RIGHT($A591,1),Players!$A$2:$D$132,4)&amp;")","")</f>
        <v/>
      </c>
    </row>
    <row r="592" spans="1:10" ht="25.5" customHeight="1">
      <c r="A592" s="50" t="str">
        <f>CONCATENATE($I583,"3")</f>
        <v>F3</v>
      </c>
      <c r="B592" s="255" t="str">
        <f>IF(VLOOKUP($A592,Players!$A$2:$C$132,3)&lt;&gt;0,VLOOKUP($A592,Players!$A$2:$C$132,3),"")</f>
        <v/>
      </c>
      <c r="C592" s="255"/>
      <c r="D592" s="255"/>
      <c r="E592" s="255"/>
      <c r="F592" s="255"/>
      <c r="G592" s="254" t="str">
        <f>IF(VLOOKUP($D583&amp;RIGHT($A592,1),Players!$A$2:$D$132,3)&lt;&gt;0,VLOOKUP($D583&amp;RIGHT($A592,1),Players!$A$2:$D$132,3),"")</f>
        <v/>
      </c>
      <c r="H592" s="254"/>
      <c r="I592" s="254"/>
      <c r="J592" s="210" t="str">
        <f>IF(VLOOKUP($D583&amp;RIGHT($A592,1),Players!$A$2:$D$132,3)&lt;&gt;0,"("&amp;VLOOKUP($D583&amp;RIGHT($A592,1),Players!$A$2:$D$132,4)&amp;")","")</f>
        <v/>
      </c>
    </row>
    <row r="593" spans="1:10" ht="25.5" customHeight="1">
      <c r="A593" s="50" t="str">
        <f>CONCATENATE($I583,"4")</f>
        <v>F4</v>
      </c>
      <c r="B593" s="255" t="str">
        <f>IF(VLOOKUP($A593,Players!$A$2:$C$132,3)&lt;&gt;0,VLOOKUP($A593,Players!$A$2:$C$132,3),"")</f>
        <v/>
      </c>
      <c r="C593" s="255"/>
      <c r="D593" s="255"/>
      <c r="E593" s="255"/>
      <c r="F593" s="255"/>
      <c r="G593" s="254" t="str">
        <f>IF(VLOOKUP($D583&amp;RIGHT($A593,1),Players!$A$2:$D$132,3)&lt;&gt;0,VLOOKUP($D583&amp;RIGHT($A593,1),Players!$A$2:$D$132,3),"")</f>
        <v/>
      </c>
      <c r="H593" s="254"/>
      <c r="I593" s="254"/>
      <c r="J593" s="210" t="str">
        <f>IF(VLOOKUP($D583&amp;RIGHT($A593,1),Players!$A$2:$D$132,3)&lt;&gt;0,"("&amp;VLOOKUP($D583&amp;RIGHT($A593,1),Players!$A$2:$D$132,4)&amp;")","")</f>
        <v/>
      </c>
    </row>
    <row r="594" spans="1:10" ht="25.5" customHeight="1">
      <c r="A594" s="50" t="str">
        <f>CONCATENATE($I583,"5")</f>
        <v>F5</v>
      </c>
      <c r="B594" s="255" t="str">
        <f>IF(VLOOKUP($A594,Players!$A$2:$C$132,3)&lt;&gt;0,VLOOKUP($A594,Players!$A$2:$C$132,3),"")</f>
        <v/>
      </c>
      <c r="C594" s="255"/>
      <c r="D594" s="255"/>
      <c r="E594" s="255"/>
      <c r="F594" s="255"/>
      <c r="G594" s="254" t="str">
        <f>IF(VLOOKUP($D583&amp;RIGHT($A594,1),Players!$A$2:$D$132,3)&lt;&gt;0,VLOOKUP($D583&amp;RIGHT($A594,1),Players!$A$2:$D$132,3),"")</f>
        <v/>
      </c>
      <c r="H594" s="254"/>
      <c r="I594" s="254"/>
      <c r="J594" s="210" t="str">
        <f>IF(VLOOKUP($D583&amp;RIGHT($A594,1),Players!$A$2:$D$132,3)&lt;&gt;0,"("&amp;VLOOKUP($D583&amp;RIGHT($A594,1),Players!$A$2:$D$132,4)&amp;")","")</f>
        <v/>
      </c>
    </row>
    <row r="595" spans="1:10" ht="25.5" customHeight="1">
      <c r="A595" s="50" t="str">
        <f>CONCATENATE($I583,"6")</f>
        <v>F6</v>
      </c>
      <c r="B595" s="255" t="str">
        <f>IF(VLOOKUP($A595,Players!$A$2:$C$132,3)&lt;&gt;0,VLOOKUP($A595,Players!$A$2:$C$132,3),"")</f>
        <v/>
      </c>
      <c r="C595" s="255"/>
      <c r="D595" s="255"/>
      <c r="E595" s="255"/>
      <c r="F595" s="255"/>
      <c r="G595" s="254" t="str">
        <f>IF(VLOOKUP($D583&amp;RIGHT($A595,1),Players!$A$2:$D$132,3)&lt;&gt;0,VLOOKUP($D583&amp;RIGHT($A595,1),Players!$A$2:$D$132,3),"")</f>
        <v/>
      </c>
      <c r="H595" s="254"/>
      <c r="I595" s="254"/>
      <c r="J595" s="210" t="str">
        <f>IF(VLOOKUP($D583&amp;RIGHT($A595,1),Players!$A$2:$D$132,3)&lt;&gt;0,"("&amp;VLOOKUP($D583&amp;RIGHT($A595,1),Players!$A$2:$D$132,4)&amp;")","")</f>
        <v/>
      </c>
    </row>
    <row r="596" spans="1:10" ht="25.5" customHeight="1">
      <c r="A596" s="50" t="str">
        <f>CONCATENATE($I583,"7")</f>
        <v>F7</v>
      </c>
      <c r="B596" s="255" t="str">
        <f>IF(VLOOKUP($A596,Players!$A$2:$C$132,3)&lt;&gt;0,VLOOKUP($A596,Players!$A$2:$C$132,3),"")</f>
        <v/>
      </c>
      <c r="C596" s="255"/>
      <c r="D596" s="255"/>
      <c r="E596" s="255"/>
      <c r="F596" s="255"/>
      <c r="G596" s="254" t="str">
        <f>IF(VLOOKUP($D583&amp;RIGHT($A596,1),Players!$A$2:$D$132,3)&lt;&gt;0,VLOOKUP($D583&amp;RIGHT($A596,1),Players!$A$2:$D$132,3),"")</f>
        <v/>
      </c>
      <c r="H596" s="254"/>
      <c r="I596" s="254"/>
      <c r="J596" s="210" t="str">
        <f>IF(VLOOKUP($D583&amp;RIGHT($A596,1),Players!$A$2:$D$132,3)&lt;&gt;0,"("&amp;VLOOKUP($D583&amp;RIGHT($A596,1),Players!$A$2:$D$132,4)&amp;")","")</f>
        <v/>
      </c>
    </row>
    <row r="597" spans="1:10" ht="25.5" customHeight="1">
      <c r="A597" s="50" t="str">
        <f>CONCATENATE($I583,"8")</f>
        <v>F8</v>
      </c>
      <c r="B597" s="255" t="str">
        <f>IF(VLOOKUP($A597,Players!$A$2:$C$132,3)&lt;&gt;0,VLOOKUP($A597,Players!$A$2:$C$132,3),"")</f>
        <v/>
      </c>
      <c r="C597" s="255"/>
      <c r="D597" s="255"/>
      <c r="E597" s="255"/>
      <c r="F597" s="255"/>
      <c r="G597" s="254" t="str">
        <f>IF(VLOOKUP($D583&amp;RIGHT($A597,1),Players!$A$2:$D$132,3)&lt;&gt;0,VLOOKUP($D583&amp;RIGHT($A597,1),Players!$A$2:$D$132,3),"")</f>
        <v/>
      </c>
      <c r="H597" s="254"/>
      <c r="I597" s="254"/>
      <c r="J597" s="210" t="str">
        <f>IF(VLOOKUP($D583&amp;RIGHT($A597,1),Players!$A$2:$D$132,3)&lt;&gt;0,"("&amp;VLOOKUP($D583&amp;RIGHT($A597,1),Players!$A$2:$D$132,4)&amp;")","")</f>
        <v/>
      </c>
    </row>
    <row r="598" spans="1:10" ht="25.5" customHeight="1">
      <c r="A598" s="50"/>
      <c r="B598" s="26"/>
      <c r="C598" s="26"/>
      <c r="D598" s="26"/>
      <c r="E598" s="26"/>
      <c r="F598" s="27"/>
      <c r="G598" s="43"/>
      <c r="H598" s="43"/>
      <c r="I598" s="43"/>
      <c r="J598" s="43"/>
    </row>
    <row r="599" spans="1:10">
      <c r="A599" s="49" t="s">
        <v>1225</v>
      </c>
      <c r="B599" s="46"/>
      <c r="C599" s="46"/>
      <c r="D599" s="46"/>
      <c r="E599" s="46"/>
      <c r="F599" s="46"/>
      <c r="G599" s="43"/>
      <c r="H599" s="43"/>
      <c r="I599" s="43"/>
      <c r="J599" s="43"/>
    </row>
    <row r="600" spans="1:10">
      <c r="A600" s="46" t="s">
        <v>1247</v>
      </c>
      <c r="B600" s="46"/>
      <c r="C600" s="46"/>
      <c r="D600" s="46"/>
      <c r="E600" s="46"/>
      <c r="F600" s="46"/>
      <c r="G600" s="43"/>
      <c r="H600" s="43"/>
      <c r="I600" s="43"/>
      <c r="J600" s="43"/>
    </row>
    <row r="601" spans="1:10">
      <c r="A601" s="46" t="s">
        <v>1248</v>
      </c>
      <c r="B601" s="46"/>
      <c r="C601" s="46"/>
      <c r="D601" s="46"/>
      <c r="E601" s="46"/>
      <c r="F601" s="46"/>
      <c r="G601" s="43"/>
      <c r="H601" s="43"/>
      <c r="I601" s="43"/>
      <c r="J601" s="43"/>
    </row>
    <row r="602" spans="1:10" ht="13.5" thickBot="1">
      <c r="A602" s="46"/>
      <c r="B602" s="46"/>
      <c r="C602" s="46"/>
      <c r="D602" s="46"/>
      <c r="E602" s="46"/>
      <c r="F602" s="46"/>
      <c r="G602" s="43"/>
      <c r="H602" s="43"/>
      <c r="I602" s="43"/>
      <c r="J602" s="43"/>
    </row>
    <row r="603" spans="1:10" ht="25.5" customHeight="1" thickBot="1">
      <c r="A603" s="50"/>
      <c r="B603" s="257"/>
      <c r="C603" s="258"/>
      <c r="D603" s="258"/>
      <c r="E603" s="258"/>
      <c r="F603" s="259"/>
      <c r="G603" s="43"/>
      <c r="H603" s="43"/>
      <c r="I603" s="43"/>
      <c r="J603" s="43"/>
    </row>
    <row r="604" spans="1:10">
      <c r="A604" s="43"/>
      <c r="B604" s="43"/>
      <c r="C604" s="43"/>
      <c r="D604" s="43"/>
      <c r="E604" s="43"/>
      <c r="F604" s="43"/>
      <c r="G604" s="43"/>
      <c r="H604" s="43"/>
      <c r="I604" s="43"/>
      <c r="J604" s="43"/>
    </row>
    <row r="605" spans="1:10">
      <c r="A605" s="43"/>
      <c r="B605" s="43"/>
      <c r="C605" s="43"/>
      <c r="D605" s="43"/>
      <c r="E605" s="43"/>
      <c r="F605" s="43"/>
      <c r="G605" s="43"/>
      <c r="H605" s="43"/>
      <c r="I605" s="43"/>
      <c r="J605" s="43"/>
    </row>
    <row r="606" spans="1:10">
      <c r="A606" s="43"/>
      <c r="B606" s="43"/>
      <c r="C606" s="43"/>
      <c r="D606" s="43"/>
      <c r="E606" s="43"/>
      <c r="F606" s="43"/>
      <c r="G606" s="43"/>
      <c r="H606" s="43"/>
      <c r="I606" s="43"/>
      <c r="J606" s="43"/>
    </row>
    <row r="607" spans="1:10">
      <c r="A607" s="43"/>
      <c r="B607" s="43"/>
      <c r="C607" s="43"/>
      <c r="D607" s="43"/>
      <c r="E607" s="43"/>
      <c r="F607" s="43"/>
      <c r="G607" s="43"/>
      <c r="H607" s="43"/>
      <c r="I607" s="43"/>
      <c r="J607" s="43"/>
    </row>
    <row r="608" spans="1:10">
      <c r="A608" s="43"/>
      <c r="B608" s="43"/>
      <c r="C608" s="43"/>
      <c r="D608" s="43"/>
      <c r="E608" s="43"/>
      <c r="F608" s="43"/>
      <c r="G608" s="43"/>
      <c r="H608" s="43"/>
      <c r="I608" s="43"/>
      <c r="J608" s="43"/>
    </row>
    <row r="609" spans="1:10" ht="25.5" customHeight="1">
      <c r="A609" s="47"/>
      <c r="B609" s="47"/>
      <c r="C609" s="47"/>
      <c r="D609" s="47"/>
      <c r="E609" s="47"/>
      <c r="F609" s="43"/>
      <c r="G609" s="51"/>
      <c r="H609" s="250" t="s">
        <v>1227</v>
      </c>
      <c r="I609" s="251"/>
      <c r="J609" s="43"/>
    </row>
    <row r="610" spans="1:10">
      <c r="A610" s="43" t="s">
        <v>1226</v>
      </c>
      <c r="B610" s="43"/>
      <c r="C610" s="43"/>
      <c r="D610" s="43"/>
      <c r="E610" s="43"/>
      <c r="F610" s="43"/>
      <c r="G610" s="43"/>
      <c r="H610" s="43"/>
      <c r="I610" s="43"/>
      <c r="J610" s="43"/>
    </row>
    <row r="611" spans="1:10">
      <c r="A611" s="43"/>
      <c r="B611" s="43"/>
      <c r="C611" s="43"/>
      <c r="D611" s="43"/>
      <c r="E611" s="43"/>
      <c r="F611" s="43"/>
      <c r="G611" s="43"/>
      <c r="H611" s="43"/>
      <c r="I611" s="43"/>
      <c r="J611" s="43"/>
    </row>
    <row r="612" spans="1:10">
      <c r="A612" s="43"/>
      <c r="B612" s="43"/>
      <c r="C612" s="43"/>
      <c r="D612" s="43"/>
      <c r="E612" s="256" t="str">
        <f>CONCATENATE("(",$D583," vs ",$I583,")")</f>
        <v>(E vs F)</v>
      </c>
      <c r="F612" s="256"/>
      <c r="G612" s="43"/>
      <c r="H612" s="43"/>
      <c r="I612" s="43"/>
      <c r="J612" s="43"/>
    </row>
    <row r="613" spans="1:10" ht="15.75">
      <c r="A613" s="42" t="s">
        <v>1223</v>
      </c>
      <c r="B613" s="43"/>
      <c r="C613" s="43"/>
      <c r="D613" s="43"/>
      <c r="E613" s="43"/>
      <c r="F613" s="43"/>
      <c r="G613" s="43"/>
      <c r="H613" s="43"/>
      <c r="I613" s="43"/>
      <c r="J613" s="96" t="s">
        <v>4237</v>
      </c>
    </row>
    <row r="614" spans="1:10" ht="12.75" customHeight="1">
      <c r="A614" s="42"/>
      <c r="B614" s="43"/>
      <c r="C614" s="43"/>
      <c r="D614" s="43"/>
      <c r="E614" s="43"/>
      <c r="F614" s="43"/>
      <c r="G614" s="43" t="str">
        <f ca="1">Team_Matches!$J$6</f>
        <v>[NCTTA Teams Template (v2.06).xlsx]</v>
      </c>
      <c r="H614" s="43"/>
      <c r="I614" s="43"/>
      <c r="J614" s="160"/>
    </row>
    <row r="615" spans="1:10" ht="12.75" customHeight="1">
      <c r="A615" s="42"/>
      <c r="B615" s="43"/>
      <c r="C615" s="43"/>
      <c r="D615" s="43"/>
      <c r="E615" s="43"/>
      <c r="F615" s="43"/>
      <c r="G615" s="247" t="str">
        <f>Team_Matches!$J466</f>
        <v>Round 2, Match 4</v>
      </c>
      <c r="H615" s="247"/>
      <c r="I615" s="161" t="str">
        <f>Team_Matches!$M466</f>
        <v/>
      </c>
      <c r="J615" s="161"/>
    </row>
    <row r="616" spans="1:10" ht="15.75">
      <c r="A616" s="42"/>
      <c r="B616" s="43"/>
      <c r="C616" s="43"/>
      <c r="D616" s="43"/>
      <c r="E616" s="43"/>
      <c r="F616" s="43"/>
      <c r="G616" s="43"/>
      <c r="H616" s="43"/>
      <c r="I616" s="43"/>
      <c r="J616" s="43"/>
    </row>
    <row r="617" spans="1:10">
      <c r="A617" s="43"/>
      <c r="B617" s="43"/>
      <c r="C617" s="9" t="s">
        <v>1228</v>
      </c>
      <c r="D617" s="52" t="str">
        <f>Team_Matches!$B468</f>
        <v>G</v>
      </c>
      <c r="E617" s="43"/>
      <c r="F617" s="97" t="str">
        <f>CONCATENATE($D617,"-",$I617)</f>
        <v>G-H</v>
      </c>
      <c r="G617" s="43"/>
      <c r="H617" s="9" t="s">
        <v>1228</v>
      </c>
      <c r="I617" s="52" t="str">
        <f>Team_Matches!$K468</f>
        <v>H</v>
      </c>
      <c r="J617" s="43"/>
    </row>
    <row r="618" spans="1:10" ht="25.5" customHeight="1">
      <c r="A618" s="44"/>
      <c r="B618" s="248" t="str">
        <f>IF(VLOOKUP($D617,Draw!$A$4:$B$27,2)&lt;&gt;0,VLOOKUP($D617,Draw!$A$4:$B$27,2),"")</f>
        <v/>
      </c>
      <c r="C618" s="248"/>
      <c r="D618" s="248"/>
      <c r="E618" s="249"/>
      <c r="F618" s="45"/>
      <c r="G618" s="252" t="str">
        <f>IF(VLOOKUP($I617,Draw!$A$4:$B$27,2)&lt;&gt;0,VLOOKUP($I617,Draw!$A$4:$B$27,2),"")</f>
        <v/>
      </c>
      <c r="H618" s="252"/>
      <c r="I618" s="252"/>
      <c r="J618" s="253"/>
    </row>
    <row r="619" spans="1:10" ht="25.5" customHeight="1"/>
    <row r="620" spans="1:10" ht="25.5" customHeight="1"/>
    <row r="621" spans="1:10" ht="24" customHeight="1">
      <c r="A621" s="48" t="s">
        <v>1246</v>
      </c>
      <c r="B621" s="43"/>
      <c r="C621" s="43"/>
      <c r="D621" s="43"/>
      <c r="E621" s="43"/>
      <c r="F621" s="43"/>
      <c r="G621" s="43"/>
      <c r="H621" s="43"/>
      <c r="I621" s="43"/>
      <c r="J621" s="43"/>
    </row>
    <row r="622" spans="1:10" ht="24" customHeight="1">
      <c r="A622" s="48"/>
      <c r="B622" s="43"/>
      <c r="C622" s="43"/>
      <c r="D622" s="43"/>
      <c r="E622" s="43"/>
      <c r="F622" s="43"/>
      <c r="G622" s="43"/>
      <c r="H622" s="43"/>
      <c r="I622" s="43"/>
      <c r="J622" s="43"/>
    </row>
    <row r="623" spans="1:10">
      <c r="A623" s="49" t="s">
        <v>1224</v>
      </c>
      <c r="B623" s="46"/>
      <c r="C623" s="46"/>
      <c r="D623" s="46"/>
      <c r="E623" s="46"/>
      <c r="F623" s="46"/>
      <c r="G623" s="260" t="s">
        <v>10336</v>
      </c>
      <c r="H623" s="260"/>
      <c r="I623" s="260"/>
      <c r="J623" s="260"/>
    </row>
    <row r="624" spans="1:10" ht="24" customHeight="1">
      <c r="A624" s="50" t="str">
        <f>CONCATENATE($D617,"1")</f>
        <v>G1</v>
      </c>
      <c r="B624" s="255" t="str">
        <f>IF(VLOOKUP($A624,Players!$A$2:$C$132,3)&lt;&gt;0,VLOOKUP($A624,Players!$A$2:$C$132,3),"")</f>
        <v/>
      </c>
      <c r="C624" s="255"/>
      <c r="D624" s="255"/>
      <c r="E624" s="255"/>
      <c r="F624" s="255"/>
      <c r="G624" s="254" t="str">
        <f>IF(VLOOKUP($I617&amp;RIGHT($A624,1),Players!$A$2:$D$132,3)&lt;&gt;0,VLOOKUP($I617&amp;RIGHT($A624,1),Players!$A$2:$D$132,3),"")</f>
        <v/>
      </c>
      <c r="H624" s="254"/>
      <c r="I624" s="254"/>
      <c r="J624" s="210" t="str">
        <f>IF(VLOOKUP($I617&amp;RIGHT($A624,1),Players!$A$2:$D$132,3)&lt;&gt;0,"("&amp;VLOOKUP($I617&amp;RIGHT($A624,1),Players!$A$2:$D$132,4)&amp;")","")</f>
        <v/>
      </c>
    </row>
    <row r="625" spans="1:10" ht="25.5" customHeight="1">
      <c r="A625" s="50" t="str">
        <f>CONCATENATE($D617,"2")</f>
        <v>G2</v>
      </c>
      <c r="B625" s="255" t="str">
        <f>IF(VLOOKUP($A625,Players!$A$2:$C$132,3)&lt;&gt;0,VLOOKUP($A625,Players!$A$2:$C$132,3),"")</f>
        <v/>
      </c>
      <c r="C625" s="255"/>
      <c r="D625" s="255"/>
      <c r="E625" s="255"/>
      <c r="F625" s="255"/>
      <c r="G625" s="254" t="str">
        <f>IF(VLOOKUP($I617&amp;RIGHT($A625,1),Players!$A$2:$D$132,3)&lt;&gt;0,VLOOKUP($I617&amp;RIGHT($A625,1),Players!$A$2:$D$132,3),"")</f>
        <v/>
      </c>
      <c r="H625" s="254"/>
      <c r="I625" s="254"/>
      <c r="J625" s="210" t="str">
        <f>IF(VLOOKUP($I617&amp;RIGHT($A625,1),Players!$A$2:$D$132,3)&lt;&gt;0,"("&amp;VLOOKUP($I617&amp;RIGHT($A625,1),Players!$A$2:$D$132,4)&amp;")","")</f>
        <v/>
      </c>
    </row>
    <row r="626" spans="1:10" ht="25.5" customHeight="1">
      <c r="A626" s="50" t="str">
        <f>CONCATENATE($D617,"3")</f>
        <v>G3</v>
      </c>
      <c r="B626" s="255" t="str">
        <f>IF(VLOOKUP($A626,Players!$A$2:$C$132,3)&lt;&gt;0,VLOOKUP($A626,Players!$A$2:$C$132,3),"")</f>
        <v/>
      </c>
      <c r="C626" s="255"/>
      <c r="D626" s="255"/>
      <c r="E626" s="255"/>
      <c r="F626" s="255"/>
      <c r="G626" s="254" t="str">
        <f>IF(VLOOKUP($I617&amp;RIGHT($A626,1),Players!$A$2:$D$132,3)&lt;&gt;0,VLOOKUP($I617&amp;RIGHT($A626,1),Players!$A$2:$D$132,3),"")</f>
        <v/>
      </c>
      <c r="H626" s="254"/>
      <c r="I626" s="254"/>
      <c r="J626" s="210" t="str">
        <f>IF(VLOOKUP($I617&amp;RIGHT($A626,1),Players!$A$2:$D$132,3)&lt;&gt;0,"("&amp;VLOOKUP($I617&amp;RIGHT($A626,1),Players!$A$2:$D$132,4)&amp;")","")</f>
        <v/>
      </c>
    </row>
    <row r="627" spans="1:10" ht="25.5" customHeight="1">
      <c r="A627" s="50" t="str">
        <f>CONCATENATE($D617,"4")</f>
        <v>G4</v>
      </c>
      <c r="B627" s="255" t="str">
        <f>IF(VLOOKUP($A627,Players!$A$2:$C$132,3)&lt;&gt;0,VLOOKUP($A627,Players!$A$2:$C$132,3),"")</f>
        <v/>
      </c>
      <c r="C627" s="255"/>
      <c r="D627" s="255"/>
      <c r="E627" s="255"/>
      <c r="F627" s="255"/>
      <c r="G627" s="254" t="str">
        <f>IF(VLOOKUP($I617&amp;RIGHT($A627,1),Players!$A$2:$D$132,3)&lt;&gt;0,VLOOKUP($I617&amp;RIGHT($A627,1),Players!$A$2:$D$132,3),"")</f>
        <v/>
      </c>
      <c r="H627" s="254"/>
      <c r="I627" s="254"/>
      <c r="J627" s="210" t="str">
        <f>IF(VLOOKUP($I617&amp;RIGHT($A627,1),Players!$A$2:$D$132,3)&lt;&gt;0,"("&amp;VLOOKUP($I617&amp;RIGHT($A627,1),Players!$A$2:$D$132,4)&amp;")","")</f>
        <v/>
      </c>
    </row>
    <row r="628" spans="1:10" ht="25.5" customHeight="1">
      <c r="A628" s="50" t="str">
        <f>CONCATENATE($D617,"5")</f>
        <v>G5</v>
      </c>
      <c r="B628" s="255" t="str">
        <f>IF(VLOOKUP($A628,Players!$A$2:$C$132,3)&lt;&gt;0,VLOOKUP($A628,Players!$A$2:$C$132,3),"")</f>
        <v/>
      </c>
      <c r="C628" s="255"/>
      <c r="D628" s="255"/>
      <c r="E628" s="255"/>
      <c r="F628" s="255"/>
      <c r="G628" s="254" t="str">
        <f>IF(VLOOKUP($I617&amp;RIGHT($A628,1),Players!$A$2:$D$132,3)&lt;&gt;0,VLOOKUP($I617&amp;RIGHT($A628,1),Players!$A$2:$D$132,3),"")</f>
        <v/>
      </c>
      <c r="H628" s="254"/>
      <c r="I628" s="254"/>
      <c r="J628" s="210" t="str">
        <f>IF(VLOOKUP($I617&amp;RIGHT($A628,1),Players!$A$2:$D$132,3)&lt;&gt;0,"("&amp;VLOOKUP($I617&amp;RIGHT($A628,1),Players!$A$2:$D$132,4)&amp;")","")</f>
        <v/>
      </c>
    </row>
    <row r="629" spans="1:10" ht="25.5" customHeight="1">
      <c r="A629" s="50" t="str">
        <f>CONCATENATE($D617,"6")</f>
        <v>G6</v>
      </c>
      <c r="B629" s="255" t="str">
        <f>IF(VLOOKUP($A629,Players!$A$2:$C$132,3)&lt;&gt;0,VLOOKUP($A629,Players!$A$2:$C$132,3),"")</f>
        <v/>
      </c>
      <c r="C629" s="255"/>
      <c r="D629" s="255"/>
      <c r="E629" s="255"/>
      <c r="F629" s="255"/>
      <c r="G629" s="254" t="str">
        <f>IF(VLOOKUP($I617&amp;RIGHT($A629,1),Players!$A$2:$D$132,3)&lt;&gt;0,VLOOKUP($I617&amp;RIGHT($A629,1),Players!$A$2:$D$132,3),"")</f>
        <v/>
      </c>
      <c r="H629" s="254"/>
      <c r="I629" s="254"/>
      <c r="J629" s="210" t="str">
        <f>IF(VLOOKUP($I617&amp;RIGHT($A629,1),Players!$A$2:$D$132,3)&lt;&gt;0,"("&amp;VLOOKUP($I617&amp;RIGHT($A629,1),Players!$A$2:$D$132,4)&amp;")","")</f>
        <v/>
      </c>
    </row>
    <row r="630" spans="1:10" ht="25.5" customHeight="1">
      <c r="A630" s="50" t="str">
        <f>CONCATENATE($D617,"7")</f>
        <v>G7</v>
      </c>
      <c r="B630" s="255" t="str">
        <f>IF(VLOOKUP($A630,Players!$A$2:$C$132,3)&lt;&gt;0,VLOOKUP($A630,Players!$A$2:$C$132,3),"")</f>
        <v/>
      </c>
      <c r="C630" s="255"/>
      <c r="D630" s="255"/>
      <c r="E630" s="255"/>
      <c r="F630" s="255"/>
      <c r="G630" s="254" t="str">
        <f>IF(VLOOKUP($I617&amp;RIGHT($A630,1),Players!$A$2:$D$132,3)&lt;&gt;0,VLOOKUP($I617&amp;RIGHT($A630,1),Players!$A$2:$D$132,3),"")</f>
        <v/>
      </c>
      <c r="H630" s="254"/>
      <c r="I630" s="254"/>
      <c r="J630" s="210" t="str">
        <f>IF(VLOOKUP($I617&amp;RIGHT($A630,1),Players!$A$2:$D$132,3)&lt;&gt;0,"("&amp;VLOOKUP($I617&amp;RIGHT($A630,1),Players!$A$2:$D$132,4)&amp;")","")</f>
        <v/>
      </c>
    </row>
    <row r="631" spans="1:10" ht="25.5" customHeight="1">
      <c r="A631" s="50" t="str">
        <f>CONCATENATE($D617,"8")</f>
        <v>G8</v>
      </c>
      <c r="B631" s="255" t="str">
        <f>IF(VLOOKUP($A631,Players!$A$2:$C$132,3)&lt;&gt;0,VLOOKUP($A631,Players!$A$2:$C$132,3),"")</f>
        <v/>
      </c>
      <c r="C631" s="255"/>
      <c r="D631" s="255"/>
      <c r="E631" s="255"/>
      <c r="F631" s="255"/>
      <c r="G631" s="254" t="str">
        <f>IF(VLOOKUP($I617&amp;RIGHT($A631,1),Players!$A$2:$D$132,3)&lt;&gt;0,VLOOKUP($I617&amp;RIGHT($A631,1),Players!$A$2:$D$132,3),"")</f>
        <v/>
      </c>
      <c r="H631" s="254"/>
      <c r="I631" s="254"/>
      <c r="J631" s="210" t="str">
        <f>IF(VLOOKUP($I617&amp;RIGHT($A631,1),Players!$A$2:$D$132,3)&lt;&gt;0,"("&amp;VLOOKUP($I617&amp;RIGHT($A631,1),Players!$A$2:$D$132,4)&amp;")","")</f>
        <v/>
      </c>
    </row>
    <row r="632" spans="1:10" ht="25.5" customHeight="1">
      <c r="A632" s="50"/>
      <c r="B632" s="26"/>
      <c r="C632" s="26"/>
      <c r="D632" s="26"/>
      <c r="E632" s="26"/>
      <c r="F632" s="27"/>
      <c r="G632" s="43"/>
      <c r="H632" s="43"/>
      <c r="I632" s="43"/>
      <c r="J632" s="43"/>
    </row>
    <row r="633" spans="1:10">
      <c r="A633" s="49" t="s">
        <v>1225</v>
      </c>
      <c r="B633" s="46"/>
      <c r="C633" s="46"/>
      <c r="D633" s="46"/>
      <c r="E633" s="46"/>
      <c r="F633" s="46"/>
      <c r="G633" s="43"/>
      <c r="H633" s="43"/>
      <c r="I633" s="43"/>
      <c r="J633" s="43"/>
    </row>
    <row r="634" spans="1:10">
      <c r="A634" s="46" t="s">
        <v>1247</v>
      </c>
      <c r="B634" s="46"/>
      <c r="C634" s="46"/>
      <c r="D634" s="46"/>
      <c r="E634" s="46"/>
      <c r="F634" s="46"/>
      <c r="G634" s="43"/>
      <c r="H634" s="43"/>
      <c r="I634" s="43"/>
      <c r="J634" s="43"/>
    </row>
    <row r="635" spans="1:10">
      <c r="A635" s="46" t="s">
        <v>1248</v>
      </c>
      <c r="B635" s="46"/>
      <c r="C635" s="46"/>
      <c r="D635" s="46"/>
      <c r="E635" s="46"/>
      <c r="F635" s="46"/>
      <c r="G635" s="43"/>
      <c r="H635" s="43"/>
      <c r="I635" s="43"/>
      <c r="J635" s="43"/>
    </row>
    <row r="636" spans="1:10" ht="13.5" thickBot="1">
      <c r="A636" s="46"/>
      <c r="B636" s="46"/>
      <c r="C636" s="46"/>
      <c r="D636" s="46"/>
      <c r="E636" s="46"/>
      <c r="F636" s="46"/>
      <c r="G636" s="43"/>
      <c r="H636" s="43"/>
      <c r="I636" s="43"/>
      <c r="J636" s="43"/>
    </row>
    <row r="637" spans="1:10" ht="25.5" customHeight="1" thickBot="1">
      <c r="A637" s="50"/>
      <c r="B637" s="257"/>
      <c r="C637" s="258"/>
      <c r="D637" s="258"/>
      <c r="E637" s="258"/>
      <c r="F637" s="259"/>
      <c r="G637" s="43"/>
      <c r="H637" s="43"/>
      <c r="I637" s="43"/>
      <c r="J637" s="43"/>
    </row>
    <row r="638" spans="1:10">
      <c r="A638" s="43"/>
      <c r="B638" s="43"/>
      <c r="C638" s="43"/>
      <c r="D638" s="43"/>
      <c r="E638" s="43"/>
      <c r="F638" s="43"/>
      <c r="G638" s="43"/>
      <c r="H638" s="43"/>
      <c r="I638" s="43"/>
      <c r="J638" s="43"/>
    </row>
    <row r="639" spans="1:10">
      <c r="A639" s="43"/>
      <c r="B639" s="43"/>
      <c r="C639" s="43"/>
      <c r="D639" s="43"/>
      <c r="E639" s="43"/>
      <c r="F639" s="43"/>
      <c r="G639" s="43"/>
      <c r="H639" s="43"/>
      <c r="I639" s="43"/>
      <c r="J639" s="43"/>
    </row>
    <row r="640" spans="1:10">
      <c r="A640" s="43"/>
      <c r="B640" s="43"/>
      <c r="C640" s="43"/>
      <c r="D640" s="43"/>
      <c r="E640" s="43"/>
      <c r="F640" s="43"/>
      <c r="G640" s="43"/>
      <c r="H640" s="43"/>
      <c r="I640" s="43"/>
      <c r="J640" s="43"/>
    </row>
    <row r="641" spans="1:10">
      <c r="A641" s="43"/>
      <c r="B641" s="43"/>
      <c r="C641" s="43"/>
      <c r="D641" s="43"/>
      <c r="E641" s="43"/>
      <c r="F641" s="43"/>
      <c r="G641" s="43"/>
      <c r="H641" s="43"/>
      <c r="I641" s="43"/>
      <c r="J641" s="43"/>
    </row>
    <row r="642" spans="1:10">
      <c r="A642" s="43"/>
      <c r="B642" s="43"/>
      <c r="C642" s="43"/>
      <c r="D642" s="43"/>
      <c r="E642" s="43"/>
      <c r="F642" s="43"/>
      <c r="G642" s="43"/>
      <c r="H642" s="43"/>
      <c r="I642" s="43"/>
      <c r="J642" s="43"/>
    </row>
    <row r="643" spans="1:10" ht="25.5" customHeight="1">
      <c r="A643" s="47"/>
      <c r="B643" s="47"/>
      <c r="C643" s="47"/>
      <c r="D643" s="47"/>
      <c r="E643" s="47"/>
      <c r="F643" s="43"/>
      <c r="G643" s="51"/>
      <c r="H643" s="250" t="s">
        <v>1227</v>
      </c>
      <c r="I643" s="251"/>
      <c r="J643" s="43"/>
    </row>
    <row r="644" spans="1:10">
      <c r="A644" s="43" t="s">
        <v>1226</v>
      </c>
      <c r="B644" s="43"/>
      <c r="C644" s="43"/>
      <c r="D644" s="43"/>
      <c r="E644" s="43"/>
      <c r="F644" s="43"/>
      <c r="G644" s="43"/>
      <c r="H644" s="43"/>
      <c r="I644" s="43"/>
      <c r="J644" s="43"/>
    </row>
    <row r="645" spans="1:10">
      <c r="A645" s="43"/>
      <c r="B645" s="43"/>
      <c r="C645" s="43"/>
      <c r="D645" s="43"/>
      <c r="E645" s="43"/>
      <c r="F645" s="43"/>
      <c r="G645" s="43"/>
      <c r="H645" s="43"/>
      <c r="I645" s="43"/>
      <c r="J645" s="43"/>
    </row>
    <row r="646" spans="1:10">
      <c r="A646" s="43"/>
      <c r="B646" s="43"/>
      <c r="C646" s="43"/>
      <c r="D646" s="43"/>
      <c r="E646" s="256" t="str">
        <f>CONCATENATE("(",$D617," vs ",$I617,")")</f>
        <v>(G vs H)</v>
      </c>
      <c r="F646" s="256"/>
      <c r="G646" s="43"/>
      <c r="H646" s="43"/>
      <c r="I646" s="43"/>
      <c r="J646" s="43"/>
    </row>
    <row r="647" spans="1:10" ht="15.75">
      <c r="A647" s="42" t="s">
        <v>1223</v>
      </c>
      <c r="B647" s="43"/>
      <c r="C647" s="43"/>
      <c r="D647" s="43"/>
      <c r="E647" s="43"/>
      <c r="F647" s="43"/>
      <c r="G647" s="43"/>
      <c r="H647" s="43"/>
      <c r="I647" s="43"/>
      <c r="J647" s="96" t="s">
        <v>4238</v>
      </c>
    </row>
    <row r="648" spans="1:10" ht="12.75" customHeight="1">
      <c r="A648" s="42"/>
      <c r="B648" s="43"/>
      <c r="C648" s="43"/>
      <c r="D648" s="43"/>
      <c r="E648" s="43"/>
      <c r="F648" s="43"/>
      <c r="G648" s="43" t="str">
        <f ca="1">Team_Matches!$J$6</f>
        <v>[NCTTA Teams Template (v2.06).xlsx]</v>
      </c>
      <c r="H648" s="43"/>
      <c r="I648" s="43"/>
      <c r="J648" s="160"/>
    </row>
    <row r="649" spans="1:10" ht="12.75" customHeight="1">
      <c r="A649" s="42"/>
      <c r="B649" s="43"/>
      <c r="C649" s="43"/>
      <c r="D649" s="43"/>
      <c r="E649" s="43"/>
      <c r="F649" s="43"/>
      <c r="G649" s="247" t="str">
        <f>Team_Matches!$J466</f>
        <v>Round 2, Match 4</v>
      </c>
      <c r="H649" s="247"/>
      <c r="I649" s="161" t="str">
        <f>Team_Matches!$M466</f>
        <v/>
      </c>
      <c r="J649" s="161"/>
    </row>
    <row r="650" spans="1:10" ht="15.75">
      <c r="A650" s="42"/>
      <c r="B650" s="43"/>
      <c r="C650" s="43"/>
      <c r="D650" s="43"/>
      <c r="E650" s="43"/>
      <c r="F650" s="43"/>
      <c r="G650" s="43"/>
      <c r="H650" s="43"/>
      <c r="I650" s="43"/>
      <c r="J650" s="43"/>
    </row>
    <row r="651" spans="1:10">
      <c r="A651" s="43"/>
      <c r="B651" s="43"/>
      <c r="C651" s="9" t="s">
        <v>1228</v>
      </c>
      <c r="D651" s="52" t="str">
        <f>Team_Matches!$B468</f>
        <v>G</v>
      </c>
      <c r="E651" s="43"/>
      <c r="F651" s="97" t="str">
        <f>CONCATENATE($D651,"-",$I651)</f>
        <v>G-H</v>
      </c>
      <c r="G651" s="43"/>
      <c r="H651" s="9" t="s">
        <v>1228</v>
      </c>
      <c r="I651" s="52" t="str">
        <f>Team_Matches!$K468</f>
        <v>H</v>
      </c>
      <c r="J651" s="43"/>
    </row>
    <row r="652" spans="1:10" ht="25.5" customHeight="1">
      <c r="A652" s="44"/>
      <c r="B652" s="252" t="str">
        <f>IF(VLOOKUP($D651,Draw!$A$4:$B$27,2)&lt;&gt;0,VLOOKUP($D651,Draw!$A$4:$B$27,2),"")</f>
        <v/>
      </c>
      <c r="C652" s="252"/>
      <c r="D652" s="252"/>
      <c r="E652" s="253"/>
      <c r="F652" s="45"/>
      <c r="G652" s="248" t="str">
        <f>IF(VLOOKUP($I651,Draw!$A$4:$B$27,2)&lt;&gt;0,VLOOKUP($I651,Draw!$A$4:$B$27,2),"")</f>
        <v/>
      </c>
      <c r="H652" s="248"/>
      <c r="I652" s="248"/>
      <c r="J652" s="249"/>
    </row>
    <row r="653" spans="1:10" ht="25.5" customHeight="1"/>
    <row r="654" spans="1:10" ht="25.5" customHeight="1"/>
    <row r="655" spans="1:10" ht="24" customHeight="1">
      <c r="A655" s="48" t="s">
        <v>1246</v>
      </c>
      <c r="B655" s="43"/>
      <c r="C655" s="43"/>
      <c r="D655" s="43"/>
      <c r="E655" s="43"/>
      <c r="F655" s="43"/>
      <c r="G655" s="43"/>
      <c r="H655" s="43"/>
      <c r="I655" s="43"/>
      <c r="J655" s="43"/>
    </row>
    <row r="656" spans="1:10" ht="24" customHeight="1">
      <c r="A656" s="48"/>
      <c r="B656" s="43"/>
      <c r="C656" s="43"/>
      <c r="D656" s="43"/>
      <c r="E656" s="43"/>
      <c r="F656" s="43"/>
      <c r="G656" s="43"/>
      <c r="H656" s="43"/>
      <c r="I656" s="43"/>
      <c r="J656" s="43"/>
    </row>
    <row r="657" spans="1:10">
      <c r="A657" s="49" t="s">
        <v>1224</v>
      </c>
      <c r="B657" s="46"/>
      <c r="C657" s="46"/>
      <c r="D657" s="46"/>
      <c r="E657" s="46"/>
      <c r="F657" s="46"/>
      <c r="G657" s="260" t="s">
        <v>10336</v>
      </c>
      <c r="H657" s="260"/>
      <c r="I657" s="260"/>
      <c r="J657" s="260"/>
    </row>
    <row r="658" spans="1:10" ht="24" customHeight="1">
      <c r="A658" s="50" t="str">
        <f>CONCATENATE($I651,"1")</f>
        <v>H1</v>
      </c>
      <c r="B658" s="255" t="str">
        <f>IF(VLOOKUP($A658,Players!$A$2:$C$132,3)&lt;&gt;0,VLOOKUP($A658,Players!$A$2:$C$132,3),"")</f>
        <v/>
      </c>
      <c r="C658" s="255"/>
      <c r="D658" s="255"/>
      <c r="E658" s="255"/>
      <c r="F658" s="255"/>
      <c r="G658" s="254" t="str">
        <f>IF(VLOOKUP($D651&amp;RIGHT($A658,1),Players!$A$2:$D$132,3)&lt;&gt;0,VLOOKUP($D651&amp;RIGHT($A658,1),Players!$A$2:$D$132,3),"")</f>
        <v/>
      </c>
      <c r="H658" s="254"/>
      <c r="I658" s="254"/>
      <c r="J658" s="210" t="str">
        <f>IF(VLOOKUP($D651&amp;RIGHT($A658,1),Players!$A$2:$D$132,3)&lt;&gt;0,"("&amp;VLOOKUP($D651&amp;RIGHT($A658,1),Players!$A$2:$D$132,4)&amp;")","")</f>
        <v/>
      </c>
    </row>
    <row r="659" spans="1:10" ht="25.5" customHeight="1">
      <c r="A659" s="50" t="str">
        <f>CONCATENATE($I651,"2")</f>
        <v>H2</v>
      </c>
      <c r="B659" s="255" t="str">
        <f>IF(VLOOKUP($A659,Players!$A$2:$C$132,3)&lt;&gt;0,VLOOKUP($A659,Players!$A$2:$C$132,3),"")</f>
        <v/>
      </c>
      <c r="C659" s="255"/>
      <c r="D659" s="255"/>
      <c r="E659" s="255"/>
      <c r="F659" s="255"/>
      <c r="G659" s="254" t="str">
        <f>IF(VLOOKUP($D651&amp;RIGHT($A659,1),Players!$A$2:$D$132,3)&lt;&gt;0,VLOOKUP($D651&amp;RIGHT($A659,1),Players!$A$2:$D$132,3),"")</f>
        <v/>
      </c>
      <c r="H659" s="254"/>
      <c r="I659" s="254"/>
      <c r="J659" s="210" t="str">
        <f>IF(VLOOKUP($D651&amp;RIGHT($A659,1),Players!$A$2:$D$132,3)&lt;&gt;0,"("&amp;VLOOKUP($D651&amp;RIGHT($A659,1),Players!$A$2:$D$132,4)&amp;")","")</f>
        <v/>
      </c>
    </row>
    <row r="660" spans="1:10" ht="25.5" customHeight="1">
      <c r="A660" s="50" t="str">
        <f>CONCATENATE($I651,"3")</f>
        <v>H3</v>
      </c>
      <c r="B660" s="255" t="str">
        <f>IF(VLOOKUP($A660,Players!$A$2:$C$132,3)&lt;&gt;0,VLOOKUP($A660,Players!$A$2:$C$132,3),"")</f>
        <v/>
      </c>
      <c r="C660" s="255"/>
      <c r="D660" s="255"/>
      <c r="E660" s="255"/>
      <c r="F660" s="255"/>
      <c r="G660" s="254" t="str">
        <f>IF(VLOOKUP($D651&amp;RIGHT($A660,1),Players!$A$2:$D$132,3)&lt;&gt;0,VLOOKUP($D651&amp;RIGHT($A660,1),Players!$A$2:$D$132,3),"")</f>
        <v/>
      </c>
      <c r="H660" s="254"/>
      <c r="I660" s="254"/>
      <c r="J660" s="210" t="str">
        <f>IF(VLOOKUP($D651&amp;RIGHT($A660,1),Players!$A$2:$D$132,3)&lt;&gt;0,"("&amp;VLOOKUP($D651&amp;RIGHT($A660,1),Players!$A$2:$D$132,4)&amp;")","")</f>
        <v/>
      </c>
    </row>
    <row r="661" spans="1:10" ht="25.5" customHeight="1">
      <c r="A661" s="50" t="str">
        <f>CONCATENATE($I651,"4")</f>
        <v>H4</v>
      </c>
      <c r="B661" s="255" t="str">
        <f>IF(VLOOKUP($A661,Players!$A$2:$C$132,3)&lt;&gt;0,VLOOKUP($A661,Players!$A$2:$C$132,3),"")</f>
        <v/>
      </c>
      <c r="C661" s="255"/>
      <c r="D661" s="255"/>
      <c r="E661" s="255"/>
      <c r="F661" s="255"/>
      <c r="G661" s="254" t="str">
        <f>IF(VLOOKUP($D651&amp;RIGHT($A661,1),Players!$A$2:$D$132,3)&lt;&gt;0,VLOOKUP($D651&amp;RIGHT($A661,1),Players!$A$2:$D$132,3),"")</f>
        <v/>
      </c>
      <c r="H661" s="254"/>
      <c r="I661" s="254"/>
      <c r="J661" s="210" t="str">
        <f>IF(VLOOKUP($D651&amp;RIGHT($A661,1),Players!$A$2:$D$132,3)&lt;&gt;0,"("&amp;VLOOKUP($D651&amp;RIGHT($A661,1),Players!$A$2:$D$132,4)&amp;")","")</f>
        <v/>
      </c>
    </row>
    <row r="662" spans="1:10" ht="25.5" customHeight="1">
      <c r="A662" s="50" t="str">
        <f>CONCATENATE($I651,"5")</f>
        <v>H5</v>
      </c>
      <c r="B662" s="255" t="str">
        <f>IF(VLOOKUP($A662,Players!$A$2:$C$132,3)&lt;&gt;0,VLOOKUP($A662,Players!$A$2:$C$132,3),"")</f>
        <v/>
      </c>
      <c r="C662" s="255"/>
      <c r="D662" s="255"/>
      <c r="E662" s="255"/>
      <c r="F662" s="255"/>
      <c r="G662" s="254" t="str">
        <f>IF(VLOOKUP($D651&amp;RIGHT($A662,1),Players!$A$2:$D$132,3)&lt;&gt;0,VLOOKUP($D651&amp;RIGHT($A662,1),Players!$A$2:$D$132,3),"")</f>
        <v/>
      </c>
      <c r="H662" s="254"/>
      <c r="I662" s="254"/>
      <c r="J662" s="210" t="str">
        <f>IF(VLOOKUP($D651&amp;RIGHT($A662,1),Players!$A$2:$D$132,3)&lt;&gt;0,"("&amp;VLOOKUP($D651&amp;RIGHT($A662,1),Players!$A$2:$D$132,4)&amp;")","")</f>
        <v/>
      </c>
    </row>
    <row r="663" spans="1:10" ht="25.5" customHeight="1">
      <c r="A663" s="50" t="str">
        <f>CONCATENATE($I651,"6")</f>
        <v>H6</v>
      </c>
      <c r="B663" s="255" t="str">
        <f>IF(VLOOKUP($A663,Players!$A$2:$C$132,3)&lt;&gt;0,VLOOKUP($A663,Players!$A$2:$C$132,3),"")</f>
        <v/>
      </c>
      <c r="C663" s="255"/>
      <c r="D663" s="255"/>
      <c r="E663" s="255"/>
      <c r="F663" s="255"/>
      <c r="G663" s="254" t="str">
        <f>IF(VLOOKUP($D651&amp;RIGHT($A663,1),Players!$A$2:$D$132,3)&lt;&gt;0,VLOOKUP($D651&amp;RIGHT($A663,1),Players!$A$2:$D$132,3),"")</f>
        <v/>
      </c>
      <c r="H663" s="254"/>
      <c r="I663" s="254"/>
      <c r="J663" s="210" t="str">
        <f>IF(VLOOKUP($D651&amp;RIGHT($A663,1),Players!$A$2:$D$132,3)&lt;&gt;0,"("&amp;VLOOKUP($D651&amp;RIGHT($A663,1),Players!$A$2:$D$132,4)&amp;")","")</f>
        <v/>
      </c>
    </row>
    <row r="664" spans="1:10" ht="25.5" customHeight="1">
      <c r="A664" s="50" t="str">
        <f>CONCATENATE($I651,"7")</f>
        <v>H7</v>
      </c>
      <c r="B664" s="255" t="str">
        <f>IF(VLOOKUP($A664,Players!$A$2:$C$132,3)&lt;&gt;0,VLOOKUP($A664,Players!$A$2:$C$132,3),"")</f>
        <v/>
      </c>
      <c r="C664" s="255"/>
      <c r="D664" s="255"/>
      <c r="E664" s="255"/>
      <c r="F664" s="255"/>
      <c r="G664" s="254" t="str">
        <f>IF(VLOOKUP($D651&amp;RIGHT($A664,1),Players!$A$2:$D$132,3)&lt;&gt;0,VLOOKUP($D651&amp;RIGHT($A664,1),Players!$A$2:$D$132,3),"")</f>
        <v/>
      </c>
      <c r="H664" s="254"/>
      <c r="I664" s="254"/>
      <c r="J664" s="210" t="str">
        <f>IF(VLOOKUP($D651&amp;RIGHT($A664,1),Players!$A$2:$D$132,3)&lt;&gt;0,"("&amp;VLOOKUP($D651&amp;RIGHT($A664,1),Players!$A$2:$D$132,4)&amp;")","")</f>
        <v/>
      </c>
    </row>
    <row r="665" spans="1:10" ht="25.5" customHeight="1">
      <c r="A665" s="50" t="str">
        <f>CONCATENATE($I651,"8")</f>
        <v>H8</v>
      </c>
      <c r="B665" s="255" t="str">
        <f>IF(VLOOKUP($A665,Players!$A$2:$C$132,3)&lt;&gt;0,VLOOKUP($A665,Players!$A$2:$C$132,3),"")</f>
        <v/>
      </c>
      <c r="C665" s="255"/>
      <c r="D665" s="255"/>
      <c r="E665" s="255"/>
      <c r="F665" s="255"/>
      <c r="G665" s="254" t="str">
        <f>IF(VLOOKUP($D651&amp;RIGHT($A665,1),Players!$A$2:$D$132,3)&lt;&gt;0,VLOOKUP($D651&amp;RIGHT($A665,1),Players!$A$2:$D$132,3),"")</f>
        <v/>
      </c>
      <c r="H665" s="254"/>
      <c r="I665" s="254"/>
      <c r="J665" s="210" t="str">
        <f>IF(VLOOKUP($D651&amp;RIGHT($A665,1),Players!$A$2:$D$132,3)&lt;&gt;0,"("&amp;VLOOKUP($D651&amp;RIGHT($A665,1),Players!$A$2:$D$132,4)&amp;")","")</f>
        <v/>
      </c>
    </row>
    <row r="666" spans="1:10" ht="25.5" customHeight="1">
      <c r="A666" s="50"/>
      <c r="B666" s="26"/>
      <c r="C666" s="26"/>
      <c r="D666" s="26"/>
      <c r="E666" s="26"/>
      <c r="F666" s="27"/>
      <c r="G666" s="43"/>
      <c r="H666" s="43"/>
      <c r="I666" s="43"/>
      <c r="J666" s="43"/>
    </row>
    <row r="667" spans="1:10">
      <c r="A667" s="49" t="s">
        <v>1225</v>
      </c>
      <c r="B667" s="46"/>
      <c r="C667" s="46"/>
      <c r="D667" s="46"/>
      <c r="E667" s="46"/>
      <c r="F667" s="46"/>
      <c r="G667" s="43"/>
      <c r="H667" s="43"/>
      <c r="I667" s="43"/>
      <c r="J667" s="43"/>
    </row>
    <row r="668" spans="1:10">
      <c r="A668" s="46" t="s">
        <v>1247</v>
      </c>
      <c r="B668" s="46"/>
      <c r="C668" s="46"/>
      <c r="D668" s="46"/>
      <c r="E668" s="46"/>
      <c r="F668" s="46"/>
      <c r="G668" s="43"/>
      <c r="H668" s="43"/>
      <c r="I668" s="43"/>
      <c r="J668" s="43"/>
    </row>
    <row r="669" spans="1:10">
      <c r="A669" s="46" t="s">
        <v>1248</v>
      </c>
      <c r="B669" s="46"/>
      <c r="C669" s="46"/>
      <c r="D669" s="46"/>
      <c r="E669" s="46"/>
      <c r="F669" s="46"/>
      <c r="G669" s="43"/>
      <c r="H669" s="43"/>
      <c r="I669" s="43"/>
      <c r="J669" s="43"/>
    </row>
    <row r="670" spans="1:10" ht="13.5" thickBot="1">
      <c r="A670" s="46"/>
      <c r="B670" s="46"/>
      <c r="C670" s="46"/>
      <c r="D670" s="46"/>
      <c r="E670" s="46"/>
      <c r="F670" s="46"/>
      <c r="G670" s="43"/>
      <c r="H670" s="43"/>
      <c r="I670" s="43"/>
      <c r="J670" s="43"/>
    </row>
    <row r="671" spans="1:10" ht="25.5" customHeight="1" thickBot="1">
      <c r="A671" s="50"/>
      <c r="B671" s="257"/>
      <c r="C671" s="258"/>
      <c r="D671" s="258"/>
      <c r="E671" s="258"/>
      <c r="F671" s="259"/>
      <c r="G671" s="43"/>
      <c r="H671" s="43"/>
      <c r="I671" s="43"/>
      <c r="J671" s="43"/>
    </row>
    <row r="672" spans="1:10">
      <c r="A672" s="43"/>
      <c r="B672" s="43"/>
      <c r="C672" s="43"/>
      <c r="D672" s="43"/>
      <c r="E672" s="43"/>
      <c r="F672" s="43"/>
      <c r="G672" s="43"/>
      <c r="H672" s="43"/>
      <c r="I672" s="43"/>
      <c r="J672" s="43"/>
    </row>
    <row r="673" spans="1:10">
      <c r="A673" s="43"/>
      <c r="B673" s="43"/>
      <c r="C673" s="43"/>
      <c r="D673" s="43"/>
      <c r="E673" s="43"/>
      <c r="F673" s="43"/>
      <c r="G673" s="43"/>
      <c r="H673" s="43"/>
      <c r="I673" s="43"/>
      <c r="J673" s="43"/>
    </row>
    <row r="674" spans="1:10">
      <c r="A674" s="43"/>
      <c r="B674" s="43"/>
      <c r="C674" s="43"/>
      <c r="D674" s="43"/>
      <c r="E674" s="43"/>
      <c r="F674" s="43"/>
      <c r="G674" s="43"/>
      <c r="H674" s="43"/>
      <c r="I674" s="43"/>
      <c r="J674" s="43"/>
    </row>
    <row r="675" spans="1:10">
      <c r="A675" s="43"/>
      <c r="B675" s="43"/>
      <c r="C675" s="43"/>
      <c r="D675" s="43"/>
      <c r="E675" s="43"/>
      <c r="F675" s="43"/>
      <c r="G675" s="43"/>
      <c r="H675" s="43"/>
      <c r="I675" s="43"/>
      <c r="J675" s="43"/>
    </row>
    <row r="676" spans="1:10">
      <c r="A676" s="43"/>
      <c r="B676" s="43"/>
      <c r="C676" s="43"/>
      <c r="D676" s="43"/>
      <c r="E676" s="43"/>
      <c r="F676" s="43"/>
      <c r="G676" s="43"/>
      <c r="H676" s="43"/>
      <c r="I676" s="43"/>
      <c r="J676" s="43"/>
    </row>
    <row r="677" spans="1:10" ht="25.5" customHeight="1">
      <c r="A677" s="47"/>
      <c r="B677" s="47"/>
      <c r="C677" s="47"/>
      <c r="D677" s="47"/>
      <c r="E677" s="47"/>
      <c r="F677" s="43"/>
      <c r="G677" s="51"/>
      <c r="H677" s="250" t="s">
        <v>1227</v>
      </c>
      <c r="I677" s="251"/>
      <c r="J677" s="43"/>
    </row>
    <row r="678" spans="1:10">
      <c r="A678" s="43" t="s">
        <v>1226</v>
      </c>
      <c r="B678" s="43"/>
      <c r="C678" s="43"/>
      <c r="D678" s="43"/>
      <c r="E678" s="43"/>
      <c r="F678" s="43"/>
      <c r="G678" s="43"/>
      <c r="H678" s="43"/>
      <c r="I678" s="43"/>
      <c r="J678" s="43"/>
    </row>
    <row r="679" spans="1:10">
      <c r="A679" s="43"/>
      <c r="B679" s="43"/>
      <c r="C679" s="43"/>
      <c r="D679" s="43"/>
      <c r="E679" s="43"/>
      <c r="F679" s="43"/>
      <c r="G679" s="43"/>
      <c r="H679" s="43"/>
      <c r="I679" s="43"/>
      <c r="J679" s="43"/>
    </row>
    <row r="680" spans="1:10">
      <c r="A680" s="43"/>
      <c r="B680" s="43"/>
      <c r="C680" s="43"/>
      <c r="D680" s="43"/>
      <c r="E680" s="256" t="str">
        <f>CONCATENATE("(",$D651," vs ",$I651,")")</f>
        <v>(G vs H)</v>
      </c>
      <c r="F680" s="256"/>
      <c r="G680" s="43"/>
      <c r="H680" s="43"/>
      <c r="I680" s="43"/>
      <c r="J680" s="43"/>
    </row>
    <row r="681" spans="1:10" ht="15.75">
      <c r="A681" s="42" t="s">
        <v>1223</v>
      </c>
      <c r="B681" s="43"/>
      <c r="C681" s="43"/>
      <c r="D681" s="43"/>
      <c r="E681" s="43"/>
      <c r="F681" s="43"/>
      <c r="G681" s="43"/>
      <c r="H681" s="43"/>
      <c r="I681" s="43"/>
      <c r="J681" s="96" t="s">
        <v>4239</v>
      </c>
    </row>
    <row r="682" spans="1:10" ht="12.75" customHeight="1">
      <c r="A682" s="42"/>
      <c r="B682" s="43"/>
      <c r="C682" s="43"/>
      <c r="D682" s="43"/>
      <c r="E682" s="43"/>
      <c r="F682" s="43"/>
      <c r="G682" s="43" t="str">
        <f ca="1">Team_Matches!$J$6</f>
        <v>[NCTTA Teams Template (v2.06).xlsx]</v>
      </c>
      <c r="H682" s="43"/>
      <c r="I682" s="43"/>
      <c r="J682" s="160"/>
    </row>
    <row r="683" spans="1:10" ht="12.75" customHeight="1">
      <c r="A683" s="42"/>
      <c r="B683" s="43"/>
      <c r="C683" s="43"/>
      <c r="D683" s="43"/>
      <c r="E683" s="43"/>
      <c r="F683" s="43"/>
      <c r="G683" s="247" t="str">
        <f>Team_Matches!$J517</f>
        <v>Round 3, Match 3</v>
      </c>
      <c r="H683" s="247"/>
      <c r="I683" s="161" t="str">
        <f>Team_Matches!$M517</f>
        <v/>
      </c>
      <c r="J683" s="161"/>
    </row>
    <row r="684" spans="1:10" ht="15.75">
      <c r="A684" s="42"/>
      <c r="B684" s="43"/>
      <c r="C684" s="43"/>
      <c r="D684" s="43"/>
      <c r="E684" s="43"/>
      <c r="F684" s="43"/>
      <c r="G684" s="43"/>
      <c r="H684" s="43"/>
      <c r="I684" s="43"/>
      <c r="J684" s="43"/>
    </row>
    <row r="685" spans="1:10">
      <c r="A685" s="43"/>
      <c r="B685" s="43"/>
      <c r="C685" s="9" t="s">
        <v>1228</v>
      </c>
      <c r="D685" s="3" t="str">
        <f>Team_Matches!$B519</f>
        <v>E</v>
      </c>
      <c r="E685" s="43"/>
      <c r="F685" s="97" t="str">
        <f>CONCATENATE($D685,"-",$I685)</f>
        <v>E-H</v>
      </c>
      <c r="G685" s="43"/>
      <c r="H685" s="9" t="s">
        <v>1228</v>
      </c>
      <c r="I685" s="52" t="str">
        <f>Team_Matches!$K519</f>
        <v>H</v>
      </c>
      <c r="J685" s="43"/>
    </row>
    <row r="686" spans="1:10" ht="25.5" customHeight="1">
      <c r="A686" s="44"/>
      <c r="B686" s="248" t="str">
        <f>IF(VLOOKUP($D685,Draw!$A$4:$B$27,2)&lt;&gt;0,VLOOKUP($D685,Draw!$A$4:$B$27,2),"")</f>
        <v/>
      </c>
      <c r="C686" s="248"/>
      <c r="D686" s="248"/>
      <c r="E686" s="249"/>
      <c r="F686" s="45"/>
      <c r="G686" s="252" t="str">
        <f>IF(VLOOKUP($I685,Draw!$A$4:$B$27,2)&lt;&gt;0,VLOOKUP($I685,Draw!$A$4:$B$27,2),"")</f>
        <v/>
      </c>
      <c r="H686" s="252"/>
      <c r="I686" s="252"/>
      <c r="J686" s="253"/>
    </row>
    <row r="687" spans="1:10" ht="25.5" customHeight="1"/>
    <row r="688" spans="1:10" ht="25.5" customHeight="1"/>
    <row r="689" spans="1:10" ht="24" customHeight="1">
      <c r="A689" s="48" t="s">
        <v>1246</v>
      </c>
      <c r="B689" s="43"/>
      <c r="C689" s="43"/>
      <c r="D689" s="43"/>
      <c r="E689" s="43"/>
      <c r="F689" s="43"/>
      <c r="G689" s="43"/>
      <c r="H689" s="43"/>
      <c r="I689" s="43"/>
      <c r="J689" s="43"/>
    </row>
    <row r="690" spans="1:10" ht="24" customHeight="1">
      <c r="A690" s="48"/>
      <c r="B690" s="43"/>
      <c r="C690" s="43"/>
      <c r="D690" s="43"/>
      <c r="E690" s="43"/>
      <c r="F690" s="43"/>
      <c r="G690" s="43"/>
      <c r="H690" s="43"/>
      <c r="I690" s="43"/>
      <c r="J690" s="43"/>
    </row>
    <row r="691" spans="1:10">
      <c r="A691" s="49" t="s">
        <v>1224</v>
      </c>
      <c r="B691" s="46"/>
      <c r="C691" s="46"/>
      <c r="D691" s="46"/>
      <c r="E691" s="46"/>
      <c r="F691" s="46"/>
      <c r="G691" s="260" t="s">
        <v>10336</v>
      </c>
      <c r="H691" s="260"/>
      <c r="I691" s="260"/>
      <c r="J691" s="260"/>
    </row>
    <row r="692" spans="1:10" ht="24" customHeight="1">
      <c r="A692" s="50" t="str">
        <f>CONCATENATE($D685,"1")</f>
        <v>E1</v>
      </c>
      <c r="B692" s="255" t="str">
        <f>IF(VLOOKUP($A692,Players!$A$2:$C$132,3)&lt;&gt;0,VLOOKUP($A692,Players!$A$2:$C$132,3),"")</f>
        <v/>
      </c>
      <c r="C692" s="255"/>
      <c r="D692" s="255"/>
      <c r="E692" s="255"/>
      <c r="F692" s="255"/>
      <c r="G692" s="254" t="str">
        <f>IF(VLOOKUP($I685&amp;RIGHT($A692,1),Players!$A$2:$D$132,3)&lt;&gt;0,VLOOKUP($I685&amp;RIGHT($A692,1),Players!$A$2:$D$132,3),"")</f>
        <v/>
      </c>
      <c r="H692" s="254"/>
      <c r="I692" s="254"/>
      <c r="J692" s="210" t="str">
        <f>IF(VLOOKUP($I685&amp;RIGHT($A692,1),Players!$A$2:$D$132,3)&lt;&gt;0,"("&amp;VLOOKUP($I685&amp;RIGHT($A692,1),Players!$A$2:$D$132,4)&amp;")","")</f>
        <v/>
      </c>
    </row>
    <row r="693" spans="1:10" ht="25.5" customHeight="1">
      <c r="A693" s="50" t="str">
        <f>CONCATENATE($D685,"2")</f>
        <v>E2</v>
      </c>
      <c r="B693" s="255" t="str">
        <f>IF(VLOOKUP($A693,Players!$A$2:$C$132,3)&lt;&gt;0,VLOOKUP($A693,Players!$A$2:$C$132,3),"")</f>
        <v/>
      </c>
      <c r="C693" s="255"/>
      <c r="D693" s="255"/>
      <c r="E693" s="255"/>
      <c r="F693" s="255"/>
      <c r="G693" s="254" t="str">
        <f>IF(VLOOKUP($I685&amp;RIGHT($A693,1),Players!$A$2:$D$132,3)&lt;&gt;0,VLOOKUP($I685&amp;RIGHT($A693,1),Players!$A$2:$D$132,3),"")</f>
        <v/>
      </c>
      <c r="H693" s="254"/>
      <c r="I693" s="254"/>
      <c r="J693" s="210" t="str">
        <f>IF(VLOOKUP($I685&amp;RIGHT($A693,1),Players!$A$2:$D$132,3)&lt;&gt;0,"("&amp;VLOOKUP($I685&amp;RIGHT($A693,1),Players!$A$2:$D$132,4)&amp;")","")</f>
        <v/>
      </c>
    </row>
    <row r="694" spans="1:10" ht="25.5" customHeight="1">
      <c r="A694" s="50" t="str">
        <f>CONCATENATE($D685,"3")</f>
        <v>E3</v>
      </c>
      <c r="B694" s="255" t="str">
        <f>IF(VLOOKUP($A694,Players!$A$2:$C$132,3)&lt;&gt;0,VLOOKUP($A694,Players!$A$2:$C$132,3),"")</f>
        <v/>
      </c>
      <c r="C694" s="255"/>
      <c r="D694" s="255"/>
      <c r="E694" s="255"/>
      <c r="F694" s="255"/>
      <c r="G694" s="254" t="str">
        <f>IF(VLOOKUP($I685&amp;RIGHT($A694,1),Players!$A$2:$D$132,3)&lt;&gt;0,VLOOKUP($I685&amp;RIGHT($A694,1),Players!$A$2:$D$132,3),"")</f>
        <v/>
      </c>
      <c r="H694" s="254"/>
      <c r="I694" s="254"/>
      <c r="J694" s="210" t="str">
        <f>IF(VLOOKUP($I685&amp;RIGHT($A694,1),Players!$A$2:$D$132,3)&lt;&gt;0,"("&amp;VLOOKUP($I685&amp;RIGHT($A694,1),Players!$A$2:$D$132,4)&amp;")","")</f>
        <v/>
      </c>
    </row>
    <row r="695" spans="1:10" ht="25.5" customHeight="1">
      <c r="A695" s="50" t="str">
        <f>CONCATENATE($D685,"4")</f>
        <v>E4</v>
      </c>
      <c r="B695" s="255" t="str">
        <f>IF(VLOOKUP($A695,Players!$A$2:$C$132,3)&lt;&gt;0,VLOOKUP($A695,Players!$A$2:$C$132,3),"")</f>
        <v/>
      </c>
      <c r="C695" s="255"/>
      <c r="D695" s="255"/>
      <c r="E695" s="255"/>
      <c r="F695" s="255"/>
      <c r="G695" s="254" t="str">
        <f>IF(VLOOKUP($I685&amp;RIGHT($A695,1),Players!$A$2:$D$132,3)&lt;&gt;0,VLOOKUP($I685&amp;RIGHT($A695,1),Players!$A$2:$D$132,3),"")</f>
        <v/>
      </c>
      <c r="H695" s="254"/>
      <c r="I695" s="254"/>
      <c r="J695" s="210" t="str">
        <f>IF(VLOOKUP($I685&amp;RIGHT($A695,1),Players!$A$2:$D$132,3)&lt;&gt;0,"("&amp;VLOOKUP($I685&amp;RIGHT($A695,1),Players!$A$2:$D$132,4)&amp;")","")</f>
        <v/>
      </c>
    </row>
    <row r="696" spans="1:10" ht="25.5" customHeight="1">
      <c r="A696" s="50" t="str">
        <f>CONCATENATE($D685,"5")</f>
        <v>E5</v>
      </c>
      <c r="B696" s="255" t="str">
        <f>IF(VLOOKUP($A696,Players!$A$2:$C$132,3)&lt;&gt;0,VLOOKUP($A696,Players!$A$2:$C$132,3),"")</f>
        <v/>
      </c>
      <c r="C696" s="255"/>
      <c r="D696" s="255"/>
      <c r="E696" s="255"/>
      <c r="F696" s="255"/>
      <c r="G696" s="254" t="str">
        <f>IF(VLOOKUP($I685&amp;RIGHT($A696,1),Players!$A$2:$D$132,3)&lt;&gt;0,VLOOKUP($I685&amp;RIGHT($A696,1),Players!$A$2:$D$132,3),"")</f>
        <v/>
      </c>
      <c r="H696" s="254"/>
      <c r="I696" s="254"/>
      <c r="J696" s="210" t="str">
        <f>IF(VLOOKUP($I685&amp;RIGHT($A696,1),Players!$A$2:$D$132,3)&lt;&gt;0,"("&amp;VLOOKUP($I685&amp;RIGHT($A696,1),Players!$A$2:$D$132,4)&amp;")","")</f>
        <v/>
      </c>
    </row>
    <row r="697" spans="1:10" ht="25.5" customHeight="1">
      <c r="A697" s="50" t="str">
        <f>CONCATENATE($D685,"6")</f>
        <v>E6</v>
      </c>
      <c r="B697" s="255" t="str">
        <f>IF(VLOOKUP($A697,Players!$A$2:$C$132,3)&lt;&gt;0,VLOOKUP($A697,Players!$A$2:$C$132,3),"")</f>
        <v/>
      </c>
      <c r="C697" s="255"/>
      <c r="D697" s="255"/>
      <c r="E697" s="255"/>
      <c r="F697" s="255"/>
      <c r="G697" s="254" t="str">
        <f>IF(VLOOKUP($I685&amp;RIGHT($A697,1),Players!$A$2:$D$132,3)&lt;&gt;0,VLOOKUP($I685&amp;RIGHT($A697,1),Players!$A$2:$D$132,3),"")</f>
        <v/>
      </c>
      <c r="H697" s="254"/>
      <c r="I697" s="254"/>
      <c r="J697" s="210" t="str">
        <f>IF(VLOOKUP($I685&amp;RIGHT($A697,1),Players!$A$2:$D$132,3)&lt;&gt;0,"("&amp;VLOOKUP($I685&amp;RIGHT($A697,1),Players!$A$2:$D$132,4)&amp;")","")</f>
        <v/>
      </c>
    </row>
    <row r="698" spans="1:10" ht="25.5" customHeight="1">
      <c r="A698" s="50" t="str">
        <f>CONCATENATE($D685,"7")</f>
        <v>E7</v>
      </c>
      <c r="B698" s="255" t="str">
        <f>IF(VLOOKUP($A698,Players!$A$2:$C$132,3)&lt;&gt;0,VLOOKUP($A698,Players!$A$2:$C$132,3),"")</f>
        <v/>
      </c>
      <c r="C698" s="255"/>
      <c r="D698" s="255"/>
      <c r="E698" s="255"/>
      <c r="F698" s="255"/>
      <c r="G698" s="254" t="str">
        <f>IF(VLOOKUP($I685&amp;RIGHT($A698,1),Players!$A$2:$D$132,3)&lt;&gt;0,VLOOKUP($I685&amp;RIGHT($A698,1),Players!$A$2:$D$132,3),"")</f>
        <v/>
      </c>
      <c r="H698" s="254"/>
      <c r="I698" s="254"/>
      <c r="J698" s="210" t="str">
        <f>IF(VLOOKUP($I685&amp;RIGHT($A698,1),Players!$A$2:$D$132,3)&lt;&gt;0,"("&amp;VLOOKUP($I685&amp;RIGHT($A698,1),Players!$A$2:$D$132,4)&amp;")","")</f>
        <v/>
      </c>
    </row>
    <row r="699" spans="1:10" ht="25.5" customHeight="1">
      <c r="A699" s="50" t="str">
        <f>CONCATENATE($D685,"8")</f>
        <v>E8</v>
      </c>
      <c r="B699" s="255" t="str">
        <f>IF(VLOOKUP($A699,Players!$A$2:$C$132,3)&lt;&gt;0,VLOOKUP($A699,Players!$A$2:$C$132,3),"")</f>
        <v/>
      </c>
      <c r="C699" s="255"/>
      <c r="D699" s="255"/>
      <c r="E699" s="255"/>
      <c r="F699" s="255"/>
      <c r="G699" s="254" t="str">
        <f>IF(VLOOKUP($I685&amp;RIGHT($A699,1),Players!$A$2:$D$132,3)&lt;&gt;0,VLOOKUP($I685&amp;RIGHT($A699,1),Players!$A$2:$D$132,3),"")</f>
        <v/>
      </c>
      <c r="H699" s="254"/>
      <c r="I699" s="254"/>
      <c r="J699" s="210" t="str">
        <f>IF(VLOOKUP($I685&amp;RIGHT($A699,1),Players!$A$2:$D$132,3)&lt;&gt;0,"("&amp;VLOOKUP($I685&amp;RIGHT($A699,1),Players!$A$2:$D$132,4)&amp;")","")</f>
        <v/>
      </c>
    </row>
    <row r="700" spans="1:10" ht="25.5" customHeight="1">
      <c r="A700" s="50"/>
      <c r="B700" s="26"/>
      <c r="C700" s="26"/>
      <c r="D700" s="26"/>
      <c r="E700" s="26"/>
      <c r="F700" s="27"/>
      <c r="G700" s="43"/>
      <c r="H700" s="43"/>
      <c r="I700" s="43"/>
      <c r="J700" s="43"/>
    </row>
    <row r="701" spans="1:10">
      <c r="A701" s="49" t="s">
        <v>1225</v>
      </c>
      <c r="B701" s="46"/>
      <c r="C701" s="46"/>
      <c r="D701" s="46"/>
      <c r="E701" s="46"/>
      <c r="F701" s="46"/>
      <c r="G701" s="43"/>
      <c r="H701" s="43"/>
      <c r="I701" s="43"/>
      <c r="J701" s="43"/>
    </row>
    <row r="702" spans="1:10">
      <c r="A702" s="46" t="s">
        <v>1247</v>
      </c>
      <c r="B702" s="46"/>
      <c r="C702" s="46"/>
      <c r="D702" s="46"/>
      <c r="E702" s="46"/>
      <c r="F702" s="46"/>
      <c r="G702" s="43"/>
      <c r="H702" s="43"/>
      <c r="I702" s="43"/>
      <c r="J702" s="43"/>
    </row>
    <row r="703" spans="1:10">
      <c r="A703" s="46" t="s">
        <v>1248</v>
      </c>
      <c r="B703" s="46"/>
      <c r="C703" s="46"/>
      <c r="D703" s="46"/>
      <c r="E703" s="46"/>
      <c r="F703" s="46"/>
      <c r="G703" s="43"/>
      <c r="H703" s="43"/>
      <c r="I703" s="43"/>
      <c r="J703" s="43"/>
    </row>
    <row r="704" spans="1:10" ht="13.5" thickBot="1">
      <c r="A704" s="46"/>
      <c r="B704" s="46"/>
      <c r="C704" s="46"/>
      <c r="D704" s="46"/>
      <c r="E704" s="46"/>
      <c r="F704" s="46"/>
      <c r="G704" s="43"/>
      <c r="H704" s="43"/>
      <c r="I704" s="43"/>
      <c r="J704" s="43"/>
    </row>
    <row r="705" spans="1:10" ht="25.5" customHeight="1" thickBot="1">
      <c r="A705" s="50"/>
      <c r="B705" s="257"/>
      <c r="C705" s="258"/>
      <c r="D705" s="258"/>
      <c r="E705" s="258"/>
      <c r="F705" s="259"/>
      <c r="G705" s="43"/>
      <c r="H705" s="43"/>
      <c r="I705" s="43"/>
      <c r="J705" s="43"/>
    </row>
    <row r="706" spans="1:10">
      <c r="A706" s="43"/>
      <c r="B706" s="43"/>
      <c r="C706" s="43"/>
      <c r="D706" s="43"/>
      <c r="E706" s="43"/>
      <c r="F706" s="43"/>
      <c r="G706" s="43"/>
      <c r="H706" s="43"/>
      <c r="I706" s="43"/>
      <c r="J706" s="43"/>
    </row>
    <row r="707" spans="1:10">
      <c r="A707" s="43"/>
      <c r="B707" s="43"/>
      <c r="C707" s="43"/>
      <c r="D707" s="43"/>
      <c r="E707" s="43"/>
      <c r="F707" s="43"/>
      <c r="G707" s="43"/>
      <c r="H707" s="43"/>
      <c r="I707" s="43"/>
      <c r="J707" s="43"/>
    </row>
    <row r="708" spans="1:10">
      <c r="A708" s="43"/>
      <c r="B708" s="43"/>
      <c r="C708" s="43"/>
      <c r="D708" s="43"/>
      <c r="E708" s="43"/>
      <c r="F708" s="43"/>
      <c r="G708" s="43"/>
      <c r="H708" s="43"/>
      <c r="I708" s="43"/>
      <c r="J708" s="43"/>
    </row>
    <row r="709" spans="1:10">
      <c r="A709" s="43"/>
      <c r="B709" s="43"/>
      <c r="C709" s="43"/>
      <c r="D709" s="43"/>
      <c r="E709" s="43"/>
      <c r="F709" s="43"/>
      <c r="G709" s="43"/>
      <c r="H709" s="43"/>
      <c r="I709" s="43"/>
      <c r="J709" s="43"/>
    </row>
    <row r="710" spans="1:10">
      <c r="A710" s="43"/>
      <c r="B710" s="43"/>
      <c r="C710" s="43"/>
      <c r="D710" s="43"/>
      <c r="E710" s="43"/>
      <c r="F710" s="43"/>
      <c r="G710" s="43"/>
      <c r="H710" s="43"/>
      <c r="I710" s="43"/>
      <c r="J710" s="43"/>
    </row>
    <row r="711" spans="1:10" ht="25.5" customHeight="1">
      <c r="A711" s="47"/>
      <c r="B711" s="47"/>
      <c r="C711" s="47"/>
      <c r="D711" s="47"/>
      <c r="E711" s="47"/>
      <c r="F711" s="43"/>
      <c r="G711" s="51"/>
      <c r="H711" s="250" t="s">
        <v>1227</v>
      </c>
      <c r="I711" s="251"/>
      <c r="J711" s="43"/>
    </row>
    <row r="712" spans="1:10">
      <c r="A712" s="43" t="s">
        <v>1226</v>
      </c>
      <c r="B712" s="43"/>
      <c r="C712" s="43"/>
      <c r="D712" s="43"/>
      <c r="E712" s="43"/>
      <c r="F712" s="43"/>
      <c r="G712" s="43"/>
      <c r="H712" s="43"/>
      <c r="I712" s="43"/>
      <c r="J712" s="43"/>
    </row>
    <row r="713" spans="1:10">
      <c r="A713" s="43"/>
      <c r="B713" s="43"/>
      <c r="C713" s="43"/>
      <c r="D713" s="43"/>
      <c r="E713" s="43"/>
      <c r="F713" s="43"/>
      <c r="G713" s="43"/>
      <c r="H713" s="43"/>
      <c r="I713" s="43"/>
      <c r="J713" s="43"/>
    </row>
    <row r="714" spans="1:10">
      <c r="A714" s="43"/>
      <c r="B714" s="43"/>
      <c r="C714" s="43"/>
      <c r="D714" s="43"/>
      <c r="E714" s="256" t="str">
        <f>CONCATENATE("(",$D685," vs ",$I685,")")</f>
        <v>(E vs H)</v>
      </c>
      <c r="F714" s="256"/>
      <c r="G714" s="43"/>
      <c r="H714" s="43"/>
      <c r="I714" s="43"/>
      <c r="J714" s="43"/>
    </row>
    <row r="715" spans="1:10" ht="15.75">
      <c r="A715" s="42" t="s">
        <v>1223</v>
      </c>
      <c r="B715" s="43"/>
      <c r="C715" s="43"/>
      <c r="D715" s="43"/>
      <c r="E715" s="43"/>
      <c r="F715" s="43"/>
      <c r="G715" s="43"/>
      <c r="H715" s="43"/>
      <c r="I715" s="43"/>
      <c r="J715" s="96" t="s">
        <v>4240</v>
      </c>
    </row>
    <row r="716" spans="1:10" ht="12.75" customHeight="1">
      <c r="A716" s="42"/>
      <c r="B716" s="43"/>
      <c r="C716" s="43"/>
      <c r="D716" s="43"/>
      <c r="E716" s="43"/>
      <c r="F716" s="43"/>
      <c r="G716" s="43" t="str">
        <f ca="1">Team_Matches!$J$6</f>
        <v>[NCTTA Teams Template (v2.06).xlsx]</v>
      </c>
      <c r="H716" s="43"/>
      <c r="I716" s="43"/>
      <c r="J716" s="160"/>
    </row>
    <row r="717" spans="1:10" ht="12.75" customHeight="1">
      <c r="A717" s="42"/>
      <c r="B717" s="43"/>
      <c r="C717" s="43"/>
      <c r="D717" s="43"/>
      <c r="E717" s="43"/>
      <c r="F717" s="43"/>
      <c r="G717" s="247" t="str">
        <f>Team_Matches!$J517</f>
        <v>Round 3, Match 3</v>
      </c>
      <c r="H717" s="247"/>
      <c r="I717" s="161" t="str">
        <f>Team_Matches!$M517</f>
        <v/>
      </c>
      <c r="J717" s="161"/>
    </row>
    <row r="718" spans="1:10" ht="15.75">
      <c r="A718" s="42"/>
      <c r="B718" s="43"/>
      <c r="C718" s="43"/>
      <c r="D718" s="43"/>
      <c r="E718" s="43"/>
      <c r="F718" s="43"/>
      <c r="G718" s="43"/>
      <c r="H718" s="43"/>
      <c r="I718" s="43"/>
      <c r="J718" s="43"/>
    </row>
    <row r="719" spans="1:10">
      <c r="A719" s="43"/>
      <c r="B719" s="43"/>
      <c r="C719" s="9" t="s">
        <v>1228</v>
      </c>
      <c r="D719" s="3" t="str">
        <f>Team_Matches!$B519</f>
        <v>E</v>
      </c>
      <c r="E719" s="43"/>
      <c r="F719" s="97" t="str">
        <f>CONCATENATE($D719,"-",$I719)</f>
        <v>E-H</v>
      </c>
      <c r="G719" s="43"/>
      <c r="H719" s="9" t="s">
        <v>1228</v>
      </c>
      <c r="I719" s="52" t="str">
        <f>Team_Matches!$K519</f>
        <v>H</v>
      </c>
      <c r="J719" s="43"/>
    </row>
    <row r="720" spans="1:10" ht="25.5" customHeight="1">
      <c r="A720" s="44"/>
      <c r="B720" s="252" t="str">
        <f>IF(VLOOKUP($D719,Draw!$A$4:$B$27,2)&lt;&gt;0,VLOOKUP($D719,Draw!$A$4:$B$27,2),"")</f>
        <v/>
      </c>
      <c r="C720" s="252"/>
      <c r="D720" s="252"/>
      <c r="E720" s="253"/>
      <c r="F720" s="45"/>
      <c r="G720" s="248" t="str">
        <f>IF(VLOOKUP($I719,Draw!$A$4:$B$27,2)&lt;&gt;0,VLOOKUP($I719,Draw!$A$4:$B$27,2),"")</f>
        <v/>
      </c>
      <c r="H720" s="248"/>
      <c r="I720" s="248"/>
      <c r="J720" s="249"/>
    </row>
    <row r="721" spans="1:10" ht="25.5" customHeight="1"/>
    <row r="722" spans="1:10" ht="25.5" customHeight="1"/>
    <row r="723" spans="1:10" ht="24" customHeight="1">
      <c r="A723" s="48" t="s">
        <v>1246</v>
      </c>
      <c r="B723" s="43"/>
      <c r="C723" s="43"/>
      <c r="D723" s="43"/>
      <c r="E723" s="43"/>
      <c r="F723" s="43"/>
      <c r="G723" s="43"/>
      <c r="H723" s="43"/>
      <c r="I723" s="43"/>
      <c r="J723" s="43"/>
    </row>
    <row r="724" spans="1:10" ht="24" customHeight="1">
      <c r="A724" s="48"/>
      <c r="B724" s="43"/>
      <c r="C724" s="43"/>
      <c r="D724" s="43"/>
      <c r="E724" s="43"/>
      <c r="F724" s="43"/>
      <c r="G724" s="43"/>
      <c r="H724" s="43"/>
      <c r="I724" s="43"/>
      <c r="J724" s="43"/>
    </row>
    <row r="725" spans="1:10">
      <c r="A725" s="49" t="s">
        <v>1224</v>
      </c>
      <c r="B725" s="46"/>
      <c r="C725" s="46"/>
      <c r="D725" s="46"/>
      <c r="E725" s="46"/>
      <c r="F725" s="46"/>
      <c r="G725" s="260" t="s">
        <v>10336</v>
      </c>
      <c r="H725" s="260"/>
      <c r="I725" s="260"/>
      <c r="J725" s="260"/>
    </row>
    <row r="726" spans="1:10" ht="24" customHeight="1">
      <c r="A726" s="50" t="str">
        <f>CONCATENATE($I719,"1")</f>
        <v>H1</v>
      </c>
      <c r="B726" s="255" t="str">
        <f>IF(VLOOKUP($A726,Players!$A$2:$C$132,3)&lt;&gt;0,VLOOKUP($A726,Players!$A$2:$C$132,3),"")</f>
        <v/>
      </c>
      <c r="C726" s="255"/>
      <c r="D726" s="255"/>
      <c r="E726" s="255"/>
      <c r="F726" s="255"/>
      <c r="G726" s="254" t="str">
        <f>IF(VLOOKUP($D719&amp;RIGHT($A726,1),Players!$A$2:$D$132,3)&lt;&gt;0,VLOOKUP($D719&amp;RIGHT($A726,1),Players!$A$2:$D$132,3),"")</f>
        <v/>
      </c>
      <c r="H726" s="254"/>
      <c r="I726" s="254"/>
      <c r="J726" s="210" t="str">
        <f>IF(VLOOKUP($D719&amp;RIGHT($A726,1),Players!$A$2:$D$132,3)&lt;&gt;0,"("&amp;VLOOKUP($D719&amp;RIGHT($A726,1),Players!$A$2:$D$132,4)&amp;")","")</f>
        <v/>
      </c>
    </row>
    <row r="727" spans="1:10" ht="25.5" customHeight="1">
      <c r="A727" s="50" t="str">
        <f>CONCATENATE($I719,"2")</f>
        <v>H2</v>
      </c>
      <c r="B727" s="255" t="str">
        <f>IF(VLOOKUP($A727,Players!$A$2:$C$132,3)&lt;&gt;0,VLOOKUP($A727,Players!$A$2:$C$132,3),"")</f>
        <v/>
      </c>
      <c r="C727" s="255"/>
      <c r="D727" s="255"/>
      <c r="E727" s="255"/>
      <c r="F727" s="255"/>
      <c r="G727" s="254" t="str">
        <f>IF(VLOOKUP($D719&amp;RIGHT($A727,1),Players!$A$2:$D$132,3)&lt;&gt;0,VLOOKUP($D719&amp;RIGHT($A727,1),Players!$A$2:$D$132,3),"")</f>
        <v/>
      </c>
      <c r="H727" s="254"/>
      <c r="I727" s="254"/>
      <c r="J727" s="210" t="str">
        <f>IF(VLOOKUP($D719&amp;RIGHT($A727,1),Players!$A$2:$D$132,3)&lt;&gt;0,"("&amp;VLOOKUP($D719&amp;RIGHT($A727,1),Players!$A$2:$D$132,4)&amp;")","")</f>
        <v/>
      </c>
    </row>
    <row r="728" spans="1:10" ht="25.5" customHeight="1">
      <c r="A728" s="50" t="str">
        <f>CONCATENATE($I719,"3")</f>
        <v>H3</v>
      </c>
      <c r="B728" s="255" t="str">
        <f>IF(VLOOKUP($A728,Players!$A$2:$C$132,3)&lt;&gt;0,VLOOKUP($A728,Players!$A$2:$C$132,3),"")</f>
        <v/>
      </c>
      <c r="C728" s="255"/>
      <c r="D728" s="255"/>
      <c r="E728" s="255"/>
      <c r="F728" s="255"/>
      <c r="G728" s="254" t="str">
        <f>IF(VLOOKUP($D719&amp;RIGHT($A728,1),Players!$A$2:$D$132,3)&lt;&gt;0,VLOOKUP($D719&amp;RIGHT($A728,1),Players!$A$2:$D$132,3),"")</f>
        <v/>
      </c>
      <c r="H728" s="254"/>
      <c r="I728" s="254"/>
      <c r="J728" s="210" t="str">
        <f>IF(VLOOKUP($D719&amp;RIGHT($A728,1),Players!$A$2:$D$132,3)&lt;&gt;0,"("&amp;VLOOKUP($D719&amp;RIGHT($A728,1),Players!$A$2:$D$132,4)&amp;")","")</f>
        <v/>
      </c>
    </row>
    <row r="729" spans="1:10" ht="25.5" customHeight="1">
      <c r="A729" s="50" t="str">
        <f>CONCATENATE($I719,"4")</f>
        <v>H4</v>
      </c>
      <c r="B729" s="255" t="str">
        <f>IF(VLOOKUP($A729,Players!$A$2:$C$132,3)&lt;&gt;0,VLOOKUP($A729,Players!$A$2:$C$132,3),"")</f>
        <v/>
      </c>
      <c r="C729" s="255"/>
      <c r="D729" s="255"/>
      <c r="E729" s="255"/>
      <c r="F729" s="255"/>
      <c r="G729" s="254" t="str">
        <f>IF(VLOOKUP($D719&amp;RIGHT($A729,1),Players!$A$2:$D$132,3)&lt;&gt;0,VLOOKUP($D719&amp;RIGHT($A729,1),Players!$A$2:$D$132,3),"")</f>
        <v/>
      </c>
      <c r="H729" s="254"/>
      <c r="I729" s="254"/>
      <c r="J729" s="210" t="str">
        <f>IF(VLOOKUP($D719&amp;RIGHT($A729,1),Players!$A$2:$D$132,3)&lt;&gt;0,"("&amp;VLOOKUP($D719&amp;RIGHT($A729,1),Players!$A$2:$D$132,4)&amp;")","")</f>
        <v/>
      </c>
    </row>
    <row r="730" spans="1:10" ht="25.5" customHeight="1">
      <c r="A730" s="50" t="str">
        <f>CONCATENATE($I719,"5")</f>
        <v>H5</v>
      </c>
      <c r="B730" s="255" t="str">
        <f>IF(VLOOKUP($A730,Players!$A$2:$C$132,3)&lt;&gt;0,VLOOKUP($A730,Players!$A$2:$C$132,3),"")</f>
        <v/>
      </c>
      <c r="C730" s="255"/>
      <c r="D730" s="255"/>
      <c r="E730" s="255"/>
      <c r="F730" s="255"/>
      <c r="G730" s="254" t="str">
        <f>IF(VLOOKUP($D719&amp;RIGHT($A730,1),Players!$A$2:$D$132,3)&lt;&gt;0,VLOOKUP($D719&amp;RIGHT($A730,1),Players!$A$2:$D$132,3),"")</f>
        <v/>
      </c>
      <c r="H730" s="254"/>
      <c r="I730" s="254"/>
      <c r="J730" s="210" t="str">
        <f>IF(VLOOKUP($D719&amp;RIGHT($A730,1),Players!$A$2:$D$132,3)&lt;&gt;0,"("&amp;VLOOKUP($D719&amp;RIGHT($A730,1),Players!$A$2:$D$132,4)&amp;")","")</f>
        <v/>
      </c>
    </row>
    <row r="731" spans="1:10" ht="25.5" customHeight="1">
      <c r="A731" s="50" t="str">
        <f>CONCATENATE($I719,"6")</f>
        <v>H6</v>
      </c>
      <c r="B731" s="255" t="str">
        <f>IF(VLOOKUP($A731,Players!$A$2:$C$132,3)&lt;&gt;0,VLOOKUP($A731,Players!$A$2:$C$132,3),"")</f>
        <v/>
      </c>
      <c r="C731" s="255"/>
      <c r="D731" s="255"/>
      <c r="E731" s="255"/>
      <c r="F731" s="255"/>
      <c r="G731" s="254" t="str">
        <f>IF(VLOOKUP($D719&amp;RIGHT($A731,1),Players!$A$2:$D$132,3)&lt;&gt;0,VLOOKUP($D719&amp;RIGHT($A731,1),Players!$A$2:$D$132,3),"")</f>
        <v/>
      </c>
      <c r="H731" s="254"/>
      <c r="I731" s="254"/>
      <c r="J731" s="210" t="str">
        <f>IF(VLOOKUP($D719&amp;RIGHT($A731,1),Players!$A$2:$D$132,3)&lt;&gt;0,"("&amp;VLOOKUP($D719&amp;RIGHT($A731,1),Players!$A$2:$D$132,4)&amp;")","")</f>
        <v/>
      </c>
    </row>
    <row r="732" spans="1:10" ht="25.5" customHeight="1">
      <c r="A732" s="50" t="str">
        <f>CONCATENATE($I719,"7")</f>
        <v>H7</v>
      </c>
      <c r="B732" s="255" t="str">
        <f>IF(VLOOKUP($A732,Players!$A$2:$C$132,3)&lt;&gt;0,VLOOKUP($A732,Players!$A$2:$C$132,3),"")</f>
        <v/>
      </c>
      <c r="C732" s="255"/>
      <c r="D732" s="255"/>
      <c r="E732" s="255"/>
      <c r="F732" s="255"/>
      <c r="G732" s="254" t="str">
        <f>IF(VLOOKUP($D719&amp;RIGHT($A732,1),Players!$A$2:$D$132,3)&lt;&gt;0,VLOOKUP($D719&amp;RIGHT($A732,1),Players!$A$2:$D$132,3),"")</f>
        <v/>
      </c>
      <c r="H732" s="254"/>
      <c r="I732" s="254"/>
      <c r="J732" s="210" t="str">
        <f>IF(VLOOKUP($D719&amp;RIGHT($A732,1),Players!$A$2:$D$132,3)&lt;&gt;0,"("&amp;VLOOKUP($D719&amp;RIGHT($A732,1),Players!$A$2:$D$132,4)&amp;")","")</f>
        <v/>
      </c>
    </row>
    <row r="733" spans="1:10" ht="25.5" customHeight="1">
      <c r="A733" s="50" t="str">
        <f>CONCATENATE($I719,"8")</f>
        <v>H8</v>
      </c>
      <c r="B733" s="255" t="str">
        <f>IF(VLOOKUP($A733,Players!$A$2:$C$132,3)&lt;&gt;0,VLOOKUP($A733,Players!$A$2:$C$132,3),"")</f>
        <v/>
      </c>
      <c r="C733" s="255"/>
      <c r="D733" s="255"/>
      <c r="E733" s="255"/>
      <c r="F733" s="255"/>
      <c r="G733" s="254" t="str">
        <f>IF(VLOOKUP($D719&amp;RIGHT($A733,1),Players!$A$2:$D$132,3)&lt;&gt;0,VLOOKUP($D719&amp;RIGHT($A733,1),Players!$A$2:$D$132,3),"")</f>
        <v/>
      </c>
      <c r="H733" s="254"/>
      <c r="I733" s="254"/>
      <c r="J733" s="210" t="str">
        <f>IF(VLOOKUP($D719&amp;RIGHT($A733,1),Players!$A$2:$D$132,3)&lt;&gt;0,"("&amp;VLOOKUP($D719&amp;RIGHT($A733,1),Players!$A$2:$D$132,4)&amp;")","")</f>
        <v/>
      </c>
    </row>
    <row r="734" spans="1:10" ht="25.5" customHeight="1">
      <c r="A734" s="50"/>
      <c r="B734" s="26"/>
      <c r="C734" s="26"/>
      <c r="D734" s="26"/>
      <c r="E734" s="26"/>
      <c r="F734" s="27"/>
      <c r="G734" s="43"/>
      <c r="H734" s="43"/>
      <c r="I734" s="43"/>
      <c r="J734" s="43"/>
    </row>
    <row r="735" spans="1:10">
      <c r="A735" s="49" t="s">
        <v>1225</v>
      </c>
      <c r="B735" s="46"/>
      <c r="C735" s="46"/>
      <c r="D735" s="46"/>
      <c r="E735" s="46"/>
      <c r="F735" s="46"/>
      <c r="G735" s="43"/>
      <c r="H735" s="43"/>
      <c r="I735" s="43"/>
      <c r="J735" s="43"/>
    </row>
    <row r="736" spans="1:10">
      <c r="A736" s="46" t="s">
        <v>1247</v>
      </c>
      <c r="B736" s="46"/>
      <c r="C736" s="46"/>
      <c r="D736" s="46"/>
      <c r="E736" s="46"/>
      <c r="F736" s="46"/>
      <c r="G736" s="43"/>
      <c r="H736" s="43"/>
      <c r="I736" s="43"/>
      <c r="J736" s="43"/>
    </row>
    <row r="737" spans="1:10">
      <c r="A737" s="46" t="s">
        <v>1248</v>
      </c>
      <c r="B737" s="46"/>
      <c r="C737" s="46"/>
      <c r="D737" s="46"/>
      <c r="E737" s="46"/>
      <c r="F737" s="46"/>
      <c r="G737" s="43"/>
      <c r="H737" s="43"/>
      <c r="I737" s="43"/>
      <c r="J737" s="43"/>
    </row>
    <row r="738" spans="1:10" ht="13.5" thickBot="1">
      <c r="A738" s="46"/>
      <c r="B738" s="46"/>
      <c r="C738" s="46"/>
      <c r="D738" s="46"/>
      <c r="E738" s="46"/>
      <c r="F738" s="46"/>
      <c r="G738" s="43"/>
      <c r="H738" s="43"/>
      <c r="I738" s="43"/>
      <c r="J738" s="43"/>
    </row>
    <row r="739" spans="1:10" ht="25.5" customHeight="1" thickBot="1">
      <c r="A739" s="50"/>
      <c r="B739" s="257"/>
      <c r="C739" s="258"/>
      <c r="D739" s="258"/>
      <c r="E739" s="258"/>
      <c r="F739" s="259"/>
      <c r="G739" s="43"/>
      <c r="H739" s="43"/>
      <c r="I739" s="43"/>
      <c r="J739" s="43"/>
    </row>
    <row r="740" spans="1:10">
      <c r="A740" s="43"/>
      <c r="B740" s="43"/>
      <c r="C740" s="43"/>
      <c r="D740" s="43"/>
      <c r="E740" s="43"/>
      <c r="F740" s="43"/>
      <c r="G740" s="43"/>
      <c r="H740" s="43"/>
      <c r="I740" s="43"/>
      <c r="J740" s="43"/>
    </row>
    <row r="741" spans="1:10">
      <c r="A741" s="43"/>
      <c r="B741" s="43"/>
      <c r="C741" s="43"/>
      <c r="D741" s="43"/>
      <c r="E741" s="43"/>
      <c r="F741" s="43"/>
      <c r="G741" s="43"/>
      <c r="H741" s="43"/>
      <c r="I741" s="43"/>
      <c r="J741" s="43"/>
    </row>
    <row r="742" spans="1:10">
      <c r="A742" s="43"/>
      <c r="B742" s="43"/>
      <c r="C742" s="43"/>
      <c r="D742" s="43"/>
      <c r="E742" s="43"/>
      <c r="F742" s="43"/>
      <c r="G742" s="43"/>
      <c r="H742" s="43"/>
      <c r="I742" s="43"/>
      <c r="J742" s="43"/>
    </row>
    <row r="743" spans="1:10">
      <c r="A743" s="43"/>
      <c r="B743" s="43"/>
      <c r="C743" s="43"/>
      <c r="D743" s="43"/>
      <c r="E743" s="43"/>
      <c r="F743" s="43"/>
      <c r="G743" s="43"/>
      <c r="H743" s="43"/>
      <c r="I743" s="43"/>
      <c r="J743" s="43"/>
    </row>
    <row r="744" spans="1:10">
      <c r="A744" s="43"/>
      <c r="B744" s="43"/>
      <c r="C744" s="43"/>
      <c r="D744" s="43"/>
      <c r="E744" s="43"/>
      <c r="F744" s="43"/>
      <c r="G744" s="43"/>
      <c r="H744" s="43"/>
      <c r="I744" s="43"/>
      <c r="J744" s="43"/>
    </row>
    <row r="745" spans="1:10" ht="25.5" customHeight="1">
      <c r="A745" s="47"/>
      <c r="B745" s="47"/>
      <c r="C745" s="47"/>
      <c r="D745" s="47"/>
      <c r="E745" s="47"/>
      <c r="F745" s="43"/>
      <c r="G745" s="51"/>
      <c r="H745" s="250" t="s">
        <v>1227</v>
      </c>
      <c r="I745" s="251"/>
      <c r="J745" s="43"/>
    </row>
    <row r="746" spans="1:10">
      <c r="A746" s="43" t="s">
        <v>1226</v>
      </c>
      <c r="B746" s="43"/>
      <c r="C746" s="43"/>
      <c r="D746" s="43"/>
      <c r="E746" s="43"/>
      <c r="F746" s="43"/>
      <c r="G746" s="43"/>
      <c r="H746" s="43"/>
      <c r="I746" s="43"/>
      <c r="J746" s="43"/>
    </row>
    <row r="747" spans="1:10">
      <c r="A747" s="43"/>
      <c r="B747" s="43"/>
      <c r="C747" s="43"/>
      <c r="D747" s="43"/>
      <c r="E747" s="43"/>
      <c r="F747" s="43"/>
      <c r="G747" s="43"/>
      <c r="H747" s="43"/>
      <c r="I747" s="43"/>
      <c r="J747" s="43"/>
    </row>
    <row r="748" spans="1:10">
      <c r="A748" s="43"/>
      <c r="B748" s="43"/>
      <c r="C748" s="43"/>
      <c r="D748" s="43"/>
      <c r="E748" s="256" t="str">
        <f>CONCATENATE("(",$D719," vs ",$I719,")")</f>
        <v>(E vs H)</v>
      </c>
      <c r="F748" s="256"/>
      <c r="G748" s="43"/>
      <c r="H748" s="43"/>
      <c r="I748" s="43"/>
      <c r="J748" s="43"/>
    </row>
    <row r="749" spans="1:10" ht="15.75">
      <c r="A749" s="42" t="s">
        <v>1223</v>
      </c>
      <c r="B749" s="43"/>
      <c r="C749" s="43"/>
      <c r="D749" s="43"/>
      <c r="E749" s="43"/>
      <c r="F749" s="43"/>
      <c r="G749" s="43"/>
      <c r="H749" s="43"/>
      <c r="I749" s="43"/>
      <c r="J749" s="96" t="s">
        <v>4241</v>
      </c>
    </row>
    <row r="750" spans="1:10" ht="12.75" customHeight="1">
      <c r="A750" s="42"/>
      <c r="B750" s="43"/>
      <c r="C750" s="43"/>
      <c r="D750" s="43"/>
      <c r="E750" s="43"/>
      <c r="F750" s="43"/>
      <c r="G750" s="43" t="str">
        <f ca="1">Team_Matches!$J$6</f>
        <v>[NCTTA Teams Template (v2.06).xlsx]</v>
      </c>
      <c r="H750" s="43"/>
      <c r="I750" s="43"/>
      <c r="J750" s="160"/>
    </row>
    <row r="751" spans="1:10" ht="12.75" customHeight="1">
      <c r="A751" s="42"/>
      <c r="B751" s="43"/>
      <c r="C751" s="43"/>
      <c r="D751" s="43"/>
      <c r="E751" s="43"/>
      <c r="F751" s="43"/>
      <c r="G751" s="247" t="str">
        <f>Team_Matches!$J568</f>
        <v>Round 3, Match 4</v>
      </c>
      <c r="H751" s="247"/>
      <c r="I751" s="161" t="str">
        <f>Team_Matches!$M568</f>
        <v/>
      </c>
      <c r="J751" s="161"/>
    </row>
    <row r="752" spans="1:10" ht="15.75">
      <c r="A752" s="42"/>
      <c r="B752" s="43"/>
      <c r="C752" s="43"/>
      <c r="D752" s="43"/>
      <c r="E752" s="43"/>
      <c r="F752" s="43"/>
      <c r="G752" s="43"/>
      <c r="H752" s="43"/>
      <c r="I752" s="43"/>
      <c r="J752" s="43"/>
    </row>
    <row r="753" spans="1:10">
      <c r="A753" s="43"/>
      <c r="B753" s="43"/>
      <c r="C753" s="9" t="s">
        <v>1228</v>
      </c>
      <c r="D753" s="3" t="str">
        <f>Team_Matches!$B570</f>
        <v>F</v>
      </c>
      <c r="E753" s="43"/>
      <c r="F753" s="97" t="str">
        <f>CONCATENATE($D753,"-",$I753)</f>
        <v>F-G</v>
      </c>
      <c r="G753" s="43"/>
      <c r="H753" s="9" t="s">
        <v>1228</v>
      </c>
      <c r="I753" s="52" t="str">
        <f>Team_Matches!$K570</f>
        <v>G</v>
      </c>
      <c r="J753" s="43"/>
    </row>
    <row r="754" spans="1:10" ht="25.5" customHeight="1">
      <c r="A754" s="44"/>
      <c r="B754" s="248" t="str">
        <f>IF(VLOOKUP($D753,Draw!$A$4:$B$27,2)&lt;&gt;0,VLOOKUP($D753,Draw!$A$4:$B$27,2),"")</f>
        <v/>
      </c>
      <c r="C754" s="248"/>
      <c r="D754" s="248"/>
      <c r="E754" s="249"/>
      <c r="F754" s="45"/>
      <c r="G754" s="252" t="str">
        <f>IF(VLOOKUP($I753,Draw!$A$4:$B$27,2)&lt;&gt;0,VLOOKUP($I753,Draw!$A$4:$B$27,2),"")</f>
        <v/>
      </c>
      <c r="H754" s="252"/>
      <c r="I754" s="252"/>
      <c r="J754" s="253"/>
    </row>
    <row r="755" spans="1:10" ht="25.5" customHeight="1"/>
    <row r="756" spans="1:10" ht="25.5" customHeight="1"/>
    <row r="757" spans="1:10" ht="24" customHeight="1">
      <c r="A757" s="48" t="s">
        <v>1246</v>
      </c>
      <c r="B757" s="43"/>
      <c r="C757" s="43"/>
      <c r="D757" s="43"/>
      <c r="E757" s="43"/>
      <c r="F757" s="43"/>
      <c r="G757" s="43"/>
      <c r="H757" s="43"/>
      <c r="I757" s="43"/>
      <c r="J757" s="43"/>
    </row>
    <row r="758" spans="1:10" ht="24" customHeight="1">
      <c r="A758" s="48"/>
      <c r="B758" s="43"/>
      <c r="C758" s="43"/>
      <c r="D758" s="43"/>
      <c r="E758" s="43"/>
      <c r="F758" s="43"/>
      <c r="G758" s="43"/>
      <c r="H758" s="43"/>
      <c r="I758" s="43"/>
      <c r="J758" s="43"/>
    </row>
    <row r="759" spans="1:10">
      <c r="A759" s="49" t="s">
        <v>1224</v>
      </c>
      <c r="B759" s="46"/>
      <c r="C759" s="46"/>
      <c r="D759" s="46"/>
      <c r="E759" s="46"/>
      <c r="F759" s="46"/>
      <c r="G759" s="260" t="s">
        <v>10336</v>
      </c>
      <c r="H759" s="260"/>
      <c r="I759" s="260"/>
      <c r="J759" s="260"/>
    </row>
    <row r="760" spans="1:10" ht="24" customHeight="1">
      <c r="A760" s="50" t="str">
        <f>CONCATENATE($D753,"1")</f>
        <v>F1</v>
      </c>
      <c r="B760" s="255" t="str">
        <f>IF(VLOOKUP($A760,Players!$A$2:$C$132,3)&lt;&gt;0,VLOOKUP($A760,Players!$A$2:$C$132,3),"")</f>
        <v/>
      </c>
      <c r="C760" s="255"/>
      <c r="D760" s="255"/>
      <c r="E760" s="255"/>
      <c r="F760" s="255"/>
      <c r="G760" s="254" t="str">
        <f>IF(VLOOKUP($I753&amp;RIGHT($A760,1),Players!$A$2:$D$132,3)&lt;&gt;0,VLOOKUP($I753&amp;RIGHT($A760,1),Players!$A$2:$D$132,3),"")</f>
        <v/>
      </c>
      <c r="H760" s="254"/>
      <c r="I760" s="254"/>
      <c r="J760" s="210" t="str">
        <f>IF(VLOOKUP($I753&amp;RIGHT($A760,1),Players!$A$2:$D$132,3)&lt;&gt;0,"("&amp;VLOOKUP($I753&amp;RIGHT($A760,1),Players!$A$2:$D$132,4)&amp;")","")</f>
        <v/>
      </c>
    </row>
    <row r="761" spans="1:10" ht="25.5" customHeight="1">
      <c r="A761" s="50" t="str">
        <f>CONCATENATE($D753,"2")</f>
        <v>F2</v>
      </c>
      <c r="B761" s="255" t="str">
        <f>IF(VLOOKUP($A761,Players!$A$2:$C$132,3)&lt;&gt;0,VLOOKUP($A761,Players!$A$2:$C$132,3),"")</f>
        <v/>
      </c>
      <c r="C761" s="255"/>
      <c r="D761" s="255"/>
      <c r="E761" s="255"/>
      <c r="F761" s="255"/>
      <c r="G761" s="254" t="str">
        <f>IF(VLOOKUP($I753&amp;RIGHT($A761,1),Players!$A$2:$D$132,3)&lt;&gt;0,VLOOKUP($I753&amp;RIGHT($A761,1),Players!$A$2:$D$132,3),"")</f>
        <v/>
      </c>
      <c r="H761" s="254"/>
      <c r="I761" s="254"/>
      <c r="J761" s="210" t="str">
        <f>IF(VLOOKUP($I753&amp;RIGHT($A761,1),Players!$A$2:$D$132,3)&lt;&gt;0,"("&amp;VLOOKUP($I753&amp;RIGHT($A761,1),Players!$A$2:$D$132,4)&amp;")","")</f>
        <v/>
      </c>
    </row>
    <row r="762" spans="1:10" ht="25.5" customHeight="1">
      <c r="A762" s="50" t="str">
        <f>CONCATENATE($D753,"3")</f>
        <v>F3</v>
      </c>
      <c r="B762" s="255" t="str">
        <f>IF(VLOOKUP($A762,Players!$A$2:$C$132,3)&lt;&gt;0,VLOOKUP($A762,Players!$A$2:$C$132,3),"")</f>
        <v/>
      </c>
      <c r="C762" s="255"/>
      <c r="D762" s="255"/>
      <c r="E762" s="255"/>
      <c r="F762" s="255"/>
      <c r="G762" s="254" t="str">
        <f>IF(VLOOKUP($I753&amp;RIGHT($A762,1),Players!$A$2:$D$132,3)&lt;&gt;0,VLOOKUP($I753&amp;RIGHT($A762,1),Players!$A$2:$D$132,3),"")</f>
        <v/>
      </c>
      <c r="H762" s="254"/>
      <c r="I762" s="254"/>
      <c r="J762" s="210" t="str">
        <f>IF(VLOOKUP($I753&amp;RIGHT($A762,1),Players!$A$2:$D$132,3)&lt;&gt;0,"("&amp;VLOOKUP($I753&amp;RIGHT($A762,1),Players!$A$2:$D$132,4)&amp;")","")</f>
        <v/>
      </c>
    </row>
    <row r="763" spans="1:10" ht="25.5" customHeight="1">
      <c r="A763" s="50" t="str">
        <f>CONCATENATE($D753,"4")</f>
        <v>F4</v>
      </c>
      <c r="B763" s="255" t="str">
        <f>IF(VLOOKUP($A763,Players!$A$2:$C$132,3)&lt;&gt;0,VLOOKUP($A763,Players!$A$2:$C$132,3),"")</f>
        <v/>
      </c>
      <c r="C763" s="255"/>
      <c r="D763" s="255"/>
      <c r="E763" s="255"/>
      <c r="F763" s="255"/>
      <c r="G763" s="254" t="str">
        <f>IF(VLOOKUP($I753&amp;RIGHT($A763,1),Players!$A$2:$D$132,3)&lt;&gt;0,VLOOKUP($I753&amp;RIGHT($A763,1),Players!$A$2:$D$132,3),"")</f>
        <v/>
      </c>
      <c r="H763" s="254"/>
      <c r="I763" s="254"/>
      <c r="J763" s="210" t="str">
        <f>IF(VLOOKUP($I753&amp;RIGHT($A763,1),Players!$A$2:$D$132,3)&lt;&gt;0,"("&amp;VLOOKUP($I753&amp;RIGHT($A763,1),Players!$A$2:$D$132,4)&amp;")","")</f>
        <v/>
      </c>
    </row>
    <row r="764" spans="1:10" ht="25.5" customHeight="1">
      <c r="A764" s="50" t="str">
        <f>CONCATENATE($D753,"5")</f>
        <v>F5</v>
      </c>
      <c r="B764" s="255" t="str">
        <f>IF(VLOOKUP($A764,Players!$A$2:$C$132,3)&lt;&gt;0,VLOOKUP($A764,Players!$A$2:$C$132,3),"")</f>
        <v/>
      </c>
      <c r="C764" s="255"/>
      <c r="D764" s="255"/>
      <c r="E764" s="255"/>
      <c r="F764" s="255"/>
      <c r="G764" s="254" t="str">
        <f>IF(VLOOKUP($I753&amp;RIGHT($A764,1),Players!$A$2:$D$132,3)&lt;&gt;0,VLOOKUP($I753&amp;RIGHT($A764,1),Players!$A$2:$D$132,3),"")</f>
        <v/>
      </c>
      <c r="H764" s="254"/>
      <c r="I764" s="254"/>
      <c r="J764" s="210" t="str">
        <f>IF(VLOOKUP($I753&amp;RIGHT($A764,1),Players!$A$2:$D$132,3)&lt;&gt;0,"("&amp;VLOOKUP($I753&amp;RIGHT($A764,1),Players!$A$2:$D$132,4)&amp;")","")</f>
        <v/>
      </c>
    </row>
    <row r="765" spans="1:10" ht="25.5" customHeight="1">
      <c r="A765" s="50" t="str">
        <f>CONCATENATE($D753,"6")</f>
        <v>F6</v>
      </c>
      <c r="B765" s="255" t="str">
        <f>IF(VLOOKUP($A765,Players!$A$2:$C$132,3)&lt;&gt;0,VLOOKUP($A765,Players!$A$2:$C$132,3),"")</f>
        <v/>
      </c>
      <c r="C765" s="255"/>
      <c r="D765" s="255"/>
      <c r="E765" s="255"/>
      <c r="F765" s="255"/>
      <c r="G765" s="254" t="str">
        <f>IF(VLOOKUP($I753&amp;RIGHT($A765,1),Players!$A$2:$D$132,3)&lt;&gt;0,VLOOKUP($I753&amp;RIGHT($A765,1),Players!$A$2:$D$132,3),"")</f>
        <v/>
      </c>
      <c r="H765" s="254"/>
      <c r="I765" s="254"/>
      <c r="J765" s="210" t="str">
        <f>IF(VLOOKUP($I753&amp;RIGHT($A765,1),Players!$A$2:$D$132,3)&lt;&gt;0,"("&amp;VLOOKUP($I753&amp;RIGHT($A765,1),Players!$A$2:$D$132,4)&amp;")","")</f>
        <v/>
      </c>
    </row>
    <row r="766" spans="1:10" ht="25.5" customHeight="1">
      <c r="A766" s="50" t="str">
        <f>CONCATENATE($D753,"7")</f>
        <v>F7</v>
      </c>
      <c r="B766" s="255" t="str">
        <f>IF(VLOOKUP($A766,Players!$A$2:$C$132,3)&lt;&gt;0,VLOOKUP($A766,Players!$A$2:$C$132,3),"")</f>
        <v/>
      </c>
      <c r="C766" s="255"/>
      <c r="D766" s="255"/>
      <c r="E766" s="255"/>
      <c r="F766" s="255"/>
      <c r="G766" s="254" t="str">
        <f>IF(VLOOKUP($I753&amp;RIGHT($A766,1),Players!$A$2:$D$132,3)&lt;&gt;0,VLOOKUP($I753&amp;RIGHT($A766,1),Players!$A$2:$D$132,3),"")</f>
        <v/>
      </c>
      <c r="H766" s="254"/>
      <c r="I766" s="254"/>
      <c r="J766" s="210" t="str">
        <f>IF(VLOOKUP($I753&amp;RIGHT($A766,1),Players!$A$2:$D$132,3)&lt;&gt;0,"("&amp;VLOOKUP($I753&amp;RIGHT($A766,1),Players!$A$2:$D$132,4)&amp;")","")</f>
        <v/>
      </c>
    </row>
    <row r="767" spans="1:10" ht="25.5" customHeight="1">
      <c r="A767" s="50" t="str">
        <f>CONCATENATE($D753,"8")</f>
        <v>F8</v>
      </c>
      <c r="B767" s="255" t="str">
        <f>IF(VLOOKUP($A767,Players!$A$2:$C$132,3)&lt;&gt;0,VLOOKUP($A767,Players!$A$2:$C$132,3),"")</f>
        <v/>
      </c>
      <c r="C767" s="255"/>
      <c r="D767" s="255"/>
      <c r="E767" s="255"/>
      <c r="F767" s="255"/>
      <c r="G767" s="254" t="str">
        <f>IF(VLOOKUP($I753&amp;RIGHT($A767,1),Players!$A$2:$D$132,3)&lt;&gt;0,VLOOKUP($I753&amp;RIGHT($A767,1),Players!$A$2:$D$132,3),"")</f>
        <v/>
      </c>
      <c r="H767" s="254"/>
      <c r="I767" s="254"/>
      <c r="J767" s="210" t="str">
        <f>IF(VLOOKUP($I753&amp;RIGHT($A767,1),Players!$A$2:$D$132,3)&lt;&gt;0,"("&amp;VLOOKUP($I753&amp;RIGHT($A767,1),Players!$A$2:$D$132,4)&amp;")","")</f>
        <v/>
      </c>
    </row>
    <row r="768" spans="1:10" ht="25.5" customHeight="1">
      <c r="A768" s="50"/>
      <c r="B768" s="26"/>
      <c r="C768" s="26"/>
      <c r="D768" s="26"/>
      <c r="E768" s="26"/>
      <c r="F768" s="27"/>
      <c r="G768" s="43"/>
      <c r="H768" s="43"/>
      <c r="I768" s="43"/>
      <c r="J768" s="43"/>
    </row>
    <row r="769" spans="1:10">
      <c r="A769" s="49" t="s">
        <v>1225</v>
      </c>
      <c r="B769" s="46"/>
      <c r="C769" s="46"/>
      <c r="D769" s="46"/>
      <c r="E769" s="46"/>
      <c r="F769" s="46"/>
      <c r="G769" s="43"/>
      <c r="H769" s="43"/>
      <c r="I769" s="43"/>
      <c r="J769" s="43"/>
    </row>
    <row r="770" spans="1:10">
      <c r="A770" s="46" t="s">
        <v>1247</v>
      </c>
      <c r="B770" s="46"/>
      <c r="C770" s="46"/>
      <c r="D770" s="46"/>
      <c r="E770" s="46"/>
      <c r="F770" s="46"/>
      <c r="G770" s="43"/>
      <c r="H770" s="43"/>
      <c r="I770" s="43"/>
      <c r="J770" s="43"/>
    </row>
    <row r="771" spans="1:10">
      <c r="A771" s="46" t="s">
        <v>1248</v>
      </c>
      <c r="B771" s="46"/>
      <c r="C771" s="46"/>
      <c r="D771" s="46"/>
      <c r="E771" s="46"/>
      <c r="F771" s="46"/>
      <c r="G771" s="43"/>
      <c r="H771" s="43"/>
      <c r="I771" s="43"/>
      <c r="J771" s="43"/>
    </row>
    <row r="772" spans="1:10" ht="13.5" thickBot="1">
      <c r="A772" s="46"/>
      <c r="B772" s="46"/>
      <c r="C772" s="46"/>
      <c r="D772" s="46"/>
      <c r="E772" s="46"/>
      <c r="F772" s="46"/>
      <c r="G772" s="43"/>
      <c r="H772" s="43"/>
      <c r="I772" s="43"/>
      <c r="J772" s="43"/>
    </row>
    <row r="773" spans="1:10" ht="25.5" customHeight="1" thickBot="1">
      <c r="A773" s="50"/>
      <c r="B773" s="257"/>
      <c r="C773" s="258"/>
      <c r="D773" s="258"/>
      <c r="E773" s="258"/>
      <c r="F773" s="259"/>
      <c r="G773" s="43"/>
      <c r="H773" s="43"/>
      <c r="I773" s="43"/>
      <c r="J773" s="43"/>
    </row>
    <row r="774" spans="1:10">
      <c r="A774" s="43"/>
      <c r="B774" s="43"/>
      <c r="C774" s="43"/>
      <c r="D774" s="43"/>
      <c r="E774" s="43"/>
      <c r="F774" s="43"/>
      <c r="G774" s="43"/>
      <c r="H774" s="43"/>
      <c r="I774" s="43"/>
      <c r="J774" s="43"/>
    </row>
    <row r="775" spans="1:10">
      <c r="A775" s="43"/>
      <c r="B775" s="43"/>
      <c r="C775" s="43"/>
      <c r="D775" s="43"/>
      <c r="E775" s="43"/>
      <c r="F775" s="43"/>
      <c r="G775" s="43"/>
      <c r="H775" s="43"/>
      <c r="I775" s="43"/>
      <c r="J775" s="43"/>
    </row>
    <row r="776" spans="1:10">
      <c r="A776" s="43"/>
      <c r="B776" s="43"/>
      <c r="C776" s="43"/>
      <c r="D776" s="43"/>
      <c r="E776" s="43"/>
      <c r="F776" s="43"/>
      <c r="G776" s="43"/>
      <c r="H776" s="43"/>
      <c r="I776" s="43"/>
      <c r="J776" s="43"/>
    </row>
    <row r="777" spans="1:10">
      <c r="A777" s="43"/>
      <c r="B777" s="43"/>
      <c r="C777" s="43"/>
      <c r="D777" s="43"/>
      <c r="E777" s="43"/>
      <c r="F777" s="43"/>
      <c r="G777" s="43"/>
      <c r="H777" s="43"/>
      <c r="I777" s="43"/>
      <c r="J777" s="43"/>
    </row>
    <row r="778" spans="1:10">
      <c r="A778" s="43"/>
      <c r="B778" s="43"/>
      <c r="C778" s="43"/>
      <c r="D778" s="43"/>
      <c r="E778" s="43"/>
      <c r="F778" s="43"/>
      <c r="G778" s="43"/>
      <c r="H778" s="43"/>
      <c r="I778" s="43"/>
      <c r="J778" s="43"/>
    </row>
    <row r="779" spans="1:10" ht="25.5" customHeight="1">
      <c r="A779" s="47"/>
      <c r="B779" s="47"/>
      <c r="C779" s="47"/>
      <c r="D779" s="47"/>
      <c r="E779" s="47"/>
      <c r="F779" s="43"/>
      <c r="G779" s="51"/>
      <c r="H779" s="250" t="s">
        <v>1227</v>
      </c>
      <c r="I779" s="251"/>
      <c r="J779" s="43"/>
    </row>
    <row r="780" spans="1:10">
      <c r="A780" s="43" t="s">
        <v>1226</v>
      </c>
      <c r="B780" s="43"/>
      <c r="C780" s="43"/>
      <c r="D780" s="43"/>
      <c r="E780" s="43"/>
      <c r="F780" s="43"/>
      <c r="G780" s="43"/>
      <c r="H780" s="43"/>
      <c r="I780" s="43"/>
      <c r="J780" s="43"/>
    </row>
    <row r="781" spans="1:10">
      <c r="A781" s="43"/>
      <c r="B781" s="43"/>
      <c r="C781" s="43"/>
      <c r="D781" s="43"/>
      <c r="E781" s="43"/>
      <c r="F781" s="43"/>
      <c r="G781" s="43"/>
      <c r="H781" s="43"/>
      <c r="I781" s="43"/>
      <c r="J781" s="43"/>
    </row>
    <row r="782" spans="1:10">
      <c r="A782" s="43"/>
      <c r="B782" s="43"/>
      <c r="C782" s="43"/>
      <c r="D782" s="43"/>
      <c r="E782" s="256" t="str">
        <f>CONCATENATE("(",$D753," vs ",$I753,")")</f>
        <v>(F vs G)</v>
      </c>
      <c r="F782" s="256"/>
      <c r="G782" s="43"/>
      <c r="H782" s="43"/>
      <c r="I782" s="43"/>
      <c r="J782" s="43"/>
    </row>
    <row r="783" spans="1:10" ht="15.75">
      <c r="A783" s="42" t="s">
        <v>1223</v>
      </c>
      <c r="B783" s="43"/>
      <c r="C783" s="43"/>
      <c r="D783" s="43"/>
      <c r="E783" s="43"/>
      <c r="F783" s="43"/>
      <c r="G783" s="43"/>
      <c r="H783" s="43"/>
      <c r="I783" s="43"/>
      <c r="J783" s="96" t="s">
        <v>4242</v>
      </c>
    </row>
    <row r="784" spans="1:10" ht="12.75" customHeight="1">
      <c r="A784" s="42"/>
      <c r="B784" s="43"/>
      <c r="C784" s="43"/>
      <c r="D784" s="43"/>
      <c r="E784" s="43"/>
      <c r="F784" s="43"/>
      <c r="G784" s="43" t="str">
        <f ca="1">Team_Matches!$J$6</f>
        <v>[NCTTA Teams Template (v2.06).xlsx]</v>
      </c>
      <c r="H784" s="43"/>
      <c r="I784" s="43"/>
      <c r="J784" s="160"/>
    </row>
    <row r="785" spans="1:10" ht="12.75" customHeight="1">
      <c r="A785" s="42"/>
      <c r="B785" s="43"/>
      <c r="C785" s="43"/>
      <c r="D785" s="43"/>
      <c r="E785" s="43"/>
      <c r="F785" s="43"/>
      <c r="G785" s="247" t="str">
        <f>Team_Matches!$J568</f>
        <v>Round 3, Match 4</v>
      </c>
      <c r="H785" s="247"/>
      <c r="I785" s="161" t="str">
        <f>Team_Matches!$M568</f>
        <v/>
      </c>
      <c r="J785" s="161"/>
    </row>
    <row r="786" spans="1:10" ht="15.75">
      <c r="A786" s="42"/>
      <c r="B786" s="43"/>
      <c r="C786" s="43"/>
      <c r="D786" s="43"/>
      <c r="E786" s="43"/>
      <c r="F786" s="43"/>
      <c r="G786" s="43"/>
      <c r="H786" s="43"/>
      <c r="I786" s="43"/>
      <c r="J786" s="43"/>
    </row>
    <row r="787" spans="1:10">
      <c r="A787" s="43"/>
      <c r="B787" s="43"/>
      <c r="C787" s="9" t="s">
        <v>1228</v>
      </c>
      <c r="D787" s="3" t="str">
        <f>Team_Matches!$B570</f>
        <v>F</v>
      </c>
      <c r="E787" s="43"/>
      <c r="F787" s="97" t="str">
        <f>CONCATENATE($D787,"-",$I787)</f>
        <v>F-G</v>
      </c>
      <c r="G787" s="43"/>
      <c r="H787" s="9" t="s">
        <v>1228</v>
      </c>
      <c r="I787" s="52" t="str">
        <f>Team_Matches!$K570</f>
        <v>G</v>
      </c>
      <c r="J787" s="43"/>
    </row>
    <row r="788" spans="1:10" ht="25.5" customHeight="1">
      <c r="A788" s="44"/>
      <c r="B788" s="252" t="str">
        <f>IF(VLOOKUP($D787,Draw!$A$4:$B$27,2)&lt;&gt;0,VLOOKUP($D787,Draw!$A$4:$B$27,2),"")</f>
        <v/>
      </c>
      <c r="C788" s="252"/>
      <c r="D788" s="252"/>
      <c r="E788" s="253"/>
      <c r="F788" s="45"/>
      <c r="G788" s="248" t="str">
        <f>IF(VLOOKUP($I787,Draw!$A$4:$B$27,2)&lt;&gt;0,VLOOKUP($I787,Draw!$A$4:$B$27,2),"")</f>
        <v/>
      </c>
      <c r="H788" s="248"/>
      <c r="I788" s="248"/>
      <c r="J788" s="249"/>
    </row>
    <row r="789" spans="1:10" ht="25.5" customHeight="1"/>
    <row r="790" spans="1:10" ht="25.5" customHeight="1"/>
    <row r="791" spans="1:10" ht="24" customHeight="1">
      <c r="A791" s="48" t="s">
        <v>1246</v>
      </c>
      <c r="B791" s="43"/>
      <c r="C791" s="43"/>
      <c r="D791" s="43"/>
      <c r="E791" s="43"/>
      <c r="F791" s="43"/>
      <c r="G791" s="43"/>
      <c r="H791" s="43"/>
      <c r="I791" s="43"/>
      <c r="J791" s="43"/>
    </row>
    <row r="792" spans="1:10" ht="24" customHeight="1">
      <c r="A792" s="48"/>
      <c r="B792" s="43"/>
      <c r="C792" s="43"/>
      <c r="D792" s="43"/>
      <c r="E792" s="43"/>
      <c r="F792" s="43"/>
      <c r="G792" s="43"/>
      <c r="H792" s="43"/>
      <c r="I792" s="43"/>
      <c r="J792" s="43"/>
    </row>
    <row r="793" spans="1:10">
      <c r="A793" s="49" t="s">
        <v>1224</v>
      </c>
      <c r="B793" s="46"/>
      <c r="C793" s="46"/>
      <c r="D793" s="46"/>
      <c r="E793" s="46"/>
      <c r="F793" s="46"/>
      <c r="G793" s="260" t="s">
        <v>10336</v>
      </c>
      <c r="H793" s="260"/>
      <c r="I793" s="260"/>
      <c r="J793" s="260"/>
    </row>
    <row r="794" spans="1:10" ht="24" customHeight="1">
      <c r="A794" s="50" t="str">
        <f>CONCATENATE($I787,"1")</f>
        <v>G1</v>
      </c>
      <c r="B794" s="255" t="str">
        <f>IF(VLOOKUP($A794,Players!$A$2:$C$132,3)&lt;&gt;0,VLOOKUP($A794,Players!$A$2:$C$132,3),"")</f>
        <v/>
      </c>
      <c r="C794" s="255"/>
      <c r="D794" s="255"/>
      <c r="E794" s="255"/>
      <c r="F794" s="255"/>
      <c r="G794" s="254" t="str">
        <f>IF(VLOOKUP($D787&amp;RIGHT($A794,1),Players!$A$2:$D$132,3)&lt;&gt;0,VLOOKUP($D787&amp;RIGHT($A794,1),Players!$A$2:$D$132,3),"")</f>
        <v/>
      </c>
      <c r="H794" s="254"/>
      <c r="I794" s="254"/>
      <c r="J794" s="210" t="str">
        <f>IF(VLOOKUP($D787&amp;RIGHT($A794,1),Players!$A$2:$D$132,3)&lt;&gt;0,"("&amp;VLOOKUP($D787&amp;RIGHT($A794,1),Players!$A$2:$D$132,4)&amp;")","")</f>
        <v/>
      </c>
    </row>
    <row r="795" spans="1:10" ht="25.5" customHeight="1">
      <c r="A795" s="50" t="str">
        <f>CONCATENATE($I787,"2")</f>
        <v>G2</v>
      </c>
      <c r="B795" s="255" t="str">
        <f>IF(VLOOKUP($A795,Players!$A$2:$C$132,3)&lt;&gt;0,VLOOKUP($A795,Players!$A$2:$C$132,3),"")</f>
        <v/>
      </c>
      <c r="C795" s="255"/>
      <c r="D795" s="255"/>
      <c r="E795" s="255"/>
      <c r="F795" s="255"/>
      <c r="G795" s="254" t="str">
        <f>IF(VLOOKUP($D787&amp;RIGHT($A795,1),Players!$A$2:$D$132,3)&lt;&gt;0,VLOOKUP($D787&amp;RIGHT($A795,1),Players!$A$2:$D$132,3),"")</f>
        <v/>
      </c>
      <c r="H795" s="254"/>
      <c r="I795" s="254"/>
      <c r="J795" s="210" t="str">
        <f>IF(VLOOKUP($D787&amp;RIGHT($A795,1),Players!$A$2:$D$132,3)&lt;&gt;0,"("&amp;VLOOKUP($D787&amp;RIGHT($A795,1),Players!$A$2:$D$132,4)&amp;")","")</f>
        <v/>
      </c>
    </row>
    <row r="796" spans="1:10" ht="25.5" customHeight="1">
      <c r="A796" s="50" t="str">
        <f>CONCATENATE($I787,"3")</f>
        <v>G3</v>
      </c>
      <c r="B796" s="255" t="str">
        <f>IF(VLOOKUP($A796,Players!$A$2:$C$132,3)&lt;&gt;0,VLOOKUP($A796,Players!$A$2:$C$132,3),"")</f>
        <v/>
      </c>
      <c r="C796" s="255"/>
      <c r="D796" s="255"/>
      <c r="E796" s="255"/>
      <c r="F796" s="255"/>
      <c r="G796" s="254" t="str">
        <f>IF(VLOOKUP($D787&amp;RIGHT($A796,1),Players!$A$2:$D$132,3)&lt;&gt;0,VLOOKUP($D787&amp;RIGHT($A796,1),Players!$A$2:$D$132,3),"")</f>
        <v/>
      </c>
      <c r="H796" s="254"/>
      <c r="I796" s="254"/>
      <c r="J796" s="210" t="str">
        <f>IF(VLOOKUP($D787&amp;RIGHT($A796,1),Players!$A$2:$D$132,3)&lt;&gt;0,"("&amp;VLOOKUP($D787&amp;RIGHT($A796,1),Players!$A$2:$D$132,4)&amp;")","")</f>
        <v/>
      </c>
    </row>
    <row r="797" spans="1:10" ht="25.5" customHeight="1">
      <c r="A797" s="50" t="str">
        <f>CONCATENATE($I787,"4")</f>
        <v>G4</v>
      </c>
      <c r="B797" s="255" t="str">
        <f>IF(VLOOKUP($A797,Players!$A$2:$C$132,3)&lt;&gt;0,VLOOKUP($A797,Players!$A$2:$C$132,3),"")</f>
        <v/>
      </c>
      <c r="C797" s="255"/>
      <c r="D797" s="255"/>
      <c r="E797" s="255"/>
      <c r="F797" s="255"/>
      <c r="G797" s="254" t="str">
        <f>IF(VLOOKUP($D787&amp;RIGHT($A797,1),Players!$A$2:$D$132,3)&lt;&gt;0,VLOOKUP($D787&amp;RIGHT($A797,1),Players!$A$2:$D$132,3),"")</f>
        <v/>
      </c>
      <c r="H797" s="254"/>
      <c r="I797" s="254"/>
      <c r="J797" s="210" t="str">
        <f>IF(VLOOKUP($D787&amp;RIGHT($A797,1),Players!$A$2:$D$132,3)&lt;&gt;0,"("&amp;VLOOKUP($D787&amp;RIGHT($A797,1),Players!$A$2:$D$132,4)&amp;")","")</f>
        <v/>
      </c>
    </row>
    <row r="798" spans="1:10" ht="25.5" customHeight="1">
      <c r="A798" s="50" t="str">
        <f>CONCATENATE($I787,"5")</f>
        <v>G5</v>
      </c>
      <c r="B798" s="255" t="str">
        <f>IF(VLOOKUP($A798,Players!$A$2:$C$132,3)&lt;&gt;0,VLOOKUP($A798,Players!$A$2:$C$132,3),"")</f>
        <v/>
      </c>
      <c r="C798" s="255"/>
      <c r="D798" s="255"/>
      <c r="E798" s="255"/>
      <c r="F798" s="255"/>
      <c r="G798" s="254" t="str">
        <f>IF(VLOOKUP($D787&amp;RIGHT($A798,1),Players!$A$2:$D$132,3)&lt;&gt;0,VLOOKUP($D787&amp;RIGHT($A798,1),Players!$A$2:$D$132,3),"")</f>
        <v/>
      </c>
      <c r="H798" s="254"/>
      <c r="I798" s="254"/>
      <c r="J798" s="210" t="str">
        <f>IF(VLOOKUP($D787&amp;RIGHT($A798,1),Players!$A$2:$D$132,3)&lt;&gt;0,"("&amp;VLOOKUP($D787&amp;RIGHT($A798,1),Players!$A$2:$D$132,4)&amp;")","")</f>
        <v/>
      </c>
    </row>
    <row r="799" spans="1:10" ht="25.5" customHeight="1">
      <c r="A799" s="50" t="str">
        <f>CONCATENATE($I787,"6")</f>
        <v>G6</v>
      </c>
      <c r="B799" s="255" t="str">
        <f>IF(VLOOKUP($A799,Players!$A$2:$C$132,3)&lt;&gt;0,VLOOKUP($A799,Players!$A$2:$C$132,3),"")</f>
        <v/>
      </c>
      <c r="C799" s="255"/>
      <c r="D799" s="255"/>
      <c r="E799" s="255"/>
      <c r="F799" s="255"/>
      <c r="G799" s="254" t="str">
        <f>IF(VLOOKUP($D787&amp;RIGHT($A799,1),Players!$A$2:$D$132,3)&lt;&gt;0,VLOOKUP($D787&amp;RIGHT($A799,1),Players!$A$2:$D$132,3),"")</f>
        <v/>
      </c>
      <c r="H799" s="254"/>
      <c r="I799" s="254"/>
      <c r="J799" s="210" t="str">
        <f>IF(VLOOKUP($D787&amp;RIGHT($A799,1),Players!$A$2:$D$132,3)&lt;&gt;0,"("&amp;VLOOKUP($D787&amp;RIGHT($A799,1),Players!$A$2:$D$132,4)&amp;")","")</f>
        <v/>
      </c>
    </row>
    <row r="800" spans="1:10" ht="25.5" customHeight="1">
      <c r="A800" s="50" t="str">
        <f>CONCATENATE($I787,"7")</f>
        <v>G7</v>
      </c>
      <c r="B800" s="255" t="str">
        <f>IF(VLOOKUP($A800,Players!$A$2:$C$132,3)&lt;&gt;0,VLOOKUP($A800,Players!$A$2:$C$132,3),"")</f>
        <v/>
      </c>
      <c r="C800" s="255"/>
      <c r="D800" s="255"/>
      <c r="E800" s="255"/>
      <c r="F800" s="255"/>
      <c r="G800" s="254" t="str">
        <f>IF(VLOOKUP($D787&amp;RIGHT($A800,1),Players!$A$2:$D$132,3)&lt;&gt;0,VLOOKUP($D787&amp;RIGHT($A800,1),Players!$A$2:$D$132,3),"")</f>
        <v/>
      </c>
      <c r="H800" s="254"/>
      <c r="I800" s="254"/>
      <c r="J800" s="210" t="str">
        <f>IF(VLOOKUP($D787&amp;RIGHT($A800,1),Players!$A$2:$D$132,3)&lt;&gt;0,"("&amp;VLOOKUP($D787&amp;RIGHT($A800,1),Players!$A$2:$D$132,4)&amp;")","")</f>
        <v/>
      </c>
    </row>
    <row r="801" spans="1:10" ht="25.5" customHeight="1">
      <c r="A801" s="50" t="str">
        <f>CONCATENATE($I787,"8")</f>
        <v>G8</v>
      </c>
      <c r="B801" s="255" t="str">
        <f>IF(VLOOKUP($A801,Players!$A$2:$C$132,3)&lt;&gt;0,VLOOKUP($A801,Players!$A$2:$C$132,3),"")</f>
        <v/>
      </c>
      <c r="C801" s="255"/>
      <c r="D801" s="255"/>
      <c r="E801" s="255"/>
      <c r="F801" s="255"/>
      <c r="G801" s="254" t="str">
        <f>IF(VLOOKUP($D787&amp;RIGHT($A801,1),Players!$A$2:$D$132,3)&lt;&gt;0,VLOOKUP($D787&amp;RIGHT($A801,1),Players!$A$2:$D$132,3),"")</f>
        <v/>
      </c>
      <c r="H801" s="254"/>
      <c r="I801" s="254"/>
      <c r="J801" s="210" t="str">
        <f>IF(VLOOKUP($D787&amp;RIGHT($A801,1),Players!$A$2:$D$132,3)&lt;&gt;0,"("&amp;VLOOKUP($D787&amp;RIGHT($A801,1),Players!$A$2:$D$132,4)&amp;")","")</f>
        <v/>
      </c>
    </row>
    <row r="802" spans="1:10" ht="25.5" customHeight="1">
      <c r="A802" s="50"/>
      <c r="B802" s="26"/>
      <c r="C802" s="26"/>
      <c r="D802" s="26"/>
      <c r="E802" s="26"/>
      <c r="F802" s="27"/>
      <c r="G802" s="43"/>
      <c r="H802" s="43"/>
      <c r="I802" s="43"/>
      <c r="J802" s="43"/>
    </row>
    <row r="803" spans="1:10">
      <c r="A803" s="49" t="s">
        <v>1225</v>
      </c>
      <c r="B803" s="46"/>
      <c r="C803" s="46"/>
      <c r="D803" s="46"/>
      <c r="E803" s="46"/>
      <c r="F803" s="46"/>
      <c r="G803" s="43"/>
      <c r="H803" s="43"/>
      <c r="I803" s="43"/>
      <c r="J803" s="43"/>
    </row>
    <row r="804" spans="1:10">
      <c r="A804" s="46" t="s">
        <v>1247</v>
      </c>
      <c r="B804" s="46"/>
      <c r="C804" s="46"/>
      <c r="D804" s="46"/>
      <c r="E804" s="46"/>
      <c r="F804" s="46"/>
      <c r="G804" s="43"/>
      <c r="H804" s="43"/>
      <c r="I804" s="43"/>
      <c r="J804" s="43"/>
    </row>
    <row r="805" spans="1:10">
      <c r="A805" s="46" t="s">
        <v>1248</v>
      </c>
      <c r="B805" s="46"/>
      <c r="C805" s="46"/>
      <c r="D805" s="46"/>
      <c r="E805" s="46"/>
      <c r="F805" s="46"/>
      <c r="G805" s="43"/>
      <c r="H805" s="43"/>
      <c r="I805" s="43"/>
      <c r="J805" s="43"/>
    </row>
    <row r="806" spans="1:10" ht="13.5" thickBot="1">
      <c r="A806" s="46"/>
      <c r="B806" s="46"/>
      <c r="C806" s="46"/>
      <c r="D806" s="46"/>
      <c r="E806" s="46"/>
      <c r="F806" s="46"/>
      <c r="G806" s="43"/>
      <c r="H806" s="43"/>
      <c r="I806" s="43"/>
      <c r="J806" s="43"/>
    </row>
    <row r="807" spans="1:10" ht="25.5" customHeight="1" thickBot="1">
      <c r="A807" s="50"/>
      <c r="B807" s="257"/>
      <c r="C807" s="258"/>
      <c r="D807" s="258"/>
      <c r="E807" s="258"/>
      <c r="F807" s="259"/>
      <c r="G807" s="43"/>
      <c r="H807" s="43"/>
      <c r="I807" s="43"/>
      <c r="J807" s="43"/>
    </row>
    <row r="808" spans="1:10">
      <c r="A808" s="43"/>
      <c r="B808" s="43"/>
      <c r="C808" s="43"/>
      <c r="D808" s="43"/>
      <c r="E808" s="43"/>
      <c r="F808" s="43"/>
      <c r="G808" s="43"/>
      <c r="H808" s="43"/>
      <c r="I808" s="43"/>
      <c r="J808" s="43"/>
    </row>
    <row r="809" spans="1:10">
      <c r="A809" s="43"/>
      <c r="B809" s="43"/>
      <c r="C809" s="43"/>
      <c r="D809" s="43"/>
      <c r="E809" s="43"/>
      <c r="F809" s="43"/>
      <c r="G809" s="43"/>
      <c r="H809" s="43"/>
      <c r="I809" s="43"/>
      <c r="J809" s="43"/>
    </row>
    <row r="810" spans="1:10">
      <c r="A810" s="43"/>
      <c r="B810" s="43"/>
      <c r="C810" s="43"/>
      <c r="D810" s="43"/>
      <c r="E810" s="43"/>
      <c r="F810" s="43"/>
      <c r="G810" s="43"/>
      <c r="H810" s="43"/>
      <c r="I810" s="43"/>
      <c r="J810" s="43"/>
    </row>
    <row r="811" spans="1:10">
      <c r="A811" s="43"/>
      <c r="B811" s="43"/>
      <c r="C811" s="43"/>
      <c r="D811" s="43"/>
      <c r="E811" s="43"/>
      <c r="F811" s="43"/>
      <c r="G811" s="43"/>
      <c r="H811" s="43"/>
      <c r="I811" s="43"/>
      <c r="J811" s="43"/>
    </row>
    <row r="812" spans="1:10">
      <c r="A812" s="43"/>
      <c r="B812" s="43"/>
      <c r="C812" s="43"/>
      <c r="D812" s="43"/>
      <c r="E812" s="43"/>
      <c r="F812" s="43"/>
      <c r="G812" s="43"/>
      <c r="H812" s="43"/>
      <c r="I812" s="43"/>
      <c r="J812" s="43"/>
    </row>
    <row r="813" spans="1:10" ht="25.5" customHeight="1">
      <c r="A813" s="47"/>
      <c r="B813" s="47"/>
      <c r="C813" s="47"/>
      <c r="D813" s="47"/>
      <c r="E813" s="47"/>
      <c r="F813" s="43"/>
      <c r="G813" s="51"/>
      <c r="H813" s="250" t="s">
        <v>1227</v>
      </c>
      <c r="I813" s="251"/>
      <c r="J813" s="43"/>
    </row>
    <row r="814" spans="1:10">
      <c r="A814" s="43" t="s">
        <v>1226</v>
      </c>
      <c r="B814" s="43"/>
      <c r="C814" s="43"/>
      <c r="D814" s="43"/>
      <c r="E814" s="43"/>
      <c r="F814" s="43"/>
      <c r="G814" s="43"/>
      <c r="H814" s="43"/>
      <c r="I814" s="43"/>
      <c r="J814" s="43"/>
    </row>
    <row r="815" spans="1:10">
      <c r="A815" s="43"/>
      <c r="B815" s="43"/>
      <c r="C815" s="43"/>
      <c r="D815" s="43"/>
      <c r="E815" s="43"/>
      <c r="F815" s="43"/>
      <c r="G815" s="43"/>
      <c r="H815" s="43"/>
      <c r="I815" s="43"/>
      <c r="J815" s="43"/>
    </row>
    <row r="816" spans="1:10">
      <c r="A816" s="43"/>
      <c r="B816" s="43"/>
      <c r="C816" s="43"/>
      <c r="D816" s="43"/>
      <c r="E816" s="256" t="str">
        <f>CONCATENATE("(",$D787," vs ",$I787,")")</f>
        <v>(F vs G)</v>
      </c>
      <c r="F816" s="256"/>
      <c r="G816" s="43"/>
      <c r="H816" s="43"/>
      <c r="I816" s="43"/>
      <c r="J816" s="43"/>
    </row>
    <row r="817" spans="1:10" ht="15.75">
      <c r="A817" s="42" t="s">
        <v>1223</v>
      </c>
      <c r="B817" s="43"/>
      <c r="C817" s="43"/>
      <c r="D817" s="43"/>
      <c r="E817" s="43"/>
      <c r="F817" s="43"/>
      <c r="G817" s="43"/>
      <c r="H817" s="43"/>
      <c r="I817" s="43"/>
      <c r="J817" s="96" t="s">
        <v>4243</v>
      </c>
    </row>
    <row r="818" spans="1:10" ht="12.75" customHeight="1">
      <c r="A818" s="42"/>
      <c r="B818" s="43"/>
      <c r="C818" s="43"/>
      <c r="D818" s="43"/>
      <c r="E818" s="43"/>
      <c r="F818" s="43"/>
      <c r="G818" s="43" t="str">
        <f ca="1">Team_Matches!$J$6</f>
        <v>[NCTTA Teams Template (v2.06).xlsx]</v>
      </c>
      <c r="H818" s="43"/>
      <c r="I818" s="43"/>
      <c r="J818" s="160"/>
    </row>
    <row r="819" spans="1:10" ht="12.75" customHeight="1">
      <c r="A819" s="42"/>
      <c r="B819" s="43"/>
      <c r="C819" s="43"/>
      <c r="D819" s="43"/>
      <c r="E819" s="43"/>
      <c r="F819" s="43"/>
      <c r="G819" s="247" t="str">
        <f>Team_Matches!$J619</f>
        <v>Round 1, Match 5</v>
      </c>
      <c r="H819" s="247"/>
      <c r="I819" s="161" t="str">
        <f>Team_Matches!$M619</f>
        <v/>
      </c>
      <c r="J819" s="161"/>
    </row>
    <row r="820" spans="1:10" ht="15.75">
      <c r="A820" s="42"/>
      <c r="B820" s="43"/>
      <c r="C820" s="43"/>
      <c r="D820" s="43"/>
      <c r="E820" s="43"/>
      <c r="F820" s="43"/>
      <c r="G820" s="43"/>
      <c r="H820" s="43"/>
      <c r="I820" s="43"/>
      <c r="J820" s="43"/>
    </row>
    <row r="821" spans="1:10">
      <c r="A821" s="43"/>
      <c r="B821" s="43"/>
      <c r="C821" s="9" t="s">
        <v>1228</v>
      </c>
      <c r="D821" s="52" t="str">
        <f>Team_Matches!$B621</f>
        <v>I</v>
      </c>
      <c r="E821" s="43"/>
      <c r="F821" s="97" t="str">
        <f>CONCATENATE($D821,"-",$I821)</f>
        <v>I-K</v>
      </c>
      <c r="G821" s="43"/>
      <c r="H821" s="9" t="s">
        <v>1228</v>
      </c>
      <c r="I821" s="52" t="str">
        <f>Team_Matches!$K621</f>
        <v>K</v>
      </c>
      <c r="J821" s="43"/>
    </row>
    <row r="822" spans="1:10" ht="25.5" customHeight="1">
      <c r="A822" s="44"/>
      <c r="B822" s="248" t="str">
        <f>IF(VLOOKUP($D821,Draw!$A$4:$B$27,2)&lt;&gt;0,VLOOKUP($D821,Draw!$A$4:$B$27,2),"")</f>
        <v/>
      </c>
      <c r="C822" s="248"/>
      <c r="D822" s="248"/>
      <c r="E822" s="249"/>
      <c r="F822" s="45"/>
      <c r="G822" s="252" t="str">
        <f>IF(VLOOKUP($I821,Draw!$A$4:$B$27,2)&lt;&gt;0,VLOOKUP($I821,Draw!$A$4:$B$27,2),"")</f>
        <v/>
      </c>
      <c r="H822" s="252"/>
      <c r="I822" s="252"/>
      <c r="J822" s="253"/>
    </row>
    <row r="823" spans="1:10" ht="25.5" customHeight="1"/>
    <row r="824" spans="1:10" ht="25.5" customHeight="1"/>
    <row r="825" spans="1:10" ht="24" customHeight="1">
      <c r="A825" s="48" t="s">
        <v>1246</v>
      </c>
      <c r="B825" s="43"/>
      <c r="C825" s="43"/>
      <c r="D825" s="43"/>
      <c r="E825" s="43"/>
      <c r="F825" s="43"/>
      <c r="G825" s="43"/>
      <c r="H825" s="43"/>
      <c r="I825" s="43"/>
      <c r="J825" s="43"/>
    </row>
    <row r="826" spans="1:10" ht="24" customHeight="1">
      <c r="A826" s="48"/>
      <c r="B826" s="43"/>
      <c r="C826" s="43"/>
      <c r="D826" s="43"/>
      <c r="E826" s="43"/>
      <c r="F826" s="43"/>
      <c r="G826" s="43"/>
      <c r="H826" s="43"/>
      <c r="I826" s="43"/>
      <c r="J826" s="43"/>
    </row>
    <row r="827" spans="1:10">
      <c r="A827" s="49" t="s">
        <v>1224</v>
      </c>
      <c r="B827" s="46"/>
      <c r="C827" s="46"/>
      <c r="D827" s="46"/>
      <c r="E827" s="46"/>
      <c r="F827" s="46"/>
      <c r="G827" s="260" t="s">
        <v>10336</v>
      </c>
      <c r="H827" s="260"/>
      <c r="I827" s="260"/>
      <c r="J827" s="260"/>
    </row>
    <row r="828" spans="1:10" ht="24" customHeight="1">
      <c r="A828" s="50" t="str">
        <f>CONCATENATE($D821,"1")</f>
        <v>I1</v>
      </c>
      <c r="B828" s="255" t="str">
        <f>IF(VLOOKUP($A828,Players!$A$2:$C$132,3)&lt;&gt;0,VLOOKUP($A828,Players!$A$2:$C$132,3),"")</f>
        <v/>
      </c>
      <c r="C828" s="255"/>
      <c r="D828" s="255"/>
      <c r="E828" s="255"/>
      <c r="F828" s="255"/>
      <c r="G828" s="254" t="str">
        <f>IF(VLOOKUP($I821&amp;RIGHT($A828,1),Players!$A$2:$D$132,3)&lt;&gt;0,VLOOKUP($I821&amp;RIGHT($A828,1),Players!$A$2:$D$132,3),"")</f>
        <v/>
      </c>
      <c r="H828" s="254"/>
      <c r="I828" s="254"/>
      <c r="J828" s="210" t="str">
        <f>IF(VLOOKUP($I821&amp;RIGHT($A828,1),Players!$A$2:$D$132,3)&lt;&gt;0,"("&amp;VLOOKUP($I821&amp;RIGHT($A828,1),Players!$A$2:$D$132,4)&amp;")","")</f>
        <v/>
      </c>
    </row>
    <row r="829" spans="1:10" ht="25.5" customHeight="1">
      <c r="A829" s="50" t="str">
        <f>CONCATENATE($D821,"2")</f>
        <v>I2</v>
      </c>
      <c r="B829" s="255" t="str">
        <f>IF(VLOOKUP($A829,Players!$A$2:$C$132,3)&lt;&gt;0,VLOOKUP($A829,Players!$A$2:$C$132,3),"")</f>
        <v/>
      </c>
      <c r="C829" s="255"/>
      <c r="D829" s="255"/>
      <c r="E829" s="255"/>
      <c r="F829" s="255"/>
      <c r="G829" s="254" t="str">
        <f>IF(VLOOKUP($I821&amp;RIGHT($A829,1),Players!$A$2:$D$132,3)&lt;&gt;0,VLOOKUP($I821&amp;RIGHT($A829,1),Players!$A$2:$D$132,3),"")</f>
        <v/>
      </c>
      <c r="H829" s="254"/>
      <c r="I829" s="254"/>
      <c r="J829" s="210" t="str">
        <f>IF(VLOOKUP($I821&amp;RIGHT($A829,1),Players!$A$2:$D$132,3)&lt;&gt;0,"("&amp;VLOOKUP($I821&amp;RIGHT($A829,1),Players!$A$2:$D$132,4)&amp;")","")</f>
        <v/>
      </c>
    </row>
    <row r="830" spans="1:10" ht="25.5" customHeight="1">
      <c r="A830" s="50" t="str">
        <f>CONCATENATE($D821,"3")</f>
        <v>I3</v>
      </c>
      <c r="B830" s="255" t="str">
        <f>IF(VLOOKUP($A830,Players!$A$2:$C$132,3)&lt;&gt;0,VLOOKUP($A830,Players!$A$2:$C$132,3),"")</f>
        <v/>
      </c>
      <c r="C830" s="255"/>
      <c r="D830" s="255"/>
      <c r="E830" s="255"/>
      <c r="F830" s="255"/>
      <c r="G830" s="254" t="str">
        <f>IF(VLOOKUP($I821&amp;RIGHT($A830,1),Players!$A$2:$D$132,3)&lt;&gt;0,VLOOKUP($I821&amp;RIGHT($A830,1),Players!$A$2:$D$132,3),"")</f>
        <v/>
      </c>
      <c r="H830" s="254"/>
      <c r="I830" s="254"/>
      <c r="J830" s="210" t="str">
        <f>IF(VLOOKUP($I821&amp;RIGHT($A830,1),Players!$A$2:$D$132,3)&lt;&gt;0,"("&amp;VLOOKUP($I821&amp;RIGHT($A830,1),Players!$A$2:$D$132,4)&amp;")","")</f>
        <v/>
      </c>
    </row>
    <row r="831" spans="1:10" ht="25.5" customHeight="1">
      <c r="A831" s="50" t="str">
        <f>CONCATENATE($D821,"4")</f>
        <v>I4</v>
      </c>
      <c r="B831" s="255" t="str">
        <f>IF(VLOOKUP($A831,Players!$A$2:$C$132,3)&lt;&gt;0,VLOOKUP($A831,Players!$A$2:$C$132,3),"")</f>
        <v/>
      </c>
      <c r="C831" s="255"/>
      <c r="D831" s="255"/>
      <c r="E831" s="255"/>
      <c r="F831" s="255"/>
      <c r="G831" s="254" t="str">
        <f>IF(VLOOKUP($I821&amp;RIGHT($A831,1),Players!$A$2:$D$132,3)&lt;&gt;0,VLOOKUP($I821&amp;RIGHT($A831,1),Players!$A$2:$D$132,3),"")</f>
        <v/>
      </c>
      <c r="H831" s="254"/>
      <c r="I831" s="254"/>
      <c r="J831" s="210" t="str">
        <f>IF(VLOOKUP($I821&amp;RIGHT($A831,1),Players!$A$2:$D$132,3)&lt;&gt;0,"("&amp;VLOOKUP($I821&amp;RIGHT($A831,1),Players!$A$2:$D$132,4)&amp;")","")</f>
        <v/>
      </c>
    </row>
    <row r="832" spans="1:10" ht="25.5" customHeight="1">
      <c r="A832" s="50" t="str">
        <f>CONCATENATE($D821,"5")</f>
        <v>I5</v>
      </c>
      <c r="B832" s="255" t="str">
        <f>IF(VLOOKUP($A832,Players!$A$2:$C$132,3)&lt;&gt;0,VLOOKUP($A832,Players!$A$2:$C$132,3),"")</f>
        <v/>
      </c>
      <c r="C832" s="255"/>
      <c r="D832" s="255"/>
      <c r="E832" s="255"/>
      <c r="F832" s="255"/>
      <c r="G832" s="254" t="str">
        <f>IF(VLOOKUP($I821&amp;RIGHT($A832,1),Players!$A$2:$D$132,3)&lt;&gt;0,VLOOKUP($I821&amp;RIGHT($A832,1),Players!$A$2:$D$132,3),"")</f>
        <v/>
      </c>
      <c r="H832" s="254"/>
      <c r="I832" s="254"/>
      <c r="J832" s="210" t="str">
        <f>IF(VLOOKUP($I821&amp;RIGHT($A832,1),Players!$A$2:$D$132,3)&lt;&gt;0,"("&amp;VLOOKUP($I821&amp;RIGHT($A832,1),Players!$A$2:$D$132,4)&amp;")","")</f>
        <v/>
      </c>
    </row>
    <row r="833" spans="1:10" ht="25.5" customHeight="1">
      <c r="A833" s="50" t="str">
        <f>CONCATENATE($D821,"6")</f>
        <v>I6</v>
      </c>
      <c r="B833" s="255" t="str">
        <f>IF(VLOOKUP($A833,Players!$A$2:$C$132,3)&lt;&gt;0,VLOOKUP($A833,Players!$A$2:$C$132,3),"")</f>
        <v/>
      </c>
      <c r="C833" s="255"/>
      <c r="D833" s="255"/>
      <c r="E833" s="255"/>
      <c r="F833" s="255"/>
      <c r="G833" s="254" t="str">
        <f>IF(VLOOKUP($I821&amp;RIGHT($A833,1),Players!$A$2:$D$132,3)&lt;&gt;0,VLOOKUP($I821&amp;RIGHT($A833,1),Players!$A$2:$D$132,3),"")</f>
        <v/>
      </c>
      <c r="H833" s="254"/>
      <c r="I833" s="254"/>
      <c r="J833" s="210" t="str">
        <f>IF(VLOOKUP($I821&amp;RIGHT($A833,1),Players!$A$2:$D$132,3)&lt;&gt;0,"("&amp;VLOOKUP($I821&amp;RIGHT($A833,1),Players!$A$2:$D$132,4)&amp;")","")</f>
        <v/>
      </c>
    </row>
    <row r="834" spans="1:10" ht="25.5" customHeight="1">
      <c r="A834" s="50" t="str">
        <f>CONCATENATE($D821,"7")</f>
        <v>I7</v>
      </c>
      <c r="B834" s="255" t="str">
        <f>IF(VLOOKUP($A834,Players!$A$2:$C$132,3)&lt;&gt;0,VLOOKUP($A834,Players!$A$2:$C$132,3),"")</f>
        <v/>
      </c>
      <c r="C834" s="255"/>
      <c r="D834" s="255"/>
      <c r="E834" s="255"/>
      <c r="F834" s="255"/>
      <c r="G834" s="254" t="str">
        <f>IF(VLOOKUP($I821&amp;RIGHT($A834,1),Players!$A$2:$D$132,3)&lt;&gt;0,VLOOKUP($I821&amp;RIGHT($A834,1),Players!$A$2:$D$132,3),"")</f>
        <v/>
      </c>
      <c r="H834" s="254"/>
      <c r="I834" s="254"/>
      <c r="J834" s="210" t="str">
        <f>IF(VLOOKUP($I821&amp;RIGHT($A834,1),Players!$A$2:$D$132,3)&lt;&gt;0,"("&amp;VLOOKUP($I821&amp;RIGHT($A834,1),Players!$A$2:$D$132,4)&amp;")","")</f>
        <v/>
      </c>
    </row>
    <row r="835" spans="1:10" ht="25.5" customHeight="1">
      <c r="A835" s="50" t="str">
        <f>CONCATENATE($D821,"8")</f>
        <v>I8</v>
      </c>
      <c r="B835" s="255" t="str">
        <f>IF(VLOOKUP($A835,Players!$A$2:$C$132,3)&lt;&gt;0,VLOOKUP($A835,Players!$A$2:$C$132,3),"")</f>
        <v/>
      </c>
      <c r="C835" s="255"/>
      <c r="D835" s="255"/>
      <c r="E835" s="255"/>
      <c r="F835" s="255"/>
      <c r="G835" s="254" t="str">
        <f>IF(VLOOKUP($I821&amp;RIGHT($A835,1),Players!$A$2:$D$132,3)&lt;&gt;0,VLOOKUP($I821&amp;RIGHT($A835,1),Players!$A$2:$D$132,3),"")</f>
        <v/>
      </c>
      <c r="H835" s="254"/>
      <c r="I835" s="254"/>
      <c r="J835" s="210" t="str">
        <f>IF(VLOOKUP($I821&amp;RIGHT($A835,1),Players!$A$2:$D$132,3)&lt;&gt;0,"("&amp;VLOOKUP($I821&amp;RIGHT($A835,1),Players!$A$2:$D$132,4)&amp;")","")</f>
        <v/>
      </c>
    </row>
    <row r="836" spans="1:10" ht="25.5" customHeight="1">
      <c r="A836" s="50"/>
      <c r="B836" s="26"/>
      <c r="C836" s="26"/>
      <c r="D836" s="26"/>
      <c r="E836" s="26"/>
      <c r="F836" s="27"/>
      <c r="G836" s="43"/>
      <c r="H836" s="43"/>
      <c r="I836" s="43"/>
      <c r="J836" s="43"/>
    </row>
    <row r="837" spans="1:10">
      <c r="A837" s="49" t="s">
        <v>1225</v>
      </c>
      <c r="B837" s="46"/>
      <c r="C837" s="46"/>
      <c r="D837" s="46"/>
      <c r="E837" s="46"/>
      <c r="F837" s="46"/>
      <c r="G837" s="43"/>
      <c r="H837" s="43"/>
      <c r="I837" s="43"/>
      <c r="J837" s="43"/>
    </row>
    <row r="838" spans="1:10">
      <c r="A838" s="46" t="s">
        <v>1247</v>
      </c>
      <c r="B838" s="46"/>
      <c r="C838" s="46"/>
      <c r="D838" s="46"/>
      <c r="E838" s="46"/>
      <c r="F838" s="46"/>
      <c r="G838" s="43"/>
      <c r="H838" s="43"/>
      <c r="I838" s="43"/>
      <c r="J838" s="43"/>
    </row>
    <row r="839" spans="1:10">
      <c r="A839" s="46" t="s">
        <v>1248</v>
      </c>
      <c r="B839" s="46"/>
      <c r="C839" s="46"/>
      <c r="D839" s="46"/>
      <c r="E839" s="46"/>
      <c r="F839" s="46"/>
      <c r="G839" s="43"/>
      <c r="H839" s="43"/>
      <c r="I839" s="43"/>
      <c r="J839" s="43"/>
    </row>
    <row r="840" spans="1:10" ht="13.5" thickBot="1">
      <c r="A840" s="46"/>
      <c r="B840" s="46"/>
      <c r="C840" s="46"/>
      <c r="D840" s="46"/>
      <c r="E840" s="46"/>
      <c r="F840" s="46"/>
      <c r="G840" s="43"/>
      <c r="H840" s="43"/>
      <c r="I840" s="43"/>
      <c r="J840" s="43"/>
    </row>
    <row r="841" spans="1:10" ht="25.5" customHeight="1" thickBot="1">
      <c r="A841" s="50"/>
      <c r="B841" s="257"/>
      <c r="C841" s="258"/>
      <c r="D841" s="258"/>
      <c r="E841" s="258"/>
      <c r="F841" s="259"/>
      <c r="G841" s="43"/>
      <c r="H841" s="43"/>
      <c r="I841" s="43"/>
      <c r="J841" s="43"/>
    </row>
    <row r="842" spans="1:10">
      <c r="A842" s="43"/>
      <c r="B842" s="43"/>
      <c r="C842" s="43"/>
      <c r="D842" s="43"/>
      <c r="E842" s="43"/>
      <c r="F842" s="43"/>
      <c r="G842" s="43"/>
      <c r="H842" s="43"/>
      <c r="I842" s="43"/>
      <c r="J842" s="43"/>
    </row>
    <row r="843" spans="1:10">
      <c r="A843" s="43"/>
      <c r="B843" s="43"/>
      <c r="C843" s="43"/>
      <c r="D843" s="43"/>
      <c r="E843" s="43"/>
      <c r="F843" s="43"/>
      <c r="G843" s="43"/>
      <c r="H843" s="43"/>
      <c r="I843" s="43"/>
      <c r="J843" s="43"/>
    </row>
    <row r="844" spans="1:10">
      <c r="A844" s="43"/>
      <c r="B844" s="43"/>
      <c r="C844" s="43"/>
      <c r="D844" s="43"/>
      <c r="E844" s="43"/>
      <c r="F844" s="43"/>
      <c r="G844" s="43"/>
      <c r="H844" s="43"/>
      <c r="I844" s="43"/>
      <c r="J844" s="43"/>
    </row>
    <row r="845" spans="1:10">
      <c r="A845" s="43"/>
      <c r="B845" s="43"/>
      <c r="C845" s="43"/>
      <c r="D845" s="43"/>
      <c r="E845" s="43"/>
      <c r="F845" s="43"/>
      <c r="G845" s="43"/>
      <c r="H845" s="43"/>
      <c r="I845" s="43"/>
      <c r="J845" s="43"/>
    </row>
    <row r="846" spans="1:10">
      <c r="A846" s="43"/>
      <c r="B846" s="43"/>
      <c r="C846" s="43"/>
      <c r="D846" s="43"/>
      <c r="E846" s="43"/>
      <c r="F846" s="43"/>
      <c r="G846" s="43"/>
      <c r="H846" s="43"/>
      <c r="I846" s="43"/>
      <c r="J846" s="43"/>
    </row>
    <row r="847" spans="1:10" ht="25.5" customHeight="1">
      <c r="A847" s="47"/>
      <c r="B847" s="47"/>
      <c r="C847" s="47"/>
      <c r="D847" s="47"/>
      <c r="E847" s="47"/>
      <c r="F847" s="43"/>
      <c r="G847" s="51"/>
      <c r="H847" s="250" t="s">
        <v>1227</v>
      </c>
      <c r="I847" s="251"/>
      <c r="J847" s="43"/>
    </row>
    <row r="848" spans="1:10">
      <c r="A848" s="43" t="s">
        <v>1226</v>
      </c>
      <c r="B848" s="43"/>
      <c r="C848" s="43"/>
      <c r="D848" s="43"/>
      <c r="E848" s="43"/>
      <c r="F848" s="43"/>
      <c r="G848" s="43"/>
      <c r="H848" s="43"/>
      <c r="I848" s="43"/>
      <c r="J848" s="43"/>
    </row>
    <row r="849" spans="1:10">
      <c r="A849" s="43"/>
      <c r="B849" s="43"/>
      <c r="C849" s="43"/>
      <c r="D849" s="43"/>
      <c r="E849" s="43"/>
      <c r="F849" s="43"/>
      <c r="G849" s="43"/>
      <c r="H849" s="43"/>
      <c r="I849" s="43"/>
      <c r="J849" s="43"/>
    </row>
    <row r="850" spans="1:10">
      <c r="A850" s="43"/>
      <c r="B850" s="43"/>
      <c r="C850" s="43"/>
      <c r="D850" s="43"/>
      <c r="E850" s="256" t="str">
        <f>CONCATENATE("(",$D821," vs ",$I821,")")</f>
        <v>(I vs K)</v>
      </c>
      <c r="F850" s="256"/>
      <c r="G850" s="43"/>
      <c r="H850" s="43"/>
      <c r="I850" s="43"/>
      <c r="J850" s="43"/>
    </row>
    <row r="851" spans="1:10" ht="15.75">
      <c r="A851" s="42" t="s">
        <v>1223</v>
      </c>
      <c r="B851" s="43"/>
      <c r="C851" s="43"/>
      <c r="D851" s="43"/>
      <c r="E851" s="43"/>
      <c r="F851" s="43"/>
      <c r="G851" s="43"/>
      <c r="H851" s="43"/>
      <c r="I851" s="43"/>
      <c r="J851" s="96" t="s">
        <v>4244</v>
      </c>
    </row>
    <row r="852" spans="1:10" ht="12.75" customHeight="1">
      <c r="A852" s="42"/>
      <c r="B852" s="43"/>
      <c r="C852" s="43"/>
      <c r="D852" s="43"/>
      <c r="E852" s="43"/>
      <c r="F852" s="43"/>
      <c r="G852" s="43" t="str">
        <f ca="1">Team_Matches!$J$6</f>
        <v>[NCTTA Teams Template (v2.06).xlsx]</v>
      </c>
      <c r="H852" s="43"/>
      <c r="I852" s="43"/>
      <c r="J852" s="160"/>
    </row>
    <row r="853" spans="1:10" ht="12.75" customHeight="1">
      <c r="A853" s="42"/>
      <c r="B853" s="43"/>
      <c r="C853" s="43"/>
      <c r="D853" s="43"/>
      <c r="E853" s="43"/>
      <c r="F853" s="43"/>
      <c r="G853" s="247" t="str">
        <f>Team_Matches!$J619</f>
        <v>Round 1, Match 5</v>
      </c>
      <c r="H853" s="247"/>
      <c r="I853" s="161" t="str">
        <f>Team_Matches!$M619</f>
        <v/>
      </c>
      <c r="J853" s="161"/>
    </row>
    <row r="854" spans="1:10" ht="15.75">
      <c r="A854" s="42"/>
      <c r="B854" s="43"/>
      <c r="C854" s="43"/>
      <c r="D854" s="43"/>
      <c r="E854" s="43"/>
      <c r="F854" s="43"/>
      <c r="G854" s="43"/>
      <c r="H854" s="43"/>
      <c r="I854" s="43"/>
      <c r="J854" s="43"/>
    </row>
    <row r="855" spans="1:10">
      <c r="A855" s="43"/>
      <c r="B855" s="43"/>
      <c r="C855" s="9" t="s">
        <v>1228</v>
      </c>
      <c r="D855" s="52" t="str">
        <f>Team_Matches!$B621</f>
        <v>I</v>
      </c>
      <c r="E855" s="43"/>
      <c r="F855" s="97" t="str">
        <f>CONCATENATE($D855,"-",$I855)</f>
        <v>I-K</v>
      </c>
      <c r="G855" s="43"/>
      <c r="H855" s="9" t="s">
        <v>1228</v>
      </c>
      <c r="I855" s="52" t="str">
        <f>Team_Matches!$K621</f>
        <v>K</v>
      </c>
      <c r="J855" s="43"/>
    </row>
    <row r="856" spans="1:10" ht="25.5" customHeight="1">
      <c r="A856" s="44"/>
      <c r="B856" s="252" t="str">
        <f>IF(VLOOKUP($D855,Draw!$A$4:$B$27,2)&lt;&gt;0,VLOOKUP($D855,Draw!$A$4:$B$27,2),"")</f>
        <v/>
      </c>
      <c r="C856" s="252"/>
      <c r="D856" s="252"/>
      <c r="E856" s="253"/>
      <c r="F856" s="45"/>
      <c r="G856" s="248" t="str">
        <f>IF(VLOOKUP($I855,Draw!$A$4:$B$27,2)&lt;&gt;0,VLOOKUP($I855,Draw!$A$4:$B$27,2),"")</f>
        <v/>
      </c>
      <c r="H856" s="248"/>
      <c r="I856" s="248"/>
      <c r="J856" s="249"/>
    </row>
    <row r="857" spans="1:10" ht="25.5" customHeight="1"/>
    <row r="858" spans="1:10" ht="25.5" customHeight="1"/>
    <row r="859" spans="1:10" ht="24" customHeight="1">
      <c r="A859" s="48" t="s">
        <v>1246</v>
      </c>
      <c r="B859" s="43"/>
      <c r="C859" s="43"/>
      <c r="D859" s="43"/>
      <c r="E859" s="43"/>
      <c r="F859" s="43"/>
      <c r="G859" s="43"/>
      <c r="H859" s="43"/>
      <c r="I859" s="43"/>
      <c r="J859" s="43"/>
    </row>
    <row r="860" spans="1:10" ht="24" customHeight="1">
      <c r="A860" s="48"/>
      <c r="B860" s="43"/>
      <c r="C860" s="43"/>
      <c r="D860" s="43"/>
      <c r="E860" s="43"/>
      <c r="F860" s="43"/>
      <c r="G860" s="43"/>
      <c r="H860" s="43"/>
      <c r="I860" s="43"/>
      <c r="J860" s="43"/>
    </row>
    <row r="861" spans="1:10">
      <c r="A861" s="49" t="s">
        <v>1224</v>
      </c>
      <c r="B861" s="46"/>
      <c r="C861" s="46"/>
      <c r="D861" s="46"/>
      <c r="E861" s="46"/>
      <c r="F861" s="46"/>
      <c r="G861" s="260" t="s">
        <v>10336</v>
      </c>
      <c r="H861" s="260"/>
      <c r="I861" s="260"/>
      <c r="J861" s="260"/>
    </row>
    <row r="862" spans="1:10" ht="24" customHeight="1">
      <c r="A862" s="50" t="str">
        <f>CONCATENATE($I855,"1")</f>
        <v>K1</v>
      </c>
      <c r="B862" s="255" t="str">
        <f>IF(VLOOKUP($A862,Players!$A$2:$C$132,3)&lt;&gt;0,VLOOKUP($A862,Players!$A$2:$C$132,3),"")</f>
        <v/>
      </c>
      <c r="C862" s="255"/>
      <c r="D862" s="255"/>
      <c r="E862" s="255"/>
      <c r="F862" s="255"/>
      <c r="G862" s="254" t="str">
        <f>IF(VLOOKUP($D855&amp;RIGHT($A862,1),Players!$A$2:$D$132,3)&lt;&gt;0,VLOOKUP($D855&amp;RIGHT($A862,1),Players!$A$2:$D$132,3),"")</f>
        <v/>
      </c>
      <c r="H862" s="254"/>
      <c r="I862" s="254"/>
      <c r="J862" s="210" t="str">
        <f>IF(VLOOKUP($D855&amp;RIGHT($A862,1),Players!$A$2:$D$132,3)&lt;&gt;0,"("&amp;VLOOKUP($D855&amp;RIGHT($A862,1),Players!$A$2:$D$132,4)&amp;")","")</f>
        <v/>
      </c>
    </row>
    <row r="863" spans="1:10" ht="25.5" customHeight="1">
      <c r="A863" s="50" t="str">
        <f>CONCATENATE($I855,"2")</f>
        <v>K2</v>
      </c>
      <c r="B863" s="255" t="str">
        <f>IF(VLOOKUP($A863,Players!$A$2:$C$132,3)&lt;&gt;0,VLOOKUP($A863,Players!$A$2:$C$132,3),"")</f>
        <v/>
      </c>
      <c r="C863" s="255"/>
      <c r="D863" s="255"/>
      <c r="E863" s="255"/>
      <c r="F863" s="255"/>
      <c r="G863" s="254" t="str">
        <f>IF(VLOOKUP($D855&amp;RIGHT($A863,1),Players!$A$2:$D$132,3)&lt;&gt;0,VLOOKUP($D855&amp;RIGHT($A863,1),Players!$A$2:$D$132,3),"")</f>
        <v/>
      </c>
      <c r="H863" s="254"/>
      <c r="I863" s="254"/>
      <c r="J863" s="210" t="str">
        <f>IF(VLOOKUP($D855&amp;RIGHT($A863,1),Players!$A$2:$D$132,3)&lt;&gt;0,"("&amp;VLOOKUP($D855&amp;RIGHT($A863,1),Players!$A$2:$D$132,4)&amp;")","")</f>
        <v/>
      </c>
    </row>
    <row r="864" spans="1:10" ht="25.5" customHeight="1">
      <c r="A864" s="50" t="str">
        <f>CONCATENATE($I855,"3")</f>
        <v>K3</v>
      </c>
      <c r="B864" s="255" t="str">
        <f>IF(VLOOKUP($A864,Players!$A$2:$C$132,3)&lt;&gt;0,VLOOKUP($A864,Players!$A$2:$C$132,3),"")</f>
        <v/>
      </c>
      <c r="C864" s="255"/>
      <c r="D864" s="255"/>
      <c r="E864" s="255"/>
      <c r="F864" s="255"/>
      <c r="G864" s="254" t="str">
        <f>IF(VLOOKUP($D855&amp;RIGHT($A864,1),Players!$A$2:$D$132,3)&lt;&gt;0,VLOOKUP($D855&amp;RIGHT($A864,1),Players!$A$2:$D$132,3),"")</f>
        <v/>
      </c>
      <c r="H864" s="254"/>
      <c r="I864" s="254"/>
      <c r="J864" s="210" t="str">
        <f>IF(VLOOKUP($D855&amp;RIGHT($A864,1),Players!$A$2:$D$132,3)&lt;&gt;0,"("&amp;VLOOKUP($D855&amp;RIGHT($A864,1),Players!$A$2:$D$132,4)&amp;")","")</f>
        <v/>
      </c>
    </row>
    <row r="865" spans="1:10" ht="25.5" customHeight="1">
      <c r="A865" s="50" t="str">
        <f>CONCATENATE($I855,"4")</f>
        <v>K4</v>
      </c>
      <c r="B865" s="255" t="str">
        <f>IF(VLOOKUP($A865,Players!$A$2:$C$132,3)&lt;&gt;0,VLOOKUP($A865,Players!$A$2:$C$132,3),"")</f>
        <v/>
      </c>
      <c r="C865" s="255"/>
      <c r="D865" s="255"/>
      <c r="E865" s="255"/>
      <c r="F865" s="255"/>
      <c r="G865" s="254" t="str">
        <f>IF(VLOOKUP($D855&amp;RIGHT($A865,1),Players!$A$2:$D$132,3)&lt;&gt;0,VLOOKUP($D855&amp;RIGHT($A865,1),Players!$A$2:$D$132,3),"")</f>
        <v/>
      </c>
      <c r="H865" s="254"/>
      <c r="I865" s="254"/>
      <c r="J865" s="210" t="str">
        <f>IF(VLOOKUP($D855&amp;RIGHT($A865,1),Players!$A$2:$D$132,3)&lt;&gt;0,"("&amp;VLOOKUP($D855&amp;RIGHT($A865,1),Players!$A$2:$D$132,4)&amp;")","")</f>
        <v/>
      </c>
    </row>
    <row r="866" spans="1:10" ht="25.5" customHeight="1">
      <c r="A866" s="50" t="str">
        <f>CONCATENATE($I855,"5")</f>
        <v>K5</v>
      </c>
      <c r="B866" s="255" t="str">
        <f>IF(VLOOKUP($A866,Players!$A$2:$C$132,3)&lt;&gt;0,VLOOKUP($A866,Players!$A$2:$C$132,3),"")</f>
        <v/>
      </c>
      <c r="C866" s="255"/>
      <c r="D866" s="255"/>
      <c r="E866" s="255"/>
      <c r="F866" s="255"/>
      <c r="G866" s="254" t="str">
        <f>IF(VLOOKUP($D855&amp;RIGHT($A866,1),Players!$A$2:$D$132,3)&lt;&gt;0,VLOOKUP($D855&amp;RIGHT($A866,1),Players!$A$2:$D$132,3),"")</f>
        <v/>
      </c>
      <c r="H866" s="254"/>
      <c r="I866" s="254"/>
      <c r="J866" s="210" t="str">
        <f>IF(VLOOKUP($D855&amp;RIGHT($A866,1),Players!$A$2:$D$132,3)&lt;&gt;0,"("&amp;VLOOKUP($D855&amp;RIGHT($A866,1),Players!$A$2:$D$132,4)&amp;")","")</f>
        <v/>
      </c>
    </row>
    <row r="867" spans="1:10" ht="25.5" customHeight="1">
      <c r="A867" s="50" t="str">
        <f>CONCATENATE($I855,"6")</f>
        <v>K6</v>
      </c>
      <c r="B867" s="255" t="str">
        <f>IF(VLOOKUP($A867,Players!$A$2:$C$132,3)&lt;&gt;0,VLOOKUP($A867,Players!$A$2:$C$132,3),"")</f>
        <v/>
      </c>
      <c r="C867" s="255"/>
      <c r="D867" s="255"/>
      <c r="E867" s="255"/>
      <c r="F867" s="255"/>
      <c r="G867" s="254" t="str">
        <f>IF(VLOOKUP($D855&amp;RIGHT($A867,1),Players!$A$2:$D$132,3)&lt;&gt;0,VLOOKUP($D855&amp;RIGHT($A867,1),Players!$A$2:$D$132,3),"")</f>
        <v/>
      </c>
      <c r="H867" s="254"/>
      <c r="I867" s="254"/>
      <c r="J867" s="210" t="str">
        <f>IF(VLOOKUP($D855&amp;RIGHT($A867,1),Players!$A$2:$D$132,3)&lt;&gt;0,"("&amp;VLOOKUP($D855&amp;RIGHT($A867,1),Players!$A$2:$D$132,4)&amp;")","")</f>
        <v/>
      </c>
    </row>
    <row r="868" spans="1:10" ht="25.5" customHeight="1">
      <c r="A868" s="50" t="str">
        <f>CONCATENATE($I855,"7")</f>
        <v>K7</v>
      </c>
      <c r="B868" s="255" t="str">
        <f>IF(VLOOKUP($A868,Players!$A$2:$C$132,3)&lt;&gt;0,VLOOKUP($A868,Players!$A$2:$C$132,3),"")</f>
        <v/>
      </c>
      <c r="C868" s="255"/>
      <c r="D868" s="255"/>
      <c r="E868" s="255"/>
      <c r="F868" s="255"/>
      <c r="G868" s="254" t="str">
        <f>IF(VLOOKUP($D855&amp;RIGHT($A868,1),Players!$A$2:$D$132,3)&lt;&gt;0,VLOOKUP($D855&amp;RIGHT($A868,1),Players!$A$2:$D$132,3),"")</f>
        <v/>
      </c>
      <c r="H868" s="254"/>
      <c r="I868" s="254"/>
      <c r="J868" s="210" t="str">
        <f>IF(VLOOKUP($D855&amp;RIGHT($A868,1),Players!$A$2:$D$132,3)&lt;&gt;0,"("&amp;VLOOKUP($D855&amp;RIGHT($A868,1),Players!$A$2:$D$132,4)&amp;")","")</f>
        <v/>
      </c>
    </row>
    <row r="869" spans="1:10" ht="25.5" customHeight="1">
      <c r="A869" s="50" t="str">
        <f>CONCATENATE($I855,"8")</f>
        <v>K8</v>
      </c>
      <c r="B869" s="255" t="str">
        <f>IF(VLOOKUP($A869,Players!$A$2:$C$132,3)&lt;&gt;0,VLOOKUP($A869,Players!$A$2:$C$132,3),"")</f>
        <v/>
      </c>
      <c r="C869" s="255"/>
      <c r="D869" s="255"/>
      <c r="E869" s="255"/>
      <c r="F869" s="255"/>
      <c r="G869" s="254" t="str">
        <f>IF(VLOOKUP($D855&amp;RIGHT($A869,1),Players!$A$2:$D$132,3)&lt;&gt;0,VLOOKUP($D855&amp;RIGHT($A869,1),Players!$A$2:$D$132,3),"")</f>
        <v/>
      </c>
      <c r="H869" s="254"/>
      <c r="I869" s="254"/>
      <c r="J869" s="210" t="str">
        <f>IF(VLOOKUP($D855&amp;RIGHT($A869,1),Players!$A$2:$D$132,3)&lt;&gt;0,"("&amp;VLOOKUP($D855&amp;RIGHT($A869,1),Players!$A$2:$D$132,4)&amp;")","")</f>
        <v/>
      </c>
    </row>
    <row r="870" spans="1:10" ht="25.5" customHeight="1">
      <c r="A870" s="50"/>
      <c r="B870" s="26"/>
      <c r="C870" s="26"/>
      <c r="D870" s="26"/>
      <c r="E870" s="26"/>
      <c r="F870" s="27"/>
      <c r="G870" s="43"/>
      <c r="H870" s="43"/>
      <c r="I870" s="43"/>
      <c r="J870" s="43"/>
    </row>
    <row r="871" spans="1:10">
      <c r="A871" s="49" t="s">
        <v>1225</v>
      </c>
      <c r="B871" s="46"/>
      <c r="C871" s="46"/>
      <c r="D871" s="46"/>
      <c r="E871" s="46"/>
      <c r="F871" s="46"/>
      <c r="G871" s="43"/>
      <c r="H871" s="43"/>
      <c r="I871" s="43"/>
      <c r="J871" s="43"/>
    </row>
    <row r="872" spans="1:10">
      <c r="A872" s="46" t="s">
        <v>1247</v>
      </c>
      <c r="B872" s="46"/>
      <c r="C872" s="46"/>
      <c r="D872" s="46"/>
      <c r="E872" s="46"/>
      <c r="F872" s="46"/>
      <c r="G872" s="43"/>
      <c r="H872" s="43"/>
      <c r="I872" s="43"/>
      <c r="J872" s="43"/>
    </row>
    <row r="873" spans="1:10">
      <c r="A873" s="46" t="s">
        <v>1248</v>
      </c>
      <c r="B873" s="46"/>
      <c r="C873" s="46"/>
      <c r="D873" s="46"/>
      <c r="E873" s="46"/>
      <c r="F873" s="46"/>
      <c r="G873" s="43"/>
      <c r="H873" s="43"/>
      <c r="I873" s="43"/>
      <c r="J873" s="43"/>
    </row>
    <row r="874" spans="1:10" ht="13.5" thickBot="1">
      <c r="A874" s="46"/>
      <c r="B874" s="46"/>
      <c r="C874" s="46"/>
      <c r="D874" s="46"/>
      <c r="E874" s="46"/>
      <c r="F874" s="46"/>
      <c r="G874" s="43"/>
      <c r="H874" s="43"/>
      <c r="I874" s="43"/>
      <c r="J874" s="43"/>
    </row>
    <row r="875" spans="1:10" ht="25.5" customHeight="1" thickBot="1">
      <c r="A875" s="50"/>
      <c r="B875" s="257"/>
      <c r="C875" s="258"/>
      <c r="D875" s="258"/>
      <c r="E875" s="258"/>
      <c r="F875" s="259"/>
      <c r="G875" s="43"/>
      <c r="H875" s="43"/>
      <c r="I875" s="43"/>
      <c r="J875" s="43"/>
    </row>
    <row r="876" spans="1:10">
      <c r="A876" s="43"/>
      <c r="B876" s="43"/>
      <c r="C876" s="43"/>
      <c r="D876" s="43"/>
      <c r="E876" s="43"/>
      <c r="F876" s="43"/>
      <c r="G876" s="43"/>
      <c r="H876" s="43"/>
      <c r="I876" s="43"/>
      <c r="J876" s="43"/>
    </row>
    <row r="877" spans="1:10">
      <c r="A877" s="43"/>
      <c r="B877" s="43"/>
      <c r="C877" s="43"/>
      <c r="D877" s="43"/>
      <c r="E877" s="43"/>
      <c r="F877" s="43"/>
      <c r="G877" s="43"/>
      <c r="H877" s="43"/>
      <c r="I877" s="43"/>
      <c r="J877" s="43"/>
    </row>
    <row r="878" spans="1:10">
      <c r="A878" s="43"/>
      <c r="B878" s="43"/>
      <c r="C878" s="43"/>
      <c r="D878" s="43"/>
      <c r="E878" s="43"/>
      <c r="F878" s="43"/>
      <c r="G878" s="43"/>
      <c r="H878" s="43"/>
      <c r="I878" s="43"/>
      <c r="J878" s="43"/>
    </row>
    <row r="879" spans="1:10">
      <c r="A879" s="43"/>
      <c r="B879" s="43"/>
      <c r="C879" s="43"/>
      <c r="D879" s="43"/>
      <c r="E879" s="43"/>
      <c r="F879" s="43"/>
      <c r="G879" s="43"/>
      <c r="H879" s="43"/>
      <c r="I879" s="43"/>
      <c r="J879" s="43"/>
    </row>
    <row r="880" spans="1:10">
      <c r="A880" s="43"/>
      <c r="B880" s="43"/>
      <c r="C880" s="43"/>
      <c r="D880" s="43"/>
      <c r="E880" s="43"/>
      <c r="F880" s="43"/>
      <c r="G880" s="43"/>
      <c r="H880" s="43"/>
      <c r="I880" s="43"/>
      <c r="J880" s="43"/>
    </row>
    <row r="881" spans="1:10" ht="25.5" customHeight="1">
      <c r="A881" s="47"/>
      <c r="B881" s="47"/>
      <c r="C881" s="47"/>
      <c r="D881" s="47"/>
      <c r="E881" s="47"/>
      <c r="F881" s="43"/>
      <c r="G881" s="51"/>
      <c r="H881" s="250" t="s">
        <v>1227</v>
      </c>
      <c r="I881" s="251"/>
      <c r="J881" s="43"/>
    </row>
    <row r="882" spans="1:10">
      <c r="A882" s="43" t="s">
        <v>1226</v>
      </c>
      <c r="B882" s="43"/>
      <c r="C882" s="43"/>
      <c r="D882" s="43"/>
      <c r="E882" s="43"/>
      <c r="F882" s="43"/>
      <c r="G882" s="43"/>
      <c r="H882" s="43"/>
      <c r="I882" s="43"/>
      <c r="J882" s="43"/>
    </row>
    <row r="883" spans="1:10">
      <c r="A883" s="43"/>
      <c r="B883" s="43"/>
      <c r="C883" s="43"/>
      <c r="D883" s="43"/>
      <c r="E883" s="43"/>
      <c r="F883" s="43"/>
      <c r="G883" s="43"/>
      <c r="H883" s="43"/>
      <c r="I883" s="43"/>
      <c r="J883" s="43"/>
    </row>
    <row r="884" spans="1:10">
      <c r="A884" s="43"/>
      <c r="B884" s="43"/>
      <c r="C884" s="43"/>
      <c r="D884" s="43"/>
      <c r="E884" s="256" t="str">
        <f>CONCATENATE("(",$D855," vs ",$I855,")")</f>
        <v>(I vs K)</v>
      </c>
      <c r="F884" s="256"/>
      <c r="G884" s="43"/>
      <c r="H884" s="43"/>
      <c r="I884" s="43"/>
      <c r="J884" s="43"/>
    </row>
    <row r="885" spans="1:10" ht="15.75">
      <c r="A885" s="42" t="s">
        <v>1223</v>
      </c>
      <c r="B885" s="43"/>
      <c r="C885" s="43"/>
      <c r="D885" s="43"/>
      <c r="E885" s="43"/>
      <c r="F885" s="43"/>
      <c r="G885" s="43"/>
      <c r="H885" s="43"/>
      <c r="I885" s="43"/>
      <c r="J885" s="96" t="s">
        <v>4245</v>
      </c>
    </row>
    <row r="886" spans="1:10" ht="12.75" customHeight="1">
      <c r="A886" s="42"/>
      <c r="B886" s="43"/>
      <c r="C886" s="43"/>
      <c r="D886" s="43"/>
      <c r="E886" s="43"/>
      <c r="F886" s="43"/>
      <c r="G886" s="43" t="str">
        <f ca="1">Team_Matches!$J$6</f>
        <v>[NCTTA Teams Template (v2.06).xlsx]</v>
      </c>
      <c r="H886" s="43"/>
      <c r="I886" s="43"/>
      <c r="J886" s="160"/>
    </row>
    <row r="887" spans="1:10" ht="12.75" customHeight="1">
      <c r="A887" s="42"/>
      <c r="B887" s="43"/>
      <c r="C887" s="43"/>
      <c r="D887" s="43"/>
      <c r="E887" s="43"/>
      <c r="F887" s="43"/>
      <c r="G887" s="247" t="str">
        <f>Team_Matches!$J670</f>
        <v>Round 1, Match 6</v>
      </c>
      <c r="H887" s="247"/>
      <c r="I887" s="161" t="str">
        <f>Team_Matches!$M670</f>
        <v/>
      </c>
      <c r="J887" s="161"/>
    </row>
    <row r="888" spans="1:10" ht="15.75">
      <c r="A888" s="42"/>
      <c r="B888" s="43"/>
      <c r="C888" s="43"/>
      <c r="D888" s="43"/>
      <c r="E888" s="43"/>
      <c r="F888" s="43"/>
      <c r="G888" s="43"/>
      <c r="H888" s="43"/>
      <c r="I888" s="43"/>
      <c r="J888" s="43"/>
    </row>
    <row r="889" spans="1:10">
      <c r="A889" s="43"/>
      <c r="B889" s="43"/>
      <c r="C889" s="9" t="s">
        <v>1228</v>
      </c>
      <c r="D889" s="52" t="str">
        <f>Team_Matches!$B672</f>
        <v>J</v>
      </c>
      <c r="E889" s="43"/>
      <c r="F889" s="97" t="str">
        <f>CONCATENATE($D889,"-",$I889)</f>
        <v>J-L</v>
      </c>
      <c r="G889" s="43"/>
      <c r="H889" s="9" t="s">
        <v>1228</v>
      </c>
      <c r="I889" s="52" t="str">
        <f>Team_Matches!$K672</f>
        <v>L</v>
      </c>
      <c r="J889" s="43"/>
    </row>
    <row r="890" spans="1:10" ht="25.5" customHeight="1">
      <c r="A890" s="44"/>
      <c r="B890" s="248" t="str">
        <f>IF(VLOOKUP($D889,Draw!$A$4:$B$27,2)&lt;&gt;0,VLOOKUP($D889,Draw!$A$4:$B$27,2),"")</f>
        <v/>
      </c>
      <c r="C890" s="248"/>
      <c r="D890" s="248"/>
      <c r="E890" s="249"/>
      <c r="F890" s="45"/>
      <c r="G890" s="252" t="str">
        <f>IF(VLOOKUP($I889,Draw!$A$4:$B$27,2)&lt;&gt;0,VLOOKUP($I889,Draw!$A$4:$B$27,2),"")</f>
        <v/>
      </c>
      <c r="H890" s="252"/>
      <c r="I890" s="252"/>
      <c r="J890" s="253"/>
    </row>
    <row r="891" spans="1:10" ht="25.5" customHeight="1"/>
    <row r="892" spans="1:10" ht="25.5" customHeight="1"/>
    <row r="893" spans="1:10" ht="24" customHeight="1">
      <c r="A893" s="48" t="s">
        <v>1246</v>
      </c>
      <c r="B893" s="43"/>
      <c r="C893" s="43"/>
      <c r="D893" s="43"/>
      <c r="E893" s="43"/>
      <c r="F893" s="43"/>
      <c r="G893" s="43"/>
      <c r="H893" s="43"/>
      <c r="I893" s="43"/>
      <c r="J893" s="43"/>
    </row>
    <row r="894" spans="1:10" ht="24" customHeight="1">
      <c r="A894" s="48"/>
      <c r="B894" s="43"/>
      <c r="C894" s="43"/>
      <c r="D894" s="43"/>
      <c r="E894" s="43"/>
      <c r="F894" s="43"/>
      <c r="G894" s="43"/>
      <c r="H894" s="43"/>
      <c r="I894" s="43"/>
      <c r="J894" s="43"/>
    </row>
    <row r="895" spans="1:10">
      <c r="A895" s="49" t="s">
        <v>1224</v>
      </c>
      <c r="B895" s="46"/>
      <c r="C895" s="46"/>
      <c r="D895" s="46"/>
      <c r="E895" s="46"/>
      <c r="F895" s="46"/>
      <c r="G895" s="260" t="s">
        <v>10336</v>
      </c>
      <c r="H895" s="260"/>
      <c r="I895" s="260"/>
      <c r="J895" s="260"/>
    </row>
    <row r="896" spans="1:10" ht="24" customHeight="1">
      <c r="A896" s="50" t="str">
        <f>CONCATENATE($D889,"1")</f>
        <v>J1</v>
      </c>
      <c r="B896" s="255" t="str">
        <f>IF(VLOOKUP($A896,Players!$A$2:$C$132,3)&lt;&gt;0,VLOOKUP($A896,Players!$A$2:$C$132,3),"")</f>
        <v/>
      </c>
      <c r="C896" s="255"/>
      <c r="D896" s="255"/>
      <c r="E896" s="255"/>
      <c r="F896" s="255"/>
      <c r="G896" s="254" t="str">
        <f>IF(VLOOKUP($I889&amp;RIGHT($A896,1),Players!$A$2:$D$132,3)&lt;&gt;0,VLOOKUP($I889&amp;RIGHT($A896,1),Players!$A$2:$D$132,3),"")</f>
        <v/>
      </c>
      <c r="H896" s="254"/>
      <c r="I896" s="254"/>
      <c r="J896" s="210" t="str">
        <f>IF(VLOOKUP($I889&amp;RIGHT($A896,1),Players!$A$2:$D$132,3)&lt;&gt;0,"("&amp;VLOOKUP($I889&amp;RIGHT($A896,1),Players!$A$2:$D$132,4)&amp;")","")</f>
        <v/>
      </c>
    </row>
    <row r="897" spans="1:10" ht="25.5" customHeight="1">
      <c r="A897" s="50" t="str">
        <f>CONCATENATE($D889,"2")</f>
        <v>J2</v>
      </c>
      <c r="B897" s="255" t="str">
        <f>IF(VLOOKUP($A897,Players!$A$2:$C$132,3)&lt;&gt;0,VLOOKUP($A897,Players!$A$2:$C$132,3),"")</f>
        <v/>
      </c>
      <c r="C897" s="255"/>
      <c r="D897" s="255"/>
      <c r="E897" s="255"/>
      <c r="F897" s="255"/>
      <c r="G897" s="254" t="str">
        <f>IF(VLOOKUP($I889&amp;RIGHT($A897,1),Players!$A$2:$D$132,3)&lt;&gt;0,VLOOKUP($I889&amp;RIGHT($A897,1),Players!$A$2:$D$132,3),"")</f>
        <v/>
      </c>
      <c r="H897" s="254"/>
      <c r="I897" s="254"/>
      <c r="J897" s="210" t="str">
        <f>IF(VLOOKUP($I889&amp;RIGHT($A897,1),Players!$A$2:$D$132,3)&lt;&gt;0,"("&amp;VLOOKUP($I889&amp;RIGHT($A897,1),Players!$A$2:$D$132,4)&amp;")","")</f>
        <v/>
      </c>
    </row>
    <row r="898" spans="1:10" ht="25.5" customHeight="1">
      <c r="A898" s="50" t="str">
        <f>CONCATENATE($D889,"3")</f>
        <v>J3</v>
      </c>
      <c r="B898" s="255" t="str">
        <f>IF(VLOOKUP($A898,Players!$A$2:$C$132,3)&lt;&gt;0,VLOOKUP($A898,Players!$A$2:$C$132,3),"")</f>
        <v/>
      </c>
      <c r="C898" s="255"/>
      <c r="D898" s="255"/>
      <c r="E898" s="255"/>
      <c r="F898" s="255"/>
      <c r="G898" s="254" t="str">
        <f>IF(VLOOKUP($I889&amp;RIGHT($A898,1),Players!$A$2:$D$132,3)&lt;&gt;0,VLOOKUP($I889&amp;RIGHT($A898,1),Players!$A$2:$D$132,3),"")</f>
        <v/>
      </c>
      <c r="H898" s="254"/>
      <c r="I898" s="254"/>
      <c r="J898" s="210" t="str">
        <f>IF(VLOOKUP($I889&amp;RIGHT($A898,1),Players!$A$2:$D$132,3)&lt;&gt;0,"("&amp;VLOOKUP($I889&amp;RIGHT($A898,1),Players!$A$2:$D$132,4)&amp;")","")</f>
        <v/>
      </c>
    </row>
    <row r="899" spans="1:10" ht="25.5" customHeight="1">
      <c r="A899" s="50" t="str">
        <f>CONCATENATE($D889,"4")</f>
        <v>J4</v>
      </c>
      <c r="B899" s="255" t="str">
        <f>IF(VLOOKUP($A899,Players!$A$2:$C$132,3)&lt;&gt;0,VLOOKUP($A899,Players!$A$2:$C$132,3),"")</f>
        <v/>
      </c>
      <c r="C899" s="255"/>
      <c r="D899" s="255"/>
      <c r="E899" s="255"/>
      <c r="F899" s="255"/>
      <c r="G899" s="254" t="str">
        <f>IF(VLOOKUP($I889&amp;RIGHT($A899,1),Players!$A$2:$D$132,3)&lt;&gt;0,VLOOKUP($I889&amp;RIGHT($A899,1),Players!$A$2:$D$132,3),"")</f>
        <v/>
      </c>
      <c r="H899" s="254"/>
      <c r="I899" s="254"/>
      <c r="J899" s="210" t="str">
        <f>IF(VLOOKUP($I889&amp;RIGHT($A899,1),Players!$A$2:$D$132,3)&lt;&gt;0,"("&amp;VLOOKUP($I889&amp;RIGHT($A899,1),Players!$A$2:$D$132,4)&amp;")","")</f>
        <v/>
      </c>
    </row>
    <row r="900" spans="1:10" ht="25.5" customHeight="1">
      <c r="A900" s="50" t="str">
        <f>CONCATENATE($D889,"5")</f>
        <v>J5</v>
      </c>
      <c r="B900" s="255" t="str">
        <f>IF(VLOOKUP($A900,Players!$A$2:$C$132,3)&lt;&gt;0,VLOOKUP($A900,Players!$A$2:$C$132,3),"")</f>
        <v/>
      </c>
      <c r="C900" s="255"/>
      <c r="D900" s="255"/>
      <c r="E900" s="255"/>
      <c r="F900" s="255"/>
      <c r="G900" s="254" t="str">
        <f>IF(VLOOKUP($I889&amp;RIGHT($A900,1),Players!$A$2:$D$132,3)&lt;&gt;0,VLOOKUP($I889&amp;RIGHT($A900,1),Players!$A$2:$D$132,3),"")</f>
        <v/>
      </c>
      <c r="H900" s="254"/>
      <c r="I900" s="254"/>
      <c r="J900" s="210" t="str">
        <f>IF(VLOOKUP($I889&amp;RIGHT($A900,1),Players!$A$2:$D$132,3)&lt;&gt;0,"("&amp;VLOOKUP($I889&amp;RIGHT($A900,1),Players!$A$2:$D$132,4)&amp;")","")</f>
        <v/>
      </c>
    </row>
    <row r="901" spans="1:10" ht="25.5" customHeight="1">
      <c r="A901" s="50" t="str">
        <f>CONCATENATE($D889,"6")</f>
        <v>J6</v>
      </c>
      <c r="B901" s="255" t="str">
        <f>IF(VLOOKUP($A901,Players!$A$2:$C$132,3)&lt;&gt;0,VLOOKUP($A901,Players!$A$2:$C$132,3),"")</f>
        <v/>
      </c>
      <c r="C901" s="255"/>
      <c r="D901" s="255"/>
      <c r="E901" s="255"/>
      <c r="F901" s="255"/>
      <c r="G901" s="254" t="str">
        <f>IF(VLOOKUP($I889&amp;RIGHT($A901,1),Players!$A$2:$D$132,3)&lt;&gt;0,VLOOKUP($I889&amp;RIGHT($A901,1),Players!$A$2:$D$132,3),"")</f>
        <v/>
      </c>
      <c r="H901" s="254"/>
      <c r="I901" s="254"/>
      <c r="J901" s="210" t="str">
        <f>IF(VLOOKUP($I889&amp;RIGHT($A901,1),Players!$A$2:$D$132,3)&lt;&gt;0,"("&amp;VLOOKUP($I889&amp;RIGHT($A901,1),Players!$A$2:$D$132,4)&amp;")","")</f>
        <v/>
      </c>
    </row>
    <row r="902" spans="1:10" ht="25.5" customHeight="1">
      <c r="A902" s="50" t="str">
        <f>CONCATENATE($D889,"7")</f>
        <v>J7</v>
      </c>
      <c r="B902" s="255" t="str">
        <f>IF(VLOOKUP($A902,Players!$A$2:$C$132,3)&lt;&gt;0,VLOOKUP($A902,Players!$A$2:$C$132,3),"")</f>
        <v/>
      </c>
      <c r="C902" s="255"/>
      <c r="D902" s="255"/>
      <c r="E902" s="255"/>
      <c r="F902" s="255"/>
      <c r="G902" s="254" t="str">
        <f>IF(VLOOKUP($I889&amp;RIGHT($A902,1),Players!$A$2:$D$132,3)&lt;&gt;0,VLOOKUP($I889&amp;RIGHT($A902,1),Players!$A$2:$D$132,3),"")</f>
        <v/>
      </c>
      <c r="H902" s="254"/>
      <c r="I902" s="254"/>
      <c r="J902" s="210" t="str">
        <f>IF(VLOOKUP($I889&amp;RIGHT($A902,1),Players!$A$2:$D$132,3)&lt;&gt;0,"("&amp;VLOOKUP($I889&amp;RIGHT($A902,1),Players!$A$2:$D$132,4)&amp;")","")</f>
        <v/>
      </c>
    </row>
    <row r="903" spans="1:10" ht="25.5" customHeight="1">
      <c r="A903" s="50" t="str">
        <f>CONCATENATE($D889,"8")</f>
        <v>J8</v>
      </c>
      <c r="B903" s="255" t="str">
        <f>IF(VLOOKUP($A903,Players!$A$2:$C$132,3)&lt;&gt;0,VLOOKUP($A903,Players!$A$2:$C$132,3),"")</f>
        <v/>
      </c>
      <c r="C903" s="255"/>
      <c r="D903" s="255"/>
      <c r="E903" s="255"/>
      <c r="F903" s="255"/>
      <c r="G903" s="254" t="str">
        <f>IF(VLOOKUP($I889&amp;RIGHT($A903,1),Players!$A$2:$D$132,3)&lt;&gt;0,VLOOKUP($I889&amp;RIGHT($A903,1),Players!$A$2:$D$132,3),"")</f>
        <v/>
      </c>
      <c r="H903" s="254"/>
      <c r="I903" s="254"/>
      <c r="J903" s="210" t="str">
        <f>IF(VLOOKUP($I889&amp;RIGHT($A903,1),Players!$A$2:$D$132,3)&lt;&gt;0,"("&amp;VLOOKUP($I889&amp;RIGHT($A903,1),Players!$A$2:$D$132,4)&amp;")","")</f>
        <v/>
      </c>
    </row>
    <row r="904" spans="1:10" ht="25.5" customHeight="1">
      <c r="A904" s="50"/>
      <c r="B904" s="26"/>
      <c r="C904" s="26"/>
      <c r="D904" s="26"/>
      <c r="E904" s="26"/>
      <c r="F904" s="27"/>
      <c r="G904" s="43"/>
      <c r="H904" s="43"/>
      <c r="I904" s="43"/>
      <c r="J904" s="43"/>
    </row>
    <row r="905" spans="1:10">
      <c r="A905" s="49" t="s">
        <v>1225</v>
      </c>
      <c r="B905" s="46"/>
      <c r="C905" s="46"/>
      <c r="D905" s="46"/>
      <c r="E905" s="46"/>
      <c r="F905" s="46"/>
      <c r="G905" s="43"/>
      <c r="H905" s="43"/>
      <c r="I905" s="43"/>
      <c r="J905" s="43"/>
    </row>
    <row r="906" spans="1:10">
      <c r="A906" s="46" t="s">
        <v>1247</v>
      </c>
      <c r="B906" s="46"/>
      <c r="C906" s="46"/>
      <c r="D906" s="46"/>
      <c r="E906" s="46"/>
      <c r="F906" s="46"/>
      <c r="G906" s="43"/>
      <c r="H906" s="43"/>
      <c r="I906" s="43"/>
      <c r="J906" s="43"/>
    </row>
    <row r="907" spans="1:10">
      <c r="A907" s="46" t="s">
        <v>1248</v>
      </c>
      <c r="B907" s="46"/>
      <c r="C907" s="46"/>
      <c r="D907" s="46"/>
      <c r="E907" s="46"/>
      <c r="F907" s="46"/>
      <c r="G907" s="43"/>
      <c r="H907" s="43"/>
      <c r="I907" s="43"/>
      <c r="J907" s="43"/>
    </row>
    <row r="908" spans="1:10" ht="13.5" thickBot="1">
      <c r="A908" s="46"/>
      <c r="B908" s="46"/>
      <c r="C908" s="46"/>
      <c r="D908" s="46"/>
      <c r="E908" s="46"/>
      <c r="F908" s="46"/>
      <c r="G908" s="43"/>
      <c r="H908" s="43"/>
      <c r="I908" s="43"/>
      <c r="J908" s="43"/>
    </row>
    <row r="909" spans="1:10" ht="25.5" customHeight="1" thickBot="1">
      <c r="A909" s="50"/>
      <c r="B909" s="257"/>
      <c r="C909" s="258"/>
      <c r="D909" s="258"/>
      <c r="E909" s="258"/>
      <c r="F909" s="259"/>
      <c r="G909" s="43"/>
      <c r="H909" s="43"/>
      <c r="I909" s="43"/>
      <c r="J909" s="43"/>
    </row>
    <row r="910" spans="1:10">
      <c r="A910" s="43"/>
      <c r="B910" s="43"/>
      <c r="C910" s="43"/>
      <c r="D910" s="43"/>
      <c r="E910" s="43"/>
      <c r="F910" s="43"/>
      <c r="G910" s="43"/>
      <c r="H910" s="43"/>
      <c r="I910" s="43"/>
      <c r="J910" s="43"/>
    </row>
    <row r="911" spans="1:10">
      <c r="A911" s="43"/>
      <c r="B911" s="43"/>
      <c r="C911" s="43"/>
      <c r="D911" s="43"/>
      <c r="E911" s="43"/>
      <c r="F911" s="43"/>
      <c r="G911" s="43"/>
      <c r="H911" s="43"/>
      <c r="I911" s="43"/>
      <c r="J911" s="43"/>
    </row>
    <row r="912" spans="1:10">
      <c r="A912" s="43"/>
      <c r="B912" s="43"/>
      <c r="C912" s="43"/>
      <c r="D912" s="43"/>
      <c r="E912" s="43"/>
      <c r="F912" s="43"/>
      <c r="G912" s="43"/>
      <c r="H912" s="43"/>
      <c r="I912" s="43"/>
      <c r="J912" s="43"/>
    </row>
    <row r="913" spans="1:10">
      <c r="A913" s="43"/>
      <c r="B913" s="43"/>
      <c r="C913" s="43"/>
      <c r="D913" s="43"/>
      <c r="E913" s="43"/>
      <c r="F913" s="43"/>
      <c r="G913" s="43"/>
      <c r="H913" s="43"/>
      <c r="I913" s="43"/>
      <c r="J913" s="43"/>
    </row>
    <row r="914" spans="1:10">
      <c r="A914" s="43"/>
      <c r="B914" s="43"/>
      <c r="C914" s="43"/>
      <c r="D914" s="43"/>
      <c r="E914" s="43"/>
      <c r="F914" s="43"/>
      <c r="G914" s="43"/>
      <c r="H914" s="43"/>
      <c r="I914" s="43"/>
      <c r="J914" s="43"/>
    </row>
    <row r="915" spans="1:10" ht="25.5" customHeight="1">
      <c r="A915" s="47"/>
      <c r="B915" s="47"/>
      <c r="C915" s="47"/>
      <c r="D915" s="47"/>
      <c r="E915" s="47"/>
      <c r="F915" s="43"/>
      <c r="G915" s="51"/>
      <c r="H915" s="250" t="s">
        <v>1227</v>
      </c>
      <c r="I915" s="251"/>
      <c r="J915" s="43"/>
    </row>
    <row r="916" spans="1:10">
      <c r="A916" s="43" t="s">
        <v>1226</v>
      </c>
      <c r="B916" s="43"/>
      <c r="C916" s="43"/>
      <c r="D916" s="43"/>
      <c r="E916" s="43"/>
      <c r="F916" s="43"/>
      <c r="G916" s="43"/>
      <c r="H916" s="43"/>
      <c r="I916" s="43"/>
      <c r="J916" s="43"/>
    </row>
    <row r="917" spans="1:10">
      <c r="A917" s="43"/>
      <c r="B917" s="43"/>
      <c r="C917" s="43"/>
      <c r="D917" s="43"/>
      <c r="E917" s="43"/>
      <c r="F917" s="43"/>
      <c r="G917" s="43"/>
      <c r="H917" s="43"/>
      <c r="I917" s="43"/>
      <c r="J917" s="43"/>
    </row>
    <row r="918" spans="1:10">
      <c r="A918" s="43"/>
      <c r="B918" s="43"/>
      <c r="C918" s="43"/>
      <c r="D918" s="43"/>
      <c r="E918" s="256" t="str">
        <f>CONCATENATE("(",$D889," vs ",$I889,")")</f>
        <v>(J vs L)</v>
      </c>
      <c r="F918" s="256"/>
      <c r="G918" s="43"/>
      <c r="H918" s="43"/>
      <c r="I918" s="43"/>
      <c r="J918" s="43"/>
    </row>
    <row r="919" spans="1:10" ht="15.75">
      <c r="A919" s="42" t="s">
        <v>1223</v>
      </c>
      <c r="B919" s="43"/>
      <c r="C919" s="43"/>
      <c r="D919" s="43"/>
      <c r="E919" s="43"/>
      <c r="F919" s="43"/>
      <c r="G919" s="43"/>
      <c r="H919" s="43"/>
      <c r="I919" s="43"/>
      <c r="J919" s="96" t="s">
        <v>4246</v>
      </c>
    </row>
    <row r="920" spans="1:10" ht="12.75" customHeight="1">
      <c r="A920" s="42"/>
      <c r="B920" s="43"/>
      <c r="C920" s="43"/>
      <c r="D920" s="43"/>
      <c r="E920" s="43"/>
      <c r="F920" s="43"/>
      <c r="G920" s="43" t="str">
        <f ca="1">Team_Matches!$J$6</f>
        <v>[NCTTA Teams Template (v2.06).xlsx]</v>
      </c>
      <c r="H920" s="43"/>
      <c r="I920" s="43"/>
      <c r="J920" s="160"/>
    </row>
    <row r="921" spans="1:10" ht="12.75" customHeight="1">
      <c r="A921" s="42"/>
      <c r="B921" s="43"/>
      <c r="C921" s="43"/>
      <c r="D921" s="43"/>
      <c r="E921" s="43"/>
      <c r="F921" s="43"/>
      <c r="G921" s="247" t="str">
        <f>Team_Matches!$J670</f>
        <v>Round 1, Match 6</v>
      </c>
      <c r="H921" s="247"/>
      <c r="I921" s="161">
        <v>670</v>
      </c>
      <c r="J921" s="161"/>
    </row>
    <row r="922" spans="1:10" ht="15.75">
      <c r="A922" s="42"/>
      <c r="B922" s="43"/>
      <c r="C922" s="43"/>
      <c r="D922" s="43"/>
      <c r="E922" s="43"/>
      <c r="F922" s="43"/>
      <c r="G922" s="43"/>
      <c r="H922" s="43"/>
      <c r="I922" s="43"/>
      <c r="J922" s="43"/>
    </row>
    <row r="923" spans="1:10">
      <c r="A923" s="43"/>
      <c r="B923" s="43"/>
      <c r="C923" s="9" t="s">
        <v>1228</v>
      </c>
      <c r="D923" s="52" t="str">
        <f>Team_Matches!$B672</f>
        <v>J</v>
      </c>
      <c r="E923" s="43"/>
      <c r="F923" s="97" t="str">
        <f>CONCATENATE($D923,"-",$I923)</f>
        <v>J-L</v>
      </c>
      <c r="G923" s="43"/>
      <c r="H923" s="9" t="s">
        <v>1228</v>
      </c>
      <c r="I923" s="52" t="str">
        <f>Team_Matches!$K672</f>
        <v>L</v>
      </c>
      <c r="J923" s="43"/>
    </row>
    <row r="924" spans="1:10" ht="25.5" customHeight="1">
      <c r="A924" s="44"/>
      <c r="B924" s="252" t="str">
        <f>IF(VLOOKUP($D923,Draw!$A$4:$B$27,2)&lt;&gt;0,VLOOKUP($D923,Draw!$A$4:$B$27,2),"")</f>
        <v/>
      </c>
      <c r="C924" s="252"/>
      <c r="D924" s="252"/>
      <c r="E924" s="253"/>
      <c r="F924" s="45"/>
      <c r="G924" s="248" t="str">
        <f>IF(VLOOKUP($I923,Draw!$A$4:$B$27,2)&lt;&gt;0,VLOOKUP($I923,Draw!$A$4:$B$27,2),"")</f>
        <v/>
      </c>
      <c r="H924" s="248"/>
      <c r="I924" s="248"/>
      <c r="J924" s="249"/>
    </row>
    <row r="925" spans="1:10" ht="25.5" customHeight="1"/>
    <row r="926" spans="1:10" ht="25.5" customHeight="1"/>
    <row r="927" spans="1:10" ht="24" customHeight="1">
      <c r="A927" s="48" t="s">
        <v>1246</v>
      </c>
      <c r="B927" s="43"/>
      <c r="C927" s="43"/>
      <c r="D927" s="43"/>
      <c r="E927" s="43"/>
      <c r="F927" s="43"/>
      <c r="G927" s="43"/>
      <c r="H927" s="43"/>
      <c r="I927" s="43"/>
      <c r="J927" s="43"/>
    </row>
    <row r="928" spans="1:10" ht="24" customHeight="1">
      <c r="A928" s="48"/>
      <c r="B928" s="43"/>
      <c r="C928" s="43"/>
      <c r="D928" s="43"/>
      <c r="E928" s="43"/>
      <c r="F928" s="43"/>
      <c r="G928" s="43"/>
      <c r="H928" s="43"/>
      <c r="I928" s="43"/>
      <c r="J928" s="43"/>
    </row>
    <row r="929" spans="1:10">
      <c r="A929" s="49" t="s">
        <v>1224</v>
      </c>
      <c r="B929" s="46"/>
      <c r="C929" s="46"/>
      <c r="D929" s="46"/>
      <c r="E929" s="46"/>
      <c r="F929" s="46"/>
      <c r="G929" s="260" t="s">
        <v>10336</v>
      </c>
      <c r="H929" s="260"/>
      <c r="I929" s="260"/>
      <c r="J929" s="260"/>
    </row>
    <row r="930" spans="1:10" ht="24" customHeight="1">
      <c r="A930" s="50" t="str">
        <f>CONCATENATE($I923,"1")</f>
        <v>L1</v>
      </c>
      <c r="B930" s="255" t="str">
        <f>IF(VLOOKUP($A930,Players!$A$2:$C$132,3)&lt;&gt;0,VLOOKUP($A930,Players!$A$2:$C$132,3),"")</f>
        <v/>
      </c>
      <c r="C930" s="255"/>
      <c r="D930" s="255"/>
      <c r="E930" s="255"/>
      <c r="F930" s="255"/>
      <c r="G930" s="254" t="str">
        <f>IF(VLOOKUP($D923&amp;RIGHT($A930,1),Players!$A$2:$D$132,3)&lt;&gt;0,VLOOKUP($D923&amp;RIGHT($A930,1),Players!$A$2:$D$132,3),"")</f>
        <v/>
      </c>
      <c r="H930" s="254"/>
      <c r="I930" s="254"/>
      <c r="J930" s="210" t="str">
        <f>IF(VLOOKUP($D923&amp;RIGHT($A930,1),Players!$A$2:$D$132,3)&lt;&gt;0,"("&amp;VLOOKUP($D923&amp;RIGHT($A930,1),Players!$A$2:$D$132,4)&amp;")","")</f>
        <v/>
      </c>
    </row>
    <row r="931" spans="1:10" ht="25.5" customHeight="1">
      <c r="A931" s="50" t="str">
        <f>CONCATENATE($I923,"2")</f>
        <v>L2</v>
      </c>
      <c r="B931" s="255" t="str">
        <f>IF(VLOOKUP($A931,Players!$A$2:$C$132,3)&lt;&gt;0,VLOOKUP($A931,Players!$A$2:$C$132,3),"")</f>
        <v/>
      </c>
      <c r="C931" s="255"/>
      <c r="D931" s="255"/>
      <c r="E931" s="255"/>
      <c r="F931" s="255"/>
      <c r="G931" s="254" t="str">
        <f>IF(VLOOKUP($D923&amp;RIGHT($A931,1),Players!$A$2:$D$132,3)&lt;&gt;0,VLOOKUP($D923&amp;RIGHT($A931,1),Players!$A$2:$D$132,3),"")</f>
        <v/>
      </c>
      <c r="H931" s="254"/>
      <c r="I931" s="254"/>
      <c r="J931" s="210" t="str">
        <f>IF(VLOOKUP($D923&amp;RIGHT($A931,1),Players!$A$2:$D$132,3)&lt;&gt;0,"("&amp;VLOOKUP($D923&amp;RIGHT($A931,1),Players!$A$2:$D$132,4)&amp;")","")</f>
        <v/>
      </c>
    </row>
    <row r="932" spans="1:10" ht="25.5" customHeight="1">
      <c r="A932" s="50" t="str">
        <f>CONCATENATE($I923,"3")</f>
        <v>L3</v>
      </c>
      <c r="B932" s="255" t="str">
        <f>IF(VLOOKUP($A932,Players!$A$2:$C$132,3)&lt;&gt;0,VLOOKUP($A932,Players!$A$2:$C$132,3),"")</f>
        <v/>
      </c>
      <c r="C932" s="255"/>
      <c r="D932" s="255"/>
      <c r="E932" s="255"/>
      <c r="F932" s="255"/>
      <c r="G932" s="254" t="str">
        <f>IF(VLOOKUP($D923&amp;RIGHT($A932,1),Players!$A$2:$D$132,3)&lt;&gt;0,VLOOKUP($D923&amp;RIGHT($A932,1),Players!$A$2:$D$132,3),"")</f>
        <v/>
      </c>
      <c r="H932" s="254"/>
      <c r="I932" s="254"/>
      <c r="J932" s="210" t="str">
        <f>IF(VLOOKUP($D923&amp;RIGHT($A932,1),Players!$A$2:$D$132,3)&lt;&gt;0,"("&amp;VLOOKUP($D923&amp;RIGHT($A932,1),Players!$A$2:$D$132,4)&amp;")","")</f>
        <v/>
      </c>
    </row>
    <row r="933" spans="1:10" ht="25.5" customHeight="1">
      <c r="A933" s="50" t="str">
        <f>CONCATENATE($I923,"4")</f>
        <v>L4</v>
      </c>
      <c r="B933" s="255" t="str">
        <f>IF(VLOOKUP($A933,Players!$A$2:$C$132,3)&lt;&gt;0,VLOOKUP($A933,Players!$A$2:$C$132,3),"")</f>
        <v/>
      </c>
      <c r="C933" s="255"/>
      <c r="D933" s="255"/>
      <c r="E933" s="255"/>
      <c r="F933" s="255"/>
      <c r="G933" s="254" t="str">
        <f>IF(VLOOKUP($D923&amp;RIGHT($A933,1),Players!$A$2:$D$132,3)&lt;&gt;0,VLOOKUP($D923&amp;RIGHT($A933,1),Players!$A$2:$D$132,3),"")</f>
        <v/>
      </c>
      <c r="H933" s="254"/>
      <c r="I933" s="254"/>
      <c r="J933" s="210" t="str">
        <f>IF(VLOOKUP($D923&amp;RIGHT($A933,1),Players!$A$2:$D$132,3)&lt;&gt;0,"("&amp;VLOOKUP($D923&amp;RIGHT($A933,1),Players!$A$2:$D$132,4)&amp;")","")</f>
        <v/>
      </c>
    </row>
    <row r="934" spans="1:10" ht="25.5" customHeight="1">
      <c r="A934" s="50" t="str">
        <f>CONCATENATE($I923,"5")</f>
        <v>L5</v>
      </c>
      <c r="B934" s="255" t="str">
        <f>IF(VLOOKUP($A934,Players!$A$2:$C$132,3)&lt;&gt;0,VLOOKUP($A934,Players!$A$2:$C$132,3),"")</f>
        <v/>
      </c>
      <c r="C934" s="255"/>
      <c r="D934" s="255"/>
      <c r="E934" s="255"/>
      <c r="F934" s="255"/>
      <c r="G934" s="254" t="str">
        <f>IF(VLOOKUP($D923&amp;RIGHT($A934,1),Players!$A$2:$D$132,3)&lt;&gt;0,VLOOKUP($D923&amp;RIGHT($A934,1),Players!$A$2:$D$132,3),"")</f>
        <v/>
      </c>
      <c r="H934" s="254"/>
      <c r="I934" s="254"/>
      <c r="J934" s="210" t="str">
        <f>IF(VLOOKUP($D923&amp;RIGHT($A934,1),Players!$A$2:$D$132,3)&lt;&gt;0,"("&amp;VLOOKUP($D923&amp;RIGHT($A934,1),Players!$A$2:$D$132,4)&amp;")","")</f>
        <v/>
      </c>
    </row>
    <row r="935" spans="1:10" ht="25.5" customHeight="1">
      <c r="A935" s="50" t="str">
        <f>CONCATENATE($I923,"6")</f>
        <v>L6</v>
      </c>
      <c r="B935" s="255" t="str">
        <f>IF(VLOOKUP($A935,Players!$A$2:$C$132,3)&lt;&gt;0,VLOOKUP($A935,Players!$A$2:$C$132,3),"")</f>
        <v/>
      </c>
      <c r="C935" s="255"/>
      <c r="D935" s="255"/>
      <c r="E935" s="255"/>
      <c r="F935" s="255"/>
      <c r="G935" s="254" t="str">
        <f>IF(VLOOKUP($D923&amp;RIGHT($A935,1),Players!$A$2:$D$132,3)&lt;&gt;0,VLOOKUP($D923&amp;RIGHT($A935,1),Players!$A$2:$D$132,3),"")</f>
        <v/>
      </c>
      <c r="H935" s="254"/>
      <c r="I935" s="254"/>
      <c r="J935" s="210" t="str">
        <f>IF(VLOOKUP($D923&amp;RIGHT($A935,1),Players!$A$2:$D$132,3)&lt;&gt;0,"("&amp;VLOOKUP($D923&amp;RIGHT($A935,1),Players!$A$2:$D$132,4)&amp;")","")</f>
        <v/>
      </c>
    </row>
    <row r="936" spans="1:10" ht="25.5" customHeight="1">
      <c r="A936" s="50" t="str">
        <f>CONCATENATE($I923,"7")</f>
        <v>L7</v>
      </c>
      <c r="B936" s="255" t="str">
        <f>IF(VLOOKUP($A936,Players!$A$2:$C$132,3)&lt;&gt;0,VLOOKUP($A936,Players!$A$2:$C$132,3),"")</f>
        <v/>
      </c>
      <c r="C936" s="255"/>
      <c r="D936" s="255"/>
      <c r="E936" s="255"/>
      <c r="F936" s="255"/>
      <c r="G936" s="254" t="str">
        <f>IF(VLOOKUP($D923&amp;RIGHT($A936,1),Players!$A$2:$D$132,3)&lt;&gt;0,VLOOKUP($D923&amp;RIGHT($A936,1),Players!$A$2:$D$132,3),"")</f>
        <v/>
      </c>
      <c r="H936" s="254"/>
      <c r="I936" s="254"/>
      <c r="J936" s="210" t="str">
        <f>IF(VLOOKUP($D923&amp;RIGHT($A936,1),Players!$A$2:$D$132,3)&lt;&gt;0,"("&amp;VLOOKUP($D923&amp;RIGHT($A936,1),Players!$A$2:$D$132,4)&amp;")","")</f>
        <v/>
      </c>
    </row>
    <row r="937" spans="1:10" ht="25.5" customHeight="1">
      <c r="A937" s="50" t="str">
        <f>CONCATENATE($I923,"8")</f>
        <v>L8</v>
      </c>
      <c r="B937" s="255" t="str">
        <f>IF(VLOOKUP($A937,Players!$A$2:$C$132,3)&lt;&gt;0,VLOOKUP($A937,Players!$A$2:$C$132,3),"")</f>
        <v/>
      </c>
      <c r="C937" s="255"/>
      <c r="D937" s="255"/>
      <c r="E937" s="255"/>
      <c r="F937" s="255"/>
      <c r="G937" s="254" t="str">
        <f>IF(VLOOKUP($D923&amp;RIGHT($A937,1),Players!$A$2:$D$132,3)&lt;&gt;0,VLOOKUP($D923&amp;RIGHT($A937,1),Players!$A$2:$D$132,3),"")</f>
        <v/>
      </c>
      <c r="H937" s="254"/>
      <c r="I937" s="254"/>
      <c r="J937" s="210" t="str">
        <f>IF(VLOOKUP($D923&amp;RIGHT($A937,1),Players!$A$2:$D$132,3)&lt;&gt;0,"("&amp;VLOOKUP($D923&amp;RIGHT($A937,1),Players!$A$2:$D$132,4)&amp;")","")</f>
        <v/>
      </c>
    </row>
    <row r="938" spans="1:10" ht="25.5" customHeight="1">
      <c r="A938" s="50"/>
      <c r="B938" s="26"/>
      <c r="C938" s="26"/>
      <c r="D938" s="26"/>
      <c r="E938" s="26"/>
      <c r="F938" s="27"/>
      <c r="G938" s="43"/>
      <c r="H938" s="43"/>
      <c r="I938" s="43"/>
      <c r="J938" s="43"/>
    </row>
    <row r="939" spans="1:10">
      <c r="A939" s="49" t="s">
        <v>1225</v>
      </c>
      <c r="B939" s="46"/>
      <c r="C939" s="46"/>
      <c r="D939" s="46"/>
      <c r="E939" s="46"/>
      <c r="F939" s="46"/>
      <c r="G939" s="43"/>
      <c r="H939" s="43"/>
      <c r="I939" s="43"/>
      <c r="J939" s="43"/>
    </row>
    <row r="940" spans="1:10">
      <c r="A940" s="46" t="s">
        <v>1247</v>
      </c>
      <c r="B940" s="46"/>
      <c r="C940" s="46"/>
      <c r="D940" s="46"/>
      <c r="E940" s="46"/>
      <c r="F940" s="46"/>
      <c r="G940" s="43"/>
      <c r="H940" s="43"/>
      <c r="I940" s="43"/>
      <c r="J940" s="43"/>
    </row>
    <row r="941" spans="1:10">
      <c r="A941" s="46" t="s">
        <v>1248</v>
      </c>
      <c r="B941" s="46"/>
      <c r="C941" s="46"/>
      <c r="D941" s="46"/>
      <c r="E941" s="46"/>
      <c r="F941" s="46"/>
      <c r="G941" s="43"/>
      <c r="H941" s="43"/>
      <c r="I941" s="43"/>
      <c r="J941" s="43"/>
    </row>
    <row r="942" spans="1:10" ht="13.5" thickBot="1">
      <c r="A942" s="46"/>
      <c r="B942" s="46"/>
      <c r="C942" s="46"/>
      <c r="D942" s="46"/>
      <c r="E942" s="46"/>
      <c r="F942" s="46"/>
      <c r="G942" s="43"/>
      <c r="H942" s="43"/>
      <c r="I942" s="43"/>
      <c r="J942" s="43"/>
    </row>
    <row r="943" spans="1:10" ht="25.5" customHeight="1" thickBot="1">
      <c r="A943" s="50"/>
      <c r="B943" s="257"/>
      <c r="C943" s="258"/>
      <c r="D943" s="258"/>
      <c r="E943" s="258"/>
      <c r="F943" s="259"/>
      <c r="G943" s="43"/>
      <c r="H943" s="43"/>
      <c r="I943" s="43"/>
      <c r="J943" s="43"/>
    </row>
    <row r="944" spans="1:10">
      <c r="A944" s="43"/>
      <c r="B944" s="43"/>
      <c r="C944" s="43"/>
      <c r="D944" s="43"/>
      <c r="E944" s="43"/>
      <c r="F944" s="43"/>
      <c r="G944" s="43"/>
      <c r="H944" s="43"/>
      <c r="I944" s="43"/>
      <c r="J944" s="43"/>
    </row>
    <row r="945" spans="1:10">
      <c r="A945" s="43"/>
      <c r="B945" s="43"/>
      <c r="C945" s="43"/>
      <c r="D945" s="43"/>
      <c r="E945" s="43"/>
      <c r="F945" s="43"/>
      <c r="G945" s="43"/>
      <c r="H945" s="43"/>
      <c r="I945" s="43"/>
      <c r="J945" s="43"/>
    </row>
    <row r="946" spans="1:10">
      <c r="A946" s="43"/>
      <c r="B946" s="43"/>
      <c r="C946" s="43"/>
      <c r="D946" s="43"/>
      <c r="E946" s="43"/>
      <c r="F946" s="43"/>
      <c r="G946" s="43"/>
      <c r="H946" s="43"/>
      <c r="I946" s="43"/>
      <c r="J946" s="43"/>
    </row>
    <row r="947" spans="1:10">
      <c r="A947" s="43"/>
      <c r="B947" s="43"/>
      <c r="C947" s="43"/>
      <c r="D947" s="43"/>
      <c r="E947" s="43"/>
      <c r="F947" s="43"/>
      <c r="G947" s="43"/>
      <c r="H947" s="43"/>
      <c r="I947" s="43"/>
      <c r="J947" s="43"/>
    </row>
    <row r="948" spans="1:10">
      <c r="A948" s="43"/>
      <c r="B948" s="43"/>
      <c r="C948" s="43"/>
      <c r="D948" s="43"/>
      <c r="E948" s="43"/>
      <c r="F948" s="43"/>
      <c r="G948" s="43"/>
      <c r="H948" s="43"/>
      <c r="I948" s="43"/>
      <c r="J948" s="43"/>
    </row>
    <row r="949" spans="1:10" ht="25.5" customHeight="1">
      <c r="A949" s="47"/>
      <c r="B949" s="47"/>
      <c r="C949" s="47"/>
      <c r="D949" s="47"/>
      <c r="E949" s="47"/>
      <c r="F949" s="43"/>
      <c r="G949" s="51"/>
      <c r="H949" s="250" t="s">
        <v>1227</v>
      </c>
      <c r="I949" s="251"/>
      <c r="J949" s="43"/>
    </row>
    <row r="950" spans="1:10">
      <c r="A950" s="43" t="s">
        <v>1226</v>
      </c>
      <c r="B950" s="43"/>
      <c r="C950" s="43"/>
      <c r="D950" s="43"/>
      <c r="E950" s="43"/>
      <c r="F950" s="43"/>
      <c r="G950" s="43"/>
      <c r="H950" s="43"/>
      <c r="I950" s="43"/>
      <c r="J950" s="43"/>
    </row>
    <row r="951" spans="1:10">
      <c r="A951" s="43"/>
      <c r="B951" s="43"/>
      <c r="C951" s="43"/>
      <c r="D951" s="43"/>
      <c r="E951" s="43"/>
      <c r="F951" s="43"/>
      <c r="G951" s="43"/>
      <c r="H951" s="43"/>
      <c r="I951" s="43"/>
      <c r="J951" s="43"/>
    </row>
    <row r="952" spans="1:10">
      <c r="A952" s="43"/>
      <c r="B952" s="43"/>
      <c r="C952" s="43"/>
      <c r="D952" s="43"/>
      <c r="E952" s="256" t="str">
        <f>CONCATENATE("(",$D923," vs ",$I923,")")</f>
        <v>(J vs L)</v>
      </c>
      <c r="F952" s="256"/>
      <c r="G952" s="43"/>
      <c r="H952" s="43"/>
      <c r="I952" s="43"/>
      <c r="J952" s="43"/>
    </row>
    <row r="953" spans="1:10" ht="15.75">
      <c r="A953" s="42" t="s">
        <v>1223</v>
      </c>
      <c r="B953" s="43"/>
      <c r="C953" s="43"/>
      <c r="D953" s="43"/>
      <c r="E953" s="43"/>
      <c r="F953" s="43"/>
      <c r="G953" s="43"/>
      <c r="H953" s="43"/>
      <c r="I953" s="43"/>
      <c r="J953" s="96" t="s">
        <v>4247</v>
      </c>
    </row>
    <row r="954" spans="1:10" ht="12.75" customHeight="1">
      <c r="A954" s="42"/>
      <c r="B954" s="43"/>
      <c r="C954" s="43"/>
      <c r="D954" s="43"/>
      <c r="E954" s="43"/>
      <c r="F954" s="43"/>
      <c r="G954" s="43" t="str">
        <f ca="1">Team_Matches!$J$6</f>
        <v>[NCTTA Teams Template (v2.06).xlsx]</v>
      </c>
      <c r="H954" s="43"/>
      <c r="I954" s="43"/>
      <c r="J954" s="160"/>
    </row>
    <row r="955" spans="1:10" ht="12.75" customHeight="1">
      <c r="A955" s="42"/>
      <c r="B955" s="43"/>
      <c r="C955" s="43"/>
      <c r="D955" s="43"/>
      <c r="E955" s="43"/>
      <c r="F955" s="43"/>
      <c r="G955" s="247" t="str">
        <f>Team_Matches!$J721</f>
        <v>Round 2, Match 5</v>
      </c>
      <c r="H955" s="247"/>
      <c r="I955" s="161" t="str">
        <f>Team_Matches!$M721</f>
        <v/>
      </c>
      <c r="J955" s="161"/>
    </row>
    <row r="956" spans="1:10" ht="15.75">
      <c r="A956" s="42"/>
      <c r="B956" s="43"/>
      <c r="C956" s="43"/>
      <c r="D956" s="43"/>
      <c r="E956" s="43"/>
      <c r="F956" s="43"/>
      <c r="G956" s="43"/>
      <c r="H956" s="43"/>
      <c r="I956" s="43"/>
      <c r="J956" s="43"/>
    </row>
    <row r="957" spans="1:10">
      <c r="A957" s="43"/>
      <c r="B957" s="43"/>
      <c r="C957" s="9" t="s">
        <v>1228</v>
      </c>
      <c r="D957" s="52" t="str">
        <f>Team_Matches!$B723</f>
        <v>I</v>
      </c>
      <c r="E957" s="43"/>
      <c r="F957" s="97" t="str">
        <f>CONCATENATE($D957,"-",$I957)</f>
        <v>I-J</v>
      </c>
      <c r="G957" s="43"/>
      <c r="H957" s="9" t="s">
        <v>1228</v>
      </c>
      <c r="I957" s="3" t="str">
        <f>Team_Matches!$K723</f>
        <v>J</v>
      </c>
      <c r="J957" s="43"/>
    </row>
    <row r="958" spans="1:10" ht="25.5" customHeight="1">
      <c r="A958" s="44"/>
      <c r="B958" s="248" t="str">
        <f>IF(VLOOKUP($D957,Draw!$A$4:$B$27,2)&lt;&gt;0,VLOOKUP($D957,Draw!$A$4:$B$27,2),"")</f>
        <v/>
      </c>
      <c r="C958" s="248"/>
      <c r="D958" s="248"/>
      <c r="E958" s="249"/>
      <c r="F958" s="45"/>
      <c r="G958" s="252" t="str">
        <f>IF(VLOOKUP($I957,Draw!$A$4:$B$27,2)&lt;&gt;0,VLOOKUP($I957,Draw!$A$4:$B$27,2),"")</f>
        <v/>
      </c>
      <c r="H958" s="252"/>
      <c r="I958" s="252"/>
      <c r="J958" s="253"/>
    </row>
    <row r="959" spans="1:10" ht="25.5" customHeight="1"/>
    <row r="960" spans="1:10" ht="25.5" customHeight="1"/>
    <row r="961" spans="1:10" ht="24" customHeight="1">
      <c r="A961" s="48" t="s">
        <v>1246</v>
      </c>
      <c r="B961" s="43"/>
      <c r="C961" s="43"/>
      <c r="D961" s="43"/>
      <c r="E961" s="43"/>
      <c r="F961" s="43"/>
      <c r="G961" s="43"/>
      <c r="H961" s="43"/>
      <c r="I961" s="43"/>
      <c r="J961" s="43"/>
    </row>
    <row r="962" spans="1:10" ht="24" customHeight="1">
      <c r="A962" s="48"/>
      <c r="B962" s="43"/>
      <c r="C962" s="43"/>
      <c r="D962" s="43"/>
      <c r="E962" s="43"/>
      <c r="F962" s="43"/>
      <c r="G962" s="43"/>
      <c r="H962" s="43"/>
      <c r="I962" s="43"/>
      <c r="J962" s="43"/>
    </row>
    <row r="963" spans="1:10">
      <c r="A963" s="49" t="s">
        <v>1224</v>
      </c>
      <c r="B963" s="46"/>
      <c r="C963" s="46"/>
      <c r="D963" s="46"/>
      <c r="E963" s="46"/>
      <c r="F963" s="46"/>
      <c r="G963" s="260" t="s">
        <v>10336</v>
      </c>
      <c r="H963" s="260"/>
      <c r="I963" s="260"/>
      <c r="J963" s="260"/>
    </row>
    <row r="964" spans="1:10" ht="24" customHeight="1">
      <c r="A964" s="50" t="str">
        <f>CONCATENATE($D957,"1")</f>
        <v>I1</v>
      </c>
      <c r="B964" s="255" t="str">
        <f>IF(VLOOKUP($A964,Players!$A$2:$C$132,3)&lt;&gt;0,VLOOKUP($A964,Players!$A$2:$C$132,3),"")</f>
        <v/>
      </c>
      <c r="C964" s="255"/>
      <c r="D964" s="255"/>
      <c r="E964" s="255"/>
      <c r="F964" s="255"/>
      <c r="G964" s="254" t="str">
        <f>IF(VLOOKUP($I957&amp;RIGHT($A964,1),Players!$A$2:$D$132,3)&lt;&gt;0,VLOOKUP($I957&amp;RIGHT($A964,1),Players!$A$2:$D$132,3),"")</f>
        <v/>
      </c>
      <c r="H964" s="254"/>
      <c r="I964" s="254"/>
      <c r="J964" s="210" t="str">
        <f>IF(VLOOKUP($I957&amp;RIGHT($A964,1),Players!$A$2:$D$132,3)&lt;&gt;0,"("&amp;VLOOKUP($I957&amp;RIGHT($A964,1),Players!$A$2:$D$132,4)&amp;")","")</f>
        <v/>
      </c>
    </row>
    <row r="965" spans="1:10" ht="25.5" customHeight="1">
      <c r="A965" s="50" t="str">
        <f>CONCATENATE($D957,"2")</f>
        <v>I2</v>
      </c>
      <c r="B965" s="255" t="str">
        <f>IF(VLOOKUP($A965,Players!$A$2:$C$132,3)&lt;&gt;0,VLOOKUP($A965,Players!$A$2:$C$132,3),"")</f>
        <v/>
      </c>
      <c r="C965" s="255"/>
      <c r="D965" s="255"/>
      <c r="E965" s="255"/>
      <c r="F965" s="255"/>
      <c r="G965" s="254" t="str">
        <f>IF(VLOOKUP($I957&amp;RIGHT($A965,1),Players!$A$2:$D$132,3)&lt;&gt;0,VLOOKUP($I957&amp;RIGHT($A965,1),Players!$A$2:$D$132,3),"")</f>
        <v/>
      </c>
      <c r="H965" s="254"/>
      <c r="I965" s="254"/>
      <c r="J965" s="210" t="str">
        <f>IF(VLOOKUP($I957&amp;RIGHT($A965,1),Players!$A$2:$D$132,3)&lt;&gt;0,"("&amp;VLOOKUP($I957&amp;RIGHT($A965,1),Players!$A$2:$D$132,4)&amp;")","")</f>
        <v/>
      </c>
    </row>
    <row r="966" spans="1:10" ht="25.5" customHeight="1">
      <c r="A966" s="50" t="str">
        <f>CONCATENATE($D957,"3")</f>
        <v>I3</v>
      </c>
      <c r="B966" s="255" t="str">
        <f>IF(VLOOKUP($A966,Players!$A$2:$C$132,3)&lt;&gt;0,VLOOKUP($A966,Players!$A$2:$C$132,3),"")</f>
        <v/>
      </c>
      <c r="C966" s="255"/>
      <c r="D966" s="255"/>
      <c r="E966" s="255"/>
      <c r="F966" s="255"/>
      <c r="G966" s="254" t="str">
        <f>IF(VLOOKUP($I957&amp;RIGHT($A966,1),Players!$A$2:$D$132,3)&lt;&gt;0,VLOOKUP($I957&amp;RIGHT($A966,1),Players!$A$2:$D$132,3),"")</f>
        <v/>
      </c>
      <c r="H966" s="254"/>
      <c r="I966" s="254"/>
      <c r="J966" s="210" t="str">
        <f>IF(VLOOKUP($I957&amp;RIGHT($A966,1),Players!$A$2:$D$132,3)&lt;&gt;0,"("&amp;VLOOKUP($I957&amp;RIGHT($A966,1),Players!$A$2:$D$132,4)&amp;")","")</f>
        <v/>
      </c>
    </row>
    <row r="967" spans="1:10" ht="25.5" customHeight="1">
      <c r="A967" s="50" t="str">
        <f>CONCATENATE($D957,"4")</f>
        <v>I4</v>
      </c>
      <c r="B967" s="255" t="str">
        <f>IF(VLOOKUP($A967,Players!$A$2:$C$132,3)&lt;&gt;0,VLOOKUP($A967,Players!$A$2:$C$132,3),"")</f>
        <v/>
      </c>
      <c r="C967" s="255"/>
      <c r="D967" s="255"/>
      <c r="E967" s="255"/>
      <c r="F967" s="255"/>
      <c r="G967" s="254" t="str">
        <f>IF(VLOOKUP($I957&amp;RIGHT($A967,1),Players!$A$2:$D$132,3)&lt;&gt;0,VLOOKUP($I957&amp;RIGHT($A967,1),Players!$A$2:$D$132,3),"")</f>
        <v/>
      </c>
      <c r="H967" s="254"/>
      <c r="I967" s="254"/>
      <c r="J967" s="210" t="str">
        <f>IF(VLOOKUP($I957&amp;RIGHT($A967,1),Players!$A$2:$D$132,3)&lt;&gt;0,"("&amp;VLOOKUP($I957&amp;RIGHT($A967,1),Players!$A$2:$D$132,4)&amp;")","")</f>
        <v/>
      </c>
    </row>
    <row r="968" spans="1:10" ht="25.5" customHeight="1">
      <c r="A968" s="50" t="str">
        <f>CONCATENATE($D957,"5")</f>
        <v>I5</v>
      </c>
      <c r="B968" s="255" t="str">
        <f>IF(VLOOKUP($A968,Players!$A$2:$C$132,3)&lt;&gt;0,VLOOKUP($A968,Players!$A$2:$C$132,3),"")</f>
        <v/>
      </c>
      <c r="C968" s="255"/>
      <c r="D968" s="255"/>
      <c r="E968" s="255"/>
      <c r="F968" s="255"/>
      <c r="G968" s="254" t="str">
        <f>IF(VLOOKUP($I957&amp;RIGHT($A968,1),Players!$A$2:$D$132,3)&lt;&gt;0,VLOOKUP($I957&amp;RIGHT($A968,1),Players!$A$2:$D$132,3),"")</f>
        <v/>
      </c>
      <c r="H968" s="254"/>
      <c r="I968" s="254"/>
      <c r="J968" s="210" t="str">
        <f>IF(VLOOKUP($I957&amp;RIGHT($A968,1),Players!$A$2:$D$132,3)&lt;&gt;0,"("&amp;VLOOKUP($I957&amp;RIGHT($A968,1),Players!$A$2:$D$132,4)&amp;")","")</f>
        <v/>
      </c>
    </row>
    <row r="969" spans="1:10" ht="25.5" customHeight="1">
      <c r="A969" s="50" t="str">
        <f>CONCATENATE($D957,"6")</f>
        <v>I6</v>
      </c>
      <c r="B969" s="255" t="str">
        <f>IF(VLOOKUP($A969,Players!$A$2:$C$132,3)&lt;&gt;0,VLOOKUP($A969,Players!$A$2:$C$132,3),"")</f>
        <v/>
      </c>
      <c r="C969" s="255"/>
      <c r="D969" s="255"/>
      <c r="E969" s="255"/>
      <c r="F969" s="255"/>
      <c r="G969" s="254" t="str">
        <f>IF(VLOOKUP($I957&amp;RIGHT($A969,1),Players!$A$2:$D$132,3)&lt;&gt;0,VLOOKUP($I957&amp;RIGHT($A969,1),Players!$A$2:$D$132,3),"")</f>
        <v/>
      </c>
      <c r="H969" s="254"/>
      <c r="I969" s="254"/>
      <c r="J969" s="210" t="str">
        <f>IF(VLOOKUP($I957&amp;RIGHT($A969,1),Players!$A$2:$D$132,3)&lt;&gt;0,"("&amp;VLOOKUP($I957&amp;RIGHT($A969,1),Players!$A$2:$D$132,4)&amp;")","")</f>
        <v/>
      </c>
    </row>
    <row r="970" spans="1:10" ht="25.5" customHeight="1">
      <c r="A970" s="50" t="str">
        <f>CONCATENATE($D957,"7")</f>
        <v>I7</v>
      </c>
      <c r="B970" s="255" t="str">
        <f>IF(VLOOKUP($A970,Players!$A$2:$C$132,3)&lt;&gt;0,VLOOKUP($A970,Players!$A$2:$C$132,3),"")</f>
        <v/>
      </c>
      <c r="C970" s="255"/>
      <c r="D970" s="255"/>
      <c r="E970" s="255"/>
      <c r="F970" s="255"/>
      <c r="G970" s="254" t="str">
        <f>IF(VLOOKUP($I957&amp;RIGHT($A970,1),Players!$A$2:$D$132,3)&lt;&gt;0,VLOOKUP($I957&amp;RIGHT($A970,1),Players!$A$2:$D$132,3),"")</f>
        <v/>
      </c>
      <c r="H970" s="254"/>
      <c r="I970" s="254"/>
      <c r="J970" s="210" t="str">
        <f>IF(VLOOKUP($I957&amp;RIGHT($A970,1),Players!$A$2:$D$132,3)&lt;&gt;0,"("&amp;VLOOKUP($I957&amp;RIGHT($A970,1),Players!$A$2:$D$132,4)&amp;")","")</f>
        <v/>
      </c>
    </row>
    <row r="971" spans="1:10" ht="25.5" customHeight="1">
      <c r="A971" s="50" t="str">
        <f>CONCATENATE($D957,"8")</f>
        <v>I8</v>
      </c>
      <c r="B971" s="255" t="str">
        <f>IF(VLOOKUP($A971,Players!$A$2:$C$132,3)&lt;&gt;0,VLOOKUP($A971,Players!$A$2:$C$132,3),"")</f>
        <v/>
      </c>
      <c r="C971" s="255"/>
      <c r="D971" s="255"/>
      <c r="E971" s="255"/>
      <c r="F971" s="255"/>
      <c r="G971" s="254" t="str">
        <f>IF(VLOOKUP($I957&amp;RIGHT($A971,1),Players!$A$2:$D$132,3)&lt;&gt;0,VLOOKUP($I957&amp;RIGHT($A971,1),Players!$A$2:$D$132,3),"")</f>
        <v/>
      </c>
      <c r="H971" s="254"/>
      <c r="I971" s="254"/>
      <c r="J971" s="210" t="str">
        <f>IF(VLOOKUP($I957&amp;RIGHT($A971,1),Players!$A$2:$D$132,3)&lt;&gt;0,"("&amp;VLOOKUP($I957&amp;RIGHT($A971,1),Players!$A$2:$D$132,4)&amp;")","")</f>
        <v/>
      </c>
    </row>
    <row r="972" spans="1:10" ht="25.5" customHeight="1">
      <c r="A972" s="50"/>
      <c r="B972" s="26"/>
      <c r="C972" s="26"/>
      <c r="D972" s="26"/>
      <c r="E972" s="26"/>
      <c r="F972" s="27"/>
      <c r="G972" s="43"/>
      <c r="H972" s="43"/>
      <c r="I972" s="43"/>
      <c r="J972" s="43"/>
    </row>
    <row r="973" spans="1:10">
      <c r="A973" s="49" t="s">
        <v>1225</v>
      </c>
      <c r="B973" s="46"/>
      <c r="C973" s="46"/>
      <c r="D973" s="46"/>
      <c r="E973" s="46"/>
      <c r="F973" s="46"/>
      <c r="G973" s="43"/>
      <c r="H973" s="43"/>
      <c r="I973" s="43"/>
      <c r="J973" s="43"/>
    </row>
    <row r="974" spans="1:10">
      <c r="A974" s="46" t="s">
        <v>1247</v>
      </c>
      <c r="B974" s="46"/>
      <c r="C974" s="46"/>
      <c r="D974" s="46"/>
      <c r="E974" s="46"/>
      <c r="F974" s="46"/>
      <c r="G974" s="43"/>
      <c r="H974" s="43"/>
      <c r="I974" s="43"/>
      <c r="J974" s="43"/>
    </row>
    <row r="975" spans="1:10">
      <c r="A975" s="46" t="s">
        <v>1248</v>
      </c>
      <c r="B975" s="46"/>
      <c r="C975" s="46"/>
      <c r="D975" s="46"/>
      <c r="E975" s="46"/>
      <c r="F975" s="46"/>
      <c r="G975" s="43"/>
      <c r="H975" s="43"/>
      <c r="I975" s="43"/>
      <c r="J975" s="43"/>
    </row>
    <row r="976" spans="1:10" ht="13.5" thickBot="1">
      <c r="A976" s="46"/>
      <c r="B976" s="46"/>
      <c r="C976" s="46"/>
      <c r="D976" s="46"/>
      <c r="E976" s="46"/>
      <c r="F976" s="46"/>
      <c r="G976" s="43"/>
      <c r="H976" s="43"/>
      <c r="I976" s="43"/>
      <c r="J976" s="43"/>
    </row>
    <row r="977" spans="1:10" ht="25.5" customHeight="1" thickBot="1">
      <c r="A977" s="50"/>
      <c r="B977" s="257"/>
      <c r="C977" s="258"/>
      <c r="D977" s="258"/>
      <c r="E977" s="258"/>
      <c r="F977" s="259"/>
      <c r="G977" s="43"/>
      <c r="H977" s="43"/>
      <c r="I977" s="43"/>
      <c r="J977" s="43"/>
    </row>
    <row r="978" spans="1:10">
      <c r="A978" s="43"/>
      <c r="B978" s="43"/>
      <c r="C978" s="43"/>
      <c r="D978" s="43"/>
      <c r="E978" s="43"/>
      <c r="F978" s="43"/>
      <c r="G978" s="43"/>
      <c r="H978" s="43"/>
      <c r="I978" s="43"/>
      <c r="J978" s="43"/>
    </row>
    <row r="979" spans="1:10">
      <c r="A979" s="43"/>
      <c r="B979" s="43"/>
      <c r="C979" s="43"/>
      <c r="D979" s="43"/>
      <c r="E979" s="43"/>
      <c r="F979" s="43"/>
      <c r="G979" s="43"/>
      <c r="H979" s="43"/>
      <c r="I979" s="43"/>
      <c r="J979" s="43"/>
    </row>
    <row r="980" spans="1:10">
      <c r="A980" s="43"/>
      <c r="B980" s="43"/>
      <c r="C980" s="43"/>
      <c r="D980" s="43"/>
      <c r="E980" s="43"/>
      <c r="F980" s="43"/>
      <c r="G980" s="43"/>
      <c r="H980" s="43"/>
      <c r="I980" s="43"/>
      <c r="J980" s="43"/>
    </row>
    <row r="981" spans="1:10">
      <c r="A981" s="43"/>
      <c r="B981" s="43"/>
      <c r="C981" s="43"/>
      <c r="D981" s="43"/>
      <c r="E981" s="43"/>
      <c r="F981" s="43"/>
      <c r="G981" s="43"/>
      <c r="H981" s="43"/>
      <c r="I981" s="43"/>
      <c r="J981" s="43"/>
    </row>
    <row r="982" spans="1:10">
      <c r="A982" s="43"/>
      <c r="B982" s="43"/>
      <c r="C982" s="43"/>
      <c r="D982" s="43"/>
      <c r="E982" s="43"/>
      <c r="F982" s="43"/>
      <c r="G982" s="43"/>
      <c r="H982" s="43"/>
      <c r="I982" s="43"/>
      <c r="J982" s="43"/>
    </row>
    <row r="983" spans="1:10" ht="25.5" customHeight="1">
      <c r="A983" s="47"/>
      <c r="B983" s="47"/>
      <c r="C983" s="47"/>
      <c r="D983" s="47"/>
      <c r="E983" s="47"/>
      <c r="F983" s="43"/>
      <c r="G983" s="51"/>
      <c r="H983" s="250" t="s">
        <v>1227</v>
      </c>
      <c r="I983" s="251"/>
      <c r="J983" s="43"/>
    </row>
    <row r="984" spans="1:10">
      <c r="A984" s="43" t="s">
        <v>1226</v>
      </c>
      <c r="B984" s="43"/>
      <c r="C984" s="43"/>
      <c r="D984" s="43"/>
      <c r="E984" s="43"/>
      <c r="F984" s="43"/>
      <c r="G984" s="43"/>
      <c r="H984" s="43"/>
      <c r="I984" s="43"/>
      <c r="J984" s="43"/>
    </row>
    <row r="985" spans="1:10">
      <c r="A985" s="43"/>
      <c r="B985" s="43"/>
      <c r="C985" s="43"/>
      <c r="D985" s="43"/>
      <c r="E985" s="43"/>
      <c r="F985" s="43"/>
      <c r="G985" s="43"/>
      <c r="H985" s="43"/>
      <c r="I985" s="43"/>
      <c r="J985" s="43"/>
    </row>
    <row r="986" spans="1:10">
      <c r="A986" s="43"/>
      <c r="B986" s="43"/>
      <c r="C986" s="43"/>
      <c r="D986" s="43"/>
      <c r="E986" s="256" t="str">
        <f>CONCATENATE("(",$D957," vs ",$I957,")")</f>
        <v>(I vs J)</v>
      </c>
      <c r="F986" s="256"/>
      <c r="G986" s="43"/>
      <c r="H986" s="43"/>
      <c r="I986" s="43"/>
      <c r="J986" s="43"/>
    </row>
    <row r="987" spans="1:10" ht="15.75">
      <c r="A987" s="42" t="s">
        <v>1223</v>
      </c>
      <c r="B987" s="43"/>
      <c r="C987" s="43"/>
      <c r="D987" s="43"/>
      <c r="E987" s="43"/>
      <c r="F987" s="43"/>
      <c r="G987" s="43"/>
      <c r="H987" s="43"/>
      <c r="I987" s="43"/>
      <c r="J987" s="96" t="s">
        <v>4248</v>
      </c>
    </row>
    <row r="988" spans="1:10" ht="12.75" customHeight="1">
      <c r="A988" s="42"/>
      <c r="B988" s="43"/>
      <c r="C988" s="43"/>
      <c r="D988" s="43"/>
      <c r="E988" s="43"/>
      <c r="F988" s="43"/>
      <c r="G988" s="43" t="str">
        <f ca="1">Team_Matches!$J$6</f>
        <v>[NCTTA Teams Template (v2.06).xlsx]</v>
      </c>
      <c r="H988" s="43"/>
      <c r="I988" s="43"/>
      <c r="J988" s="160"/>
    </row>
    <row r="989" spans="1:10" ht="12.75" customHeight="1">
      <c r="A989" s="42"/>
      <c r="B989" s="43"/>
      <c r="C989" s="43"/>
      <c r="D989" s="43"/>
      <c r="E989" s="43"/>
      <c r="F989" s="43"/>
      <c r="G989" s="247" t="str">
        <f>Team_Matches!$J721</f>
        <v>Round 2, Match 5</v>
      </c>
      <c r="H989" s="247"/>
      <c r="I989" s="161" t="str">
        <f>Team_Matches!$M721</f>
        <v/>
      </c>
      <c r="J989" s="161"/>
    </row>
    <row r="990" spans="1:10" ht="15.75">
      <c r="A990" s="42"/>
      <c r="B990" s="43"/>
      <c r="C990" s="43"/>
      <c r="D990" s="43"/>
      <c r="E990" s="43"/>
      <c r="F990" s="43"/>
      <c r="G990" s="43"/>
      <c r="H990" s="43"/>
      <c r="I990" s="43"/>
      <c r="J990" s="43"/>
    </row>
    <row r="991" spans="1:10">
      <c r="A991" s="43"/>
      <c r="B991" s="43"/>
      <c r="C991" s="9" t="s">
        <v>1228</v>
      </c>
      <c r="D991" s="52" t="str">
        <f>Team_Matches!$B723</f>
        <v>I</v>
      </c>
      <c r="E991" s="43"/>
      <c r="F991" s="97" t="str">
        <f>CONCATENATE($D991,"-",$I991)</f>
        <v>I-J</v>
      </c>
      <c r="G991" s="43"/>
      <c r="H991" s="9" t="s">
        <v>1228</v>
      </c>
      <c r="I991" s="3" t="str">
        <f>Team_Matches!$K723</f>
        <v>J</v>
      </c>
      <c r="J991" s="43"/>
    </row>
    <row r="992" spans="1:10" ht="25.5" customHeight="1">
      <c r="A992" s="44"/>
      <c r="B992" s="252" t="str">
        <f>IF(VLOOKUP($D991,Draw!$A$4:$B$27,2)&lt;&gt;0,VLOOKUP($D991,Draw!$A$4:$B$27,2),"")</f>
        <v/>
      </c>
      <c r="C992" s="252"/>
      <c r="D992" s="252"/>
      <c r="E992" s="253"/>
      <c r="F992" s="45"/>
      <c r="G992" s="248" t="str">
        <f>IF(VLOOKUP($I991,Draw!$A$4:$B$27,2)&lt;&gt;0,VLOOKUP($I991,Draw!$A$4:$B$27,2),"")</f>
        <v/>
      </c>
      <c r="H992" s="248"/>
      <c r="I992" s="248"/>
      <c r="J992" s="249"/>
    </row>
    <row r="993" spans="1:10" ht="25.5" customHeight="1"/>
    <row r="994" spans="1:10" ht="25.5" customHeight="1"/>
    <row r="995" spans="1:10" ht="24" customHeight="1">
      <c r="A995" s="48" t="s">
        <v>1246</v>
      </c>
      <c r="B995" s="43"/>
      <c r="C995" s="43"/>
      <c r="D995" s="43"/>
      <c r="E995" s="43"/>
      <c r="F995" s="43"/>
      <c r="G995" s="43"/>
      <c r="H995" s="43"/>
      <c r="I995" s="43"/>
      <c r="J995" s="43"/>
    </row>
    <row r="996" spans="1:10" ht="24" customHeight="1">
      <c r="A996" s="48"/>
      <c r="B996" s="43"/>
      <c r="C996" s="43"/>
      <c r="D996" s="43"/>
      <c r="E996" s="43"/>
      <c r="F996" s="43"/>
      <c r="G996" s="43"/>
      <c r="H996" s="43"/>
      <c r="I996" s="43"/>
      <c r="J996" s="43"/>
    </row>
    <row r="997" spans="1:10">
      <c r="A997" s="49" t="s">
        <v>1224</v>
      </c>
      <c r="B997" s="46"/>
      <c r="C997" s="46"/>
      <c r="D997" s="46"/>
      <c r="E997" s="46"/>
      <c r="F997" s="46"/>
      <c r="G997" s="260" t="s">
        <v>10336</v>
      </c>
      <c r="H997" s="260"/>
      <c r="I997" s="260"/>
      <c r="J997" s="260"/>
    </row>
    <row r="998" spans="1:10" ht="24" customHeight="1">
      <c r="A998" s="50" t="str">
        <f>CONCATENATE($I991,"1")</f>
        <v>J1</v>
      </c>
      <c r="B998" s="255" t="str">
        <f>IF(VLOOKUP($A998,Players!$A$2:$C$132,3)&lt;&gt;0,VLOOKUP($A998,Players!$A$2:$C$132,3),"")</f>
        <v/>
      </c>
      <c r="C998" s="255"/>
      <c r="D998" s="255"/>
      <c r="E998" s="255"/>
      <c r="F998" s="255"/>
      <c r="G998" s="254" t="str">
        <f>IF(VLOOKUP($D991&amp;RIGHT($A998,1),Players!$A$2:$D$132,3)&lt;&gt;0,VLOOKUP($D991&amp;RIGHT($A998,1),Players!$A$2:$D$132,3),"")</f>
        <v/>
      </c>
      <c r="H998" s="254"/>
      <c r="I998" s="254"/>
      <c r="J998" s="210" t="str">
        <f>IF(VLOOKUP($D991&amp;RIGHT($A998,1),Players!$A$2:$D$132,3)&lt;&gt;0,"("&amp;VLOOKUP($D991&amp;RIGHT($A998,1),Players!$A$2:$D$132,4)&amp;")","")</f>
        <v/>
      </c>
    </row>
    <row r="999" spans="1:10" ht="25.5" customHeight="1">
      <c r="A999" s="50" t="str">
        <f>CONCATENATE($I991,"2")</f>
        <v>J2</v>
      </c>
      <c r="B999" s="255" t="str">
        <f>IF(VLOOKUP($A999,Players!$A$2:$C$132,3)&lt;&gt;0,VLOOKUP($A999,Players!$A$2:$C$132,3),"")</f>
        <v/>
      </c>
      <c r="C999" s="255"/>
      <c r="D999" s="255"/>
      <c r="E999" s="255"/>
      <c r="F999" s="255"/>
      <c r="G999" s="254" t="str">
        <f>IF(VLOOKUP($D991&amp;RIGHT($A999,1),Players!$A$2:$D$132,3)&lt;&gt;0,VLOOKUP($D991&amp;RIGHT($A999,1),Players!$A$2:$D$132,3),"")</f>
        <v/>
      </c>
      <c r="H999" s="254"/>
      <c r="I999" s="254"/>
      <c r="J999" s="210" t="str">
        <f>IF(VLOOKUP($D991&amp;RIGHT($A999,1),Players!$A$2:$D$132,3)&lt;&gt;0,"("&amp;VLOOKUP($D991&amp;RIGHT($A999,1),Players!$A$2:$D$132,4)&amp;")","")</f>
        <v/>
      </c>
    </row>
    <row r="1000" spans="1:10" ht="25.5" customHeight="1">
      <c r="A1000" s="50" t="str">
        <f>CONCATENATE($I991,"3")</f>
        <v>J3</v>
      </c>
      <c r="B1000" s="255" t="str">
        <f>IF(VLOOKUP($A1000,Players!$A$2:$C$132,3)&lt;&gt;0,VLOOKUP($A1000,Players!$A$2:$C$132,3),"")</f>
        <v/>
      </c>
      <c r="C1000" s="255"/>
      <c r="D1000" s="255"/>
      <c r="E1000" s="255"/>
      <c r="F1000" s="255"/>
      <c r="G1000" s="254" t="str">
        <f>IF(VLOOKUP($D991&amp;RIGHT($A1000,1),Players!$A$2:$D$132,3)&lt;&gt;0,VLOOKUP($D991&amp;RIGHT($A1000,1),Players!$A$2:$D$132,3),"")</f>
        <v/>
      </c>
      <c r="H1000" s="254"/>
      <c r="I1000" s="254"/>
      <c r="J1000" s="210" t="str">
        <f>IF(VLOOKUP($D991&amp;RIGHT($A1000,1),Players!$A$2:$D$132,3)&lt;&gt;0,"("&amp;VLOOKUP($D991&amp;RIGHT($A1000,1),Players!$A$2:$D$132,4)&amp;")","")</f>
        <v/>
      </c>
    </row>
    <row r="1001" spans="1:10" ht="25.5" customHeight="1">
      <c r="A1001" s="50" t="str">
        <f>CONCATENATE($I991,"4")</f>
        <v>J4</v>
      </c>
      <c r="B1001" s="255" t="str">
        <f>IF(VLOOKUP($A1001,Players!$A$2:$C$132,3)&lt;&gt;0,VLOOKUP($A1001,Players!$A$2:$C$132,3),"")</f>
        <v/>
      </c>
      <c r="C1001" s="255"/>
      <c r="D1001" s="255"/>
      <c r="E1001" s="255"/>
      <c r="F1001" s="255"/>
      <c r="G1001" s="254" t="str">
        <f>IF(VLOOKUP($D991&amp;RIGHT($A1001,1),Players!$A$2:$D$132,3)&lt;&gt;0,VLOOKUP($D991&amp;RIGHT($A1001,1),Players!$A$2:$D$132,3),"")</f>
        <v/>
      </c>
      <c r="H1001" s="254"/>
      <c r="I1001" s="254"/>
      <c r="J1001" s="210" t="str">
        <f>IF(VLOOKUP($D991&amp;RIGHT($A1001,1),Players!$A$2:$D$132,3)&lt;&gt;0,"("&amp;VLOOKUP($D991&amp;RIGHT($A1001,1),Players!$A$2:$D$132,4)&amp;")","")</f>
        <v/>
      </c>
    </row>
    <row r="1002" spans="1:10" ht="25.5" customHeight="1">
      <c r="A1002" s="50" t="str">
        <f>CONCATENATE($I991,"5")</f>
        <v>J5</v>
      </c>
      <c r="B1002" s="255" t="str">
        <f>IF(VLOOKUP($A1002,Players!$A$2:$C$132,3)&lt;&gt;0,VLOOKUP($A1002,Players!$A$2:$C$132,3),"")</f>
        <v/>
      </c>
      <c r="C1002" s="255"/>
      <c r="D1002" s="255"/>
      <c r="E1002" s="255"/>
      <c r="F1002" s="255"/>
      <c r="G1002" s="254" t="str">
        <f>IF(VLOOKUP($D991&amp;RIGHT($A1002,1),Players!$A$2:$D$132,3)&lt;&gt;0,VLOOKUP($D991&amp;RIGHT($A1002,1),Players!$A$2:$D$132,3),"")</f>
        <v/>
      </c>
      <c r="H1002" s="254"/>
      <c r="I1002" s="254"/>
      <c r="J1002" s="210" t="str">
        <f>IF(VLOOKUP($D991&amp;RIGHT($A1002,1),Players!$A$2:$D$132,3)&lt;&gt;0,"("&amp;VLOOKUP($D991&amp;RIGHT($A1002,1),Players!$A$2:$D$132,4)&amp;")","")</f>
        <v/>
      </c>
    </row>
    <row r="1003" spans="1:10" ht="25.5" customHeight="1">
      <c r="A1003" s="50" t="str">
        <f>CONCATENATE($I991,"6")</f>
        <v>J6</v>
      </c>
      <c r="B1003" s="255" t="str">
        <f>IF(VLOOKUP($A1003,Players!$A$2:$C$132,3)&lt;&gt;0,VLOOKUP($A1003,Players!$A$2:$C$132,3),"")</f>
        <v/>
      </c>
      <c r="C1003" s="255"/>
      <c r="D1003" s="255"/>
      <c r="E1003" s="255"/>
      <c r="F1003" s="255"/>
      <c r="G1003" s="254" t="str">
        <f>IF(VLOOKUP($D991&amp;RIGHT($A1003,1),Players!$A$2:$D$132,3)&lt;&gt;0,VLOOKUP($D991&amp;RIGHT($A1003,1),Players!$A$2:$D$132,3),"")</f>
        <v/>
      </c>
      <c r="H1003" s="254"/>
      <c r="I1003" s="254"/>
      <c r="J1003" s="210" t="str">
        <f>IF(VLOOKUP($D991&amp;RIGHT($A1003,1),Players!$A$2:$D$132,3)&lt;&gt;0,"("&amp;VLOOKUP($D991&amp;RIGHT($A1003,1),Players!$A$2:$D$132,4)&amp;")","")</f>
        <v/>
      </c>
    </row>
    <row r="1004" spans="1:10" ht="25.5" customHeight="1">
      <c r="A1004" s="50" t="str">
        <f>CONCATENATE($I991,"7")</f>
        <v>J7</v>
      </c>
      <c r="B1004" s="255" t="str">
        <f>IF(VLOOKUP($A1004,Players!$A$2:$C$132,3)&lt;&gt;0,VLOOKUP($A1004,Players!$A$2:$C$132,3),"")</f>
        <v/>
      </c>
      <c r="C1004" s="255"/>
      <c r="D1004" s="255"/>
      <c r="E1004" s="255"/>
      <c r="F1004" s="255"/>
      <c r="G1004" s="254" t="str">
        <f>IF(VLOOKUP($D991&amp;RIGHT($A1004,1),Players!$A$2:$D$132,3)&lt;&gt;0,VLOOKUP($D991&amp;RIGHT($A1004,1),Players!$A$2:$D$132,3),"")</f>
        <v/>
      </c>
      <c r="H1004" s="254"/>
      <c r="I1004" s="254"/>
      <c r="J1004" s="210" t="str">
        <f>IF(VLOOKUP($D991&amp;RIGHT($A1004,1),Players!$A$2:$D$132,3)&lt;&gt;0,"("&amp;VLOOKUP($D991&amp;RIGHT($A1004,1),Players!$A$2:$D$132,4)&amp;")","")</f>
        <v/>
      </c>
    </row>
    <row r="1005" spans="1:10" ht="25.5" customHeight="1">
      <c r="A1005" s="50" t="str">
        <f>CONCATENATE($I991,"8")</f>
        <v>J8</v>
      </c>
      <c r="B1005" s="255" t="str">
        <f>IF(VLOOKUP($A1005,Players!$A$2:$C$132,3)&lt;&gt;0,VLOOKUP($A1005,Players!$A$2:$C$132,3),"")</f>
        <v/>
      </c>
      <c r="C1005" s="255"/>
      <c r="D1005" s="255"/>
      <c r="E1005" s="255"/>
      <c r="F1005" s="255"/>
      <c r="G1005" s="254" t="str">
        <f>IF(VLOOKUP($D991&amp;RIGHT($A1005,1),Players!$A$2:$D$132,3)&lt;&gt;0,VLOOKUP($D991&amp;RIGHT($A1005,1),Players!$A$2:$D$132,3),"")</f>
        <v/>
      </c>
      <c r="H1005" s="254"/>
      <c r="I1005" s="254"/>
      <c r="J1005" s="210" t="str">
        <f>IF(VLOOKUP($D991&amp;RIGHT($A1005,1),Players!$A$2:$D$132,3)&lt;&gt;0,"("&amp;VLOOKUP($D991&amp;RIGHT($A1005,1),Players!$A$2:$D$132,4)&amp;")","")</f>
        <v/>
      </c>
    </row>
    <row r="1006" spans="1:10" ht="25.5" customHeight="1">
      <c r="A1006" s="50"/>
      <c r="B1006" s="26"/>
      <c r="C1006" s="26"/>
      <c r="D1006" s="26"/>
      <c r="E1006" s="26"/>
      <c r="F1006" s="27"/>
      <c r="G1006" s="43"/>
      <c r="H1006" s="43"/>
      <c r="I1006" s="43"/>
      <c r="J1006" s="43"/>
    </row>
    <row r="1007" spans="1:10">
      <c r="A1007" s="49" t="s">
        <v>1225</v>
      </c>
      <c r="B1007" s="46"/>
      <c r="C1007" s="46"/>
      <c r="D1007" s="46"/>
      <c r="E1007" s="46"/>
      <c r="F1007" s="46"/>
      <c r="G1007" s="43"/>
      <c r="H1007" s="43"/>
      <c r="I1007" s="43"/>
      <c r="J1007" s="43"/>
    </row>
    <row r="1008" spans="1:10">
      <c r="A1008" s="46" t="s">
        <v>1247</v>
      </c>
      <c r="B1008" s="46"/>
      <c r="C1008" s="46"/>
      <c r="D1008" s="46"/>
      <c r="E1008" s="46"/>
      <c r="F1008" s="46"/>
      <c r="G1008" s="43"/>
      <c r="H1008" s="43"/>
      <c r="I1008" s="43"/>
      <c r="J1008" s="43"/>
    </row>
    <row r="1009" spans="1:10">
      <c r="A1009" s="46" t="s">
        <v>1248</v>
      </c>
      <c r="B1009" s="46"/>
      <c r="C1009" s="46"/>
      <c r="D1009" s="46"/>
      <c r="E1009" s="46"/>
      <c r="F1009" s="46"/>
      <c r="G1009" s="43"/>
      <c r="H1009" s="43"/>
      <c r="I1009" s="43"/>
      <c r="J1009" s="43"/>
    </row>
    <row r="1010" spans="1:10" ht="13.5" thickBot="1">
      <c r="A1010" s="46"/>
      <c r="B1010" s="46"/>
      <c r="C1010" s="46"/>
      <c r="D1010" s="46"/>
      <c r="E1010" s="46"/>
      <c r="F1010" s="46"/>
      <c r="G1010" s="43"/>
      <c r="H1010" s="43"/>
      <c r="I1010" s="43"/>
      <c r="J1010" s="43"/>
    </row>
    <row r="1011" spans="1:10" ht="25.5" customHeight="1" thickBot="1">
      <c r="A1011" s="50"/>
      <c r="B1011" s="257"/>
      <c r="C1011" s="258"/>
      <c r="D1011" s="258"/>
      <c r="E1011" s="258"/>
      <c r="F1011" s="259"/>
      <c r="G1011" s="43"/>
      <c r="H1011" s="43"/>
      <c r="I1011" s="43"/>
      <c r="J1011" s="43"/>
    </row>
    <row r="1012" spans="1:10">
      <c r="A1012" s="43"/>
      <c r="B1012" s="43"/>
      <c r="C1012" s="43"/>
      <c r="D1012" s="43"/>
      <c r="E1012" s="43"/>
      <c r="F1012" s="43"/>
      <c r="G1012" s="43"/>
      <c r="H1012" s="43"/>
      <c r="I1012" s="43"/>
      <c r="J1012" s="43"/>
    </row>
    <row r="1013" spans="1:10">
      <c r="A1013" s="43"/>
      <c r="B1013" s="43"/>
      <c r="C1013" s="43"/>
      <c r="D1013" s="43"/>
      <c r="E1013" s="43"/>
      <c r="F1013" s="43"/>
      <c r="G1013" s="43"/>
      <c r="H1013" s="43"/>
      <c r="I1013" s="43"/>
      <c r="J1013" s="43"/>
    </row>
    <row r="1014" spans="1:10">
      <c r="A1014" s="43"/>
      <c r="B1014" s="43"/>
      <c r="C1014" s="43"/>
      <c r="D1014" s="43"/>
      <c r="E1014" s="43"/>
      <c r="F1014" s="43"/>
      <c r="G1014" s="43"/>
      <c r="H1014" s="43"/>
      <c r="I1014" s="43"/>
      <c r="J1014" s="43"/>
    </row>
    <row r="1015" spans="1:10">
      <c r="A1015" s="43"/>
      <c r="B1015" s="43"/>
      <c r="C1015" s="43"/>
      <c r="D1015" s="43"/>
      <c r="E1015" s="43"/>
      <c r="F1015" s="43"/>
      <c r="G1015" s="43"/>
      <c r="H1015" s="43"/>
      <c r="I1015" s="43"/>
      <c r="J1015" s="43"/>
    </row>
    <row r="1016" spans="1:10">
      <c r="A1016" s="43"/>
      <c r="B1016" s="43"/>
      <c r="C1016" s="43"/>
      <c r="D1016" s="43"/>
      <c r="E1016" s="43"/>
      <c r="F1016" s="43"/>
      <c r="G1016" s="43"/>
      <c r="H1016" s="43"/>
      <c r="I1016" s="43"/>
      <c r="J1016" s="43"/>
    </row>
    <row r="1017" spans="1:10" ht="25.5" customHeight="1">
      <c r="A1017" s="47"/>
      <c r="B1017" s="47"/>
      <c r="C1017" s="47"/>
      <c r="D1017" s="47"/>
      <c r="E1017" s="47"/>
      <c r="F1017" s="43"/>
      <c r="G1017" s="51"/>
      <c r="H1017" s="250" t="s">
        <v>1227</v>
      </c>
      <c r="I1017" s="251"/>
      <c r="J1017" s="43"/>
    </row>
    <row r="1018" spans="1:10">
      <c r="A1018" s="43" t="s">
        <v>1226</v>
      </c>
      <c r="B1018" s="43"/>
      <c r="C1018" s="43"/>
      <c r="D1018" s="43"/>
      <c r="E1018" s="43"/>
      <c r="F1018" s="43"/>
      <c r="G1018" s="43"/>
      <c r="H1018" s="43"/>
      <c r="I1018" s="43"/>
      <c r="J1018" s="43"/>
    </row>
    <row r="1019" spans="1:10">
      <c r="A1019" s="43"/>
      <c r="B1019" s="43"/>
      <c r="C1019" s="43"/>
      <c r="D1019" s="43"/>
      <c r="E1019" s="43"/>
      <c r="F1019" s="43"/>
      <c r="G1019" s="43"/>
      <c r="H1019" s="43"/>
      <c r="I1019" s="43"/>
      <c r="J1019" s="43"/>
    </row>
    <row r="1020" spans="1:10">
      <c r="A1020" s="43"/>
      <c r="B1020" s="43"/>
      <c r="C1020" s="43"/>
      <c r="D1020" s="43"/>
      <c r="E1020" s="256" t="str">
        <f>CONCATENATE("(",$D991," vs ",$I991,")")</f>
        <v>(I vs J)</v>
      </c>
      <c r="F1020" s="256"/>
      <c r="G1020" s="43"/>
      <c r="H1020" s="43"/>
      <c r="I1020" s="43"/>
      <c r="J1020" s="43"/>
    </row>
    <row r="1021" spans="1:10" ht="15.75">
      <c r="A1021" s="42" t="s">
        <v>1223</v>
      </c>
      <c r="B1021" s="43"/>
      <c r="C1021" s="43"/>
      <c r="D1021" s="43"/>
      <c r="E1021" s="43"/>
      <c r="F1021" s="43"/>
      <c r="G1021" s="43"/>
      <c r="H1021" s="43"/>
      <c r="I1021" s="43"/>
      <c r="J1021" s="96" t="s">
        <v>4249</v>
      </c>
    </row>
    <row r="1022" spans="1:10" ht="12.75" customHeight="1">
      <c r="A1022" s="42"/>
      <c r="B1022" s="43"/>
      <c r="C1022" s="43"/>
      <c r="D1022" s="43"/>
      <c r="E1022" s="43"/>
      <c r="F1022" s="43"/>
      <c r="G1022" s="43" t="str">
        <f ca="1">Team_Matches!$J$6</f>
        <v>[NCTTA Teams Template (v2.06).xlsx]</v>
      </c>
      <c r="H1022" s="43"/>
      <c r="I1022" s="43"/>
      <c r="J1022" s="160"/>
    </row>
    <row r="1023" spans="1:10" ht="12.75" customHeight="1">
      <c r="A1023" s="42"/>
      <c r="B1023" s="43"/>
      <c r="C1023" s="43"/>
      <c r="D1023" s="43"/>
      <c r="E1023" s="43"/>
      <c r="F1023" s="43"/>
      <c r="G1023" s="247" t="str">
        <f>Team_Matches!$J772</f>
        <v>Round 2, Match 6</v>
      </c>
      <c r="H1023" s="247"/>
      <c r="I1023" s="161" t="str">
        <f>Team_Matches!$M772</f>
        <v/>
      </c>
      <c r="J1023" s="161"/>
    </row>
    <row r="1024" spans="1:10" ht="15.75">
      <c r="A1024" s="42"/>
      <c r="B1024" s="43"/>
      <c r="C1024" s="43"/>
      <c r="D1024" s="43"/>
      <c r="E1024" s="43"/>
      <c r="F1024" s="43"/>
      <c r="G1024" s="43"/>
      <c r="H1024" s="43"/>
      <c r="I1024" s="43"/>
      <c r="J1024" s="43"/>
    </row>
    <row r="1025" spans="1:10">
      <c r="A1025" s="43"/>
      <c r="B1025" s="43"/>
      <c r="C1025" s="9" t="s">
        <v>1228</v>
      </c>
      <c r="D1025" s="52" t="str">
        <f>Team_Matches!$B774</f>
        <v>K</v>
      </c>
      <c r="E1025" s="43"/>
      <c r="F1025" s="97" t="str">
        <f>CONCATENATE($D1025,"-",$I1025)</f>
        <v>K-L</v>
      </c>
      <c r="G1025" s="43"/>
      <c r="H1025" s="9" t="s">
        <v>1228</v>
      </c>
      <c r="I1025" s="3" t="str">
        <f>Team_Matches!$K774</f>
        <v>L</v>
      </c>
      <c r="J1025" s="43"/>
    </row>
    <row r="1026" spans="1:10" ht="25.5" customHeight="1">
      <c r="A1026" s="44"/>
      <c r="B1026" s="248" t="str">
        <f>IF(VLOOKUP($D1025,Draw!$A$4:$B$27,2)&lt;&gt;0,VLOOKUP($D1025,Draw!$A$4:$B$27,2),"")</f>
        <v/>
      </c>
      <c r="C1026" s="248"/>
      <c r="D1026" s="248"/>
      <c r="E1026" s="249"/>
      <c r="F1026" s="45"/>
      <c r="G1026" s="252" t="str">
        <f>IF(VLOOKUP($I1025,Draw!$A$4:$B$27,2)&lt;&gt;0,VLOOKUP($I1025,Draw!$A$4:$B$27,2),"")</f>
        <v/>
      </c>
      <c r="H1026" s="252"/>
      <c r="I1026" s="252"/>
      <c r="J1026" s="253"/>
    </row>
    <row r="1027" spans="1:10" ht="25.5" customHeight="1"/>
    <row r="1028" spans="1:10" ht="25.5" customHeight="1"/>
    <row r="1029" spans="1:10" ht="24" customHeight="1">
      <c r="A1029" s="48" t="s">
        <v>1246</v>
      </c>
      <c r="B1029" s="43"/>
      <c r="C1029" s="43"/>
      <c r="D1029" s="43"/>
      <c r="E1029" s="43"/>
      <c r="F1029" s="43"/>
      <c r="G1029" s="43"/>
      <c r="H1029" s="43"/>
      <c r="I1029" s="43"/>
      <c r="J1029" s="43"/>
    </row>
    <row r="1030" spans="1:10" ht="24" customHeight="1">
      <c r="A1030" s="48"/>
      <c r="B1030" s="43"/>
      <c r="C1030" s="43"/>
      <c r="D1030" s="43"/>
      <c r="E1030" s="43"/>
      <c r="F1030" s="43"/>
      <c r="G1030" s="43"/>
      <c r="H1030" s="43"/>
      <c r="I1030" s="43"/>
      <c r="J1030" s="43"/>
    </row>
    <row r="1031" spans="1:10">
      <c r="A1031" s="49" t="s">
        <v>1224</v>
      </c>
      <c r="B1031" s="46"/>
      <c r="C1031" s="46"/>
      <c r="D1031" s="46"/>
      <c r="E1031" s="46"/>
      <c r="F1031" s="46"/>
      <c r="G1031" s="260" t="s">
        <v>10336</v>
      </c>
      <c r="H1031" s="260"/>
      <c r="I1031" s="260"/>
      <c r="J1031" s="260"/>
    </row>
    <row r="1032" spans="1:10" ht="24" customHeight="1">
      <c r="A1032" s="50" t="str">
        <f>CONCATENATE($D1025,"1")</f>
        <v>K1</v>
      </c>
      <c r="B1032" s="255" t="str">
        <f>IF(VLOOKUP($A1032,Players!$A$2:$C$132,3)&lt;&gt;0,VLOOKUP($A1032,Players!$A$2:$C$132,3),"")</f>
        <v/>
      </c>
      <c r="C1032" s="255"/>
      <c r="D1032" s="255"/>
      <c r="E1032" s="255"/>
      <c r="F1032" s="255"/>
      <c r="G1032" s="254" t="str">
        <f>IF(VLOOKUP($I1025&amp;RIGHT($A1032,1),Players!$A$2:$D$132,3)&lt;&gt;0,VLOOKUP($I1025&amp;RIGHT($A1032,1),Players!$A$2:$D$132,3),"")</f>
        <v/>
      </c>
      <c r="H1032" s="254"/>
      <c r="I1032" s="254"/>
      <c r="J1032" s="210" t="str">
        <f>IF(VLOOKUP($I1025&amp;RIGHT($A1032,1),Players!$A$2:$D$132,3)&lt;&gt;0,"("&amp;VLOOKUP($I1025&amp;RIGHT($A1032,1),Players!$A$2:$D$132,4)&amp;")","")</f>
        <v/>
      </c>
    </row>
    <row r="1033" spans="1:10" ht="25.5" customHeight="1">
      <c r="A1033" s="50" t="str">
        <f>CONCATENATE($D1025,"2")</f>
        <v>K2</v>
      </c>
      <c r="B1033" s="255" t="str">
        <f>IF(VLOOKUP($A1033,Players!$A$2:$C$132,3)&lt;&gt;0,VLOOKUP($A1033,Players!$A$2:$C$132,3),"")</f>
        <v/>
      </c>
      <c r="C1033" s="255"/>
      <c r="D1033" s="255"/>
      <c r="E1033" s="255"/>
      <c r="F1033" s="255"/>
      <c r="G1033" s="254" t="str">
        <f>IF(VLOOKUP($I1025&amp;RIGHT($A1033,1),Players!$A$2:$D$132,3)&lt;&gt;0,VLOOKUP($I1025&amp;RIGHT($A1033,1),Players!$A$2:$D$132,3),"")</f>
        <v/>
      </c>
      <c r="H1033" s="254"/>
      <c r="I1033" s="254"/>
      <c r="J1033" s="210" t="str">
        <f>IF(VLOOKUP($I1025&amp;RIGHT($A1033,1),Players!$A$2:$D$132,3)&lt;&gt;0,"("&amp;VLOOKUP($I1025&amp;RIGHT($A1033,1),Players!$A$2:$D$132,4)&amp;")","")</f>
        <v/>
      </c>
    </row>
    <row r="1034" spans="1:10" ht="25.5" customHeight="1">
      <c r="A1034" s="50" t="str">
        <f>CONCATENATE($D1025,"3")</f>
        <v>K3</v>
      </c>
      <c r="B1034" s="255" t="str">
        <f>IF(VLOOKUP($A1034,Players!$A$2:$C$132,3)&lt;&gt;0,VLOOKUP($A1034,Players!$A$2:$C$132,3),"")</f>
        <v/>
      </c>
      <c r="C1034" s="255"/>
      <c r="D1034" s="255"/>
      <c r="E1034" s="255"/>
      <c r="F1034" s="255"/>
      <c r="G1034" s="254" t="str">
        <f>IF(VLOOKUP($I1025&amp;RIGHT($A1034,1),Players!$A$2:$D$132,3)&lt;&gt;0,VLOOKUP($I1025&amp;RIGHT($A1034,1),Players!$A$2:$D$132,3),"")</f>
        <v/>
      </c>
      <c r="H1034" s="254"/>
      <c r="I1034" s="254"/>
      <c r="J1034" s="210" t="str">
        <f>IF(VLOOKUP($I1025&amp;RIGHT($A1034,1),Players!$A$2:$D$132,3)&lt;&gt;0,"("&amp;VLOOKUP($I1025&amp;RIGHT($A1034,1),Players!$A$2:$D$132,4)&amp;")","")</f>
        <v/>
      </c>
    </row>
    <row r="1035" spans="1:10" ht="25.5" customHeight="1">
      <c r="A1035" s="50" t="str">
        <f>CONCATENATE($D1025,"4")</f>
        <v>K4</v>
      </c>
      <c r="B1035" s="255" t="str">
        <f>IF(VLOOKUP($A1035,Players!$A$2:$C$132,3)&lt;&gt;0,VLOOKUP($A1035,Players!$A$2:$C$132,3),"")</f>
        <v/>
      </c>
      <c r="C1035" s="255"/>
      <c r="D1035" s="255"/>
      <c r="E1035" s="255"/>
      <c r="F1035" s="255"/>
      <c r="G1035" s="254" t="str">
        <f>IF(VLOOKUP($I1025&amp;RIGHT($A1035,1),Players!$A$2:$D$132,3)&lt;&gt;0,VLOOKUP($I1025&amp;RIGHT($A1035,1),Players!$A$2:$D$132,3),"")</f>
        <v/>
      </c>
      <c r="H1035" s="254"/>
      <c r="I1035" s="254"/>
      <c r="J1035" s="210" t="str">
        <f>IF(VLOOKUP($I1025&amp;RIGHT($A1035,1),Players!$A$2:$D$132,3)&lt;&gt;0,"("&amp;VLOOKUP($I1025&amp;RIGHT($A1035,1),Players!$A$2:$D$132,4)&amp;")","")</f>
        <v/>
      </c>
    </row>
    <row r="1036" spans="1:10" ht="25.5" customHeight="1">
      <c r="A1036" s="50" t="str">
        <f>CONCATENATE($D1025,"5")</f>
        <v>K5</v>
      </c>
      <c r="B1036" s="255" t="str">
        <f>IF(VLOOKUP($A1036,Players!$A$2:$C$132,3)&lt;&gt;0,VLOOKUP($A1036,Players!$A$2:$C$132,3),"")</f>
        <v/>
      </c>
      <c r="C1036" s="255"/>
      <c r="D1036" s="255"/>
      <c r="E1036" s="255"/>
      <c r="F1036" s="255"/>
      <c r="G1036" s="254" t="str">
        <f>IF(VLOOKUP($I1025&amp;RIGHT($A1036,1),Players!$A$2:$D$132,3)&lt;&gt;0,VLOOKUP($I1025&amp;RIGHT($A1036,1),Players!$A$2:$D$132,3),"")</f>
        <v/>
      </c>
      <c r="H1036" s="254"/>
      <c r="I1036" s="254"/>
      <c r="J1036" s="210" t="str">
        <f>IF(VLOOKUP($I1025&amp;RIGHT($A1036,1),Players!$A$2:$D$132,3)&lt;&gt;0,"("&amp;VLOOKUP($I1025&amp;RIGHT($A1036,1),Players!$A$2:$D$132,4)&amp;")","")</f>
        <v/>
      </c>
    </row>
    <row r="1037" spans="1:10" ht="25.5" customHeight="1">
      <c r="A1037" s="50" t="str">
        <f>CONCATENATE($D1025,"6")</f>
        <v>K6</v>
      </c>
      <c r="B1037" s="255" t="str">
        <f>IF(VLOOKUP($A1037,Players!$A$2:$C$132,3)&lt;&gt;0,VLOOKUP($A1037,Players!$A$2:$C$132,3),"")</f>
        <v/>
      </c>
      <c r="C1037" s="255"/>
      <c r="D1037" s="255"/>
      <c r="E1037" s="255"/>
      <c r="F1037" s="255"/>
      <c r="G1037" s="254" t="str">
        <f>IF(VLOOKUP($I1025&amp;RIGHT($A1037,1),Players!$A$2:$D$132,3)&lt;&gt;0,VLOOKUP($I1025&amp;RIGHT($A1037,1),Players!$A$2:$D$132,3),"")</f>
        <v/>
      </c>
      <c r="H1037" s="254"/>
      <c r="I1037" s="254"/>
      <c r="J1037" s="210" t="str">
        <f>IF(VLOOKUP($I1025&amp;RIGHT($A1037,1),Players!$A$2:$D$132,3)&lt;&gt;0,"("&amp;VLOOKUP($I1025&amp;RIGHT($A1037,1),Players!$A$2:$D$132,4)&amp;")","")</f>
        <v/>
      </c>
    </row>
    <row r="1038" spans="1:10" ht="25.5" customHeight="1">
      <c r="A1038" s="50" t="str">
        <f>CONCATENATE($D1025,"7")</f>
        <v>K7</v>
      </c>
      <c r="B1038" s="255" t="str">
        <f>IF(VLOOKUP($A1038,Players!$A$2:$C$132,3)&lt;&gt;0,VLOOKUP($A1038,Players!$A$2:$C$132,3),"")</f>
        <v/>
      </c>
      <c r="C1038" s="255"/>
      <c r="D1038" s="255"/>
      <c r="E1038" s="255"/>
      <c r="F1038" s="255"/>
      <c r="G1038" s="254" t="str">
        <f>IF(VLOOKUP($I1025&amp;RIGHT($A1038,1),Players!$A$2:$D$132,3)&lt;&gt;0,VLOOKUP($I1025&amp;RIGHT($A1038,1),Players!$A$2:$D$132,3),"")</f>
        <v/>
      </c>
      <c r="H1038" s="254"/>
      <c r="I1038" s="254"/>
      <c r="J1038" s="210" t="str">
        <f>IF(VLOOKUP($I1025&amp;RIGHT($A1038,1),Players!$A$2:$D$132,3)&lt;&gt;0,"("&amp;VLOOKUP($I1025&amp;RIGHT($A1038,1),Players!$A$2:$D$132,4)&amp;")","")</f>
        <v/>
      </c>
    </row>
    <row r="1039" spans="1:10" ht="25.5" customHeight="1">
      <c r="A1039" s="50" t="str">
        <f>CONCATENATE($D1025,"8")</f>
        <v>K8</v>
      </c>
      <c r="B1039" s="255" t="str">
        <f>IF(VLOOKUP($A1039,Players!$A$2:$C$132,3)&lt;&gt;0,VLOOKUP($A1039,Players!$A$2:$C$132,3),"")</f>
        <v/>
      </c>
      <c r="C1039" s="255"/>
      <c r="D1039" s="255"/>
      <c r="E1039" s="255"/>
      <c r="F1039" s="255"/>
      <c r="G1039" s="254" t="str">
        <f>IF(VLOOKUP($I1025&amp;RIGHT($A1039,1),Players!$A$2:$D$132,3)&lt;&gt;0,VLOOKUP($I1025&amp;RIGHT($A1039,1),Players!$A$2:$D$132,3),"")</f>
        <v/>
      </c>
      <c r="H1039" s="254"/>
      <c r="I1039" s="254"/>
      <c r="J1039" s="210" t="str">
        <f>IF(VLOOKUP($I1025&amp;RIGHT($A1039,1),Players!$A$2:$D$132,3)&lt;&gt;0,"("&amp;VLOOKUP($I1025&amp;RIGHT($A1039,1),Players!$A$2:$D$132,4)&amp;")","")</f>
        <v/>
      </c>
    </row>
    <row r="1040" spans="1:10" ht="25.5" customHeight="1">
      <c r="A1040" s="50"/>
      <c r="B1040" s="26"/>
      <c r="C1040" s="26"/>
      <c r="D1040" s="26"/>
      <c r="E1040" s="26"/>
      <c r="F1040" s="27"/>
      <c r="G1040" s="43"/>
      <c r="H1040" s="43"/>
      <c r="I1040" s="43"/>
      <c r="J1040" s="43"/>
    </row>
    <row r="1041" spans="1:10">
      <c r="A1041" s="49" t="s">
        <v>1225</v>
      </c>
      <c r="B1041" s="46"/>
      <c r="C1041" s="46"/>
      <c r="D1041" s="46"/>
      <c r="E1041" s="46"/>
      <c r="F1041" s="46"/>
      <c r="G1041" s="43"/>
      <c r="H1041" s="43"/>
      <c r="I1041" s="43"/>
      <c r="J1041" s="43"/>
    </row>
    <row r="1042" spans="1:10">
      <c r="A1042" s="46" t="s">
        <v>1247</v>
      </c>
      <c r="B1042" s="46"/>
      <c r="C1042" s="46"/>
      <c r="D1042" s="46"/>
      <c r="E1042" s="46"/>
      <c r="F1042" s="46"/>
      <c r="G1042" s="43"/>
      <c r="H1042" s="43"/>
      <c r="I1042" s="43"/>
      <c r="J1042" s="43"/>
    </row>
    <row r="1043" spans="1:10">
      <c r="A1043" s="46" t="s">
        <v>1248</v>
      </c>
      <c r="B1043" s="46"/>
      <c r="C1043" s="46"/>
      <c r="D1043" s="46"/>
      <c r="E1043" s="46"/>
      <c r="F1043" s="46"/>
      <c r="G1043" s="43"/>
      <c r="H1043" s="43"/>
      <c r="I1043" s="43"/>
      <c r="J1043" s="43"/>
    </row>
    <row r="1044" spans="1:10" ht="13.5" thickBot="1">
      <c r="A1044" s="46"/>
      <c r="B1044" s="46"/>
      <c r="C1044" s="46"/>
      <c r="D1044" s="46"/>
      <c r="E1044" s="46"/>
      <c r="F1044" s="46"/>
      <c r="G1044" s="43"/>
      <c r="H1044" s="43"/>
      <c r="I1044" s="43"/>
      <c r="J1044" s="43"/>
    </row>
    <row r="1045" spans="1:10" ht="25.5" customHeight="1" thickBot="1">
      <c r="A1045" s="50"/>
      <c r="B1045" s="257"/>
      <c r="C1045" s="258"/>
      <c r="D1045" s="258"/>
      <c r="E1045" s="258"/>
      <c r="F1045" s="259"/>
      <c r="G1045" s="43"/>
      <c r="H1045" s="43"/>
      <c r="I1045" s="43"/>
      <c r="J1045" s="43"/>
    </row>
    <row r="1046" spans="1:10">
      <c r="A1046" s="43"/>
      <c r="B1046" s="43"/>
      <c r="C1046" s="43"/>
      <c r="D1046" s="43"/>
      <c r="E1046" s="43"/>
      <c r="F1046" s="43"/>
      <c r="G1046" s="43"/>
      <c r="H1046" s="43"/>
      <c r="I1046" s="43"/>
      <c r="J1046" s="43"/>
    </row>
    <row r="1047" spans="1:10">
      <c r="A1047" s="43"/>
      <c r="B1047" s="43"/>
      <c r="C1047" s="43"/>
      <c r="D1047" s="43"/>
      <c r="E1047" s="43"/>
      <c r="F1047" s="43"/>
      <c r="G1047" s="43"/>
      <c r="H1047" s="43"/>
      <c r="I1047" s="43"/>
      <c r="J1047" s="43"/>
    </row>
    <row r="1048" spans="1:10">
      <c r="A1048" s="43"/>
      <c r="B1048" s="43"/>
      <c r="C1048" s="43"/>
      <c r="D1048" s="43"/>
      <c r="E1048" s="43"/>
      <c r="F1048" s="43"/>
      <c r="G1048" s="43"/>
      <c r="H1048" s="43"/>
      <c r="I1048" s="43"/>
      <c r="J1048" s="43"/>
    </row>
    <row r="1049" spans="1:10">
      <c r="A1049" s="43"/>
      <c r="B1049" s="43"/>
      <c r="C1049" s="43"/>
      <c r="D1049" s="43"/>
      <c r="E1049" s="43"/>
      <c r="F1049" s="43"/>
      <c r="G1049" s="43"/>
      <c r="H1049" s="43"/>
      <c r="I1049" s="43"/>
      <c r="J1049" s="43"/>
    </row>
    <row r="1050" spans="1:10">
      <c r="A1050" s="43"/>
      <c r="B1050" s="43"/>
      <c r="C1050" s="43"/>
      <c r="D1050" s="43"/>
      <c r="E1050" s="43"/>
      <c r="F1050" s="43"/>
      <c r="G1050" s="43"/>
      <c r="H1050" s="43"/>
      <c r="I1050" s="43"/>
      <c r="J1050" s="43"/>
    </row>
    <row r="1051" spans="1:10" ht="25.5" customHeight="1">
      <c r="A1051" s="47"/>
      <c r="B1051" s="47"/>
      <c r="C1051" s="47"/>
      <c r="D1051" s="47"/>
      <c r="E1051" s="47"/>
      <c r="F1051" s="43"/>
      <c r="G1051" s="51"/>
      <c r="H1051" s="250" t="s">
        <v>1227</v>
      </c>
      <c r="I1051" s="251"/>
      <c r="J1051" s="43"/>
    </row>
    <row r="1052" spans="1:10">
      <c r="A1052" s="43" t="s">
        <v>1226</v>
      </c>
      <c r="B1052" s="43"/>
      <c r="C1052" s="43"/>
      <c r="D1052" s="43"/>
      <c r="E1052" s="43"/>
      <c r="F1052" s="43"/>
      <c r="G1052" s="43"/>
      <c r="H1052" s="43"/>
      <c r="I1052" s="43"/>
      <c r="J1052" s="43"/>
    </row>
    <row r="1053" spans="1:10">
      <c r="A1053" s="43"/>
      <c r="B1053" s="43"/>
      <c r="C1053" s="43"/>
      <c r="D1053" s="43"/>
      <c r="E1053" s="43"/>
      <c r="F1053" s="43"/>
      <c r="G1053" s="43"/>
      <c r="H1053" s="43"/>
      <c r="I1053" s="43"/>
      <c r="J1053" s="43"/>
    </row>
    <row r="1054" spans="1:10">
      <c r="A1054" s="43"/>
      <c r="B1054" s="43"/>
      <c r="C1054" s="43"/>
      <c r="D1054" s="43"/>
      <c r="E1054" s="256" t="str">
        <f>CONCATENATE("(",$D1025," vs ",$I1025,")")</f>
        <v>(K vs L)</v>
      </c>
      <c r="F1054" s="256"/>
      <c r="G1054" s="43"/>
      <c r="H1054" s="43"/>
      <c r="I1054" s="43"/>
      <c r="J1054" s="43"/>
    </row>
    <row r="1055" spans="1:10" ht="15.75">
      <c r="A1055" s="42" t="s">
        <v>1223</v>
      </c>
      <c r="B1055" s="43"/>
      <c r="C1055" s="43"/>
      <c r="D1055" s="43"/>
      <c r="E1055" s="43"/>
      <c r="F1055" s="43"/>
      <c r="G1055" s="43"/>
      <c r="H1055" s="43"/>
      <c r="I1055" s="43"/>
      <c r="J1055" s="96" t="s">
        <v>4250</v>
      </c>
    </row>
    <row r="1056" spans="1:10" ht="12.75" customHeight="1">
      <c r="A1056" s="42"/>
      <c r="B1056" s="43"/>
      <c r="C1056" s="43"/>
      <c r="D1056" s="43"/>
      <c r="E1056" s="43"/>
      <c r="F1056" s="43"/>
      <c r="G1056" s="43" t="str">
        <f ca="1">Team_Matches!$J$6</f>
        <v>[NCTTA Teams Template (v2.06).xlsx]</v>
      </c>
      <c r="H1056" s="43"/>
      <c r="I1056" s="43"/>
      <c r="J1056" s="160"/>
    </row>
    <row r="1057" spans="1:10" ht="12.75" customHeight="1">
      <c r="A1057" s="42"/>
      <c r="B1057" s="43"/>
      <c r="C1057" s="43"/>
      <c r="D1057" s="43"/>
      <c r="E1057" s="43"/>
      <c r="F1057" s="43"/>
      <c r="G1057" s="247" t="str">
        <f>Team_Matches!$J772</f>
        <v>Round 2, Match 6</v>
      </c>
      <c r="H1057" s="247"/>
      <c r="I1057" s="161" t="str">
        <f>Team_Matches!$M772</f>
        <v/>
      </c>
      <c r="J1057" s="161"/>
    </row>
    <row r="1058" spans="1:10" ht="15.75">
      <c r="A1058" s="42"/>
      <c r="B1058" s="43"/>
      <c r="C1058" s="43"/>
      <c r="D1058" s="43"/>
      <c r="E1058" s="43"/>
      <c r="F1058" s="43"/>
      <c r="G1058" s="43"/>
      <c r="H1058" s="43"/>
      <c r="I1058" s="43"/>
      <c r="J1058" s="43"/>
    </row>
    <row r="1059" spans="1:10">
      <c r="A1059" s="43"/>
      <c r="B1059" s="43"/>
      <c r="C1059" s="9" t="s">
        <v>1228</v>
      </c>
      <c r="D1059" s="52" t="str">
        <f>Team_Matches!$B774</f>
        <v>K</v>
      </c>
      <c r="E1059" s="43"/>
      <c r="F1059" s="97" t="str">
        <f>CONCATENATE($D1059,"-",$I1059)</f>
        <v>K-L</v>
      </c>
      <c r="G1059" s="43"/>
      <c r="H1059" s="9" t="s">
        <v>1228</v>
      </c>
      <c r="I1059" s="3" t="str">
        <f>Team_Matches!$K774</f>
        <v>L</v>
      </c>
      <c r="J1059" s="43"/>
    </row>
    <row r="1060" spans="1:10" ht="25.5" customHeight="1">
      <c r="A1060" s="44"/>
      <c r="B1060" s="252" t="str">
        <f>IF(VLOOKUP($D1059,Draw!$A$4:$B$27,2)&lt;&gt;0,VLOOKUP($D1059,Draw!$A$4:$B$27,2),"")</f>
        <v/>
      </c>
      <c r="C1060" s="252"/>
      <c r="D1060" s="252"/>
      <c r="E1060" s="253"/>
      <c r="F1060" s="45"/>
      <c r="G1060" s="248" t="str">
        <f>IF(VLOOKUP($I1059,Draw!$A$4:$B$27,2)&lt;&gt;0,VLOOKUP($I1059,Draw!$A$4:$B$27,2),"")</f>
        <v/>
      </c>
      <c r="H1060" s="248"/>
      <c r="I1060" s="248"/>
      <c r="J1060" s="249"/>
    </row>
    <row r="1061" spans="1:10" ht="25.5" customHeight="1"/>
    <row r="1062" spans="1:10" ht="25.5" customHeight="1"/>
    <row r="1063" spans="1:10" ht="24" customHeight="1">
      <c r="A1063" s="48" t="s">
        <v>1246</v>
      </c>
      <c r="B1063" s="43"/>
      <c r="C1063" s="43"/>
      <c r="D1063" s="43"/>
      <c r="E1063" s="43"/>
      <c r="F1063" s="43"/>
      <c r="G1063" s="43"/>
      <c r="H1063" s="43"/>
      <c r="I1063" s="43"/>
      <c r="J1063" s="43"/>
    </row>
    <row r="1064" spans="1:10" ht="24" customHeight="1">
      <c r="A1064" s="48"/>
      <c r="B1064" s="43"/>
      <c r="C1064" s="43"/>
      <c r="D1064" s="43"/>
      <c r="E1064" s="43"/>
      <c r="F1064" s="43"/>
      <c r="G1064" s="43"/>
      <c r="H1064" s="43"/>
      <c r="I1064" s="43"/>
      <c r="J1064" s="43"/>
    </row>
    <row r="1065" spans="1:10">
      <c r="A1065" s="49" t="s">
        <v>1224</v>
      </c>
      <c r="B1065" s="46"/>
      <c r="C1065" s="46"/>
      <c r="D1065" s="46"/>
      <c r="E1065" s="46"/>
      <c r="F1065" s="46"/>
      <c r="G1065" s="260" t="s">
        <v>10336</v>
      </c>
      <c r="H1065" s="260"/>
      <c r="I1065" s="260"/>
      <c r="J1065" s="260"/>
    </row>
    <row r="1066" spans="1:10" ht="24" customHeight="1">
      <c r="A1066" s="50" t="str">
        <f>CONCATENATE($I1059,"1")</f>
        <v>L1</v>
      </c>
      <c r="B1066" s="255" t="str">
        <f>IF(VLOOKUP($A1066,Players!$A$2:$C$132,3)&lt;&gt;0,VLOOKUP($A1066,Players!$A$2:$C$132,3),"")</f>
        <v/>
      </c>
      <c r="C1066" s="255"/>
      <c r="D1066" s="255"/>
      <c r="E1066" s="255"/>
      <c r="F1066" s="255"/>
      <c r="G1066" s="254" t="str">
        <f>IF(VLOOKUP($D1059&amp;RIGHT($A1066,1),Players!$A$2:$D$132,3)&lt;&gt;0,VLOOKUP($D1059&amp;RIGHT($A1066,1),Players!$A$2:$D$132,3),"")</f>
        <v/>
      </c>
      <c r="H1066" s="254"/>
      <c r="I1066" s="254"/>
      <c r="J1066" s="210" t="str">
        <f>IF(VLOOKUP($D1059&amp;RIGHT($A1066,1),Players!$A$2:$D$132,3)&lt;&gt;0,"("&amp;VLOOKUP($D1059&amp;RIGHT($A1066,1),Players!$A$2:$D$132,4)&amp;")","")</f>
        <v/>
      </c>
    </row>
    <row r="1067" spans="1:10" ht="25.5" customHeight="1">
      <c r="A1067" s="50" t="str">
        <f>CONCATENATE($I1059,"2")</f>
        <v>L2</v>
      </c>
      <c r="B1067" s="255" t="str">
        <f>IF(VLOOKUP($A1067,Players!$A$2:$C$132,3)&lt;&gt;0,VLOOKUP($A1067,Players!$A$2:$C$132,3),"")</f>
        <v/>
      </c>
      <c r="C1067" s="255"/>
      <c r="D1067" s="255"/>
      <c r="E1067" s="255"/>
      <c r="F1067" s="255"/>
      <c r="G1067" s="254" t="str">
        <f>IF(VLOOKUP($D1059&amp;RIGHT($A1067,1),Players!$A$2:$D$132,3)&lt;&gt;0,VLOOKUP($D1059&amp;RIGHT($A1067,1),Players!$A$2:$D$132,3),"")</f>
        <v/>
      </c>
      <c r="H1067" s="254"/>
      <c r="I1067" s="254"/>
      <c r="J1067" s="210" t="str">
        <f>IF(VLOOKUP($D1059&amp;RIGHT($A1067,1),Players!$A$2:$D$132,3)&lt;&gt;0,"("&amp;VLOOKUP($D1059&amp;RIGHT($A1067,1),Players!$A$2:$D$132,4)&amp;")","")</f>
        <v/>
      </c>
    </row>
    <row r="1068" spans="1:10" ht="25.5" customHeight="1">
      <c r="A1068" s="50" t="str">
        <f>CONCATENATE($I1059,"3")</f>
        <v>L3</v>
      </c>
      <c r="B1068" s="255" t="str">
        <f>IF(VLOOKUP($A1068,Players!$A$2:$C$132,3)&lt;&gt;0,VLOOKUP($A1068,Players!$A$2:$C$132,3),"")</f>
        <v/>
      </c>
      <c r="C1068" s="255"/>
      <c r="D1068" s="255"/>
      <c r="E1068" s="255"/>
      <c r="F1068" s="255"/>
      <c r="G1068" s="254" t="str">
        <f>IF(VLOOKUP($D1059&amp;RIGHT($A1068,1),Players!$A$2:$D$132,3)&lt;&gt;0,VLOOKUP($D1059&amp;RIGHT($A1068,1),Players!$A$2:$D$132,3),"")</f>
        <v/>
      </c>
      <c r="H1068" s="254"/>
      <c r="I1068" s="254"/>
      <c r="J1068" s="210" t="str">
        <f>IF(VLOOKUP($D1059&amp;RIGHT($A1068,1),Players!$A$2:$D$132,3)&lt;&gt;0,"("&amp;VLOOKUP($D1059&amp;RIGHT($A1068,1),Players!$A$2:$D$132,4)&amp;")","")</f>
        <v/>
      </c>
    </row>
    <row r="1069" spans="1:10" ht="25.5" customHeight="1">
      <c r="A1069" s="50" t="str">
        <f>CONCATENATE($I1059,"4")</f>
        <v>L4</v>
      </c>
      <c r="B1069" s="255" t="str">
        <f>IF(VLOOKUP($A1069,Players!$A$2:$C$132,3)&lt;&gt;0,VLOOKUP($A1069,Players!$A$2:$C$132,3),"")</f>
        <v/>
      </c>
      <c r="C1069" s="255"/>
      <c r="D1069" s="255"/>
      <c r="E1069" s="255"/>
      <c r="F1069" s="255"/>
      <c r="G1069" s="254" t="str">
        <f>IF(VLOOKUP($D1059&amp;RIGHT($A1069,1),Players!$A$2:$D$132,3)&lt;&gt;0,VLOOKUP($D1059&amp;RIGHT($A1069,1),Players!$A$2:$D$132,3),"")</f>
        <v/>
      </c>
      <c r="H1069" s="254"/>
      <c r="I1069" s="254"/>
      <c r="J1069" s="210" t="str">
        <f>IF(VLOOKUP($D1059&amp;RIGHT($A1069,1),Players!$A$2:$D$132,3)&lt;&gt;0,"("&amp;VLOOKUP($D1059&amp;RIGHT($A1069,1),Players!$A$2:$D$132,4)&amp;")","")</f>
        <v/>
      </c>
    </row>
    <row r="1070" spans="1:10" ht="25.5" customHeight="1">
      <c r="A1070" s="50" t="str">
        <f>CONCATENATE($I1059,"5")</f>
        <v>L5</v>
      </c>
      <c r="B1070" s="255" t="str">
        <f>IF(VLOOKUP($A1070,Players!$A$2:$C$132,3)&lt;&gt;0,VLOOKUP($A1070,Players!$A$2:$C$132,3),"")</f>
        <v/>
      </c>
      <c r="C1070" s="255"/>
      <c r="D1070" s="255"/>
      <c r="E1070" s="255"/>
      <c r="F1070" s="255"/>
      <c r="G1070" s="254" t="str">
        <f>IF(VLOOKUP($D1059&amp;RIGHT($A1070,1),Players!$A$2:$D$132,3)&lt;&gt;0,VLOOKUP($D1059&amp;RIGHT($A1070,1),Players!$A$2:$D$132,3),"")</f>
        <v/>
      </c>
      <c r="H1070" s="254"/>
      <c r="I1070" s="254"/>
      <c r="J1070" s="210" t="str">
        <f>IF(VLOOKUP($D1059&amp;RIGHT($A1070,1),Players!$A$2:$D$132,3)&lt;&gt;0,"("&amp;VLOOKUP($D1059&amp;RIGHT($A1070,1),Players!$A$2:$D$132,4)&amp;")","")</f>
        <v/>
      </c>
    </row>
    <row r="1071" spans="1:10" ht="25.5" customHeight="1">
      <c r="A1071" s="50" t="str">
        <f>CONCATENATE($I1059,"6")</f>
        <v>L6</v>
      </c>
      <c r="B1071" s="255" t="str">
        <f>IF(VLOOKUP($A1071,Players!$A$2:$C$132,3)&lt;&gt;0,VLOOKUP($A1071,Players!$A$2:$C$132,3),"")</f>
        <v/>
      </c>
      <c r="C1071" s="255"/>
      <c r="D1071" s="255"/>
      <c r="E1071" s="255"/>
      <c r="F1071" s="255"/>
      <c r="G1071" s="254" t="str">
        <f>IF(VLOOKUP($D1059&amp;RIGHT($A1071,1),Players!$A$2:$D$132,3)&lt;&gt;0,VLOOKUP($D1059&amp;RIGHT($A1071,1),Players!$A$2:$D$132,3),"")</f>
        <v/>
      </c>
      <c r="H1071" s="254"/>
      <c r="I1071" s="254"/>
      <c r="J1071" s="210" t="str">
        <f>IF(VLOOKUP($D1059&amp;RIGHT($A1071,1),Players!$A$2:$D$132,3)&lt;&gt;0,"("&amp;VLOOKUP($D1059&amp;RIGHT($A1071,1),Players!$A$2:$D$132,4)&amp;")","")</f>
        <v/>
      </c>
    </row>
    <row r="1072" spans="1:10" ht="25.5" customHeight="1">
      <c r="A1072" s="50" t="str">
        <f>CONCATENATE($I1059,"7")</f>
        <v>L7</v>
      </c>
      <c r="B1072" s="255" t="str">
        <f>IF(VLOOKUP($A1072,Players!$A$2:$C$132,3)&lt;&gt;0,VLOOKUP($A1072,Players!$A$2:$C$132,3),"")</f>
        <v/>
      </c>
      <c r="C1072" s="255"/>
      <c r="D1072" s="255"/>
      <c r="E1072" s="255"/>
      <c r="F1072" s="255"/>
      <c r="G1072" s="254" t="str">
        <f>IF(VLOOKUP($D1059&amp;RIGHT($A1072,1),Players!$A$2:$D$132,3)&lt;&gt;0,VLOOKUP($D1059&amp;RIGHT($A1072,1),Players!$A$2:$D$132,3),"")</f>
        <v/>
      </c>
      <c r="H1072" s="254"/>
      <c r="I1072" s="254"/>
      <c r="J1072" s="210" t="str">
        <f>IF(VLOOKUP($D1059&amp;RIGHT($A1072,1),Players!$A$2:$D$132,3)&lt;&gt;0,"("&amp;VLOOKUP($D1059&amp;RIGHT($A1072,1),Players!$A$2:$D$132,4)&amp;")","")</f>
        <v/>
      </c>
    </row>
    <row r="1073" spans="1:10" ht="25.5" customHeight="1">
      <c r="A1073" s="50" t="str">
        <f>CONCATENATE($I1059,"8")</f>
        <v>L8</v>
      </c>
      <c r="B1073" s="255" t="str">
        <f>IF(VLOOKUP($A1073,Players!$A$2:$C$132,3)&lt;&gt;0,VLOOKUP($A1073,Players!$A$2:$C$132,3),"")</f>
        <v/>
      </c>
      <c r="C1073" s="255"/>
      <c r="D1073" s="255"/>
      <c r="E1073" s="255"/>
      <c r="F1073" s="255"/>
      <c r="G1073" s="254" t="str">
        <f>IF(VLOOKUP($D1059&amp;RIGHT($A1073,1),Players!$A$2:$D$132,3)&lt;&gt;0,VLOOKUP($D1059&amp;RIGHT($A1073,1),Players!$A$2:$D$132,3),"")</f>
        <v/>
      </c>
      <c r="H1073" s="254"/>
      <c r="I1073" s="254"/>
      <c r="J1073" s="210" t="str">
        <f>IF(VLOOKUP($D1059&amp;RIGHT($A1073,1),Players!$A$2:$D$132,3)&lt;&gt;0,"("&amp;VLOOKUP($D1059&amp;RIGHT($A1073,1),Players!$A$2:$D$132,4)&amp;")","")</f>
        <v/>
      </c>
    </row>
    <row r="1074" spans="1:10" ht="25.5" customHeight="1">
      <c r="A1074" s="50"/>
      <c r="B1074" s="26"/>
      <c r="C1074" s="26"/>
      <c r="D1074" s="26"/>
      <c r="E1074" s="26"/>
      <c r="F1074" s="27"/>
      <c r="G1074" s="43"/>
      <c r="H1074" s="43"/>
      <c r="I1074" s="43"/>
      <c r="J1074" s="43"/>
    </row>
    <row r="1075" spans="1:10">
      <c r="A1075" s="49" t="s">
        <v>1225</v>
      </c>
      <c r="B1075" s="46"/>
      <c r="C1075" s="46"/>
      <c r="D1075" s="46"/>
      <c r="E1075" s="46"/>
      <c r="F1075" s="46"/>
      <c r="G1075" s="43"/>
      <c r="H1075" s="43"/>
      <c r="I1075" s="43"/>
      <c r="J1075" s="43"/>
    </row>
    <row r="1076" spans="1:10">
      <c r="A1076" s="46" t="s">
        <v>1247</v>
      </c>
      <c r="B1076" s="46"/>
      <c r="C1076" s="46"/>
      <c r="D1076" s="46"/>
      <c r="E1076" s="46"/>
      <c r="F1076" s="46"/>
      <c r="G1076" s="43"/>
      <c r="H1076" s="43"/>
      <c r="I1076" s="43"/>
      <c r="J1076" s="43"/>
    </row>
    <row r="1077" spans="1:10">
      <c r="A1077" s="46" t="s">
        <v>1248</v>
      </c>
      <c r="B1077" s="46"/>
      <c r="C1077" s="46"/>
      <c r="D1077" s="46"/>
      <c r="E1077" s="46"/>
      <c r="F1077" s="46"/>
      <c r="G1077" s="43"/>
      <c r="H1077" s="43"/>
      <c r="I1077" s="43"/>
      <c r="J1077" s="43"/>
    </row>
    <row r="1078" spans="1:10" ht="13.5" thickBot="1">
      <c r="A1078" s="46"/>
      <c r="B1078" s="46"/>
      <c r="C1078" s="46"/>
      <c r="D1078" s="46"/>
      <c r="E1078" s="46"/>
      <c r="F1078" s="46"/>
      <c r="G1078" s="43"/>
      <c r="H1078" s="43"/>
      <c r="I1078" s="43"/>
      <c r="J1078" s="43"/>
    </row>
    <row r="1079" spans="1:10" ht="25.5" customHeight="1" thickBot="1">
      <c r="A1079" s="50"/>
      <c r="B1079" s="257"/>
      <c r="C1079" s="258"/>
      <c r="D1079" s="258"/>
      <c r="E1079" s="258"/>
      <c r="F1079" s="259"/>
      <c r="G1079" s="43"/>
      <c r="H1079" s="43"/>
      <c r="I1079" s="43"/>
      <c r="J1079" s="43"/>
    </row>
    <row r="1080" spans="1:10">
      <c r="A1080" s="43"/>
      <c r="B1080" s="43"/>
      <c r="C1080" s="43"/>
      <c r="D1080" s="43"/>
      <c r="E1080" s="43"/>
      <c r="F1080" s="43"/>
      <c r="G1080" s="43"/>
      <c r="H1080" s="43"/>
      <c r="I1080" s="43"/>
      <c r="J1080" s="43"/>
    </row>
    <row r="1081" spans="1:10">
      <c r="A1081" s="43"/>
      <c r="B1081" s="43"/>
      <c r="C1081" s="43"/>
      <c r="D1081" s="43"/>
      <c r="E1081" s="43"/>
      <c r="F1081" s="43"/>
      <c r="G1081" s="43"/>
      <c r="H1081" s="43"/>
      <c r="I1081" s="43"/>
      <c r="J1081" s="43"/>
    </row>
    <row r="1082" spans="1:10">
      <c r="A1082" s="43"/>
      <c r="B1082" s="43"/>
      <c r="C1082" s="43"/>
      <c r="D1082" s="43"/>
      <c r="E1082" s="43"/>
      <c r="F1082" s="43"/>
      <c r="G1082" s="43"/>
      <c r="H1082" s="43"/>
      <c r="I1082" s="43"/>
      <c r="J1082" s="43"/>
    </row>
    <row r="1083" spans="1:10">
      <c r="A1083" s="43"/>
      <c r="B1083" s="43"/>
      <c r="C1083" s="43"/>
      <c r="D1083" s="43"/>
      <c r="E1083" s="43"/>
      <c r="F1083" s="43"/>
      <c r="G1083" s="43"/>
      <c r="H1083" s="43"/>
      <c r="I1083" s="43"/>
      <c r="J1083" s="43"/>
    </row>
    <row r="1084" spans="1:10">
      <c r="A1084" s="43"/>
      <c r="B1084" s="43"/>
      <c r="C1084" s="43"/>
      <c r="D1084" s="43"/>
      <c r="E1084" s="43"/>
      <c r="F1084" s="43"/>
      <c r="G1084" s="43"/>
      <c r="H1084" s="43"/>
      <c r="I1084" s="43"/>
      <c r="J1084" s="43"/>
    </row>
    <row r="1085" spans="1:10" ht="25.5" customHeight="1">
      <c r="A1085" s="47"/>
      <c r="B1085" s="47"/>
      <c r="C1085" s="47"/>
      <c r="D1085" s="47"/>
      <c r="E1085" s="47"/>
      <c r="F1085" s="43"/>
      <c r="G1085" s="51"/>
      <c r="H1085" s="250" t="s">
        <v>1227</v>
      </c>
      <c r="I1085" s="251"/>
      <c r="J1085" s="43"/>
    </row>
    <row r="1086" spans="1:10">
      <c r="A1086" s="43" t="s">
        <v>1226</v>
      </c>
      <c r="B1086" s="43"/>
      <c r="C1086" s="43"/>
      <c r="D1086" s="43"/>
      <c r="E1086" s="43"/>
      <c r="F1086" s="43"/>
      <c r="G1086" s="43"/>
      <c r="H1086" s="43"/>
      <c r="I1086" s="43"/>
      <c r="J1086" s="43"/>
    </row>
    <row r="1087" spans="1:10">
      <c r="A1087" s="43"/>
      <c r="B1087" s="43"/>
      <c r="C1087" s="43"/>
      <c r="D1087" s="43"/>
      <c r="E1087" s="43"/>
      <c r="F1087" s="43"/>
      <c r="G1087" s="43"/>
      <c r="H1087" s="43"/>
      <c r="I1087" s="43"/>
      <c r="J1087" s="43"/>
    </row>
    <row r="1088" spans="1:10">
      <c r="A1088" s="43"/>
      <c r="B1088" s="43"/>
      <c r="C1088" s="43"/>
      <c r="D1088" s="43"/>
      <c r="E1088" s="256" t="str">
        <f>CONCATENATE("(",$D1059," vs ",$I1059,")")</f>
        <v>(K vs L)</v>
      </c>
      <c r="F1088" s="256"/>
      <c r="G1088" s="43"/>
      <c r="H1088" s="43"/>
      <c r="I1088" s="43"/>
      <c r="J1088" s="43"/>
    </row>
    <row r="1089" spans="1:10" ht="15.75">
      <c r="A1089" s="42" t="s">
        <v>1223</v>
      </c>
      <c r="B1089" s="43"/>
      <c r="C1089" s="43"/>
      <c r="D1089" s="43"/>
      <c r="E1089" s="43"/>
      <c r="F1089" s="43"/>
      <c r="G1089" s="43"/>
      <c r="H1089" s="43"/>
      <c r="I1089" s="43"/>
      <c r="J1089" s="96" t="s">
        <v>4251</v>
      </c>
    </row>
    <row r="1090" spans="1:10" ht="12.75" customHeight="1">
      <c r="A1090" s="42"/>
      <c r="B1090" s="43"/>
      <c r="C1090" s="43"/>
      <c r="D1090" s="43"/>
      <c r="E1090" s="43"/>
      <c r="F1090" s="43"/>
      <c r="G1090" s="43" t="str">
        <f ca="1">Team_Matches!$J$6</f>
        <v>[NCTTA Teams Template (v2.06).xlsx]</v>
      </c>
      <c r="H1090" s="43"/>
      <c r="I1090" s="43"/>
      <c r="J1090" s="160"/>
    </row>
    <row r="1091" spans="1:10" ht="12.75" customHeight="1">
      <c r="A1091" s="42"/>
      <c r="B1091" s="43"/>
      <c r="C1091" s="43"/>
      <c r="D1091" s="43"/>
      <c r="E1091" s="43"/>
      <c r="F1091" s="43"/>
      <c r="G1091" s="247" t="str">
        <f>Team_Matches!$J823</f>
        <v>Round 3, Match 5</v>
      </c>
      <c r="H1091" s="247"/>
      <c r="I1091" s="161" t="str">
        <f>Team_Matches!$M823</f>
        <v/>
      </c>
      <c r="J1091" s="161"/>
    </row>
    <row r="1092" spans="1:10" ht="15.75">
      <c r="A1092" s="42"/>
      <c r="B1092" s="43"/>
      <c r="C1092" s="43"/>
      <c r="D1092" s="43"/>
      <c r="E1092" s="43"/>
      <c r="F1092" s="43"/>
      <c r="G1092" s="43"/>
      <c r="H1092" s="43"/>
      <c r="I1092" s="43"/>
      <c r="J1092" s="43"/>
    </row>
    <row r="1093" spans="1:10">
      <c r="A1093" s="43"/>
      <c r="B1093" s="43"/>
      <c r="C1093" s="9" t="s">
        <v>1228</v>
      </c>
      <c r="D1093" s="3" t="str">
        <f>Team_Matches!$B825</f>
        <v>I</v>
      </c>
      <c r="E1093" s="43"/>
      <c r="F1093" s="97" t="str">
        <f>CONCATENATE($D1093,"-",$I1093)</f>
        <v>I-L</v>
      </c>
      <c r="G1093" s="43"/>
      <c r="H1093" s="9" t="s">
        <v>1228</v>
      </c>
      <c r="I1093" s="52" t="str">
        <f>Team_Matches!$K825</f>
        <v>L</v>
      </c>
      <c r="J1093" s="43"/>
    </row>
    <row r="1094" spans="1:10" ht="25.5" customHeight="1">
      <c r="A1094" s="44"/>
      <c r="B1094" s="248" t="str">
        <f>IF(VLOOKUP($D1093,Draw!$A$4:$B$27,2)&lt;&gt;0,VLOOKUP($D1093,Draw!$A$4:$B$27,2),"")</f>
        <v/>
      </c>
      <c r="C1094" s="248"/>
      <c r="D1094" s="248"/>
      <c r="E1094" s="249"/>
      <c r="F1094" s="45"/>
      <c r="G1094" s="252" t="str">
        <f>IF(VLOOKUP($I1093,Draw!$A$4:$B$27,2)&lt;&gt;0,VLOOKUP($I1093,Draw!$A$4:$B$27,2),"")</f>
        <v/>
      </c>
      <c r="H1094" s="252"/>
      <c r="I1094" s="252"/>
      <c r="J1094" s="253"/>
    </row>
    <row r="1095" spans="1:10" ht="25.5" customHeight="1"/>
    <row r="1096" spans="1:10" ht="25.5" customHeight="1"/>
    <row r="1097" spans="1:10" ht="24" customHeight="1">
      <c r="A1097" s="48" t="s">
        <v>1246</v>
      </c>
      <c r="B1097" s="43"/>
      <c r="C1097" s="43"/>
      <c r="D1097" s="43"/>
      <c r="E1097" s="43"/>
      <c r="F1097" s="43"/>
      <c r="G1097" s="43"/>
      <c r="H1097" s="43"/>
      <c r="I1097" s="43"/>
      <c r="J1097" s="43"/>
    </row>
    <row r="1098" spans="1:10" ht="24" customHeight="1">
      <c r="A1098" s="48"/>
      <c r="B1098" s="43"/>
      <c r="C1098" s="43"/>
      <c r="D1098" s="43"/>
      <c r="E1098" s="43"/>
      <c r="F1098" s="43"/>
      <c r="G1098" s="43"/>
      <c r="H1098" s="43"/>
      <c r="I1098" s="43"/>
      <c r="J1098" s="43"/>
    </row>
    <row r="1099" spans="1:10">
      <c r="A1099" s="49" t="s">
        <v>1224</v>
      </c>
      <c r="B1099" s="46"/>
      <c r="C1099" s="46"/>
      <c r="D1099" s="46"/>
      <c r="E1099" s="46"/>
      <c r="F1099" s="46"/>
      <c r="G1099" s="260" t="s">
        <v>10336</v>
      </c>
      <c r="H1099" s="260"/>
      <c r="I1099" s="260"/>
      <c r="J1099" s="260"/>
    </row>
    <row r="1100" spans="1:10" ht="24" customHeight="1">
      <c r="A1100" s="50" t="str">
        <f>CONCATENATE($D1093,"1")</f>
        <v>I1</v>
      </c>
      <c r="B1100" s="255" t="str">
        <f>IF(VLOOKUP($A1100,Players!$A$2:$C$132,3)&lt;&gt;0,VLOOKUP($A1100,Players!$A$2:$C$132,3),"")</f>
        <v/>
      </c>
      <c r="C1100" s="255"/>
      <c r="D1100" s="255"/>
      <c r="E1100" s="255"/>
      <c r="F1100" s="255"/>
      <c r="G1100" s="254" t="str">
        <f>IF(VLOOKUP($I1093&amp;RIGHT($A1100,1),Players!$A$2:$D$132,3)&lt;&gt;0,VLOOKUP($I1093&amp;RIGHT($A1100,1),Players!$A$2:$D$132,3),"")</f>
        <v/>
      </c>
      <c r="H1100" s="254"/>
      <c r="I1100" s="254"/>
      <c r="J1100" s="210" t="str">
        <f>IF(VLOOKUP($I1093&amp;RIGHT($A1100,1),Players!$A$2:$D$132,3)&lt;&gt;0,"("&amp;VLOOKUP($I1093&amp;RIGHT($A1100,1),Players!$A$2:$D$132,4)&amp;")","")</f>
        <v/>
      </c>
    </row>
    <row r="1101" spans="1:10" ht="25.5" customHeight="1">
      <c r="A1101" s="50" t="str">
        <f>CONCATENATE($D1093,"2")</f>
        <v>I2</v>
      </c>
      <c r="B1101" s="255" t="str">
        <f>IF(VLOOKUP($A1101,Players!$A$2:$C$132,3)&lt;&gt;0,VLOOKUP($A1101,Players!$A$2:$C$132,3),"")</f>
        <v/>
      </c>
      <c r="C1101" s="255"/>
      <c r="D1101" s="255"/>
      <c r="E1101" s="255"/>
      <c r="F1101" s="255"/>
      <c r="G1101" s="254" t="str">
        <f>IF(VLOOKUP($I1093&amp;RIGHT($A1101,1),Players!$A$2:$D$132,3)&lt;&gt;0,VLOOKUP($I1093&amp;RIGHT($A1101,1),Players!$A$2:$D$132,3),"")</f>
        <v/>
      </c>
      <c r="H1101" s="254"/>
      <c r="I1101" s="254"/>
      <c r="J1101" s="210" t="str">
        <f>IF(VLOOKUP($I1093&amp;RIGHT($A1101,1),Players!$A$2:$D$132,3)&lt;&gt;0,"("&amp;VLOOKUP($I1093&amp;RIGHT($A1101,1),Players!$A$2:$D$132,4)&amp;")","")</f>
        <v/>
      </c>
    </row>
    <row r="1102" spans="1:10" ht="25.5" customHeight="1">
      <c r="A1102" s="50" t="str">
        <f>CONCATENATE($D1093,"3")</f>
        <v>I3</v>
      </c>
      <c r="B1102" s="255" t="str">
        <f>IF(VLOOKUP($A1102,Players!$A$2:$C$132,3)&lt;&gt;0,VLOOKUP($A1102,Players!$A$2:$C$132,3),"")</f>
        <v/>
      </c>
      <c r="C1102" s="255"/>
      <c r="D1102" s="255"/>
      <c r="E1102" s="255"/>
      <c r="F1102" s="255"/>
      <c r="G1102" s="254" t="str">
        <f>IF(VLOOKUP($I1093&amp;RIGHT($A1102,1),Players!$A$2:$D$132,3)&lt;&gt;0,VLOOKUP($I1093&amp;RIGHT($A1102,1),Players!$A$2:$D$132,3),"")</f>
        <v/>
      </c>
      <c r="H1102" s="254"/>
      <c r="I1102" s="254"/>
      <c r="J1102" s="210" t="str">
        <f>IF(VLOOKUP($I1093&amp;RIGHT($A1102,1),Players!$A$2:$D$132,3)&lt;&gt;0,"("&amp;VLOOKUP($I1093&amp;RIGHT($A1102,1),Players!$A$2:$D$132,4)&amp;")","")</f>
        <v/>
      </c>
    </row>
    <row r="1103" spans="1:10" ht="25.5" customHeight="1">
      <c r="A1103" s="50" t="str">
        <f>CONCATENATE($D1093,"4")</f>
        <v>I4</v>
      </c>
      <c r="B1103" s="255" t="str">
        <f>IF(VLOOKUP($A1103,Players!$A$2:$C$132,3)&lt;&gt;0,VLOOKUP($A1103,Players!$A$2:$C$132,3),"")</f>
        <v/>
      </c>
      <c r="C1103" s="255"/>
      <c r="D1103" s="255"/>
      <c r="E1103" s="255"/>
      <c r="F1103" s="255"/>
      <c r="G1103" s="254" t="str">
        <f>IF(VLOOKUP($I1093&amp;RIGHT($A1103,1),Players!$A$2:$D$132,3)&lt;&gt;0,VLOOKUP($I1093&amp;RIGHT($A1103,1),Players!$A$2:$D$132,3),"")</f>
        <v/>
      </c>
      <c r="H1103" s="254"/>
      <c r="I1103" s="254"/>
      <c r="J1103" s="210" t="str">
        <f>IF(VLOOKUP($I1093&amp;RIGHT($A1103,1),Players!$A$2:$D$132,3)&lt;&gt;0,"("&amp;VLOOKUP($I1093&amp;RIGHT($A1103,1),Players!$A$2:$D$132,4)&amp;")","")</f>
        <v/>
      </c>
    </row>
    <row r="1104" spans="1:10" ht="25.5" customHeight="1">
      <c r="A1104" s="50" t="str">
        <f>CONCATENATE($D1093,"5")</f>
        <v>I5</v>
      </c>
      <c r="B1104" s="255" t="str">
        <f>IF(VLOOKUP($A1104,Players!$A$2:$C$132,3)&lt;&gt;0,VLOOKUP($A1104,Players!$A$2:$C$132,3),"")</f>
        <v/>
      </c>
      <c r="C1104" s="255"/>
      <c r="D1104" s="255"/>
      <c r="E1104" s="255"/>
      <c r="F1104" s="255"/>
      <c r="G1104" s="254" t="str">
        <f>IF(VLOOKUP($I1093&amp;RIGHT($A1104,1),Players!$A$2:$D$132,3)&lt;&gt;0,VLOOKUP($I1093&amp;RIGHT($A1104,1),Players!$A$2:$D$132,3),"")</f>
        <v/>
      </c>
      <c r="H1104" s="254"/>
      <c r="I1104" s="254"/>
      <c r="J1104" s="210" t="str">
        <f>IF(VLOOKUP($I1093&amp;RIGHT($A1104,1),Players!$A$2:$D$132,3)&lt;&gt;0,"("&amp;VLOOKUP($I1093&amp;RIGHT($A1104,1),Players!$A$2:$D$132,4)&amp;")","")</f>
        <v/>
      </c>
    </row>
    <row r="1105" spans="1:10" ht="25.5" customHeight="1">
      <c r="A1105" s="50" t="str">
        <f>CONCATENATE($D1093,"6")</f>
        <v>I6</v>
      </c>
      <c r="B1105" s="255" t="str">
        <f>IF(VLOOKUP($A1105,Players!$A$2:$C$132,3)&lt;&gt;0,VLOOKUP($A1105,Players!$A$2:$C$132,3),"")</f>
        <v/>
      </c>
      <c r="C1105" s="255"/>
      <c r="D1105" s="255"/>
      <c r="E1105" s="255"/>
      <c r="F1105" s="255"/>
      <c r="G1105" s="254" t="str">
        <f>IF(VLOOKUP($I1093&amp;RIGHT($A1105,1),Players!$A$2:$D$132,3)&lt;&gt;0,VLOOKUP($I1093&amp;RIGHT($A1105,1),Players!$A$2:$D$132,3),"")</f>
        <v/>
      </c>
      <c r="H1105" s="254"/>
      <c r="I1105" s="254"/>
      <c r="J1105" s="210" t="str">
        <f>IF(VLOOKUP($I1093&amp;RIGHT($A1105,1),Players!$A$2:$D$132,3)&lt;&gt;0,"("&amp;VLOOKUP($I1093&amp;RIGHT($A1105,1),Players!$A$2:$D$132,4)&amp;")","")</f>
        <v/>
      </c>
    </row>
    <row r="1106" spans="1:10" ht="25.5" customHeight="1">
      <c r="A1106" s="50" t="str">
        <f>CONCATENATE($D1093,"7")</f>
        <v>I7</v>
      </c>
      <c r="B1106" s="255" t="str">
        <f>IF(VLOOKUP($A1106,Players!$A$2:$C$132,3)&lt;&gt;0,VLOOKUP($A1106,Players!$A$2:$C$132,3),"")</f>
        <v/>
      </c>
      <c r="C1106" s="255"/>
      <c r="D1106" s="255"/>
      <c r="E1106" s="255"/>
      <c r="F1106" s="255"/>
      <c r="G1106" s="254" t="str">
        <f>IF(VLOOKUP($I1093&amp;RIGHT($A1106,1),Players!$A$2:$D$132,3)&lt;&gt;0,VLOOKUP($I1093&amp;RIGHT($A1106,1),Players!$A$2:$D$132,3),"")</f>
        <v/>
      </c>
      <c r="H1106" s="254"/>
      <c r="I1106" s="254"/>
      <c r="J1106" s="210" t="str">
        <f>IF(VLOOKUP($I1093&amp;RIGHT($A1106,1),Players!$A$2:$D$132,3)&lt;&gt;0,"("&amp;VLOOKUP($I1093&amp;RIGHT($A1106,1),Players!$A$2:$D$132,4)&amp;")","")</f>
        <v/>
      </c>
    </row>
    <row r="1107" spans="1:10" ht="25.5" customHeight="1">
      <c r="A1107" s="50" t="str">
        <f>CONCATENATE($D1093,"8")</f>
        <v>I8</v>
      </c>
      <c r="B1107" s="255" t="str">
        <f>IF(VLOOKUP($A1107,Players!$A$2:$C$132,3)&lt;&gt;0,VLOOKUP($A1107,Players!$A$2:$C$132,3),"")</f>
        <v/>
      </c>
      <c r="C1107" s="255"/>
      <c r="D1107" s="255"/>
      <c r="E1107" s="255"/>
      <c r="F1107" s="255"/>
      <c r="G1107" s="254" t="str">
        <f>IF(VLOOKUP($I1093&amp;RIGHT($A1107,1),Players!$A$2:$D$132,3)&lt;&gt;0,VLOOKUP($I1093&amp;RIGHT($A1107,1),Players!$A$2:$D$132,3),"")</f>
        <v/>
      </c>
      <c r="H1107" s="254"/>
      <c r="I1107" s="254"/>
      <c r="J1107" s="210" t="str">
        <f>IF(VLOOKUP($I1093&amp;RIGHT($A1107,1),Players!$A$2:$D$132,3)&lt;&gt;0,"("&amp;VLOOKUP($I1093&amp;RIGHT($A1107,1),Players!$A$2:$D$132,4)&amp;")","")</f>
        <v/>
      </c>
    </row>
    <row r="1108" spans="1:10" ht="25.5" customHeight="1">
      <c r="A1108" s="50"/>
      <c r="B1108" s="26"/>
      <c r="C1108" s="26"/>
      <c r="D1108" s="26"/>
      <c r="E1108" s="26"/>
      <c r="F1108" s="27"/>
      <c r="G1108" s="43"/>
      <c r="H1108" s="43"/>
      <c r="I1108" s="43"/>
      <c r="J1108" s="43"/>
    </row>
    <row r="1109" spans="1:10">
      <c r="A1109" s="49" t="s">
        <v>1225</v>
      </c>
      <c r="B1109" s="46"/>
      <c r="C1109" s="46"/>
      <c r="D1109" s="46"/>
      <c r="E1109" s="46"/>
      <c r="F1109" s="46"/>
      <c r="G1109" s="43"/>
      <c r="H1109" s="43"/>
      <c r="I1109" s="43"/>
      <c r="J1109" s="43"/>
    </row>
    <row r="1110" spans="1:10">
      <c r="A1110" s="46" t="s">
        <v>1247</v>
      </c>
      <c r="B1110" s="46"/>
      <c r="C1110" s="46"/>
      <c r="D1110" s="46"/>
      <c r="E1110" s="46"/>
      <c r="F1110" s="46"/>
      <c r="G1110" s="43"/>
      <c r="H1110" s="43"/>
      <c r="I1110" s="43"/>
      <c r="J1110" s="43"/>
    </row>
    <row r="1111" spans="1:10">
      <c r="A1111" s="46" t="s">
        <v>1248</v>
      </c>
      <c r="B1111" s="46"/>
      <c r="C1111" s="46"/>
      <c r="D1111" s="46"/>
      <c r="E1111" s="46"/>
      <c r="F1111" s="46"/>
      <c r="G1111" s="43"/>
      <c r="H1111" s="43"/>
      <c r="I1111" s="43"/>
      <c r="J1111" s="43"/>
    </row>
    <row r="1112" spans="1:10" ht="13.5" thickBot="1">
      <c r="A1112" s="46"/>
      <c r="B1112" s="46"/>
      <c r="C1112" s="46"/>
      <c r="D1112" s="46"/>
      <c r="E1112" s="46"/>
      <c r="F1112" s="46"/>
      <c r="G1112" s="43"/>
      <c r="H1112" s="43"/>
      <c r="I1112" s="43"/>
      <c r="J1112" s="43"/>
    </row>
    <row r="1113" spans="1:10" ht="25.5" customHeight="1" thickBot="1">
      <c r="A1113" s="50"/>
      <c r="B1113" s="257"/>
      <c r="C1113" s="258"/>
      <c r="D1113" s="258"/>
      <c r="E1113" s="258"/>
      <c r="F1113" s="259"/>
      <c r="G1113" s="43"/>
      <c r="H1113" s="43"/>
      <c r="I1113" s="43"/>
      <c r="J1113" s="43"/>
    </row>
    <row r="1114" spans="1:10">
      <c r="A1114" s="43"/>
      <c r="B1114" s="43"/>
      <c r="C1114" s="43"/>
      <c r="D1114" s="43"/>
      <c r="E1114" s="43"/>
      <c r="F1114" s="43"/>
      <c r="G1114" s="43"/>
      <c r="H1114" s="43"/>
      <c r="I1114" s="43"/>
      <c r="J1114" s="43"/>
    </row>
    <row r="1115" spans="1:10">
      <c r="A1115" s="43"/>
      <c r="B1115" s="43"/>
      <c r="C1115" s="43"/>
      <c r="D1115" s="43"/>
      <c r="E1115" s="43"/>
      <c r="F1115" s="43"/>
      <c r="G1115" s="43"/>
      <c r="H1115" s="43"/>
      <c r="I1115" s="43"/>
      <c r="J1115" s="43"/>
    </row>
    <row r="1116" spans="1:10">
      <c r="A1116" s="43"/>
      <c r="B1116" s="43"/>
      <c r="C1116" s="43"/>
      <c r="D1116" s="43"/>
      <c r="E1116" s="43"/>
      <c r="F1116" s="43"/>
      <c r="G1116" s="43"/>
      <c r="H1116" s="43"/>
      <c r="I1116" s="43"/>
      <c r="J1116" s="43"/>
    </row>
    <row r="1117" spans="1:10">
      <c r="A1117" s="43"/>
      <c r="B1117" s="43"/>
      <c r="C1117" s="43"/>
      <c r="D1117" s="43"/>
      <c r="E1117" s="43"/>
      <c r="F1117" s="43"/>
      <c r="G1117" s="43"/>
      <c r="H1117" s="43"/>
      <c r="I1117" s="43"/>
      <c r="J1117" s="43"/>
    </row>
    <row r="1118" spans="1:10">
      <c r="A1118" s="43"/>
      <c r="B1118" s="43"/>
      <c r="C1118" s="43"/>
      <c r="D1118" s="43"/>
      <c r="E1118" s="43"/>
      <c r="F1118" s="43"/>
      <c r="G1118" s="43"/>
      <c r="H1118" s="43"/>
      <c r="I1118" s="43"/>
      <c r="J1118" s="43"/>
    </row>
    <row r="1119" spans="1:10" ht="25.5" customHeight="1">
      <c r="A1119" s="47"/>
      <c r="B1119" s="47"/>
      <c r="C1119" s="47"/>
      <c r="D1119" s="47"/>
      <c r="E1119" s="47"/>
      <c r="F1119" s="43"/>
      <c r="G1119" s="51"/>
      <c r="H1119" s="250" t="s">
        <v>1227</v>
      </c>
      <c r="I1119" s="251"/>
      <c r="J1119" s="43"/>
    </row>
    <row r="1120" spans="1:10">
      <c r="A1120" s="43" t="s">
        <v>1226</v>
      </c>
      <c r="B1120" s="43"/>
      <c r="C1120" s="43"/>
      <c r="D1120" s="43"/>
      <c r="E1120" s="43"/>
      <c r="F1120" s="43"/>
      <c r="G1120" s="43"/>
      <c r="H1120" s="43"/>
      <c r="I1120" s="43"/>
      <c r="J1120" s="43"/>
    </row>
    <row r="1121" spans="1:10">
      <c r="A1121" s="43"/>
      <c r="B1121" s="43"/>
      <c r="C1121" s="43"/>
      <c r="D1121" s="43"/>
      <c r="E1121" s="43"/>
      <c r="F1121" s="43"/>
      <c r="G1121" s="43"/>
      <c r="H1121" s="43"/>
      <c r="I1121" s="43"/>
      <c r="J1121" s="43"/>
    </row>
    <row r="1122" spans="1:10">
      <c r="A1122" s="43"/>
      <c r="B1122" s="43"/>
      <c r="C1122" s="43"/>
      <c r="D1122" s="43"/>
      <c r="E1122" s="256" t="str">
        <f>CONCATENATE("(",$D1093," vs ",$I1093,")")</f>
        <v>(I vs L)</v>
      </c>
      <c r="F1122" s="256"/>
      <c r="G1122" s="43"/>
      <c r="H1122" s="43"/>
      <c r="I1122" s="43"/>
      <c r="J1122" s="43"/>
    </row>
    <row r="1123" spans="1:10" ht="15.75">
      <c r="A1123" s="42" t="s">
        <v>1223</v>
      </c>
      <c r="B1123" s="43"/>
      <c r="C1123" s="43"/>
      <c r="D1123" s="43"/>
      <c r="E1123" s="43"/>
      <c r="F1123" s="43"/>
      <c r="G1123" s="43"/>
      <c r="H1123" s="43"/>
      <c r="I1123" s="43"/>
      <c r="J1123" s="96" t="s">
        <v>4252</v>
      </c>
    </row>
    <row r="1124" spans="1:10" ht="12.75" customHeight="1">
      <c r="A1124" s="42"/>
      <c r="B1124" s="43"/>
      <c r="C1124" s="43"/>
      <c r="D1124" s="43"/>
      <c r="E1124" s="43"/>
      <c r="F1124" s="43"/>
      <c r="G1124" s="43" t="str">
        <f ca="1">Team_Matches!$J$6</f>
        <v>[NCTTA Teams Template (v2.06).xlsx]</v>
      </c>
      <c r="H1124" s="43"/>
      <c r="I1124" s="43"/>
      <c r="J1124" s="160"/>
    </row>
    <row r="1125" spans="1:10" ht="12.75" customHeight="1">
      <c r="A1125" s="42"/>
      <c r="B1125" s="43"/>
      <c r="C1125" s="43"/>
      <c r="D1125" s="43"/>
      <c r="E1125" s="43"/>
      <c r="F1125" s="43"/>
      <c r="G1125" s="247" t="str">
        <f>Team_Matches!$J823</f>
        <v>Round 3, Match 5</v>
      </c>
      <c r="H1125" s="247"/>
      <c r="I1125" s="161" t="str">
        <f>Team_Matches!$M823</f>
        <v/>
      </c>
      <c r="J1125" s="161"/>
    </row>
    <row r="1126" spans="1:10" ht="15.75">
      <c r="A1126" s="42"/>
      <c r="B1126" s="43"/>
      <c r="C1126" s="43"/>
      <c r="D1126" s="43"/>
      <c r="E1126" s="43"/>
      <c r="F1126" s="43"/>
      <c r="G1126" s="43"/>
      <c r="H1126" s="43"/>
      <c r="I1126" s="43"/>
      <c r="J1126" s="43"/>
    </row>
    <row r="1127" spans="1:10">
      <c r="A1127" s="43"/>
      <c r="B1127" s="43"/>
      <c r="C1127" s="9" t="s">
        <v>1228</v>
      </c>
      <c r="D1127" s="3" t="str">
        <f>Team_Matches!$B825</f>
        <v>I</v>
      </c>
      <c r="E1127" s="43"/>
      <c r="F1127" s="97" t="str">
        <f>CONCATENATE($D1127,"-",$I1127)</f>
        <v>I-L</v>
      </c>
      <c r="G1127" s="43"/>
      <c r="H1127" s="9" t="s">
        <v>1228</v>
      </c>
      <c r="I1127" s="52" t="str">
        <f>Team_Matches!$K825</f>
        <v>L</v>
      </c>
      <c r="J1127" s="43"/>
    </row>
    <row r="1128" spans="1:10" ht="25.5" customHeight="1">
      <c r="A1128" s="44"/>
      <c r="B1128" s="252" t="str">
        <f>IF(VLOOKUP($D1127,Draw!$A$4:$B$27,2)&lt;&gt;0,VLOOKUP($D1127,Draw!$A$4:$B$27,2),"")</f>
        <v/>
      </c>
      <c r="C1128" s="252"/>
      <c r="D1128" s="252"/>
      <c r="E1128" s="253"/>
      <c r="F1128" s="45"/>
      <c r="G1128" s="248" t="str">
        <f>IF(VLOOKUP($I1127,Draw!$A$4:$B$27,2)&lt;&gt;0,VLOOKUP($I1127,Draw!$A$4:$B$27,2),"")</f>
        <v/>
      </c>
      <c r="H1128" s="248"/>
      <c r="I1128" s="248"/>
      <c r="J1128" s="249"/>
    </row>
    <row r="1129" spans="1:10" ht="25.5" customHeight="1"/>
    <row r="1130" spans="1:10" ht="25.5" customHeight="1"/>
    <row r="1131" spans="1:10" ht="24" customHeight="1">
      <c r="A1131" s="48" t="s">
        <v>1246</v>
      </c>
      <c r="B1131" s="43"/>
      <c r="C1131" s="43"/>
      <c r="D1131" s="43"/>
      <c r="E1131" s="43"/>
      <c r="F1131" s="43"/>
      <c r="G1131" s="43"/>
      <c r="H1131" s="43"/>
      <c r="I1131" s="43"/>
      <c r="J1131" s="43"/>
    </row>
    <row r="1132" spans="1:10" ht="24" customHeight="1">
      <c r="A1132" s="48"/>
      <c r="B1132" s="43"/>
      <c r="C1132" s="43"/>
      <c r="D1132" s="43"/>
      <c r="E1132" s="43"/>
      <c r="F1132" s="43"/>
      <c r="G1132" s="43"/>
      <c r="H1132" s="43"/>
      <c r="I1132" s="43"/>
      <c r="J1132" s="43"/>
    </row>
    <row r="1133" spans="1:10">
      <c r="A1133" s="49" t="s">
        <v>1224</v>
      </c>
      <c r="B1133" s="46"/>
      <c r="C1133" s="46"/>
      <c r="D1133" s="46"/>
      <c r="E1133" s="46"/>
      <c r="F1133" s="46"/>
      <c r="G1133" s="260" t="s">
        <v>10336</v>
      </c>
      <c r="H1133" s="260"/>
      <c r="I1133" s="260"/>
      <c r="J1133" s="260"/>
    </row>
    <row r="1134" spans="1:10" ht="24" customHeight="1">
      <c r="A1134" s="50" t="str">
        <f>CONCATENATE($I1127,"1")</f>
        <v>L1</v>
      </c>
      <c r="B1134" s="255" t="str">
        <f>IF(VLOOKUP($A1134,Players!$A$2:$C$132,3)&lt;&gt;0,VLOOKUP($A1134,Players!$A$2:$C$132,3),"")</f>
        <v/>
      </c>
      <c r="C1134" s="255"/>
      <c r="D1134" s="255"/>
      <c r="E1134" s="255"/>
      <c r="F1134" s="255"/>
      <c r="G1134" s="254" t="str">
        <f>IF(VLOOKUP($D1127&amp;RIGHT($A1134,1),Players!$A$2:$D$132,3)&lt;&gt;0,VLOOKUP($D1127&amp;RIGHT($A1134,1),Players!$A$2:$D$132,3),"")</f>
        <v/>
      </c>
      <c r="H1134" s="254"/>
      <c r="I1134" s="254"/>
      <c r="J1134" s="210" t="str">
        <f>IF(VLOOKUP($D1127&amp;RIGHT($A1134,1),Players!$A$2:$D$132,3)&lt;&gt;0,"("&amp;VLOOKUP($D1127&amp;RIGHT($A1134,1),Players!$A$2:$D$132,4)&amp;")","")</f>
        <v/>
      </c>
    </row>
    <row r="1135" spans="1:10" ht="25.5" customHeight="1">
      <c r="A1135" s="50" t="str">
        <f>CONCATENATE($I1127,"2")</f>
        <v>L2</v>
      </c>
      <c r="B1135" s="255" t="str">
        <f>IF(VLOOKUP($A1135,Players!$A$2:$C$132,3)&lt;&gt;0,VLOOKUP($A1135,Players!$A$2:$C$132,3),"")</f>
        <v/>
      </c>
      <c r="C1135" s="255"/>
      <c r="D1135" s="255"/>
      <c r="E1135" s="255"/>
      <c r="F1135" s="255"/>
      <c r="G1135" s="254" t="str">
        <f>IF(VLOOKUP($D1127&amp;RIGHT($A1135,1),Players!$A$2:$D$132,3)&lt;&gt;0,VLOOKUP($D1127&amp;RIGHT($A1135,1),Players!$A$2:$D$132,3),"")</f>
        <v/>
      </c>
      <c r="H1135" s="254"/>
      <c r="I1135" s="254"/>
      <c r="J1135" s="210" t="str">
        <f>IF(VLOOKUP($D1127&amp;RIGHT($A1135,1),Players!$A$2:$D$132,3)&lt;&gt;0,"("&amp;VLOOKUP($D1127&amp;RIGHT($A1135,1),Players!$A$2:$D$132,4)&amp;")","")</f>
        <v/>
      </c>
    </row>
    <row r="1136" spans="1:10" ht="25.5" customHeight="1">
      <c r="A1136" s="50" t="str">
        <f>CONCATENATE($I1127,"3")</f>
        <v>L3</v>
      </c>
      <c r="B1136" s="255" t="str">
        <f>IF(VLOOKUP($A1136,Players!$A$2:$C$132,3)&lt;&gt;0,VLOOKUP($A1136,Players!$A$2:$C$132,3),"")</f>
        <v/>
      </c>
      <c r="C1136" s="255"/>
      <c r="D1136" s="255"/>
      <c r="E1136" s="255"/>
      <c r="F1136" s="255"/>
      <c r="G1136" s="254" t="str">
        <f>IF(VLOOKUP($D1127&amp;RIGHT($A1136,1),Players!$A$2:$D$132,3)&lt;&gt;0,VLOOKUP($D1127&amp;RIGHT($A1136,1),Players!$A$2:$D$132,3),"")</f>
        <v/>
      </c>
      <c r="H1136" s="254"/>
      <c r="I1136" s="254"/>
      <c r="J1136" s="210" t="str">
        <f>IF(VLOOKUP($D1127&amp;RIGHT($A1136,1),Players!$A$2:$D$132,3)&lt;&gt;0,"("&amp;VLOOKUP($D1127&amp;RIGHT($A1136,1),Players!$A$2:$D$132,4)&amp;")","")</f>
        <v/>
      </c>
    </row>
    <row r="1137" spans="1:10" ht="25.5" customHeight="1">
      <c r="A1137" s="50" t="str">
        <f>CONCATENATE($I1127,"4")</f>
        <v>L4</v>
      </c>
      <c r="B1137" s="255" t="str">
        <f>IF(VLOOKUP($A1137,Players!$A$2:$C$132,3)&lt;&gt;0,VLOOKUP($A1137,Players!$A$2:$C$132,3),"")</f>
        <v/>
      </c>
      <c r="C1137" s="255"/>
      <c r="D1137" s="255"/>
      <c r="E1137" s="255"/>
      <c r="F1137" s="255"/>
      <c r="G1137" s="254" t="str">
        <f>IF(VLOOKUP($D1127&amp;RIGHT($A1137,1),Players!$A$2:$D$132,3)&lt;&gt;0,VLOOKUP($D1127&amp;RIGHT($A1137,1),Players!$A$2:$D$132,3),"")</f>
        <v/>
      </c>
      <c r="H1137" s="254"/>
      <c r="I1137" s="254"/>
      <c r="J1137" s="210" t="str">
        <f>IF(VLOOKUP($D1127&amp;RIGHT($A1137,1),Players!$A$2:$D$132,3)&lt;&gt;0,"("&amp;VLOOKUP($D1127&amp;RIGHT($A1137,1),Players!$A$2:$D$132,4)&amp;")","")</f>
        <v/>
      </c>
    </row>
    <row r="1138" spans="1:10" ht="25.5" customHeight="1">
      <c r="A1138" s="50" t="str">
        <f>CONCATENATE($I1127,"5")</f>
        <v>L5</v>
      </c>
      <c r="B1138" s="255" t="str">
        <f>IF(VLOOKUP($A1138,Players!$A$2:$C$132,3)&lt;&gt;0,VLOOKUP($A1138,Players!$A$2:$C$132,3),"")</f>
        <v/>
      </c>
      <c r="C1138" s="255"/>
      <c r="D1138" s="255"/>
      <c r="E1138" s="255"/>
      <c r="F1138" s="255"/>
      <c r="G1138" s="254" t="str">
        <f>IF(VLOOKUP($D1127&amp;RIGHT($A1138,1),Players!$A$2:$D$132,3)&lt;&gt;0,VLOOKUP($D1127&amp;RIGHT($A1138,1),Players!$A$2:$D$132,3),"")</f>
        <v/>
      </c>
      <c r="H1138" s="254"/>
      <c r="I1138" s="254"/>
      <c r="J1138" s="210" t="str">
        <f>IF(VLOOKUP($D1127&amp;RIGHT($A1138,1),Players!$A$2:$D$132,3)&lt;&gt;0,"("&amp;VLOOKUP($D1127&amp;RIGHT($A1138,1),Players!$A$2:$D$132,4)&amp;")","")</f>
        <v/>
      </c>
    </row>
    <row r="1139" spans="1:10" ht="25.5" customHeight="1">
      <c r="A1139" s="50" t="str">
        <f>CONCATENATE($I1127,"6")</f>
        <v>L6</v>
      </c>
      <c r="B1139" s="255" t="str">
        <f>IF(VLOOKUP($A1139,Players!$A$2:$C$132,3)&lt;&gt;0,VLOOKUP($A1139,Players!$A$2:$C$132,3),"")</f>
        <v/>
      </c>
      <c r="C1139" s="255"/>
      <c r="D1139" s="255"/>
      <c r="E1139" s="255"/>
      <c r="F1139" s="255"/>
      <c r="G1139" s="254" t="str">
        <f>IF(VLOOKUP($D1127&amp;RIGHT($A1139,1),Players!$A$2:$D$132,3)&lt;&gt;0,VLOOKUP($D1127&amp;RIGHT($A1139,1),Players!$A$2:$D$132,3),"")</f>
        <v/>
      </c>
      <c r="H1139" s="254"/>
      <c r="I1139" s="254"/>
      <c r="J1139" s="210" t="str">
        <f>IF(VLOOKUP($D1127&amp;RIGHT($A1139,1),Players!$A$2:$D$132,3)&lt;&gt;0,"("&amp;VLOOKUP($D1127&amp;RIGHT($A1139,1),Players!$A$2:$D$132,4)&amp;")","")</f>
        <v/>
      </c>
    </row>
    <row r="1140" spans="1:10" ht="25.5" customHeight="1">
      <c r="A1140" s="50" t="str">
        <f>CONCATENATE($I1127,"7")</f>
        <v>L7</v>
      </c>
      <c r="B1140" s="255" t="str">
        <f>IF(VLOOKUP($A1140,Players!$A$2:$C$132,3)&lt;&gt;0,VLOOKUP($A1140,Players!$A$2:$C$132,3),"")</f>
        <v/>
      </c>
      <c r="C1140" s="255"/>
      <c r="D1140" s="255"/>
      <c r="E1140" s="255"/>
      <c r="F1140" s="255"/>
      <c r="G1140" s="254" t="str">
        <f>IF(VLOOKUP($D1127&amp;RIGHT($A1140,1),Players!$A$2:$D$132,3)&lt;&gt;0,VLOOKUP($D1127&amp;RIGHT($A1140,1),Players!$A$2:$D$132,3),"")</f>
        <v/>
      </c>
      <c r="H1140" s="254"/>
      <c r="I1140" s="254"/>
      <c r="J1140" s="210" t="str">
        <f>IF(VLOOKUP($D1127&amp;RIGHT($A1140,1),Players!$A$2:$D$132,3)&lt;&gt;0,"("&amp;VLOOKUP($D1127&amp;RIGHT($A1140,1),Players!$A$2:$D$132,4)&amp;")","")</f>
        <v/>
      </c>
    </row>
    <row r="1141" spans="1:10" ht="25.5" customHeight="1">
      <c r="A1141" s="50" t="str">
        <f>CONCATENATE($I1127,"8")</f>
        <v>L8</v>
      </c>
      <c r="B1141" s="255" t="str">
        <f>IF(VLOOKUP($A1141,Players!$A$2:$C$132,3)&lt;&gt;0,VLOOKUP($A1141,Players!$A$2:$C$132,3),"")</f>
        <v/>
      </c>
      <c r="C1141" s="255"/>
      <c r="D1141" s="255"/>
      <c r="E1141" s="255"/>
      <c r="F1141" s="255"/>
      <c r="G1141" s="254" t="str">
        <f>IF(VLOOKUP($D1127&amp;RIGHT($A1141,1),Players!$A$2:$D$132,3)&lt;&gt;0,VLOOKUP($D1127&amp;RIGHT($A1141,1),Players!$A$2:$D$132,3),"")</f>
        <v/>
      </c>
      <c r="H1141" s="254"/>
      <c r="I1141" s="254"/>
      <c r="J1141" s="210" t="str">
        <f>IF(VLOOKUP($D1127&amp;RIGHT($A1141,1),Players!$A$2:$D$132,3)&lt;&gt;0,"("&amp;VLOOKUP($D1127&amp;RIGHT($A1141,1),Players!$A$2:$D$132,4)&amp;")","")</f>
        <v/>
      </c>
    </row>
    <row r="1142" spans="1:10" ht="25.5" customHeight="1">
      <c r="A1142" s="50"/>
      <c r="B1142" s="26"/>
      <c r="C1142" s="26"/>
      <c r="D1142" s="26"/>
      <c r="E1142" s="26"/>
      <c r="F1142" s="27"/>
      <c r="G1142" s="43"/>
      <c r="H1142" s="43"/>
      <c r="I1142" s="43"/>
      <c r="J1142" s="43"/>
    </row>
    <row r="1143" spans="1:10">
      <c r="A1143" s="49" t="s">
        <v>1225</v>
      </c>
      <c r="B1143" s="46"/>
      <c r="C1143" s="46"/>
      <c r="D1143" s="46"/>
      <c r="E1143" s="46"/>
      <c r="F1143" s="46"/>
      <c r="G1143" s="43"/>
      <c r="H1143" s="43"/>
      <c r="I1143" s="43"/>
      <c r="J1143" s="43"/>
    </row>
    <row r="1144" spans="1:10">
      <c r="A1144" s="46" t="s">
        <v>1247</v>
      </c>
      <c r="B1144" s="46"/>
      <c r="C1144" s="46"/>
      <c r="D1144" s="46"/>
      <c r="E1144" s="46"/>
      <c r="F1144" s="46"/>
      <c r="G1144" s="43"/>
      <c r="H1144" s="43"/>
      <c r="I1144" s="43"/>
      <c r="J1144" s="43"/>
    </row>
    <row r="1145" spans="1:10">
      <c r="A1145" s="46" t="s">
        <v>1248</v>
      </c>
      <c r="B1145" s="46"/>
      <c r="C1145" s="46"/>
      <c r="D1145" s="46"/>
      <c r="E1145" s="46"/>
      <c r="F1145" s="46"/>
      <c r="G1145" s="43"/>
      <c r="H1145" s="43"/>
      <c r="I1145" s="43"/>
      <c r="J1145" s="43"/>
    </row>
    <row r="1146" spans="1:10" ht="13.5" thickBot="1">
      <c r="A1146" s="46"/>
      <c r="B1146" s="46"/>
      <c r="C1146" s="46"/>
      <c r="D1146" s="46"/>
      <c r="E1146" s="46"/>
      <c r="F1146" s="46"/>
      <c r="G1146" s="43"/>
      <c r="H1146" s="43"/>
      <c r="I1146" s="43"/>
      <c r="J1146" s="43"/>
    </row>
    <row r="1147" spans="1:10" ht="25.5" customHeight="1" thickBot="1">
      <c r="A1147" s="50"/>
      <c r="B1147" s="257"/>
      <c r="C1147" s="258"/>
      <c r="D1147" s="258"/>
      <c r="E1147" s="258"/>
      <c r="F1147" s="259"/>
      <c r="G1147" s="43"/>
      <c r="H1147" s="43"/>
      <c r="I1147" s="43"/>
      <c r="J1147" s="43"/>
    </row>
    <row r="1148" spans="1:10">
      <c r="A1148" s="43"/>
      <c r="B1148" s="43"/>
      <c r="C1148" s="43"/>
      <c r="D1148" s="43"/>
      <c r="E1148" s="43"/>
      <c r="F1148" s="43"/>
      <c r="G1148" s="43"/>
      <c r="H1148" s="43"/>
      <c r="I1148" s="43"/>
      <c r="J1148" s="43"/>
    </row>
    <row r="1149" spans="1:10">
      <c r="A1149" s="43"/>
      <c r="B1149" s="43"/>
      <c r="C1149" s="43"/>
      <c r="D1149" s="43"/>
      <c r="E1149" s="43"/>
      <c r="F1149" s="43"/>
      <c r="G1149" s="43"/>
      <c r="H1149" s="43"/>
      <c r="I1149" s="43"/>
      <c r="J1149" s="43"/>
    </row>
    <row r="1150" spans="1:10">
      <c r="A1150" s="43"/>
      <c r="B1150" s="43"/>
      <c r="C1150" s="43"/>
      <c r="D1150" s="43"/>
      <c r="E1150" s="43"/>
      <c r="F1150" s="43"/>
      <c r="G1150" s="43"/>
      <c r="H1150" s="43"/>
      <c r="I1150" s="43"/>
      <c r="J1150" s="43"/>
    </row>
    <row r="1151" spans="1:10">
      <c r="A1151" s="43"/>
      <c r="B1151" s="43"/>
      <c r="C1151" s="43"/>
      <c r="D1151" s="43"/>
      <c r="E1151" s="43"/>
      <c r="F1151" s="43"/>
      <c r="G1151" s="43"/>
      <c r="H1151" s="43"/>
      <c r="I1151" s="43"/>
      <c r="J1151" s="43"/>
    </row>
    <row r="1152" spans="1:10">
      <c r="A1152" s="43"/>
      <c r="B1152" s="43"/>
      <c r="C1152" s="43"/>
      <c r="D1152" s="43"/>
      <c r="E1152" s="43"/>
      <c r="F1152" s="43"/>
      <c r="G1152" s="43"/>
      <c r="H1152" s="43"/>
      <c r="I1152" s="43"/>
      <c r="J1152" s="43"/>
    </row>
    <row r="1153" spans="1:10" ht="25.5" customHeight="1">
      <c r="A1153" s="47"/>
      <c r="B1153" s="47"/>
      <c r="C1153" s="47"/>
      <c r="D1153" s="47"/>
      <c r="E1153" s="47"/>
      <c r="F1153" s="43"/>
      <c r="G1153" s="51"/>
      <c r="H1153" s="250" t="s">
        <v>1227</v>
      </c>
      <c r="I1153" s="251"/>
      <c r="J1153" s="43"/>
    </row>
    <row r="1154" spans="1:10">
      <c r="A1154" s="43" t="s">
        <v>1226</v>
      </c>
      <c r="B1154" s="43"/>
      <c r="C1154" s="43"/>
      <c r="D1154" s="43"/>
      <c r="E1154" s="43"/>
      <c r="F1154" s="43"/>
      <c r="G1154" s="43"/>
      <c r="H1154" s="43"/>
      <c r="I1154" s="43"/>
      <c r="J1154" s="43"/>
    </row>
    <row r="1155" spans="1:10">
      <c r="A1155" s="43"/>
      <c r="B1155" s="43"/>
      <c r="C1155" s="43"/>
      <c r="D1155" s="43"/>
      <c r="E1155" s="43"/>
      <c r="F1155" s="43"/>
      <c r="G1155" s="43"/>
      <c r="H1155" s="43"/>
      <c r="I1155" s="43"/>
      <c r="J1155" s="43"/>
    </row>
    <row r="1156" spans="1:10">
      <c r="A1156" s="43"/>
      <c r="B1156" s="43"/>
      <c r="C1156" s="43"/>
      <c r="D1156" s="43"/>
      <c r="E1156" s="256" t="str">
        <f>CONCATENATE("(",$D1127," vs ",$I1127,")")</f>
        <v>(I vs L)</v>
      </c>
      <c r="F1156" s="256"/>
      <c r="G1156" s="43"/>
      <c r="H1156" s="43"/>
      <c r="I1156" s="43"/>
      <c r="J1156" s="43"/>
    </row>
    <row r="1157" spans="1:10" ht="15.75">
      <c r="A1157" s="42" t="s">
        <v>1223</v>
      </c>
      <c r="B1157" s="43"/>
      <c r="C1157" s="43"/>
      <c r="D1157" s="43"/>
      <c r="E1157" s="43"/>
      <c r="F1157" s="43"/>
      <c r="G1157" s="43"/>
      <c r="H1157" s="43"/>
      <c r="I1157" s="43"/>
      <c r="J1157" s="96" t="s">
        <v>4253</v>
      </c>
    </row>
    <row r="1158" spans="1:10" ht="12.75" customHeight="1">
      <c r="A1158" s="42"/>
      <c r="B1158" s="43"/>
      <c r="C1158" s="43"/>
      <c r="D1158" s="43"/>
      <c r="E1158" s="43"/>
      <c r="F1158" s="43"/>
      <c r="G1158" s="43" t="str">
        <f ca="1">Team_Matches!$J$6</f>
        <v>[NCTTA Teams Template (v2.06).xlsx]</v>
      </c>
      <c r="H1158" s="43"/>
      <c r="I1158" s="43"/>
      <c r="J1158" s="160"/>
    </row>
    <row r="1159" spans="1:10" ht="12.75" customHeight="1">
      <c r="A1159" s="42"/>
      <c r="B1159" s="43"/>
      <c r="C1159" s="43"/>
      <c r="D1159" s="43"/>
      <c r="E1159" s="43"/>
      <c r="F1159" s="43"/>
      <c r="G1159" s="247" t="str">
        <f>Team_Matches!$J874</f>
        <v>Round 3, Match 6</v>
      </c>
      <c r="H1159" s="247"/>
      <c r="I1159" s="161" t="str">
        <f>Team_Matches!$M874</f>
        <v/>
      </c>
      <c r="J1159" s="161"/>
    </row>
    <row r="1160" spans="1:10" ht="15.75">
      <c r="A1160" s="42"/>
      <c r="B1160" s="43"/>
      <c r="C1160" s="43"/>
      <c r="D1160" s="43"/>
      <c r="E1160" s="43"/>
      <c r="F1160" s="43"/>
      <c r="G1160" s="43"/>
      <c r="H1160" s="43"/>
      <c r="I1160" s="43"/>
      <c r="J1160" s="43"/>
    </row>
    <row r="1161" spans="1:10">
      <c r="A1161" s="43"/>
      <c r="B1161" s="43"/>
      <c r="C1161" s="9" t="s">
        <v>1228</v>
      </c>
      <c r="D1161" s="52" t="str">
        <f>Team_Matches!$B876</f>
        <v>J</v>
      </c>
      <c r="E1161" s="43"/>
      <c r="F1161" s="97" t="str">
        <f>CONCATENATE($D1161,"-",$I1161)</f>
        <v>J-K</v>
      </c>
      <c r="G1161" s="43"/>
      <c r="H1161" s="9" t="s">
        <v>1228</v>
      </c>
      <c r="I1161" s="52" t="str">
        <f>Team_Matches!$K876</f>
        <v>K</v>
      </c>
      <c r="J1161" s="43"/>
    </row>
    <row r="1162" spans="1:10" ht="25.5" customHeight="1">
      <c r="A1162" s="44"/>
      <c r="B1162" s="248" t="str">
        <f>IF(VLOOKUP($D1161,Draw!$A$4:$B$27,2)&lt;&gt;0,VLOOKUP($D1161,Draw!$A$4:$B$27,2),"")</f>
        <v/>
      </c>
      <c r="C1162" s="248"/>
      <c r="D1162" s="248"/>
      <c r="E1162" s="249"/>
      <c r="F1162" s="45"/>
      <c r="G1162" s="252" t="str">
        <f>IF(VLOOKUP($I1161,Draw!$A$4:$B$27,2)&lt;&gt;0,VLOOKUP($I1161,Draw!$A$4:$B$27,2),"")</f>
        <v/>
      </c>
      <c r="H1162" s="252"/>
      <c r="I1162" s="252"/>
      <c r="J1162" s="253"/>
    </row>
    <row r="1163" spans="1:10" ht="25.5" customHeight="1"/>
    <row r="1164" spans="1:10" ht="25.5" customHeight="1"/>
    <row r="1165" spans="1:10" ht="24" customHeight="1">
      <c r="A1165" s="48" t="s">
        <v>1246</v>
      </c>
      <c r="B1165" s="43"/>
      <c r="C1165" s="43"/>
      <c r="D1165" s="43"/>
      <c r="E1165" s="43"/>
      <c r="F1165" s="43"/>
      <c r="G1165" s="43"/>
      <c r="H1165" s="43"/>
      <c r="I1165" s="43"/>
      <c r="J1165" s="43"/>
    </row>
    <row r="1166" spans="1:10" ht="24" customHeight="1">
      <c r="A1166" s="48"/>
      <c r="B1166" s="43"/>
      <c r="C1166" s="43"/>
      <c r="D1166" s="43"/>
      <c r="E1166" s="43"/>
      <c r="F1166" s="43"/>
      <c r="G1166" s="43"/>
      <c r="H1166" s="43"/>
      <c r="I1166" s="43"/>
      <c r="J1166" s="43"/>
    </row>
    <row r="1167" spans="1:10">
      <c r="A1167" s="49" t="s">
        <v>1224</v>
      </c>
      <c r="B1167" s="46"/>
      <c r="C1167" s="46"/>
      <c r="D1167" s="46"/>
      <c r="E1167" s="46"/>
      <c r="F1167" s="46"/>
      <c r="G1167" s="260" t="s">
        <v>10336</v>
      </c>
      <c r="H1167" s="260"/>
      <c r="I1167" s="260"/>
      <c r="J1167" s="260"/>
    </row>
    <row r="1168" spans="1:10" ht="24" customHeight="1">
      <c r="A1168" s="50" t="str">
        <f>CONCATENATE($D1161,"1")</f>
        <v>J1</v>
      </c>
      <c r="B1168" s="255" t="str">
        <f>IF(VLOOKUP($A1168,Players!$A$2:$C$132,3)&lt;&gt;0,VLOOKUP($A1168,Players!$A$2:$C$132,3),"")</f>
        <v/>
      </c>
      <c r="C1168" s="255"/>
      <c r="D1168" s="255"/>
      <c r="E1168" s="255"/>
      <c r="F1168" s="255"/>
      <c r="G1168" s="254" t="str">
        <f>IF(VLOOKUP($I1161&amp;RIGHT($A1168,1),Players!$A$2:$D$132,3)&lt;&gt;0,VLOOKUP($I1161&amp;RIGHT($A1168,1),Players!$A$2:$D$132,3),"")</f>
        <v/>
      </c>
      <c r="H1168" s="254"/>
      <c r="I1168" s="254"/>
      <c r="J1168" s="210" t="str">
        <f>IF(VLOOKUP($I1161&amp;RIGHT($A1168,1),Players!$A$2:$D$132,3)&lt;&gt;0,"("&amp;VLOOKUP($I1161&amp;RIGHT($A1168,1),Players!$A$2:$D$132,4)&amp;")","")</f>
        <v/>
      </c>
    </row>
    <row r="1169" spans="1:10" ht="25.5" customHeight="1">
      <c r="A1169" s="50" t="str">
        <f>CONCATENATE($D1161,"2")</f>
        <v>J2</v>
      </c>
      <c r="B1169" s="255" t="str">
        <f>IF(VLOOKUP($A1169,Players!$A$2:$C$132,3)&lt;&gt;0,VLOOKUP($A1169,Players!$A$2:$C$132,3),"")</f>
        <v/>
      </c>
      <c r="C1169" s="255"/>
      <c r="D1169" s="255"/>
      <c r="E1169" s="255"/>
      <c r="F1169" s="255"/>
      <c r="G1169" s="254" t="str">
        <f>IF(VLOOKUP($I1161&amp;RIGHT($A1169,1),Players!$A$2:$D$132,3)&lt;&gt;0,VLOOKUP($I1161&amp;RIGHT($A1169,1),Players!$A$2:$D$132,3),"")</f>
        <v/>
      </c>
      <c r="H1169" s="254"/>
      <c r="I1169" s="254"/>
      <c r="J1169" s="210" t="str">
        <f>IF(VLOOKUP($I1161&amp;RIGHT($A1169,1),Players!$A$2:$D$132,3)&lt;&gt;0,"("&amp;VLOOKUP($I1161&amp;RIGHT($A1169,1),Players!$A$2:$D$132,4)&amp;")","")</f>
        <v/>
      </c>
    </row>
    <row r="1170" spans="1:10" ht="25.5" customHeight="1">
      <c r="A1170" s="50" t="str">
        <f>CONCATENATE($D1161,"3")</f>
        <v>J3</v>
      </c>
      <c r="B1170" s="255" t="str">
        <f>IF(VLOOKUP($A1170,Players!$A$2:$C$132,3)&lt;&gt;0,VLOOKUP($A1170,Players!$A$2:$C$132,3),"")</f>
        <v/>
      </c>
      <c r="C1170" s="255"/>
      <c r="D1170" s="255"/>
      <c r="E1170" s="255"/>
      <c r="F1170" s="255"/>
      <c r="G1170" s="254" t="str">
        <f>IF(VLOOKUP($I1161&amp;RIGHT($A1170,1),Players!$A$2:$D$132,3)&lt;&gt;0,VLOOKUP($I1161&amp;RIGHT($A1170,1),Players!$A$2:$D$132,3),"")</f>
        <v/>
      </c>
      <c r="H1170" s="254"/>
      <c r="I1170" s="254"/>
      <c r="J1170" s="210" t="str">
        <f>IF(VLOOKUP($I1161&amp;RIGHT($A1170,1),Players!$A$2:$D$132,3)&lt;&gt;0,"("&amp;VLOOKUP($I1161&amp;RIGHT($A1170,1),Players!$A$2:$D$132,4)&amp;")","")</f>
        <v/>
      </c>
    </row>
    <row r="1171" spans="1:10" ht="25.5" customHeight="1">
      <c r="A1171" s="50" t="str">
        <f>CONCATENATE($D1161,"4")</f>
        <v>J4</v>
      </c>
      <c r="B1171" s="255" t="str">
        <f>IF(VLOOKUP($A1171,Players!$A$2:$C$132,3)&lt;&gt;0,VLOOKUP($A1171,Players!$A$2:$C$132,3),"")</f>
        <v/>
      </c>
      <c r="C1171" s="255"/>
      <c r="D1171" s="255"/>
      <c r="E1171" s="255"/>
      <c r="F1171" s="255"/>
      <c r="G1171" s="254" t="str">
        <f>IF(VLOOKUP($I1161&amp;RIGHT($A1171,1),Players!$A$2:$D$132,3)&lt;&gt;0,VLOOKUP($I1161&amp;RIGHT($A1171,1),Players!$A$2:$D$132,3),"")</f>
        <v/>
      </c>
      <c r="H1171" s="254"/>
      <c r="I1171" s="254"/>
      <c r="J1171" s="210" t="str">
        <f>IF(VLOOKUP($I1161&amp;RIGHT($A1171,1),Players!$A$2:$D$132,3)&lt;&gt;0,"("&amp;VLOOKUP($I1161&amp;RIGHT($A1171,1),Players!$A$2:$D$132,4)&amp;")","")</f>
        <v/>
      </c>
    </row>
    <row r="1172" spans="1:10" ht="25.5" customHeight="1">
      <c r="A1172" s="50" t="str">
        <f>CONCATENATE($D1161,"5")</f>
        <v>J5</v>
      </c>
      <c r="B1172" s="255" t="str">
        <f>IF(VLOOKUP($A1172,Players!$A$2:$C$132,3)&lt;&gt;0,VLOOKUP($A1172,Players!$A$2:$C$132,3),"")</f>
        <v/>
      </c>
      <c r="C1172" s="255"/>
      <c r="D1172" s="255"/>
      <c r="E1172" s="255"/>
      <c r="F1172" s="255"/>
      <c r="G1172" s="254" t="str">
        <f>IF(VLOOKUP($I1161&amp;RIGHT($A1172,1),Players!$A$2:$D$132,3)&lt;&gt;0,VLOOKUP($I1161&amp;RIGHT($A1172,1),Players!$A$2:$D$132,3),"")</f>
        <v/>
      </c>
      <c r="H1172" s="254"/>
      <c r="I1172" s="254"/>
      <c r="J1172" s="210" t="str">
        <f>IF(VLOOKUP($I1161&amp;RIGHT($A1172,1),Players!$A$2:$D$132,3)&lt;&gt;0,"("&amp;VLOOKUP($I1161&amp;RIGHT($A1172,1),Players!$A$2:$D$132,4)&amp;")","")</f>
        <v/>
      </c>
    </row>
    <row r="1173" spans="1:10" ht="25.5" customHeight="1">
      <c r="A1173" s="50" t="str">
        <f>CONCATENATE($D1161,"6")</f>
        <v>J6</v>
      </c>
      <c r="B1173" s="255" t="str">
        <f>IF(VLOOKUP($A1173,Players!$A$2:$C$132,3)&lt;&gt;0,VLOOKUP($A1173,Players!$A$2:$C$132,3),"")</f>
        <v/>
      </c>
      <c r="C1173" s="255"/>
      <c r="D1173" s="255"/>
      <c r="E1173" s="255"/>
      <c r="F1173" s="255"/>
      <c r="G1173" s="254" t="str">
        <f>IF(VLOOKUP($I1161&amp;RIGHT($A1173,1),Players!$A$2:$D$132,3)&lt;&gt;0,VLOOKUP($I1161&amp;RIGHT($A1173,1),Players!$A$2:$D$132,3),"")</f>
        <v/>
      </c>
      <c r="H1173" s="254"/>
      <c r="I1173" s="254"/>
      <c r="J1173" s="210" t="str">
        <f>IF(VLOOKUP($I1161&amp;RIGHT($A1173,1),Players!$A$2:$D$132,3)&lt;&gt;0,"("&amp;VLOOKUP($I1161&amp;RIGHT($A1173,1),Players!$A$2:$D$132,4)&amp;")","")</f>
        <v/>
      </c>
    </row>
    <row r="1174" spans="1:10" ht="25.5" customHeight="1">
      <c r="A1174" s="50" t="str">
        <f>CONCATENATE($D1161,"7")</f>
        <v>J7</v>
      </c>
      <c r="B1174" s="255" t="str">
        <f>IF(VLOOKUP($A1174,Players!$A$2:$C$132,3)&lt;&gt;0,VLOOKUP($A1174,Players!$A$2:$C$132,3),"")</f>
        <v/>
      </c>
      <c r="C1174" s="255"/>
      <c r="D1174" s="255"/>
      <c r="E1174" s="255"/>
      <c r="F1174" s="255"/>
      <c r="G1174" s="254" t="str">
        <f>IF(VLOOKUP($I1161&amp;RIGHT($A1174,1),Players!$A$2:$D$132,3)&lt;&gt;0,VLOOKUP($I1161&amp;RIGHT($A1174,1),Players!$A$2:$D$132,3),"")</f>
        <v/>
      </c>
      <c r="H1174" s="254"/>
      <c r="I1174" s="254"/>
      <c r="J1174" s="210" t="str">
        <f>IF(VLOOKUP($I1161&amp;RIGHT($A1174,1),Players!$A$2:$D$132,3)&lt;&gt;0,"("&amp;VLOOKUP($I1161&amp;RIGHT($A1174,1),Players!$A$2:$D$132,4)&amp;")","")</f>
        <v/>
      </c>
    </row>
    <row r="1175" spans="1:10" ht="25.5" customHeight="1">
      <c r="A1175" s="50" t="str">
        <f>CONCATENATE($D1161,"8")</f>
        <v>J8</v>
      </c>
      <c r="B1175" s="255" t="str">
        <f>IF(VLOOKUP($A1175,Players!$A$2:$C$132,3)&lt;&gt;0,VLOOKUP($A1175,Players!$A$2:$C$132,3),"")</f>
        <v/>
      </c>
      <c r="C1175" s="255"/>
      <c r="D1175" s="255"/>
      <c r="E1175" s="255"/>
      <c r="F1175" s="255"/>
      <c r="G1175" s="254" t="str">
        <f>IF(VLOOKUP($I1161&amp;RIGHT($A1175,1),Players!$A$2:$D$132,3)&lt;&gt;0,VLOOKUP($I1161&amp;RIGHT($A1175,1),Players!$A$2:$D$132,3),"")</f>
        <v/>
      </c>
      <c r="H1175" s="254"/>
      <c r="I1175" s="254"/>
      <c r="J1175" s="210" t="str">
        <f>IF(VLOOKUP($I1161&amp;RIGHT($A1175,1),Players!$A$2:$D$132,3)&lt;&gt;0,"("&amp;VLOOKUP($I1161&amp;RIGHT($A1175,1),Players!$A$2:$D$132,4)&amp;")","")</f>
        <v/>
      </c>
    </row>
    <row r="1176" spans="1:10" ht="25.5" customHeight="1">
      <c r="A1176" s="50"/>
      <c r="B1176" s="26"/>
      <c r="C1176" s="26"/>
      <c r="D1176" s="26"/>
      <c r="E1176" s="26"/>
      <c r="F1176" s="27"/>
      <c r="G1176" s="43"/>
      <c r="H1176" s="43"/>
      <c r="I1176" s="43"/>
      <c r="J1176" s="43"/>
    </row>
    <row r="1177" spans="1:10">
      <c r="A1177" s="49" t="s">
        <v>1225</v>
      </c>
      <c r="B1177" s="46"/>
      <c r="C1177" s="46"/>
      <c r="D1177" s="46"/>
      <c r="E1177" s="46"/>
      <c r="F1177" s="46"/>
      <c r="G1177" s="43"/>
      <c r="H1177" s="43"/>
      <c r="I1177" s="43"/>
      <c r="J1177" s="43"/>
    </row>
    <row r="1178" spans="1:10">
      <c r="A1178" s="46" t="s">
        <v>1247</v>
      </c>
      <c r="B1178" s="46"/>
      <c r="C1178" s="46"/>
      <c r="D1178" s="46"/>
      <c r="E1178" s="46"/>
      <c r="F1178" s="46"/>
      <c r="G1178" s="43"/>
      <c r="H1178" s="43"/>
      <c r="I1178" s="43"/>
      <c r="J1178" s="43"/>
    </row>
    <row r="1179" spans="1:10">
      <c r="A1179" s="46" t="s">
        <v>1248</v>
      </c>
      <c r="B1179" s="46"/>
      <c r="C1179" s="46"/>
      <c r="D1179" s="46"/>
      <c r="E1179" s="46"/>
      <c r="F1179" s="46"/>
      <c r="G1179" s="43"/>
      <c r="H1179" s="43"/>
      <c r="I1179" s="43"/>
      <c r="J1179" s="43"/>
    </row>
    <row r="1180" spans="1:10" ht="13.5" thickBot="1">
      <c r="A1180" s="46"/>
      <c r="B1180" s="46"/>
      <c r="C1180" s="46"/>
      <c r="D1180" s="46"/>
      <c r="E1180" s="46"/>
      <c r="F1180" s="46"/>
      <c r="G1180" s="43"/>
      <c r="H1180" s="43"/>
      <c r="I1180" s="43"/>
      <c r="J1180" s="43"/>
    </row>
    <row r="1181" spans="1:10" ht="25.5" customHeight="1" thickBot="1">
      <c r="A1181" s="50"/>
      <c r="B1181" s="257"/>
      <c r="C1181" s="258"/>
      <c r="D1181" s="258"/>
      <c r="E1181" s="258"/>
      <c r="F1181" s="259"/>
      <c r="G1181" s="43"/>
      <c r="H1181" s="43"/>
      <c r="I1181" s="43"/>
      <c r="J1181" s="43"/>
    </row>
    <row r="1182" spans="1:10">
      <c r="A1182" s="43"/>
      <c r="B1182" s="43"/>
      <c r="C1182" s="43"/>
      <c r="D1182" s="43"/>
      <c r="E1182" s="43"/>
      <c r="F1182" s="43"/>
      <c r="G1182" s="43"/>
      <c r="H1182" s="43"/>
      <c r="I1182" s="43"/>
      <c r="J1182" s="43"/>
    </row>
    <row r="1183" spans="1:10">
      <c r="A1183" s="43"/>
      <c r="B1183" s="43"/>
      <c r="C1183" s="43"/>
      <c r="D1183" s="43"/>
      <c r="E1183" s="43"/>
      <c r="F1183" s="43"/>
      <c r="G1183" s="43"/>
      <c r="H1183" s="43"/>
      <c r="I1183" s="43"/>
      <c r="J1183" s="43"/>
    </row>
    <row r="1184" spans="1:10">
      <c r="A1184" s="43"/>
      <c r="B1184" s="43"/>
      <c r="C1184" s="43"/>
      <c r="D1184" s="43"/>
      <c r="E1184" s="43"/>
      <c r="F1184" s="43"/>
      <c r="G1184" s="43"/>
      <c r="H1184" s="43"/>
      <c r="I1184" s="43"/>
      <c r="J1184" s="43"/>
    </row>
    <row r="1185" spans="1:10">
      <c r="A1185" s="43"/>
      <c r="B1185" s="43"/>
      <c r="C1185" s="43"/>
      <c r="D1185" s="43"/>
      <c r="E1185" s="43"/>
      <c r="F1185" s="43"/>
      <c r="G1185" s="43"/>
      <c r="H1185" s="43"/>
      <c r="I1185" s="43"/>
      <c r="J1185" s="43"/>
    </row>
    <row r="1186" spans="1:10">
      <c r="A1186" s="43"/>
      <c r="B1186" s="43"/>
      <c r="C1186" s="43"/>
      <c r="D1186" s="43"/>
      <c r="E1186" s="43"/>
      <c r="F1186" s="43"/>
      <c r="G1186" s="43"/>
      <c r="H1186" s="43"/>
      <c r="I1186" s="43"/>
      <c r="J1186" s="43"/>
    </row>
    <row r="1187" spans="1:10" ht="25.5" customHeight="1">
      <c r="A1187" s="47"/>
      <c r="B1187" s="47"/>
      <c r="C1187" s="47"/>
      <c r="D1187" s="47"/>
      <c r="E1187" s="47"/>
      <c r="F1187" s="43"/>
      <c r="G1187" s="51"/>
      <c r="H1187" s="250" t="s">
        <v>1227</v>
      </c>
      <c r="I1187" s="251"/>
      <c r="J1187" s="43"/>
    </row>
    <row r="1188" spans="1:10">
      <c r="A1188" s="43" t="s">
        <v>1226</v>
      </c>
      <c r="B1188" s="43"/>
      <c r="C1188" s="43"/>
      <c r="D1188" s="43"/>
      <c r="E1188" s="43"/>
      <c r="F1188" s="43"/>
      <c r="G1188" s="43"/>
      <c r="H1188" s="43"/>
      <c r="I1188" s="43"/>
      <c r="J1188" s="43"/>
    </row>
    <row r="1189" spans="1:10">
      <c r="A1189" s="43"/>
      <c r="B1189" s="43"/>
      <c r="C1189" s="43"/>
      <c r="D1189" s="43"/>
      <c r="E1189" s="43"/>
      <c r="F1189" s="43"/>
      <c r="G1189" s="43"/>
      <c r="H1189" s="43"/>
      <c r="I1189" s="43"/>
      <c r="J1189" s="43"/>
    </row>
    <row r="1190" spans="1:10">
      <c r="A1190" s="43"/>
      <c r="B1190" s="43"/>
      <c r="C1190" s="43"/>
      <c r="D1190" s="43"/>
      <c r="E1190" s="256" t="str">
        <f>CONCATENATE("(",$D1161," vs ",$I1161,")")</f>
        <v>(J vs K)</v>
      </c>
      <c r="F1190" s="256"/>
      <c r="G1190" s="43"/>
      <c r="H1190" s="43"/>
      <c r="I1190" s="43"/>
      <c r="J1190" s="43"/>
    </row>
    <row r="1191" spans="1:10" ht="15.75">
      <c r="A1191" s="42" t="s">
        <v>1223</v>
      </c>
      <c r="B1191" s="43"/>
      <c r="C1191" s="43"/>
      <c r="D1191" s="43"/>
      <c r="E1191" s="43"/>
      <c r="F1191" s="43"/>
      <c r="G1191" s="43"/>
      <c r="H1191" s="43"/>
      <c r="I1191" s="43"/>
      <c r="J1191" s="96" t="s">
        <v>4254</v>
      </c>
    </row>
    <row r="1192" spans="1:10" ht="12.75" customHeight="1">
      <c r="A1192" s="42"/>
      <c r="B1192" s="43"/>
      <c r="C1192" s="43"/>
      <c r="D1192" s="43"/>
      <c r="E1192" s="43"/>
      <c r="F1192" s="43"/>
      <c r="G1192" s="43" t="str">
        <f ca="1">Team_Matches!$J$6</f>
        <v>[NCTTA Teams Template (v2.06).xlsx]</v>
      </c>
      <c r="H1192" s="43"/>
      <c r="I1192" s="43"/>
      <c r="J1192" s="160"/>
    </row>
    <row r="1193" spans="1:10" ht="12.75" customHeight="1">
      <c r="A1193" s="42"/>
      <c r="B1193" s="43"/>
      <c r="C1193" s="43"/>
      <c r="D1193" s="43"/>
      <c r="E1193" s="43"/>
      <c r="F1193" s="43"/>
      <c r="G1193" s="247" t="str">
        <f>Team_Matches!$J874</f>
        <v>Round 3, Match 6</v>
      </c>
      <c r="H1193" s="247"/>
      <c r="I1193" s="161" t="str">
        <f>Team_Matches!$M874</f>
        <v/>
      </c>
      <c r="J1193" s="161"/>
    </row>
    <row r="1194" spans="1:10" ht="15.75">
      <c r="A1194" s="42"/>
      <c r="B1194" s="43"/>
      <c r="C1194" s="43"/>
      <c r="D1194" s="43"/>
      <c r="E1194" s="43"/>
      <c r="F1194" s="43"/>
      <c r="G1194" s="43"/>
      <c r="H1194" s="43"/>
      <c r="I1194" s="43"/>
      <c r="J1194" s="43"/>
    </row>
    <row r="1195" spans="1:10">
      <c r="A1195" s="43"/>
      <c r="B1195" s="43"/>
      <c r="C1195" s="9" t="s">
        <v>1228</v>
      </c>
      <c r="D1195" s="52" t="str">
        <f>Team_Matches!$B876</f>
        <v>J</v>
      </c>
      <c r="E1195" s="43"/>
      <c r="F1195" s="97" t="str">
        <f>CONCATENATE($D1195,"-",$I1195)</f>
        <v>J-K</v>
      </c>
      <c r="G1195" s="43"/>
      <c r="H1195" s="9" t="s">
        <v>1228</v>
      </c>
      <c r="I1195" s="52" t="str">
        <f>Team_Matches!$K876</f>
        <v>K</v>
      </c>
      <c r="J1195" s="43"/>
    </row>
    <row r="1196" spans="1:10" ht="25.5" customHeight="1">
      <c r="A1196" s="44"/>
      <c r="B1196" s="252" t="str">
        <f>IF(VLOOKUP($D1195,Draw!$A$4:$B$27,2)&lt;&gt;0,VLOOKUP($D1195,Draw!$A$4:$B$27,2),"")</f>
        <v/>
      </c>
      <c r="C1196" s="252"/>
      <c r="D1196" s="252"/>
      <c r="E1196" s="253"/>
      <c r="F1196" s="45"/>
      <c r="G1196" s="248" t="str">
        <f>IF(VLOOKUP($I1195,Draw!$A$4:$B$27,2)&lt;&gt;0,VLOOKUP($I1195,Draw!$A$4:$B$27,2),"")</f>
        <v/>
      </c>
      <c r="H1196" s="248"/>
      <c r="I1196" s="248"/>
      <c r="J1196" s="249"/>
    </row>
    <row r="1197" spans="1:10" ht="25.5" customHeight="1"/>
    <row r="1198" spans="1:10" ht="25.5" customHeight="1"/>
    <row r="1199" spans="1:10" ht="24" customHeight="1">
      <c r="A1199" s="48" t="s">
        <v>1246</v>
      </c>
      <c r="B1199" s="43"/>
      <c r="C1199" s="43"/>
      <c r="D1199" s="43"/>
      <c r="E1199" s="43"/>
      <c r="F1199" s="43"/>
      <c r="G1199" s="43"/>
      <c r="H1199" s="43"/>
      <c r="I1199" s="43"/>
      <c r="J1199" s="43"/>
    </row>
    <row r="1200" spans="1:10" ht="24" customHeight="1">
      <c r="A1200" s="48"/>
      <c r="B1200" s="43"/>
      <c r="C1200" s="43"/>
      <c r="D1200" s="43"/>
      <c r="E1200" s="43"/>
      <c r="F1200" s="43"/>
      <c r="G1200" s="43"/>
      <c r="H1200" s="43"/>
      <c r="I1200" s="43"/>
      <c r="J1200" s="43"/>
    </row>
    <row r="1201" spans="1:10">
      <c r="A1201" s="49" t="s">
        <v>1224</v>
      </c>
      <c r="B1201" s="46"/>
      <c r="C1201" s="46"/>
      <c r="D1201" s="46"/>
      <c r="E1201" s="46"/>
      <c r="F1201" s="46"/>
      <c r="G1201" s="260" t="s">
        <v>10336</v>
      </c>
      <c r="H1201" s="260"/>
      <c r="I1201" s="260"/>
      <c r="J1201" s="260"/>
    </row>
    <row r="1202" spans="1:10" ht="24" customHeight="1">
      <c r="A1202" s="50" t="str">
        <f>CONCATENATE($I1195,"1")</f>
        <v>K1</v>
      </c>
      <c r="B1202" s="255" t="str">
        <f>IF(VLOOKUP($A1202,Players!$A$2:$C$132,3)&lt;&gt;0,VLOOKUP($A1202,Players!$A$2:$C$132,3),"")</f>
        <v/>
      </c>
      <c r="C1202" s="255"/>
      <c r="D1202" s="255"/>
      <c r="E1202" s="255"/>
      <c r="F1202" s="255"/>
      <c r="G1202" s="254" t="str">
        <f>IF(VLOOKUP($D1195&amp;RIGHT($A1202,1),Players!$A$2:$D$132,3)&lt;&gt;0,VLOOKUP($D1195&amp;RIGHT($A1202,1),Players!$A$2:$D$132,3),"")</f>
        <v/>
      </c>
      <c r="H1202" s="254"/>
      <c r="I1202" s="254"/>
      <c r="J1202" s="210" t="str">
        <f>IF(VLOOKUP($D1195&amp;RIGHT($A1202,1),Players!$A$2:$D$132,3)&lt;&gt;0,"("&amp;VLOOKUP($D1195&amp;RIGHT($A1202,1),Players!$A$2:$D$132,4)&amp;")","")</f>
        <v/>
      </c>
    </row>
    <row r="1203" spans="1:10" ht="25.5" customHeight="1">
      <c r="A1203" s="50" t="str">
        <f>CONCATENATE($I1195,"2")</f>
        <v>K2</v>
      </c>
      <c r="B1203" s="255" t="str">
        <f>IF(VLOOKUP($A1203,Players!$A$2:$C$132,3)&lt;&gt;0,VLOOKUP($A1203,Players!$A$2:$C$132,3),"")</f>
        <v/>
      </c>
      <c r="C1203" s="255"/>
      <c r="D1203" s="255"/>
      <c r="E1203" s="255"/>
      <c r="F1203" s="255"/>
      <c r="G1203" s="254" t="str">
        <f>IF(VLOOKUP($D1195&amp;RIGHT($A1203,1),Players!$A$2:$D$132,3)&lt;&gt;0,VLOOKUP($D1195&amp;RIGHT($A1203,1),Players!$A$2:$D$132,3),"")</f>
        <v/>
      </c>
      <c r="H1203" s="254"/>
      <c r="I1203" s="254"/>
      <c r="J1203" s="210" t="str">
        <f>IF(VLOOKUP($D1195&amp;RIGHT($A1203,1),Players!$A$2:$D$132,3)&lt;&gt;0,"("&amp;VLOOKUP($D1195&amp;RIGHT($A1203,1),Players!$A$2:$D$132,4)&amp;")","")</f>
        <v/>
      </c>
    </row>
    <row r="1204" spans="1:10" ht="25.5" customHeight="1">
      <c r="A1204" s="50" t="str">
        <f>CONCATENATE($I1195,"3")</f>
        <v>K3</v>
      </c>
      <c r="B1204" s="255" t="str">
        <f>IF(VLOOKUP($A1204,Players!$A$2:$C$132,3)&lt;&gt;0,VLOOKUP($A1204,Players!$A$2:$C$132,3),"")</f>
        <v/>
      </c>
      <c r="C1204" s="255"/>
      <c r="D1204" s="255"/>
      <c r="E1204" s="255"/>
      <c r="F1204" s="255"/>
      <c r="G1204" s="254" t="str">
        <f>IF(VLOOKUP($D1195&amp;RIGHT($A1204,1),Players!$A$2:$D$132,3)&lt;&gt;0,VLOOKUP($D1195&amp;RIGHT($A1204,1),Players!$A$2:$D$132,3),"")</f>
        <v/>
      </c>
      <c r="H1204" s="254"/>
      <c r="I1204" s="254"/>
      <c r="J1204" s="210" t="str">
        <f>IF(VLOOKUP($D1195&amp;RIGHT($A1204,1),Players!$A$2:$D$132,3)&lt;&gt;0,"("&amp;VLOOKUP($D1195&amp;RIGHT($A1204,1),Players!$A$2:$D$132,4)&amp;")","")</f>
        <v/>
      </c>
    </row>
    <row r="1205" spans="1:10" ht="25.5" customHeight="1">
      <c r="A1205" s="50" t="str">
        <f>CONCATENATE($I1195,"4")</f>
        <v>K4</v>
      </c>
      <c r="B1205" s="255" t="str">
        <f>IF(VLOOKUP($A1205,Players!$A$2:$C$132,3)&lt;&gt;0,VLOOKUP($A1205,Players!$A$2:$C$132,3),"")</f>
        <v/>
      </c>
      <c r="C1205" s="255"/>
      <c r="D1205" s="255"/>
      <c r="E1205" s="255"/>
      <c r="F1205" s="255"/>
      <c r="G1205" s="254" t="str">
        <f>IF(VLOOKUP($D1195&amp;RIGHT($A1205,1),Players!$A$2:$D$132,3)&lt;&gt;0,VLOOKUP($D1195&amp;RIGHT($A1205,1),Players!$A$2:$D$132,3),"")</f>
        <v/>
      </c>
      <c r="H1205" s="254"/>
      <c r="I1205" s="254"/>
      <c r="J1205" s="210" t="str">
        <f>IF(VLOOKUP($D1195&amp;RIGHT($A1205,1),Players!$A$2:$D$132,3)&lt;&gt;0,"("&amp;VLOOKUP($D1195&amp;RIGHT($A1205,1),Players!$A$2:$D$132,4)&amp;")","")</f>
        <v/>
      </c>
    </row>
    <row r="1206" spans="1:10" ht="25.5" customHeight="1">
      <c r="A1206" s="50" t="str">
        <f>CONCATENATE($I1195,"5")</f>
        <v>K5</v>
      </c>
      <c r="B1206" s="255" t="str">
        <f>IF(VLOOKUP($A1206,Players!$A$2:$C$132,3)&lt;&gt;0,VLOOKUP($A1206,Players!$A$2:$C$132,3),"")</f>
        <v/>
      </c>
      <c r="C1206" s="255"/>
      <c r="D1206" s="255"/>
      <c r="E1206" s="255"/>
      <c r="F1206" s="255"/>
      <c r="G1206" s="254" t="str">
        <f>IF(VLOOKUP($D1195&amp;RIGHT($A1206,1),Players!$A$2:$D$132,3)&lt;&gt;0,VLOOKUP($D1195&amp;RIGHT($A1206,1),Players!$A$2:$D$132,3),"")</f>
        <v/>
      </c>
      <c r="H1206" s="254"/>
      <c r="I1206" s="254"/>
      <c r="J1206" s="210" t="str">
        <f>IF(VLOOKUP($D1195&amp;RIGHT($A1206,1),Players!$A$2:$D$132,3)&lt;&gt;0,"("&amp;VLOOKUP($D1195&amp;RIGHT($A1206,1),Players!$A$2:$D$132,4)&amp;")","")</f>
        <v/>
      </c>
    </row>
    <row r="1207" spans="1:10" ht="25.5" customHeight="1">
      <c r="A1207" s="50" t="str">
        <f>CONCATENATE($I1195,"6")</f>
        <v>K6</v>
      </c>
      <c r="B1207" s="255" t="str">
        <f>IF(VLOOKUP($A1207,Players!$A$2:$C$132,3)&lt;&gt;0,VLOOKUP($A1207,Players!$A$2:$C$132,3),"")</f>
        <v/>
      </c>
      <c r="C1207" s="255"/>
      <c r="D1207" s="255"/>
      <c r="E1207" s="255"/>
      <c r="F1207" s="255"/>
      <c r="G1207" s="254" t="str">
        <f>IF(VLOOKUP($D1195&amp;RIGHT($A1207,1),Players!$A$2:$D$132,3)&lt;&gt;0,VLOOKUP($D1195&amp;RIGHT($A1207,1),Players!$A$2:$D$132,3),"")</f>
        <v/>
      </c>
      <c r="H1207" s="254"/>
      <c r="I1207" s="254"/>
      <c r="J1207" s="210" t="str">
        <f>IF(VLOOKUP($D1195&amp;RIGHT($A1207,1),Players!$A$2:$D$132,3)&lt;&gt;0,"("&amp;VLOOKUP($D1195&amp;RIGHT($A1207,1),Players!$A$2:$D$132,4)&amp;")","")</f>
        <v/>
      </c>
    </row>
    <row r="1208" spans="1:10" ht="25.5" customHeight="1">
      <c r="A1208" s="50" t="str">
        <f>CONCATENATE($I1195,"7")</f>
        <v>K7</v>
      </c>
      <c r="B1208" s="255" t="str">
        <f>IF(VLOOKUP($A1208,Players!$A$2:$C$132,3)&lt;&gt;0,VLOOKUP($A1208,Players!$A$2:$C$132,3),"")</f>
        <v/>
      </c>
      <c r="C1208" s="255"/>
      <c r="D1208" s="255"/>
      <c r="E1208" s="255"/>
      <c r="F1208" s="255"/>
      <c r="G1208" s="254" t="str">
        <f>IF(VLOOKUP($D1195&amp;RIGHT($A1208,1),Players!$A$2:$D$132,3)&lt;&gt;0,VLOOKUP($D1195&amp;RIGHT($A1208,1),Players!$A$2:$D$132,3),"")</f>
        <v/>
      </c>
      <c r="H1208" s="254"/>
      <c r="I1208" s="254"/>
      <c r="J1208" s="210" t="str">
        <f>IF(VLOOKUP($D1195&amp;RIGHT($A1208,1),Players!$A$2:$D$132,3)&lt;&gt;0,"("&amp;VLOOKUP($D1195&amp;RIGHT($A1208,1),Players!$A$2:$D$132,4)&amp;")","")</f>
        <v/>
      </c>
    </row>
    <row r="1209" spans="1:10" ht="25.5" customHeight="1">
      <c r="A1209" s="50" t="str">
        <f>CONCATENATE($I1195,"8")</f>
        <v>K8</v>
      </c>
      <c r="B1209" s="255" t="str">
        <f>IF(VLOOKUP($A1209,Players!$A$2:$C$132,3)&lt;&gt;0,VLOOKUP($A1209,Players!$A$2:$C$132,3),"")</f>
        <v/>
      </c>
      <c r="C1209" s="255"/>
      <c r="D1209" s="255"/>
      <c r="E1209" s="255"/>
      <c r="F1209" s="255"/>
      <c r="G1209" s="254" t="str">
        <f>IF(VLOOKUP($D1195&amp;RIGHT($A1209,1),Players!$A$2:$D$132,3)&lt;&gt;0,VLOOKUP($D1195&amp;RIGHT($A1209,1),Players!$A$2:$D$132,3),"")</f>
        <v/>
      </c>
      <c r="H1209" s="254"/>
      <c r="I1209" s="254"/>
      <c r="J1209" s="210" t="str">
        <f>IF(VLOOKUP($D1195&amp;RIGHT($A1209,1),Players!$A$2:$D$132,3)&lt;&gt;0,"("&amp;VLOOKUP($D1195&amp;RIGHT($A1209,1),Players!$A$2:$D$132,4)&amp;")","")</f>
        <v/>
      </c>
    </row>
    <row r="1210" spans="1:10" ht="25.5" customHeight="1">
      <c r="A1210" s="50"/>
      <c r="B1210" s="26"/>
      <c r="C1210" s="26"/>
      <c r="D1210" s="26"/>
      <c r="E1210" s="26"/>
      <c r="F1210" s="27"/>
      <c r="G1210" s="43"/>
      <c r="H1210" s="43"/>
      <c r="I1210" s="43"/>
      <c r="J1210" s="43"/>
    </row>
    <row r="1211" spans="1:10">
      <c r="A1211" s="49" t="s">
        <v>1225</v>
      </c>
      <c r="B1211" s="46"/>
      <c r="C1211" s="46"/>
      <c r="D1211" s="46"/>
      <c r="E1211" s="46"/>
      <c r="F1211" s="46"/>
      <c r="G1211" s="43"/>
      <c r="H1211" s="43"/>
      <c r="I1211" s="43"/>
      <c r="J1211" s="43"/>
    </row>
    <row r="1212" spans="1:10">
      <c r="A1212" s="46" t="s">
        <v>1247</v>
      </c>
      <c r="B1212" s="46"/>
      <c r="C1212" s="46"/>
      <c r="D1212" s="46"/>
      <c r="E1212" s="46"/>
      <c r="F1212" s="46"/>
      <c r="G1212" s="43"/>
      <c r="H1212" s="43"/>
      <c r="I1212" s="43"/>
      <c r="J1212" s="43"/>
    </row>
    <row r="1213" spans="1:10">
      <c r="A1213" s="46" t="s">
        <v>1248</v>
      </c>
      <c r="B1213" s="46"/>
      <c r="C1213" s="46"/>
      <c r="D1213" s="46"/>
      <c r="E1213" s="46"/>
      <c r="F1213" s="46"/>
      <c r="G1213" s="43"/>
      <c r="H1213" s="43"/>
      <c r="I1213" s="43"/>
      <c r="J1213" s="43"/>
    </row>
    <row r="1214" spans="1:10" ht="13.5" thickBot="1">
      <c r="A1214" s="46"/>
      <c r="B1214" s="46"/>
      <c r="C1214" s="46"/>
      <c r="D1214" s="46"/>
      <c r="E1214" s="46"/>
      <c r="F1214" s="46"/>
      <c r="G1214" s="43"/>
      <c r="H1214" s="43"/>
      <c r="I1214" s="43"/>
      <c r="J1214" s="43"/>
    </row>
    <row r="1215" spans="1:10" ht="25.5" customHeight="1" thickBot="1">
      <c r="A1215" s="50"/>
      <c r="B1215" s="257"/>
      <c r="C1215" s="258"/>
      <c r="D1215" s="258"/>
      <c r="E1215" s="258"/>
      <c r="F1215" s="259"/>
      <c r="G1215" s="43"/>
      <c r="H1215" s="43"/>
      <c r="I1215" s="43"/>
      <c r="J1215" s="43"/>
    </row>
    <row r="1216" spans="1:10">
      <c r="A1216" s="43"/>
      <c r="B1216" s="43"/>
      <c r="C1216" s="43"/>
      <c r="D1216" s="43"/>
      <c r="E1216" s="43"/>
      <c r="F1216" s="43"/>
      <c r="G1216" s="43"/>
      <c r="H1216" s="43"/>
      <c r="I1216" s="43"/>
      <c r="J1216" s="43"/>
    </row>
    <row r="1217" spans="1:10">
      <c r="A1217" s="43"/>
      <c r="B1217" s="43"/>
      <c r="C1217" s="43"/>
      <c r="D1217" s="43"/>
      <c r="E1217" s="43"/>
      <c r="F1217" s="43"/>
      <c r="G1217" s="43"/>
      <c r="H1217" s="43"/>
      <c r="I1217" s="43"/>
      <c r="J1217" s="43"/>
    </row>
    <row r="1218" spans="1:10">
      <c r="A1218" s="43"/>
      <c r="B1218" s="43"/>
      <c r="C1218" s="43"/>
      <c r="D1218" s="43"/>
      <c r="E1218" s="43"/>
      <c r="F1218" s="43"/>
      <c r="G1218" s="43"/>
      <c r="H1218" s="43"/>
      <c r="I1218" s="43"/>
      <c r="J1218" s="43"/>
    </row>
    <row r="1219" spans="1:10">
      <c r="A1219" s="43"/>
      <c r="B1219" s="43"/>
      <c r="C1219" s="43"/>
      <c r="D1219" s="43"/>
      <c r="E1219" s="43"/>
      <c r="F1219" s="43"/>
      <c r="G1219" s="43"/>
      <c r="H1219" s="43"/>
      <c r="I1219" s="43"/>
      <c r="J1219" s="43"/>
    </row>
    <row r="1220" spans="1:10">
      <c r="A1220" s="43"/>
      <c r="B1220" s="43"/>
      <c r="C1220" s="43"/>
      <c r="D1220" s="43"/>
      <c r="E1220" s="43"/>
      <c r="F1220" s="43"/>
      <c r="G1220" s="43"/>
      <c r="H1220" s="43"/>
      <c r="I1220" s="43"/>
      <c r="J1220" s="43"/>
    </row>
    <row r="1221" spans="1:10" ht="25.5" customHeight="1">
      <c r="A1221" s="47"/>
      <c r="B1221" s="47"/>
      <c r="C1221" s="47"/>
      <c r="D1221" s="47"/>
      <c r="E1221" s="47"/>
      <c r="F1221" s="43"/>
      <c r="G1221" s="51"/>
      <c r="H1221" s="250" t="s">
        <v>1227</v>
      </c>
      <c r="I1221" s="251"/>
      <c r="J1221" s="43"/>
    </row>
    <row r="1222" spans="1:10">
      <c r="A1222" s="43" t="s">
        <v>1226</v>
      </c>
      <c r="B1222" s="43"/>
      <c r="C1222" s="43"/>
      <c r="D1222" s="43"/>
      <c r="E1222" s="43"/>
      <c r="F1222" s="43"/>
      <c r="G1222" s="43"/>
      <c r="H1222" s="43"/>
      <c r="I1222" s="43"/>
      <c r="J1222" s="43"/>
    </row>
    <row r="1223" spans="1:10">
      <c r="A1223" s="43"/>
      <c r="B1223" s="43"/>
      <c r="C1223" s="43"/>
      <c r="D1223" s="43"/>
      <c r="E1223" s="43"/>
      <c r="F1223" s="43"/>
      <c r="G1223" s="43"/>
      <c r="H1223" s="43"/>
      <c r="I1223" s="43"/>
      <c r="J1223" s="43"/>
    </row>
    <row r="1224" spans="1:10">
      <c r="A1224" s="43"/>
      <c r="B1224" s="43"/>
      <c r="C1224" s="43"/>
      <c r="D1224" s="43"/>
      <c r="E1224" s="256" t="str">
        <f>CONCATENATE("(",$D1195," vs ",$I1195,")")</f>
        <v>(J vs K)</v>
      </c>
      <c r="F1224" s="256"/>
      <c r="G1224" s="43"/>
      <c r="H1224" s="43"/>
      <c r="I1224" s="43"/>
      <c r="J1224" s="43"/>
    </row>
    <row r="1225" spans="1:10" ht="15.75">
      <c r="A1225" s="42" t="s">
        <v>1223</v>
      </c>
      <c r="B1225" s="43"/>
      <c r="C1225" s="43"/>
      <c r="D1225" s="43"/>
      <c r="E1225" s="43"/>
      <c r="F1225" s="43"/>
      <c r="G1225" s="43"/>
      <c r="H1225" s="43"/>
      <c r="I1225" s="43"/>
      <c r="J1225" s="96" t="s">
        <v>4255</v>
      </c>
    </row>
    <row r="1226" spans="1:10" ht="12.75" customHeight="1">
      <c r="A1226" s="42"/>
      <c r="B1226" s="43"/>
      <c r="C1226" s="43"/>
      <c r="D1226" s="43"/>
      <c r="E1226" s="43"/>
      <c r="F1226" s="43"/>
      <c r="G1226" s="43" t="str">
        <f ca="1">Team_Matches!$J$6</f>
        <v>[NCTTA Teams Template (v2.06).xlsx]</v>
      </c>
      <c r="H1226" s="43"/>
      <c r="I1226" s="43"/>
      <c r="J1226" s="160"/>
    </row>
    <row r="1227" spans="1:10" ht="12.75" customHeight="1">
      <c r="A1227" s="42"/>
      <c r="B1227" s="43"/>
      <c r="C1227" s="43"/>
      <c r="D1227" s="43"/>
      <c r="E1227" s="43"/>
      <c r="F1227" s="43"/>
      <c r="G1227" s="247" t="str">
        <f>Team_Matches!$J925</f>
        <v/>
      </c>
      <c r="H1227" s="247"/>
      <c r="I1227" s="161" t="str">
        <f>Team_Matches!$M925</f>
        <v/>
      </c>
      <c r="J1227" s="161"/>
    </row>
    <row r="1228" spans="1:10" ht="15.75">
      <c r="A1228" s="42"/>
      <c r="B1228" s="43"/>
      <c r="C1228" s="43"/>
      <c r="D1228" s="43"/>
      <c r="E1228" s="43"/>
      <c r="F1228" s="43"/>
      <c r="G1228" s="43"/>
      <c r="H1228" s="43"/>
      <c r="I1228" s="43"/>
      <c r="J1228" s="43"/>
    </row>
    <row r="1229" spans="1:10">
      <c r="A1229" s="43"/>
      <c r="B1229" s="43"/>
      <c r="C1229" s="9" t="s">
        <v>1228</v>
      </c>
      <c r="D1229" s="52" t="str">
        <f>Team_Matches!$B927</f>
        <v>A</v>
      </c>
      <c r="E1229" s="43"/>
      <c r="F1229" s="97" t="str">
        <f>CONCATENATE($D1229,"-",$I1229)</f>
        <v>A-E</v>
      </c>
      <c r="G1229" s="43"/>
      <c r="H1229" s="9" t="s">
        <v>1228</v>
      </c>
      <c r="I1229" s="52" t="str">
        <f>Team_Matches!$K927</f>
        <v>E</v>
      </c>
      <c r="J1229" s="43"/>
    </row>
    <row r="1230" spans="1:10" ht="25.5" customHeight="1">
      <c r="A1230" s="44"/>
      <c r="B1230" s="248" t="str">
        <f>IF(VLOOKUP($D1229,Draw!$A$4:$B$27,2)&lt;&gt;0,VLOOKUP($D1229,Draw!$A$4:$B$27,2),"")</f>
        <v/>
      </c>
      <c r="C1230" s="248"/>
      <c r="D1230" s="248"/>
      <c r="E1230" s="249"/>
      <c r="F1230" s="45"/>
      <c r="G1230" s="252" t="str">
        <f>IF(VLOOKUP($I1229,Draw!$A$4:$B$27,2)&lt;&gt;0,VLOOKUP($I1229,Draw!$A$4:$B$27,2),"")</f>
        <v/>
      </c>
      <c r="H1230" s="252"/>
      <c r="I1230" s="252"/>
      <c r="J1230" s="253"/>
    </row>
    <row r="1231" spans="1:10" ht="25.5" customHeight="1"/>
    <row r="1232" spans="1:10" ht="25.5" customHeight="1"/>
    <row r="1233" spans="1:10" ht="24" customHeight="1">
      <c r="A1233" s="48" t="s">
        <v>1246</v>
      </c>
      <c r="B1233" s="43"/>
      <c r="C1233" s="43"/>
      <c r="D1233" s="43"/>
      <c r="E1233" s="43"/>
      <c r="F1233" s="43"/>
      <c r="G1233" s="43"/>
      <c r="H1233" s="43"/>
      <c r="I1233" s="43"/>
      <c r="J1233" s="43"/>
    </row>
    <row r="1234" spans="1:10" ht="24" customHeight="1">
      <c r="A1234" s="48"/>
      <c r="B1234" s="43"/>
      <c r="C1234" s="43"/>
      <c r="D1234" s="43"/>
      <c r="E1234" s="43"/>
      <c r="F1234" s="43"/>
      <c r="G1234" s="43"/>
      <c r="H1234" s="43"/>
      <c r="I1234" s="43"/>
      <c r="J1234" s="43"/>
    </row>
    <row r="1235" spans="1:10">
      <c r="A1235" s="49" t="s">
        <v>1224</v>
      </c>
      <c r="B1235" s="46"/>
      <c r="C1235" s="46"/>
      <c r="D1235" s="46"/>
      <c r="E1235" s="46"/>
      <c r="F1235" s="46"/>
      <c r="G1235" s="260" t="s">
        <v>10336</v>
      </c>
      <c r="H1235" s="260"/>
      <c r="I1235" s="260"/>
      <c r="J1235" s="260"/>
    </row>
    <row r="1236" spans="1:10" ht="24" customHeight="1">
      <c r="A1236" s="50" t="str">
        <f>CONCATENATE($D1229,"1")</f>
        <v>A1</v>
      </c>
      <c r="B1236" s="255" t="str">
        <f>IF(VLOOKUP($A1236,Players!$A$2:$C$132,3)&lt;&gt;0,VLOOKUP($A1236,Players!$A$2:$C$132,3),"")</f>
        <v/>
      </c>
      <c r="C1236" s="255"/>
      <c r="D1236" s="255"/>
      <c r="E1236" s="255"/>
      <c r="F1236" s="255"/>
      <c r="G1236" s="254" t="str">
        <f>IF(VLOOKUP($I1229&amp;RIGHT($A1236,1),Players!$A$2:$D$132,3)&lt;&gt;0,VLOOKUP($I1229&amp;RIGHT($A1236,1),Players!$A$2:$D$132,3),"")</f>
        <v/>
      </c>
      <c r="H1236" s="254"/>
      <c r="I1236" s="254"/>
      <c r="J1236" s="210" t="str">
        <f>IF(VLOOKUP($I1229&amp;RIGHT($A1236,1),Players!$A$2:$D$132,3)&lt;&gt;0,"("&amp;VLOOKUP($I1229&amp;RIGHT($A1236,1),Players!$A$2:$D$132,4)&amp;")","")</f>
        <v/>
      </c>
    </row>
    <row r="1237" spans="1:10" ht="25.5" customHeight="1">
      <c r="A1237" s="50" t="str">
        <f>CONCATENATE($D1229,"2")</f>
        <v>A2</v>
      </c>
      <c r="B1237" s="255" t="str">
        <f>IF(VLOOKUP($A1237,Players!$A$2:$C$132,3)&lt;&gt;0,VLOOKUP($A1237,Players!$A$2:$C$132,3),"")</f>
        <v/>
      </c>
      <c r="C1237" s="255"/>
      <c r="D1237" s="255"/>
      <c r="E1237" s="255"/>
      <c r="F1237" s="255"/>
      <c r="G1237" s="254" t="str">
        <f>IF(VLOOKUP($I1229&amp;RIGHT($A1237,1),Players!$A$2:$D$132,3)&lt;&gt;0,VLOOKUP($I1229&amp;RIGHT($A1237,1),Players!$A$2:$D$132,3),"")</f>
        <v/>
      </c>
      <c r="H1237" s="254"/>
      <c r="I1237" s="254"/>
      <c r="J1237" s="210" t="str">
        <f>IF(VLOOKUP($I1229&amp;RIGHT($A1237,1),Players!$A$2:$D$132,3)&lt;&gt;0,"("&amp;VLOOKUP($I1229&amp;RIGHT($A1237,1),Players!$A$2:$D$132,4)&amp;")","")</f>
        <v/>
      </c>
    </row>
    <row r="1238" spans="1:10" ht="25.5" customHeight="1">
      <c r="A1238" s="50" t="str">
        <f>CONCATENATE($D1229,"3")</f>
        <v>A3</v>
      </c>
      <c r="B1238" s="255" t="str">
        <f>IF(VLOOKUP($A1238,Players!$A$2:$C$132,3)&lt;&gt;0,VLOOKUP($A1238,Players!$A$2:$C$132,3),"")</f>
        <v/>
      </c>
      <c r="C1238" s="255"/>
      <c r="D1238" s="255"/>
      <c r="E1238" s="255"/>
      <c r="F1238" s="255"/>
      <c r="G1238" s="254" t="str">
        <f>IF(VLOOKUP($I1229&amp;RIGHT($A1238,1),Players!$A$2:$D$132,3)&lt;&gt;0,VLOOKUP($I1229&amp;RIGHT($A1238,1),Players!$A$2:$D$132,3),"")</f>
        <v/>
      </c>
      <c r="H1238" s="254"/>
      <c r="I1238" s="254"/>
      <c r="J1238" s="210" t="str">
        <f>IF(VLOOKUP($I1229&amp;RIGHT($A1238,1),Players!$A$2:$D$132,3)&lt;&gt;0,"("&amp;VLOOKUP($I1229&amp;RIGHT($A1238,1),Players!$A$2:$D$132,4)&amp;")","")</f>
        <v/>
      </c>
    </row>
    <row r="1239" spans="1:10" ht="25.5" customHeight="1">
      <c r="A1239" s="50" t="str">
        <f>CONCATENATE($D1229,"4")</f>
        <v>A4</v>
      </c>
      <c r="B1239" s="255" t="str">
        <f>IF(VLOOKUP($A1239,Players!$A$2:$C$132,3)&lt;&gt;0,VLOOKUP($A1239,Players!$A$2:$C$132,3),"")</f>
        <v/>
      </c>
      <c r="C1239" s="255"/>
      <c r="D1239" s="255"/>
      <c r="E1239" s="255"/>
      <c r="F1239" s="255"/>
      <c r="G1239" s="254" t="str">
        <f>IF(VLOOKUP($I1229&amp;RIGHT($A1239,1),Players!$A$2:$D$132,3)&lt;&gt;0,VLOOKUP($I1229&amp;RIGHT($A1239,1),Players!$A$2:$D$132,3),"")</f>
        <v/>
      </c>
      <c r="H1239" s="254"/>
      <c r="I1239" s="254"/>
      <c r="J1239" s="210" t="str">
        <f>IF(VLOOKUP($I1229&amp;RIGHT($A1239,1),Players!$A$2:$D$132,3)&lt;&gt;0,"("&amp;VLOOKUP($I1229&amp;RIGHT($A1239,1),Players!$A$2:$D$132,4)&amp;")","")</f>
        <v/>
      </c>
    </row>
    <row r="1240" spans="1:10" ht="25.5" customHeight="1">
      <c r="A1240" s="50" t="str">
        <f>CONCATENATE($D1229,"5")</f>
        <v>A5</v>
      </c>
      <c r="B1240" s="255" t="str">
        <f>IF(VLOOKUP($A1240,Players!$A$2:$C$132,3)&lt;&gt;0,VLOOKUP($A1240,Players!$A$2:$C$132,3),"")</f>
        <v/>
      </c>
      <c r="C1240" s="255"/>
      <c r="D1240" s="255"/>
      <c r="E1240" s="255"/>
      <c r="F1240" s="255"/>
      <c r="G1240" s="254" t="str">
        <f>IF(VLOOKUP($I1229&amp;RIGHT($A1240,1),Players!$A$2:$D$132,3)&lt;&gt;0,VLOOKUP($I1229&amp;RIGHT($A1240,1),Players!$A$2:$D$132,3),"")</f>
        <v/>
      </c>
      <c r="H1240" s="254"/>
      <c r="I1240" s="254"/>
      <c r="J1240" s="210" t="str">
        <f>IF(VLOOKUP($I1229&amp;RIGHT($A1240,1),Players!$A$2:$D$132,3)&lt;&gt;0,"("&amp;VLOOKUP($I1229&amp;RIGHT($A1240,1),Players!$A$2:$D$132,4)&amp;")","")</f>
        <v/>
      </c>
    </row>
    <row r="1241" spans="1:10" ht="25.5" customHeight="1">
      <c r="A1241" s="50" t="str">
        <f>CONCATENATE($D1229,"6")</f>
        <v>A6</v>
      </c>
      <c r="B1241" s="255" t="str">
        <f>IF(VLOOKUP($A1241,Players!$A$2:$C$132,3)&lt;&gt;0,VLOOKUP($A1241,Players!$A$2:$C$132,3),"")</f>
        <v/>
      </c>
      <c r="C1241" s="255"/>
      <c r="D1241" s="255"/>
      <c r="E1241" s="255"/>
      <c r="F1241" s="255"/>
      <c r="G1241" s="254" t="str">
        <f>IF(VLOOKUP($I1229&amp;RIGHT($A1241,1),Players!$A$2:$D$132,3)&lt;&gt;0,VLOOKUP($I1229&amp;RIGHT($A1241,1),Players!$A$2:$D$132,3),"")</f>
        <v/>
      </c>
      <c r="H1241" s="254"/>
      <c r="I1241" s="254"/>
      <c r="J1241" s="210" t="str">
        <f>IF(VLOOKUP($I1229&amp;RIGHT($A1241,1),Players!$A$2:$D$132,3)&lt;&gt;0,"("&amp;VLOOKUP($I1229&amp;RIGHT($A1241,1),Players!$A$2:$D$132,4)&amp;")","")</f>
        <v/>
      </c>
    </row>
    <row r="1242" spans="1:10" ht="25.5" customHeight="1">
      <c r="A1242" s="50" t="str">
        <f>CONCATENATE($D1229,"7")</f>
        <v>A7</v>
      </c>
      <c r="B1242" s="255" t="str">
        <f>IF(VLOOKUP($A1242,Players!$A$2:$C$132,3)&lt;&gt;0,VLOOKUP($A1242,Players!$A$2:$C$132,3),"")</f>
        <v/>
      </c>
      <c r="C1242" s="255"/>
      <c r="D1242" s="255"/>
      <c r="E1242" s="255"/>
      <c r="F1242" s="255"/>
      <c r="G1242" s="254" t="str">
        <f>IF(VLOOKUP($I1229&amp;RIGHT($A1242,1),Players!$A$2:$D$132,3)&lt;&gt;0,VLOOKUP($I1229&amp;RIGHT($A1242,1),Players!$A$2:$D$132,3),"")</f>
        <v/>
      </c>
      <c r="H1242" s="254"/>
      <c r="I1242" s="254"/>
      <c r="J1242" s="210" t="str">
        <f>IF(VLOOKUP($I1229&amp;RIGHT($A1242,1),Players!$A$2:$D$132,3)&lt;&gt;0,"("&amp;VLOOKUP($I1229&amp;RIGHT($A1242,1),Players!$A$2:$D$132,4)&amp;")","")</f>
        <v/>
      </c>
    </row>
    <row r="1243" spans="1:10" ht="25.5" customHeight="1">
      <c r="A1243" s="50" t="str">
        <f>CONCATENATE($D1229,"8")</f>
        <v>A8</v>
      </c>
      <c r="B1243" s="255" t="str">
        <f>IF(VLOOKUP($A1243,Players!$A$2:$C$132,3)&lt;&gt;0,VLOOKUP($A1243,Players!$A$2:$C$132,3),"")</f>
        <v/>
      </c>
      <c r="C1243" s="255"/>
      <c r="D1243" s="255"/>
      <c r="E1243" s="255"/>
      <c r="F1243" s="255"/>
      <c r="G1243" s="254" t="str">
        <f>IF(VLOOKUP($I1229&amp;RIGHT($A1243,1),Players!$A$2:$D$132,3)&lt;&gt;0,VLOOKUP($I1229&amp;RIGHT($A1243,1),Players!$A$2:$D$132,3),"")</f>
        <v/>
      </c>
      <c r="H1243" s="254"/>
      <c r="I1243" s="254"/>
      <c r="J1243" s="210" t="str">
        <f>IF(VLOOKUP($I1229&amp;RIGHT($A1243,1),Players!$A$2:$D$132,3)&lt;&gt;0,"("&amp;VLOOKUP($I1229&amp;RIGHT($A1243,1),Players!$A$2:$D$132,4)&amp;")","")</f>
        <v/>
      </c>
    </row>
    <row r="1244" spans="1:10" ht="25.5" customHeight="1">
      <c r="A1244" s="50"/>
      <c r="B1244" s="26"/>
      <c r="C1244" s="26"/>
      <c r="D1244" s="26"/>
      <c r="E1244" s="26"/>
      <c r="F1244" s="27"/>
      <c r="G1244" s="43"/>
      <c r="H1244" s="43"/>
      <c r="I1244" s="43"/>
      <c r="J1244" s="43"/>
    </row>
    <row r="1245" spans="1:10">
      <c r="A1245" s="49" t="s">
        <v>1225</v>
      </c>
      <c r="B1245" s="46"/>
      <c r="C1245" s="46"/>
      <c r="D1245" s="46"/>
      <c r="E1245" s="46"/>
      <c r="F1245" s="46"/>
      <c r="G1245" s="43"/>
      <c r="H1245" s="43"/>
      <c r="I1245" s="43"/>
      <c r="J1245" s="43"/>
    </row>
    <row r="1246" spans="1:10">
      <c r="A1246" s="46" t="s">
        <v>1247</v>
      </c>
      <c r="B1246" s="46"/>
      <c r="C1246" s="46"/>
      <c r="D1246" s="46"/>
      <c r="E1246" s="46"/>
      <c r="F1246" s="46"/>
      <c r="G1246" s="43"/>
      <c r="H1246" s="43"/>
      <c r="I1246" s="43"/>
      <c r="J1246" s="43"/>
    </row>
    <row r="1247" spans="1:10">
      <c r="A1247" s="46" t="s">
        <v>1248</v>
      </c>
      <c r="B1247" s="46"/>
      <c r="C1247" s="46"/>
      <c r="D1247" s="46"/>
      <c r="E1247" s="46"/>
      <c r="F1247" s="46"/>
      <c r="G1247" s="43"/>
      <c r="H1247" s="43"/>
      <c r="I1247" s="43"/>
      <c r="J1247" s="43"/>
    </row>
    <row r="1248" spans="1:10" ht="13.5" thickBot="1">
      <c r="A1248" s="46"/>
      <c r="B1248" s="46"/>
      <c r="C1248" s="46"/>
      <c r="D1248" s="46"/>
      <c r="E1248" s="46"/>
      <c r="F1248" s="46"/>
      <c r="G1248" s="43"/>
      <c r="H1248" s="43"/>
      <c r="I1248" s="43"/>
      <c r="J1248" s="43"/>
    </row>
    <row r="1249" spans="1:10" ht="25.5" customHeight="1" thickBot="1">
      <c r="A1249" s="50"/>
      <c r="B1249" s="257"/>
      <c r="C1249" s="258"/>
      <c r="D1249" s="258"/>
      <c r="E1249" s="258"/>
      <c r="F1249" s="259"/>
      <c r="G1249" s="43"/>
      <c r="H1249" s="43"/>
      <c r="I1249" s="43"/>
      <c r="J1249" s="43"/>
    </row>
    <row r="1250" spans="1:10">
      <c r="A1250" s="43"/>
      <c r="B1250" s="43"/>
      <c r="C1250" s="43"/>
      <c r="D1250" s="43"/>
      <c r="E1250" s="43"/>
      <c r="F1250" s="43"/>
      <c r="G1250" s="43"/>
      <c r="H1250" s="43"/>
      <c r="I1250" s="43"/>
      <c r="J1250" s="43"/>
    </row>
    <row r="1251" spans="1:10">
      <c r="A1251" s="43"/>
      <c r="B1251" s="43"/>
      <c r="C1251" s="43"/>
      <c r="D1251" s="43"/>
      <c r="E1251" s="43"/>
      <c r="F1251" s="43"/>
      <c r="G1251" s="43"/>
      <c r="H1251" s="43"/>
      <c r="I1251" s="43"/>
      <c r="J1251" s="43"/>
    </row>
    <row r="1252" spans="1:10">
      <c r="A1252" s="43"/>
      <c r="B1252" s="43"/>
      <c r="C1252" s="43"/>
      <c r="D1252" s="43"/>
      <c r="E1252" s="43"/>
      <c r="F1252" s="43"/>
      <c r="G1252" s="43"/>
      <c r="H1252" s="43"/>
      <c r="I1252" s="43"/>
      <c r="J1252" s="43"/>
    </row>
    <row r="1253" spans="1:10">
      <c r="A1253" s="43"/>
      <c r="B1253" s="43"/>
      <c r="C1253" s="43"/>
      <c r="D1253" s="43"/>
      <c r="E1253" s="43"/>
      <c r="F1253" s="43"/>
      <c r="G1253" s="43"/>
      <c r="H1253" s="43"/>
      <c r="I1253" s="43"/>
      <c r="J1253" s="43"/>
    </row>
    <row r="1254" spans="1:10">
      <c r="A1254" s="43"/>
      <c r="B1254" s="43"/>
      <c r="C1254" s="43"/>
      <c r="D1254" s="43"/>
      <c r="E1254" s="43"/>
      <c r="F1254" s="43"/>
      <c r="G1254" s="43"/>
      <c r="H1254" s="43"/>
      <c r="I1254" s="43"/>
      <c r="J1254" s="43"/>
    </row>
    <row r="1255" spans="1:10" ht="25.5" customHeight="1">
      <c r="A1255" s="47"/>
      <c r="B1255" s="47"/>
      <c r="C1255" s="47"/>
      <c r="D1255" s="47"/>
      <c r="E1255" s="47"/>
      <c r="F1255" s="43"/>
      <c r="G1255" s="51"/>
      <c r="H1255" s="250" t="s">
        <v>1227</v>
      </c>
      <c r="I1255" s="251"/>
      <c r="J1255" s="43"/>
    </row>
    <row r="1256" spans="1:10">
      <c r="A1256" s="43" t="s">
        <v>1226</v>
      </c>
      <c r="B1256" s="43"/>
      <c r="C1256" s="43"/>
      <c r="D1256" s="43"/>
      <c r="E1256" s="43"/>
      <c r="F1256" s="43"/>
      <c r="G1256" s="43"/>
      <c r="H1256" s="43"/>
      <c r="I1256" s="43"/>
      <c r="J1256" s="43"/>
    </row>
    <row r="1257" spans="1:10">
      <c r="A1257" s="43"/>
      <c r="B1257" s="43"/>
      <c r="C1257" s="43"/>
      <c r="D1257" s="43"/>
      <c r="E1257" s="43"/>
      <c r="F1257" s="43"/>
      <c r="G1257" s="43"/>
      <c r="H1257" s="43"/>
      <c r="I1257" s="43"/>
      <c r="J1257" s="43"/>
    </row>
    <row r="1258" spans="1:10">
      <c r="A1258" s="43"/>
      <c r="B1258" s="43"/>
      <c r="C1258" s="43"/>
      <c r="D1258" s="43"/>
      <c r="E1258" s="256" t="str">
        <f>CONCATENATE("(",$D1229," vs ",$I1229,")")</f>
        <v>(A vs E)</v>
      </c>
      <c r="F1258" s="256"/>
      <c r="G1258" s="43"/>
      <c r="H1258" s="43"/>
      <c r="I1258" s="43"/>
      <c r="J1258" s="43"/>
    </row>
    <row r="1259" spans="1:10" ht="15.75">
      <c r="A1259" s="42" t="s">
        <v>1223</v>
      </c>
      <c r="B1259" s="43"/>
      <c r="C1259" s="43"/>
      <c r="D1259" s="43"/>
      <c r="E1259" s="43"/>
      <c r="F1259" s="43"/>
      <c r="G1259" s="43"/>
      <c r="H1259" s="43"/>
      <c r="I1259" s="43"/>
      <c r="J1259" s="96" t="s">
        <v>4256</v>
      </c>
    </row>
    <row r="1260" spans="1:10" ht="12.75" customHeight="1">
      <c r="A1260" s="42"/>
      <c r="B1260" s="43"/>
      <c r="C1260" s="43"/>
      <c r="D1260" s="43"/>
      <c r="E1260" s="43"/>
      <c r="F1260" s="43"/>
      <c r="G1260" s="43" t="str">
        <f ca="1">Team_Matches!$J$6</f>
        <v>[NCTTA Teams Template (v2.06).xlsx]</v>
      </c>
      <c r="H1260" s="43"/>
      <c r="I1260" s="43"/>
      <c r="J1260" s="160"/>
    </row>
    <row r="1261" spans="1:10" ht="12.75" customHeight="1">
      <c r="A1261" s="42"/>
      <c r="B1261" s="43"/>
      <c r="C1261" s="43"/>
      <c r="D1261" s="43"/>
      <c r="E1261" s="43"/>
      <c r="F1261" s="43"/>
      <c r="G1261" s="247" t="str">
        <f>Team_Matches!$J925</f>
        <v/>
      </c>
      <c r="H1261" s="247"/>
      <c r="I1261" s="161" t="str">
        <f>Team_Matches!$M925</f>
        <v/>
      </c>
      <c r="J1261" s="161"/>
    </row>
    <row r="1262" spans="1:10" ht="15.75">
      <c r="A1262" s="42"/>
      <c r="B1262" s="43"/>
      <c r="C1262" s="43"/>
      <c r="D1262" s="43"/>
      <c r="E1262" s="43"/>
      <c r="F1262" s="43"/>
      <c r="G1262" s="43"/>
      <c r="H1262" s="43"/>
      <c r="I1262" s="43"/>
      <c r="J1262" s="43"/>
    </row>
    <row r="1263" spans="1:10">
      <c r="A1263" s="43"/>
      <c r="B1263" s="43"/>
      <c r="C1263" s="9" t="s">
        <v>1228</v>
      </c>
      <c r="D1263" s="52" t="str">
        <f>Team_Matches!$B927</f>
        <v>A</v>
      </c>
      <c r="E1263" s="43"/>
      <c r="F1263" s="97" t="str">
        <f>CONCATENATE($D1263,"-",$I1263)</f>
        <v>A-E</v>
      </c>
      <c r="G1263" s="43"/>
      <c r="H1263" s="9" t="s">
        <v>1228</v>
      </c>
      <c r="I1263" s="52" t="str">
        <f>Team_Matches!$K927</f>
        <v>E</v>
      </c>
      <c r="J1263" s="43"/>
    </row>
    <row r="1264" spans="1:10" ht="25.5" customHeight="1">
      <c r="A1264" s="44"/>
      <c r="B1264" s="252" t="str">
        <f>IF(VLOOKUP($D1263,Draw!$A$4:$B$27,2)&lt;&gt;0,VLOOKUP($D1263,Draw!$A$4:$B$27,2),"")</f>
        <v/>
      </c>
      <c r="C1264" s="252"/>
      <c r="D1264" s="252"/>
      <c r="E1264" s="253"/>
      <c r="F1264" s="45"/>
      <c r="G1264" s="248" t="str">
        <f>IF(VLOOKUP($I1263,Draw!$A$4:$B$27,2)&lt;&gt;0,VLOOKUP($I1263,Draw!$A$4:$B$27,2),"")</f>
        <v/>
      </c>
      <c r="H1264" s="248"/>
      <c r="I1264" s="248"/>
      <c r="J1264" s="249"/>
    </row>
    <row r="1265" spans="1:10" ht="25.5" customHeight="1"/>
    <row r="1266" spans="1:10" ht="25.5" customHeight="1"/>
    <row r="1267" spans="1:10" ht="24" customHeight="1">
      <c r="A1267" s="48" t="s">
        <v>1246</v>
      </c>
      <c r="B1267" s="43"/>
      <c r="C1267" s="43"/>
      <c r="D1267" s="43"/>
      <c r="E1267" s="43"/>
      <c r="F1267" s="43"/>
      <c r="G1267" s="43"/>
      <c r="H1267" s="43"/>
      <c r="I1267" s="43"/>
      <c r="J1267" s="43"/>
    </row>
    <row r="1268" spans="1:10" ht="24" customHeight="1">
      <c r="A1268" s="48"/>
      <c r="B1268" s="43"/>
      <c r="C1268" s="43"/>
      <c r="D1268" s="43"/>
      <c r="E1268" s="43"/>
      <c r="F1268" s="43"/>
      <c r="G1268" s="43"/>
      <c r="H1268" s="43"/>
      <c r="I1268" s="43"/>
      <c r="J1268" s="43"/>
    </row>
    <row r="1269" spans="1:10">
      <c r="A1269" s="49" t="s">
        <v>1224</v>
      </c>
      <c r="B1269" s="46"/>
      <c r="C1269" s="46"/>
      <c r="D1269" s="46"/>
      <c r="E1269" s="46"/>
      <c r="F1269" s="46"/>
      <c r="G1269" s="260" t="s">
        <v>10336</v>
      </c>
      <c r="H1269" s="260"/>
      <c r="I1269" s="260"/>
      <c r="J1269" s="260"/>
    </row>
    <row r="1270" spans="1:10" ht="24" customHeight="1">
      <c r="A1270" s="50" t="str">
        <f>CONCATENATE($I1263,"1")</f>
        <v>E1</v>
      </c>
      <c r="B1270" s="255" t="str">
        <f>IF(VLOOKUP($A1270,Players!$A$2:$C$132,3)&lt;&gt;0,VLOOKUP($A1270,Players!$A$2:$C$132,3),"")</f>
        <v/>
      </c>
      <c r="C1270" s="255"/>
      <c r="D1270" s="255"/>
      <c r="E1270" s="255"/>
      <c r="F1270" s="255"/>
      <c r="G1270" s="254" t="str">
        <f>IF(VLOOKUP($D1263&amp;RIGHT($A1270,1),Players!$A$2:$D$132,3)&lt;&gt;0,VLOOKUP($D1263&amp;RIGHT($A1270,1),Players!$A$2:$D$132,3),"")</f>
        <v/>
      </c>
      <c r="H1270" s="254"/>
      <c r="I1270" s="254"/>
      <c r="J1270" s="210" t="str">
        <f>IF(VLOOKUP($D1263&amp;RIGHT($A1270,1),Players!$A$2:$D$132,3)&lt;&gt;0,"("&amp;VLOOKUP($D1263&amp;RIGHT($A1270,1),Players!$A$2:$D$132,4)&amp;")","")</f>
        <v/>
      </c>
    </row>
    <row r="1271" spans="1:10" ht="25.5" customHeight="1">
      <c r="A1271" s="50" t="str">
        <f>CONCATENATE($I1263,"2")</f>
        <v>E2</v>
      </c>
      <c r="B1271" s="255" t="str">
        <f>IF(VLOOKUP($A1271,Players!$A$2:$C$132,3)&lt;&gt;0,VLOOKUP($A1271,Players!$A$2:$C$132,3),"")</f>
        <v/>
      </c>
      <c r="C1271" s="255"/>
      <c r="D1271" s="255"/>
      <c r="E1271" s="255"/>
      <c r="F1271" s="255"/>
      <c r="G1271" s="254" t="str">
        <f>IF(VLOOKUP($D1263&amp;RIGHT($A1271,1),Players!$A$2:$D$132,3)&lt;&gt;0,VLOOKUP($D1263&amp;RIGHT($A1271,1),Players!$A$2:$D$132,3),"")</f>
        <v/>
      </c>
      <c r="H1271" s="254"/>
      <c r="I1271" s="254"/>
      <c r="J1271" s="210" t="str">
        <f>IF(VLOOKUP($D1263&amp;RIGHT($A1271,1),Players!$A$2:$D$132,3)&lt;&gt;0,"("&amp;VLOOKUP($D1263&amp;RIGHT($A1271,1),Players!$A$2:$D$132,4)&amp;")","")</f>
        <v/>
      </c>
    </row>
    <row r="1272" spans="1:10" ht="25.5" customHeight="1">
      <c r="A1272" s="50" t="str">
        <f>CONCATENATE($I1263,"3")</f>
        <v>E3</v>
      </c>
      <c r="B1272" s="255" t="str">
        <f>IF(VLOOKUP($A1272,Players!$A$2:$C$132,3)&lt;&gt;0,VLOOKUP($A1272,Players!$A$2:$C$132,3),"")</f>
        <v/>
      </c>
      <c r="C1272" s="255"/>
      <c r="D1272" s="255"/>
      <c r="E1272" s="255"/>
      <c r="F1272" s="255"/>
      <c r="G1272" s="254" t="str">
        <f>IF(VLOOKUP($D1263&amp;RIGHT($A1272,1),Players!$A$2:$D$132,3)&lt;&gt;0,VLOOKUP($D1263&amp;RIGHT($A1272,1),Players!$A$2:$D$132,3),"")</f>
        <v/>
      </c>
      <c r="H1272" s="254"/>
      <c r="I1272" s="254"/>
      <c r="J1272" s="210" t="str">
        <f>IF(VLOOKUP($D1263&amp;RIGHT($A1272,1),Players!$A$2:$D$132,3)&lt;&gt;0,"("&amp;VLOOKUP($D1263&amp;RIGHT($A1272,1),Players!$A$2:$D$132,4)&amp;")","")</f>
        <v/>
      </c>
    </row>
    <row r="1273" spans="1:10" ht="25.5" customHeight="1">
      <c r="A1273" s="50" t="str">
        <f>CONCATENATE($I1263,"4")</f>
        <v>E4</v>
      </c>
      <c r="B1273" s="255" t="str">
        <f>IF(VLOOKUP($A1273,Players!$A$2:$C$132,3)&lt;&gt;0,VLOOKUP($A1273,Players!$A$2:$C$132,3),"")</f>
        <v/>
      </c>
      <c r="C1273" s="255"/>
      <c r="D1273" s="255"/>
      <c r="E1273" s="255"/>
      <c r="F1273" s="255"/>
      <c r="G1273" s="254" t="str">
        <f>IF(VLOOKUP($D1263&amp;RIGHT($A1273,1),Players!$A$2:$D$132,3)&lt;&gt;0,VLOOKUP($D1263&amp;RIGHT($A1273,1),Players!$A$2:$D$132,3),"")</f>
        <v/>
      </c>
      <c r="H1273" s="254"/>
      <c r="I1273" s="254"/>
      <c r="J1273" s="210" t="str">
        <f>IF(VLOOKUP($D1263&amp;RIGHT($A1273,1),Players!$A$2:$D$132,3)&lt;&gt;0,"("&amp;VLOOKUP($D1263&amp;RIGHT($A1273,1),Players!$A$2:$D$132,4)&amp;")","")</f>
        <v/>
      </c>
    </row>
    <row r="1274" spans="1:10" ht="25.5" customHeight="1">
      <c r="A1274" s="50" t="str">
        <f>CONCATENATE($I1263,"5")</f>
        <v>E5</v>
      </c>
      <c r="B1274" s="255" t="str">
        <f>IF(VLOOKUP($A1274,Players!$A$2:$C$132,3)&lt;&gt;0,VLOOKUP($A1274,Players!$A$2:$C$132,3),"")</f>
        <v/>
      </c>
      <c r="C1274" s="255"/>
      <c r="D1274" s="255"/>
      <c r="E1274" s="255"/>
      <c r="F1274" s="255"/>
      <c r="G1274" s="254" t="str">
        <f>IF(VLOOKUP($D1263&amp;RIGHT($A1274,1),Players!$A$2:$D$132,3)&lt;&gt;0,VLOOKUP($D1263&amp;RIGHT($A1274,1),Players!$A$2:$D$132,3),"")</f>
        <v/>
      </c>
      <c r="H1274" s="254"/>
      <c r="I1274" s="254"/>
      <c r="J1274" s="210" t="str">
        <f>IF(VLOOKUP($D1263&amp;RIGHT($A1274,1),Players!$A$2:$D$132,3)&lt;&gt;0,"("&amp;VLOOKUP($D1263&amp;RIGHT($A1274,1),Players!$A$2:$D$132,4)&amp;")","")</f>
        <v/>
      </c>
    </row>
    <row r="1275" spans="1:10" ht="25.5" customHeight="1">
      <c r="A1275" s="50" t="str">
        <f>CONCATENATE($I1263,"6")</f>
        <v>E6</v>
      </c>
      <c r="B1275" s="255" t="str">
        <f>IF(VLOOKUP($A1275,Players!$A$2:$C$132,3)&lt;&gt;0,VLOOKUP($A1275,Players!$A$2:$C$132,3),"")</f>
        <v/>
      </c>
      <c r="C1275" s="255"/>
      <c r="D1275" s="255"/>
      <c r="E1275" s="255"/>
      <c r="F1275" s="255"/>
      <c r="G1275" s="254" t="str">
        <f>IF(VLOOKUP($D1263&amp;RIGHT($A1275,1),Players!$A$2:$D$132,3)&lt;&gt;0,VLOOKUP($D1263&amp;RIGHT($A1275,1),Players!$A$2:$D$132,3),"")</f>
        <v/>
      </c>
      <c r="H1275" s="254"/>
      <c r="I1275" s="254"/>
      <c r="J1275" s="210" t="str">
        <f>IF(VLOOKUP($D1263&amp;RIGHT($A1275,1),Players!$A$2:$D$132,3)&lt;&gt;0,"("&amp;VLOOKUP($D1263&amp;RIGHT($A1275,1),Players!$A$2:$D$132,4)&amp;")","")</f>
        <v/>
      </c>
    </row>
    <row r="1276" spans="1:10" ht="25.5" customHeight="1">
      <c r="A1276" s="50" t="str">
        <f>CONCATENATE($I1263,"7")</f>
        <v>E7</v>
      </c>
      <c r="B1276" s="255" t="str">
        <f>IF(VLOOKUP($A1276,Players!$A$2:$C$132,3)&lt;&gt;0,VLOOKUP($A1276,Players!$A$2:$C$132,3),"")</f>
        <v/>
      </c>
      <c r="C1276" s="255"/>
      <c r="D1276" s="255"/>
      <c r="E1276" s="255"/>
      <c r="F1276" s="255"/>
      <c r="G1276" s="254" t="str">
        <f>IF(VLOOKUP($D1263&amp;RIGHT($A1276,1),Players!$A$2:$D$132,3)&lt;&gt;0,VLOOKUP($D1263&amp;RIGHT($A1276,1),Players!$A$2:$D$132,3),"")</f>
        <v/>
      </c>
      <c r="H1276" s="254"/>
      <c r="I1276" s="254"/>
      <c r="J1276" s="210" t="str">
        <f>IF(VLOOKUP($D1263&amp;RIGHT($A1276,1),Players!$A$2:$D$132,3)&lt;&gt;0,"("&amp;VLOOKUP($D1263&amp;RIGHT($A1276,1),Players!$A$2:$D$132,4)&amp;")","")</f>
        <v/>
      </c>
    </row>
    <row r="1277" spans="1:10" ht="25.5" customHeight="1">
      <c r="A1277" s="50" t="str">
        <f>CONCATENATE($I1263,"8")</f>
        <v>E8</v>
      </c>
      <c r="B1277" s="255" t="str">
        <f>IF(VLOOKUP($A1277,Players!$A$2:$C$132,3)&lt;&gt;0,VLOOKUP($A1277,Players!$A$2:$C$132,3),"")</f>
        <v/>
      </c>
      <c r="C1277" s="255"/>
      <c r="D1277" s="255"/>
      <c r="E1277" s="255"/>
      <c r="F1277" s="255"/>
      <c r="G1277" s="254" t="str">
        <f>IF(VLOOKUP($D1263&amp;RIGHT($A1277,1),Players!$A$2:$D$132,3)&lt;&gt;0,VLOOKUP($D1263&amp;RIGHT($A1277,1),Players!$A$2:$D$132,3),"")</f>
        <v/>
      </c>
      <c r="H1277" s="254"/>
      <c r="I1277" s="254"/>
      <c r="J1277" s="210" t="str">
        <f>IF(VLOOKUP($D1263&amp;RIGHT($A1277,1),Players!$A$2:$D$132,3)&lt;&gt;0,"("&amp;VLOOKUP($D1263&amp;RIGHT($A1277,1),Players!$A$2:$D$132,4)&amp;")","")</f>
        <v/>
      </c>
    </row>
    <row r="1278" spans="1:10" ht="25.5" customHeight="1">
      <c r="A1278" s="50"/>
      <c r="B1278" s="26"/>
      <c r="C1278" s="26"/>
      <c r="D1278" s="26"/>
      <c r="E1278" s="26"/>
      <c r="F1278" s="27"/>
      <c r="G1278" s="43"/>
      <c r="H1278" s="43"/>
      <c r="I1278" s="43"/>
      <c r="J1278" s="43"/>
    </row>
    <row r="1279" spans="1:10">
      <c r="A1279" s="49" t="s">
        <v>1225</v>
      </c>
      <c r="B1279" s="46"/>
      <c r="C1279" s="46"/>
      <c r="D1279" s="46"/>
      <c r="E1279" s="46"/>
      <c r="F1279" s="46"/>
      <c r="G1279" s="43"/>
      <c r="H1279" s="43"/>
      <c r="I1279" s="43"/>
      <c r="J1279" s="43"/>
    </row>
    <row r="1280" spans="1:10">
      <c r="A1280" s="46" t="s">
        <v>1247</v>
      </c>
      <c r="B1280" s="46"/>
      <c r="C1280" s="46"/>
      <c r="D1280" s="46"/>
      <c r="E1280" s="46"/>
      <c r="F1280" s="46"/>
      <c r="G1280" s="43"/>
      <c r="H1280" s="43"/>
      <c r="I1280" s="43"/>
      <c r="J1280" s="43"/>
    </row>
    <row r="1281" spans="1:10">
      <c r="A1281" s="46" t="s">
        <v>1248</v>
      </c>
      <c r="B1281" s="46"/>
      <c r="C1281" s="46"/>
      <c r="D1281" s="46"/>
      <c r="E1281" s="46"/>
      <c r="F1281" s="46"/>
      <c r="G1281" s="43"/>
      <c r="H1281" s="43"/>
      <c r="I1281" s="43"/>
      <c r="J1281" s="43"/>
    </row>
    <row r="1282" spans="1:10" ht="13.5" thickBot="1">
      <c r="A1282" s="46"/>
      <c r="B1282" s="46"/>
      <c r="C1282" s="46"/>
      <c r="D1282" s="46"/>
      <c r="E1282" s="46"/>
      <c r="F1282" s="46"/>
      <c r="G1282" s="43"/>
      <c r="H1282" s="43"/>
      <c r="I1282" s="43"/>
      <c r="J1282" s="43"/>
    </row>
    <row r="1283" spans="1:10" ht="25.5" customHeight="1" thickBot="1">
      <c r="A1283" s="50"/>
      <c r="B1283" s="257"/>
      <c r="C1283" s="258"/>
      <c r="D1283" s="258"/>
      <c r="E1283" s="258"/>
      <c r="F1283" s="259"/>
      <c r="G1283" s="43"/>
      <c r="H1283" s="43"/>
      <c r="I1283" s="43"/>
      <c r="J1283" s="43"/>
    </row>
    <row r="1284" spans="1:10">
      <c r="A1284" s="43"/>
      <c r="B1284" s="43"/>
      <c r="C1284" s="43"/>
      <c r="D1284" s="43"/>
      <c r="E1284" s="43"/>
      <c r="F1284" s="43"/>
      <c r="G1284" s="43"/>
      <c r="H1284" s="43"/>
      <c r="I1284" s="43"/>
      <c r="J1284" s="43"/>
    </row>
    <row r="1285" spans="1:10">
      <c r="A1285" s="43"/>
      <c r="B1285" s="43"/>
      <c r="C1285" s="43"/>
      <c r="D1285" s="43"/>
      <c r="E1285" s="43"/>
      <c r="F1285" s="43"/>
      <c r="G1285" s="43"/>
      <c r="H1285" s="43"/>
      <c r="I1285" s="43"/>
      <c r="J1285" s="43"/>
    </row>
    <row r="1286" spans="1:10">
      <c r="A1286" s="43"/>
      <c r="B1286" s="43"/>
      <c r="C1286" s="43"/>
      <c r="D1286" s="43"/>
      <c r="E1286" s="43"/>
      <c r="F1286" s="43"/>
      <c r="G1286" s="43"/>
      <c r="H1286" s="43"/>
      <c r="I1286" s="43"/>
      <c r="J1286" s="43"/>
    </row>
    <row r="1287" spans="1:10">
      <c r="A1287" s="43"/>
      <c r="B1287" s="43"/>
      <c r="C1287" s="43"/>
      <c r="D1287" s="43"/>
      <c r="E1287" s="43"/>
      <c r="F1287" s="43"/>
      <c r="G1287" s="43"/>
      <c r="H1287" s="43"/>
      <c r="I1287" s="43"/>
      <c r="J1287" s="43"/>
    </row>
    <row r="1288" spans="1:10">
      <c r="A1288" s="43"/>
      <c r="B1288" s="43"/>
      <c r="C1288" s="43"/>
      <c r="D1288" s="43"/>
      <c r="E1288" s="43"/>
      <c r="F1288" s="43"/>
      <c r="G1288" s="43"/>
      <c r="H1288" s="43"/>
      <c r="I1288" s="43"/>
      <c r="J1288" s="43"/>
    </row>
    <row r="1289" spans="1:10" ht="25.5" customHeight="1">
      <c r="A1289" s="47"/>
      <c r="B1289" s="47"/>
      <c r="C1289" s="47"/>
      <c r="D1289" s="47"/>
      <c r="E1289" s="47"/>
      <c r="F1289" s="43"/>
      <c r="G1289" s="51"/>
      <c r="H1289" s="250" t="s">
        <v>1227</v>
      </c>
      <c r="I1289" s="251"/>
      <c r="J1289" s="43"/>
    </row>
    <row r="1290" spans="1:10">
      <c r="A1290" s="43" t="s">
        <v>1226</v>
      </c>
      <c r="B1290" s="43"/>
      <c r="C1290" s="43"/>
      <c r="D1290" s="43"/>
      <c r="E1290" s="43"/>
      <c r="F1290" s="43"/>
      <c r="G1290" s="43"/>
      <c r="H1290" s="43"/>
      <c r="I1290" s="43"/>
      <c r="J1290" s="43"/>
    </row>
    <row r="1291" spans="1:10">
      <c r="A1291" s="43"/>
      <c r="B1291" s="43"/>
      <c r="C1291" s="43"/>
      <c r="D1291" s="43"/>
      <c r="E1291" s="43"/>
      <c r="F1291" s="43"/>
      <c r="G1291" s="43"/>
      <c r="H1291" s="43"/>
      <c r="I1291" s="43"/>
      <c r="J1291" s="43"/>
    </row>
    <row r="1292" spans="1:10">
      <c r="A1292" s="43"/>
      <c r="B1292" s="43"/>
      <c r="C1292" s="43"/>
      <c r="D1292" s="43"/>
      <c r="E1292" s="256" t="str">
        <f>CONCATENATE("(",$D1263," vs ",$I1263,")")</f>
        <v>(A vs E)</v>
      </c>
      <c r="F1292" s="256"/>
      <c r="G1292" s="43"/>
      <c r="H1292" s="43"/>
      <c r="I1292" s="43"/>
      <c r="J1292" s="43"/>
    </row>
    <row r="1293" spans="1:10" ht="15.75">
      <c r="A1293" s="42" t="s">
        <v>1223</v>
      </c>
      <c r="B1293" s="43"/>
      <c r="C1293" s="43"/>
      <c r="D1293" s="43"/>
      <c r="E1293" s="43"/>
      <c r="F1293" s="43"/>
      <c r="G1293" s="43"/>
      <c r="H1293" s="43"/>
      <c r="I1293" s="43"/>
      <c r="J1293" s="96" t="s">
        <v>4257</v>
      </c>
    </row>
    <row r="1294" spans="1:10" ht="12.75" customHeight="1">
      <c r="A1294" s="42"/>
      <c r="B1294" s="43"/>
      <c r="C1294" s="43"/>
      <c r="D1294" s="43"/>
      <c r="E1294" s="43"/>
      <c r="F1294" s="43"/>
      <c r="G1294" s="43" t="str">
        <f ca="1">Team_Matches!$J$6</f>
        <v>[NCTTA Teams Template (v2.06).xlsx]</v>
      </c>
      <c r="H1294" s="43"/>
      <c r="I1294" s="43"/>
      <c r="J1294" s="160"/>
    </row>
    <row r="1295" spans="1:10" ht="12.75" customHeight="1">
      <c r="A1295" s="42"/>
      <c r="B1295" s="43"/>
      <c r="C1295" s="43"/>
      <c r="D1295" s="43"/>
      <c r="E1295" s="43"/>
      <c r="F1295" s="43"/>
      <c r="G1295" s="247" t="str">
        <f>Team_Matches!$J976</f>
        <v/>
      </c>
      <c r="H1295" s="247"/>
      <c r="I1295" s="161" t="str">
        <f>Team_Matches!$M976</f>
        <v/>
      </c>
      <c r="J1295" s="161"/>
    </row>
    <row r="1296" spans="1:10" ht="15.75">
      <c r="A1296" s="42"/>
      <c r="B1296" s="43"/>
      <c r="C1296" s="43"/>
      <c r="D1296" s="43"/>
      <c r="E1296" s="43"/>
      <c r="F1296" s="43"/>
      <c r="G1296" s="43"/>
      <c r="H1296" s="43"/>
      <c r="I1296" s="43"/>
      <c r="J1296" s="43"/>
    </row>
    <row r="1297" spans="1:10">
      <c r="A1297" s="43"/>
      <c r="B1297" s="43"/>
      <c r="C1297" s="9" t="s">
        <v>1228</v>
      </c>
      <c r="D1297" s="52" t="str">
        <f>Team_Matches!$B978</f>
        <v>A</v>
      </c>
      <c r="E1297" s="43"/>
      <c r="F1297" s="97" t="str">
        <f>CONCATENATE($D1297,"-",$I1297)</f>
        <v>A-F</v>
      </c>
      <c r="G1297" s="43"/>
      <c r="H1297" s="9" t="s">
        <v>1228</v>
      </c>
      <c r="I1297" s="52" t="str">
        <f>Team_Matches!$K978</f>
        <v>F</v>
      </c>
      <c r="J1297" s="43"/>
    </row>
    <row r="1298" spans="1:10" ht="25.5" customHeight="1">
      <c r="A1298" s="44"/>
      <c r="B1298" s="248" t="str">
        <f>IF(VLOOKUP($D1297,Draw!$A$4:$B$27,2)&lt;&gt;0,VLOOKUP($D1297,Draw!$A$4:$B$27,2),"")</f>
        <v/>
      </c>
      <c r="C1298" s="248"/>
      <c r="D1298" s="248"/>
      <c r="E1298" s="249"/>
      <c r="F1298" s="45"/>
      <c r="G1298" s="252" t="str">
        <f>IF(VLOOKUP($I1297,Draw!$A$4:$B$27,2)&lt;&gt;0,VLOOKUP($I1297,Draw!$A$4:$B$27,2),"")</f>
        <v/>
      </c>
      <c r="H1298" s="252"/>
      <c r="I1298" s="252"/>
      <c r="J1298" s="253"/>
    </row>
    <row r="1299" spans="1:10" ht="25.5" customHeight="1"/>
    <row r="1300" spans="1:10" ht="25.5" customHeight="1"/>
    <row r="1301" spans="1:10" ht="24" customHeight="1">
      <c r="A1301" s="48" t="s">
        <v>1246</v>
      </c>
      <c r="B1301" s="43"/>
      <c r="C1301" s="43"/>
      <c r="D1301" s="43"/>
      <c r="E1301" s="43"/>
      <c r="F1301" s="43"/>
      <c r="G1301" s="43"/>
      <c r="H1301" s="43"/>
      <c r="I1301" s="43"/>
      <c r="J1301" s="43"/>
    </row>
    <row r="1302" spans="1:10" ht="24" customHeight="1">
      <c r="A1302" s="48"/>
      <c r="B1302" s="43"/>
      <c r="C1302" s="43"/>
      <c r="D1302" s="43"/>
      <c r="E1302" s="43"/>
      <c r="F1302" s="43"/>
      <c r="G1302" s="43"/>
      <c r="H1302" s="43"/>
      <c r="I1302" s="43"/>
      <c r="J1302" s="43"/>
    </row>
    <row r="1303" spans="1:10">
      <c r="A1303" s="49" t="s">
        <v>1224</v>
      </c>
      <c r="B1303" s="46"/>
      <c r="C1303" s="46"/>
      <c r="D1303" s="46"/>
      <c r="E1303" s="46"/>
      <c r="F1303" s="46"/>
      <c r="G1303" s="260" t="s">
        <v>10336</v>
      </c>
      <c r="H1303" s="260"/>
      <c r="I1303" s="260"/>
      <c r="J1303" s="260"/>
    </row>
    <row r="1304" spans="1:10" ht="24" customHeight="1">
      <c r="A1304" s="50" t="str">
        <f>CONCATENATE($D1297,"1")</f>
        <v>A1</v>
      </c>
      <c r="B1304" s="255" t="str">
        <f>IF(VLOOKUP($A1304,Players!$A$2:$C$132,3)&lt;&gt;0,VLOOKUP($A1304,Players!$A$2:$C$132,3),"")</f>
        <v/>
      </c>
      <c r="C1304" s="255"/>
      <c r="D1304" s="255"/>
      <c r="E1304" s="255"/>
      <c r="F1304" s="255"/>
      <c r="G1304" s="254" t="str">
        <f>IF(VLOOKUP($I1297&amp;RIGHT($A1304,1),Players!$A$2:$D$132,3)&lt;&gt;0,VLOOKUP($I1297&amp;RIGHT($A1304,1),Players!$A$2:$D$132,3),"")</f>
        <v/>
      </c>
      <c r="H1304" s="254"/>
      <c r="I1304" s="254"/>
      <c r="J1304" s="210" t="str">
        <f>IF(VLOOKUP($I1297&amp;RIGHT($A1304,1),Players!$A$2:$D$132,3)&lt;&gt;0,"("&amp;VLOOKUP($I1297&amp;RIGHT($A1304,1),Players!$A$2:$D$132,4)&amp;")","")</f>
        <v/>
      </c>
    </row>
    <row r="1305" spans="1:10" ht="25.5" customHeight="1">
      <c r="A1305" s="50" t="str">
        <f>CONCATENATE($D1297,"2")</f>
        <v>A2</v>
      </c>
      <c r="B1305" s="255" t="str">
        <f>IF(VLOOKUP($A1305,Players!$A$2:$C$132,3)&lt;&gt;0,VLOOKUP($A1305,Players!$A$2:$C$132,3),"")</f>
        <v/>
      </c>
      <c r="C1305" s="255"/>
      <c r="D1305" s="255"/>
      <c r="E1305" s="255"/>
      <c r="F1305" s="255"/>
      <c r="G1305" s="254" t="str">
        <f>IF(VLOOKUP($I1297&amp;RIGHT($A1305,1),Players!$A$2:$D$132,3)&lt;&gt;0,VLOOKUP($I1297&amp;RIGHT($A1305,1),Players!$A$2:$D$132,3),"")</f>
        <v/>
      </c>
      <c r="H1305" s="254"/>
      <c r="I1305" s="254"/>
      <c r="J1305" s="210" t="str">
        <f>IF(VLOOKUP($I1297&amp;RIGHT($A1305,1),Players!$A$2:$D$132,3)&lt;&gt;0,"("&amp;VLOOKUP($I1297&amp;RIGHT($A1305,1),Players!$A$2:$D$132,4)&amp;")","")</f>
        <v/>
      </c>
    </row>
    <row r="1306" spans="1:10" ht="25.5" customHeight="1">
      <c r="A1306" s="50" t="str">
        <f>CONCATENATE($D1297,"3")</f>
        <v>A3</v>
      </c>
      <c r="B1306" s="255" t="str">
        <f>IF(VLOOKUP($A1306,Players!$A$2:$C$132,3)&lt;&gt;0,VLOOKUP($A1306,Players!$A$2:$C$132,3),"")</f>
        <v/>
      </c>
      <c r="C1306" s="255"/>
      <c r="D1306" s="255"/>
      <c r="E1306" s="255"/>
      <c r="F1306" s="255"/>
      <c r="G1306" s="254" t="str">
        <f>IF(VLOOKUP($I1297&amp;RIGHT($A1306,1),Players!$A$2:$D$132,3)&lt;&gt;0,VLOOKUP($I1297&amp;RIGHT($A1306,1),Players!$A$2:$D$132,3),"")</f>
        <v/>
      </c>
      <c r="H1306" s="254"/>
      <c r="I1306" s="254"/>
      <c r="J1306" s="210" t="str">
        <f>IF(VLOOKUP($I1297&amp;RIGHT($A1306,1),Players!$A$2:$D$132,3)&lt;&gt;0,"("&amp;VLOOKUP($I1297&amp;RIGHT($A1306,1),Players!$A$2:$D$132,4)&amp;")","")</f>
        <v/>
      </c>
    </row>
    <row r="1307" spans="1:10" ht="25.5" customHeight="1">
      <c r="A1307" s="50" t="str">
        <f>CONCATENATE($D1297,"4")</f>
        <v>A4</v>
      </c>
      <c r="B1307" s="255" t="str">
        <f>IF(VLOOKUP($A1307,Players!$A$2:$C$132,3)&lt;&gt;0,VLOOKUP($A1307,Players!$A$2:$C$132,3),"")</f>
        <v/>
      </c>
      <c r="C1307" s="255"/>
      <c r="D1307" s="255"/>
      <c r="E1307" s="255"/>
      <c r="F1307" s="255"/>
      <c r="G1307" s="254" t="str">
        <f>IF(VLOOKUP($I1297&amp;RIGHT($A1307,1),Players!$A$2:$D$132,3)&lt;&gt;0,VLOOKUP($I1297&amp;RIGHT($A1307,1),Players!$A$2:$D$132,3),"")</f>
        <v/>
      </c>
      <c r="H1307" s="254"/>
      <c r="I1307" s="254"/>
      <c r="J1307" s="210" t="str">
        <f>IF(VLOOKUP($I1297&amp;RIGHT($A1307,1),Players!$A$2:$D$132,3)&lt;&gt;0,"("&amp;VLOOKUP($I1297&amp;RIGHT($A1307,1),Players!$A$2:$D$132,4)&amp;")","")</f>
        <v/>
      </c>
    </row>
    <row r="1308" spans="1:10" ht="25.5" customHeight="1">
      <c r="A1308" s="50" t="str">
        <f>CONCATENATE($D1297,"5")</f>
        <v>A5</v>
      </c>
      <c r="B1308" s="255" t="str">
        <f>IF(VLOOKUP($A1308,Players!$A$2:$C$132,3)&lt;&gt;0,VLOOKUP($A1308,Players!$A$2:$C$132,3),"")</f>
        <v/>
      </c>
      <c r="C1308" s="255"/>
      <c r="D1308" s="255"/>
      <c r="E1308" s="255"/>
      <c r="F1308" s="255"/>
      <c r="G1308" s="254" t="str">
        <f>IF(VLOOKUP($I1297&amp;RIGHT($A1308,1),Players!$A$2:$D$132,3)&lt;&gt;0,VLOOKUP($I1297&amp;RIGHT($A1308,1),Players!$A$2:$D$132,3),"")</f>
        <v/>
      </c>
      <c r="H1308" s="254"/>
      <c r="I1308" s="254"/>
      <c r="J1308" s="210" t="str">
        <f>IF(VLOOKUP($I1297&amp;RIGHT($A1308,1),Players!$A$2:$D$132,3)&lt;&gt;0,"("&amp;VLOOKUP($I1297&amp;RIGHT($A1308,1),Players!$A$2:$D$132,4)&amp;")","")</f>
        <v/>
      </c>
    </row>
    <row r="1309" spans="1:10" ht="25.5" customHeight="1">
      <c r="A1309" s="50" t="str">
        <f>CONCATENATE($D1297,"6")</f>
        <v>A6</v>
      </c>
      <c r="B1309" s="255" t="str">
        <f>IF(VLOOKUP($A1309,Players!$A$2:$C$132,3)&lt;&gt;0,VLOOKUP($A1309,Players!$A$2:$C$132,3),"")</f>
        <v/>
      </c>
      <c r="C1309" s="255"/>
      <c r="D1309" s="255"/>
      <c r="E1309" s="255"/>
      <c r="F1309" s="255"/>
      <c r="G1309" s="254" t="str">
        <f>IF(VLOOKUP($I1297&amp;RIGHT($A1309,1),Players!$A$2:$D$132,3)&lt;&gt;0,VLOOKUP($I1297&amp;RIGHT($A1309,1),Players!$A$2:$D$132,3),"")</f>
        <v/>
      </c>
      <c r="H1309" s="254"/>
      <c r="I1309" s="254"/>
      <c r="J1309" s="210" t="str">
        <f>IF(VLOOKUP($I1297&amp;RIGHT($A1309,1),Players!$A$2:$D$132,3)&lt;&gt;0,"("&amp;VLOOKUP($I1297&amp;RIGHT($A1309,1),Players!$A$2:$D$132,4)&amp;")","")</f>
        <v/>
      </c>
    </row>
    <row r="1310" spans="1:10" ht="25.5" customHeight="1">
      <c r="A1310" s="50" t="str">
        <f>CONCATENATE($D1297,"7")</f>
        <v>A7</v>
      </c>
      <c r="B1310" s="255" t="str">
        <f>IF(VLOOKUP($A1310,Players!$A$2:$C$132,3)&lt;&gt;0,VLOOKUP($A1310,Players!$A$2:$C$132,3),"")</f>
        <v/>
      </c>
      <c r="C1310" s="255"/>
      <c r="D1310" s="255"/>
      <c r="E1310" s="255"/>
      <c r="F1310" s="255"/>
      <c r="G1310" s="254" t="str">
        <f>IF(VLOOKUP($I1297&amp;RIGHT($A1310,1),Players!$A$2:$D$132,3)&lt;&gt;0,VLOOKUP($I1297&amp;RIGHT($A1310,1),Players!$A$2:$D$132,3),"")</f>
        <v/>
      </c>
      <c r="H1310" s="254"/>
      <c r="I1310" s="254"/>
      <c r="J1310" s="210" t="str">
        <f>IF(VLOOKUP($I1297&amp;RIGHT($A1310,1),Players!$A$2:$D$132,3)&lt;&gt;0,"("&amp;VLOOKUP($I1297&amp;RIGHT($A1310,1),Players!$A$2:$D$132,4)&amp;")","")</f>
        <v/>
      </c>
    </row>
    <row r="1311" spans="1:10" ht="25.5" customHeight="1">
      <c r="A1311" s="50" t="str">
        <f>CONCATENATE($D1297,"8")</f>
        <v>A8</v>
      </c>
      <c r="B1311" s="255" t="str">
        <f>IF(VLOOKUP($A1311,Players!$A$2:$C$132,3)&lt;&gt;0,VLOOKUP($A1311,Players!$A$2:$C$132,3),"")</f>
        <v/>
      </c>
      <c r="C1311" s="255"/>
      <c r="D1311" s="255"/>
      <c r="E1311" s="255"/>
      <c r="F1311" s="255"/>
      <c r="G1311" s="254" t="str">
        <f>IF(VLOOKUP($I1297&amp;RIGHT($A1311,1),Players!$A$2:$D$132,3)&lt;&gt;0,VLOOKUP($I1297&amp;RIGHT($A1311,1),Players!$A$2:$D$132,3),"")</f>
        <v/>
      </c>
      <c r="H1311" s="254"/>
      <c r="I1311" s="254"/>
      <c r="J1311" s="210" t="str">
        <f>IF(VLOOKUP($I1297&amp;RIGHT($A1311,1),Players!$A$2:$D$132,3)&lt;&gt;0,"("&amp;VLOOKUP($I1297&amp;RIGHT($A1311,1),Players!$A$2:$D$132,4)&amp;")","")</f>
        <v/>
      </c>
    </row>
    <row r="1312" spans="1:10" ht="25.5" customHeight="1">
      <c r="A1312" s="50"/>
      <c r="B1312" s="26"/>
      <c r="C1312" s="26"/>
      <c r="D1312" s="26"/>
      <c r="E1312" s="26"/>
      <c r="F1312" s="27"/>
      <c r="G1312" s="43"/>
      <c r="H1312" s="43"/>
      <c r="I1312" s="43"/>
      <c r="J1312" s="43"/>
    </row>
    <row r="1313" spans="1:10">
      <c r="A1313" s="49" t="s">
        <v>1225</v>
      </c>
      <c r="B1313" s="46"/>
      <c r="C1313" s="46"/>
      <c r="D1313" s="46"/>
      <c r="E1313" s="46"/>
      <c r="F1313" s="46"/>
      <c r="G1313" s="43"/>
      <c r="H1313" s="43"/>
      <c r="I1313" s="43"/>
      <c r="J1313" s="43"/>
    </row>
    <row r="1314" spans="1:10">
      <c r="A1314" s="46" t="s">
        <v>1247</v>
      </c>
      <c r="B1314" s="46"/>
      <c r="C1314" s="46"/>
      <c r="D1314" s="46"/>
      <c r="E1314" s="46"/>
      <c r="F1314" s="46"/>
      <c r="G1314" s="43"/>
      <c r="H1314" s="43"/>
      <c r="I1314" s="43"/>
      <c r="J1314" s="43"/>
    </row>
    <row r="1315" spans="1:10">
      <c r="A1315" s="46" t="s">
        <v>1248</v>
      </c>
      <c r="B1315" s="46"/>
      <c r="C1315" s="46"/>
      <c r="D1315" s="46"/>
      <c r="E1315" s="46"/>
      <c r="F1315" s="46"/>
      <c r="G1315" s="43"/>
      <c r="H1315" s="43"/>
      <c r="I1315" s="43"/>
      <c r="J1315" s="43"/>
    </row>
    <row r="1316" spans="1:10" ht="13.5" thickBot="1">
      <c r="A1316" s="46"/>
      <c r="B1316" s="46"/>
      <c r="C1316" s="46"/>
      <c r="D1316" s="46"/>
      <c r="E1316" s="46"/>
      <c r="F1316" s="46"/>
      <c r="G1316" s="43"/>
      <c r="H1316" s="43"/>
      <c r="I1316" s="43"/>
      <c r="J1316" s="43"/>
    </row>
    <row r="1317" spans="1:10" ht="25.5" customHeight="1" thickBot="1">
      <c r="A1317" s="50"/>
      <c r="B1317" s="257"/>
      <c r="C1317" s="258"/>
      <c r="D1317" s="258"/>
      <c r="E1317" s="258"/>
      <c r="F1317" s="259"/>
      <c r="G1317" s="43"/>
      <c r="H1317" s="43"/>
      <c r="I1317" s="43"/>
      <c r="J1317" s="43"/>
    </row>
    <row r="1318" spans="1:10">
      <c r="A1318" s="43"/>
      <c r="B1318" s="43"/>
      <c r="C1318" s="43"/>
      <c r="D1318" s="43"/>
      <c r="E1318" s="43"/>
      <c r="F1318" s="43"/>
      <c r="G1318" s="43"/>
      <c r="H1318" s="43"/>
      <c r="I1318" s="43"/>
      <c r="J1318" s="43"/>
    </row>
    <row r="1319" spans="1:10">
      <c r="A1319" s="43"/>
      <c r="B1319" s="43"/>
      <c r="C1319" s="43"/>
      <c r="D1319" s="43"/>
      <c r="E1319" s="43"/>
      <c r="F1319" s="43"/>
      <c r="G1319" s="43"/>
      <c r="H1319" s="43"/>
      <c r="I1319" s="43"/>
      <c r="J1319" s="43"/>
    </row>
    <row r="1320" spans="1:10">
      <c r="A1320" s="43"/>
      <c r="B1320" s="43"/>
      <c r="C1320" s="43"/>
      <c r="D1320" s="43"/>
      <c r="E1320" s="43"/>
      <c r="F1320" s="43"/>
      <c r="G1320" s="43"/>
      <c r="H1320" s="43"/>
      <c r="I1320" s="43"/>
      <c r="J1320" s="43"/>
    </row>
    <row r="1321" spans="1:10">
      <c r="A1321" s="43"/>
      <c r="B1321" s="43"/>
      <c r="C1321" s="43"/>
      <c r="D1321" s="43"/>
      <c r="E1321" s="43"/>
      <c r="F1321" s="43"/>
      <c r="G1321" s="43"/>
      <c r="H1321" s="43"/>
      <c r="I1321" s="43"/>
      <c r="J1321" s="43"/>
    </row>
    <row r="1322" spans="1:10">
      <c r="A1322" s="43"/>
      <c r="B1322" s="43"/>
      <c r="C1322" s="43"/>
      <c r="D1322" s="43"/>
      <c r="E1322" s="43"/>
      <c r="F1322" s="43"/>
      <c r="G1322" s="43"/>
      <c r="H1322" s="43"/>
      <c r="I1322" s="43"/>
      <c r="J1322" s="43"/>
    </row>
    <row r="1323" spans="1:10" ht="25.5" customHeight="1">
      <c r="A1323" s="47"/>
      <c r="B1323" s="47"/>
      <c r="C1323" s="47"/>
      <c r="D1323" s="47"/>
      <c r="E1323" s="47"/>
      <c r="F1323" s="43"/>
      <c r="G1323" s="51"/>
      <c r="H1323" s="250" t="s">
        <v>1227</v>
      </c>
      <c r="I1323" s="251"/>
      <c r="J1323" s="43"/>
    </row>
    <row r="1324" spans="1:10">
      <c r="A1324" s="43" t="s">
        <v>1226</v>
      </c>
      <c r="B1324" s="43"/>
      <c r="C1324" s="43"/>
      <c r="D1324" s="43"/>
      <c r="E1324" s="43"/>
      <c r="F1324" s="43"/>
      <c r="G1324" s="43"/>
      <c r="H1324" s="43"/>
      <c r="I1324" s="43"/>
      <c r="J1324" s="43"/>
    </row>
    <row r="1325" spans="1:10">
      <c r="A1325" s="43"/>
      <c r="B1325" s="43"/>
      <c r="C1325" s="43"/>
      <c r="D1325" s="43"/>
      <c r="E1325" s="43"/>
      <c r="F1325" s="43"/>
      <c r="G1325" s="43"/>
      <c r="H1325" s="43"/>
      <c r="I1325" s="43"/>
      <c r="J1325" s="43"/>
    </row>
    <row r="1326" spans="1:10">
      <c r="A1326" s="43"/>
      <c r="B1326" s="43"/>
      <c r="C1326" s="43"/>
      <c r="D1326" s="43"/>
      <c r="E1326" s="256" t="str">
        <f>CONCATENATE("(",$D1297," vs ",$I1297,")")</f>
        <v>(A vs F)</v>
      </c>
      <c r="F1326" s="256"/>
      <c r="G1326" s="43"/>
      <c r="H1326" s="43"/>
      <c r="I1326" s="43"/>
      <c r="J1326" s="43"/>
    </row>
    <row r="1327" spans="1:10" ht="15.75">
      <c r="A1327" s="42" t="s">
        <v>1223</v>
      </c>
      <c r="B1327" s="43"/>
      <c r="C1327" s="43"/>
      <c r="D1327" s="43"/>
      <c r="E1327" s="43"/>
      <c r="F1327" s="43"/>
      <c r="G1327" s="43"/>
      <c r="H1327" s="43"/>
      <c r="I1327" s="43"/>
      <c r="J1327" s="96" t="s">
        <v>4258</v>
      </c>
    </row>
    <row r="1328" spans="1:10" ht="12.75" customHeight="1">
      <c r="A1328" s="42"/>
      <c r="B1328" s="43"/>
      <c r="C1328" s="43"/>
      <c r="D1328" s="43"/>
      <c r="E1328" s="43"/>
      <c r="F1328" s="43"/>
      <c r="G1328" s="43" t="str">
        <f ca="1">Team_Matches!$J$6</f>
        <v>[NCTTA Teams Template (v2.06).xlsx]</v>
      </c>
      <c r="H1328" s="43"/>
      <c r="I1328" s="43"/>
      <c r="J1328" s="160"/>
    </row>
    <row r="1329" spans="1:10" ht="12.75" customHeight="1">
      <c r="A1329" s="42"/>
      <c r="B1329" s="43"/>
      <c r="C1329" s="43"/>
      <c r="D1329" s="43"/>
      <c r="E1329" s="43"/>
      <c r="F1329" s="43"/>
      <c r="G1329" s="247" t="str">
        <f>Team_Matches!$J976</f>
        <v/>
      </c>
      <c r="H1329" s="247"/>
      <c r="I1329" s="161" t="str">
        <f>Team_Matches!$M976</f>
        <v/>
      </c>
      <c r="J1329" s="161"/>
    </row>
    <row r="1330" spans="1:10" ht="15.75">
      <c r="A1330" s="42"/>
      <c r="B1330" s="43"/>
      <c r="C1330" s="43"/>
      <c r="D1330" s="43"/>
      <c r="E1330" s="43"/>
      <c r="F1330" s="43"/>
      <c r="G1330" s="43"/>
      <c r="H1330" s="43"/>
      <c r="I1330" s="43"/>
      <c r="J1330" s="43"/>
    </row>
    <row r="1331" spans="1:10">
      <c r="A1331" s="43"/>
      <c r="B1331" s="43"/>
      <c r="C1331" s="9" t="s">
        <v>1228</v>
      </c>
      <c r="D1331" s="52" t="str">
        <f>Team_Matches!$B978</f>
        <v>A</v>
      </c>
      <c r="E1331" s="43"/>
      <c r="F1331" s="97" t="str">
        <f>CONCATENATE($D1331,"-",$I1331)</f>
        <v>A-F</v>
      </c>
      <c r="G1331" s="43"/>
      <c r="H1331" s="9" t="s">
        <v>1228</v>
      </c>
      <c r="I1331" s="52" t="str">
        <f>Team_Matches!$K978</f>
        <v>F</v>
      </c>
      <c r="J1331" s="43"/>
    </row>
    <row r="1332" spans="1:10" ht="25.5" customHeight="1">
      <c r="A1332" s="44"/>
      <c r="B1332" s="252" t="str">
        <f>IF(VLOOKUP($D1331,Draw!$A$4:$B$27,2)&lt;&gt;0,VLOOKUP($D1331,Draw!$A$4:$B$27,2),"")</f>
        <v/>
      </c>
      <c r="C1332" s="252"/>
      <c r="D1332" s="252"/>
      <c r="E1332" s="253"/>
      <c r="F1332" s="45"/>
      <c r="G1332" s="248" t="str">
        <f>IF(VLOOKUP($I1331,Draw!$A$4:$B$27,2)&lt;&gt;0,VLOOKUP($I1331,Draw!$A$4:$B$27,2),"")</f>
        <v/>
      </c>
      <c r="H1332" s="248"/>
      <c r="I1332" s="248"/>
      <c r="J1332" s="249"/>
    </row>
    <row r="1333" spans="1:10" ht="25.5" customHeight="1"/>
    <row r="1334" spans="1:10" ht="25.5" customHeight="1"/>
    <row r="1335" spans="1:10" ht="24" customHeight="1">
      <c r="A1335" s="48" t="s">
        <v>1246</v>
      </c>
      <c r="B1335" s="43"/>
      <c r="C1335" s="43"/>
      <c r="D1335" s="43"/>
      <c r="E1335" s="43"/>
      <c r="F1335" s="43"/>
      <c r="G1335" s="43"/>
      <c r="H1335" s="43"/>
      <c r="I1335" s="43"/>
      <c r="J1335" s="43"/>
    </row>
    <row r="1336" spans="1:10" ht="24" customHeight="1">
      <c r="A1336" s="48"/>
      <c r="B1336" s="43"/>
      <c r="C1336" s="43"/>
      <c r="D1336" s="43"/>
      <c r="E1336" s="43"/>
      <c r="F1336" s="43"/>
      <c r="G1336" s="43"/>
      <c r="H1336" s="43"/>
      <c r="I1336" s="43"/>
      <c r="J1336" s="43"/>
    </row>
    <row r="1337" spans="1:10">
      <c r="A1337" s="49" t="s">
        <v>1224</v>
      </c>
      <c r="B1337" s="46"/>
      <c r="C1337" s="46"/>
      <c r="D1337" s="46"/>
      <c r="E1337" s="46"/>
      <c r="F1337" s="46"/>
      <c r="G1337" s="260" t="s">
        <v>10336</v>
      </c>
      <c r="H1337" s="260"/>
      <c r="I1337" s="260"/>
      <c r="J1337" s="260"/>
    </row>
    <row r="1338" spans="1:10" ht="24" customHeight="1">
      <c r="A1338" s="50" t="str">
        <f>CONCATENATE($I1331,"1")</f>
        <v>F1</v>
      </c>
      <c r="B1338" s="255" t="str">
        <f>IF(VLOOKUP($A1338,Players!$A$2:$C$132,3)&lt;&gt;0,VLOOKUP($A1338,Players!$A$2:$C$132,3),"")</f>
        <v/>
      </c>
      <c r="C1338" s="255"/>
      <c r="D1338" s="255"/>
      <c r="E1338" s="255"/>
      <c r="F1338" s="255"/>
      <c r="G1338" s="254" t="str">
        <f>IF(VLOOKUP($D1331&amp;RIGHT($A1338,1),Players!$A$2:$D$132,3)&lt;&gt;0,VLOOKUP($D1331&amp;RIGHT($A1338,1),Players!$A$2:$D$132,3),"")</f>
        <v/>
      </c>
      <c r="H1338" s="254"/>
      <c r="I1338" s="254"/>
      <c r="J1338" s="210" t="str">
        <f>IF(VLOOKUP($D1331&amp;RIGHT($A1338,1),Players!$A$2:$D$132,3)&lt;&gt;0,"("&amp;VLOOKUP($D1331&amp;RIGHT($A1338,1),Players!$A$2:$D$132,4)&amp;")","")</f>
        <v/>
      </c>
    </row>
    <row r="1339" spans="1:10" ht="25.5" customHeight="1">
      <c r="A1339" s="50" t="str">
        <f>CONCATENATE($I1331,"2")</f>
        <v>F2</v>
      </c>
      <c r="B1339" s="255" t="str">
        <f>IF(VLOOKUP($A1339,Players!$A$2:$C$132,3)&lt;&gt;0,VLOOKUP($A1339,Players!$A$2:$C$132,3),"")</f>
        <v/>
      </c>
      <c r="C1339" s="255"/>
      <c r="D1339" s="255"/>
      <c r="E1339" s="255"/>
      <c r="F1339" s="255"/>
      <c r="G1339" s="254" t="str">
        <f>IF(VLOOKUP($D1331&amp;RIGHT($A1339,1),Players!$A$2:$D$132,3)&lt;&gt;0,VLOOKUP($D1331&amp;RIGHT($A1339,1),Players!$A$2:$D$132,3),"")</f>
        <v/>
      </c>
      <c r="H1339" s="254"/>
      <c r="I1339" s="254"/>
      <c r="J1339" s="210" t="str">
        <f>IF(VLOOKUP($D1331&amp;RIGHT($A1339,1),Players!$A$2:$D$132,3)&lt;&gt;0,"("&amp;VLOOKUP($D1331&amp;RIGHT($A1339,1),Players!$A$2:$D$132,4)&amp;")","")</f>
        <v/>
      </c>
    </row>
    <row r="1340" spans="1:10" ht="25.5" customHeight="1">
      <c r="A1340" s="50" t="str">
        <f>CONCATENATE($I1331,"3")</f>
        <v>F3</v>
      </c>
      <c r="B1340" s="255" t="str">
        <f>IF(VLOOKUP($A1340,Players!$A$2:$C$132,3)&lt;&gt;0,VLOOKUP($A1340,Players!$A$2:$C$132,3),"")</f>
        <v/>
      </c>
      <c r="C1340" s="255"/>
      <c r="D1340" s="255"/>
      <c r="E1340" s="255"/>
      <c r="F1340" s="255"/>
      <c r="G1340" s="254" t="str">
        <f>IF(VLOOKUP($D1331&amp;RIGHT($A1340,1),Players!$A$2:$D$132,3)&lt;&gt;0,VLOOKUP($D1331&amp;RIGHT($A1340,1),Players!$A$2:$D$132,3),"")</f>
        <v/>
      </c>
      <c r="H1340" s="254"/>
      <c r="I1340" s="254"/>
      <c r="J1340" s="210" t="str">
        <f>IF(VLOOKUP($D1331&amp;RIGHT($A1340,1),Players!$A$2:$D$132,3)&lt;&gt;0,"("&amp;VLOOKUP($D1331&amp;RIGHT($A1340,1),Players!$A$2:$D$132,4)&amp;")","")</f>
        <v/>
      </c>
    </row>
    <row r="1341" spans="1:10" ht="25.5" customHeight="1">
      <c r="A1341" s="50" t="str">
        <f>CONCATENATE($I1331,"4")</f>
        <v>F4</v>
      </c>
      <c r="B1341" s="255" t="str">
        <f>IF(VLOOKUP($A1341,Players!$A$2:$C$132,3)&lt;&gt;0,VLOOKUP($A1341,Players!$A$2:$C$132,3),"")</f>
        <v/>
      </c>
      <c r="C1341" s="255"/>
      <c r="D1341" s="255"/>
      <c r="E1341" s="255"/>
      <c r="F1341" s="255"/>
      <c r="G1341" s="254" t="str">
        <f>IF(VLOOKUP($D1331&amp;RIGHT($A1341,1),Players!$A$2:$D$132,3)&lt;&gt;0,VLOOKUP($D1331&amp;RIGHT($A1341,1),Players!$A$2:$D$132,3),"")</f>
        <v/>
      </c>
      <c r="H1341" s="254"/>
      <c r="I1341" s="254"/>
      <c r="J1341" s="210" t="str">
        <f>IF(VLOOKUP($D1331&amp;RIGHT($A1341,1),Players!$A$2:$D$132,3)&lt;&gt;0,"("&amp;VLOOKUP($D1331&amp;RIGHT($A1341,1),Players!$A$2:$D$132,4)&amp;")","")</f>
        <v/>
      </c>
    </row>
    <row r="1342" spans="1:10" ht="25.5" customHeight="1">
      <c r="A1342" s="50" t="str">
        <f>CONCATENATE($I1331,"5")</f>
        <v>F5</v>
      </c>
      <c r="B1342" s="255" t="str">
        <f>IF(VLOOKUP($A1342,Players!$A$2:$C$132,3)&lt;&gt;0,VLOOKUP($A1342,Players!$A$2:$C$132,3),"")</f>
        <v/>
      </c>
      <c r="C1342" s="255"/>
      <c r="D1342" s="255"/>
      <c r="E1342" s="255"/>
      <c r="F1342" s="255"/>
      <c r="G1342" s="254" t="str">
        <f>IF(VLOOKUP($D1331&amp;RIGHT($A1342,1),Players!$A$2:$D$132,3)&lt;&gt;0,VLOOKUP($D1331&amp;RIGHT($A1342,1),Players!$A$2:$D$132,3),"")</f>
        <v/>
      </c>
      <c r="H1342" s="254"/>
      <c r="I1342" s="254"/>
      <c r="J1342" s="210" t="str">
        <f>IF(VLOOKUP($D1331&amp;RIGHT($A1342,1),Players!$A$2:$D$132,3)&lt;&gt;0,"("&amp;VLOOKUP($D1331&amp;RIGHT($A1342,1),Players!$A$2:$D$132,4)&amp;")","")</f>
        <v/>
      </c>
    </row>
    <row r="1343" spans="1:10" ht="25.5" customHeight="1">
      <c r="A1343" s="50" t="str">
        <f>CONCATENATE($I1331,"6")</f>
        <v>F6</v>
      </c>
      <c r="B1343" s="255" t="str">
        <f>IF(VLOOKUP($A1343,Players!$A$2:$C$132,3)&lt;&gt;0,VLOOKUP($A1343,Players!$A$2:$C$132,3),"")</f>
        <v/>
      </c>
      <c r="C1343" s="255"/>
      <c r="D1343" s="255"/>
      <c r="E1343" s="255"/>
      <c r="F1343" s="255"/>
      <c r="G1343" s="254" t="str">
        <f>IF(VLOOKUP($D1331&amp;RIGHT($A1343,1),Players!$A$2:$D$132,3)&lt;&gt;0,VLOOKUP($D1331&amp;RIGHT($A1343,1),Players!$A$2:$D$132,3),"")</f>
        <v/>
      </c>
      <c r="H1343" s="254"/>
      <c r="I1343" s="254"/>
      <c r="J1343" s="210" t="str">
        <f>IF(VLOOKUP($D1331&amp;RIGHT($A1343,1),Players!$A$2:$D$132,3)&lt;&gt;0,"("&amp;VLOOKUP($D1331&amp;RIGHT($A1343,1),Players!$A$2:$D$132,4)&amp;")","")</f>
        <v/>
      </c>
    </row>
    <row r="1344" spans="1:10" ht="25.5" customHeight="1">
      <c r="A1344" s="50" t="str">
        <f>CONCATENATE($I1331,"7")</f>
        <v>F7</v>
      </c>
      <c r="B1344" s="255" t="str">
        <f>IF(VLOOKUP($A1344,Players!$A$2:$C$132,3)&lt;&gt;0,VLOOKUP($A1344,Players!$A$2:$C$132,3),"")</f>
        <v/>
      </c>
      <c r="C1344" s="255"/>
      <c r="D1344" s="255"/>
      <c r="E1344" s="255"/>
      <c r="F1344" s="255"/>
      <c r="G1344" s="254" t="str">
        <f>IF(VLOOKUP($D1331&amp;RIGHT($A1344,1),Players!$A$2:$D$132,3)&lt;&gt;0,VLOOKUP($D1331&amp;RIGHT($A1344,1),Players!$A$2:$D$132,3),"")</f>
        <v/>
      </c>
      <c r="H1344" s="254"/>
      <c r="I1344" s="254"/>
      <c r="J1344" s="210" t="str">
        <f>IF(VLOOKUP($D1331&amp;RIGHT($A1344,1),Players!$A$2:$D$132,3)&lt;&gt;0,"("&amp;VLOOKUP($D1331&amp;RIGHT($A1344,1),Players!$A$2:$D$132,4)&amp;")","")</f>
        <v/>
      </c>
    </row>
    <row r="1345" spans="1:10" ht="25.5" customHeight="1">
      <c r="A1345" s="50" t="str">
        <f>CONCATENATE($I1331,"8")</f>
        <v>F8</v>
      </c>
      <c r="B1345" s="255" t="str">
        <f>IF(VLOOKUP($A1345,Players!$A$2:$C$132,3)&lt;&gt;0,VLOOKUP($A1345,Players!$A$2:$C$132,3),"")</f>
        <v/>
      </c>
      <c r="C1345" s="255"/>
      <c r="D1345" s="255"/>
      <c r="E1345" s="255"/>
      <c r="F1345" s="255"/>
      <c r="G1345" s="254" t="str">
        <f>IF(VLOOKUP($D1331&amp;RIGHT($A1345,1),Players!$A$2:$D$132,3)&lt;&gt;0,VLOOKUP($D1331&amp;RIGHT($A1345,1),Players!$A$2:$D$132,3),"")</f>
        <v/>
      </c>
      <c r="H1345" s="254"/>
      <c r="I1345" s="254"/>
      <c r="J1345" s="210" t="str">
        <f>IF(VLOOKUP($D1331&amp;RIGHT($A1345,1),Players!$A$2:$D$132,3)&lt;&gt;0,"("&amp;VLOOKUP($D1331&amp;RIGHT($A1345,1),Players!$A$2:$D$132,4)&amp;")","")</f>
        <v/>
      </c>
    </row>
    <row r="1346" spans="1:10" ht="25.5" customHeight="1">
      <c r="A1346" s="50"/>
      <c r="B1346" s="26"/>
      <c r="C1346" s="26"/>
      <c r="D1346" s="26"/>
      <c r="E1346" s="26"/>
      <c r="F1346" s="27"/>
      <c r="G1346" s="43"/>
      <c r="H1346" s="43"/>
      <c r="I1346" s="43"/>
      <c r="J1346" s="43"/>
    </row>
    <row r="1347" spans="1:10">
      <c r="A1347" s="49" t="s">
        <v>1225</v>
      </c>
      <c r="B1347" s="46"/>
      <c r="C1347" s="46"/>
      <c r="D1347" s="46"/>
      <c r="E1347" s="46"/>
      <c r="F1347" s="46"/>
      <c r="G1347" s="43"/>
      <c r="H1347" s="43"/>
      <c r="I1347" s="43"/>
      <c r="J1347" s="43"/>
    </row>
    <row r="1348" spans="1:10">
      <c r="A1348" s="46" t="s">
        <v>1247</v>
      </c>
      <c r="B1348" s="46"/>
      <c r="C1348" s="46"/>
      <c r="D1348" s="46"/>
      <c r="E1348" s="46"/>
      <c r="F1348" s="46"/>
      <c r="G1348" s="43"/>
      <c r="H1348" s="43"/>
      <c r="I1348" s="43"/>
      <c r="J1348" s="43"/>
    </row>
    <row r="1349" spans="1:10">
      <c r="A1349" s="46" t="s">
        <v>1248</v>
      </c>
      <c r="B1349" s="46"/>
      <c r="C1349" s="46"/>
      <c r="D1349" s="46"/>
      <c r="E1349" s="46"/>
      <c r="F1349" s="46"/>
      <c r="G1349" s="43"/>
      <c r="H1349" s="43"/>
      <c r="I1349" s="43"/>
      <c r="J1349" s="43"/>
    </row>
    <row r="1350" spans="1:10" ht="13.5" thickBot="1">
      <c r="A1350" s="46"/>
      <c r="B1350" s="46"/>
      <c r="C1350" s="46"/>
      <c r="D1350" s="46"/>
      <c r="E1350" s="46"/>
      <c r="F1350" s="46"/>
      <c r="G1350" s="43"/>
      <c r="H1350" s="43"/>
      <c r="I1350" s="43"/>
      <c r="J1350" s="43"/>
    </row>
    <row r="1351" spans="1:10" ht="25.5" customHeight="1" thickBot="1">
      <c r="A1351" s="50"/>
      <c r="B1351" s="257"/>
      <c r="C1351" s="258"/>
      <c r="D1351" s="258"/>
      <c r="E1351" s="258"/>
      <c r="F1351" s="259"/>
      <c r="G1351" s="43"/>
      <c r="H1351" s="43"/>
      <c r="I1351" s="43"/>
      <c r="J1351" s="43"/>
    </row>
    <row r="1352" spans="1:10">
      <c r="A1352" s="43"/>
      <c r="B1352" s="43"/>
      <c r="C1352" s="43"/>
      <c r="D1352" s="43"/>
      <c r="E1352" s="43"/>
      <c r="F1352" s="43"/>
      <c r="G1352" s="43"/>
      <c r="H1352" s="43"/>
      <c r="I1352" s="43"/>
      <c r="J1352" s="43"/>
    </row>
    <row r="1353" spans="1:10">
      <c r="A1353" s="43"/>
      <c r="B1353" s="43"/>
      <c r="C1353" s="43"/>
      <c r="D1353" s="43"/>
      <c r="E1353" s="43"/>
      <c r="F1353" s="43"/>
      <c r="G1353" s="43"/>
      <c r="H1353" s="43"/>
      <c r="I1353" s="43"/>
      <c r="J1353" s="43"/>
    </row>
    <row r="1354" spans="1:10">
      <c r="A1354" s="43"/>
      <c r="B1354" s="43"/>
      <c r="C1354" s="43"/>
      <c r="D1354" s="43"/>
      <c r="E1354" s="43"/>
      <c r="F1354" s="43"/>
      <c r="G1354" s="43"/>
      <c r="H1354" s="43"/>
      <c r="I1354" s="43"/>
      <c r="J1354" s="43"/>
    </row>
    <row r="1355" spans="1:10">
      <c r="A1355" s="43"/>
      <c r="B1355" s="43"/>
      <c r="C1355" s="43"/>
      <c r="D1355" s="43"/>
      <c r="E1355" s="43"/>
      <c r="F1355" s="43"/>
      <c r="G1355" s="43"/>
      <c r="H1355" s="43"/>
      <c r="I1355" s="43"/>
      <c r="J1355" s="43"/>
    </row>
    <row r="1356" spans="1:10">
      <c r="A1356" s="43"/>
      <c r="B1356" s="43"/>
      <c r="C1356" s="43"/>
      <c r="D1356" s="43"/>
      <c r="E1356" s="43"/>
      <c r="F1356" s="43"/>
      <c r="G1356" s="43"/>
      <c r="H1356" s="43"/>
      <c r="I1356" s="43"/>
      <c r="J1356" s="43"/>
    </row>
    <row r="1357" spans="1:10" ht="25.5" customHeight="1">
      <c r="A1357" s="47"/>
      <c r="B1357" s="47"/>
      <c r="C1357" s="47"/>
      <c r="D1357" s="47"/>
      <c r="E1357" s="47"/>
      <c r="F1357" s="43"/>
      <c r="G1357" s="51"/>
      <c r="H1357" s="250" t="s">
        <v>1227</v>
      </c>
      <c r="I1357" s="251"/>
      <c r="J1357" s="43"/>
    </row>
    <row r="1358" spans="1:10">
      <c r="A1358" s="43" t="s">
        <v>1226</v>
      </c>
      <c r="B1358" s="43"/>
      <c r="C1358" s="43"/>
      <c r="D1358" s="43"/>
      <c r="E1358" s="43"/>
      <c r="F1358" s="43"/>
      <c r="G1358" s="43"/>
      <c r="H1358" s="43"/>
      <c r="I1358" s="43"/>
      <c r="J1358" s="43"/>
    </row>
    <row r="1359" spans="1:10">
      <c r="A1359" s="43"/>
      <c r="B1359" s="43"/>
      <c r="C1359" s="43"/>
      <c r="D1359" s="43"/>
      <c r="E1359" s="43"/>
      <c r="F1359" s="43"/>
      <c r="G1359" s="43"/>
      <c r="H1359" s="43"/>
      <c r="I1359" s="43"/>
      <c r="J1359" s="43"/>
    </row>
    <row r="1360" spans="1:10">
      <c r="A1360" s="43"/>
      <c r="B1360" s="43"/>
      <c r="C1360" s="43"/>
      <c r="D1360" s="43"/>
      <c r="E1360" s="256" t="str">
        <f>CONCATENATE("(",$D1331," vs ",$I1331,")")</f>
        <v>(A vs F)</v>
      </c>
      <c r="F1360" s="256"/>
      <c r="G1360" s="43"/>
      <c r="H1360" s="43"/>
      <c r="I1360" s="43"/>
      <c r="J1360" s="43"/>
    </row>
    <row r="1361" spans="1:10" ht="15.75">
      <c r="A1361" s="42" t="s">
        <v>1223</v>
      </c>
      <c r="B1361" s="43"/>
      <c r="C1361" s="43"/>
      <c r="D1361" s="43"/>
      <c r="E1361" s="43"/>
      <c r="F1361" s="43"/>
      <c r="G1361" s="43"/>
      <c r="H1361" s="43"/>
      <c r="I1361" s="43"/>
      <c r="J1361" s="96" t="s">
        <v>4259</v>
      </c>
    </row>
    <row r="1362" spans="1:10" ht="12.75" customHeight="1">
      <c r="A1362" s="42"/>
      <c r="B1362" s="43"/>
      <c r="C1362" s="43"/>
      <c r="D1362" s="43"/>
      <c r="E1362" s="43"/>
      <c r="F1362" s="43"/>
      <c r="G1362" s="43" t="str">
        <f ca="1">Team_Matches!$J$6</f>
        <v>[NCTTA Teams Template (v2.06).xlsx]</v>
      </c>
      <c r="H1362" s="43"/>
      <c r="I1362" s="43"/>
      <c r="J1362" s="160"/>
    </row>
    <row r="1363" spans="1:10" ht="12.75" customHeight="1">
      <c r="A1363" s="42"/>
      <c r="B1363" s="43"/>
      <c r="C1363" s="43"/>
      <c r="D1363" s="43"/>
      <c r="E1363" s="43"/>
      <c r="F1363" s="43"/>
      <c r="G1363" s="247" t="str">
        <f>Team_Matches!$J1027</f>
        <v/>
      </c>
      <c r="H1363" s="247"/>
      <c r="I1363" s="161" t="str">
        <f>Team_Matches!$M1027</f>
        <v/>
      </c>
      <c r="J1363" s="161"/>
    </row>
    <row r="1364" spans="1:10" ht="15.75">
      <c r="A1364" s="42"/>
      <c r="B1364" s="43"/>
      <c r="C1364" s="43"/>
      <c r="D1364" s="43"/>
      <c r="E1364" s="43"/>
      <c r="F1364" s="43"/>
      <c r="G1364" s="43"/>
      <c r="H1364" s="43"/>
      <c r="I1364" s="43"/>
      <c r="J1364" s="43"/>
    </row>
    <row r="1365" spans="1:10">
      <c r="A1365" s="43"/>
      <c r="B1365" s="43"/>
      <c r="C1365" s="9" t="s">
        <v>1228</v>
      </c>
      <c r="D1365" s="52" t="str">
        <f>Team_Matches!$B1029</f>
        <v>A</v>
      </c>
      <c r="E1365" s="43"/>
      <c r="F1365" s="97" t="str">
        <f>CONCATENATE($D1365,"-",$I1365)</f>
        <v>A-G</v>
      </c>
      <c r="G1365" s="43"/>
      <c r="H1365" s="9" t="s">
        <v>1228</v>
      </c>
      <c r="I1365" s="52" t="str">
        <f>Team_Matches!$K1029</f>
        <v>G</v>
      </c>
      <c r="J1365" s="43"/>
    </row>
    <row r="1366" spans="1:10" ht="25.5" customHeight="1">
      <c r="A1366" s="44"/>
      <c r="B1366" s="248" t="str">
        <f>IF(VLOOKUP($D1365,Draw!$A$4:$B$27,2)&lt;&gt;0,VLOOKUP($D1365,Draw!$A$4:$B$27,2),"")</f>
        <v/>
      </c>
      <c r="C1366" s="248"/>
      <c r="D1366" s="248"/>
      <c r="E1366" s="249"/>
      <c r="F1366" s="45"/>
      <c r="G1366" s="252" t="str">
        <f>IF(VLOOKUP($I1365,Draw!$A$4:$B$27,2)&lt;&gt;0,VLOOKUP($I1365,Draw!$A$4:$B$27,2),"")</f>
        <v/>
      </c>
      <c r="H1366" s="252"/>
      <c r="I1366" s="252"/>
      <c r="J1366" s="253"/>
    </row>
    <row r="1367" spans="1:10" ht="25.5" customHeight="1"/>
    <row r="1368" spans="1:10" ht="25.5" customHeight="1"/>
    <row r="1369" spans="1:10" ht="24" customHeight="1">
      <c r="A1369" s="48" t="s">
        <v>1246</v>
      </c>
      <c r="B1369" s="43"/>
      <c r="C1369" s="43"/>
      <c r="D1369" s="43"/>
      <c r="E1369" s="43"/>
      <c r="F1369" s="43"/>
      <c r="G1369" s="43"/>
      <c r="H1369" s="43"/>
      <c r="I1369" s="43"/>
      <c r="J1369" s="43"/>
    </row>
    <row r="1370" spans="1:10" ht="24" customHeight="1">
      <c r="A1370" s="48"/>
      <c r="B1370" s="43"/>
      <c r="C1370" s="43"/>
      <c r="D1370" s="43"/>
      <c r="E1370" s="43"/>
      <c r="F1370" s="43"/>
      <c r="G1370" s="43"/>
      <c r="H1370" s="43"/>
      <c r="I1370" s="43"/>
      <c r="J1370" s="43"/>
    </row>
    <row r="1371" spans="1:10">
      <c r="A1371" s="49" t="s">
        <v>1224</v>
      </c>
      <c r="B1371" s="46"/>
      <c r="C1371" s="46"/>
      <c r="D1371" s="46"/>
      <c r="E1371" s="46"/>
      <c r="F1371" s="46"/>
      <c r="G1371" s="260" t="s">
        <v>10336</v>
      </c>
      <c r="H1371" s="260"/>
      <c r="I1371" s="260"/>
      <c r="J1371" s="260"/>
    </row>
    <row r="1372" spans="1:10" ht="24" customHeight="1">
      <c r="A1372" s="50" t="str">
        <f>CONCATENATE($D1365,"1")</f>
        <v>A1</v>
      </c>
      <c r="B1372" s="255" t="str">
        <f>IF(VLOOKUP($A1372,Players!$A$2:$C$132,3)&lt;&gt;0,VLOOKUP($A1372,Players!$A$2:$C$132,3),"")</f>
        <v/>
      </c>
      <c r="C1372" s="255"/>
      <c r="D1372" s="255"/>
      <c r="E1372" s="255"/>
      <c r="F1372" s="255"/>
      <c r="G1372" s="254" t="str">
        <f>IF(VLOOKUP($I1365&amp;RIGHT($A1372,1),Players!$A$2:$D$132,3)&lt;&gt;0,VLOOKUP($I1365&amp;RIGHT($A1372,1),Players!$A$2:$D$132,3),"")</f>
        <v/>
      </c>
      <c r="H1372" s="254"/>
      <c r="I1372" s="254"/>
      <c r="J1372" s="210" t="str">
        <f>IF(VLOOKUP($I1365&amp;RIGHT($A1372,1),Players!$A$2:$D$132,3)&lt;&gt;0,"("&amp;VLOOKUP($I1365&amp;RIGHT($A1372,1),Players!$A$2:$D$132,4)&amp;")","")</f>
        <v/>
      </c>
    </row>
    <row r="1373" spans="1:10" ht="25.5" customHeight="1">
      <c r="A1373" s="50" t="str">
        <f>CONCATENATE($D1365,"2")</f>
        <v>A2</v>
      </c>
      <c r="B1373" s="255" t="str">
        <f>IF(VLOOKUP($A1373,Players!$A$2:$C$132,3)&lt;&gt;0,VLOOKUP($A1373,Players!$A$2:$C$132,3),"")</f>
        <v/>
      </c>
      <c r="C1373" s="255"/>
      <c r="D1373" s="255"/>
      <c r="E1373" s="255"/>
      <c r="F1373" s="255"/>
      <c r="G1373" s="254" t="str">
        <f>IF(VLOOKUP($I1365&amp;RIGHT($A1373,1),Players!$A$2:$D$132,3)&lt;&gt;0,VLOOKUP($I1365&amp;RIGHT($A1373,1),Players!$A$2:$D$132,3),"")</f>
        <v/>
      </c>
      <c r="H1373" s="254"/>
      <c r="I1373" s="254"/>
      <c r="J1373" s="210" t="str">
        <f>IF(VLOOKUP($I1365&amp;RIGHT($A1373,1),Players!$A$2:$D$132,3)&lt;&gt;0,"("&amp;VLOOKUP($I1365&amp;RIGHT($A1373,1),Players!$A$2:$D$132,4)&amp;")","")</f>
        <v/>
      </c>
    </row>
    <row r="1374" spans="1:10" ht="25.5" customHeight="1">
      <c r="A1374" s="50" t="str">
        <f>CONCATENATE($D1365,"3")</f>
        <v>A3</v>
      </c>
      <c r="B1374" s="255" t="str">
        <f>IF(VLOOKUP($A1374,Players!$A$2:$C$132,3)&lt;&gt;0,VLOOKUP($A1374,Players!$A$2:$C$132,3),"")</f>
        <v/>
      </c>
      <c r="C1374" s="255"/>
      <c r="D1374" s="255"/>
      <c r="E1374" s="255"/>
      <c r="F1374" s="255"/>
      <c r="G1374" s="254" t="str">
        <f>IF(VLOOKUP($I1365&amp;RIGHT($A1374,1),Players!$A$2:$D$132,3)&lt;&gt;0,VLOOKUP($I1365&amp;RIGHT($A1374,1),Players!$A$2:$D$132,3),"")</f>
        <v/>
      </c>
      <c r="H1374" s="254"/>
      <c r="I1374" s="254"/>
      <c r="J1374" s="210" t="str">
        <f>IF(VLOOKUP($I1365&amp;RIGHT($A1374,1),Players!$A$2:$D$132,3)&lt;&gt;0,"("&amp;VLOOKUP($I1365&amp;RIGHT($A1374,1),Players!$A$2:$D$132,4)&amp;")","")</f>
        <v/>
      </c>
    </row>
    <row r="1375" spans="1:10" ht="25.5" customHeight="1">
      <c r="A1375" s="50" t="str">
        <f>CONCATENATE($D1365,"4")</f>
        <v>A4</v>
      </c>
      <c r="B1375" s="255" t="str">
        <f>IF(VLOOKUP($A1375,Players!$A$2:$C$132,3)&lt;&gt;0,VLOOKUP($A1375,Players!$A$2:$C$132,3),"")</f>
        <v/>
      </c>
      <c r="C1375" s="255"/>
      <c r="D1375" s="255"/>
      <c r="E1375" s="255"/>
      <c r="F1375" s="255"/>
      <c r="G1375" s="254" t="str">
        <f>IF(VLOOKUP($I1365&amp;RIGHT($A1375,1),Players!$A$2:$D$132,3)&lt;&gt;0,VLOOKUP($I1365&amp;RIGHT($A1375,1),Players!$A$2:$D$132,3),"")</f>
        <v/>
      </c>
      <c r="H1375" s="254"/>
      <c r="I1375" s="254"/>
      <c r="J1375" s="210" t="str">
        <f>IF(VLOOKUP($I1365&amp;RIGHT($A1375,1),Players!$A$2:$D$132,3)&lt;&gt;0,"("&amp;VLOOKUP($I1365&amp;RIGHT($A1375,1),Players!$A$2:$D$132,4)&amp;")","")</f>
        <v/>
      </c>
    </row>
    <row r="1376" spans="1:10" ht="25.5" customHeight="1">
      <c r="A1376" s="50" t="str">
        <f>CONCATENATE($D1365,"5")</f>
        <v>A5</v>
      </c>
      <c r="B1376" s="255" t="str">
        <f>IF(VLOOKUP($A1376,Players!$A$2:$C$132,3)&lt;&gt;0,VLOOKUP($A1376,Players!$A$2:$C$132,3),"")</f>
        <v/>
      </c>
      <c r="C1376" s="255"/>
      <c r="D1376" s="255"/>
      <c r="E1376" s="255"/>
      <c r="F1376" s="255"/>
      <c r="G1376" s="254" t="str">
        <f>IF(VLOOKUP($I1365&amp;RIGHT($A1376,1),Players!$A$2:$D$132,3)&lt;&gt;0,VLOOKUP($I1365&amp;RIGHT($A1376,1),Players!$A$2:$D$132,3),"")</f>
        <v/>
      </c>
      <c r="H1376" s="254"/>
      <c r="I1376" s="254"/>
      <c r="J1376" s="210" t="str">
        <f>IF(VLOOKUP($I1365&amp;RIGHT($A1376,1),Players!$A$2:$D$132,3)&lt;&gt;0,"("&amp;VLOOKUP($I1365&amp;RIGHT($A1376,1),Players!$A$2:$D$132,4)&amp;")","")</f>
        <v/>
      </c>
    </row>
    <row r="1377" spans="1:10" ht="25.5" customHeight="1">
      <c r="A1377" s="50" t="str">
        <f>CONCATENATE($D1365,"6")</f>
        <v>A6</v>
      </c>
      <c r="B1377" s="255" t="str">
        <f>IF(VLOOKUP($A1377,Players!$A$2:$C$132,3)&lt;&gt;0,VLOOKUP($A1377,Players!$A$2:$C$132,3),"")</f>
        <v/>
      </c>
      <c r="C1377" s="255"/>
      <c r="D1377" s="255"/>
      <c r="E1377" s="255"/>
      <c r="F1377" s="255"/>
      <c r="G1377" s="254" t="str">
        <f>IF(VLOOKUP($I1365&amp;RIGHT($A1377,1),Players!$A$2:$D$132,3)&lt;&gt;0,VLOOKUP($I1365&amp;RIGHT($A1377,1),Players!$A$2:$D$132,3),"")</f>
        <v/>
      </c>
      <c r="H1377" s="254"/>
      <c r="I1377" s="254"/>
      <c r="J1377" s="210" t="str">
        <f>IF(VLOOKUP($I1365&amp;RIGHT($A1377,1),Players!$A$2:$D$132,3)&lt;&gt;0,"("&amp;VLOOKUP($I1365&amp;RIGHT($A1377,1),Players!$A$2:$D$132,4)&amp;")","")</f>
        <v/>
      </c>
    </row>
    <row r="1378" spans="1:10" ht="25.5" customHeight="1">
      <c r="A1378" s="50" t="str">
        <f>CONCATENATE($D1365,"7")</f>
        <v>A7</v>
      </c>
      <c r="B1378" s="255" t="str">
        <f>IF(VLOOKUP($A1378,Players!$A$2:$C$132,3)&lt;&gt;0,VLOOKUP($A1378,Players!$A$2:$C$132,3),"")</f>
        <v/>
      </c>
      <c r="C1378" s="255"/>
      <c r="D1378" s="255"/>
      <c r="E1378" s="255"/>
      <c r="F1378" s="255"/>
      <c r="G1378" s="254" t="str">
        <f>IF(VLOOKUP($I1365&amp;RIGHT($A1378,1),Players!$A$2:$D$132,3)&lt;&gt;0,VLOOKUP($I1365&amp;RIGHT($A1378,1),Players!$A$2:$D$132,3),"")</f>
        <v/>
      </c>
      <c r="H1378" s="254"/>
      <c r="I1378" s="254"/>
      <c r="J1378" s="210" t="str">
        <f>IF(VLOOKUP($I1365&amp;RIGHT($A1378,1),Players!$A$2:$D$132,3)&lt;&gt;0,"("&amp;VLOOKUP($I1365&amp;RIGHT($A1378,1),Players!$A$2:$D$132,4)&amp;")","")</f>
        <v/>
      </c>
    </row>
    <row r="1379" spans="1:10" ht="25.5" customHeight="1">
      <c r="A1379" s="50" t="str">
        <f>CONCATENATE($D1365,"8")</f>
        <v>A8</v>
      </c>
      <c r="B1379" s="255" t="str">
        <f>IF(VLOOKUP($A1379,Players!$A$2:$C$132,3)&lt;&gt;0,VLOOKUP($A1379,Players!$A$2:$C$132,3),"")</f>
        <v/>
      </c>
      <c r="C1379" s="255"/>
      <c r="D1379" s="255"/>
      <c r="E1379" s="255"/>
      <c r="F1379" s="255"/>
      <c r="G1379" s="254" t="str">
        <f>IF(VLOOKUP($I1365&amp;RIGHT($A1379,1),Players!$A$2:$D$132,3)&lt;&gt;0,VLOOKUP($I1365&amp;RIGHT($A1379,1),Players!$A$2:$D$132,3),"")</f>
        <v/>
      </c>
      <c r="H1379" s="254"/>
      <c r="I1379" s="254"/>
      <c r="J1379" s="210" t="str">
        <f>IF(VLOOKUP($I1365&amp;RIGHT($A1379,1),Players!$A$2:$D$132,3)&lt;&gt;0,"("&amp;VLOOKUP($I1365&amp;RIGHT($A1379,1),Players!$A$2:$D$132,4)&amp;")","")</f>
        <v/>
      </c>
    </row>
    <row r="1380" spans="1:10" ht="25.5" customHeight="1">
      <c r="A1380" s="50"/>
      <c r="B1380" s="26"/>
      <c r="C1380" s="26"/>
      <c r="D1380" s="26"/>
      <c r="E1380" s="26"/>
      <c r="F1380" s="27"/>
      <c r="G1380" s="43"/>
      <c r="H1380" s="43"/>
      <c r="I1380" s="43"/>
      <c r="J1380" s="43"/>
    </row>
    <row r="1381" spans="1:10">
      <c r="A1381" s="49" t="s">
        <v>1225</v>
      </c>
      <c r="B1381" s="46"/>
      <c r="C1381" s="46"/>
      <c r="D1381" s="46"/>
      <c r="E1381" s="46"/>
      <c r="F1381" s="46"/>
      <c r="G1381" s="43"/>
      <c r="H1381" s="43"/>
      <c r="I1381" s="43"/>
      <c r="J1381" s="43"/>
    </row>
    <row r="1382" spans="1:10">
      <c r="A1382" s="46" t="s">
        <v>1247</v>
      </c>
      <c r="B1382" s="46"/>
      <c r="C1382" s="46"/>
      <c r="D1382" s="46"/>
      <c r="E1382" s="46"/>
      <c r="F1382" s="46"/>
      <c r="G1382" s="43"/>
      <c r="H1382" s="43"/>
      <c r="I1382" s="43"/>
      <c r="J1382" s="43"/>
    </row>
    <row r="1383" spans="1:10">
      <c r="A1383" s="46" t="s">
        <v>1248</v>
      </c>
      <c r="B1383" s="46"/>
      <c r="C1383" s="46"/>
      <c r="D1383" s="46"/>
      <c r="E1383" s="46"/>
      <c r="F1383" s="46"/>
      <c r="G1383" s="43"/>
      <c r="H1383" s="43"/>
      <c r="I1383" s="43"/>
      <c r="J1383" s="43"/>
    </row>
    <row r="1384" spans="1:10" ht="13.5" thickBot="1">
      <c r="A1384" s="46"/>
      <c r="B1384" s="46"/>
      <c r="C1384" s="46"/>
      <c r="D1384" s="46"/>
      <c r="E1384" s="46"/>
      <c r="F1384" s="46"/>
      <c r="G1384" s="43"/>
      <c r="H1384" s="43"/>
      <c r="I1384" s="43"/>
      <c r="J1384" s="43"/>
    </row>
    <row r="1385" spans="1:10" ht="25.5" customHeight="1" thickBot="1">
      <c r="A1385" s="50"/>
      <c r="B1385" s="257"/>
      <c r="C1385" s="258"/>
      <c r="D1385" s="258"/>
      <c r="E1385" s="258"/>
      <c r="F1385" s="259"/>
      <c r="G1385" s="43"/>
      <c r="H1385" s="43"/>
      <c r="I1385" s="43"/>
      <c r="J1385" s="43"/>
    </row>
    <row r="1386" spans="1:10">
      <c r="A1386" s="43"/>
      <c r="B1386" s="43"/>
      <c r="C1386" s="43"/>
      <c r="D1386" s="43"/>
      <c r="E1386" s="43"/>
      <c r="F1386" s="43"/>
      <c r="G1386" s="43"/>
      <c r="H1386" s="43"/>
      <c r="I1386" s="43"/>
      <c r="J1386" s="43"/>
    </row>
    <row r="1387" spans="1:10">
      <c r="A1387" s="43"/>
      <c r="B1387" s="43"/>
      <c r="C1387" s="43"/>
      <c r="D1387" s="43"/>
      <c r="E1387" s="43"/>
      <c r="F1387" s="43"/>
      <c r="G1387" s="43"/>
      <c r="H1387" s="43"/>
      <c r="I1387" s="43"/>
      <c r="J1387" s="43"/>
    </row>
    <row r="1388" spans="1:10">
      <c r="A1388" s="43"/>
      <c r="B1388" s="43"/>
      <c r="C1388" s="43"/>
      <c r="D1388" s="43"/>
      <c r="E1388" s="43"/>
      <c r="F1388" s="43"/>
      <c r="G1388" s="43"/>
      <c r="H1388" s="43"/>
      <c r="I1388" s="43"/>
      <c r="J1388" s="43"/>
    </row>
    <row r="1389" spans="1:10">
      <c r="A1389" s="43"/>
      <c r="B1389" s="43"/>
      <c r="C1389" s="43"/>
      <c r="D1389" s="43"/>
      <c r="E1389" s="43"/>
      <c r="F1389" s="43"/>
      <c r="G1389" s="43"/>
      <c r="H1389" s="43"/>
      <c r="I1389" s="43"/>
      <c r="J1389" s="43"/>
    </row>
    <row r="1390" spans="1:10">
      <c r="A1390" s="43"/>
      <c r="B1390" s="43"/>
      <c r="C1390" s="43"/>
      <c r="D1390" s="43"/>
      <c r="E1390" s="43"/>
      <c r="F1390" s="43"/>
      <c r="G1390" s="43"/>
      <c r="H1390" s="43"/>
      <c r="I1390" s="43"/>
      <c r="J1390" s="43"/>
    </row>
    <row r="1391" spans="1:10" ht="25.5" customHeight="1">
      <c r="A1391" s="47"/>
      <c r="B1391" s="47"/>
      <c r="C1391" s="47"/>
      <c r="D1391" s="47"/>
      <c r="E1391" s="47"/>
      <c r="F1391" s="43"/>
      <c r="G1391" s="51"/>
      <c r="H1391" s="250" t="s">
        <v>1227</v>
      </c>
      <c r="I1391" s="251"/>
      <c r="J1391" s="43"/>
    </row>
    <row r="1392" spans="1:10">
      <c r="A1392" s="43" t="s">
        <v>1226</v>
      </c>
      <c r="B1392" s="43"/>
      <c r="C1392" s="43"/>
      <c r="D1392" s="43"/>
      <c r="E1392" s="43"/>
      <c r="F1392" s="43"/>
      <c r="G1392" s="43"/>
      <c r="H1392" s="43"/>
      <c r="I1392" s="43"/>
      <c r="J1392" s="43"/>
    </row>
    <row r="1393" spans="1:10">
      <c r="A1393" s="43"/>
      <c r="B1393" s="43"/>
      <c r="C1393" s="43"/>
      <c r="D1393" s="43"/>
      <c r="E1393" s="43"/>
      <c r="F1393" s="43"/>
      <c r="G1393" s="43"/>
      <c r="H1393" s="43"/>
      <c r="I1393" s="43"/>
      <c r="J1393" s="43"/>
    </row>
    <row r="1394" spans="1:10">
      <c r="A1394" s="43"/>
      <c r="B1394" s="43"/>
      <c r="C1394" s="43"/>
      <c r="D1394" s="43"/>
      <c r="E1394" s="256" t="str">
        <f>CONCATENATE("(",$D1365," vs ",$I1365,")")</f>
        <v>(A vs G)</v>
      </c>
      <c r="F1394" s="256"/>
      <c r="G1394" s="43"/>
      <c r="H1394" s="43"/>
      <c r="I1394" s="43"/>
      <c r="J1394" s="43"/>
    </row>
    <row r="1395" spans="1:10" ht="15.75">
      <c r="A1395" s="42" t="s">
        <v>1223</v>
      </c>
      <c r="B1395" s="43"/>
      <c r="C1395" s="43"/>
      <c r="D1395" s="43"/>
      <c r="E1395" s="43"/>
      <c r="F1395" s="43"/>
      <c r="G1395" s="43"/>
      <c r="H1395" s="43"/>
      <c r="I1395" s="43"/>
      <c r="J1395" s="96" t="s">
        <v>4260</v>
      </c>
    </row>
    <row r="1396" spans="1:10" ht="12.75" customHeight="1">
      <c r="A1396" s="42"/>
      <c r="B1396" s="43"/>
      <c r="C1396" s="43"/>
      <c r="D1396" s="43"/>
      <c r="E1396" s="43"/>
      <c r="F1396" s="43"/>
      <c r="G1396" s="43" t="str">
        <f ca="1">Team_Matches!$J$6</f>
        <v>[NCTTA Teams Template (v2.06).xlsx]</v>
      </c>
      <c r="H1396" s="43"/>
      <c r="I1396" s="43"/>
      <c r="J1396" s="160"/>
    </row>
    <row r="1397" spans="1:10" ht="12.75" customHeight="1">
      <c r="A1397" s="42"/>
      <c r="B1397" s="43"/>
      <c r="C1397" s="43"/>
      <c r="D1397" s="43"/>
      <c r="E1397" s="43"/>
      <c r="F1397" s="43"/>
      <c r="G1397" s="247" t="str">
        <f>Team_Matches!$J1027</f>
        <v/>
      </c>
      <c r="H1397" s="247"/>
      <c r="I1397" s="161" t="str">
        <f>Team_Matches!$M1027</f>
        <v/>
      </c>
      <c r="J1397" s="161"/>
    </row>
    <row r="1398" spans="1:10" ht="15.75">
      <c r="A1398" s="42"/>
      <c r="B1398" s="43"/>
      <c r="C1398" s="43"/>
      <c r="D1398" s="43"/>
      <c r="E1398" s="43"/>
      <c r="F1398" s="43"/>
      <c r="G1398" s="43"/>
      <c r="H1398" s="43"/>
      <c r="I1398" s="43"/>
      <c r="J1398" s="43"/>
    </row>
    <row r="1399" spans="1:10">
      <c r="A1399" s="43"/>
      <c r="B1399" s="43"/>
      <c r="C1399" s="9" t="s">
        <v>1228</v>
      </c>
      <c r="D1399" s="52" t="str">
        <f>Team_Matches!$B1029</f>
        <v>A</v>
      </c>
      <c r="E1399" s="43"/>
      <c r="F1399" s="97" t="str">
        <f>CONCATENATE($D1399,"-",$I1399)</f>
        <v>A-G</v>
      </c>
      <c r="G1399" s="43"/>
      <c r="H1399" s="9" t="s">
        <v>1228</v>
      </c>
      <c r="I1399" s="52" t="str">
        <f>Team_Matches!$K1029</f>
        <v>G</v>
      </c>
      <c r="J1399" s="43"/>
    </row>
    <row r="1400" spans="1:10" ht="25.5" customHeight="1">
      <c r="A1400" s="44"/>
      <c r="B1400" s="252" t="str">
        <f>IF(VLOOKUP($D1399,Draw!$A$4:$B$27,2)&lt;&gt;0,VLOOKUP($D1399,Draw!$A$4:$B$27,2),"")</f>
        <v/>
      </c>
      <c r="C1400" s="252"/>
      <c r="D1400" s="252"/>
      <c r="E1400" s="253"/>
      <c r="F1400" s="45"/>
      <c r="G1400" s="248" t="str">
        <f>IF(VLOOKUP($I1399,Draw!$A$4:$B$27,2)&lt;&gt;0,VLOOKUP($I1399,Draw!$A$4:$B$27,2),"")</f>
        <v/>
      </c>
      <c r="H1400" s="248"/>
      <c r="I1400" s="248"/>
      <c r="J1400" s="249"/>
    </row>
    <row r="1401" spans="1:10" ht="25.5" customHeight="1"/>
    <row r="1402" spans="1:10" ht="25.5" customHeight="1"/>
    <row r="1403" spans="1:10" ht="24" customHeight="1">
      <c r="A1403" s="48" t="s">
        <v>1246</v>
      </c>
      <c r="B1403" s="43"/>
      <c r="C1403" s="43"/>
      <c r="D1403" s="43"/>
      <c r="E1403" s="43"/>
      <c r="F1403" s="43"/>
      <c r="G1403" s="43"/>
      <c r="H1403" s="43"/>
      <c r="I1403" s="43"/>
      <c r="J1403" s="43"/>
    </row>
    <row r="1404" spans="1:10" ht="24" customHeight="1">
      <c r="A1404" s="48"/>
      <c r="B1404" s="43"/>
      <c r="C1404" s="43"/>
      <c r="D1404" s="43"/>
      <c r="E1404" s="43"/>
      <c r="F1404" s="43"/>
      <c r="G1404" s="43"/>
      <c r="H1404" s="43"/>
      <c r="I1404" s="43"/>
      <c r="J1404" s="43"/>
    </row>
    <row r="1405" spans="1:10">
      <c r="A1405" s="49" t="s">
        <v>1224</v>
      </c>
      <c r="B1405" s="46"/>
      <c r="C1405" s="46"/>
      <c r="D1405" s="46"/>
      <c r="E1405" s="46"/>
      <c r="F1405" s="46"/>
      <c r="G1405" s="260" t="s">
        <v>10336</v>
      </c>
      <c r="H1405" s="260"/>
      <c r="I1405" s="260"/>
      <c r="J1405" s="260"/>
    </row>
    <row r="1406" spans="1:10" ht="24" customHeight="1">
      <c r="A1406" s="50" t="str">
        <f>CONCATENATE($I1399,"1")</f>
        <v>G1</v>
      </c>
      <c r="B1406" s="255" t="str">
        <f>IF(VLOOKUP($A1406,Players!$A$2:$C$132,3)&lt;&gt;0,VLOOKUP($A1406,Players!$A$2:$C$132,3),"")</f>
        <v/>
      </c>
      <c r="C1406" s="255"/>
      <c r="D1406" s="255"/>
      <c r="E1406" s="255"/>
      <c r="F1406" s="255"/>
      <c r="G1406" s="254" t="str">
        <f>IF(VLOOKUP($D1399&amp;RIGHT($A1406,1),Players!$A$2:$D$132,3)&lt;&gt;0,VLOOKUP($D1399&amp;RIGHT($A1406,1),Players!$A$2:$D$132,3),"")</f>
        <v/>
      </c>
      <c r="H1406" s="254"/>
      <c r="I1406" s="254"/>
      <c r="J1406" s="210" t="str">
        <f>IF(VLOOKUP($D1399&amp;RIGHT($A1406,1),Players!$A$2:$D$132,3)&lt;&gt;0,"("&amp;VLOOKUP($D1399&amp;RIGHT($A1406,1),Players!$A$2:$D$132,4)&amp;")","")</f>
        <v/>
      </c>
    </row>
    <row r="1407" spans="1:10" ht="25.5" customHeight="1">
      <c r="A1407" s="50" t="str">
        <f>CONCATENATE($I1399,"2")</f>
        <v>G2</v>
      </c>
      <c r="B1407" s="255" t="str">
        <f>IF(VLOOKUP($A1407,Players!$A$2:$C$132,3)&lt;&gt;0,VLOOKUP($A1407,Players!$A$2:$C$132,3),"")</f>
        <v/>
      </c>
      <c r="C1407" s="255"/>
      <c r="D1407" s="255"/>
      <c r="E1407" s="255"/>
      <c r="F1407" s="255"/>
      <c r="G1407" s="254" t="str">
        <f>IF(VLOOKUP($D1399&amp;RIGHT($A1407,1),Players!$A$2:$D$132,3)&lt;&gt;0,VLOOKUP($D1399&amp;RIGHT($A1407,1),Players!$A$2:$D$132,3),"")</f>
        <v/>
      </c>
      <c r="H1407" s="254"/>
      <c r="I1407" s="254"/>
      <c r="J1407" s="210" t="str">
        <f>IF(VLOOKUP($D1399&amp;RIGHT($A1407,1),Players!$A$2:$D$132,3)&lt;&gt;0,"("&amp;VLOOKUP($D1399&amp;RIGHT($A1407,1),Players!$A$2:$D$132,4)&amp;")","")</f>
        <v/>
      </c>
    </row>
    <row r="1408" spans="1:10" ht="25.5" customHeight="1">
      <c r="A1408" s="50" t="str">
        <f>CONCATENATE($I1399,"3")</f>
        <v>G3</v>
      </c>
      <c r="B1408" s="255" t="str">
        <f>IF(VLOOKUP($A1408,Players!$A$2:$C$132,3)&lt;&gt;0,VLOOKUP($A1408,Players!$A$2:$C$132,3),"")</f>
        <v/>
      </c>
      <c r="C1408" s="255"/>
      <c r="D1408" s="255"/>
      <c r="E1408" s="255"/>
      <c r="F1408" s="255"/>
      <c r="G1408" s="254" t="str">
        <f>IF(VLOOKUP($D1399&amp;RIGHT($A1408,1),Players!$A$2:$D$132,3)&lt;&gt;0,VLOOKUP($D1399&amp;RIGHT($A1408,1),Players!$A$2:$D$132,3),"")</f>
        <v/>
      </c>
      <c r="H1408" s="254"/>
      <c r="I1408" s="254"/>
      <c r="J1408" s="210" t="str">
        <f>IF(VLOOKUP($D1399&amp;RIGHT($A1408,1),Players!$A$2:$D$132,3)&lt;&gt;0,"("&amp;VLOOKUP($D1399&amp;RIGHT($A1408,1),Players!$A$2:$D$132,4)&amp;")","")</f>
        <v/>
      </c>
    </row>
    <row r="1409" spans="1:10" ht="25.5" customHeight="1">
      <c r="A1409" s="50" t="str">
        <f>CONCATENATE($I1399,"4")</f>
        <v>G4</v>
      </c>
      <c r="B1409" s="255" t="str">
        <f>IF(VLOOKUP($A1409,Players!$A$2:$C$132,3)&lt;&gt;0,VLOOKUP($A1409,Players!$A$2:$C$132,3),"")</f>
        <v/>
      </c>
      <c r="C1409" s="255"/>
      <c r="D1409" s="255"/>
      <c r="E1409" s="255"/>
      <c r="F1409" s="255"/>
      <c r="G1409" s="254" t="str">
        <f>IF(VLOOKUP($D1399&amp;RIGHT($A1409,1),Players!$A$2:$D$132,3)&lt;&gt;0,VLOOKUP($D1399&amp;RIGHT($A1409,1),Players!$A$2:$D$132,3),"")</f>
        <v/>
      </c>
      <c r="H1409" s="254"/>
      <c r="I1409" s="254"/>
      <c r="J1409" s="210" t="str">
        <f>IF(VLOOKUP($D1399&amp;RIGHT($A1409,1),Players!$A$2:$D$132,3)&lt;&gt;0,"("&amp;VLOOKUP($D1399&amp;RIGHT($A1409,1),Players!$A$2:$D$132,4)&amp;")","")</f>
        <v/>
      </c>
    </row>
    <row r="1410" spans="1:10" ht="25.5" customHeight="1">
      <c r="A1410" s="50" t="str">
        <f>CONCATENATE($I1399,"5")</f>
        <v>G5</v>
      </c>
      <c r="B1410" s="255" t="str">
        <f>IF(VLOOKUP($A1410,Players!$A$2:$C$132,3)&lt;&gt;0,VLOOKUP($A1410,Players!$A$2:$C$132,3),"")</f>
        <v/>
      </c>
      <c r="C1410" s="255"/>
      <c r="D1410" s="255"/>
      <c r="E1410" s="255"/>
      <c r="F1410" s="255"/>
      <c r="G1410" s="254" t="str">
        <f>IF(VLOOKUP($D1399&amp;RIGHT($A1410,1),Players!$A$2:$D$132,3)&lt;&gt;0,VLOOKUP($D1399&amp;RIGHT($A1410,1),Players!$A$2:$D$132,3),"")</f>
        <v/>
      </c>
      <c r="H1410" s="254"/>
      <c r="I1410" s="254"/>
      <c r="J1410" s="210" t="str">
        <f>IF(VLOOKUP($D1399&amp;RIGHT($A1410,1),Players!$A$2:$D$132,3)&lt;&gt;0,"("&amp;VLOOKUP($D1399&amp;RIGHT($A1410,1),Players!$A$2:$D$132,4)&amp;")","")</f>
        <v/>
      </c>
    </row>
    <row r="1411" spans="1:10" ht="25.5" customHeight="1">
      <c r="A1411" s="50" t="str">
        <f>CONCATENATE($I1399,"6")</f>
        <v>G6</v>
      </c>
      <c r="B1411" s="255" t="str">
        <f>IF(VLOOKUP($A1411,Players!$A$2:$C$132,3)&lt;&gt;0,VLOOKUP($A1411,Players!$A$2:$C$132,3),"")</f>
        <v/>
      </c>
      <c r="C1411" s="255"/>
      <c r="D1411" s="255"/>
      <c r="E1411" s="255"/>
      <c r="F1411" s="255"/>
      <c r="G1411" s="254" t="str">
        <f>IF(VLOOKUP($D1399&amp;RIGHT($A1411,1),Players!$A$2:$D$132,3)&lt;&gt;0,VLOOKUP($D1399&amp;RIGHT($A1411,1),Players!$A$2:$D$132,3),"")</f>
        <v/>
      </c>
      <c r="H1411" s="254"/>
      <c r="I1411" s="254"/>
      <c r="J1411" s="210" t="str">
        <f>IF(VLOOKUP($D1399&amp;RIGHT($A1411,1),Players!$A$2:$D$132,3)&lt;&gt;0,"("&amp;VLOOKUP($D1399&amp;RIGHT($A1411,1),Players!$A$2:$D$132,4)&amp;")","")</f>
        <v/>
      </c>
    </row>
    <row r="1412" spans="1:10" ht="25.5" customHeight="1">
      <c r="A1412" s="50" t="str">
        <f>CONCATENATE($I1399,"7")</f>
        <v>G7</v>
      </c>
      <c r="B1412" s="255" t="str">
        <f>IF(VLOOKUP($A1412,Players!$A$2:$C$132,3)&lt;&gt;0,VLOOKUP($A1412,Players!$A$2:$C$132,3),"")</f>
        <v/>
      </c>
      <c r="C1412" s="255"/>
      <c r="D1412" s="255"/>
      <c r="E1412" s="255"/>
      <c r="F1412" s="255"/>
      <c r="G1412" s="254" t="str">
        <f>IF(VLOOKUP($D1399&amp;RIGHT($A1412,1),Players!$A$2:$D$132,3)&lt;&gt;0,VLOOKUP($D1399&amp;RIGHT($A1412,1),Players!$A$2:$D$132,3),"")</f>
        <v/>
      </c>
      <c r="H1412" s="254"/>
      <c r="I1412" s="254"/>
      <c r="J1412" s="210" t="str">
        <f>IF(VLOOKUP($D1399&amp;RIGHT($A1412,1),Players!$A$2:$D$132,3)&lt;&gt;0,"("&amp;VLOOKUP($D1399&amp;RIGHT($A1412,1),Players!$A$2:$D$132,4)&amp;")","")</f>
        <v/>
      </c>
    </row>
    <row r="1413" spans="1:10" ht="25.5" customHeight="1">
      <c r="A1413" s="50" t="str">
        <f>CONCATENATE($I1399,"8")</f>
        <v>G8</v>
      </c>
      <c r="B1413" s="255" t="str">
        <f>IF(VLOOKUP($A1413,Players!$A$2:$C$132,3)&lt;&gt;0,VLOOKUP($A1413,Players!$A$2:$C$132,3),"")</f>
        <v/>
      </c>
      <c r="C1413" s="255"/>
      <c r="D1413" s="255"/>
      <c r="E1413" s="255"/>
      <c r="F1413" s="255"/>
      <c r="G1413" s="254" t="str">
        <f>IF(VLOOKUP($D1399&amp;RIGHT($A1413,1),Players!$A$2:$D$132,3)&lt;&gt;0,VLOOKUP($D1399&amp;RIGHT($A1413,1),Players!$A$2:$D$132,3),"")</f>
        <v/>
      </c>
      <c r="H1413" s="254"/>
      <c r="I1413" s="254"/>
      <c r="J1413" s="210" t="str">
        <f>IF(VLOOKUP($D1399&amp;RIGHT($A1413,1),Players!$A$2:$D$132,3)&lt;&gt;0,"("&amp;VLOOKUP($D1399&amp;RIGHT($A1413,1),Players!$A$2:$D$132,4)&amp;")","")</f>
        <v/>
      </c>
    </row>
    <row r="1414" spans="1:10" ht="25.5" customHeight="1">
      <c r="A1414" s="50"/>
      <c r="B1414" s="26"/>
      <c r="C1414" s="26"/>
      <c r="D1414" s="26"/>
      <c r="E1414" s="26"/>
      <c r="F1414" s="27"/>
      <c r="G1414" s="43"/>
      <c r="H1414" s="43"/>
      <c r="I1414" s="43"/>
      <c r="J1414" s="43"/>
    </row>
    <row r="1415" spans="1:10">
      <c r="A1415" s="49" t="s">
        <v>1225</v>
      </c>
      <c r="B1415" s="46"/>
      <c r="C1415" s="46"/>
      <c r="D1415" s="46"/>
      <c r="E1415" s="46"/>
      <c r="F1415" s="46"/>
      <c r="G1415" s="43"/>
      <c r="H1415" s="43"/>
      <c r="I1415" s="43"/>
      <c r="J1415" s="43"/>
    </row>
    <row r="1416" spans="1:10">
      <c r="A1416" s="46" t="s">
        <v>1247</v>
      </c>
      <c r="B1416" s="46"/>
      <c r="C1416" s="46"/>
      <c r="D1416" s="46"/>
      <c r="E1416" s="46"/>
      <c r="F1416" s="46"/>
      <c r="G1416" s="43"/>
      <c r="H1416" s="43"/>
      <c r="I1416" s="43"/>
      <c r="J1416" s="43"/>
    </row>
    <row r="1417" spans="1:10">
      <c r="A1417" s="46" t="s">
        <v>1248</v>
      </c>
      <c r="B1417" s="46"/>
      <c r="C1417" s="46"/>
      <c r="D1417" s="46"/>
      <c r="E1417" s="46"/>
      <c r="F1417" s="46"/>
      <c r="G1417" s="43"/>
      <c r="H1417" s="43"/>
      <c r="I1417" s="43"/>
      <c r="J1417" s="43"/>
    </row>
    <row r="1418" spans="1:10" ht="13.5" thickBot="1">
      <c r="A1418" s="46"/>
      <c r="B1418" s="46"/>
      <c r="C1418" s="46"/>
      <c r="D1418" s="46"/>
      <c r="E1418" s="46"/>
      <c r="F1418" s="46"/>
      <c r="G1418" s="43"/>
      <c r="H1418" s="43"/>
      <c r="I1418" s="43"/>
      <c r="J1418" s="43"/>
    </row>
    <row r="1419" spans="1:10" ht="25.5" customHeight="1" thickBot="1">
      <c r="A1419" s="50"/>
      <c r="B1419" s="257"/>
      <c r="C1419" s="258"/>
      <c r="D1419" s="258"/>
      <c r="E1419" s="258"/>
      <c r="F1419" s="259"/>
      <c r="G1419" s="43"/>
      <c r="H1419" s="43"/>
      <c r="I1419" s="43"/>
      <c r="J1419" s="43"/>
    </row>
    <row r="1420" spans="1:10">
      <c r="A1420" s="43"/>
      <c r="B1420" s="43"/>
      <c r="C1420" s="43"/>
      <c r="D1420" s="43"/>
      <c r="E1420" s="43"/>
      <c r="F1420" s="43"/>
      <c r="G1420" s="43"/>
      <c r="H1420" s="43"/>
      <c r="I1420" s="43"/>
      <c r="J1420" s="43"/>
    </row>
    <row r="1421" spans="1:10">
      <c r="A1421" s="43"/>
      <c r="B1421" s="43"/>
      <c r="C1421" s="43"/>
      <c r="D1421" s="43"/>
      <c r="E1421" s="43"/>
      <c r="F1421" s="43"/>
      <c r="G1421" s="43"/>
      <c r="H1421" s="43"/>
      <c r="I1421" s="43"/>
      <c r="J1421" s="43"/>
    </row>
    <row r="1422" spans="1:10">
      <c r="A1422" s="43"/>
      <c r="B1422" s="43"/>
      <c r="C1422" s="43"/>
      <c r="D1422" s="43"/>
      <c r="E1422" s="43"/>
      <c r="F1422" s="43"/>
      <c r="G1422" s="43"/>
      <c r="H1422" s="43"/>
      <c r="I1422" s="43"/>
      <c r="J1422" s="43"/>
    </row>
    <row r="1423" spans="1:10">
      <c r="A1423" s="43"/>
      <c r="B1423" s="43"/>
      <c r="C1423" s="43"/>
      <c r="D1423" s="43"/>
      <c r="E1423" s="43"/>
      <c r="F1423" s="43"/>
      <c r="G1423" s="43"/>
      <c r="H1423" s="43"/>
      <c r="I1423" s="43"/>
      <c r="J1423" s="43"/>
    </row>
    <row r="1424" spans="1:10">
      <c r="A1424" s="43"/>
      <c r="B1424" s="43"/>
      <c r="C1424" s="43"/>
      <c r="D1424" s="43"/>
      <c r="E1424" s="43"/>
      <c r="F1424" s="43"/>
      <c r="G1424" s="43"/>
      <c r="H1424" s="43"/>
      <c r="I1424" s="43"/>
      <c r="J1424" s="43"/>
    </row>
    <row r="1425" spans="1:10" ht="25.5" customHeight="1">
      <c r="A1425" s="47"/>
      <c r="B1425" s="47"/>
      <c r="C1425" s="47"/>
      <c r="D1425" s="47"/>
      <c r="E1425" s="47"/>
      <c r="F1425" s="43"/>
      <c r="G1425" s="51"/>
      <c r="H1425" s="250" t="s">
        <v>1227</v>
      </c>
      <c r="I1425" s="251"/>
      <c r="J1425" s="43"/>
    </row>
    <row r="1426" spans="1:10">
      <c r="A1426" s="43" t="s">
        <v>1226</v>
      </c>
      <c r="B1426" s="43"/>
      <c r="C1426" s="43"/>
      <c r="D1426" s="43"/>
      <c r="E1426" s="43"/>
      <c r="F1426" s="43"/>
      <c r="G1426" s="43"/>
      <c r="H1426" s="43"/>
      <c r="I1426" s="43"/>
      <c r="J1426" s="43"/>
    </row>
    <row r="1427" spans="1:10">
      <c r="A1427" s="43"/>
      <c r="B1427" s="43"/>
      <c r="C1427" s="43"/>
      <c r="D1427" s="43"/>
      <c r="E1427" s="43"/>
      <c r="F1427" s="43"/>
      <c r="G1427" s="43"/>
      <c r="H1427" s="43"/>
      <c r="I1427" s="43"/>
      <c r="J1427" s="43"/>
    </row>
    <row r="1428" spans="1:10">
      <c r="A1428" s="43"/>
      <c r="B1428" s="43"/>
      <c r="C1428" s="43"/>
      <c r="D1428" s="43"/>
      <c r="E1428" s="256" t="str">
        <f>CONCATENATE("(",$D1399," vs ",$I1399,")")</f>
        <v>(A vs G)</v>
      </c>
      <c r="F1428" s="256"/>
      <c r="G1428" s="43"/>
      <c r="H1428" s="43"/>
      <c r="I1428" s="43"/>
      <c r="J1428" s="43"/>
    </row>
    <row r="1429" spans="1:10" ht="15.75">
      <c r="A1429" s="42" t="s">
        <v>1223</v>
      </c>
      <c r="B1429" s="43"/>
      <c r="C1429" s="43"/>
      <c r="D1429" s="43"/>
      <c r="E1429" s="43"/>
      <c r="F1429" s="43"/>
      <c r="G1429" s="43"/>
      <c r="H1429" s="43"/>
      <c r="I1429" s="43"/>
      <c r="J1429" s="96" t="s">
        <v>4261</v>
      </c>
    </row>
    <row r="1430" spans="1:10" ht="12.75" customHeight="1">
      <c r="A1430" s="42"/>
      <c r="B1430" s="43"/>
      <c r="C1430" s="43"/>
      <c r="D1430" s="43"/>
      <c r="E1430" s="43"/>
      <c r="F1430" s="43"/>
      <c r="G1430" s="43" t="str">
        <f ca="1">Team_Matches!$J$6</f>
        <v>[NCTTA Teams Template (v2.06).xlsx]</v>
      </c>
      <c r="H1430" s="43"/>
      <c r="I1430" s="43"/>
      <c r="J1430" s="160"/>
    </row>
    <row r="1431" spans="1:10" ht="12.75" customHeight="1">
      <c r="A1431" s="42"/>
      <c r="B1431" s="43"/>
      <c r="C1431" s="43"/>
      <c r="D1431" s="43"/>
      <c r="E1431" s="43"/>
      <c r="F1431" s="43"/>
      <c r="G1431" s="247" t="str">
        <f>Team_Matches!$J1078</f>
        <v/>
      </c>
      <c r="H1431" s="247"/>
      <c r="I1431" s="161" t="str">
        <f>Team_Matches!$M1078</f>
        <v/>
      </c>
      <c r="J1431" s="161"/>
    </row>
    <row r="1432" spans="1:10" ht="15.75">
      <c r="A1432" s="42"/>
      <c r="B1432" s="43"/>
      <c r="C1432" s="43"/>
      <c r="D1432" s="43"/>
      <c r="E1432" s="43"/>
      <c r="F1432" s="43"/>
      <c r="G1432" s="43"/>
      <c r="H1432" s="43"/>
      <c r="I1432" s="43"/>
      <c r="J1432" s="43"/>
    </row>
    <row r="1433" spans="1:10">
      <c r="A1433" s="43"/>
      <c r="B1433" s="43"/>
      <c r="C1433" s="9" t="s">
        <v>1228</v>
      </c>
      <c r="D1433" s="52" t="str">
        <f>Team_Matches!$B1080</f>
        <v>A</v>
      </c>
      <c r="E1433" s="43"/>
      <c r="F1433" s="97" t="str">
        <f>CONCATENATE($D1433,"-",$I1433)</f>
        <v>A-H</v>
      </c>
      <c r="G1433" s="43"/>
      <c r="H1433" s="9" t="s">
        <v>1228</v>
      </c>
      <c r="I1433" s="52" t="str">
        <f>Team_Matches!$K1080</f>
        <v>H</v>
      </c>
      <c r="J1433" s="43"/>
    </row>
    <row r="1434" spans="1:10" ht="25.5" customHeight="1">
      <c r="A1434" s="44"/>
      <c r="B1434" s="248" t="str">
        <f>IF(VLOOKUP($D1433,Draw!$A$4:$B$27,2)&lt;&gt;0,VLOOKUP($D1433,Draw!$A$4:$B$27,2),"")</f>
        <v/>
      </c>
      <c r="C1434" s="248"/>
      <c r="D1434" s="248"/>
      <c r="E1434" s="249"/>
      <c r="F1434" s="45"/>
      <c r="G1434" s="252" t="str">
        <f>IF(VLOOKUP($I1433,Draw!$A$4:$B$27,2)&lt;&gt;0,VLOOKUP($I1433,Draw!$A$4:$B$27,2),"")</f>
        <v/>
      </c>
      <c r="H1434" s="252"/>
      <c r="I1434" s="252"/>
      <c r="J1434" s="253"/>
    </row>
    <row r="1435" spans="1:10" ht="25.5" customHeight="1"/>
    <row r="1436" spans="1:10" ht="25.5" customHeight="1"/>
    <row r="1437" spans="1:10" ht="24" customHeight="1">
      <c r="A1437" s="48" t="s">
        <v>1246</v>
      </c>
      <c r="B1437" s="43"/>
      <c r="C1437" s="43"/>
      <c r="D1437" s="43"/>
      <c r="E1437" s="43"/>
      <c r="F1437" s="43"/>
      <c r="G1437" s="43"/>
      <c r="H1437" s="43"/>
      <c r="I1437" s="43"/>
      <c r="J1437" s="43"/>
    </row>
    <row r="1438" spans="1:10" ht="24" customHeight="1">
      <c r="A1438" s="48"/>
      <c r="B1438" s="43"/>
      <c r="C1438" s="43"/>
      <c r="D1438" s="43"/>
      <c r="E1438" s="43"/>
      <c r="F1438" s="43"/>
      <c r="G1438" s="43"/>
      <c r="H1438" s="43"/>
      <c r="I1438" s="43"/>
      <c r="J1438" s="43"/>
    </row>
    <row r="1439" spans="1:10">
      <c r="A1439" s="49" t="s">
        <v>1224</v>
      </c>
      <c r="B1439" s="46"/>
      <c r="C1439" s="46"/>
      <c r="D1439" s="46"/>
      <c r="E1439" s="46"/>
      <c r="F1439" s="46"/>
      <c r="G1439" s="260" t="s">
        <v>10336</v>
      </c>
      <c r="H1439" s="260"/>
      <c r="I1439" s="260"/>
      <c r="J1439" s="260"/>
    </row>
    <row r="1440" spans="1:10" ht="24" customHeight="1">
      <c r="A1440" s="50" t="str">
        <f>CONCATENATE($D1433,"1")</f>
        <v>A1</v>
      </c>
      <c r="B1440" s="255" t="str">
        <f>IF(VLOOKUP($A1440,Players!$A$2:$C$132,3)&lt;&gt;0,VLOOKUP($A1440,Players!$A$2:$C$132,3),"")</f>
        <v/>
      </c>
      <c r="C1440" s="255"/>
      <c r="D1440" s="255"/>
      <c r="E1440" s="255"/>
      <c r="F1440" s="255"/>
      <c r="G1440" s="254" t="str">
        <f>IF(VLOOKUP($I1433&amp;RIGHT($A1440,1),Players!$A$2:$D$132,3)&lt;&gt;0,VLOOKUP($I1433&amp;RIGHT($A1440,1),Players!$A$2:$D$132,3),"")</f>
        <v/>
      </c>
      <c r="H1440" s="254"/>
      <c r="I1440" s="254"/>
      <c r="J1440" s="210" t="str">
        <f>IF(VLOOKUP($I1433&amp;RIGHT($A1440,1),Players!$A$2:$D$132,3)&lt;&gt;0,"("&amp;VLOOKUP($I1433&amp;RIGHT($A1440,1),Players!$A$2:$D$132,4)&amp;")","")</f>
        <v/>
      </c>
    </row>
    <row r="1441" spans="1:10" ht="25.5" customHeight="1">
      <c r="A1441" s="50" t="str">
        <f>CONCATENATE($D1433,"2")</f>
        <v>A2</v>
      </c>
      <c r="B1441" s="255" t="str">
        <f>IF(VLOOKUP($A1441,Players!$A$2:$C$132,3)&lt;&gt;0,VLOOKUP($A1441,Players!$A$2:$C$132,3),"")</f>
        <v/>
      </c>
      <c r="C1441" s="255"/>
      <c r="D1441" s="255"/>
      <c r="E1441" s="255"/>
      <c r="F1441" s="255"/>
      <c r="G1441" s="254" t="str">
        <f>IF(VLOOKUP($I1433&amp;RIGHT($A1441,1),Players!$A$2:$D$132,3)&lt;&gt;0,VLOOKUP($I1433&amp;RIGHT($A1441,1),Players!$A$2:$D$132,3),"")</f>
        <v/>
      </c>
      <c r="H1441" s="254"/>
      <c r="I1441" s="254"/>
      <c r="J1441" s="210" t="str">
        <f>IF(VLOOKUP($I1433&amp;RIGHT($A1441,1),Players!$A$2:$D$132,3)&lt;&gt;0,"("&amp;VLOOKUP($I1433&amp;RIGHT($A1441,1),Players!$A$2:$D$132,4)&amp;")","")</f>
        <v/>
      </c>
    </row>
    <row r="1442" spans="1:10" ht="25.5" customHeight="1">
      <c r="A1442" s="50" t="str">
        <f>CONCATENATE($D1433,"3")</f>
        <v>A3</v>
      </c>
      <c r="B1442" s="255" t="str">
        <f>IF(VLOOKUP($A1442,Players!$A$2:$C$132,3)&lt;&gt;0,VLOOKUP($A1442,Players!$A$2:$C$132,3),"")</f>
        <v/>
      </c>
      <c r="C1442" s="255"/>
      <c r="D1442" s="255"/>
      <c r="E1442" s="255"/>
      <c r="F1442" s="255"/>
      <c r="G1442" s="254" t="str">
        <f>IF(VLOOKUP($I1433&amp;RIGHT($A1442,1),Players!$A$2:$D$132,3)&lt;&gt;0,VLOOKUP($I1433&amp;RIGHT($A1442,1),Players!$A$2:$D$132,3),"")</f>
        <v/>
      </c>
      <c r="H1442" s="254"/>
      <c r="I1442" s="254"/>
      <c r="J1442" s="210" t="str">
        <f>IF(VLOOKUP($I1433&amp;RIGHT($A1442,1),Players!$A$2:$D$132,3)&lt;&gt;0,"("&amp;VLOOKUP($I1433&amp;RIGHT($A1442,1),Players!$A$2:$D$132,4)&amp;")","")</f>
        <v/>
      </c>
    </row>
    <row r="1443" spans="1:10" ht="25.5" customHeight="1">
      <c r="A1443" s="50" t="str">
        <f>CONCATENATE($D1433,"4")</f>
        <v>A4</v>
      </c>
      <c r="B1443" s="255" t="str">
        <f>IF(VLOOKUP($A1443,Players!$A$2:$C$132,3)&lt;&gt;0,VLOOKUP($A1443,Players!$A$2:$C$132,3),"")</f>
        <v/>
      </c>
      <c r="C1443" s="255"/>
      <c r="D1443" s="255"/>
      <c r="E1443" s="255"/>
      <c r="F1443" s="255"/>
      <c r="G1443" s="254" t="str">
        <f>IF(VLOOKUP($I1433&amp;RIGHT($A1443,1),Players!$A$2:$D$132,3)&lt;&gt;0,VLOOKUP($I1433&amp;RIGHT($A1443,1),Players!$A$2:$D$132,3),"")</f>
        <v/>
      </c>
      <c r="H1443" s="254"/>
      <c r="I1443" s="254"/>
      <c r="J1443" s="210" t="str">
        <f>IF(VLOOKUP($I1433&amp;RIGHT($A1443,1),Players!$A$2:$D$132,3)&lt;&gt;0,"("&amp;VLOOKUP($I1433&amp;RIGHT($A1443,1),Players!$A$2:$D$132,4)&amp;")","")</f>
        <v/>
      </c>
    </row>
    <row r="1444" spans="1:10" ht="25.5" customHeight="1">
      <c r="A1444" s="50" t="str">
        <f>CONCATENATE($D1433,"5")</f>
        <v>A5</v>
      </c>
      <c r="B1444" s="255" t="str">
        <f>IF(VLOOKUP($A1444,Players!$A$2:$C$132,3)&lt;&gt;0,VLOOKUP($A1444,Players!$A$2:$C$132,3),"")</f>
        <v/>
      </c>
      <c r="C1444" s="255"/>
      <c r="D1444" s="255"/>
      <c r="E1444" s="255"/>
      <c r="F1444" s="255"/>
      <c r="G1444" s="254" t="str">
        <f>IF(VLOOKUP($I1433&amp;RIGHT($A1444,1),Players!$A$2:$D$132,3)&lt;&gt;0,VLOOKUP($I1433&amp;RIGHT($A1444,1),Players!$A$2:$D$132,3),"")</f>
        <v/>
      </c>
      <c r="H1444" s="254"/>
      <c r="I1444" s="254"/>
      <c r="J1444" s="210" t="str">
        <f>IF(VLOOKUP($I1433&amp;RIGHT($A1444,1),Players!$A$2:$D$132,3)&lt;&gt;0,"("&amp;VLOOKUP($I1433&amp;RIGHT($A1444,1),Players!$A$2:$D$132,4)&amp;")","")</f>
        <v/>
      </c>
    </row>
    <row r="1445" spans="1:10" ht="25.5" customHeight="1">
      <c r="A1445" s="50" t="str">
        <f>CONCATENATE($D1433,"6")</f>
        <v>A6</v>
      </c>
      <c r="B1445" s="255" t="str">
        <f>IF(VLOOKUP($A1445,Players!$A$2:$C$132,3)&lt;&gt;0,VLOOKUP($A1445,Players!$A$2:$C$132,3),"")</f>
        <v/>
      </c>
      <c r="C1445" s="255"/>
      <c r="D1445" s="255"/>
      <c r="E1445" s="255"/>
      <c r="F1445" s="255"/>
      <c r="G1445" s="254" t="str">
        <f>IF(VLOOKUP($I1433&amp;RIGHT($A1445,1),Players!$A$2:$D$132,3)&lt;&gt;0,VLOOKUP($I1433&amp;RIGHT($A1445,1),Players!$A$2:$D$132,3),"")</f>
        <v/>
      </c>
      <c r="H1445" s="254"/>
      <c r="I1445" s="254"/>
      <c r="J1445" s="210" t="str">
        <f>IF(VLOOKUP($I1433&amp;RIGHT($A1445,1),Players!$A$2:$D$132,3)&lt;&gt;0,"("&amp;VLOOKUP($I1433&amp;RIGHT($A1445,1),Players!$A$2:$D$132,4)&amp;")","")</f>
        <v/>
      </c>
    </row>
    <row r="1446" spans="1:10" ht="25.5" customHeight="1">
      <c r="A1446" s="50" t="str">
        <f>CONCATENATE($D1433,"7")</f>
        <v>A7</v>
      </c>
      <c r="B1446" s="255" t="str">
        <f>IF(VLOOKUP($A1446,Players!$A$2:$C$132,3)&lt;&gt;0,VLOOKUP($A1446,Players!$A$2:$C$132,3),"")</f>
        <v/>
      </c>
      <c r="C1446" s="255"/>
      <c r="D1446" s="255"/>
      <c r="E1446" s="255"/>
      <c r="F1446" s="255"/>
      <c r="G1446" s="254" t="str">
        <f>IF(VLOOKUP($I1433&amp;RIGHT($A1446,1),Players!$A$2:$D$132,3)&lt;&gt;0,VLOOKUP($I1433&amp;RIGHT($A1446,1),Players!$A$2:$D$132,3),"")</f>
        <v/>
      </c>
      <c r="H1446" s="254"/>
      <c r="I1446" s="254"/>
      <c r="J1446" s="210" t="str">
        <f>IF(VLOOKUP($I1433&amp;RIGHT($A1446,1),Players!$A$2:$D$132,3)&lt;&gt;0,"("&amp;VLOOKUP($I1433&amp;RIGHT($A1446,1),Players!$A$2:$D$132,4)&amp;")","")</f>
        <v/>
      </c>
    </row>
    <row r="1447" spans="1:10" ht="25.5" customHeight="1">
      <c r="A1447" s="50" t="str">
        <f>CONCATENATE($D1433,"8")</f>
        <v>A8</v>
      </c>
      <c r="B1447" s="255" t="str">
        <f>IF(VLOOKUP($A1447,Players!$A$2:$C$132,3)&lt;&gt;0,VLOOKUP($A1447,Players!$A$2:$C$132,3),"")</f>
        <v/>
      </c>
      <c r="C1447" s="255"/>
      <c r="D1447" s="255"/>
      <c r="E1447" s="255"/>
      <c r="F1447" s="255"/>
      <c r="G1447" s="254" t="str">
        <f>IF(VLOOKUP($I1433&amp;RIGHT($A1447,1),Players!$A$2:$D$132,3)&lt;&gt;0,VLOOKUP($I1433&amp;RIGHT($A1447,1),Players!$A$2:$D$132,3),"")</f>
        <v/>
      </c>
      <c r="H1447" s="254"/>
      <c r="I1447" s="254"/>
      <c r="J1447" s="210" t="str">
        <f>IF(VLOOKUP($I1433&amp;RIGHT($A1447,1),Players!$A$2:$D$132,3)&lt;&gt;0,"("&amp;VLOOKUP($I1433&amp;RIGHT($A1447,1),Players!$A$2:$D$132,4)&amp;")","")</f>
        <v/>
      </c>
    </row>
    <row r="1448" spans="1:10" ht="25.5" customHeight="1">
      <c r="A1448" s="50"/>
      <c r="B1448" s="26"/>
      <c r="C1448" s="26"/>
      <c r="D1448" s="26"/>
      <c r="E1448" s="26"/>
      <c r="F1448" s="27"/>
      <c r="G1448" s="43"/>
      <c r="H1448" s="43"/>
      <c r="I1448" s="43"/>
      <c r="J1448" s="43"/>
    </row>
    <row r="1449" spans="1:10">
      <c r="A1449" s="49" t="s">
        <v>1225</v>
      </c>
      <c r="B1449" s="46"/>
      <c r="C1449" s="46"/>
      <c r="D1449" s="46"/>
      <c r="E1449" s="46"/>
      <c r="F1449" s="46"/>
      <c r="G1449" s="43"/>
      <c r="H1449" s="43"/>
      <c r="I1449" s="43"/>
      <c r="J1449" s="43"/>
    </row>
    <row r="1450" spans="1:10">
      <c r="A1450" s="46" t="s">
        <v>1247</v>
      </c>
      <c r="B1450" s="46"/>
      <c r="C1450" s="46"/>
      <c r="D1450" s="46"/>
      <c r="E1450" s="46"/>
      <c r="F1450" s="46"/>
      <c r="G1450" s="43"/>
      <c r="H1450" s="43"/>
      <c r="I1450" s="43"/>
      <c r="J1450" s="43"/>
    </row>
    <row r="1451" spans="1:10">
      <c r="A1451" s="46" t="s">
        <v>1248</v>
      </c>
      <c r="B1451" s="46"/>
      <c r="C1451" s="46"/>
      <c r="D1451" s="46"/>
      <c r="E1451" s="46"/>
      <c r="F1451" s="46"/>
      <c r="G1451" s="43"/>
      <c r="H1451" s="43"/>
      <c r="I1451" s="43"/>
      <c r="J1451" s="43"/>
    </row>
    <row r="1452" spans="1:10" ht="13.5" thickBot="1">
      <c r="A1452" s="46"/>
      <c r="B1452" s="46"/>
      <c r="C1452" s="46"/>
      <c r="D1452" s="46"/>
      <c r="E1452" s="46"/>
      <c r="F1452" s="46"/>
      <c r="G1452" s="43"/>
      <c r="H1452" s="43"/>
      <c r="I1452" s="43"/>
      <c r="J1452" s="43"/>
    </row>
    <row r="1453" spans="1:10" ht="25.5" customHeight="1" thickBot="1">
      <c r="A1453" s="50"/>
      <c r="B1453" s="257"/>
      <c r="C1453" s="258"/>
      <c r="D1453" s="258"/>
      <c r="E1453" s="258"/>
      <c r="F1453" s="259"/>
      <c r="G1453" s="43"/>
      <c r="H1453" s="43"/>
      <c r="I1453" s="43"/>
      <c r="J1453" s="43"/>
    </row>
    <row r="1454" spans="1:10">
      <c r="A1454" s="43"/>
      <c r="B1454" s="43"/>
      <c r="C1454" s="43"/>
      <c r="D1454" s="43"/>
      <c r="E1454" s="43"/>
      <c r="F1454" s="43"/>
      <c r="G1454" s="43"/>
      <c r="H1454" s="43"/>
      <c r="I1454" s="43"/>
      <c r="J1454" s="43"/>
    </row>
    <row r="1455" spans="1:10">
      <c r="A1455" s="43"/>
      <c r="B1455" s="43"/>
      <c r="C1455" s="43"/>
      <c r="D1455" s="43"/>
      <c r="E1455" s="43"/>
      <c r="F1455" s="43"/>
      <c r="G1455" s="43"/>
      <c r="H1455" s="43"/>
      <c r="I1455" s="43"/>
      <c r="J1455" s="43"/>
    </row>
    <row r="1456" spans="1:10">
      <c r="A1456" s="43"/>
      <c r="B1456" s="43"/>
      <c r="C1456" s="43"/>
      <c r="D1456" s="43"/>
      <c r="E1456" s="43"/>
      <c r="F1456" s="43"/>
      <c r="G1456" s="43"/>
      <c r="H1456" s="43"/>
      <c r="I1456" s="43"/>
      <c r="J1456" s="43"/>
    </row>
    <row r="1457" spans="1:10">
      <c r="A1457" s="43"/>
      <c r="B1457" s="43"/>
      <c r="C1457" s="43"/>
      <c r="D1457" s="43"/>
      <c r="E1457" s="43"/>
      <c r="F1457" s="43"/>
      <c r="G1457" s="43"/>
      <c r="H1457" s="43"/>
      <c r="I1457" s="43"/>
      <c r="J1457" s="43"/>
    </row>
    <row r="1458" spans="1:10">
      <c r="A1458" s="43"/>
      <c r="B1458" s="43"/>
      <c r="C1458" s="43"/>
      <c r="D1458" s="43"/>
      <c r="E1458" s="43"/>
      <c r="F1458" s="43"/>
      <c r="G1458" s="43"/>
      <c r="H1458" s="43"/>
      <c r="I1458" s="43"/>
      <c r="J1458" s="43"/>
    </row>
    <row r="1459" spans="1:10" ht="25.5" customHeight="1">
      <c r="A1459" s="47"/>
      <c r="B1459" s="47"/>
      <c r="C1459" s="47"/>
      <c r="D1459" s="47"/>
      <c r="E1459" s="47"/>
      <c r="F1459" s="43"/>
      <c r="G1459" s="51"/>
      <c r="H1459" s="250" t="s">
        <v>1227</v>
      </c>
      <c r="I1459" s="251"/>
      <c r="J1459" s="43"/>
    </row>
    <row r="1460" spans="1:10">
      <c r="A1460" s="43" t="s">
        <v>1226</v>
      </c>
      <c r="B1460" s="43"/>
      <c r="C1460" s="43"/>
      <c r="D1460" s="43"/>
      <c r="E1460" s="43"/>
      <c r="F1460" s="43"/>
      <c r="G1460" s="43"/>
      <c r="H1460" s="43"/>
      <c r="I1460" s="43"/>
      <c r="J1460" s="43"/>
    </row>
    <row r="1461" spans="1:10">
      <c r="A1461" s="43"/>
      <c r="B1461" s="43"/>
      <c r="C1461" s="43"/>
      <c r="D1461" s="43"/>
      <c r="E1461" s="43"/>
      <c r="F1461" s="43"/>
      <c r="G1461" s="43"/>
      <c r="H1461" s="43"/>
      <c r="I1461" s="43"/>
      <c r="J1461" s="43"/>
    </row>
    <row r="1462" spans="1:10">
      <c r="A1462" s="43"/>
      <c r="B1462" s="43"/>
      <c r="C1462" s="43"/>
      <c r="D1462" s="43"/>
      <c r="E1462" s="256" t="str">
        <f>CONCATENATE("(",$D1433," vs ",$I1433,")")</f>
        <v>(A vs H)</v>
      </c>
      <c r="F1462" s="256"/>
      <c r="G1462" s="43"/>
      <c r="H1462" s="43"/>
      <c r="I1462" s="43"/>
      <c r="J1462" s="43"/>
    </row>
    <row r="1463" spans="1:10" ht="15.75">
      <c r="A1463" s="42" t="s">
        <v>1223</v>
      </c>
      <c r="B1463" s="43"/>
      <c r="C1463" s="43"/>
      <c r="D1463" s="43"/>
      <c r="E1463" s="43"/>
      <c r="F1463" s="43"/>
      <c r="G1463" s="43"/>
      <c r="H1463" s="43"/>
      <c r="I1463" s="43"/>
      <c r="J1463" s="96" t="s">
        <v>4262</v>
      </c>
    </row>
    <row r="1464" spans="1:10" ht="12.75" customHeight="1">
      <c r="A1464" s="42"/>
      <c r="B1464" s="43"/>
      <c r="C1464" s="43"/>
      <c r="D1464" s="43"/>
      <c r="E1464" s="43"/>
      <c r="F1464" s="43"/>
      <c r="G1464" s="43" t="str">
        <f ca="1">Team_Matches!$J$6</f>
        <v>[NCTTA Teams Template (v2.06).xlsx]</v>
      </c>
      <c r="H1464" s="43"/>
      <c r="I1464" s="43"/>
      <c r="J1464" s="160"/>
    </row>
    <row r="1465" spans="1:10" ht="12.75" customHeight="1">
      <c r="A1465" s="42"/>
      <c r="B1465" s="43"/>
      <c r="C1465" s="43"/>
      <c r="D1465" s="43"/>
      <c r="E1465" s="43"/>
      <c r="F1465" s="43"/>
      <c r="G1465" s="247" t="str">
        <f>Team_Matches!$J1078</f>
        <v/>
      </c>
      <c r="H1465" s="247"/>
      <c r="I1465" s="161" t="str">
        <f>Team_Matches!$M1078</f>
        <v/>
      </c>
      <c r="J1465" s="161"/>
    </row>
    <row r="1466" spans="1:10" ht="15.75">
      <c r="A1466" s="42"/>
      <c r="B1466" s="43"/>
      <c r="C1466" s="43"/>
      <c r="D1466" s="43"/>
      <c r="E1466" s="43"/>
      <c r="F1466" s="43"/>
      <c r="G1466" s="43"/>
      <c r="H1466" s="43"/>
      <c r="I1466" s="43"/>
      <c r="J1466" s="43"/>
    </row>
    <row r="1467" spans="1:10">
      <c r="A1467" s="43"/>
      <c r="B1467" s="43"/>
      <c r="C1467" s="9" t="s">
        <v>1228</v>
      </c>
      <c r="D1467" s="52" t="str">
        <f>Team_Matches!$B1080</f>
        <v>A</v>
      </c>
      <c r="E1467" s="43"/>
      <c r="F1467" s="97" t="str">
        <f>CONCATENATE($D1467,"-",$I1467)</f>
        <v>A-H</v>
      </c>
      <c r="G1467" s="43"/>
      <c r="H1467" s="9" t="s">
        <v>1228</v>
      </c>
      <c r="I1467" s="52" t="str">
        <f>Team_Matches!$K1080</f>
        <v>H</v>
      </c>
      <c r="J1467" s="43"/>
    </row>
    <row r="1468" spans="1:10" ht="25.5" customHeight="1">
      <c r="A1468" s="44"/>
      <c r="B1468" s="252" t="str">
        <f>IF(VLOOKUP($D1467,Draw!$A$4:$B$27,2)&lt;&gt;0,VLOOKUP($D1467,Draw!$A$4:$B$27,2),"")</f>
        <v/>
      </c>
      <c r="C1468" s="252"/>
      <c r="D1468" s="252"/>
      <c r="E1468" s="253"/>
      <c r="F1468" s="45"/>
      <c r="G1468" s="248" t="str">
        <f>IF(VLOOKUP($I1467,Draw!$A$4:$B$27,2)&lt;&gt;0,VLOOKUP($I1467,Draw!$A$4:$B$27,2),"")</f>
        <v/>
      </c>
      <c r="H1468" s="248"/>
      <c r="I1468" s="248"/>
      <c r="J1468" s="249"/>
    </row>
    <row r="1469" spans="1:10" ht="25.5" customHeight="1"/>
    <row r="1470" spans="1:10" ht="25.5" customHeight="1"/>
    <row r="1471" spans="1:10" ht="24" customHeight="1">
      <c r="A1471" s="48" t="s">
        <v>1246</v>
      </c>
      <c r="B1471" s="43"/>
      <c r="C1471" s="43"/>
      <c r="D1471" s="43"/>
      <c r="E1471" s="43"/>
      <c r="F1471" s="43"/>
      <c r="G1471" s="43"/>
      <c r="H1471" s="43"/>
      <c r="I1471" s="43"/>
      <c r="J1471" s="43"/>
    </row>
    <row r="1472" spans="1:10" ht="24" customHeight="1">
      <c r="A1472" s="48"/>
      <c r="B1472" s="43"/>
      <c r="C1472" s="43"/>
      <c r="D1472" s="43"/>
      <c r="E1472" s="43"/>
      <c r="F1472" s="43"/>
      <c r="G1472" s="43"/>
      <c r="H1472" s="43"/>
      <c r="I1472" s="43"/>
      <c r="J1472" s="43"/>
    </row>
    <row r="1473" spans="1:10">
      <c r="A1473" s="49" t="s">
        <v>1224</v>
      </c>
      <c r="B1473" s="46"/>
      <c r="C1473" s="46"/>
      <c r="D1473" s="46"/>
      <c r="E1473" s="46"/>
      <c r="F1473" s="46"/>
      <c r="G1473" s="260" t="s">
        <v>10336</v>
      </c>
      <c r="H1473" s="260"/>
      <c r="I1473" s="260"/>
      <c r="J1473" s="260"/>
    </row>
    <row r="1474" spans="1:10" ht="24" customHeight="1">
      <c r="A1474" s="50" t="str">
        <f>CONCATENATE($I1467,"1")</f>
        <v>H1</v>
      </c>
      <c r="B1474" s="255" t="str">
        <f>IF(VLOOKUP($A1474,Players!$A$2:$C$132,3)&lt;&gt;0,VLOOKUP($A1474,Players!$A$2:$C$132,3),"")</f>
        <v/>
      </c>
      <c r="C1474" s="255"/>
      <c r="D1474" s="255"/>
      <c r="E1474" s="255"/>
      <c r="F1474" s="255"/>
      <c r="G1474" s="254" t="str">
        <f>IF(VLOOKUP($D1467&amp;RIGHT($A1474,1),Players!$A$2:$D$132,3)&lt;&gt;0,VLOOKUP($D1467&amp;RIGHT($A1474,1),Players!$A$2:$D$132,3),"")</f>
        <v/>
      </c>
      <c r="H1474" s="254"/>
      <c r="I1474" s="254"/>
      <c r="J1474" s="210" t="str">
        <f>IF(VLOOKUP($D1467&amp;RIGHT($A1474,1),Players!$A$2:$D$132,3)&lt;&gt;0,"("&amp;VLOOKUP($D1467&amp;RIGHT($A1474,1),Players!$A$2:$D$132,4)&amp;")","")</f>
        <v/>
      </c>
    </row>
    <row r="1475" spans="1:10" ht="25.5" customHeight="1">
      <c r="A1475" s="50" t="str">
        <f>CONCATENATE($I1467,"2")</f>
        <v>H2</v>
      </c>
      <c r="B1475" s="255" t="str">
        <f>IF(VLOOKUP($A1475,Players!$A$2:$C$132,3)&lt;&gt;0,VLOOKUP($A1475,Players!$A$2:$C$132,3),"")</f>
        <v/>
      </c>
      <c r="C1475" s="255"/>
      <c r="D1475" s="255"/>
      <c r="E1475" s="255"/>
      <c r="F1475" s="255"/>
      <c r="G1475" s="254" t="str">
        <f>IF(VLOOKUP($D1467&amp;RIGHT($A1475,1),Players!$A$2:$D$132,3)&lt;&gt;0,VLOOKUP($D1467&amp;RIGHT($A1475,1),Players!$A$2:$D$132,3),"")</f>
        <v/>
      </c>
      <c r="H1475" s="254"/>
      <c r="I1475" s="254"/>
      <c r="J1475" s="210" t="str">
        <f>IF(VLOOKUP($D1467&amp;RIGHT($A1475,1),Players!$A$2:$D$132,3)&lt;&gt;0,"("&amp;VLOOKUP($D1467&amp;RIGHT($A1475,1),Players!$A$2:$D$132,4)&amp;")","")</f>
        <v/>
      </c>
    </row>
    <row r="1476" spans="1:10" ht="25.5" customHeight="1">
      <c r="A1476" s="50" t="str">
        <f>CONCATENATE($I1467,"3")</f>
        <v>H3</v>
      </c>
      <c r="B1476" s="255" t="str">
        <f>IF(VLOOKUP($A1476,Players!$A$2:$C$132,3)&lt;&gt;0,VLOOKUP($A1476,Players!$A$2:$C$132,3),"")</f>
        <v/>
      </c>
      <c r="C1476" s="255"/>
      <c r="D1476" s="255"/>
      <c r="E1476" s="255"/>
      <c r="F1476" s="255"/>
      <c r="G1476" s="254" t="str">
        <f>IF(VLOOKUP($D1467&amp;RIGHT($A1476,1),Players!$A$2:$D$132,3)&lt;&gt;0,VLOOKUP($D1467&amp;RIGHT($A1476,1),Players!$A$2:$D$132,3),"")</f>
        <v/>
      </c>
      <c r="H1476" s="254"/>
      <c r="I1476" s="254"/>
      <c r="J1476" s="210" t="str">
        <f>IF(VLOOKUP($D1467&amp;RIGHT($A1476,1),Players!$A$2:$D$132,3)&lt;&gt;0,"("&amp;VLOOKUP($D1467&amp;RIGHT($A1476,1),Players!$A$2:$D$132,4)&amp;")","")</f>
        <v/>
      </c>
    </row>
    <row r="1477" spans="1:10" ht="25.5" customHeight="1">
      <c r="A1477" s="50" t="str">
        <f>CONCATENATE($I1467,"4")</f>
        <v>H4</v>
      </c>
      <c r="B1477" s="255" t="str">
        <f>IF(VLOOKUP($A1477,Players!$A$2:$C$132,3)&lt;&gt;0,VLOOKUP($A1477,Players!$A$2:$C$132,3),"")</f>
        <v/>
      </c>
      <c r="C1477" s="255"/>
      <c r="D1477" s="255"/>
      <c r="E1477" s="255"/>
      <c r="F1477" s="255"/>
      <c r="G1477" s="254" t="str">
        <f>IF(VLOOKUP($D1467&amp;RIGHT($A1477,1),Players!$A$2:$D$132,3)&lt;&gt;0,VLOOKUP($D1467&amp;RIGHT($A1477,1),Players!$A$2:$D$132,3),"")</f>
        <v/>
      </c>
      <c r="H1477" s="254"/>
      <c r="I1477" s="254"/>
      <c r="J1477" s="210" t="str">
        <f>IF(VLOOKUP($D1467&amp;RIGHT($A1477,1),Players!$A$2:$D$132,3)&lt;&gt;0,"("&amp;VLOOKUP($D1467&amp;RIGHT($A1477,1),Players!$A$2:$D$132,4)&amp;")","")</f>
        <v/>
      </c>
    </row>
    <row r="1478" spans="1:10" ht="25.5" customHeight="1">
      <c r="A1478" s="50" t="str">
        <f>CONCATENATE($I1467,"5")</f>
        <v>H5</v>
      </c>
      <c r="B1478" s="255" t="str">
        <f>IF(VLOOKUP($A1478,Players!$A$2:$C$132,3)&lt;&gt;0,VLOOKUP($A1478,Players!$A$2:$C$132,3),"")</f>
        <v/>
      </c>
      <c r="C1478" s="255"/>
      <c r="D1478" s="255"/>
      <c r="E1478" s="255"/>
      <c r="F1478" s="255"/>
      <c r="G1478" s="254" t="str">
        <f>IF(VLOOKUP($D1467&amp;RIGHT($A1478,1),Players!$A$2:$D$132,3)&lt;&gt;0,VLOOKUP($D1467&amp;RIGHT($A1478,1),Players!$A$2:$D$132,3),"")</f>
        <v/>
      </c>
      <c r="H1478" s="254"/>
      <c r="I1478" s="254"/>
      <c r="J1478" s="210" t="str">
        <f>IF(VLOOKUP($D1467&amp;RIGHT($A1478,1),Players!$A$2:$D$132,3)&lt;&gt;0,"("&amp;VLOOKUP($D1467&amp;RIGHT($A1478,1),Players!$A$2:$D$132,4)&amp;")","")</f>
        <v/>
      </c>
    </row>
    <row r="1479" spans="1:10" ht="25.5" customHeight="1">
      <c r="A1479" s="50" t="str">
        <f>CONCATENATE($I1467,"6")</f>
        <v>H6</v>
      </c>
      <c r="B1479" s="255" t="str">
        <f>IF(VLOOKUP($A1479,Players!$A$2:$C$132,3)&lt;&gt;0,VLOOKUP($A1479,Players!$A$2:$C$132,3),"")</f>
        <v/>
      </c>
      <c r="C1479" s="255"/>
      <c r="D1479" s="255"/>
      <c r="E1479" s="255"/>
      <c r="F1479" s="255"/>
      <c r="G1479" s="254" t="str">
        <f>IF(VLOOKUP($D1467&amp;RIGHT($A1479,1),Players!$A$2:$D$132,3)&lt;&gt;0,VLOOKUP($D1467&amp;RIGHT($A1479,1),Players!$A$2:$D$132,3),"")</f>
        <v/>
      </c>
      <c r="H1479" s="254"/>
      <c r="I1479" s="254"/>
      <c r="J1479" s="210" t="str">
        <f>IF(VLOOKUP($D1467&amp;RIGHT($A1479,1),Players!$A$2:$D$132,3)&lt;&gt;0,"("&amp;VLOOKUP($D1467&amp;RIGHT($A1479,1),Players!$A$2:$D$132,4)&amp;")","")</f>
        <v/>
      </c>
    </row>
    <row r="1480" spans="1:10" ht="25.5" customHeight="1">
      <c r="A1480" s="50" t="str">
        <f>CONCATENATE($I1467,"7")</f>
        <v>H7</v>
      </c>
      <c r="B1480" s="255" t="str">
        <f>IF(VLOOKUP($A1480,Players!$A$2:$C$132,3)&lt;&gt;0,VLOOKUP($A1480,Players!$A$2:$C$132,3),"")</f>
        <v/>
      </c>
      <c r="C1480" s="255"/>
      <c r="D1480" s="255"/>
      <c r="E1480" s="255"/>
      <c r="F1480" s="255"/>
      <c r="G1480" s="254" t="str">
        <f>IF(VLOOKUP($D1467&amp;RIGHT($A1480,1),Players!$A$2:$D$132,3)&lt;&gt;0,VLOOKUP($D1467&amp;RIGHT($A1480,1),Players!$A$2:$D$132,3),"")</f>
        <v/>
      </c>
      <c r="H1480" s="254"/>
      <c r="I1480" s="254"/>
      <c r="J1480" s="210" t="str">
        <f>IF(VLOOKUP($D1467&amp;RIGHT($A1480,1),Players!$A$2:$D$132,3)&lt;&gt;0,"("&amp;VLOOKUP($D1467&amp;RIGHT($A1480,1),Players!$A$2:$D$132,4)&amp;")","")</f>
        <v/>
      </c>
    </row>
    <row r="1481" spans="1:10" ht="25.5" customHeight="1">
      <c r="A1481" s="50" t="str">
        <f>CONCATENATE($I1467,"8")</f>
        <v>H8</v>
      </c>
      <c r="B1481" s="255" t="str">
        <f>IF(VLOOKUP($A1481,Players!$A$2:$C$132,3)&lt;&gt;0,VLOOKUP($A1481,Players!$A$2:$C$132,3),"")</f>
        <v/>
      </c>
      <c r="C1481" s="255"/>
      <c r="D1481" s="255"/>
      <c r="E1481" s="255"/>
      <c r="F1481" s="255"/>
      <c r="G1481" s="254" t="str">
        <f>IF(VLOOKUP($D1467&amp;RIGHT($A1481,1),Players!$A$2:$D$132,3)&lt;&gt;0,VLOOKUP($D1467&amp;RIGHT($A1481,1),Players!$A$2:$D$132,3),"")</f>
        <v/>
      </c>
      <c r="H1481" s="254"/>
      <c r="I1481" s="254"/>
      <c r="J1481" s="210" t="str">
        <f>IF(VLOOKUP($D1467&amp;RIGHT($A1481,1),Players!$A$2:$D$132,3)&lt;&gt;0,"("&amp;VLOOKUP($D1467&amp;RIGHT($A1481,1),Players!$A$2:$D$132,4)&amp;")","")</f>
        <v/>
      </c>
    </row>
    <row r="1482" spans="1:10" ht="25.5" customHeight="1">
      <c r="A1482" s="50"/>
      <c r="B1482" s="26"/>
      <c r="C1482" s="26"/>
      <c r="D1482" s="26"/>
      <c r="E1482" s="26"/>
      <c r="F1482" s="27"/>
      <c r="G1482" s="43"/>
      <c r="H1482" s="43"/>
      <c r="I1482" s="43"/>
      <c r="J1482" s="43"/>
    </row>
    <row r="1483" spans="1:10">
      <c r="A1483" s="49" t="s">
        <v>1225</v>
      </c>
      <c r="B1483" s="46"/>
      <c r="C1483" s="46"/>
      <c r="D1483" s="46"/>
      <c r="E1483" s="46"/>
      <c r="F1483" s="46"/>
      <c r="G1483" s="43"/>
      <c r="H1483" s="43"/>
      <c r="I1483" s="43"/>
      <c r="J1483" s="43"/>
    </row>
    <row r="1484" spans="1:10">
      <c r="A1484" s="46" t="s">
        <v>1247</v>
      </c>
      <c r="B1484" s="46"/>
      <c r="C1484" s="46"/>
      <c r="D1484" s="46"/>
      <c r="E1484" s="46"/>
      <c r="F1484" s="46"/>
      <c r="G1484" s="43"/>
      <c r="H1484" s="43"/>
      <c r="I1484" s="43"/>
      <c r="J1484" s="43"/>
    </row>
    <row r="1485" spans="1:10">
      <c r="A1485" s="46" t="s">
        <v>1248</v>
      </c>
      <c r="B1485" s="46"/>
      <c r="C1485" s="46"/>
      <c r="D1485" s="46"/>
      <c r="E1485" s="46"/>
      <c r="F1485" s="46"/>
      <c r="G1485" s="43"/>
      <c r="H1485" s="43"/>
      <c r="I1485" s="43"/>
      <c r="J1485" s="43"/>
    </row>
    <row r="1486" spans="1:10" ht="13.5" thickBot="1">
      <c r="A1486" s="46"/>
      <c r="B1486" s="46"/>
      <c r="C1486" s="46"/>
      <c r="D1486" s="46"/>
      <c r="E1486" s="46"/>
      <c r="F1486" s="46"/>
      <c r="G1486" s="43"/>
      <c r="H1486" s="43"/>
      <c r="I1486" s="43"/>
      <c r="J1486" s="43"/>
    </row>
    <row r="1487" spans="1:10" ht="25.5" customHeight="1" thickBot="1">
      <c r="A1487" s="50"/>
      <c r="B1487" s="257"/>
      <c r="C1487" s="258"/>
      <c r="D1487" s="258"/>
      <c r="E1487" s="258"/>
      <c r="F1487" s="259"/>
      <c r="G1487" s="43"/>
      <c r="H1487" s="43"/>
      <c r="I1487" s="43"/>
      <c r="J1487" s="43"/>
    </row>
    <row r="1488" spans="1:10">
      <c r="A1488" s="43"/>
      <c r="B1488" s="43"/>
      <c r="C1488" s="43"/>
      <c r="D1488" s="43"/>
      <c r="E1488" s="43"/>
      <c r="F1488" s="43"/>
      <c r="G1488" s="43"/>
      <c r="H1488" s="43"/>
      <c r="I1488" s="43"/>
      <c r="J1488" s="43"/>
    </row>
    <row r="1489" spans="1:10">
      <c r="A1489" s="43"/>
      <c r="B1489" s="43"/>
      <c r="C1489" s="43"/>
      <c r="D1489" s="43"/>
      <c r="E1489" s="43"/>
      <c r="F1489" s="43"/>
      <c r="G1489" s="43"/>
      <c r="H1489" s="43"/>
      <c r="I1489" s="43"/>
      <c r="J1489" s="43"/>
    </row>
    <row r="1490" spans="1:10">
      <c r="A1490" s="43"/>
      <c r="B1490" s="43"/>
      <c r="C1490" s="43"/>
      <c r="D1490" s="43"/>
      <c r="E1490" s="43"/>
      <c r="F1490" s="43"/>
      <c r="G1490" s="43"/>
      <c r="H1490" s="43"/>
      <c r="I1490" s="43"/>
      <c r="J1490" s="43"/>
    </row>
    <row r="1491" spans="1:10">
      <c r="A1491" s="43"/>
      <c r="B1491" s="43"/>
      <c r="C1491" s="43"/>
      <c r="D1491" s="43"/>
      <c r="E1491" s="43"/>
      <c r="F1491" s="43"/>
      <c r="G1491" s="43"/>
      <c r="H1491" s="43"/>
      <c r="I1491" s="43"/>
      <c r="J1491" s="43"/>
    </row>
    <row r="1492" spans="1:10">
      <c r="A1492" s="43"/>
      <c r="B1492" s="43"/>
      <c r="C1492" s="43"/>
      <c r="D1492" s="43"/>
      <c r="E1492" s="43"/>
      <c r="F1492" s="43"/>
      <c r="G1492" s="43"/>
      <c r="H1492" s="43"/>
      <c r="I1492" s="43"/>
      <c r="J1492" s="43"/>
    </row>
    <row r="1493" spans="1:10" ht="25.5" customHeight="1">
      <c r="A1493" s="47"/>
      <c r="B1493" s="47"/>
      <c r="C1493" s="47"/>
      <c r="D1493" s="47"/>
      <c r="E1493" s="47"/>
      <c r="F1493" s="43"/>
      <c r="G1493" s="51"/>
      <c r="H1493" s="250" t="s">
        <v>1227</v>
      </c>
      <c r="I1493" s="251"/>
      <c r="J1493" s="43"/>
    </row>
    <row r="1494" spans="1:10">
      <c r="A1494" s="43" t="s">
        <v>1226</v>
      </c>
      <c r="B1494" s="43"/>
      <c r="C1494" s="43"/>
      <c r="D1494" s="43"/>
      <c r="E1494" s="43"/>
      <c r="F1494" s="43"/>
      <c r="G1494" s="43"/>
      <c r="H1494" s="43"/>
      <c r="I1494" s="43"/>
      <c r="J1494" s="43"/>
    </row>
    <row r="1495" spans="1:10">
      <c r="A1495" s="43"/>
      <c r="B1495" s="43"/>
      <c r="C1495" s="43"/>
      <c r="D1495" s="43"/>
      <c r="E1495" s="43"/>
      <c r="F1495" s="43"/>
      <c r="G1495" s="43"/>
      <c r="H1495" s="43"/>
      <c r="I1495" s="43"/>
      <c r="J1495" s="43"/>
    </row>
    <row r="1496" spans="1:10">
      <c r="A1496" s="43"/>
      <c r="B1496" s="43"/>
      <c r="C1496" s="43"/>
      <c r="D1496" s="43"/>
      <c r="E1496" s="256" t="str">
        <f>CONCATENATE("(",$D1467," vs ",$I1467,")")</f>
        <v>(A vs H)</v>
      </c>
      <c r="F1496" s="256"/>
      <c r="G1496" s="43"/>
      <c r="H1496" s="43"/>
      <c r="I1496" s="43"/>
      <c r="J1496" s="43"/>
    </row>
    <row r="1497" spans="1:10" ht="15.75">
      <c r="A1497" s="42" t="s">
        <v>1223</v>
      </c>
      <c r="B1497" s="43"/>
      <c r="C1497" s="43"/>
      <c r="D1497" s="43"/>
      <c r="E1497" s="43"/>
      <c r="F1497" s="43"/>
      <c r="G1497" s="43"/>
      <c r="H1497" s="43"/>
      <c r="I1497" s="43"/>
      <c r="J1497" s="96" t="s">
        <v>4263</v>
      </c>
    </row>
    <row r="1498" spans="1:10" ht="12.75" customHeight="1">
      <c r="A1498" s="42"/>
      <c r="B1498" s="43"/>
      <c r="C1498" s="43"/>
      <c r="D1498" s="43"/>
      <c r="E1498" s="43"/>
      <c r="F1498" s="43"/>
      <c r="G1498" s="43" t="str">
        <f ca="1">Team_Matches!$J$6</f>
        <v>[NCTTA Teams Template (v2.06).xlsx]</v>
      </c>
      <c r="H1498" s="43"/>
      <c r="I1498" s="43"/>
      <c r="J1498" s="160"/>
    </row>
    <row r="1499" spans="1:10" ht="12.75" customHeight="1">
      <c r="A1499" s="42"/>
      <c r="B1499" s="43"/>
      <c r="C1499" s="43"/>
      <c r="D1499" s="43"/>
      <c r="E1499" s="43"/>
      <c r="F1499" s="43"/>
      <c r="G1499" s="247" t="str">
        <f>Team_Matches!$J1129</f>
        <v/>
      </c>
      <c r="H1499" s="247"/>
      <c r="I1499" s="161" t="str">
        <f>Team_Matches!$M1129</f>
        <v/>
      </c>
      <c r="J1499" s="161"/>
    </row>
    <row r="1500" spans="1:10" ht="15.75">
      <c r="A1500" s="42"/>
      <c r="B1500" s="43"/>
      <c r="C1500" s="43"/>
      <c r="D1500" s="43"/>
      <c r="E1500" s="43"/>
      <c r="F1500" s="43"/>
      <c r="G1500" s="43"/>
      <c r="H1500" s="43"/>
      <c r="I1500" s="43"/>
      <c r="J1500" s="43"/>
    </row>
    <row r="1501" spans="1:10">
      <c r="A1501" s="43"/>
      <c r="B1501" s="43"/>
      <c r="C1501" s="9" t="s">
        <v>1228</v>
      </c>
      <c r="D1501" s="52" t="str">
        <f>Team_Matches!$B1131</f>
        <v>A</v>
      </c>
      <c r="E1501" s="43"/>
      <c r="F1501" s="97" t="str">
        <f>CONCATENATE($D1501,"-",$I1501)</f>
        <v>A-I</v>
      </c>
      <c r="G1501" s="43"/>
      <c r="H1501" s="9" t="s">
        <v>1228</v>
      </c>
      <c r="I1501" s="52" t="str">
        <f>Team_Matches!$K1131</f>
        <v>I</v>
      </c>
      <c r="J1501" s="43"/>
    </row>
    <row r="1502" spans="1:10" ht="25.5" customHeight="1">
      <c r="A1502" s="44"/>
      <c r="B1502" s="248" t="str">
        <f>IF(VLOOKUP($D1501,Draw!$A$4:$B$27,2)&lt;&gt;0,VLOOKUP($D1501,Draw!$A$4:$B$27,2),"")</f>
        <v/>
      </c>
      <c r="C1502" s="248"/>
      <c r="D1502" s="248"/>
      <c r="E1502" s="249"/>
      <c r="F1502" s="45"/>
      <c r="G1502" s="252" t="str">
        <f>IF(VLOOKUP($I1501,Draw!$A$4:$B$27,2)&lt;&gt;0,VLOOKUP($I1501,Draw!$A$4:$B$27,2),"")</f>
        <v/>
      </c>
      <c r="H1502" s="252"/>
      <c r="I1502" s="252"/>
      <c r="J1502" s="253"/>
    </row>
    <row r="1503" spans="1:10" ht="25.5" customHeight="1"/>
    <row r="1504" spans="1:10" ht="25.5" customHeight="1"/>
    <row r="1505" spans="1:10" ht="24" customHeight="1">
      <c r="A1505" s="48" t="s">
        <v>1246</v>
      </c>
      <c r="B1505" s="43"/>
      <c r="C1505" s="43"/>
      <c r="D1505" s="43"/>
      <c r="E1505" s="43"/>
      <c r="F1505" s="43"/>
      <c r="G1505" s="43"/>
      <c r="H1505" s="43"/>
      <c r="I1505" s="43"/>
      <c r="J1505" s="43"/>
    </row>
    <row r="1506" spans="1:10" ht="24" customHeight="1">
      <c r="A1506" s="48"/>
      <c r="B1506" s="43"/>
      <c r="C1506" s="43"/>
      <c r="D1506" s="43"/>
      <c r="E1506" s="43"/>
      <c r="F1506" s="43"/>
      <c r="G1506" s="43"/>
      <c r="H1506" s="43"/>
      <c r="I1506" s="43"/>
      <c r="J1506" s="43"/>
    </row>
    <row r="1507" spans="1:10">
      <c r="A1507" s="49" t="s">
        <v>1224</v>
      </c>
      <c r="B1507" s="46"/>
      <c r="C1507" s="46"/>
      <c r="D1507" s="46"/>
      <c r="E1507" s="46"/>
      <c r="F1507" s="46"/>
      <c r="G1507" s="260" t="s">
        <v>10336</v>
      </c>
      <c r="H1507" s="260"/>
      <c r="I1507" s="260"/>
      <c r="J1507" s="260"/>
    </row>
    <row r="1508" spans="1:10" ht="24" customHeight="1">
      <c r="A1508" s="50" t="str">
        <f>CONCATENATE($D1501,"1")</f>
        <v>A1</v>
      </c>
      <c r="B1508" s="255" t="str">
        <f>IF(VLOOKUP($A1508,Players!$A$2:$C$132,3)&lt;&gt;0,VLOOKUP($A1508,Players!$A$2:$C$132,3),"")</f>
        <v/>
      </c>
      <c r="C1508" s="255"/>
      <c r="D1508" s="255"/>
      <c r="E1508" s="255"/>
      <c r="F1508" s="255"/>
      <c r="G1508" s="254" t="str">
        <f>IF(VLOOKUP($I1501&amp;RIGHT($A1508,1),Players!$A$2:$D$132,3)&lt;&gt;0,VLOOKUP($I1501&amp;RIGHT($A1508,1),Players!$A$2:$D$132,3),"")</f>
        <v/>
      </c>
      <c r="H1508" s="254"/>
      <c r="I1508" s="254"/>
      <c r="J1508" s="210" t="str">
        <f>IF(VLOOKUP($I1501&amp;RIGHT($A1508,1),Players!$A$2:$D$132,3)&lt;&gt;0,"("&amp;VLOOKUP($I1501&amp;RIGHT($A1508,1),Players!$A$2:$D$132,4)&amp;")","")</f>
        <v/>
      </c>
    </row>
    <row r="1509" spans="1:10" ht="25.5" customHeight="1">
      <c r="A1509" s="50" t="str">
        <f>CONCATENATE($D1501,"2")</f>
        <v>A2</v>
      </c>
      <c r="B1509" s="255" t="str">
        <f>IF(VLOOKUP($A1509,Players!$A$2:$C$132,3)&lt;&gt;0,VLOOKUP($A1509,Players!$A$2:$C$132,3),"")</f>
        <v/>
      </c>
      <c r="C1509" s="255"/>
      <c r="D1509" s="255"/>
      <c r="E1509" s="255"/>
      <c r="F1509" s="255"/>
      <c r="G1509" s="254" t="str">
        <f>IF(VLOOKUP($I1501&amp;RIGHT($A1509,1),Players!$A$2:$D$132,3)&lt;&gt;0,VLOOKUP($I1501&amp;RIGHT($A1509,1),Players!$A$2:$D$132,3),"")</f>
        <v/>
      </c>
      <c r="H1509" s="254"/>
      <c r="I1509" s="254"/>
      <c r="J1509" s="210" t="str">
        <f>IF(VLOOKUP($I1501&amp;RIGHT($A1509,1),Players!$A$2:$D$132,3)&lt;&gt;0,"("&amp;VLOOKUP($I1501&amp;RIGHT($A1509,1),Players!$A$2:$D$132,4)&amp;")","")</f>
        <v/>
      </c>
    </row>
    <row r="1510" spans="1:10" ht="25.5" customHeight="1">
      <c r="A1510" s="50" t="str">
        <f>CONCATENATE($D1501,"3")</f>
        <v>A3</v>
      </c>
      <c r="B1510" s="255" t="str">
        <f>IF(VLOOKUP($A1510,Players!$A$2:$C$132,3)&lt;&gt;0,VLOOKUP($A1510,Players!$A$2:$C$132,3),"")</f>
        <v/>
      </c>
      <c r="C1510" s="255"/>
      <c r="D1510" s="255"/>
      <c r="E1510" s="255"/>
      <c r="F1510" s="255"/>
      <c r="G1510" s="254" t="str">
        <f>IF(VLOOKUP($I1501&amp;RIGHT($A1510,1),Players!$A$2:$D$132,3)&lt;&gt;0,VLOOKUP($I1501&amp;RIGHT($A1510,1),Players!$A$2:$D$132,3),"")</f>
        <v/>
      </c>
      <c r="H1510" s="254"/>
      <c r="I1510" s="254"/>
      <c r="J1510" s="210" t="str">
        <f>IF(VLOOKUP($I1501&amp;RIGHT($A1510,1),Players!$A$2:$D$132,3)&lt;&gt;0,"("&amp;VLOOKUP($I1501&amp;RIGHT($A1510,1),Players!$A$2:$D$132,4)&amp;")","")</f>
        <v/>
      </c>
    </row>
    <row r="1511" spans="1:10" ht="25.5" customHeight="1">
      <c r="A1511" s="50" t="str">
        <f>CONCATENATE($D1501,"4")</f>
        <v>A4</v>
      </c>
      <c r="B1511" s="255" t="str">
        <f>IF(VLOOKUP($A1511,Players!$A$2:$C$132,3)&lt;&gt;0,VLOOKUP($A1511,Players!$A$2:$C$132,3),"")</f>
        <v/>
      </c>
      <c r="C1511" s="255"/>
      <c r="D1511" s="255"/>
      <c r="E1511" s="255"/>
      <c r="F1511" s="255"/>
      <c r="G1511" s="254" t="str">
        <f>IF(VLOOKUP($I1501&amp;RIGHT($A1511,1),Players!$A$2:$D$132,3)&lt;&gt;0,VLOOKUP($I1501&amp;RIGHT($A1511,1),Players!$A$2:$D$132,3),"")</f>
        <v/>
      </c>
      <c r="H1511" s="254"/>
      <c r="I1511" s="254"/>
      <c r="J1511" s="210" t="str">
        <f>IF(VLOOKUP($I1501&amp;RIGHT($A1511,1),Players!$A$2:$D$132,3)&lt;&gt;0,"("&amp;VLOOKUP($I1501&amp;RIGHT($A1511,1),Players!$A$2:$D$132,4)&amp;")","")</f>
        <v/>
      </c>
    </row>
    <row r="1512" spans="1:10" ht="25.5" customHeight="1">
      <c r="A1512" s="50" t="str">
        <f>CONCATENATE($D1501,"5")</f>
        <v>A5</v>
      </c>
      <c r="B1512" s="255" t="str">
        <f>IF(VLOOKUP($A1512,Players!$A$2:$C$132,3)&lt;&gt;0,VLOOKUP($A1512,Players!$A$2:$C$132,3),"")</f>
        <v/>
      </c>
      <c r="C1512" s="255"/>
      <c r="D1512" s="255"/>
      <c r="E1512" s="255"/>
      <c r="F1512" s="255"/>
      <c r="G1512" s="254" t="str">
        <f>IF(VLOOKUP($I1501&amp;RIGHT($A1512,1),Players!$A$2:$D$132,3)&lt;&gt;0,VLOOKUP($I1501&amp;RIGHT($A1512,1),Players!$A$2:$D$132,3),"")</f>
        <v/>
      </c>
      <c r="H1512" s="254"/>
      <c r="I1512" s="254"/>
      <c r="J1512" s="210" t="str">
        <f>IF(VLOOKUP($I1501&amp;RIGHT($A1512,1),Players!$A$2:$D$132,3)&lt;&gt;0,"("&amp;VLOOKUP($I1501&amp;RIGHT($A1512,1),Players!$A$2:$D$132,4)&amp;")","")</f>
        <v/>
      </c>
    </row>
    <row r="1513" spans="1:10" ht="25.5" customHeight="1">
      <c r="A1513" s="50" t="str">
        <f>CONCATENATE($D1501,"6")</f>
        <v>A6</v>
      </c>
      <c r="B1513" s="255" t="str">
        <f>IF(VLOOKUP($A1513,Players!$A$2:$C$132,3)&lt;&gt;0,VLOOKUP($A1513,Players!$A$2:$C$132,3),"")</f>
        <v/>
      </c>
      <c r="C1513" s="255"/>
      <c r="D1513" s="255"/>
      <c r="E1513" s="255"/>
      <c r="F1513" s="255"/>
      <c r="G1513" s="254" t="str">
        <f>IF(VLOOKUP($I1501&amp;RIGHT($A1513,1),Players!$A$2:$D$132,3)&lt;&gt;0,VLOOKUP($I1501&amp;RIGHT($A1513,1),Players!$A$2:$D$132,3),"")</f>
        <v/>
      </c>
      <c r="H1513" s="254"/>
      <c r="I1513" s="254"/>
      <c r="J1513" s="210" t="str">
        <f>IF(VLOOKUP($I1501&amp;RIGHT($A1513,1),Players!$A$2:$D$132,3)&lt;&gt;0,"("&amp;VLOOKUP($I1501&amp;RIGHT($A1513,1),Players!$A$2:$D$132,4)&amp;")","")</f>
        <v/>
      </c>
    </row>
    <row r="1514" spans="1:10" ht="25.5" customHeight="1">
      <c r="A1514" s="50" t="str">
        <f>CONCATENATE($D1501,"7")</f>
        <v>A7</v>
      </c>
      <c r="B1514" s="255" t="str">
        <f>IF(VLOOKUP($A1514,Players!$A$2:$C$132,3)&lt;&gt;0,VLOOKUP($A1514,Players!$A$2:$C$132,3),"")</f>
        <v/>
      </c>
      <c r="C1514" s="255"/>
      <c r="D1514" s="255"/>
      <c r="E1514" s="255"/>
      <c r="F1514" s="255"/>
      <c r="G1514" s="254" t="str">
        <f>IF(VLOOKUP($I1501&amp;RIGHT($A1514,1),Players!$A$2:$D$132,3)&lt;&gt;0,VLOOKUP($I1501&amp;RIGHT($A1514,1),Players!$A$2:$D$132,3),"")</f>
        <v/>
      </c>
      <c r="H1514" s="254"/>
      <c r="I1514" s="254"/>
      <c r="J1514" s="210" t="str">
        <f>IF(VLOOKUP($I1501&amp;RIGHT($A1514,1),Players!$A$2:$D$132,3)&lt;&gt;0,"("&amp;VLOOKUP($I1501&amp;RIGHT($A1514,1),Players!$A$2:$D$132,4)&amp;")","")</f>
        <v/>
      </c>
    </row>
    <row r="1515" spans="1:10" ht="25.5" customHeight="1">
      <c r="A1515" s="50" t="str">
        <f>CONCATENATE($D1501,"8")</f>
        <v>A8</v>
      </c>
      <c r="B1515" s="255" t="str">
        <f>IF(VLOOKUP($A1515,Players!$A$2:$C$132,3)&lt;&gt;0,VLOOKUP($A1515,Players!$A$2:$C$132,3),"")</f>
        <v/>
      </c>
      <c r="C1515" s="255"/>
      <c r="D1515" s="255"/>
      <c r="E1515" s="255"/>
      <c r="F1515" s="255"/>
      <c r="G1515" s="254" t="str">
        <f>IF(VLOOKUP($I1501&amp;RIGHT($A1515,1),Players!$A$2:$D$132,3)&lt;&gt;0,VLOOKUP($I1501&amp;RIGHT($A1515,1),Players!$A$2:$D$132,3),"")</f>
        <v/>
      </c>
      <c r="H1515" s="254"/>
      <c r="I1515" s="254"/>
      <c r="J1515" s="210" t="str">
        <f>IF(VLOOKUP($I1501&amp;RIGHT($A1515,1),Players!$A$2:$D$132,3)&lt;&gt;0,"("&amp;VLOOKUP($I1501&amp;RIGHT($A1515,1),Players!$A$2:$D$132,4)&amp;")","")</f>
        <v/>
      </c>
    </row>
    <row r="1516" spans="1:10" ht="25.5" customHeight="1">
      <c r="A1516" s="50"/>
      <c r="B1516" s="26"/>
      <c r="C1516" s="26"/>
      <c r="D1516" s="26"/>
      <c r="E1516" s="26"/>
      <c r="F1516" s="27"/>
      <c r="G1516" s="43"/>
      <c r="H1516" s="43"/>
      <c r="I1516" s="43"/>
      <c r="J1516" s="43"/>
    </row>
    <row r="1517" spans="1:10">
      <c r="A1517" s="49" t="s">
        <v>1225</v>
      </c>
      <c r="B1517" s="46"/>
      <c r="C1517" s="46"/>
      <c r="D1517" s="46"/>
      <c r="E1517" s="46"/>
      <c r="F1517" s="46"/>
      <c r="G1517" s="43"/>
      <c r="H1517" s="43"/>
      <c r="I1517" s="43"/>
      <c r="J1517" s="43"/>
    </row>
    <row r="1518" spans="1:10">
      <c r="A1518" s="46" t="s">
        <v>1247</v>
      </c>
      <c r="B1518" s="46"/>
      <c r="C1518" s="46"/>
      <c r="D1518" s="46"/>
      <c r="E1518" s="46"/>
      <c r="F1518" s="46"/>
      <c r="G1518" s="43"/>
      <c r="H1518" s="43"/>
      <c r="I1518" s="43"/>
      <c r="J1518" s="43"/>
    </row>
    <row r="1519" spans="1:10">
      <c r="A1519" s="46" t="s">
        <v>1248</v>
      </c>
      <c r="B1519" s="46"/>
      <c r="C1519" s="46"/>
      <c r="D1519" s="46"/>
      <c r="E1519" s="46"/>
      <c r="F1519" s="46"/>
      <c r="G1519" s="43"/>
      <c r="H1519" s="43"/>
      <c r="I1519" s="43"/>
      <c r="J1519" s="43"/>
    </row>
    <row r="1520" spans="1:10" ht="13.5" thickBot="1">
      <c r="A1520" s="46"/>
      <c r="B1520" s="46"/>
      <c r="C1520" s="46"/>
      <c r="D1520" s="46"/>
      <c r="E1520" s="46"/>
      <c r="F1520" s="46"/>
      <c r="G1520" s="43"/>
      <c r="H1520" s="43"/>
      <c r="I1520" s="43"/>
      <c r="J1520" s="43"/>
    </row>
    <row r="1521" spans="1:10" ht="25.5" customHeight="1" thickBot="1">
      <c r="A1521" s="50"/>
      <c r="B1521" s="257"/>
      <c r="C1521" s="258"/>
      <c r="D1521" s="258"/>
      <c r="E1521" s="258"/>
      <c r="F1521" s="259"/>
      <c r="G1521" s="43"/>
      <c r="H1521" s="43"/>
      <c r="I1521" s="43"/>
      <c r="J1521" s="43"/>
    </row>
    <row r="1522" spans="1:10">
      <c r="A1522" s="43"/>
      <c r="B1522" s="43"/>
      <c r="C1522" s="43"/>
      <c r="D1522" s="43"/>
      <c r="E1522" s="43"/>
      <c r="F1522" s="43"/>
      <c r="G1522" s="43"/>
      <c r="H1522" s="43"/>
      <c r="I1522" s="43"/>
      <c r="J1522" s="43"/>
    </row>
    <row r="1523" spans="1:10">
      <c r="A1523" s="43"/>
      <c r="B1523" s="43"/>
      <c r="C1523" s="43"/>
      <c r="D1523" s="43"/>
      <c r="E1523" s="43"/>
      <c r="F1523" s="43"/>
      <c r="G1523" s="43"/>
      <c r="H1523" s="43"/>
      <c r="I1523" s="43"/>
      <c r="J1523" s="43"/>
    </row>
    <row r="1524" spans="1:10">
      <c r="A1524" s="43"/>
      <c r="B1524" s="43"/>
      <c r="C1524" s="43"/>
      <c r="D1524" s="43"/>
      <c r="E1524" s="43"/>
      <c r="F1524" s="43"/>
      <c r="G1524" s="43"/>
      <c r="H1524" s="43"/>
      <c r="I1524" s="43"/>
      <c r="J1524" s="43"/>
    </row>
    <row r="1525" spans="1:10">
      <c r="A1525" s="43"/>
      <c r="B1525" s="43"/>
      <c r="C1525" s="43"/>
      <c r="D1525" s="43"/>
      <c r="E1525" s="43"/>
      <c r="F1525" s="43"/>
      <c r="G1525" s="43"/>
      <c r="H1525" s="43"/>
      <c r="I1525" s="43"/>
      <c r="J1525" s="43"/>
    </row>
    <row r="1526" spans="1:10">
      <c r="A1526" s="43"/>
      <c r="B1526" s="43"/>
      <c r="C1526" s="43"/>
      <c r="D1526" s="43"/>
      <c r="E1526" s="43"/>
      <c r="F1526" s="43"/>
      <c r="G1526" s="43"/>
      <c r="H1526" s="43"/>
      <c r="I1526" s="43"/>
      <c r="J1526" s="43"/>
    </row>
    <row r="1527" spans="1:10" ht="25.5" customHeight="1">
      <c r="A1527" s="47"/>
      <c r="B1527" s="47"/>
      <c r="C1527" s="47"/>
      <c r="D1527" s="47"/>
      <c r="E1527" s="47"/>
      <c r="F1527" s="43"/>
      <c r="G1527" s="51"/>
      <c r="H1527" s="250" t="s">
        <v>1227</v>
      </c>
      <c r="I1527" s="251"/>
      <c r="J1527" s="43"/>
    </row>
    <row r="1528" spans="1:10">
      <c r="A1528" s="43" t="s">
        <v>1226</v>
      </c>
      <c r="B1528" s="43"/>
      <c r="C1528" s="43"/>
      <c r="D1528" s="43"/>
      <c r="E1528" s="43"/>
      <c r="F1528" s="43"/>
      <c r="G1528" s="43"/>
      <c r="H1528" s="43"/>
      <c r="I1528" s="43"/>
      <c r="J1528" s="43"/>
    </row>
    <row r="1529" spans="1:10">
      <c r="A1529" s="43"/>
      <c r="B1529" s="43"/>
      <c r="C1529" s="43"/>
      <c r="D1529" s="43"/>
      <c r="E1529" s="43"/>
      <c r="F1529" s="43"/>
      <c r="G1529" s="43"/>
      <c r="H1529" s="43"/>
      <c r="I1529" s="43"/>
      <c r="J1529" s="43"/>
    </row>
    <row r="1530" spans="1:10">
      <c r="A1530" s="43"/>
      <c r="B1530" s="43"/>
      <c r="C1530" s="43"/>
      <c r="D1530" s="43"/>
      <c r="E1530" s="256" t="str">
        <f>CONCATENATE("(",$D1501," vs ",$I1501,")")</f>
        <v>(A vs I)</v>
      </c>
      <c r="F1530" s="256"/>
      <c r="G1530" s="43"/>
      <c r="H1530" s="43"/>
      <c r="I1530" s="43"/>
      <c r="J1530" s="43"/>
    </row>
    <row r="1531" spans="1:10" ht="15.75">
      <c r="A1531" s="42" t="s">
        <v>1223</v>
      </c>
      <c r="B1531" s="43"/>
      <c r="C1531" s="43"/>
      <c r="D1531" s="43"/>
      <c r="E1531" s="43"/>
      <c r="F1531" s="43"/>
      <c r="G1531" s="43"/>
      <c r="H1531" s="43"/>
      <c r="I1531" s="43"/>
      <c r="J1531" s="96" t="s">
        <v>4264</v>
      </c>
    </row>
    <row r="1532" spans="1:10" ht="12.75" customHeight="1">
      <c r="A1532" s="42"/>
      <c r="B1532" s="43"/>
      <c r="C1532" s="43"/>
      <c r="D1532" s="43"/>
      <c r="E1532" s="43"/>
      <c r="F1532" s="43"/>
      <c r="G1532" s="43" t="str">
        <f ca="1">Team_Matches!$J$6</f>
        <v>[NCTTA Teams Template (v2.06).xlsx]</v>
      </c>
      <c r="H1532" s="43"/>
      <c r="I1532" s="43"/>
      <c r="J1532" s="160"/>
    </row>
    <row r="1533" spans="1:10" ht="12.75" customHeight="1">
      <c r="A1533" s="42"/>
      <c r="B1533" s="43"/>
      <c r="C1533" s="43"/>
      <c r="D1533" s="43"/>
      <c r="E1533" s="43"/>
      <c r="F1533" s="43"/>
      <c r="G1533" s="247" t="str">
        <f>Team_Matches!$J1129</f>
        <v/>
      </c>
      <c r="H1533" s="247"/>
      <c r="I1533" s="161" t="str">
        <f>Team_Matches!$M1129</f>
        <v/>
      </c>
      <c r="J1533" s="161"/>
    </row>
    <row r="1534" spans="1:10" ht="15.75">
      <c r="A1534" s="42"/>
      <c r="B1534" s="43"/>
      <c r="C1534" s="43"/>
      <c r="D1534" s="43"/>
      <c r="E1534" s="43"/>
      <c r="F1534" s="43"/>
      <c r="G1534" s="43"/>
      <c r="H1534" s="43"/>
      <c r="I1534" s="43"/>
      <c r="J1534" s="43"/>
    </row>
    <row r="1535" spans="1:10">
      <c r="A1535" s="43"/>
      <c r="B1535" s="43"/>
      <c r="C1535" s="9" t="s">
        <v>1228</v>
      </c>
      <c r="D1535" s="52" t="str">
        <f>Team_Matches!$B1131</f>
        <v>A</v>
      </c>
      <c r="E1535" s="43"/>
      <c r="F1535" s="97" t="str">
        <f>CONCATENATE($D1535,"-",$I1535)</f>
        <v>A-I</v>
      </c>
      <c r="G1535" s="43"/>
      <c r="H1535" s="9" t="s">
        <v>1228</v>
      </c>
      <c r="I1535" s="52" t="str">
        <f>Team_Matches!$K1131</f>
        <v>I</v>
      </c>
      <c r="J1535" s="43"/>
    </row>
    <row r="1536" spans="1:10" ht="25.5" customHeight="1">
      <c r="A1536" s="44"/>
      <c r="B1536" s="252" t="str">
        <f>IF(VLOOKUP($D1535,Draw!$A$4:$B$27,2)&lt;&gt;0,VLOOKUP($D1535,Draw!$A$4:$B$27,2),"")</f>
        <v/>
      </c>
      <c r="C1536" s="252"/>
      <c r="D1536" s="252"/>
      <c r="E1536" s="253"/>
      <c r="F1536" s="45"/>
      <c r="G1536" s="248" t="str">
        <f>IF(VLOOKUP($I1535,Draw!$A$4:$B$27,2)&lt;&gt;0,VLOOKUP($I1535,Draw!$A$4:$B$27,2),"")</f>
        <v/>
      </c>
      <c r="H1536" s="248"/>
      <c r="I1536" s="248"/>
      <c r="J1536" s="249"/>
    </row>
    <row r="1537" spans="1:10" ht="25.5" customHeight="1"/>
    <row r="1538" spans="1:10" ht="25.5" customHeight="1"/>
    <row r="1539" spans="1:10" ht="24" customHeight="1">
      <c r="A1539" s="48" t="s">
        <v>1246</v>
      </c>
      <c r="B1539" s="43"/>
      <c r="C1539" s="43"/>
      <c r="D1539" s="43"/>
      <c r="E1539" s="43"/>
      <c r="F1539" s="43"/>
      <c r="G1539" s="43"/>
      <c r="H1539" s="43"/>
      <c r="I1539" s="43"/>
      <c r="J1539" s="43"/>
    </row>
    <row r="1540" spans="1:10" ht="24" customHeight="1">
      <c r="A1540" s="48"/>
      <c r="B1540" s="43"/>
      <c r="C1540" s="43"/>
      <c r="D1540" s="43"/>
      <c r="E1540" s="43"/>
      <c r="F1540" s="43"/>
      <c r="G1540" s="43"/>
      <c r="H1540" s="43"/>
      <c r="I1540" s="43"/>
      <c r="J1540" s="43"/>
    </row>
    <row r="1541" spans="1:10">
      <c r="A1541" s="49" t="s">
        <v>1224</v>
      </c>
      <c r="B1541" s="46"/>
      <c r="C1541" s="46"/>
      <c r="D1541" s="46"/>
      <c r="E1541" s="46"/>
      <c r="F1541" s="46"/>
      <c r="G1541" s="260" t="s">
        <v>10336</v>
      </c>
      <c r="H1541" s="260"/>
      <c r="I1541" s="260"/>
      <c r="J1541" s="260"/>
    </row>
    <row r="1542" spans="1:10" ht="24" customHeight="1">
      <c r="A1542" s="50" t="str">
        <f>CONCATENATE($I1535,"1")</f>
        <v>I1</v>
      </c>
      <c r="B1542" s="255" t="str">
        <f>IF(VLOOKUP($A1542,Players!$A$2:$C$132,3)&lt;&gt;0,VLOOKUP($A1542,Players!$A$2:$C$132,3),"")</f>
        <v/>
      </c>
      <c r="C1542" s="255"/>
      <c r="D1542" s="255"/>
      <c r="E1542" s="255"/>
      <c r="F1542" s="255"/>
      <c r="G1542" s="254" t="str">
        <f>IF(VLOOKUP($D1535&amp;RIGHT($A1542,1),Players!$A$2:$D$132,3)&lt;&gt;0,VLOOKUP($D1535&amp;RIGHT($A1542,1),Players!$A$2:$D$132,3),"")</f>
        <v/>
      </c>
      <c r="H1542" s="254"/>
      <c r="I1542" s="254"/>
      <c r="J1542" s="210" t="str">
        <f>IF(VLOOKUP($D1535&amp;RIGHT($A1542,1),Players!$A$2:$D$132,3)&lt;&gt;0,"("&amp;VLOOKUP($D1535&amp;RIGHT($A1542,1),Players!$A$2:$D$132,4)&amp;")","")</f>
        <v/>
      </c>
    </row>
    <row r="1543" spans="1:10" ht="25.5" customHeight="1">
      <c r="A1543" s="50" t="str">
        <f>CONCATENATE($I1535,"2")</f>
        <v>I2</v>
      </c>
      <c r="B1543" s="255" t="str">
        <f>IF(VLOOKUP($A1543,Players!$A$2:$C$132,3)&lt;&gt;0,VLOOKUP($A1543,Players!$A$2:$C$132,3),"")</f>
        <v/>
      </c>
      <c r="C1543" s="255"/>
      <c r="D1543" s="255"/>
      <c r="E1543" s="255"/>
      <c r="F1543" s="255"/>
      <c r="G1543" s="254" t="str">
        <f>IF(VLOOKUP($D1535&amp;RIGHT($A1543,1),Players!$A$2:$D$132,3)&lt;&gt;0,VLOOKUP($D1535&amp;RIGHT($A1543,1),Players!$A$2:$D$132,3),"")</f>
        <v/>
      </c>
      <c r="H1543" s="254"/>
      <c r="I1543" s="254"/>
      <c r="J1543" s="210" t="str">
        <f>IF(VLOOKUP($D1535&amp;RIGHT($A1543,1),Players!$A$2:$D$132,3)&lt;&gt;0,"("&amp;VLOOKUP($D1535&amp;RIGHT($A1543,1),Players!$A$2:$D$132,4)&amp;")","")</f>
        <v/>
      </c>
    </row>
    <row r="1544" spans="1:10" ht="25.5" customHeight="1">
      <c r="A1544" s="50" t="str">
        <f>CONCATENATE($I1535,"3")</f>
        <v>I3</v>
      </c>
      <c r="B1544" s="255" t="str">
        <f>IF(VLOOKUP($A1544,Players!$A$2:$C$132,3)&lt;&gt;0,VLOOKUP($A1544,Players!$A$2:$C$132,3),"")</f>
        <v/>
      </c>
      <c r="C1544" s="255"/>
      <c r="D1544" s="255"/>
      <c r="E1544" s="255"/>
      <c r="F1544" s="255"/>
      <c r="G1544" s="254" t="str">
        <f>IF(VLOOKUP($D1535&amp;RIGHT($A1544,1),Players!$A$2:$D$132,3)&lt;&gt;0,VLOOKUP($D1535&amp;RIGHT($A1544,1),Players!$A$2:$D$132,3),"")</f>
        <v/>
      </c>
      <c r="H1544" s="254"/>
      <c r="I1544" s="254"/>
      <c r="J1544" s="210" t="str">
        <f>IF(VLOOKUP($D1535&amp;RIGHT($A1544,1),Players!$A$2:$D$132,3)&lt;&gt;0,"("&amp;VLOOKUP($D1535&amp;RIGHT($A1544,1),Players!$A$2:$D$132,4)&amp;")","")</f>
        <v/>
      </c>
    </row>
    <row r="1545" spans="1:10" ht="25.5" customHeight="1">
      <c r="A1545" s="50" t="str">
        <f>CONCATENATE($I1535,"4")</f>
        <v>I4</v>
      </c>
      <c r="B1545" s="255" t="str">
        <f>IF(VLOOKUP($A1545,Players!$A$2:$C$132,3)&lt;&gt;0,VLOOKUP($A1545,Players!$A$2:$C$132,3),"")</f>
        <v/>
      </c>
      <c r="C1545" s="255"/>
      <c r="D1545" s="255"/>
      <c r="E1545" s="255"/>
      <c r="F1545" s="255"/>
      <c r="G1545" s="254" t="str">
        <f>IF(VLOOKUP($D1535&amp;RIGHT($A1545,1),Players!$A$2:$D$132,3)&lt;&gt;0,VLOOKUP($D1535&amp;RIGHT($A1545,1),Players!$A$2:$D$132,3),"")</f>
        <v/>
      </c>
      <c r="H1545" s="254"/>
      <c r="I1545" s="254"/>
      <c r="J1545" s="210" t="str">
        <f>IF(VLOOKUP($D1535&amp;RIGHT($A1545,1),Players!$A$2:$D$132,3)&lt;&gt;0,"("&amp;VLOOKUP($D1535&amp;RIGHT($A1545,1),Players!$A$2:$D$132,4)&amp;")","")</f>
        <v/>
      </c>
    </row>
    <row r="1546" spans="1:10" ht="25.5" customHeight="1">
      <c r="A1546" s="50" t="str">
        <f>CONCATENATE($I1535,"5")</f>
        <v>I5</v>
      </c>
      <c r="B1546" s="255" t="str">
        <f>IF(VLOOKUP($A1546,Players!$A$2:$C$132,3)&lt;&gt;0,VLOOKUP($A1546,Players!$A$2:$C$132,3),"")</f>
        <v/>
      </c>
      <c r="C1546" s="255"/>
      <c r="D1546" s="255"/>
      <c r="E1546" s="255"/>
      <c r="F1546" s="255"/>
      <c r="G1546" s="254" t="str">
        <f>IF(VLOOKUP($D1535&amp;RIGHT($A1546,1),Players!$A$2:$D$132,3)&lt;&gt;0,VLOOKUP($D1535&amp;RIGHT($A1546,1),Players!$A$2:$D$132,3),"")</f>
        <v/>
      </c>
      <c r="H1546" s="254"/>
      <c r="I1546" s="254"/>
      <c r="J1546" s="210" t="str">
        <f>IF(VLOOKUP($D1535&amp;RIGHT($A1546,1),Players!$A$2:$D$132,3)&lt;&gt;0,"("&amp;VLOOKUP($D1535&amp;RIGHT($A1546,1),Players!$A$2:$D$132,4)&amp;")","")</f>
        <v/>
      </c>
    </row>
    <row r="1547" spans="1:10" ht="25.5" customHeight="1">
      <c r="A1547" s="50" t="str">
        <f>CONCATENATE($I1535,"6")</f>
        <v>I6</v>
      </c>
      <c r="B1547" s="255" t="str">
        <f>IF(VLOOKUP($A1547,Players!$A$2:$C$132,3)&lt;&gt;0,VLOOKUP($A1547,Players!$A$2:$C$132,3),"")</f>
        <v/>
      </c>
      <c r="C1547" s="255"/>
      <c r="D1547" s="255"/>
      <c r="E1547" s="255"/>
      <c r="F1547" s="255"/>
      <c r="G1547" s="254" t="str">
        <f>IF(VLOOKUP($D1535&amp;RIGHT($A1547,1),Players!$A$2:$D$132,3)&lt;&gt;0,VLOOKUP($D1535&amp;RIGHT($A1547,1),Players!$A$2:$D$132,3),"")</f>
        <v/>
      </c>
      <c r="H1547" s="254"/>
      <c r="I1547" s="254"/>
      <c r="J1547" s="210" t="str">
        <f>IF(VLOOKUP($D1535&amp;RIGHT($A1547,1),Players!$A$2:$D$132,3)&lt;&gt;0,"("&amp;VLOOKUP($D1535&amp;RIGHT($A1547,1),Players!$A$2:$D$132,4)&amp;")","")</f>
        <v/>
      </c>
    </row>
    <row r="1548" spans="1:10" ht="25.5" customHeight="1">
      <c r="A1548" s="50" t="str">
        <f>CONCATENATE($I1535,"7")</f>
        <v>I7</v>
      </c>
      <c r="B1548" s="255" t="str">
        <f>IF(VLOOKUP($A1548,Players!$A$2:$C$132,3)&lt;&gt;0,VLOOKUP($A1548,Players!$A$2:$C$132,3),"")</f>
        <v/>
      </c>
      <c r="C1548" s="255"/>
      <c r="D1548" s="255"/>
      <c r="E1548" s="255"/>
      <c r="F1548" s="255"/>
      <c r="G1548" s="254" t="str">
        <f>IF(VLOOKUP($D1535&amp;RIGHT($A1548,1),Players!$A$2:$D$132,3)&lt;&gt;0,VLOOKUP($D1535&amp;RIGHT($A1548,1),Players!$A$2:$D$132,3),"")</f>
        <v/>
      </c>
      <c r="H1548" s="254"/>
      <c r="I1548" s="254"/>
      <c r="J1548" s="210" t="str">
        <f>IF(VLOOKUP($D1535&amp;RIGHT($A1548,1),Players!$A$2:$D$132,3)&lt;&gt;0,"("&amp;VLOOKUP($D1535&amp;RIGHT($A1548,1),Players!$A$2:$D$132,4)&amp;")","")</f>
        <v/>
      </c>
    </row>
    <row r="1549" spans="1:10" ht="25.5" customHeight="1">
      <c r="A1549" s="50" t="str">
        <f>CONCATENATE($I1535,"8")</f>
        <v>I8</v>
      </c>
      <c r="B1549" s="255" t="str">
        <f>IF(VLOOKUP($A1549,Players!$A$2:$C$132,3)&lt;&gt;0,VLOOKUP($A1549,Players!$A$2:$C$132,3),"")</f>
        <v/>
      </c>
      <c r="C1549" s="255"/>
      <c r="D1549" s="255"/>
      <c r="E1549" s="255"/>
      <c r="F1549" s="255"/>
      <c r="G1549" s="254" t="str">
        <f>IF(VLOOKUP($D1535&amp;RIGHT($A1549,1),Players!$A$2:$D$132,3)&lt;&gt;0,VLOOKUP($D1535&amp;RIGHT($A1549,1),Players!$A$2:$D$132,3),"")</f>
        <v/>
      </c>
      <c r="H1549" s="254"/>
      <c r="I1549" s="254"/>
      <c r="J1549" s="210" t="str">
        <f>IF(VLOOKUP($D1535&amp;RIGHT($A1549,1),Players!$A$2:$D$132,3)&lt;&gt;0,"("&amp;VLOOKUP($D1535&amp;RIGHT($A1549,1),Players!$A$2:$D$132,4)&amp;")","")</f>
        <v/>
      </c>
    </row>
    <row r="1550" spans="1:10" ht="25.5" customHeight="1">
      <c r="A1550" s="50"/>
      <c r="B1550" s="26"/>
      <c r="C1550" s="26"/>
      <c r="D1550" s="26"/>
      <c r="E1550" s="26"/>
      <c r="F1550" s="27"/>
      <c r="G1550" s="43"/>
      <c r="H1550" s="43"/>
      <c r="I1550" s="43"/>
      <c r="J1550" s="43"/>
    </row>
    <row r="1551" spans="1:10">
      <c r="A1551" s="49" t="s">
        <v>1225</v>
      </c>
      <c r="B1551" s="46"/>
      <c r="C1551" s="46"/>
      <c r="D1551" s="46"/>
      <c r="E1551" s="46"/>
      <c r="F1551" s="46"/>
      <c r="G1551" s="43"/>
      <c r="H1551" s="43"/>
      <c r="I1551" s="43"/>
      <c r="J1551" s="43"/>
    </row>
    <row r="1552" spans="1:10">
      <c r="A1552" s="46" t="s">
        <v>1247</v>
      </c>
      <c r="B1552" s="46"/>
      <c r="C1552" s="46"/>
      <c r="D1552" s="46"/>
      <c r="E1552" s="46"/>
      <c r="F1552" s="46"/>
      <c r="G1552" s="43"/>
      <c r="H1552" s="43"/>
      <c r="I1552" s="43"/>
      <c r="J1552" s="43"/>
    </row>
    <row r="1553" spans="1:10">
      <c r="A1553" s="46" t="s">
        <v>1248</v>
      </c>
      <c r="B1553" s="46"/>
      <c r="C1553" s="46"/>
      <c r="D1553" s="46"/>
      <c r="E1553" s="46"/>
      <c r="F1553" s="46"/>
      <c r="G1553" s="43"/>
      <c r="H1553" s="43"/>
      <c r="I1553" s="43"/>
      <c r="J1553" s="43"/>
    </row>
    <row r="1554" spans="1:10" ht="13.5" thickBot="1">
      <c r="A1554" s="46"/>
      <c r="B1554" s="46"/>
      <c r="C1554" s="46"/>
      <c r="D1554" s="46"/>
      <c r="E1554" s="46"/>
      <c r="F1554" s="46"/>
      <c r="G1554" s="43"/>
      <c r="H1554" s="43"/>
      <c r="I1554" s="43"/>
      <c r="J1554" s="43"/>
    </row>
    <row r="1555" spans="1:10" ht="25.5" customHeight="1" thickBot="1">
      <c r="A1555" s="50"/>
      <c r="B1555" s="257"/>
      <c r="C1555" s="258"/>
      <c r="D1555" s="258"/>
      <c r="E1555" s="258"/>
      <c r="F1555" s="259"/>
      <c r="G1555" s="43"/>
      <c r="H1555" s="43"/>
      <c r="I1555" s="43"/>
      <c r="J1555" s="43"/>
    </row>
    <row r="1556" spans="1:10">
      <c r="A1556" s="43"/>
      <c r="B1556" s="43"/>
      <c r="C1556" s="43"/>
      <c r="D1556" s="43"/>
      <c r="E1556" s="43"/>
      <c r="F1556" s="43"/>
      <c r="G1556" s="43"/>
      <c r="H1556" s="43"/>
      <c r="I1556" s="43"/>
      <c r="J1556" s="43"/>
    </row>
    <row r="1557" spans="1:10">
      <c r="A1557" s="43"/>
      <c r="B1557" s="43"/>
      <c r="C1557" s="43"/>
      <c r="D1557" s="43"/>
      <c r="E1557" s="43"/>
      <c r="F1557" s="43"/>
      <c r="G1557" s="43"/>
      <c r="H1557" s="43"/>
      <c r="I1557" s="43"/>
      <c r="J1557" s="43"/>
    </row>
    <row r="1558" spans="1:10">
      <c r="A1558" s="43"/>
      <c r="B1558" s="43"/>
      <c r="C1558" s="43"/>
      <c r="D1558" s="43"/>
      <c r="E1558" s="43"/>
      <c r="F1558" s="43"/>
      <c r="G1558" s="43"/>
      <c r="H1558" s="43"/>
      <c r="I1558" s="43"/>
      <c r="J1558" s="43"/>
    </row>
    <row r="1559" spans="1:10">
      <c r="A1559" s="43"/>
      <c r="B1559" s="43"/>
      <c r="C1559" s="43"/>
      <c r="D1559" s="43"/>
      <c r="E1559" s="43"/>
      <c r="F1559" s="43"/>
      <c r="G1559" s="43"/>
      <c r="H1559" s="43"/>
      <c r="I1559" s="43"/>
      <c r="J1559" s="43"/>
    </row>
    <row r="1560" spans="1:10">
      <c r="A1560" s="43"/>
      <c r="B1560" s="43"/>
      <c r="C1560" s="43"/>
      <c r="D1560" s="43"/>
      <c r="E1560" s="43"/>
      <c r="F1560" s="43"/>
      <c r="G1560" s="43"/>
      <c r="H1560" s="43"/>
      <c r="I1560" s="43"/>
      <c r="J1560" s="43"/>
    </row>
    <row r="1561" spans="1:10" ht="25.5" customHeight="1">
      <c r="A1561" s="47"/>
      <c r="B1561" s="47"/>
      <c r="C1561" s="47"/>
      <c r="D1561" s="47"/>
      <c r="E1561" s="47"/>
      <c r="F1561" s="43"/>
      <c r="G1561" s="51"/>
      <c r="H1561" s="250" t="s">
        <v>1227</v>
      </c>
      <c r="I1561" s="251"/>
      <c r="J1561" s="43"/>
    </row>
    <row r="1562" spans="1:10">
      <c r="A1562" s="43" t="s">
        <v>1226</v>
      </c>
      <c r="B1562" s="43"/>
      <c r="C1562" s="43"/>
      <c r="D1562" s="43"/>
      <c r="E1562" s="43"/>
      <c r="F1562" s="43"/>
      <c r="G1562" s="43"/>
      <c r="H1562" s="43"/>
      <c r="I1562" s="43"/>
      <c r="J1562" s="43"/>
    </row>
    <row r="1563" spans="1:10">
      <c r="A1563" s="43"/>
      <c r="B1563" s="43"/>
      <c r="C1563" s="43"/>
      <c r="D1563" s="43"/>
      <c r="E1563" s="43"/>
      <c r="F1563" s="43"/>
      <c r="G1563" s="43"/>
      <c r="H1563" s="43"/>
      <c r="I1563" s="43"/>
      <c r="J1563" s="43"/>
    </row>
    <row r="1564" spans="1:10">
      <c r="A1564" s="43"/>
      <c r="B1564" s="43"/>
      <c r="C1564" s="43"/>
      <c r="D1564" s="43"/>
      <c r="E1564" s="256" t="str">
        <f>CONCATENATE("(",$D1535," vs ",$I1535,")")</f>
        <v>(A vs I)</v>
      </c>
      <c r="F1564" s="256"/>
      <c r="G1564" s="43"/>
      <c r="H1564" s="43"/>
      <c r="I1564" s="43"/>
      <c r="J1564" s="43"/>
    </row>
    <row r="1565" spans="1:10" ht="15.75">
      <c r="A1565" s="42" t="s">
        <v>1223</v>
      </c>
      <c r="B1565" s="43"/>
      <c r="C1565" s="43"/>
      <c r="D1565" s="43"/>
      <c r="E1565" s="43"/>
      <c r="F1565" s="43"/>
      <c r="G1565" s="43"/>
      <c r="H1565" s="43"/>
      <c r="I1565" s="43"/>
      <c r="J1565" s="96" t="s">
        <v>4265</v>
      </c>
    </row>
    <row r="1566" spans="1:10" ht="12.75" customHeight="1">
      <c r="A1566" s="42"/>
      <c r="B1566" s="43"/>
      <c r="C1566" s="43"/>
      <c r="D1566" s="43"/>
      <c r="E1566" s="43"/>
      <c r="F1566" s="43"/>
      <c r="G1566" s="43" t="str">
        <f ca="1">Team_Matches!$J$6</f>
        <v>[NCTTA Teams Template (v2.06).xlsx]</v>
      </c>
      <c r="H1566" s="43"/>
      <c r="I1566" s="43"/>
      <c r="J1566" s="160"/>
    </row>
    <row r="1567" spans="1:10" ht="12.75" customHeight="1">
      <c r="A1567" s="42"/>
      <c r="B1567" s="43"/>
      <c r="C1567" s="43"/>
      <c r="D1567" s="43"/>
      <c r="E1567" s="43"/>
      <c r="F1567" s="43"/>
      <c r="G1567" s="247" t="str">
        <f>Team_Matches!$J1180</f>
        <v/>
      </c>
      <c r="H1567" s="247"/>
      <c r="I1567" s="161" t="str">
        <f>Team_Matches!$M1180</f>
        <v/>
      </c>
      <c r="J1567" s="161"/>
    </row>
    <row r="1568" spans="1:10" ht="15.75">
      <c r="A1568" s="42"/>
      <c r="B1568" s="43"/>
      <c r="C1568" s="43"/>
      <c r="D1568" s="43"/>
      <c r="E1568" s="43"/>
      <c r="F1568" s="43"/>
      <c r="G1568" s="43"/>
      <c r="H1568" s="43"/>
      <c r="I1568" s="43"/>
      <c r="J1568" s="43"/>
    </row>
    <row r="1569" spans="1:10">
      <c r="A1569" s="43"/>
      <c r="B1569" s="43"/>
      <c r="C1569" s="9" t="s">
        <v>1228</v>
      </c>
      <c r="D1569" s="3" t="str">
        <f>Team_Matches!$B1182</f>
        <v>A</v>
      </c>
      <c r="E1569" s="43"/>
      <c r="F1569" s="97" t="str">
        <f>CONCATENATE($D1569,"-",$I1569)</f>
        <v>A-J</v>
      </c>
      <c r="G1569" s="43"/>
      <c r="H1569" s="9" t="s">
        <v>1228</v>
      </c>
      <c r="I1569" s="52" t="str">
        <f>Team_Matches!$K1182</f>
        <v>J</v>
      </c>
      <c r="J1569" s="43"/>
    </row>
    <row r="1570" spans="1:10" ht="25.5" customHeight="1">
      <c r="A1570" s="44"/>
      <c r="B1570" s="248" t="str">
        <f>IF(VLOOKUP($D1569,Draw!$A$4:$B$27,2)&lt;&gt;0,VLOOKUP($D1569,Draw!$A$4:$B$27,2),"")</f>
        <v/>
      </c>
      <c r="C1570" s="248"/>
      <c r="D1570" s="248"/>
      <c r="E1570" s="249"/>
      <c r="F1570" s="45"/>
      <c r="G1570" s="252" t="str">
        <f>IF(VLOOKUP($I1569,Draw!$A$4:$B$27,2)&lt;&gt;0,VLOOKUP($I1569,Draw!$A$4:$B$27,2),"")</f>
        <v/>
      </c>
      <c r="H1570" s="252"/>
      <c r="I1570" s="252"/>
      <c r="J1570" s="253"/>
    </row>
    <row r="1571" spans="1:10" ht="25.5" customHeight="1"/>
    <row r="1572" spans="1:10" ht="25.5" customHeight="1"/>
    <row r="1573" spans="1:10" ht="24" customHeight="1">
      <c r="A1573" s="48" t="s">
        <v>1246</v>
      </c>
      <c r="B1573" s="43"/>
      <c r="C1573" s="43"/>
      <c r="D1573" s="43"/>
      <c r="E1573" s="43"/>
      <c r="F1573" s="43"/>
      <c r="G1573" s="43"/>
      <c r="H1573" s="43"/>
      <c r="I1573" s="43"/>
      <c r="J1573" s="43"/>
    </row>
    <row r="1574" spans="1:10" ht="24" customHeight="1">
      <c r="A1574" s="48"/>
      <c r="B1574" s="43"/>
      <c r="C1574" s="43"/>
      <c r="D1574" s="43"/>
      <c r="E1574" s="43"/>
      <c r="F1574" s="43"/>
      <c r="G1574" s="43"/>
      <c r="H1574" s="43"/>
      <c r="I1574" s="43"/>
      <c r="J1574" s="43"/>
    </row>
    <row r="1575" spans="1:10">
      <c r="A1575" s="49" t="s">
        <v>1224</v>
      </c>
      <c r="B1575" s="46"/>
      <c r="C1575" s="46"/>
      <c r="D1575" s="46"/>
      <c r="E1575" s="46"/>
      <c r="F1575" s="46"/>
      <c r="G1575" s="260" t="s">
        <v>10336</v>
      </c>
      <c r="H1575" s="260"/>
      <c r="I1575" s="260"/>
      <c r="J1575" s="260"/>
    </row>
    <row r="1576" spans="1:10" ht="24" customHeight="1">
      <c r="A1576" s="50" t="str">
        <f>CONCATENATE($D1569,"1")</f>
        <v>A1</v>
      </c>
      <c r="B1576" s="255" t="str">
        <f>IF(VLOOKUP($A1576,Players!$A$2:$C$132,3)&lt;&gt;0,VLOOKUP($A1576,Players!$A$2:$C$132,3),"")</f>
        <v/>
      </c>
      <c r="C1576" s="255"/>
      <c r="D1576" s="255"/>
      <c r="E1576" s="255"/>
      <c r="F1576" s="255"/>
      <c r="G1576" s="254" t="str">
        <f>IF(VLOOKUP($I1569&amp;RIGHT($A1576,1),Players!$A$2:$D$132,3)&lt;&gt;0,VLOOKUP($I1569&amp;RIGHT($A1576,1),Players!$A$2:$D$132,3),"")</f>
        <v/>
      </c>
      <c r="H1576" s="254"/>
      <c r="I1576" s="254"/>
      <c r="J1576" s="210" t="str">
        <f>IF(VLOOKUP($I1569&amp;RIGHT($A1576,1),Players!$A$2:$D$132,3)&lt;&gt;0,"("&amp;VLOOKUP($I1569&amp;RIGHT($A1576,1),Players!$A$2:$D$132,4)&amp;")","")</f>
        <v/>
      </c>
    </row>
    <row r="1577" spans="1:10" ht="25.5" customHeight="1">
      <c r="A1577" s="50" t="str">
        <f>CONCATENATE($D1569,"2")</f>
        <v>A2</v>
      </c>
      <c r="B1577" s="255" t="str">
        <f>IF(VLOOKUP($A1577,Players!$A$2:$C$132,3)&lt;&gt;0,VLOOKUP($A1577,Players!$A$2:$C$132,3),"")</f>
        <v/>
      </c>
      <c r="C1577" s="255"/>
      <c r="D1577" s="255"/>
      <c r="E1577" s="255"/>
      <c r="F1577" s="255"/>
      <c r="G1577" s="254" t="str">
        <f>IF(VLOOKUP($I1569&amp;RIGHT($A1577,1),Players!$A$2:$D$132,3)&lt;&gt;0,VLOOKUP($I1569&amp;RIGHT($A1577,1),Players!$A$2:$D$132,3),"")</f>
        <v/>
      </c>
      <c r="H1577" s="254"/>
      <c r="I1577" s="254"/>
      <c r="J1577" s="210" t="str">
        <f>IF(VLOOKUP($I1569&amp;RIGHT($A1577,1),Players!$A$2:$D$132,3)&lt;&gt;0,"("&amp;VLOOKUP($I1569&amp;RIGHT($A1577,1),Players!$A$2:$D$132,4)&amp;")","")</f>
        <v/>
      </c>
    </row>
    <row r="1578" spans="1:10" ht="25.5" customHeight="1">
      <c r="A1578" s="50" t="str">
        <f>CONCATENATE($D1569,"3")</f>
        <v>A3</v>
      </c>
      <c r="B1578" s="255" t="str">
        <f>IF(VLOOKUP($A1578,Players!$A$2:$C$132,3)&lt;&gt;0,VLOOKUP($A1578,Players!$A$2:$C$132,3),"")</f>
        <v/>
      </c>
      <c r="C1578" s="255"/>
      <c r="D1578" s="255"/>
      <c r="E1578" s="255"/>
      <c r="F1578" s="255"/>
      <c r="G1578" s="254" t="str">
        <f>IF(VLOOKUP($I1569&amp;RIGHT($A1578,1),Players!$A$2:$D$132,3)&lt;&gt;0,VLOOKUP($I1569&amp;RIGHT($A1578,1),Players!$A$2:$D$132,3),"")</f>
        <v/>
      </c>
      <c r="H1578" s="254"/>
      <c r="I1578" s="254"/>
      <c r="J1578" s="210" t="str">
        <f>IF(VLOOKUP($I1569&amp;RIGHT($A1578,1),Players!$A$2:$D$132,3)&lt;&gt;0,"("&amp;VLOOKUP($I1569&amp;RIGHT($A1578,1),Players!$A$2:$D$132,4)&amp;")","")</f>
        <v/>
      </c>
    </row>
    <row r="1579" spans="1:10" ht="25.5" customHeight="1">
      <c r="A1579" s="50" t="str">
        <f>CONCATENATE($D1569,"4")</f>
        <v>A4</v>
      </c>
      <c r="B1579" s="255" t="str">
        <f>IF(VLOOKUP($A1579,Players!$A$2:$C$132,3)&lt;&gt;0,VLOOKUP($A1579,Players!$A$2:$C$132,3),"")</f>
        <v/>
      </c>
      <c r="C1579" s="255"/>
      <c r="D1579" s="255"/>
      <c r="E1579" s="255"/>
      <c r="F1579" s="255"/>
      <c r="G1579" s="254" t="str">
        <f>IF(VLOOKUP($I1569&amp;RIGHT($A1579,1),Players!$A$2:$D$132,3)&lt;&gt;0,VLOOKUP($I1569&amp;RIGHT($A1579,1),Players!$A$2:$D$132,3),"")</f>
        <v/>
      </c>
      <c r="H1579" s="254"/>
      <c r="I1579" s="254"/>
      <c r="J1579" s="210" t="str">
        <f>IF(VLOOKUP($I1569&amp;RIGHT($A1579,1),Players!$A$2:$D$132,3)&lt;&gt;0,"("&amp;VLOOKUP($I1569&amp;RIGHT($A1579,1),Players!$A$2:$D$132,4)&amp;")","")</f>
        <v/>
      </c>
    </row>
    <row r="1580" spans="1:10" ht="25.5" customHeight="1">
      <c r="A1580" s="50" t="str">
        <f>CONCATENATE($D1569,"5")</f>
        <v>A5</v>
      </c>
      <c r="B1580" s="255" t="str">
        <f>IF(VLOOKUP($A1580,Players!$A$2:$C$132,3)&lt;&gt;0,VLOOKUP($A1580,Players!$A$2:$C$132,3),"")</f>
        <v/>
      </c>
      <c r="C1580" s="255"/>
      <c r="D1580" s="255"/>
      <c r="E1580" s="255"/>
      <c r="F1580" s="255"/>
      <c r="G1580" s="254" t="str">
        <f>IF(VLOOKUP($I1569&amp;RIGHT($A1580,1),Players!$A$2:$D$132,3)&lt;&gt;0,VLOOKUP($I1569&amp;RIGHT($A1580,1),Players!$A$2:$D$132,3),"")</f>
        <v/>
      </c>
      <c r="H1580" s="254"/>
      <c r="I1580" s="254"/>
      <c r="J1580" s="210" t="str">
        <f>IF(VLOOKUP($I1569&amp;RIGHT($A1580,1),Players!$A$2:$D$132,3)&lt;&gt;0,"("&amp;VLOOKUP($I1569&amp;RIGHT($A1580,1),Players!$A$2:$D$132,4)&amp;")","")</f>
        <v/>
      </c>
    </row>
    <row r="1581" spans="1:10" ht="25.5" customHeight="1">
      <c r="A1581" s="50" t="str">
        <f>CONCATENATE($D1569,"6")</f>
        <v>A6</v>
      </c>
      <c r="B1581" s="255" t="str">
        <f>IF(VLOOKUP($A1581,Players!$A$2:$C$132,3)&lt;&gt;0,VLOOKUP($A1581,Players!$A$2:$C$132,3),"")</f>
        <v/>
      </c>
      <c r="C1581" s="255"/>
      <c r="D1581" s="255"/>
      <c r="E1581" s="255"/>
      <c r="F1581" s="255"/>
      <c r="G1581" s="254" t="str">
        <f>IF(VLOOKUP($I1569&amp;RIGHT($A1581,1),Players!$A$2:$D$132,3)&lt;&gt;0,VLOOKUP($I1569&amp;RIGHT($A1581,1),Players!$A$2:$D$132,3),"")</f>
        <v/>
      </c>
      <c r="H1581" s="254"/>
      <c r="I1581" s="254"/>
      <c r="J1581" s="210" t="str">
        <f>IF(VLOOKUP($I1569&amp;RIGHT($A1581,1),Players!$A$2:$D$132,3)&lt;&gt;0,"("&amp;VLOOKUP($I1569&amp;RIGHT($A1581,1),Players!$A$2:$D$132,4)&amp;")","")</f>
        <v/>
      </c>
    </row>
    <row r="1582" spans="1:10" ht="25.5" customHeight="1">
      <c r="A1582" s="50" t="str">
        <f>CONCATENATE($D1569,"7")</f>
        <v>A7</v>
      </c>
      <c r="B1582" s="255" t="str">
        <f>IF(VLOOKUP($A1582,Players!$A$2:$C$132,3)&lt;&gt;0,VLOOKUP($A1582,Players!$A$2:$C$132,3),"")</f>
        <v/>
      </c>
      <c r="C1582" s="255"/>
      <c r="D1582" s="255"/>
      <c r="E1582" s="255"/>
      <c r="F1582" s="255"/>
      <c r="G1582" s="254" t="str">
        <f>IF(VLOOKUP($I1569&amp;RIGHT($A1582,1),Players!$A$2:$D$132,3)&lt;&gt;0,VLOOKUP($I1569&amp;RIGHT($A1582,1),Players!$A$2:$D$132,3),"")</f>
        <v/>
      </c>
      <c r="H1582" s="254"/>
      <c r="I1582" s="254"/>
      <c r="J1582" s="210" t="str">
        <f>IF(VLOOKUP($I1569&amp;RIGHT($A1582,1),Players!$A$2:$D$132,3)&lt;&gt;0,"("&amp;VLOOKUP($I1569&amp;RIGHT($A1582,1),Players!$A$2:$D$132,4)&amp;")","")</f>
        <v/>
      </c>
    </row>
    <row r="1583" spans="1:10" ht="25.5" customHeight="1">
      <c r="A1583" s="50" t="str">
        <f>CONCATENATE($D1569,"8")</f>
        <v>A8</v>
      </c>
      <c r="B1583" s="255" t="str">
        <f>IF(VLOOKUP($A1583,Players!$A$2:$C$132,3)&lt;&gt;0,VLOOKUP($A1583,Players!$A$2:$C$132,3),"")</f>
        <v/>
      </c>
      <c r="C1583" s="255"/>
      <c r="D1583" s="255"/>
      <c r="E1583" s="255"/>
      <c r="F1583" s="255"/>
      <c r="G1583" s="254" t="str">
        <f>IF(VLOOKUP($I1569&amp;RIGHT($A1583,1),Players!$A$2:$D$132,3)&lt;&gt;0,VLOOKUP($I1569&amp;RIGHT($A1583,1),Players!$A$2:$D$132,3),"")</f>
        <v/>
      </c>
      <c r="H1583" s="254"/>
      <c r="I1583" s="254"/>
      <c r="J1583" s="210" t="str">
        <f>IF(VLOOKUP($I1569&amp;RIGHT($A1583,1),Players!$A$2:$D$132,3)&lt;&gt;0,"("&amp;VLOOKUP($I1569&amp;RIGHT($A1583,1),Players!$A$2:$D$132,4)&amp;")","")</f>
        <v/>
      </c>
    </row>
    <row r="1584" spans="1:10" ht="25.5" customHeight="1">
      <c r="A1584" s="50"/>
      <c r="B1584" s="26"/>
      <c r="C1584" s="26"/>
      <c r="D1584" s="26"/>
      <c r="E1584" s="26"/>
      <c r="F1584" s="27"/>
      <c r="G1584" s="43"/>
      <c r="H1584" s="43"/>
      <c r="I1584" s="43"/>
      <c r="J1584" s="43"/>
    </row>
    <row r="1585" spans="1:10">
      <c r="A1585" s="49" t="s">
        <v>1225</v>
      </c>
      <c r="B1585" s="46"/>
      <c r="C1585" s="46"/>
      <c r="D1585" s="46"/>
      <c r="E1585" s="46"/>
      <c r="F1585" s="46"/>
      <c r="G1585" s="43"/>
      <c r="H1585" s="43"/>
      <c r="I1585" s="43"/>
      <c r="J1585" s="43"/>
    </row>
    <row r="1586" spans="1:10">
      <c r="A1586" s="46" t="s">
        <v>1247</v>
      </c>
      <c r="B1586" s="46"/>
      <c r="C1586" s="46"/>
      <c r="D1586" s="46"/>
      <c r="E1586" s="46"/>
      <c r="F1586" s="46"/>
      <c r="G1586" s="43"/>
      <c r="H1586" s="43"/>
      <c r="I1586" s="43"/>
      <c r="J1586" s="43"/>
    </row>
    <row r="1587" spans="1:10">
      <c r="A1587" s="46" t="s">
        <v>1248</v>
      </c>
      <c r="B1587" s="46"/>
      <c r="C1587" s="46"/>
      <c r="D1587" s="46"/>
      <c r="E1587" s="46"/>
      <c r="F1587" s="46"/>
      <c r="G1587" s="43"/>
      <c r="H1587" s="43"/>
      <c r="I1587" s="43"/>
      <c r="J1587" s="43"/>
    </row>
    <row r="1588" spans="1:10" ht="13.5" thickBot="1">
      <c r="A1588" s="46"/>
      <c r="B1588" s="46"/>
      <c r="C1588" s="46"/>
      <c r="D1588" s="46"/>
      <c r="E1588" s="46"/>
      <c r="F1588" s="46"/>
      <c r="G1588" s="43"/>
      <c r="H1588" s="43"/>
      <c r="I1588" s="43"/>
      <c r="J1588" s="43"/>
    </row>
    <row r="1589" spans="1:10" ht="25.5" customHeight="1" thickBot="1">
      <c r="A1589" s="50"/>
      <c r="B1589" s="257"/>
      <c r="C1589" s="258"/>
      <c r="D1589" s="258"/>
      <c r="E1589" s="258"/>
      <c r="F1589" s="259"/>
      <c r="G1589" s="43"/>
      <c r="H1589" s="43"/>
      <c r="I1589" s="43"/>
      <c r="J1589" s="43"/>
    </row>
    <row r="1590" spans="1:10">
      <c r="A1590" s="43"/>
      <c r="B1590" s="43"/>
      <c r="C1590" s="43"/>
      <c r="D1590" s="43"/>
      <c r="E1590" s="43"/>
      <c r="F1590" s="43"/>
      <c r="G1590" s="43"/>
      <c r="H1590" s="43"/>
      <c r="I1590" s="43"/>
      <c r="J1590" s="43"/>
    </row>
    <row r="1591" spans="1:10">
      <c r="A1591" s="43"/>
      <c r="B1591" s="43"/>
      <c r="C1591" s="43"/>
      <c r="D1591" s="43"/>
      <c r="E1591" s="43"/>
      <c r="F1591" s="43"/>
      <c r="G1591" s="43"/>
      <c r="H1591" s="43"/>
      <c r="I1591" s="43"/>
      <c r="J1591" s="43"/>
    </row>
    <row r="1592" spans="1:10">
      <c r="A1592" s="43"/>
      <c r="B1592" s="43"/>
      <c r="C1592" s="43"/>
      <c r="D1592" s="43"/>
      <c r="E1592" s="43"/>
      <c r="F1592" s="43"/>
      <c r="G1592" s="43"/>
      <c r="H1592" s="43"/>
      <c r="I1592" s="43"/>
      <c r="J1592" s="43"/>
    </row>
    <row r="1593" spans="1:10">
      <c r="A1593" s="43"/>
      <c r="B1593" s="43"/>
      <c r="C1593" s="43"/>
      <c r="D1593" s="43"/>
      <c r="E1593" s="43"/>
      <c r="F1593" s="43"/>
      <c r="G1593" s="43"/>
      <c r="H1593" s="43"/>
      <c r="I1593" s="43"/>
      <c r="J1593" s="43"/>
    </row>
    <row r="1594" spans="1:10">
      <c r="A1594" s="43"/>
      <c r="B1594" s="43"/>
      <c r="C1594" s="43"/>
      <c r="D1594" s="43"/>
      <c r="E1594" s="43"/>
      <c r="F1594" s="43"/>
      <c r="G1594" s="43"/>
      <c r="H1594" s="43"/>
      <c r="I1594" s="43"/>
      <c r="J1594" s="43"/>
    </row>
    <row r="1595" spans="1:10" ht="25.5" customHeight="1">
      <c r="A1595" s="47"/>
      <c r="B1595" s="47"/>
      <c r="C1595" s="47"/>
      <c r="D1595" s="47"/>
      <c r="E1595" s="47"/>
      <c r="F1595" s="43"/>
      <c r="G1595" s="51"/>
      <c r="H1595" s="250" t="s">
        <v>1227</v>
      </c>
      <c r="I1595" s="251"/>
      <c r="J1595" s="43"/>
    </row>
    <row r="1596" spans="1:10">
      <c r="A1596" s="43" t="s">
        <v>1226</v>
      </c>
      <c r="B1596" s="43"/>
      <c r="C1596" s="43"/>
      <c r="D1596" s="43"/>
      <c r="E1596" s="43"/>
      <c r="F1596" s="43"/>
      <c r="G1596" s="43"/>
      <c r="H1596" s="43"/>
      <c r="I1596" s="43"/>
      <c r="J1596" s="43"/>
    </row>
    <row r="1597" spans="1:10">
      <c r="A1597" s="43"/>
      <c r="B1597" s="43"/>
      <c r="C1597" s="43"/>
      <c r="D1597" s="43"/>
      <c r="E1597" s="43"/>
      <c r="F1597" s="43"/>
      <c r="G1597" s="43"/>
      <c r="H1597" s="43"/>
      <c r="I1597" s="43"/>
      <c r="J1597" s="43"/>
    </row>
    <row r="1598" spans="1:10">
      <c r="A1598" s="43"/>
      <c r="B1598" s="43"/>
      <c r="C1598" s="43"/>
      <c r="D1598" s="43"/>
      <c r="E1598" s="256" t="str">
        <f>CONCATENATE("(",$D1569," vs ",$I1569,")")</f>
        <v>(A vs J)</v>
      </c>
      <c r="F1598" s="256"/>
      <c r="G1598" s="43"/>
      <c r="H1598" s="43"/>
      <c r="I1598" s="43"/>
      <c r="J1598" s="43"/>
    </row>
    <row r="1599" spans="1:10" ht="15.75">
      <c r="A1599" s="42" t="s">
        <v>1223</v>
      </c>
      <c r="B1599" s="43"/>
      <c r="C1599" s="43"/>
      <c r="D1599" s="43"/>
      <c r="E1599" s="43"/>
      <c r="F1599" s="43"/>
      <c r="G1599" s="43"/>
      <c r="H1599" s="43"/>
      <c r="I1599" s="43"/>
      <c r="J1599" s="96" t="s">
        <v>4266</v>
      </c>
    </row>
    <row r="1600" spans="1:10" ht="12.75" customHeight="1">
      <c r="A1600" s="42"/>
      <c r="B1600" s="43"/>
      <c r="C1600" s="43"/>
      <c r="D1600" s="43"/>
      <c r="E1600" s="43"/>
      <c r="F1600" s="43"/>
      <c r="G1600" s="43" t="str">
        <f ca="1">Team_Matches!$J$6</f>
        <v>[NCTTA Teams Template (v2.06).xlsx]</v>
      </c>
      <c r="H1600" s="43"/>
      <c r="I1600" s="43"/>
      <c r="J1600" s="160"/>
    </row>
    <row r="1601" spans="1:10" ht="12.75" customHeight="1">
      <c r="A1601" s="42"/>
      <c r="B1601" s="43"/>
      <c r="C1601" s="43"/>
      <c r="D1601" s="43"/>
      <c r="E1601" s="43"/>
      <c r="F1601" s="43"/>
      <c r="G1601" s="247" t="str">
        <f>Team_Matches!$J1180</f>
        <v/>
      </c>
      <c r="H1601" s="247"/>
      <c r="I1601" s="161" t="str">
        <f>Team_Matches!$M1180</f>
        <v/>
      </c>
      <c r="J1601" s="161"/>
    </row>
    <row r="1602" spans="1:10" ht="15.75">
      <c r="A1602" s="42"/>
      <c r="B1602" s="43"/>
      <c r="C1602" s="43"/>
      <c r="D1602" s="43"/>
      <c r="E1602" s="43"/>
      <c r="F1602" s="43"/>
      <c r="G1602" s="43"/>
      <c r="H1602" s="43"/>
      <c r="I1602" s="43"/>
      <c r="J1602" s="43"/>
    </row>
    <row r="1603" spans="1:10">
      <c r="A1603" s="43"/>
      <c r="B1603" s="43"/>
      <c r="C1603" s="9" t="s">
        <v>1228</v>
      </c>
      <c r="D1603" s="3" t="str">
        <f>Team_Matches!$B1182</f>
        <v>A</v>
      </c>
      <c r="E1603" s="43"/>
      <c r="F1603" s="97" t="str">
        <f>CONCATENATE($D1603,"-",$I1603)</f>
        <v>A-J</v>
      </c>
      <c r="G1603" s="43"/>
      <c r="H1603" s="9" t="s">
        <v>1228</v>
      </c>
      <c r="I1603" s="52" t="str">
        <f>Team_Matches!$K1182</f>
        <v>J</v>
      </c>
      <c r="J1603" s="43"/>
    </row>
    <row r="1604" spans="1:10" ht="25.5" customHeight="1">
      <c r="A1604" s="44"/>
      <c r="B1604" s="252" t="str">
        <f>IF(VLOOKUP($D1603,Draw!$A$4:$B$27,2)&lt;&gt;0,VLOOKUP($D1603,Draw!$A$4:$B$27,2),"")</f>
        <v/>
      </c>
      <c r="C1604" s="252"/>
      <c r="D1604" s="252"/>
      <c r="E1604" s="253"/>
      <c r="F1604" s="45"/>
      <c r="G1604" s="248" t="str">
        <f>IF(VLOOKUP($I1603,Draw!$A$4:$B$27,2)&lt;&gt;0,VLOOKUP($I1603,Draw!$A$4:$B$27,2),"")</f>
        <v/>
      </c>
      <c r="H1604" s="248"/>
      <c r="I1604" s="248"/>
      <c r="J1604" s="249"/>
    </row>
    <row r="1605" spans="1:10" ht="25.5" customHeight="1"/>
    <row r="1606" spans="1:10" ht="25.5" customHeight="1"/>
    <row r="1607" spans="1:10" ht="24" customHeight="1">
      <c r="A1607" s="48" t="s">
        <v>1246</v>
      </c>
      <c r="B1607" s="43"/>
      <c r="C1607" s="43"/>
      <c r="D1607" s="43"/>
      <c r="E1607" s="43"/>
      <c r="F1607" s="43"/>
      <c r="G1607" s="43"/>
      <c r="H1607" s="43"/>
      <c r="I1607" s="43"/>
      <c r="J1607" s="43"/>
    </row>
    <row r="1608" spans="1:10" ht="24" customHeight="1">
      <c r="A1608" s="48"/>
      <c r="B1608" s="43"/>
      <c r="C1608" s="43"/>
      <c r="D1608" s="43"/>
      <c r="E1608" s="43"/>
      <c r="F1608" s="43"/>
      <c r="G1608" s="43"/>
      <c r="H1608" s="43"/>
      <c r="I1608" s="43"/>
      <c r="J1608" s="43"/>
    </row>
    <row r="1609" spans="1:10">
      <c r="A1609" s="49" t="s">
        <v>1224</v>
      </c>
      <c r="B1609" s="46"/>
      <c r="C1609" s="46"/>
      <c r="D1609" s="46"/>
      <c r="E1609" s="46"/>
      <c r="F1609" s="46"/>
      <c r="G1609" s="260" t="s">
        <v>10336</v>
      </c>
      <c r="H1609" s="260"/>
      <c r="I1609" s="260"/>
      <c r="J1609" s="260"/>
    </row>
    <row r="1610" spans="1:10" ht="24" customHeight="1">
      <c r="A1610" s="50" t="str">
        <f>CONCATENATE($I1603,"1")</f>
        <v>J1</v>
      </c>
      <c r="B1610" s="255" t="str">
        <f>IF(VLOOKUP($A1610,Players!$A$2:$C$132,3)&lt;&gt;0,VLOOKUP($A1610,Players!$A$2:$C$132,3),"")</f>
        <v/>
      </c>
      <c r="C1610" s="255"/>
      <c r="D1610" s="255"/>
      <c r="E1610" s="255"/>
      <c r="F1610" s="255"/>
      <c r="G1610" s="254" t="str">
        <f>IF(VLOOKUP($D1603&amp;RIGHT($A1610,1),Players!$A$2:$D$132,3)&lt;&gt;0,VLOOKUP($D1603&amp;RIGHT($A1610,1),Players!$A$2:$D$132,3),"")</f>
        <v/>
      </c>
      <c r="H1610" s="254"/>
      <c r="I1610" s="254"/>
      <c r="J1610" s="210" t="str">
        <f>IF(VLOOKUP($D1603&amp;RIGHT($A1610,1),Players!$A$2:$D$132,3)&lt;&gt;0,"("&amp;VLOOKUP($D1603&amp;RIGHT($A1610,1),Players!$A$2:$D$132,4)&amp;")","")</f>
        <v/>
      </c>
    </row>
    <row r="1611" spans="1:10" ht="25.5" customHeight="1">
      <c r="A1611" s="50" t="str">
        <f>CONCATENATE($I1603,"2")</f>
        <v>J2</v>
      </c>
      <c r="B1611" s="255" t="str">
        <f>IF(VLOOKUP($A1611,Players!$A$2:$C$132,3)&lt;&gt;0,VLOOKUP($A1611,Players!$A$2:$C$132,3),"")</f>
        <v/>
      </c>
      <c r="C1611" s="255"/>
      <c r="D1611" s="255"/>
      <c r="E1611" s="255"/>
      <c r="F1611" s="255"/>
      <c r="G1611" s="254" t="str">
        <f>IF(VLOOKUP($D1603&amp;RIGHT($A1611,1),Players!$A$2:$D$132,3)&lt;&gt;0,VLOOKUP($D1603&amp;RIGHT($A1611,1),Players!$A$2:$D$132,3),"")</f>
        <v/>
      </c>
      <c r="H1611" s="254"/>
      <c r="I1611" s="254"/>
      <c r="J1611" s="210" t="str">
        <f>IF(VLOOKUP($D1603&amp;RIGHT($A1611,1),Players!$A$2:$D$132,3)&lt;&gt;0,"("&amp;VLOOKUP($D1603&amp;RIGHT($A1611,1),Players!$A$2:$D$132,4)&amp;")","")</f>
        <v/>
      </c>
    </row>
    <row r="1612" spans="1:10" ht="25.5" customHeight="1">
      <c r="A1612" s="50" t="str">
        <f>CONCATENATE($I1603,"3")</f>
        <v>J3</v>
      </c>
      <c r="B1612" s="255" t="str">
        <f>IF(VLOOKUP($A1612,Players!$A$2:$C$132,3)&lt;&gt;0,VLOOKUP($A1612,Players!$A$2:$C$132,3),"")</f>
        <v/>
      </c>
      <c r="C1612" s="255"/>
      <c r="D1612" s="255"/>
      <c r="E1612" s="255"/>
      <c r="F1612" s="255"/>
      <c r="G1612" s="254" t="str">
        <f>IF(VLOOKUP($D1603&amp;RIGHT($A1612,1),Players!$A$2:$D$132,3)&lt;&gt;0,VLOOKUP($D1603&amp;RIGHT($A1612,1),Players!$A$2:$D$132,3),"")</f>
        <v/>
      </c>
      <c r="H1612" s="254"/>
      <c r="I1612" s="254"/>
      <c r="J1612" s="210" t="str">
        <f>IF(VLOOKUP($D1603&amp;RIGHT($A1612,1),Players!$A$2:$D$132,3)&lt;&gt;0,"("&amp;VLOOKUP($D1603&amp;RIGHT($A1612,1),Players!$A$2:$D$132,4)&amp;")","")</f>
        <v/>
      </c>
    </row>
    <row r="1613" spans="1:10" ht="25.5" customHeight="1">
      <c r="A1613" s="50" t="str">
        <f>CONCATENATE($I1603,"4")</f>
        <v>J4</v>
      </c>
      <c r="B1613" s="255" t="str">
        <f>IF(VLOOKUP($A1613,Players!$A$2:$C$132,3)&lt;&gt;0,VLOOKUP($A1613,Players!$A$2:$C$132,3),"")</f>
        <v/>
      </c>
      <c r="C1613" s="255"/>
      <c r="D1613" s="255"/>
      <c r="E1613" s="255"/>
      <c r="F1613" s="255"/>
      <c r="G1613" s="254" t="str">
        <f>IF(VLOOKUP($D1603&amp;RIGHT($A1613,1),Players!$A$2:$D$132,3)&lt;&gt;0,VLOOKUP($D1603&amp;RIGHT($A1613,1),Players!$A$2:$D$132,3),"")</f>
        <v/>
      </c>
      <c r="H1613" s="254"/>
      <c r="I1613" s="254"/>
      <c r="J1613" s="210" t="str">
        <f>IF(VLOOKUP($D1603&amp;RIGHT($A1613,1),Players!$A$2:$D$132,3)&lt;&gt;0,"("&amp;VLOOKUP($D1603&amp;RIGHT($A1613,1),Players!$A$2:$D$132,4)&amp;")","")</f>
        <v/>
      </c>
    </row>
    <row r="1614" spans="1:10" ht="25.5" customHeight="1">
      <c r="A1614" s="50" t="str">
        <f>CONCATENATE($I1603,"5")</f>
        <v>J5</v>
      </c>
      <c r="B1614" s="255" t="str">
        <f>IF(VLOOKUP($A1614,Players!$A$2:$C$132,3)&lt;&gt;0,VLOOKUP($A1614,Players!$A$2:$C$132,3),"")</f>
        <v/>
      </c>
      <c r="C1614" s="255"/>
      <c r="D1614" s="255"/>
      <c r="E1614" s="255"/>
      <c r="F1614" s="255"/>
      <c r="G1614" s="254" t="str">
        <f>IF(VLOOKUP($D1603&amp;RIGHT($A1614,1),Players!$A$2:$D$132,3)&lt;&gt;0,VLOOKUP($D1603&amp;RIGHT($A1614,1),Players!$A$2:$D$132,3),"")</f>
        <v/>
      </c>
      <c r="H1614" s="254"/>
      <c r="I1614" s="254"/>
      <c r="J1614" s="210" t="str">
        <f>IF(VLOOKUP($D1603&amp;RIGHT($A1614,1),Players!$A$2:$D$132,3)&lt;&gt;0,"("&amp;VLOOKUP($D1603&amp;RIGHT($A1614,1),Players!$A$2:$D$132,4)&amp;")","")</f>
        <v/>
      </c>
    </row>
    <row r="1615" spans="1:10" ht="25.5" customHeight="1">
      <c r="A1615" s="50" t="str">
        <f>CONCATENATE($I1603,"6")</f>
        <v>J6</v>
      </c>
      <c r="B1615" s="255" t="str">
        <f>IF(VLOOKUP($A1615,Players!$A$2:$C$132,3)&lt;&gt;0,VLOOKUP($A1615,Players!$A$2:$C$132,3),"")</f>
        <v/>
      </c>
      <c r="C1615" s="255"/>
      <c r="D1615" s="255"/>
      <c r="E1615" s="255"/>
      <c r="F1615" s="255"/>
      <c r="G1615" s="254" t="str">
        <f>IF(VLOOKUP($D1603&amp;RIGHT($A1615,1),Players!$A$2:$D$132,3)&lt;&gt;0,VLOOKUP($D1603&amp;RIGHT($A1615,1),Players!$A$2:$D$132,3),"")</f>
        <v/>
      </c>
      <c r="H1615" s="254"/>
      <c r="I1615" s="254"/>
      <c r="J1615" s="210" t="str">
        <f>IF(VLOOKUP($D1603&amp;RIGHT($A1615,1),Players!$A$2:$D$132,3)&lt;&gt;0,"("&amp;VLOOKUP($D1603&amp;RIGHT($A1615,1),Players!$A$2:$D$132,4)&amp;")","")</f>
        <v/>
      </c>
    </row>
    <row r="1616" spans="1:10" ht="25.5" customHeight="1">
      <c r="A1616" s="50" t="str">
        <f>CONCATENATE($I1603,"7")</f>
        <v>J7</v>
      </c>
      <c r="B1616" s="255" t="str">
        <f>IF(VLOOKUP($A1616,Players!$A$2:$C$132,3)&lt;&gt;0,VLOOKUP($A1616,Players!$A$2:$C$132,3),"")</f>
        <v/>
      </c>
      <c r="C1616" s="255"/>
      <c r="D1616" s="255"/>
      <c r="E1616" s="255"/>
      <c r="F1616" s="255"/>
      <c r="G1616" s="254" t="str">
        <f>IF(VLOOKUP($D1603&amp;RIGHT($A1616,1),Players!$A$2:$D$132,3)&lt;&gt;0,VLOOKUP($D1603&amp;RIGHT($A1616,1),Players!$A$2:$D$132,3),"")</f>
        <v/>
      </c>
      <c r="H1616" s="254"/>
      <c r="I1616" s="254"/>
      <c r="J1616" s="210" t="str">
        <f>IF(VLOOKUP($D1603&amp;RIGHT($A1616,1),Players!$A$2:$D$132,3)&lt;&gt;0,"("&amp;VLOOKUP($D1603&amp;RIGHT($A1616,1),Players!$A$2:$D$132,4)&amp;")","")</f>
        <v/>
      </c>
    </row>
    <row r="1617" spans="1:10" ht="25.5" customHeight="1">
      <c r="A1617" s="50" t="str">
        <f>CONCATENATE($I1603,"8")</f>
        <v>J8</v>
      </c>
      <c r="B1617" s="255" t="str">
        <f>IF(VLOOKUP($A1617,Players!$A$2:$C$132,3)&lt;&gt;0,VLOOKUP($A1617,Players!$A$2:$C$132,3),"")</f>
        <v/>
      </c>
      <c r="C1617" s="255"/>
      <c r="D1617" s="255"/>
      <c r="E1617" s="255"/>
      <c r="F1617" s="255"/>
      <c r="G1617" s="254" t="str">
        <f>IF(VLOOKUP($D1603&amp;RIGHT($A1617,1),Players!$A$2:$D$132,3)&lt;&gt;0,VLOOKUP($D1603&amp;RIGHT($A1617,1),Players!$A$2:$D$132,3),"")</f>
        <v/>
      </c>
      <c r="H1617" s="254"/>
      <c r="I1617" s="254"/>
      <c r="J1617" s="210" t="str">
        <f>IF(VLOOKUP($D1603&amp;RIGHT($A1617,1),Players!$A$2:$D$132,3)&lt;&gt;0,"("&amp;VLOOKUP($D1603&amp;RIGHT($A1617,1),Players!$A$2:$D$132,4)&amp;")","")</f>
        <v/>
      </c>
    </row>
    <row r="1618" spans="1:10" ht="25.5" customHeight="1">
      <c r="A1618" s="50"/>
      <c r="B1618" s="26"/>
      <c r="C1618" s="26"/>
      <c r="D1618" s="26"/>
      <c r="E1618" s="26"/>
      <c r="F1618" s="27"/>
      <c r="G1618" s="43"/>
      <c r="H1618" s="43"/>
      <c r="I1618" s="43"/>
      <c r="J1618" s="43"/>
    </row>
    <row r="1619" spans="1:10">
      <c r="A1619" s="49" t="s">
        <v>1225</v>
      </c>
      <c r="B1619" s="46"/>
      <c r="C1619" s="46"/>
      <c r="D1619" s="46"/>
      <c r="E1619" s="46"/>
      <c r="F1619" s="46"/>
      <c r="G1619" s="43"/>
      <c r="H1619" s="43"/>
      <c r="I1619" s="43"/>
      <c r="J1619" s="43"/>
    </row>
    <row r="1620" spans="1:10">
      <c r="A1620" s="46" t="s">
        <v>1247</v>
      </c>
      <c r="B1620" s="46"/>
      <c r="C1620" s="46"/>
      <c r="D1620" s="46"/>
      <c r="E1620" s="46"/>
      <c r="F1620" s="46"/>
      <c r="G1620" s="43"/>
      <c r="H1620" s="43"/>
      <c r="I1620" s="43"/>
      <c r="J1620" s="43"/>
    </row>
    <row r="1621" spans="1:10">
      <c r="A1621" s="46" t="s">
        <v>1248</v>
      </c>
      <c r="B1621" s="46"/>
      <c r="C1621" s="46"/>
      <c r="D1621" s="46"/>
      <c r="E1621" s="46"/>
      <c r="F1621" s="46"/>
      <c r="G1621" s="43"/>
      <c r="H1621" s="43"/>
      <c r="I1621" s="43"/>
      <c r="J1621" s="43"/>
    </row>
    <row r="1622" spans="1:10" ht="13.5" thickBot="1">
      <c r="A1622" s="46"/>
      <c r="B1622" s="46"/>
      <c r="C1622" s="46"/>
      <c r="D1622" s="46"/>
      <c r="E1622" s="46"/>
      <c r="F1622" s="46"/>
      <c r="G1622" s="43"/>
      <c r="H1622" s="43"/>
      <c r="I1622" s="43"/>
      <c r="J1622" s="43"/>
    </row>
    <row r="1623" spans="1:10" ht="25.5" customHeight="1" thickBot="1">
      <c r="A1623" s="50"/>
      <c r="B1623" s="257"/>
      <c r="C1623" s="258"/>
      <c r="D1623" s="258"/>
      <c r="E1623" s="258"/>
      <c r="F1623" s="259"/>
      <c r="G1623" s="43"/>
      <c r="H1623" s="43"/>
      <c r="I1623" s="43"/>
      <c r="J1623" s="43"/>
    </row>
    <row r="1624" spans="1:10">
      <c r="A1624" s="43"/>
      <c r="B1624" s="43"/>
      <c r="C1624" s="43"/>
      <c r="D1624" s="43"/>
      <c r="E1624" s="43"/>
      <c r="F1624" s="43"/>
      <c r="G1624" s="43"/>
      <c r="H1624" s="43"/>
      <c r="I1624" s="43"/>
      <c r="J1624" s="43"/>
    </row>
    <row r="1625" spans="1:10">
      <c r="A1625" s="43"/>
      <c r="B1625" s="43"/>
      <c r="C1625" s="43"/>
      <c r="D1625" s="43"/>
      <c r="E1625" s="43"/>
      <c r="F1625" s="43"/>
      <c r="G1625" s="43"/>
      <c r="H1625" s="43"/>
      <c r="I1625" s="43"/>
      <c r="J1625" s="43"/>
    </row>
    <row r="1626" spans="1:10">
      <c r="A1626" s="43"/>
      <c r="B1626" s="43"/>
      <c r="C1626" s="43"/>
      <c r="D1626" s="43"/>
      <c r="E1626" s="43"/>
      <c r="F1626" s="43"/>
      <c r="G1626" s="43"/>
      <c r="H1626" s="43"/>
      <c r="I1626" s="43"/>
      <c r="J1626" s="43"/>
    </row>
    <row r="1627" spans="1:10">
      <c r="A1627" s="43"/>
      <c r="B1627" s="43"/>
      <c r="C1627" s="43"/>
      <c r="D1627" s="43"/>
      <c r="E1627" s="43"/>
      <c r="F1627" s="43"/>
      <c r="G1627" s="43"/>
      <c r="H1627" s="43"/>
      <c r="I1627" s="43"/>
      <c r="J1627" s="43"/>
    </row>
    <row r="1628" spans="1:10">
      <c r="A1628" s="43"/>
      <c r="B1628" s="43"/>
      <c r="C1628" s="43"/>
      <c r="D1628" s="43"/>
      <c r="E1628" s="43"/>
      <c r="F1628" s="43"/>
      <c r="G1628" s="43"/>
      <c r="H1628" s="43"/>
      <c r="I1628" s="43"/>
      <c r="J1628" s="43"/>
    </row>
    <row r="1629" spans="1:10" ht="25.5" customHeight="1">
      <c r="A1629" s="47"/>
      <c r="B1629" s="47"/>
      <c r="C1629" s="47"/>
      <c r="D1629" s="47"/>
      <c r="E1629" s="47"/>
      <c r="F1629" s="43"/>
      <c r="G1629" s="51"/>
      <c r="H1629" s="250" t="s">
        <v>1227</v>
      </c>
      <c r="I1629" s="251"/>
      <c r="J1629" s="43"/>
    </row>
    <row r="1630" spans="1:10">
      <c r="A1630" s="43" t="s">
        <v>1226</v>
      </c>
      <c r="B1630" s="43"/>
      <c r="C1630" s="43"/>
      <c r="D1630" s="43"/>
      <c r="E1630" s="43"/>
      <c r="F1630" s="43"/>
      <c r="G1630" s="43"/>
      <c r="H1630" s="43"/>
      <c r="I1630" s="43"/>
      <c r="J1630" s="43"/>
    </row>
    <row r="1631" spans="1:10">
      <c r="A1631" s="43"/>
      <c r="B1631" s="43"/>
      <c r="C1631" s="43"/>
      <c r="D1631" s="43"/>
      <c r="E1631" s="43"/>
      <c r="F1631" s="43"/>
      <c r="G1631" s="43"/>
      <c r="H1631" s="43"/>
      <c r="I1631" s="43"/>
      <c r="J1631" s="43"/>
    </row>
    <row r="1632" spans="1:10">
      <c r="A1632" s="43"/>
      <c r="B1632" s="43"/>
      <c r="C1632" s="43"/>
      <c r="D1632" s="43"/>
      <c r="E1632" s="256" t="str">
        <f>CONCATENATE("(",$D1603," vs ",$I1603,")")</f>
        <v>(A vs J)</v>
      </c>
      <c r="F1632" s="256"/>
      <c r="G1632" s="43"/>
      <c r="H1632" s="43"/>
      <c r="I1632" s="43"/>
      <c r="J1632" s="43"/>
    </row>
    <row r="1633" spans="1:10" ht="15.75">
      <c r="A1633" s="42" t="s">
        <v>1223</v>
      </c>
      <c r="B1633" s="43"/>
      <c r="C1633" s="43"/>
      <c r="D1633" s="43"/>
      <c r="E1633" s="43"/>
      <c r="F1633" s="43"/>
      <c r="G1633" s="43"/>
      <c r="H1633" s="43"/>
      <c r="I1633" s="43"/>
      <c r="J1633" s="96" t="s">
        <v>4268</v>
      </c>
    </row>
    <row r="1634" spans="1:10" ht="12.75" customHeight="1">
      <c r="A1634" s="42"/>
      <c r="B1634" s="43"/>
      <c r="C1634" s="43"/>
      <c r="D1634" s="43"/>
      <c r="E1634" s="43"/>
      <c r="F1634" s="43"/>
      <c r="G1634" s="43" t="str">
        <f ca="1">Team_Matches!$J$6</f>
        <v>[NCTTA Teams Template (v2.06).xlsx]</v>
      </c>
      <c r="H1634" s="43"/>
      <c r="I1634" s="43"/>
      <c r="J1634" s="160"/>
    </row>
    <row r="1635" spans="1:10" ht="12.75" customHeight="1">
      <c r="A1635" s="42"/>
      <c r="B1635" s="43"/>
      <c r="C1635" s="43"/>
      <c r="D1635" s="43"/>
      <c r="E1635" s="43"/>
      <c r="F1635" s="43"/>
      <c r="G1635" s="247" t="str">
        <f>Team_Matches!$J1231</f>
        <v/>
      </c>
      <c r="H1635" s="247"/>
      <c r="I1635" s="161" t="str">
        <f>Team_Matches!$M1231</f>
        <v/>
      </c>
      <c r="J1635" s="161"/>
    </row>
    <row r="1636" spans="1:10" ht="15.75">
      <c r="A1636" s="42"/>
      <c r="B1636" s="43"/>
      <c r="C1636" s="43"/>
      <c r="D1636" s="43"/>
      <c r="E1636" s="43"/>
      <c r="F1636" s="43"/>
      <c r="G1636" s="43"/>
      <c r="H1636" s="43"/>
      <c r="I1636" s="43"/>
      <c r="J1636" s="43"/>
    </row>
    <row r="1637" spans="1:10">
      <c r="A1637" s="43"/>
      <c r="B1637" s="43"/>
      <c r="C1637" s="9" t="s">
        <v>1228</v>
      </c>
      <c r="D1637" s="52" t="str">
        <f>Team_Matches!$B1233</f>
        <v>A</v>
      </c>
      <c r="E1637" s="43"/>
      <c r="F1637" s="97" t="str">
        <f>CONCATENATE($D1637,"-",$I1637)</f>
        <v>A-K</v>
      </c>
      <c r="G1637" s="43"/>
      <c r="H1637" s="9" t="s">
        <v>1228</v>
      </c>
      <c r="I1637" s="52" t="str">
        <f>Team_Matches!$K1233</f>
        <v>K</v>
      </c>
      <c r="J1637" s="43"/>
    </row>
    <row r="1638" spans="1:10" ht="25.5" customHeight="1">
      <c r="A1638" s="44"/>
      <c r="B1638" s="248" t="str">
        <f>IF(VLOOKUP($D1637,Draw!$A$4:$B$27,2)&lt;&gt;0,VLOOKUP($D1637,Draw!$A$4:$B$27,2),"")</f>
        <v/>
      </c>
      <c r="C1638" s="248"/>
      <c r="D1638" s="248"/>
      <c r="E1638" s="249"/>
      <c r="F1638" s="45"/>
      <c r="G1638" s="252" t="str">
        <f>IF(VLOOKUP($I1637,Draw!$A$4:$B$27,2)&lt;&gt;0,VLOOKUP($I1637,Draw!$A$4:$B$27,2),"")</f>
        <v/>
      </c>
      <c r="H1638" s="252"/>
      <c r="I1638" s="252"/>
      <c r="J1638" s="253"/>
    </row>
    <row r="1639" spans="1:10" ht="25.5" customHeight="1"/>
    <row r="1640" spans="1:10" ht="25.5" customHeight="1"/>
    <row r="1641" spans="1:10" ht="24" customHeight="1">
      <c r="A1641" s="48" t="s">
        <v>1246</v>
      </c>
      <c r="B1641" s="43"/>
      <c r="C1641" s="43"/>
      <c r="D1641" s="43"/>
      <c r="E1641" s="43"/>
      <c r="F1641" s="43"/>
      <c r="G1641" s="43"/>
      <c r="H1641" s="43"/>
      <c r="I1641" s="43"/>
      <c r="J1641" s="43"/>
    </row>
    <row r="1642" spans="1:10" ht="24" customHeight="1">
      <c r="A1642" s="48"/>
      <c r="B1642" s="43"/>
      <c r="C1642" s="43"/>
      <c r="D1642" s="43"/>
      <c r="E1642" s="43"/>
      <c r="F1642" s="43"/>
      <c r="G1642" s="43"/>
      <c r="H1642" s="43"/>
      <c r="I1642" s="43"/>
      <c r="J1642" s="43"/>
    </row>
    <row r="1643" spans="1:10">
      <c r="A1643" s="49" t="s">
        <v>1224</v>
      </c>
      <c r="B1643" s="46"/>
      <c r="C1643" s="46"/>
      <c r="D1643" s="46"/>
      <c r="E1643" s="46"/>
      <c r="F1643" s="46"/>
      <c r="G1643" s="260" t="s">
        <v>10336</v>
      </c>
      <c r="H1643" s="260"/>
      <c r="I1643" s="260"/>
      <c r="J1643" s="260"/>
    </row>
    <row r="1644" spans="1:10" ht="24" customHeight="1">
      <c r="A1644" s="50" t="str">
        <f>CONCATENATE($D1637,"1")</f>
        <v>A1</v>
      </c>
      <c r="B1644" s="255" t="str">
        <f>IF(VLOOKUP($A1644,Players!$A$2:$C$132,3)&lt;&gt;0,VLOOKUP($A1644,Players!$A$2:$C$132,3),"")</f>
        <v/>
      </c>
      <c r="C1644" s="255"/>
      <c r="D1644" s="255"/>
      <c r="E1644" s="255"/>
      <c r="F1644" s="255"/>
      <c r="G1644" s="254" t="str">
        <f>IF(VLOOKUP($I1637&amp;RIGHT($A1644,1),Players!$A$2:$D$132,3)&lt;&gt;0,VLOOKUP($I1637&amp;RIGHT($A1644,1),Players!$A$2:$D$132,3),"")</f>
        <v/>
      </c>
      <c r="H1644" s="254"/>
      <c r="I1644" s="254"/>
      <c r="J1644" s="210" t="str">
        <f>IF(VLOOKUP($I1637&amp;RIGHT($A1644,1),Players!$A$2:$D$132,3)&lt;&gt;0,"("&amp;VLOOKUP($I1637&amp;RIGHT($A1644,1),Players!$A$2:$D$132,4)&amp;")","")</f>
        <v/>
      </c>
    </row>
    <row r="1645" spans="1:10" ht="25.5" customHeight="1">
      <c r="A1645" s="50" t="str">
        <f>CONCATENATE($D1637,"2")</f>
        <v>A2</v>
      </c>
      <c r="B1645" s="255" t="str">
        <f>IF(VLOOKUP($A1645,Players!$A$2:$C$132,3)&lt;&gt;0,VLOOKUP($A1645,Players!$A$2:$C$132,3),"")</f>
        <v/>
      </c>
      <c r="C1645" s="255"/>
      <c r="D1645" s="255"/>
      <c r="E1645" s="255"/>
      <c r="F1645" s="255"/>
      <c r="G1645" s="254" t="str">
        <f>IF(VLOOKUP($I1637&amp;RIGHT($A1645,1),Players!$A$2:$D$132,3)&lt;&gt;0,VLOOKUP($I1637&amp;RIGHT($A1645,1),Players!$A$2:$D$132,3),"")</f>
        <v/>
      </c>
      <c r="H1645" s="254"/>
      <c r="I1645" s="254"/>
      <c r="J1645" s="210" t="str">
        <f>IF(VLOOKUP($I1637&amp;RIGHT($A1645,1),Players!$A$2:$D$132,3)&lt;&gt;0,"("&amp;VLOOKUP($I1637&amp;RIGHT($A1645,1),Players!$A$2:$D$132,4)&amp;")","")</f>
        <v/>
      </c>
    </row>
    <row r="1646" spans="1:10" ht="25.5" customHeight="1">
      <c r="A1646" s="50" t="str">
        <f>CONCATENATE($D1637,"3")</f>
        <v>A3</v>
      </c>
      <c r="B1646" s="255" t="str">
        <f>IF(VLOOKUP($A1646,Players!$A$2:$C$132,3)&lt;&gt;0,VLOOKUP($A1646,Players!$A$2:$C$132,3),"")</f>
        <v/>
      </c>
      <c r="C1646" s="255"/>
      <c r="D1646" s="255"/>
      <c r="E1646" s="255"/>
      <c r="F1646" s="255"/>
      <c r="G1646" s="254" t="str">
        <f>IF(VLOOKUP($I1637&amp;RIGHT($A1646,1),Players!$A$2:$D$132,3)&lt;&gt;0,VLOOKUP($I1637&amp;RIGHT($A1646,1),Players!$A$2:$D$132,3),"")</f>
        <v/>
      </c>
      <c r="H1646" s="254"/>
      <c r="I1646" s="254"/>
      <c r="J1646" s="210" t="str">
        <f>IF(VLOOKUP($I1637&amp;RIGHT($A1646,1),Players!$A$2:$D$132,3)&lt;&gt;0,"("&amp;VLOOKUP($I1637&amp;RIGHT($A1646,1),Players!$A$2:$D$132,4)&amp;")","")</f>
        <v/>
      </c>
    </row>
    <row r="1647" spans="1:10" ht="25.5" customHeight="1">
      <c r="A1647" s="50" t="str">
        <f>CONCATENATE($D1637,"4")</f>
        <v>A4</v>
      </c>
      <c r="B1647" s="255" t="str">
        <f>IF(VLOOKUP($A1647,Players!$A$2:$C$132,3)&lt;&gt;0,VLOOKUP($A1647,Players!$A$2:$C$132,3),"")</f>
        <v/>
      </c>
      <c r="C1647" s="255"/>
      <c r="D1647" s="255"/>
      <c r="E1647" s="255"/>
      <c r="F1647" s="255"/>
      <c r="G1647" s="254" t="str">
        <f>IF(VLOOKUP($I1637&amp;RIGHT($A1647,1),Players!$A$2:$D$132,3)&lt;&gt;0,VLOOKUP($I1637&amp;RIGHT($A1647,1),Players!$A$2:$D$132,3),"")</f>
        <v/>
      </c>
      <c r="H1647" s="254"/>
      <c r="I1647" s="254"/>
      <c r="J1647" s="210" t="str">
        <f>IF(VLOOKUP($I1637&amp;RIGHT($A1647,1),Players!$A$2:$D$132,3)&lt;&gt;0,"("&amp;VLOOKUP($I1637&amp;RIGHT($A1647,1),Players!$A$2:$D$132,4)&amp;")","")</f>
        <v/>
      </c>
    </row>
    <row r="1648" spans="1:10" ht="25.5" customHeight="1">
      <c r="A1648" s="50" t="str">
        <f>CONCATENATE($D1637,"5")</f>
        <v>A5</v>
      </c>
      <c r="B1648" s="255" t="str">
        <f>IF(VLOOKUP($A1648,Players!$A$2:$C$132,3)&lt;&gt;0,VLOOKUP($A1648,Players!$A$2:$C$132,3),"")</f>
        <v/>
      </c>
      <c r="C1648" s="255"/>
      <c r="D1648" s="255"/>
      <c r="E1648" s="255"/>
      <c r="F1648" s="255"/>
      <c r="G1648" s="254" t="str">
        <f>IF(VLOOKUP($I1637&amp;RIGHT($A1648,1),Players!$A$2:$D$132,3)&lt;&gt;0,VLOOKUP($I1637&amp;RIGHT($A1648,1),Players!$A$2:$D$132,3),"")</f>
        <v/>
      </c>
      <c r="H1648" s="254"/>
      <c r="I1648" s="254"/>
      <c r="J1648" s="210" t="str">
        <f>IF(VLOOKUP($I1637&amp;RIGHT($A1648,1),Players!$A$2:$D$132,3)&lt;&gt;0,"("&amp;VLOOKUP($I1637&amp;RIGHT($A1648,1),Players!$A$2:$D$132,4)&amp;")","")</f>
        <v/>
      </c>
    </row>
    <row r="1649" spans="1:10" ht="25.5" customHeight="1">
      <c r="A1649" s="50" t="str">
        <f>CONCATENATE($D1637,"6")</f>
        <v>A6</v>
      </c>
      <c r="B1649" s="255" t="str">
        <f>IF(VLOOKUP($A1649,Players!$A$2:$C$132,3)&lt;&gt;0,VLOOKUP($A1649,Players!$A$2:$C$132,3),"")</f>
        <v/>
      </c>
      <c r="C1649" s="255"/>
      <c r="D1649" s="255"/>
      <c r="E1649" s="255"/>
      <c r="F1649" s="255"/>
      <c r="G1649" s="254" t="str">
        <f>IF(VLOOKUP($I1637&amp;RIGHT($A1649,1),Players!$A$2:$D$132,3)&lt;&gt;0,VLOOKUP($I1637&amp;RIGHT($A1649,1),Players!$A$2:$D$132,3),"")</f>
        <v/>
      </c>
      <c r="H1649" s="254"/>
      <c r="I1649" s="254"/>
      <c r="J1649" s="210" t="str">
        <f>IF(VLOOKUP($I1637&amp;RIGHT($A1649,1),Players!$A$2:$D$132,3)&lt;&gt;0,"("&amp;VLOOKUP($I1637&amp;RIGHT($A1649,1),Players!$A$2:$D$132,4)&amp;")","")</f>
        <v/>
      </c>
    </row>
    <row r="1650" spans="1:10" ht="25.5" customHeight="1">
      <c r="A1650" s="50" t="str">
        <f>CONCATENATE($D1637,"7")</f>
        <v>A7</v>
      </c>
      <c r="B1650" s="255" t="str">
        <f>IF(VLOOKUP($A1650,Players!$A$2:$C$132,3)&lt;&gt;0,VLOOKUP($A1650,Players!$A$2:$C$132,3),"")</f>
        <v/>
      </c>
      <c r="C1650" s="255"/>
      <c r="D1650" s="255"/>
      <c r="E1650" s="255"/>
      <c r="F1650" s="255"/>
      <c r="G1650" s="254" t="str">
        <f>IF(VLOOKUP($I1637&amp;RIGHT($A1650,1),Players!$A$2:$D$132,3)&lt;&gt;0,VLOOKUP($I1637&amp;RIGHT($A1650,1),Players!$A$2:$D$132,3),"")</f>
        <v/>
      </c>
      <c r="H1650" s="254"/>
      <c r="I1650" s="254"/>
      <c r="J1650" s="210" t="str">
        <f>IF(VLOOKUP($I1637&amp;RIGHT($A1650,1),Players!$A$2:$D$132,3)&lt;&gt;0,"("&amp;VLOOKUP($I1637&amp;RIGHT($A1650,1),Players!$A$2:$D$132,4)&amp;")","")</f>
        <v/>
      </c>
    </row>
    <row r="1651" spans="1:10" ht="25.5" customHeight="1">
      <c r="A1651" s="50" t="str">
        <f>CONCATENATE($D1637,"8")</f>
        <v>A8</v>
      </c>
      <c r="B1651" s="255" t="str">
        <f>IF(VLOOKUP($A1651,Players!$A$2:$C$132,3)&lt;&gt;0,VLOOKUP($A1651,Players!$A$2:$C$132,3),"")</f>
        <v/>
      </c>
      <c r="C1651" s="255"/>
      <c r="D1651" s="255"/>
      <c r="E1651" s="255"/>
      <c r="F1651" s="255"/>
      <c r="G1651" s="254" t="str">
        <f>IF(VLOOKUP($I1637&amp;RIGHT($A1651,1),Players!$A$2:$D$132,3)&lt;&gt;0,VLOOKUP($I1637&amp;RIGHT($A1651,1),Players!$A$2:$D$132,3),"")</f>
        <v/>
      </c>
      <c r="H1651" s="254"/>
      <c r="I1651" s="254"/>
      <c r="J1651" s="210" t="str">
        <f>IF(VLOOKUP($I1637&amp;RIGHT($A1651,1),Players!$A$2:$D$132,3)&lt;&gt;0,"("&amp;VLOOKUP($I1637&amp;RIGHT($A1651,1),Players!$A$2:$D$132,4)&amp;")","")</f>
        <v/>
      </c>
    </row>
    <row r="1652" spans="1:10" ht="25.5" customHeight="1">
      <c r="A1652" s="50"/>
      <c r="B1652" s="26"/>
      <c r="C1652" s="26"/>
      <c r="D1652" s="26"/>
      <c r="E1652" s="26"/>
      <c r="F1652" s="27"/>
      <c r="G1652" s="43"/>
      <c r="H1652" s="43"/>
      <c r="I1652" s="43"/>
      <c r="J1652" s="43"/>
    </row>
    <row r="1653" spans="1:10">
      <c r="A1653" s="49" t="s">
        <v>1225</v>
      </c>
      <c r="B1653" s="46"/>
      <c r="C1653" s="46"/>
      <c r="D1653" s="46"/>
      <c r="E1653" s="46"/>
      <c r="F1653" s="46"/>
      <c r="G1653" s="43"/>
      <c r="H1653" s="43"/>
      <c r="I1653" s="43"/>
      <c r="J1653" s="43"/>
    </row>
    <row r="1654" spans="1:10">
      <c r="A1654" s="46" t="s">
        <v>1247</v>
      </c>
      <c r="B1654" s="46"/>
      <c r="C1654" s="46"/>
      <c r="D1654" s="46"/>
      <c r="E1654" s="46"/>
      <c r="F1654" s="46"/>
      <c r="G1654" s="43"/>
      <c r="H1654" s="43"/>
      <c r="I1654" s="43"/>
      <c r="J1654" s="43"/>
    </row>
    <row r="1655" spans="1:10">
      <c r="A1655" s="46" t="s">
        <v>1248</v>
      </c>
      <c r="B1655" s="46"/>
      <c r="C1655" s="46"/>
      <c r="D1655" s="46"/>
      <c r="E1655" s="46"/>
      <c r="F1655" s="46"/>
      <c r="G1655" s="43"/>
      <c r="H1655" s="43"/>
      <c r="I1655" s="43"/>
      <c r="J1655" s="43"/>
    </row>
    <row r="1656" spans="1:10" ht="13.5" thickBot="1">
      <c r="A1656" s="46"/>
      <c r="B1656" s="46"/>
      <c r="C1656" s="46"/>
      <c r="D1656" s="46"/>
      <c r="E1656" s="46"/>
      <c r="F1656" s="46"/>
      <c r="G1656" s="43"/>
      <c r="H1656" s="43"/>
      <c r="I1656" s="43"/>
      <c r="J1656" s="43"/>
    </row>
    <row r="1657" spans="1:10" ht="25.5" customHeight="1" thickBot="1">
      <c r="A1657" s="50"/>
      <c r="B1657" s="257"/>
      <c r="C1657" s="258"/>
      <c r="D1657" s="258"/>
      <c r="E1657" s="258"/>
      <c r="F1657" s="259"/>
      <c r="G1657" s="43"/>
      <c r="H1657" s="43"/>
      <c r="I1657" s="43"/>
      <c r="J1657" s="43"/>
    </row>
    <row r="1658" spans="1:10">
      <c r="A1658" s="43"/>
      <c r="B1658" s="43"/>
      <c r="C1658" s="43"/>
      <c r="D1658" s="43"/>
      <c r="E1658" s="43"/>
      <c r="F1658" s="43"/>
      <c r="G1658" s="43"/>
      <c r="H1658" s="43"/>
      <c r="I1658" s="43"/>
      <c r="J1658" s="43"/>
    </row>
    <row r="1659" spans="1:10">
      <c r="A1659" s="43"/>
      <c r="B1659" s="43"/>
      <c r="C1659" s="43"/>
      <c r="D1659" s="43"/>
      <c r="E1659" s="43"/>
      <c r="F1659" s="43"/>
      <c r="G1659" s="43"/>
      <c r="H1659" s="43"/>
      <c r="I1659" s="43"/>
      <c r="J1659" s="43"/>
    </row>
    <row r="1660" spans="1:10">
      <c r="A1660" s="43"/>
      <c r="B1660" s="43"/>
      <c r="C1660" s="43"/>
      <c r="D1660" s="43"/>
      <c r="E1660" s="43"/>
      <c r="F1660" s="43"/>
      <c r="G1660" s="43"/>
      <c r="H1660" s="43"/>
      <c r="I1660" s="43"/>
      <c r="J1660" s="43"/>
    </row>
    <row r="1661" spans="1:10">
      <c r="A1661" s="43"/>
      <c r="B1661" s="43"/>
      <c r="C1661" s="43"/>
      <c r="D1661" s="43"/>
      <c r="E1661" s="43"/>
      <c r="F1661" s="43"/>
      <c r="G1661" s="43"/>
      <c r="H1661" s="43"/>
      <c r="I1661" s="43"/>
      <c r="J1661" s="43"/>
    </row>
    <row r="1662" spans="1:10">
      <c r="A1662" s="43"/>
      <c r="B1662" s="43"/>
      <c r="C1662" s="43"/>
      <c r="D1662" s="43"/>
      <c r="E1662" s="43"/>
      <c r="F1662" s="43"/>
      <c r="G1662" s="43"/>
      <c r="H1662" s="43"/>
      <c r="I1662" s="43"/>
      <c r="J1662" s="43"/>
    </row>
    <row r="1663" spans="1:10" ht="25.5" customHeight="1">
      <c r="A1663" s="47"/>
      <c r="B1663" s="47"/>
      <c r="C1663" s="47"/>
      <c r="D1663" s="47"/>
      <c r="E1663" s="47"/>
      <c r="F1663" s="43"/>
      <c r="G1663" s="51"/>
      <c r="H1663" s="250" t="s">
        <v>1227</v>
      </c>
      <c r="I1663" s="251"/>
      <c r="J1663" s="43"/>
    </row>
    <row r="1664" spans="1:10">
      <c r="A1664" s="43" t="s">
        <v>1226</v>
      </c>
      <c r="B1664" s="43"/>
      <c r="C1664" s="43"/>
      <c r="D1664" s="43"/>
      <c r="E1664" s="43"/>
      <c r="F1664" s="43"/>
      <c r="G1664" s="43"/>
      <c r="H1664" s="43"/>
      <c r="I1664" s="43"/>
      <c r="J1664" s="43"/>
    </row>
    <row r="1665" spans="1:10">
      <c r="A1665" s="43"/>
      <c r="B1665" s="43"/>
      <c r="C1665" s="43"/>
      <c r="D1665" s="43"/>
      <c r="E1665" s="43"/>
      <c r="F1665" s="43"/>
      <c r="G1665" s="43"/>
      <c r="H1665" s="43"/>
      <c r="I1665" s="43"/>
      <c r="J1665" s="43"/>
    </row>
    <row r="1666" spans="1:10">
      <c r="A1666" s="43"/>
      <c r="B1666" s="43"/>
      <c r="C1666" s="43"/>
      <c r="D1666" s="43"/>
      <c r="E1666" s="256" t="str">
        <f>CONCATENATE("(",$D1637," vs ",$I1637,")")</f>
        <v>(A vs K)</v>
      </c>
      <c r="F1666" s="256"/>
      <c r="G1666" s="43"/>
      <c r="H1666" s="43"/>
      <c r="I1666" s="43"/>
      <c r="J1666" s="43"/>
    </row>
    <row r="1667" spans="1:10" ht="15.75">
      <c r="A1667" s="42" t="s">
        <v>1223</v>
      </c>
      <c r="B1667" s="43"/>
      <c r="C1667" s="43"/>
      <c r="D1667" s="43"/>
      <c r="E1667" s="43"/>
      <c r="F1667" s="43"/>
      <c r="G1667" s="43"/>
      <c r="H1667" s="43"/>
      <c r="I1667" s="43"/>
      <c r="J1667" s="96" t="s">
        <v>4267</v>
      </c>
    </row>
    <row r="1668" spans="1:10" ht="12.75" customHeight="1">
      <c r="A1668" s="42"/>
      <c r="B1668" s="43"/>
      <c r="C1668" s="43"/>
      <c r="D1668" s="43"/>
      <c r="E1668" s="43"/>
      <c r="F1668" s="43"/>
      <c r="G1668" s="43" t="str">
        <f ca="1">Team_Matches!$J$6</f>
        <v>[NCTTA Teams Template (v2.06).xlsx]</v>
      </c>
      <c r="H1668" s="43"/>
      <c r="I1668" s="43"/>
      <c r="J1668" s="160"/>
    </row>
    <row r="1669" spans="1:10" ht="12.75" customHeight="1">
      <c r="A1669" s="42"/>
      <c r="B1669" s="43"/>
      <c r="C1669" s="43"/>
      <c r="D1669" s="43"/>
      <c r="E1669" s="43"/>
      <c r="F1669" s="43"/>
      <c r="G1669" s="247" t="str">
        <f>Team_Matches!$J1231</f>
        <v/>
      </c>
      <c r="H1669" s="247"/>
      <c r="I1669" s="161" t="str">
        <f>Team_Matches!$M1231</f>
        <v/>
      </c>
      <c r="J1669" s="161"/>
    </row>
    <row r="1670" spans="1:10" ht="15.75">
      <c r="A1670" s="42"/>
      <c r="B1670" s="43"/>
      <c r="C1670" s="43"/>
      <c r="D1670" s="43"/>
      <c r="E1670" s="43"/>
      <c r="F1670" s="43"/>
      <c r="G1670" s="43"/>
      <c r="H1670" s="43"/>
      <c r="I1670" s="43"/>
      <c r="J1670" s="43"/>
    </row>
    <row r="1671" spans="1:10">
      <c r="A1671" s="43"/>
      <c r="B1671" s="43"/>
      <c r="C1671" s="9" t="s">
        <v>1228</v>
      </c>
      <c r="D1671" s="52" t="str">
        <f>Team_Matches!$B1233</f>
        <v>A</v>
      </c>
      <c r="E1671" s="43"/>
      <c r="F1671" s="97" t="str">
        <f>CONCATENATE($D1671,"-",$I1671)</f>
        <v>A-K</v>
      </c>
      <c r="G1671" s="43"/>
      <c r="H1671" s="9" t="s">
        <v>1228</v>
      </c>
      <c r="I1671" s="52" t="str">
        <f>Team_Matches!$K1233</f>
        <v>K</v>
      </c>
      <c r="J1671" s="43"/>
    </row>
    <row r="1672" spans="1:10" ht="25.5" customHeight="1">
      <c r="A1672" s="44"/>
      <c r="B1672" s="252" t="str">
        <f>IF(VLOOKUP($D1671,Draw!$A$4:$B$27,2)&lt;&gt;0,VLOOKUP($D1671,Draw!$A$4:$B$27,2),"")</f>
        <v/>
      </c>
      <c r="C1672" s="252"/>
      <c r="D1672" s="252"/>
      <c r="E1672" s="253"/>
      <c r="F1672" s="45"/>
      <c r="G1672" s="248" t="str">
        <f>IF(VLOOKUP($I1671,Draw!$A$4:$B$27,2)&lt;&gt;0,VLOOKUP($I1671,Draw!$A$4:$B$27,2),"")</f>
        <v/>
      </c>
      <c r="H1672" s="248"/>
      <c r="I1672" s="248"/>
      <c r="J1672" s="249"/>
    </row>
    <row r="1673" spans="1:10" ht="25.5" customHeight="1"/>
    <row r="1674" spans="1:10" ht="25.5" customHeight="1"/>
    <row r="1675" spans="1:10" ht="24" customHeight="1">
      <c r="A1675" s="48" t="s">
        <v>1246</v>
      </c>
      <c r="B1675" s="43"/>
      <c r="C1675" s="43"/>
      <c r="D1675" s="43"/>
      <c r="E1675" s="43"/>
      <c r="F1675" s="43"/>
      <c r="G1675" s="43"/>
      <c r="H1675" s="43"/>
      <c r="I1675" s="43"/>
      <c r="J1675" s="43"/>
    </row>
    <row r="1676" spans="1:10" ht="24" customHeight="1">
      <c r="A1676" s="48"/>
      <c r="B1676" s="43"/>
      <c r="C1676" s="43"/>
      <c r="D1676" s="43"/>
      <c r="E1676" s="43"/>
      <c r="F1676" s="43"/>
      <c r="G1676" s="43"/>
      <c r="H1676" s="43"/>
      <c r="I1676" s="43"/>
      <c r="J1676" s="43"/>
    </row>
    <row r="1677" spans="1:10">
      <c r="A1677" s="49" t="s">
        <v>1224</v>
      </c>
      <c r="B1677" s="46"/>
      <c r="C1677" s="46"/>
      <c r="D1677" s="46"/>
      <c r="E1677" s="46"/>
      <c r="F1677" s="46"/>
      <c r="G1677" s="260" t="s">
        <v>10336</v>
      </c>
      <c r="H1677" s="260"/>
      <c r="I1677" s="260"/>
      <c r="J1677" s="260"/>
    </row>
    <row r="1678" spans="1:10" ht="24" customHeight="1">
      <c r="A1678" s="50" t="str">
        <f>CONCATENATE($I1671,"1")</f>
        <v>K1</v>
      </c>
      <c r="B1678" s="255" t="str">
        <f>IF(VLOOKUP($A1678,Players!$A$2:$C$132,3)&lt;&gt;0,VLOOKUP($A1678,Players!$A$2:$C$132,3),"")</f>
        <v/>
      </c>
      <c r="C1678" s="255"/>
      <c r="D1678" s="255"/>
      <c r="E1678" s="255"/>
      <c r="F1678" s="255"/>
      <c r="G1678" s="254" t="str">
        <f>IF(VLOOKUP($D1671&amp;RIGHT($A1678,1),Players!$A$2:$D$132,3)&lt;&gt;0,VLOOKUP($D1671&amp;RIGHT($A1678,1),Players!$A$2:$D$132,3),"")</f>
        <v/>
      </c>
      <c r="H1678" s="254"/>
      <c r="I1678" s="254"/>
      <c r="J1678" s="210" t="str">
        <f>IF(VLOOKUP($D1671&amp;RIGHT($A1678,1),Players!$A$2:$D$132,3)&lt;&gt;0,"("&amp;VLOOKUP($D1671&amp;RIGHT($A1678,1),Players!$A$2:$D$132,4)&amp;")","")</f>
        <v/>
      </c>
    </row>
    <row r="1679" spans="1:10" ht="25.5" customHeight="1">
      <c r="A1679" s="50" t="str">
        <f>CONCATENATE($I1671,"2")</f>
        <v>K2</v>
      </c>
      <c r="B1679" s="255" t="str">
        <f>IF(VLOOKUP($A1679,Players!$A$2:$C$132,3)&lt;&gt;0,VLOOKUP($A1679,Players!$A$2:$C$132,3),"")</f>
        <v/>
      </c>
      <c r="C1679" s="255"/>
      <c r="D1679" s="255"/>
      <c r="E1679" s="255"/>
      <c r="F1679" s="255"/>
      <c r="G1679" s="254" t="str">
        <f>IF(VLOOKUP($D1671&amp;RIGHT($A1679,1),Players!$A$2:$D$132,3)&lt;&gt;0,VLOOKUP($D1671&amp;RIGHT($A1679,1),Players!$A$2:$D$132,3),"")</f>
        <v/>
      </c>
      <c r="H1679" s="254"/>
      <c r="I1679" s="254"/>
      <c r="J1679" s="210" t="str">
        <f>IF(VLOOKUP($D1671&amp;RIGHT($A1679,1),Players!$A$2:$D$132,3)&lt;&gt;0,"("&amp;VLOOKUP($D1671&amp;RIGHT($A1679,1),Players!$A$2:$D$132,4)&amp;")","")</f>
        <v/>
      </c>
    </row>
    <row r="1680" spans="1:10" ht="25.5" customHeight="1">
      <c r="A1680" s="50" t="str">
        <f>CONCATENATE($I1671,"3")</f>
        <v>K3</v>
      </c>
      <c r="B1680" s="255" t="str">
        <f>IF(VLOOKUP($A1680,Players!$A$2:$C$132,3)&lt;&gt;0,VLOOKUP($A1680,Players!$A$2:$C$132,3),"")</f>
        <v/>
      </c>
      <c r="C1680" s="255"/>
      <c r="D1680" s="255"/>
      <c r="E1680" s="255"/>
      <c r="F1680" s="255"/>
      <c r="G1680" s="254" t="str">
        <f>IF(VLOOKUP($D1671&amp;RIGHT($A1680,1),Players!$A$2:$D$132,3)&lt;&gt;0,VLOOKUP($D1671&amp;RIGHT($A1680,1),Players!$A$2:$D$132,3),"")</f>
        <v/>
      </c>
      <c r="H1680" s="254"/>
      <c r="I1680" s="254"/>
      <c r="J1680" s="210" t="str">
        <f>IF(VLOOKUP($D1671&amp;RIGHT($A1680,1),Players!$A$2:$D$132,3)&lt;&gt;0,"("&amp;VLOOKUP($D1671&amp;RIGHT($A1680,1),Players!$A$2:$D$132,4)&amp;")","")</f>
        <v/>
      </c>
    </row>
    <row r="1681" spans="1:10" ht="25.5" customHeight="1">
      <c r="A1681" s="50" t="str">
        <f>CONCATENATE($I1671,"4")</f>
        <v>K4</v>
      </c>
      <c r="B1681" s="255" t="str">
        <f>IF(VLOOKUP($A1681,Players!$A$2:$C$132,3)&lt;&gt;0,VLOOKUP($A1681,Players!$A$2:$C$132,3),"")</f>
        <v/>
      </c>
      <c r="C1681" s="255"/>
      <c r="D1681" s="255"/>
      <c r="E1681" s="255"/>
      <c r="F1681" s="255"/>
      <c r="G1681" s="254" t="str">
        <f>IF(VLOOKUP($D1671&amp;RIGHT($A1681,1),Players!$A$2:$D$132,3)&lt;&gt;0,VLOOKUP($D1671&amp;RIGHT($A1681,1),Players!$A$2:$D$132,3),"")</f>
        <v/>
      </c>
      <c r="H1681" s="254"/>
      <c r="I1681" s="254"/>
      <c r="J1681" s="210" t="str">
        <f>IF(VLOOKUP($D1671&amp;RIGHT($A1681,1),Players!$A$2:$D$132,3)&lt;&gt;0,"("&amp;VLOOKUP($D1671&amp;RIGHT($A1681,1),Players!$A$2:$D$132,4)&amp;")","")</f>
        <v/>
      </c>
    </row>
    <row r="1682" spans="1:10" ht="25.5" customHeight="1">
      <c r="A1682" s="50" t="str">
        <f>CONCATENATE($I1671,"5")</f>
        <v>K5</v>
      </c>
      <c r="B1682" s="255" t="str">
        <f>IF(VLOOKUP($A1682,Players!$A$2:$C$132,3)&lt;&gt;0,VLOOKUP($A1682,Players!$A$2:$C$132,3),"")</f>
        <v/>
      </c>
      <c r="C1682" s="255"/>
      <c r="D1682" s="255"/>
      <c r="E1682" s="255"/>
      <c r="F1682" s="255"/>
      <c r="G1682" s="254" t="str">
        <f>IF(VLOOKUP($D1671&amp;RIGHT($A1682,1),Players!$A$2:$D$132,3)&lt;&gt;0,VLOOKUP($D1671&amp;RIGHT($A1682,1),Players!$A$2:$D$132,3),"")</f>
        <v/>
      </c>
      <c r="H1682" s="254"/>
      <c r="I1682" s="254"/>
      <c r="J1682" s="210" t="str">
        <f>IF(VLOOKUP($D1671&amp;RIGHT($A1682,1),Players!$A$2:$D$132,3)&lt;&gt;0,"("&amp;VLOOKUP($D1671&amp;RIGHT($A1682,1),Players!$A$2:$D$132,4)&amp;")","")</f>
        <v/>
      </c>
    </row>
    <row r="1683" spans="1:10" ht="25.5" customHeight="1">
      <c r="A1683" s="50" t="str">
        <f>CONCATENATE($I1671,"6")</f>
        <v>K6</v>
      </c>
      <c r="B1683" s="255" t="str">
        <f>IF(VLOOKUP($A1683,Players!$A$2:$C$132,3)&lt;&gt;0,VLOOKUP($A1683,Players!$A$2:$C$132,3),"")</f>
        <v/>
      </c>
      <c r="C1683" s="255"/>
      <c r="D1683" s="255"/>
      <c r="E1683" s="255"/>
      <c r="F1683" s="255"/>
      <c r="G1683" s="254" t="str">
        <f>IF(VLOOKUP($D1671&amp;RIGHT($A1683,1),Players!$A$2:$D$132,3)&lt;&gt;0,VLOOKUP($D1671&amp;RIGHT($A1683,1),Players!$A$2:$D$132,3),"")</f>
        <v/>
      </c>
      <c r="H1683" s="254"/>
      <c r="I1683" s="254"/>
      <c r="J1683" s="210" t="str">
        <f>IF(VLOOKUP($D1671&amp;RIGHT($A1683,1),Players!$A$2:$D$132,3)&lt;&gt;0,"("&amp;VLOOKUP($D1671&amp;RIGHT($A1683,1),Players!$A$2:$D$132,4)&amp;")","")</f>
        <v/>
      </c>
    </row>
    <row r="1684" spans="1:10" ht="25.5" customHeight="1">
      <c r="A1684" s="50" t="str">
        <f>CONCATENATE($I1671,"7")</f>
        <v>K7</v>
      </c>
      <c r="B1684" s="255" t="str">
        <f>IF(VLOOKUP($A1684,Players!$A$2:$C$132,3)&lt;&gt;0,VLOOKUP($A1684,Players!$A$2:$C$132,3),"")</f>
        <v/>
      </c>
      <c r="C1684" s="255"/>
      <c r="D1684" s="255"/>
      <c r="E1684" s="255"/>
      <c r="F1684" s="255"/>
      <c r="G1684" s="254" t="str">
        <f>IF(VLOOKUP($D1671&amp;RIGHT($A1684,1),Players!$A$2:$D$132,3)&lt;&gt;0,VLOOKUP($D1671&amp;RIGHT($A1684,1),Players!$A$2:$D$132,3),"")</f>
        <v/>
      </c>
      <c r="H1684" s="254"/>
      <c r="I1684" s="254"/>
      <c r="J1684" s="210" t="str">
        <f>IF(VLOOKUP($D1671&amp;RIGHT($A1684,1),Players!$A$2:$D$132,3)&lt;&gt;0,"("&amp;VLOOKUP($D1671&amp;RIGHT($A1684,1),Players!$A$2:$D$132,4)&amp;")","")</f>
        <v/>
      </c>
    </row>
    <row r="1685" spans="1:10" ht="25.5" customHeight="1">
      <c r="A1685" s="50" t="str">
        <f>CONCATENATE($I1671,"8")</f>
        <v>K8</v>
      </c>
      <c r="B1685" s="255" t="str">
        <f>IF(VLOOKUP($A1685,Players!$A$2:$C$132,3)&lt;&gt;0,VLOOKUP($A1685,Players!$A$2:$C$132,3),"")</f>
        <v/>
      </c>
      <c r="C1685" s="255"/>
      <c r="D1685" s="255"/>
      <c r="E1685" s="255"/>
      <c r="F1685" s="255"/>
      <c r="G1685" s="254" t="str">
        <f>IF(VLOOKUP($D1671&amp;RIGHT($A1685,1),Players!$A$2:$D$132,3)&lt;&gt;0,VLOOKUP($D1671&amp;RIGHT($A1685,1),Players!$A$2:$D$132,3),"")</f>
        <v/>
      </c>
      <c r="H1685" s="254"/>
      <c r="I1685" s="254"/>
      <c r="J1685" s="210" t="str">
        <f>IF(VLOOKUP($D1671&amp;RIGHT($A1685,1),Players!$A$2:$D$132,3)&lt;&gt;0,"("&amp;VLOOKUP($D1671&amp;RIGHT($A1685,1),Players!$A$2:$D$132,4)&amp;")","")</f>
        <v/>
      </c>
    </row>
    <row r="1686" spans="1:10" ht="25.5" customHeight="1">
      <c r="A1686" s="50"/>
      <c r="B1686" s="26"/>
      <c r="C1686" s="26"/>
      <c r="D1686" s="26"/>
      <c r="E1686" s="26"/>
      <c r="F1686" s="27"/>
      <c r="G1686" s="43"/>
      <c r="H1686" s="43"/>
      <c r="I1686" s="43"/>
      <c r="J1686" s="43"/>
    </row>
    <row r="1687" spans="1:10">
      <c r="A1687" s="49" t="s">
        <v>1225</v>
      </c>
      <c r="B1687" s="46"/>
      <c r="C1687" s="46"/>
      <c r="D1687" s="46"/>
      <c r="E1687" s="46"/>
      <c r="F1687" s="46"/>
      <c r="G1687" s="43"/>
      <c r="H1687" s="43"/>
      <c r="I1687" s="43"/>
      <c r="J1687" s="43"/>
    </row>
    <row r="1688" spans="1:10">
      <c r="A1688" s="46" t="s">
        <v>1247</v>
      </c>
      <c r="B1688" s="46"/>
      <c r="C1688" s="46"/>
      <c r="D1688" s="46"/>
      <c r="E1688" s="46"/>
      <c r="F1688" s="46"/>
      <c r="G1688" s="43"/>
      <c r="H1688" s="43"/>
      <c r="I1688" s="43"/>
      <c r="J1688" s="43"/>
    </row>
    <row r="1689" spans="1:10">
      <c r="A1689" s="46" t="s">
        <v>1248</v>
      </c>
      <c r="B1689" s="46"/>
      <c r="C1689" s="46"/>
      <c r="D1689" s="46"/>
      <c r="E1689" s="46"/>
      <c r="F1689" s="46"/>
      <c r="G1689" s="43"/>
      <c r="H1689" s="43"/>
      <c r="I1689" s="43"/>
      <c r="J1689" s="43"/>
    </row>
    <row r="1690" spans="1:10" ht="13.5" thickBot="1">
      <c r="A1690" s="46"/>
      <c r="B1690" s="46"/>
      <c r="C1690" s="46"/>
      <c r="D1690" s="46"/>
      <c r="E1690" s="46"/>
      <c r="F1690" s="46"/>
      <c r="G1690" s="43"/>
      <c r="H1690" s="43"/>
      <c r="I1690" s="43"/>
      <c r="J1690" s="43"/>
    </row>
    <row r="1691" spans="1:10" ht="25.5" customHeight="1" thickBot="1">
      <c r="A1691" s="50"/>
      <c r="B1691" s="257"/>
      <c r="C1691" s="258"/>
      <c r="D1691" s="258"/>
      <c r="E1691" s="258"/>
      <c r="F1691" s="259"/>
      <c r="G1691" s="43"/>
      <c r="H1691" s="43"/>
      <c r="I1691" s="43"/>
      <c r="J1691" s="43"/>
    </row>
    <row r="1692" spans="1:10">
      <c r="A1692" s="43"/>
      <c r="B1692" s="43"/>
      <c r="C1692" s="43"/>
      <c r="D1692" s="43"/>
      <c r="E1692" s="43"/>
      <c r="F1692" s="43"/>
      <c r="G1692" s="43"/>
      <c r="H1692" s="43"/>
      <c r="I1692" s="43"/>
      <c r="J1692" s="43"/>
    </row>
    <row r="1693" spans="1:10">
      <c r="A1693" s="43"/>
      <c r="B1693" s="43"/>
      <c r="C1693" s="43"/>
      <c r="D1693" s="43"/>
      <c r="E1693" s="43"/>
      <c r="F1693" s="43"/>
      <c r="G1693" s="43"/>
      <c r="H1693" s="43"/>
      <c r="I1693" s="43"/>
      <c r="J1693" s="43"/>
    </row>
    <row r="1694" spans="1:10">
      <c r="A1694" s="43"/>
      <c r="B1694" s="43"/>
      <c r="C1694" s="43"/>
      <c r="D1694" s="43"/>
      <c r="E1694" s="43"/>
      <c r="F1694" s="43"/>
      <c r="G1694" s="43"/>
      <c r="H1694" s="43"/>
      <c r="I1694" s="43"/>
      <c r="J1694" s="43"/>
    </row>
    <row r="1695" spans="1:10">
      <c r="A1695" s="43"/>
      <c r="B1695" s="43"/>
      <c r="C1695" s="43"/>
      <c r="D1695" s="43"/>
      <c r="E1695" s="43"/>
      <c r="F1695" s="43"/>
      <c r="G1695" s="43"/>
      <c r="H1695" s="43"/>
      <c r="I1695" s="43"/>
      <c r="J1695" s="43"/>
    </row>
    <row r="1696" spans="1:10">
      <c r="A1696" s="43"/>
      <c r="B1696" s="43"/>
      <c r="C1696" s="43"/>
      <c r="D1696" s="43"/>
      <c r="E1696" s="43"/>
      <c r="F1696" s="43"/>
      <c r="G1696" s="43"/>
      <c r="H1696" s="43"/>
      <c r="I1696" s="43"/>
      <c r="J1696" s="43"/>
    </row>
    <row r="1697" spans="1:10" ht="25.5" customHeight="1">
      <c r="A1697" s="47"/>
      <c r="B1697" s="47"/>
      <c r="C1697" s="47"/>
      <c r="D1697" s="47"/>
      <c r="E1697" s="47"/>
      <c r="F1697" s="43"/>
      <c r="G1697" s="51"/>
      <c r="H1697" s="250" t="s">
        <v>1227</v>
      </c>
      <c r="I1697" s="251"/>
      <c r="J1697" s="43"/>
    </row>
    <row r="1698" spans="1:10">
      <c r="A1698" s="43" t="s">
        <v>1226</v>
      </c>
      <c r="B1698" s="43"/>
      <c r="C1698" s="43"/>
      <c r="D1698" s="43"/>
      <c r="E1698" s="43"/>
      <c r="F1698" s="43"/>
      <c r="G1698" s="43"/>
      <c r="H1698" s="43"/>
      <c r="I1698" s="43"/>
      <c r="J1698" s="43"/>
    </row>
    <row r="1699" spans="1:10">
      <c r="A1699" s="43"/>
      <c r="B1699" s="43"/>
      <c r="C1699" s="43"/>
      <c r="D1699" s="43"/>
      <c r="E1699" s="43"/>
      <c r="F1699" s="43"/>
      <c r="G1699" s="43"/>
      <c r="H1699" s="43"/>
      <c r="I1699" s="43"/>
      <c r="J1699" s="43"/>
    </row>
    <row r="1700" spans="1:10">
      <c r="A1700" s="43"/>
      <c r="B1700" s="43"/>
      <c r="C1700" s="43"/>
      <c r="D1700" s="43"/>
      <c r="E1700" s="256" t="str">
        <f>CONCATENATE("(",$D1671," vs ",$I1671,")")</f>
        <v>(A vs K)</v>
      </c>
      <c r="F1700" s="256"/>
      <c r="G1700" s="43"/>
      <c r="H1700" s="43"/>
      <c r="I1700" s="43"/>
      <c r="J1700" s="43"/>
    </row>
    <row r="1701" spans="1:10" ht="15.75">
      <c r="A1701" s="42" t="s">
        <v>1223</v>
      </c>
      <c r="B1701" s="43"/>
      <c r="C1701" s="43"/>
      <c r="D1701" s="43"/>
      <c r="E1701" s="43"/>
      <c r="F1701" s="43"/>
      <c r="G1701" s="43"/>
      <c r="H1701" s="43"/>
      <c r="I1701" s="43"/>
      <c r="J1701" s="96" t="s">
        <v>4269</v>
      </c>
    </row>
    <row r="1702" spans="1:10" ht="12.75" customHeight="1">
      <c r="A1702" s="42"/>
      <c r="B1702" s="43"/>
      <c r="C1702" s="43"/>
      <c r="D1702" s="43"/>
      <c r="E1702" s="43"/>
      <c r="F1702" s="43"/>
      <c r="G1702" s="43" t="str">
        <f ca="1">Team_Matches!$J$6</f>
        <v>[NCTTA Teams Template (v2.06).xlsx]</v>
      </c>
      <c r="H1702" s="43"/>
      <c r="I1702" s="43"/>
      <c r="J1702" s="160"/>
    </row>
    <row r="1703" spans="1:10" ht="12.75" customHeight="1">
      <c r="A1703" s="42"/>
      <c r="B1703" s="43"/>
      <c r="C1703" s="43"/>
      <c r="D1703" s="43"/>
      <c r="E1703" s="43"/>
      <c r="F1703" s="43"/>
      <c r="G1703" s="247" t="str">
        <f>Team_Matches!$J1282</f>
        <v/>
      </c>
      <c r="H1703" s="247"/>
      <c r="I1703" s="161" t="str">
        <f>Team_Matches!$M1282</f>
        <v/>
      </c>
      <c r="J1703" s="161"/>
    </row>
    <row r="1704" spans="1:10" ht="15.75">
      <c r="A1704" s="42"/>
      <c r="B1704" s="43"/>
      <c r="C1704" s="43"/>
      <c r="D1704" s="43"/>
      <c r="E1704" s="43"/>
      <c r="F1704" s="43"/>
      <c r="G1704" s="43"/>
      <c r="H1704" s="43"/>
      <c r="I1704" s="43"/>
      <c r="J1704" s="43"/>
    </row>
    <row r="1705" spans="1:10">
      <c r="A1705" s="43"/>
      <c r="B1705" s="43"/>
      <c r="C1705" s="9" t="s">
        <v>1228</v>
      </c>
      <c r="D1705" s="52" t="str">
        <f>Team_Matches!$B1284</f>
        <v>A</v>
      </c>
      <c r="E1705" s="43"/>
      <c r="F1705" s="97" t="str">
        <f>CONCATENATE($D1705,"-",$I1705)</f>
        <v>A-L</v>
      </c>
      <c r="G1705" s="43"/>
      <c r="H1705" s="9" t="s">
        <v>1228</v>
      </c>
      <c r="I1705" s="3" t="str">
        <f>Team_Matches!$K1284</f>
        <v>L</v>
      </c>
      <c r="J1705" s="43"/>
    </row>
    <row r="1706" spans="1:10" ht="25.5" customHeight="1">
      <c r="A1706" s="44"/>
      <c r="B1706" s="248" t="str">
        <f>IF(VLOOKUP($D1705,Draw!$A$4:$B$27,2)&lt;&gt;0,VLOOKUP($D1705,Draw!$A$4:$B$27,2),"")</f>
        <v/>
      </c>
      <c r="C1706" s="248"/>
      <c r="D1706" s="248"/>
      <c r="E1706" s="249"/>
      <c r="F1706" s="45"/>
      <c r="G1706" s="252" t="str">
        <f>IF(VLOOKUP($I1705,Draw!$A$4:$B$27,2)&lt;&gt;0,VLOOKUP($I1705,Draw!$A$4:$B$27,2),"")</f>
        <v/>
      </c>
      <c r="H1706" s="252"/>
      <c r="I1706" s="252"/>
      <c r="J1706" s="253"/>
    </row>
    <row r="1707" spans="1:10" ht="25.5" customHeight="1"/>
    <row r="1708" spans="1:10" ht="25.5" customHeight="1"/>
    <row r="1709" spans="1:10" ht="24" customHeight="1">
      <c r="A1709" s="48" t="s">
        <v>1246</v>
      </c>
      <c r="B1709" s="43"/>
      <c r="C1709" s="43"/>
      <c r="D1709" s="43"/>
      <c r="E1709" s="43"/>
      <c r="F1709" s="43"/>
      <c r="G1709" s="43"/>
      <c r="H1709" s="43"/>
      <c r="I1709" s="43"/>
      <c r="J1709" s="43"/>
    </row>
    <row r="1710" spans="1:10" ht="24" customHeight="1">
      <c r="A1710" s="48"/>
      <c r="B1710" s="43"/>
      <c r="C1710" s="43"/>
      <c r="D1710" s="43"/>
      <c r="E1710" s="43"/>
      <c r="F1710" s="43"/>
      <c r="G1710" s="43"/>
      <c r="H1710" s="43"/>
      <c r="I1710" s="43"/>
      <c r="J1710" s="43"/>
    </row>
    <row r="1711" spans="1:10">
      <c r="A1711" s="49" t="s">
        <v>1224</v>
      </c>
      <c r="B1711" s="46"/>
      <c r="C1711" s="46"/>
      <c r="D1711" s="46"/>
      <c r="E1711" s="46"/>
      <c r="F1711" s="46"/>
      <c r="G1711" s="260" t="s">
        <v>10336</v>
      </c>
      <c r="H1711" s="260"/>
      <c r="I1711" s="260"/>
      <c r="J1711" s="260"/>
    </row>
    <row r="1712" spans="1:10" ht="24" customHeight="1">
      <c r="A1712" s="50" t="str">
        <f>CONCATENATE($D1705,"1")</f>
        <v>A1</v>
      </c>
      <c r="B1712" s="255" t="str">
        <f>IF(VLOOKUP($A1712,Players!$A$2:$C$132,3)&lt;&gt;0,VLOOKUP($A1712,Players!$A$2:$C$132,3),"")</f>
        <v/>
      </c>
      <c r="C1712" s="255"/>
      <c r="D1712" s="255"/>
      <c r="E1712" s="255"/>
      <c r="F1712" s="255"/>
      <c r="G1712" s="254" t="str">
        <f>IF(VLOOKUP($I1705&amp;RIGHT($A1712,1),Players!$A$2:$D$132,3)&lt;&gt;0,VLOOKUP($I1705&amp;RIGHT($A1712,1),Players!$A$2:$D$132,3),"")</f>
        <v/>
      </c>
      <c r="H1712" s="254"/>
      <c r="I1712" s="254"/>
      <c r="J1712" s="210" t="str">
        <f>IF(VLOOKUP($I1705&amp;RIGHT($A1712,1),Players!$A$2:$D$132,3)&lt;&gt;0,"("&amp;VLOOKUP($I1705&amp;RIGHT($A1712,1),Players!$A$2:$D$132,4)&amp;")","")</f>
        <v/>
      </c>
    </row>
    <row r="1713" spans="1:10" ht="25.5" customHeight="1">
      <c r="A1713" s="50" t="str">
        <f>CONCATENATE($D1705,"2")</f>
        <v>A2</v>
      </c>
      <c r="B1713" s="255" t="str">
        <f>IF(VLOOKUP($A1713,Players!$A$2:$C$132,3)&lt;&gt;0,VLOOKUP($A1713,Players!$A$2:$C$132,3),"")</f>
        <v/>
      </c>
      <c r="C1713" s="255"/>
      <c r="D1713" s="255"/>
      <c r="E1713" s="255"/>
      <c r="F1713" s="255"/>
      <c r="G1713" s="254" t="str">
        <f>IF(VLOOKUP($I1705&amp;RIGHT($A1713,1),Players!$A$2:$D$132,3)&lt;&gt;0,VLOOKUP($I1705&amp;RIGHT($A1713,1),Players!$A$2:$D$132,3),"")</f>
        <v/>
      </c>
      <c r="H1713" s="254"/>
      <c r="I1713" s="254"/>
      <c r="J1713" s="210" t="str">
        <f>IF(VLOOKUP($I1705&amp;RIGHT($A1713,1),Players!$A$2:$D$132,3)&lt;&gt;0,"("&amp;VLOOKUP($I1705&amp;RIGHT($A1713,1),Players!$A$2:$D$132,4)&amp;")","")</f>
        <v/>
      </c>
    </row>
    <row r="1714" spans="1:10" ht="25.5" customHeight="1">
      <c r="A1714" s="50" t="str">
        <f>CONCATENATE($D1705,"3")</f>
        <v>A3</v>
      </c>
      <c r="B1714" s="255" t="str">
        <f>IF(VLOOKUP($A1714,Players!$A$2:$C$132,3)&lt;&gt;0,VLOOKUP($A1714,Players!$A$2:$C$132,3),"")</f>
        <v/>
      </c>
      <c r="C1714" s="255"/>
      <c r="D1714" s="255"/>
      <c r="E1714" s="255"/>
      <c r="F1714" s="255"/>
      <c r="G1714" s="254" t="str">
        <f>IF(VLOOKUP($I1705&amp;RIGHT($A1714,1),Players!$A$2:$D$132,3)&lt;&gt;0,VLOOKUP($I1705&amp;RIGHT($A1714,1),Players!$A$2:$D$132,3),"")</f>
        <v/>
      </c>
      <c r="H1714" s="254"/>
      <c r="I1714" s="254"/>
      <c r="J1714" s="210" t="str">
        <f>IF(VLOOKUP($I1705&amp;RIGHT($A1714,1),Players!$A$2:$D$132,3)&lt;&gt;0,"("&amp;VLOOKUP($I1705&amp;RIGHT($A1714,1),Players!$A$2:$D$132,4)&amp;")","")</f>
        <v/>
      </c>
    </row>
    <row r="1715" spans="1:10" ht="25.5" customHeight="1">
      <c r="A1715" s="50" t="str">
        <f>CONCATENATE($D1705,"4")</f>
        <v>A4</v>
      </c>
      <c r="B1715" s="255" t="str">
        <f>IF(VLOOKUP($A1715,Players!$A$2:$C$132,3)&lt;&gt;0,VLOOKUP($A1715,Players!$A$2:$C$132,3),"")</f>
        <v/>
      </c>
      <c r="C1715" s="255"/>
      <c r="D1715" s="255"/>
      <c r="E1715" s="255"/>
      <c r="F1715" s="255"/>
      <c r="G1715" s="254" t="str">
        <f>IF(VLOOKUP($I1705&amp;RIGHT($A1715,1),Players!$A$2:$D$132,3)&lt;&gt;0,VLOOKUP($I1705&amp;RIGHT($A1715,1),Players!$A$2:$D$132,3),"")</f>
        <v/>
      </c>
      <c r="H1715" s="254"/>
      <c r="I1715" s="254"/>
      <c r="J1715" s="210" t="str">
        <f>IF(VLOOKUP($I1705&amp;RIGHT($A1715,1),Players!$A$2:$D$132,3)&lt;&gt;0,"("&amp;VLOOKUP($I1705&amp;RIGHT($A1715,1),Players!$A$2:$D$132,4)&amp;")","")</f>
        <v/>
      </c>
    </row>
    <row r="1716" spans="1:10" ht="25.5" customHeight="1">
      <c r="A1716" s="50" t="str">
        <f>CONCATENATE($D1705,"5")</f>
        <v>A5</v>
      </c>
      <c r="B1716" s="255" t="str">
        <f>IF(VLOOKUP($A1716,Players!$A$2:$C$132,3)&lt;&gt;0,VLOOKUP($A1716,Players!$A$2:$C$132,3),"")</f>
        <v/>
      </c>
      <c r="C1716" s="255"/>
      <c r="D1716" s="255"/>
      <c r="E1716" s="255"/>
      <c r="F1716" s="255"/>
      <c r="G1716" s="254" t="str">
        <f>IF(VLOOKUP($I1705&amp;RIGHT($A1716,1),Players!$A$2:$D$132,3)&lt;&gt;0,VLOOKUP($I1705&amp;RIGHT($A1716,1),Players!$A$2:$D$132,3),"")</f>
        <v/>
      </c>
      <c r="H1716" s="254"/>
      <c r="I1716" s="254"/>
      <c r="J1716" s="210" t="str">
        <f>IF(VLOOKUP($I1705&amp;RIGHT($A1716,1),Players!$A$2:$D$132,3)&lt;&gt;0,"("&amp;VLOOKUP($I1705&amp;RIGHT($A1716,1),Players!$A$2:$D$132,4)&amp;")","")</f>
        <v/>
      </c>
    </row>
    <row r="1717" spans="1:10" ht="25.5" customHeight="1">
      <c r="A1717" s="50" t="str">
        <f>CONCATENATE($D1705,"6")</f>
        <v>A6</v>
      </c>
      <c r="B1717" s="255" t="str">
        <f>IF(VLOOKUP($A1717,Players!$A$2:$C$132,3)&lt;&gt;0,VLOOKUP($A1717,Players!$A$2:$C$132,3),"")</f>
        <v/>
      </c>
      <c r="C1717" s="255"/>
      <c r="D1717" s="255"/>
      <c r="E1717" s="255"/>
      <c r="F1717" s="255"/>
      <c r="G1717" s="254" t="str">
        <f>IF(VLOOKUP($I1705&amp;RIGHT($A1717,1),Players!$A$2:$D$132,3)&lt;&gt;0,VLOOKUP($I1705&amp;RIGHT($A1717,1),Players!$A$2:$D$132,3),"")</f>
        <v/>
      </c>
      <c r="H1717" s="254"/>
      <c r="I1717" s="254"/>
      <c r="J1717" s="210" t="str">
        <f>IF(VLOOKUP($I1705&amp;RIGHT($A1717,1),Players!$A$2:$D$132,3)&lt;&gt;0,"("&amp;VLOOKUP($I1705&amp;RIGHT($A1717,1),Players!$A$2:$D$132,4)&amp;")","")</f>
        <v/>
      </c>
    </row>
    <row r="1718" spans="1:10" ht="25.5" customHeight="1">
      <c r="A1718" s="50" t="str">
        <f>CONCATENATE($D1705,"7")</f>
        <v>A7</v>
      </c>
      <c r="B1718" s="255" t="str">
        <f>IF(VLOOKUP($A1718,Players!$A$2:$C$132,3)&lt;&gt;0,VLOOKUP($A1718,Players!$A$2:$C$132,3),"")</f>
        <v/>
      </c>
      <c r="C1718" s="255"/>
      <c r="D1718" s="255"/>
      <c r="E1718" s="255"/>
      <c r="F1718" s="255"/>
      <c r="G1718" s="254" t="str">
        <f>IF(VLOOKUP($I1705&amp;RIGHT($A1718,1),Players!$A$2:$D$132,3)&lt;&gt;0,VLOOKUP($I1705&amp;RIGHT($A1718,1),Players!$A$2:$D$132,3),"")</f>
        <v/>
      </c>
      <c r="H1718" s="254"/>
      <c r="I1718" s="254"/>
      <c r="J1718" s="210" t="str">
        <f>IF(VLOOKUP($I1705&amp;RIGHT($A1718,1),Players!$A$2:$D$132,3)&lt;&gt;0,"("&amp;VLOOKUP($I1705&amp;RIGHT($A1718,1),Players!$A$2:$D$132,4)&amp;")","")</f>
        <v/>
      </c>
    </row>
    <row r="1719" spans="1:10" ht="25.5" customHeight="1">
      <c r="A1719" s="50" t="str">
        <f>CONCATENATE($D1705,"8")</f>
        <v>A8</v>
      </c>
      <c r="B1719" s="255" t="str">
        <f>IF(VLOOKUP($A1719,Players!$A$2:$C$132,3)&lt;&gt;0,VLOOKUP($A1719,Players!$A$2:$C$132,3),"")</f>
        <v/>
      </c>
      <c r="C1719" s="255"/>
      <c r="D1719" s="255"/>
      <c r="E1719" s="255"/>
      <c r="F1719" s="255"/>
      <c r="G1719" s="254" t="str">
        <f>IF(VLOOKUP($I1705&amp;RIGHT($A1719,1),Players!$A$2:$D$132,3)&lt;&gt;0,VLOOKUP($I1705&amp;RIGHT($A1719,1),Players!$A$2:$D$132,3),"")</f>
        <v/>
      </c>
      <c r="H1719" s="254"/>
      <c r="I1719" s="254"/>
      <c r="J1719" s="210" t="str">
        <f>IF(VLOOKUP($I1705&amp;RIGHT($A1719,1),Players!$A$2:$D$132,3)&lt;&gt;0,"("&amp;VLOOKUP($I1705&amp;RIGHT($A1719,1),Players!$A$2:$D$132,4)&amp;")","")</f>
        <v/>
      </c>
    </row>
    <row r="1720" spans="1:10" ht="25.5" customHeight="1">
      <c r="A1720" s="50"/>
      <c r="B1720" s="26"/>
      <c r="C1720" s="26"/>
      <c r="D1720" s="26"/>
      <c r="E1720" s="26"/>
      <c r="F1720" s="27"/>
      <c r="G1720" s="43"/>
      <c r="H1720" s="43"/>
      <c r="I1720" s="43"/>
      <c r="J1720" s="43"/>
    </row>
    <row r="1721" spans="1:10">
      <c r="A1721" s="49" t="s">
        <v>1225</v>
      </c>
      <c r="B1721" s="46"/>
      <c r="C1721" s="46"/>
      <c r="D1721" s="46"/>
      <c r="E1721" s="46"/>
      <c r="F1721" s="46"/>
      <c r="G1721" s="43"/>
      <c r="H1721" s="43"/>
      <c r="I1721" s="43"/>
      <c r="J1721" s="43"/>
    </row>
    <row r="1722" spans="1:10">
      <c r="A1722" s="46" t="s">
        <v>1247</v>
      </c>
      <c r="B1722" s="46"/>
      <c r="C1722" s="46"/>
      <c r="D1722" s="46"/>
      <c r="E1722" s="46"/>
      <c r="F1722" s="46"/>
      <c r="G1722" s="43"/>
      <c r="H1722" s="43"/>
      <c r="I1722" s="43"/>
      <c r="J1722" s="43"/>
    </row>
    <row r="1723" spans="1:10">
      <c r="A1723" s="46" t="s">
        <v>1248</v>
      </c>
      <c r="B1723" s="46"/>
      <c r="C1723" s="46"/>
      <c r="D1723" s="46"/>
      <c r="E1723" s="46"/>
      <c r="F1723" s="46"/>
      <c r="G1723" s="43"/>
      <c r="H1723" s="43"/>
      <c r="I1723" s="43"/>
      <c r="J1723" s="43"/>
    </row>
    <row r="1724" spans="1:10" ht="13.5" thickBot="1">
      <c r="A1724" s="46"/>
      <c r="B1724" s="46"/>
      <c r="C1724" s="46"/>
      <c r="D1724" s="46"/>
      <c r="E1724" s="46"/>
      <c r="F1724" s="46"/>
      <c r="G1724" s="43"/>
      <c r="H1724" s="43"/>
      <c r="I1724" s="43"/>
      <c r="J1724" s="43"/>
    </row>
    <row r="1725" spans="1:10" ht="25.5" customHeight="1" thickBot="1">
      <c r="A1725" s="50"/>
      <c r="B1725" s="257"/>
      <c r="C1725" s="258"/>
      <c r="D1725" s="258"/>
      <c r="E1725" s="258"/>
      <c r="F1725" s="259"/>
      <c r="G1725" s="43"/>
      <c r="H1725" s="43"/>
      <c r="I1725" s="43"/>
      <c r="J1725" s="43"/>
    </row>
    <row r="1726" spans="1:10">
      <c r="A1726" s="43"/>
      <c r="B1726" s="43"/>
      <c r="C1726" s="43"/>
      <c r="D1726" s="43"/>
      <c r="E1726" s="43"/>
      <c r="F1726" s="43"/>
      <c r="G1726" s="43"/>
      <c r="H1726" s="43"/>
      <c r="I1726" s="43"/>
      <c r="J1726" s="43"/>
    </row>
    <row r="1727" spans="1:10">
      <c r="A1727" s="43"/>
      <c r="B1727" s="43"/>
      <c r="C1727" s="43"/>
      <c r="D1727" s="43"/>
      <c r="E1727" s="43"/>
      <c r="F1727" s="43"/>
      <c r="G1727" s="43"/>
      <c r="H1727" s="43"/>
      <c r="I1727" s="43"/>
      <c r="J1727" s="43"/>
    </row>
    <row r="1728" spans="1:10">
      <c r="A1728" s="43"/>
      <c r="B1728" s="43"/>
      <c r="C1728" s="43"/>
      <c r="D1728" s="43"/>
      <c r="E1728" s="43"/>
      <c r="F1728" s="43"/>
      <c r="G1728" s="43"/>
      <c r="H1728" s="43"/>
      <c r="I1728" s="43"/>
      <c r="J1728" s="43"/>
    </row>
    <row r="1729" spans="1:10">
      <c r="A1729" s="43"/>
      <c r="B1729" s="43"/>
      <c r="C1729" s="43"/>
      <c r="D1729" s="43"/>
      <c r="E1729" s="43"/>
      <c r="F1729" s="43"/>
      <c r="G1729" s="43"/>
      <c r="H1729" s="43"/>
      <c r="I1729" s="43"/>
      <c r="J1729" s="43"/>
    </row>
    <row r="1730" spans="1:10">
      <c r="A1730" s="43"/>
      <c r="B1730" s="43"/>
      <c r="C1730" s="43"/>
      <c r="D1730" s="43"/>
      <c r="E1730" s="43"/>
      <c r="F1730" s="43"/>
      <c r="G1730" s="43"/>
      <c r="H1730" s="43"/>
      <c r="I1730" s="43"/>
      <c r="J1730" s="43"/>
    </row>
    <row r="1731" spans="1:10" ht="25.5" customHeight="1">
      <c r="A1731" s="47"/>
      <c r="B1731" s="47"/>
      <c r="C1731" s="47"/>
      <c r="D1731" s="47"/>
      <c r="E1731" s="47"/>
      <c r="F1731" s="43"/>
      <c r="G1731" s="51"/>
      <c r="H1731" s="250" t="s">
        <v>1227</v>
      </c>
      <c r="I1731" s="251"/>
      <c r="J1731" s="43"/>
    </row>
    <row r="1732" spans="1:10">
      <c r="A1732" s="43" t="s">
        <v>1226</v>
      </c>
      <c r="B1732" s="43"/>
      <c r="C1732" s="43"/>
      <c r="D1732" s="43"/>
      <c r="E1732" s="43"/>
      <c r="F1732" s="43"/>
      <c r="G1732" s="43"/>
      <c r="H1732" s="43"/>
      <c r="I1732" s="43"/>
      <c r="J1732" s="43"/>
    </row>
    <row r="1733" spans="1:10">
      <c r="A1733" s="43"/>
      <c r="B1733" s="43"/>
      <c r="C1733" s="43"/>
      <c r="D1733" s="43"/>
      <c r="E1733" s="43"/>
      <c r="F1733" s="43"/>
      <c r="G1733" s="43"/>
      <c r="H1733" s="43"/>
      <c r="I1733" s="43"/>
      <c r="J1733" s="43"/>
    </row>
    <row r="1734" spans="1:10">
      <c r="A1734" s="43"/>
      <c r="B1734" s="43"/>
      <c r="C1734" s="43"/>
      <c r="D1734" s="43"/>
      <c r="E1734" s="256" t="str">
        <f>CONCATENATE("(",$D1705," vs ",$I1705,")")</f>
        <v>(A vs L)</v>
      </c>
      <c r="F1734" s="256"/>
      <c r="G1734" s="43"/>
      <c r="H1734" s="43"/>
      <c r="I1734" s="43"/>
      <c r="J1734" s="43"/>
    </row>
    <row r="1735" spans="1:10" ht="15.75">
      <c r="A1735" s="42" t="s">
        <v>1223</v>
      </c>
      <c r="B1735" s="43"/>
      <c r="C1735" s="43"/>
      <c r="D1735" s="43"/>
      <c r="E1735" s="43"/>
      <c r="F1735" s="43"/>
      <c r="G1735" s="43"/>
      <c r="H1735" s="43"/>
      <c r="I1735" s="43"/>
      <c r="J1735" s="96" t="s">
        <v>4270</v>
      </c>
    </row>
    <row r="1736" spans="1:10" ht="12.75" customHeight="1">
      <c r="A1736" s="42"/>
      <c r="B1736" s="43"/>
      <c r="C1736" s="43"/>
      <c r="D1736" s="43"/>
      <c r="E1736" s="43"/>
      <c r="F1736" s="43"/>
      <c r="G1736" s="43" t="str">
        <f ca="1">Team_Matches!$J$6</f>
        <v>[NCTTA Teams Template (v2.06).xlsx]</v>
      </c>
      <c r="H1736" s="43"/>
      <c r="I1736" s="43"/>
      <c r="J1736" s="160"/>
    </row>
    <row r="1737" spans="1:10" ht="12.75" customHeight="1">
      <c r="A1737" s="42"/>
      <c r="B1737" s="43"/>
      <c r="C1737" s="43"/>
      <c r="D1737" s="43"/>
      <c r="E1737" s="43"/>
      <c r="F1737" s="43"/>
      <c r="G1737" s="247" t="str">
        <f>Team_Matches!$J1282</f>
        <v/>
      </c>
      <c r="H1737" s="247"/>
      <c r="I1737" s="161" t="str">
        <f>Team_Matches!$M1282</f>
        <v/>
      </c>
      <c r="J1737" s="161"/>
    </row>
    <row r="1738" spans="1:10" ht="15.75">
      <c r="A1738" s="42"/>
      <c r="B1738" s="43"/>
      <c r="C1738" s="43"/>
      <c r="D1738" s="43"/>
      <c r="E1738" s="43"/>
      <c r="F1738" s="43"/>
      <c r="G1738" s="43"/>
      <c r="H1738" s="43"/>
      <c r="I1738" s="43"/>
      <c r="J1738" s="43"/>
    </row>
    <row r="1739" spans="1:10">
      <c r="A1739" s="43"/>
      <c r="B1739" s="43"/>
      <c r="C1739" s="9" t="s">
        <v>1228</v>
      </c>
      <c r="D1739" s="52" t="str">
        <f>Team_Matches!$B1284</f>
        <v>A</v>
      </c>
      <c r="E1739" s="43"/>
      <c r="F1739" s="97" t="str">
        <f>CONCATENATE($D1739,"-",$I1739)</f>
        <v>A-L</v>
      </c>
      <c r="G1739" s="43"/>
      <c r="H1739" s="9" t="s">
        <v>1228</v>
      </c>
      <c r="I1739" s="3" t="str">
        <f>Team_Matches!$K1284</f>
        <v>L</v>
      </c>
      <c r="J1739" s="43"/>
    </row>
    <row r="1740" spans="1:10" ht="25.5" customHeight="1">
      <c r="A1740" s="44"/>
      <c r="B1740" s="252" t="str">
        <f>IF(VLOOKUP($D1739,Draw!$A$4:$B$27,2)&lt;&gt;0,VLOOKUP($D1739,Draw!$A$4:$B$27,2),"")</f>
        <v/>
      </c>
      <c r="C1740" s="252"/>
      <c r="D1740" s="252"/>
      <c r="E1740" s="253"/>
      <c r="F1740" s="45"/>
      <c r="G1740" s="248" t="str">
        <f>IF(VLOOKUP($I1739,Draw!$A$4:$B$27,2)&lt;&gt;0,VLOOKUP($I1739,Draw!$A$4:$B$27,2),"")</f>
        <v/>
      </c>
      <c r="H1740" s="248"/>
      <c r="I1740" s="248"/>
      <c r="J1740" s="249"/>
    </row>
    <row r="1741" spans="1:10" ht="25.5" customHeight="1"/>
    <row r="1742" spans="1:10" ht="25.5" customHeight="1"/>
    <row r="1743" spans="1:10" ht="24" customHeight="1">
      <c r="A1743" s="48" t="s">
        <v>1246</v>
      </c>
      <c r="B1743" s="43"/>
      <c r="C1743" s="43"/>
      <c r="D1743" s="43"/>
      <c r="E1743" s="43"/>
      <c r="F1743" s="43"/>
      <c r="G1743" s="43"/>
      <c r="H1743" s="43"/>
      <c r="I1743" s="43"/>
      <c r="J1743" s="43"/>
    </row>
    <row r="1744" spans="1:10" ht="24" customHeight="1">
      <c r="A1744" s="48"/>
      <c r="B1744" s="43"/>
      <c r="C1744" s="43"/>
      <c r="D1744" s="43"/>
      <c r="E1744" s="43"/>
      <c r="F1744" s="43"/>
      <c r="G1744" s="43"/>
      <c r="H1744" s="43"/>
      <c r="I1744" s="43"/>
      <c r="J1744" s="43"/>
    </row>
    <row r="1745" spans="1:10">
      <c r="A1745" s="49" t="s">
        <v>1224</v>
      </c>
      <c r="B1745" s="46"/>
      <c r="C1745" s="46"/>
      <c r="D1745" s="46"/>
      <c r="E1745" s="46"/>
      <c r="F1745" s="46"/>
      <c r="G1745" s="260" t="s">
        <v>10336</v>
      </c>
      <c r="H1745" s="260"/>
      <c r="I1745" s="260"/>
      <c r="J1745" s="260"/>
    </row>
    <row r="1746" spans="1:10" ht="24" customHeight="1">
      <c r="A1746" s="50" t="str">
        <f>CONCATENATE($I1739,"1")</f>
        <v>L1</v>
      </c>
      <c r="B1746" s="255" t="str">
        <f>IF(VLOOKUP($A1746,Players!$A$2:$C$132,3)&lt;&gt;0,VLOOKUP($A1746,Players!$A$2:$C$132,3),"")</f>
        <v/>
      </c>
      <c r="C1746" s="255"/>
      <c r="D1746" s="255"/>
      <c r="E1746" s="255"/>
      <c r="F1746" s="255"/>
      <c r="G1746" s="254" t="str">
        <f>IF(VLOOKUP($D1739&amp;RIGHT($A1746,1),Players!$A$2:$D$132,3)&lt;&gt;0,VLOOKUP($D1739&amp;RIGHT($A1746,1),Players!$A$2:$D$132,3),"")</f>
        <v/>
      </c>
      <c r="H1746" s="254"/>
      <c r="I1746" s="254"/>
      <c r="J1746" s="210" t="str">
        <f>IF(VLOOKUP($D1739&amp;RIGHT($A1746,1),Players!$A$2:$D$132,3)&lt;&gt;0,"("&amp;VLOOKUP($D1739&amp;RIGHT($A1746,1),Players!$A$2:$D$132,4)&amp;")","")</f>
        <v/>
      </c>
    </row>
    <row r="1747" spans="1:10" ht="25.5" customHeight="1">
      <c r="A1747" s="50" t="str">
        <f>CONCATENATE($I1739,"2")</f>
        <v>L2</v>
      </c>
      <c r="B1747" s="255" t="str">
        <f>IF(VLOOKUP($A1747,Players!$A$2:$C$132,3)&lt;&gt;0,VLOOKUP($A1747,Players!$A$2:$C$132,3),"")</f>
        <v/>
      </c>
      <c r="C1747" s="255"/>
      <c r="D1747" s="255"/>
      <c r="E1747" s="255"/>
      <c r="F1747" s="255"/>
      <c r="G1747" s="254" t="str">
        <f>IF(VLOOKUP($D1739&amp;RIGHT($A1747,1),Players!$A$2:$D$132,3)&lt;&gt;0,VLOOKUP($D1739&amp;RIGHT($A1747,1),Players!$A$2:$D$132,3),"")</f>
        <v/>
      </c>
      <c r="H1747" s="254"/>
      <c r="I1747" s="254"/>
      <c r="J1747" s="210" t="str">
        <f>IF(VLOOKUP($D1739&amp;RIGHT($A1747,1),Players!$A$2:$D$132,3)&lt;&gt;0,"("&amp;VLOOKUP($D1739&amp;RIGHT($A1747,1),Players!$A$2:$D$132,4)&amp;")","")</f>
        <v/>
      </c>
    </row>
    <row r="1748" spans="1:10" ht="25.5" customHeight="1">
      <c r="A1748" s="50" t="str">
        <f>CONCATENATE($I1739,"3")</f>
        <v>L3</v>
      </c>
      <c r="B1748" s="255" t="str">
        <f>IF(VLOOKUP($A1748,Players!$A$2:$C$132,3)&lt;&gt;0,VLOOKUP($A1748,Players!$A$2:$C$132,3),"")</f>
        <v/>
      </c>
      <c r="C1748" s="255"/>
      <c r="D1748" s="255"/>
      <c r="E1748" s="255"/>
      <c r="F1748" s="255"/>
      <c r="G1748" s="254" t="str">
        <f>IF(VLOOKUP($D1739&amp;RIGHT($A1748,1),Players!$A$2:$D$132,3)&lt;&gt;0,VLOOKUP($D1739&amp;RIGHT($A1748,1),Players!$A$2:$D$132,3),"")</f>
        <v/>
      </c>
      <c r="H1748" s="254"/>
      <c r="I1748" s="254"/>
      <c r="J1748" s="210" t="str">
        <f>IF(VLOOKUP($D1739&amp;RIGHT($A1748,1),Players!$A$2:$D$132,3)&lt;&gt;0,"("&amp;VLOOKUP($D1739&amp;RIGHT($A1748,1),Players!$A$2:$D$132,4)&amp;")","")</f>
        <v/>
      </c>
    </row>
    <row r="1749" spans="1:10" ht="25.5" customHeight="1">
      <c r="A1749" s="50" t="str">
        <f>CONCATENATE($I1739,"4")</f>
        <v>L4</v>
      </c>
      <c r="B1749" s="255" t="str">
        <f>IF(VLOOKUP($A1749,Players!$A$2:$C$132,3)&lt;&gt;0,VLOOKUP($A1749,Players!$A$2:$C$132,3),"")</f>
        <v/>
      </c>
      <c r="C1749" s="255"/>
      <c r="D1749" s="255"/>
      <c r="E1749" s="255"/>
      <c r="F1749" s="255"/>
      <c r="G1749" s="254" t="str">
        <f>IF(VLOOKUP($D1739&amp;RIGHT($A1749,1),Players!$A$2:$D$132,3)&lt;&gt;0,VLOOKUP($D1739&amp;RIGHT($A1749,1),Players!$A$2:$D$132,3),"")</f>
        <v/>
      </c>
      <c r="H1749" s="254"/>
      <c r="I1749" s="254"/>
      <c r="J1749" s="210" t="str">
        <f>IF(VLOOKUP($D1739&amp;RIGHT($A1749,1),Players!$A$2:$D$132,3)&lt;&gt;0,"("&amp;VLOOKUP($D1739&amp;RIGHT($A1749,1),Players!$A$2:$D$132,4)&amp;")","")</f>
        <v/>
      </c>
    </row>
    <row r="1750" spans="1:10" ht="25.5" customHeight="1">
      <c r="A1750" s="50" t="str">
        <f>CONCATENATE($I1739,"5")</f>
        <v>L5</v>
      </c>
      <c r="B1750" s="255" t="str">
        <f>IF(VLOOKUP($A1750,Players!$A$2:$C$132,3)&lt;&gt;0,VLOOKUP($A1750,Players!$A$2:$C$132,3),"")</f>
        <v/>
      </c>
      <c r="C1750" s="255"/>
      <c r="D1750" s="255"/>
      <c r="E1750" s="255"/>
      <c r="F1750" s="255"/>
      <c r="G1750" s="254" t="str">
        <f>IF(VLOOKUP($D1739&amp;RIGHT($A1750,1),Players!$A$2:$D$132,3)&lt;&gt;0,VLOOKUP($D1739&amp;RIGHT($A1750,1),Players!$A$2:$D$132,3),"")</f>
        <v/>
      </c>
      <c r="H1750" s="254"/>
      <c r="I1750" s="254"/>
      <c r="J1750" s="210" t="str">
        <f>IF(VLOOKUP($D1739&amp;RIGHT($A1750,1),Players!$A$2:$D$132,3)&lt;&gt;0,"("&amp;VLOOKUP($D1739&amp;RIGHT($A1750,1),Players!$A$2:$D$132,4)&amp;")","")</f>
        <v/>
      </c>
    </row>
    <row r="1751" spans="1:10" ht="25.5" customHeight="1">
      <c r="A1751" s="50" t="str">
        <f>CONCATENATE($I1739,"6")</f>
        <v>L6</v>
      </c>
      <c r="B1751" s="255" t="str">
        <f>IF(VLOOKUP($A1751,Players!$A$2:$C$132,3)&lt;&gt;0,VLOOKUP($A1751,Players!$A$2:$C$132,3),"")</f>
        <v/>
      </c>
      <c r="C1751" s="255"/>
      <c r="D1751" s="255"/>
      <c r="E1751" s="255"/>
      <c r="F1751" s="255"/>
      <c r="G1751" s="254" t="str">
        <f>IF(VLOOKUP($D1739&amp;RIGHT($A1751,1),Players!$A$2:$D$132,3)&lt;&gt;0,VLOOKUP($D1739&amp;RIGHT($A1751,1),Players!$A$2:$D$132,3),"")</f>
        <v/>
      </c>
      <c r="H1751" s="254"/>
      <c r="I1751" s="254"/>
      <c r="J1751" s="210" t="str">
        <f>IF(VLOOKUP($D1739&amp;RIGHT($A1751,1),Players!$A$2:$D$132,3)&lt;&gt;0,"("&amp;VLOOKUP($D1739&amp;RIGHT($A1751,1),Players!$A$2:$D$132,4)&amp;")","")</f>
        <v/>
      </c>
    </row>
    <row r="1752" spans="1:10" ht="25.5" customHeight="1">
      <c r="A1752" s="50" t="str">
        <f>CONCATENATE($I1739,"7")</f>
        <v>L7</v>
      </c>
      <c r="B1752" s="255" t="str">
        <f>IF(VLOOKUP($A1752,Players!$A$2:$C$132,3)&lt;&gt;0,VLOOKUP($A1752,Players!$A$2:$C$132,3),"")</f>
        <v/>
      </c>
      <c r="C1752" s="255"/>
      <c r="D1752" s="255"/>
      <c r="E1752" s="255"/>
      <c r="F1752" s="255"/>
      <c r="G1752" s="254" t="str">
        <f>IF(VLOOKUP($D1739&amp;RIGHT($A1752,1),Players!$A$2:$D$132,3)&lt;&gt;0,VLOOKUP($D1739&amp;RIGHT($A1752,1),Players!$A$2:$D$132,3),"")</f>
        <v/>
      </c>
      <c r="H1752" s="254"/>
      <c r="I1752" s="254"/>
      <c r="J1752" s="210" t="str">
        <f>IF(VLOOKUP($D1739&amp;RIGHT($A1752,1),Players!$A$2:$D$132,3)&lt;&gt;0,"("&amp;VLOOKUP($D1739&amp;RIGHT($A1752,1),Players!$A$2:$D$132,4)&amp;")","")</f>
        <v/>
      </c>
    </row>
    <row r="1753" spans="1:10" ht="25.5" customHeight="1">
      <c r="A1753" s="50" t="str">
        <f>CONCATENATE($I1739,"8")</f>
        <v>L8</v>
      </c>
      <c r="B1753" s="255" t="str">
        <f>IF(VLOOKUP($A1753,Players!$A$2:$C$132,3)&lt;&gt;0,VLOOKUP($A1753,Players!$A$2:$C$132,3),"")</f>
        <v/>
      </c>
      <c r="C1753" s="255"/>
      <c r="D1753" s="255"/>
      <c r="E1753" s="255"/>
      <c r="F1753" s="255"/>
      <c r="G1753" s="254" t="str">
        <f>IF(VLOOKUP($D1739&amp;RIGHT($A1753,1),Players!$A$2:$D$132,3)&lt;&gt;0,VLOOKUP($D1739&amp;RIGHT($A1753,1),Players!$A$2:$D$132,3),"")</f>
        <v/>
      </c>
      <c r="H1753" s="254"/>
      <c r="I1753" s="254"/>
      <c r="J1753" s="210" t="str">
        <f>IF(VLOOKUP($D1739&amp;RIGHT($A1753,1),Players!$A$2:$D$132,3)&lt;&gt;0,"("&amp;VLOOKUP($D1739&amp;RIGHT($A1753,1),Players!$A$2:$D$132,4)&amp;")","")</f>
        <v/>
      </c>
    </row>
    <row r="1754" spans="1:10" ht="25.5" customHeight="1">
      <c r="A1754" s="50"/>
      <c r="B1754" s="26"/>
      <c r="C1754" s="26"/>
      <c r="D1754" s="26"/>
      <c r="E1754" s="26"/>
      <c r="F1754" s="27"/>
      <c r="G1754" s="43"/>
      <c r="H1754" s="43"/>
      <c r="I1754" s="43"/>
      <c r="J1754" s="43"/>
    </row>
    <row r="1755" spans="1:10">
      <c r="A1755" s="49" t="s">
        <v>1225</v>
      </c>
      <c r="B1755" s="46"/>
      <c r="C1755" s="46"/>
      <c r="D1755" s="46"/>
      <c r="E1755" s="46"/>
      <c r="F1755" s="46"/>
      <c r="G1755" s="43"/>
      <c r="H1755" s="43"/>
      <c r="I1755" s="43"/>
      <c r="J1755" s="43"/>
    </row>
    <row r="1756" spans="1:10">
      <c r="A1756" s="46" t="s">
        <v>1247</v>
      </c>
      <c r="B1756" s="46"/>
      <c r="C1756" s="46"/>
      <c r="D1756" s="46"/>
      <c r="E1756" s="46"/>
      <c r="F1756" s="46"/>
      <c r="G1756" s="43"/>
      <c r="H1756" s="43"/>
      <c r="I1756" s="43"/>
      <c r="J1756" s="43"/>
    </row>
    <row r="1757" spans="1:10">
      <c r="A1757" s="46" t="s">
        <v>1248</v>
      </c>
      <c r="B1757" s="46"/>
      <c r="C1757" s="46"/>
      <c r="D1757" s="46"/>
      <c r="E1757" s="46"/>
      <c r="F1757" s="46"/>
      <c r="G1757" s="43"/>
      <c r="H1757" s="43"/>
      <c r="I1757" s="43"/>
      <c r="J1757" s="43"/>
    </row>
    <row r="1758" spans="1:10" ht="13.5" thickBot="1">
      <c r="A1758" s="46"/>
      <c r="B1758" s="46"/>
      <c r="C1758" s="46"/>
      <c r="D1758" s="46"/>
      <c r="E1758" s="46"/>
      <c r="F1758" s="46"/>
      <c r="G1758" s="43"/>
      <c r="H1758" s="43"/>
      <c r="I1758" s="43"/>
      <c r="J1758" s="43"/>
    </row>
    <row r="1759" spans="1:10" ht="25.5" customHeight="1" thickBot="1">
      <c r="A1759" s="50"/>
      <c r="B1759" s="257"/>
      <c r="C1759" s="258"/>
      <c r="D1759" s="258"/>
      <c r="E1759" s="258"/>
      <c r="F1759" s="259"/>
      <c r="G1759" s="43"/>
      <c r="H1759" s="43"/>
      <c r="I1759" s="43"/>
      <c r="J1759" s="43"/>
    </row>
    <row r="1760" spans="1:10">
      <c r="A1760" s="43"/>
      <c r="B1760" s="43"/>
      <c r="C1760" s="43"/>
      <c r="D1760" s="43"/>
      <c r="E1760" s="43"/>
      <c r="F1760" s="43"/>
      <c r="G1760" s="43"/>
      <c r="H1760" s="43"/>
      <c r="I1760" s="43"/>
      <c r="J1760" s="43"/>
    </row>
    <row r="1761" spans="1:10">
      <c r="A1761" s="43"/>
      <c r="B1761" s="43"/>
      <c r="C1761" s="43"/>
      <c r="D1761" s="43"/>
      <c r="E1761" s="43"/>
      <c r="F1761" s="43"/>
      <c r="G1761" s="43"/>
      <c r="H1761" s="43"/>
      <c r="I1761" s="43"/>
      <c r="J1761" s="43"/>
    </row>
    <row r="1762" spans="1:10">
      <c r="A1762" s="43"/>
      <c r="B1762" s="43"/>
      <c r="C1762" s="43"/>
      <c r="D1762" s="43"/>
      <c r="E1762" s="43"/>
      <c r="F1762" s="43"/>
      <c r="G1762" s="43"/>
      <c r="H1762" s="43"/>
      <c r="I1762" s="43"/>
      <c r="J1762" s="43"/>
    </row>
    <row r="1763" spans="1:10">
      <c r="A1763" s="43"/>
      <c r="B1763" s="43"/>
      <c r="C1763" s="43"/>
      <c r="D1763" s="43"/>
      <c r="E1763" s="43"/>
      <c r="F1763" s="43"/>
      <c r="G1763" s="43"/>
      <c r="H1763" s="43"/>
      <c r="I1763" s="43"/>
      <c r="J1763" s="43"/>
    </row>
    <row r="1764" spans="1:10">
      <c r="A1764" s="43"/>
      <c r="B1764" s="43"/>
      <c r="C1764" s="43"/>
      <c r="D1764" s="43"/>
      <c r="E1764" s="43"/>
      <c r="F1764" s="43"/>
      <c r="G1764" s="43"/>
      <c r="H1764" s="43"/>
      <c r="I1764" s="43"/>
      <c r="J1764" s="43"/>
    </row>
    <row r="1765" spans="1:10" ht="25.5" customHeight="1">
      <c r="A1765" s="47"/>
      <c r="B1765" s="47"/>
      <c r="C1765" s="47"/>
      <c r="D1765" s="47"/>
      <c r="E1765" s="47"/>
      <c r="F1765" s="43"/>
      <c r="G1765" s="51"/>
      <c r="H1765" s="250" t="s">
        <v>1227</v>
      </c>
      <c r="I1765" s="251"/>
      <c r="J1765" s="43"/>
    </row>
    <row r="1766" spans="1:10">
      <c r="A1766" s="43" t="s">
        <v>1226</v>
      </c>
      <c r="B1766" s="43"/>
      <c r="C1766" s="43"/>
      <c r="D1766" s="43"/>
      <c r="E1766" s="43"/>
      <c r="F1766" s="43"/>
      <c r="G1766" s="43"/>
      <c r="H1766" s="43"/>
      <c r="I1766" s="43"/>
      <c r="J1766" s="43"/>
    </row>
    <row r="1767" spans="1:10">
      <c r="A1767" s="43"/>
      <c r="B1767" s="43"/>
      <c r="C1767" s="43"/>
      <c r="D1767" s="43"/>
      <c r="E1767" s="43"/>
      <c r="F1767" s="43"/>
      <c r="G1767" s="43"/>
      <c r="H1767" s="43"/>
      <c r="I1767" s="43"/>
      <c r="J1767" s="43"/>
    </row>
    <row r="1768" spans="1:10">
      <c r="A1768" s="43"/>
      <c r="B1768" s="43"/>
      <c r="C1768" s="43"/>
      <c r="D1768" s="43"/>
      <c r="E1768" s="256" t="str">
        <f>CONCATENATE("(",$D1739," vs ",$I1739,")")</f>
        <v>(A vs L)</v>
      </c>
      <c r="F1768" s="256"/>
      <c r="G1768" s="43"/>
      <c r="H1768" s="43"/>
      <c r="I1768" s="43"/>
      <c r="J1768" s="43"/>
    </row>
    <row r="1769" spans="1:10" ht="15.75">
      <c r="A1769" s="42" t="s">
        <v>1223</v>
      </c>
      <c r="B1769" s="43"/>
      <c r="C1769" s="43"/>
      <c r="D1769" s="43"/>
      <c r="E1769" s="43"/>
      <c r="F1769" s="43"/>
      <c r="G1769" s="43"/>
      <c r="H1769" s="43"/>
      <c r="I1769" s="43"/>
      <c r="J1769" s="96" t="s">
        <v>4271</v>
      </c>
    </row>
    <row r="1770" spans="1:10" ht="12.75" customHeight="1">
      <c r="A1770" s="42"/>
      <c r="B1770" s="43"/>
      <c r="C1770" s="43"/>
      <c r="D1770" s="43"/>
      <c r="E1770" s="43"/>
      <c r="F1770" s="43"/>
      <c r="G1770" s="43" t="str">
        <f ca="1">Team_Matches!$J$6</f>
        <v>[NCTTA Teams Template (v2.06).xlsx]</v>
      </c>
      <c r="H1770" s="43"/>
      <c r="I1770" s="43"/>
      <c r="J1770" s="160"/>
    </row>
    <row r="1771" spans="1:10" ht="12.75" customHeight="1">
      <c r="A1771" s="42"/>
      <c r="B1771" s="43"/>
      <c r="C1771" s="43"/>
      <c r="D1771" s="43"/>
      <c r="E1771" s="43"/>
      <c r="F1771" s="43"/>
      <c r="G1771" s="247" t="str">
        <f>Team_Matches!$J1333</f>
        <v/>
      </c>
      <c r="H1771" s="247"/>
      <c r="I1771" s="161" t="str">
        <f>Team_Matches!$M1333</f>
        <v/>
      </c>
      <c r="J1771" s="161"/>
    </row>
    <row r="1772" spans="1:10" ht="15.75">
      <c r="A1772" s="42"/>
      <c r="B1772" s="43"/>
      <c r="C1772" s="43"/>
      <c r="D1772" s="43"/>
      <c r="E1772" s="43"/>
      <c r="F1772" s="43"/>
      <c r="G1772" s="43"/>
      <c r="H1772" s="43"/>
      <c r="I1772" s="43"/>
      <c r="J1772" s="43"/>
    </row>
    <row r="1773" spans="1:10">
      <c r="A1773" s="43"/>
      <c r="B1773" s="43"/>
      <c r="C1773" s="9" t="s">
        <v>1228</v>
      </c>
      <c r="D1773" s="52" t="str">
        <f>Team_Matches!$B1335</f>
        <v>B</v>
      </c>
      <c r="E1773" s="43"/>
      <c r="F1773" s="97" t="str">
        <f>CONCATENATE($D1773,"-",$I1773)</f>
        <v>B-E</v>
      </c>
      <c r="G1773" s="43"/>
      <c r="H1773" s="9" t="s">
        <v>1228</v>
      </c>
      <c r="I1773" s="52" t="str">
        <f>Team_Matches!$K1335</f>
        <v>E</v>
      </c>
      <c r="J1773" s="43"/>
    </row>
    <row r="1774" spans="1:10" ht="25.5" customHeight="1">
      <c r="A1774" s="44"/>
      <c r="B1774" s="248" t="str">
        <f>IF(VLOOKUP($D1773,Draw!$A$4:$B$27,2)&lt;&gt;0,VLOOKUP($D1773,Draw!$A$4:$B$27,2),"")</f>
        <v/>
      </c>
      <c r="C1774" s="248"/>
      <c r="D1774" s="248"/>
      <c r="E1774" s="249"/>
      <c r="F1774" s="45"/>
      <c r="G1774" s="252" t="str">
        <f>IF(VLOOKUP($I1773,Draw!$A$4:$B$27,2)&lt;&gt;0,VLOOKUP($I1773,Draw!$A$4:$B$27,2),"")</f>
        <v/>
      </c>
      <c r="H1774" s="252"/>
      <c r="I1774" s="252"/>
      <c r="J1774" s="253"/>
    </row>
    <row r="1775" spans="1:10" ht="25.5" customHeight="1"/>
    <row r="1776" spans="1:10" ht="25.5" customHeight="1"/>
    <row r="1777" spans="1:10" ht="24" customHeight="1">
      <c r="A1777" s="48" t="s">
        <v>1246</v>
      </c>
      <c r="B1777" s="43"/>
      <c r="C1777" s="43"/>
      <c r="D1777" s="43"/>
      <c r="E1777" s="43"/>
      <c r="F1777" s="43"/>
      <c r="G1777" s="43"/>
      <c r="H1777" s="43"/>
      <c r="I1777" s="43"/>
      <c r="J1777" s="43"/>
    </row>
    <row r="1778" spans="1:10" ht="24" customHeight="1">
      <c r="A1778" s="48"/>
      <c r="B1778" s="43"/>
      <c r="C1778" s="43"/>
      <c r="D1778" s="43"/>
      <c r="E1778" s="43"/>
      <c r="F1778" s="43"/>
      <c r="G1778" s="43"/>
      <c r="H1778" s="43"/>
      <c r="I1778" s="43"/>
      <c r="J1778" s="43"/>
    </row>
    <row r="1779" spans="1:10">
      <c r="A1779" s="49" t="s">
        <v>1224</v>
      </c>
      <c r="B1779" s="46"/>
      <c r="C1779" s="46"/>
      <c r="D1779" s="46"/>
      <c r="E1779" s="46"/>
      <c r="F1779" s="46"/>
      <c r="G1779" s="260" t="s">
        <v>10336</v>
      </c>
      <c r="H1779" s="260"/>
      <c r="I1779" s="260"/>
      <c r="J1779" s="260"/>
    </row>
    <row r="1780" spans="1:10" ht="24" customHeight="1">
      <c r="A1780" s="50" t="str">
        <f>CONCATENATE($D1773,"1")</f>
        <v>B1</v>
      </c>
      <c r="B1780" s="255" t="str">
        <f>IF(VLOOKUP($A1780,Players!$A$2:$C$132,3)&lt;&gt;0,VLOOKUP($A1780,Players!$A$2:$C$132,3),"")</f>
        <v/>
      </c>
      <c r="C1780" s="255"/>
      <c r="D1780" s="255"/>
      <c r="E1780" s="255"/>
      <c r="F1780" s="255"/>
      <c r="G1780" s="254" t="str">
        <f>IF(VLOOKUP($I1773&amp;RIGHT($A1780,1),Players!$A$2:$D$132,3)&lt;&gt;0,VLOOKUP($I1773&amp;RIGHT($A1780,1),Players!$A$2:$D$132,3),"")</f>
        <v/>
      </c>
      <c r="H1780" s="254"/>
      <c r="I1780" s="254"/>
      <c r="J1780" s="210" t="str">
        <f>IF(VLOOKUP($I1773&amp;RIGHT($A1780,1),Players!$A$2:$D$132,3)&lt;&gt;0,"("&amp;VLOOKUP($I1773&amp;RIGHT($A1780,1),Players!$A$2:$D$132,4)&amp;")","")</f>
        <v/>
      </c>
    </row>
    <row r="1781" spans="1:10" ht="25.5" customHeight="1">
      <c r="A1781" s="50" t="str">
        <f>CONCATENATE($D1773,"2")</f>
        <v>B2</v>
      </c>
      <c r="B1781" s="255" t="str">
        <f>IF(VLOOKUP($A1781,Players!$A$2:$C$132,3)&lt;&gt;0,VLOOKUP($A1781,Players!$A$2:$C$132,3),"")</f>
        <v/>
      </c>
      <c r="C1781" s="255"/>
      <c r="D1781" s="255"/>
      <c r="E1781" s="255"/>
      <c r="F1781" s="255"/>
      <c r="G1781" s="254" t="str">
        <f>IF(VLOOKUP($I1773&amp;RIGHT($A1781,1),Players!$A$2:$D$132,3)&lt;&gt;0,VLOOKUP($I1773&amp;RIGHT($A1781,1),Players!$A$2:$D$132,3),"")</f>
        <v/>
      </c>
      <c r="H1781" s="254"/>
      <c r="I1781" s="254"/>
      <c r="J1781" s="210" t="str">
        <f>IF(VLOOKUP($I1773&amp;RIGHT($A1781,1),Players!$A$2:$D$132,3)&lt;&gt;0,"("&amp;VLOOKUP($I1773&amp;RIGHT($A1781,1),Players!$A$2:$D$132,4)&amp;")","")</f>
        <v/>
      </c>
    </row>
    <row r="1782" spans="1:10" ht="25.5" customHeight="1">
      <c r="A1782" s="50" t="str">
        <f>CONCATENATE($D1773,"3")</f>
        <v>B3</v>
      </c>
      <c r="B1782" s="255" t="str">
        <f>IF(VLOOKUP($A1782,Players!$A$2:$C$132,3)&lt;&gt;0,VLOOKUP($A1782,Players!$A$2:$C$132,3),"")</f>
        <v/>
      </c>
      <c r="C1782" s="255"/>
      <c r="D1782" s="255"/>
      <c r="E1782" s="255"/>
      <c r="F1782" s="255"/>
      <c r="G1782" s="254" t="str">
        <f>IF(VLOOKUP($I1773&amp;RIGHT($A1782,1),Players!$A$2:$D$132,3)&lt;&gt;0,VLOOKUP($I1773&amp;RIGHT($A1782,1),Players!$A$2:$D$132,3),"")</f>
        <v/>
      </c>
      <c r="H1782" s="254"/>
      <c r="I1782" s="254"/>
      <c r="J1782" s="210" t="str">
        <f>IF(VLOOKUP($I1773&amp;RIGHT($A1782,1),Players!$A$2:$D$132,3)&lt;&gt;0,"("&amp;VLOOKUP($I1773&amp;RIGHT($A1782,1),Players!$A$2:$D$132,4)&amp;")","")</f>
        <v/>
      </c>
    </row>
    <row r="1783" spans="1:10" ht="25.5" customHeight="1">
      <c r="A1783" s="50" t="str">
        <f>CONCATENATE($D1773,"4")</f>
        <v>B4</v>
      </c>
      <c r="B1783" s="255" t="str">
        <f>IF(VLOOKUP($A1783,Players!$A$2:$C$132,3)&lt;&gt;0,VLOOKUP($A1783,Players!$A$2:$C$132,3),"")</f>
        <v/>
      </c>
      <c r="C1783" s="255"/>
      <c r="D1783" s="255"/>
      <c r="E1783" s="255"/>
      <c r="F1783" s="255"/>
      <c r="G1783" s="254" t="str">
        <f>IF(VLOOKUP($I1773&amp;RIGHT($A1783,1),Players!$A$2:$D$132,3)&lt;&gt;0,VLOOKUP($I1773&amp;RIGHT($A1783,1),Players!$A$2:$D$132,3),"")</f>
        <v/>
      </c>
      <c r="H1783" s="254"/>
      <c r="I1783" s="254"/>
      <c r="J1783" s="210" t="str">
        <f>IF(VLOOKUP($I1773&amp;RIGHT($A1783,1),Players!$A$2:$D$132,3)&lt;&gt;0,"("&amp;VLOOKUP($I1773&amp;RIGHT($A1783,1),Players!$A$2:$D$132,4)&amp;")","")</f>
        <v/>
      </c>
    </row>
    <row r="1784" spans="1:10" ht="25.5" customHeight="1">
      <c r="A1784" s="50" t="str">
        <f>CONCATENATE($D1773,"5")</f>
        <v>B5</v>
      </c>
      <c r="B1784" s="255" t="str">
        <f>IF(VLOOKUP($A1784,Players!$A$2:$C$132,3)&lt;&gt;0,VLOOKUP($A1784,Players!$A$2:$C$132,3),"")</f>
        <v/>
      </c>
      <c r="C1784" s="255"/>
      <c r="D1784" s="255"/>
      <c r="E1784" s="255"/>
      <c r="F1784" s="255"/>
      <c r="G1784" s="254" t="str">
        <f>IF(VLOOKUP($I1773&amp;RIGHT($A1784,1),Players!$A$2:$D$132,3)&lt;&gt;0,VLOOKUP($I1773&amp;RIGHT($A1784,1),Players!$A$2:$D$132,3),"")</f>
        <v/>
      </c>
      <c r="H1784" s="254"/>
      <c r="I1784" s="254"/>
      <c r="J1784" s="210" t="str">
        <f>IF(VLOOKUP($I1773&amp;RIGHT($A1784,1),Players!$A$2:$D$132,3)&lt;&gt;0,"("&amp;VLOOKUP($I1773&amp;RIGHT($A1784,1),Players!$A$2:$D$132,4)&amp;")","")</f>
        <v/>
      </c>
    </row>
    <row r="1785" spans="1:10" ht="25.5" customHeight="1">
      <c r="A1785" s="50" t="str">
        <f>CONCATENATE($D1773,"6")</f>
        <v>B6</v>
      </c>
      <c r="B1785" s="255" t="str">
        <f>IF(VLOOKUP($A1785,Players!$A$2:$C$132,3)&lt;&gt;0,VLOOKUP($A1785,Players!$A$2:$C$132,3),"")</f>
        <v/>
      </c>
      <c r="C1785" s="255"/>
      <c r="D1785" s="255"/>
      <c r="E1785" s="255"/>
      <c r="F1785" s="255"/>
      <c r="G1785" s="254" t="str">
        <f>IF(VLOOKUP($I1773&amp;RIGHT($A1785,1),Players!$A$2:$D$132,3)&lt;&gt;0,VLOOKUP($I1773&amp;RIGHT($A1785,1),Players!$A$2:$D$132,3),"")</f>
        <v/>
      </c>
      <c r="H1785" s="254"/>
      <c r="I1785" s="254"/>
      <c r="J1785" s="210" t="str">
        <f>IF(VLOOKUP($I1773&amp;RIGHT($A1785,1),Players!$A$2:$D$132,3)&lt;&gt;0,"("&amp;VLOOKUP($I1773&amp;RIGHT($A1785,1),Players!$A$2:$D$132,4)&amp;")","")</f>
        <v/>
      </c>
    </row>
    <row r="1786" spans="1:10" ht="25.5" customHeight="1">
      <c r="A1786" s="50" t="str">
        <f>CONCATENATE($D1773,"7")</f>
        <v>B7</v>
      </c>
      <c r="B1786" s="255" t="str">
        <f>IF(VLOOKUP($A1786,Players!$A$2:$C$132,3)&lt;&gt;0,VLOOKUP($A1786,Players!$A$2:$C$132,3),"")</f>
        <v/>
      </c>
      <c r="C1786" s="255"/>
      <c r="D1786" s="255"/>
      <c r="E1786" s="255"/>
      <c r="F1786" s="255"/>
      <c r="G1786" s="254" t="str">
        <f>IF(VLOOKUP($I1773&amp;RIGHT($A1786,1),Players!$A$2:$D$132,3)&lt;&gt;0,VLOOKUP($I1773&amp;RIGHT($A1786,1),Players!$A$2:$D$132,3),"")</f>
        <v/>
      </c>
      <c r="H1786" s="254"/>
      <c r="I1786" s="254"/>
      <c r="J1786" s="210" t="str">
        <f>IF(VLOOKUP($I1773&amp;RIGHT($A1786,1),Players!$A$2:$D$132,3)&lt;&gt;0,"("&amp;VLOOKUP($I1773&amp;RIGHT($A1786,1),Players!$A$2:$D$132,4)&amp;")","")</f>
        <v/>
      </c>
    </row>
    <row r="1787" spans="1:10" ht="25.5" customHeight="1">
      <c r="A1787" s="50" t="str">
        <f>CONCATENATE($D1773,"8")</f>
        <v>B8</v>
      </c>
      <c r="B1787" s="255" t="str">
        <f>IF(VLOOKUP($A1787,Players!$A$2:$C$132,3)&lt;&gt;0,VLOOKUP($A1787,Players!$A$2:$C$132,3),"")</f>
        <v/>
      </c>
      <c r="C1787" s="255"/>
      <c r="D1787" s="255"/>
      <c r="E1787" s="255"/>
      <c r="F1787" s="255"/>
      <c r="G1787" s="254" t="str">
        <f>IF(VLOOKUP($I1773&amp;RIGHT($A1787,1),Players!$A$2:$D$132,3)&lt;&gt;0,VLOOKUP($I1773&amp;RIGHT($A1787,1),Players!$A$2:$D$132,3),"")</f>
        <v/>
      </c>
      <c r="H1787" s="254"/>
      <c r="I1787" s="254"/>
      <c r="J1787" s="210" t="str">
        <f>IF(VLOOKUP($I1773&amp;RIGHT($A1787,1),Players!$A$2:$D$132,3)&lt;&gt;0,"("&amp;VLOOKUP($I1773&amp;RIGHT($A1787,1),Players!$A$2:$D$132,4)&amp;")","")</f>
        <v/>
      </c>
    </row>
    <row r="1788" spans="1:10" ht="25.5" customHeight="1">
      <c r="A1788" s="50"/>
      <c r="B1788" s="26"/>
      <c r="C1788" s="26"/>
      <c r="D1788" s="26"/>
      <c r="E1788" s="26"/>
      <c r="F1788" s="27"/>
      <c r="G1788" s="43"/>
      <c r="H1788" s="43"/>
      <c r="I1788" s="43"/>
      <c r="J1788" s="43"/>
    </row>
    <row r="1789" spans="1:10">
      <c r="A1789" s="49" t="s">
        <v>1225</v>
      </c>
      <c r="B1789" s="46"/>
      <c r="C1789" s="46"/>
      <c r="D1789" s="46"/>
      <c r="E1789" s="46"/>
      <c r="F1789" s="46"/>
      <c r="G1789" s="43"/>
      <c r="H1789" s="43"/>
      <c r="I1789" s="43"/>
      <c r="J1789" s="43"/>
    </row>
    <row r="1790" spans="1:10">
      <c r="A1790" s="46" t="s">
        <v>1247</v>
      </c>
      <c r="B1790" s="46"/>
      <c r="C1790" s="46"/>
      <c r="D1790" s="46"/>
      <c r="E1790" s="46"/>
      <c r="F1790" s="46"/>
      <c r="G1790" s="43"/>
      <c r="H1790" s="43"/>
      <c r="I1790" s="43"/>
      <c r="J1790" s="43"/>
    </row>
    <row r="1791" spans="1:10">
      <c r="A1791" s="46" t="s">
        <v>1248</v>
      </c>
      <c r="B1791" s="46"/>
      <c r="C1791" s="46"/>
      <c r="D1791" s="46"/>
      <c r="E1791" s="46"/>
      <c r="F1791" s="46"/>
      <c r="G1791" s="43"/>
      <c r="H1791" s="43"/>
      <c r="I1791" s="43"/>
      <c r="J1791" s="43"/>
    </row>
    <row r="1792" spans="1:10" ht="13.5" thickBot="1">
      <c r="A1792" s="46"/>
      <c r="B1792" s="46"/>
      <c r="C1792" s="46"/>
      <c r="D1792" s="46"/>
      <c r="E1792" s="46"/>
      <c r="F1792" s="46"/>
      <c r="G1792" s="43"/>
      <c r="H1792" s="43"/>
      <c r="I1792" s="43"/>
      <c r="J1792" s="43"/>
    </row>
    <row r="1793" spans="1:10" ht="25.5" customHeight="1" thickBot="1">
      <c r="A1793" s="50"/>
      <c r="B1793" s="257"/>
      <c r="C1793" s="258"/>
      <c r="D1793" s="258"/>
      <c r="E1793" s="258"/>
      <c r="F1793" s="259"/>
      <c r="G1793" s="43"/>
      <c r="H1793" s="43"/>
      <c r="I1793" s="43"/>
      <c r="J1793" s="43"/>
    </row>
    <row r="1794" spans="1:10">
      <c r="A1794" s="43"/>
      <c r="B1794" s="43"/>
      <c r="C1794" s="43"/>
      <c r="D1794" s="43"/>
      <c r="E1794" s="43"/>
      <c r="F1794" s="43"/>
      <c r="G1794" s="43"/>
      <c r="H1794" s="43"/>
      <c r="I1794" s="43"/>
      <c r="J1794" s="43"/>
    </row>
    <row r="1795" spans="1:10">
      <c r="A1795" s="43"/>
      <c r="B1795" s="43"/>
      <c r="C1795" s="43"/>
      <c r="D1795" s="43"/>
      <c r="E1795" s="43"/>
      <c r="F1795" s="43"/>
      <c r="G1795" s="43"/>
      <c r="H1795" s="43"/>
      <c r="I1795" s="43"/>
      <c r="J1795" s="43"/>
    </row>
    <row r="1796" spans="1:10">
      <c r="A1796" s="43"/>
      <c r="B1796" s="43"/>
      <c r="C1796" s="43"/>
      <c r="D1796" s="43"/>
      <c r="E1796" s="43"/>
      <c r="F1796" s="43"/>
      <c r="G1796" s="43"/>
      <c r="H1796" s="43"/>
      <c r="I1796" s="43"/>
      <c r="J1796" s="43"/>
    </row>
    <row r="1797" spans="1:10">
      <c r="A1797" s="43"/>
      <c r="B1797" s="43"/>
      <c r="C1797" s="43"/>
      <c r="D1797" s="43"/>
      <c r="E1797" s="43"/>
      <c r="F1797" s="43"/>
      <c r="G1797" s="43"/>
      <c r="H1797" s="43"/>
      <c r="I1797" s="43"/>
      <c r="J1797" s="43"/>
    </row>
    <row r="1798" spans="1:10">
      <c r="A1798" s="43"/>
      <c r="B1798" s="43"/>
      <c r="C1798" s="43"/>
      <c r="D1798" s="43"/>
      <c r="E1798" s="43"/>
      <c r="F1798" s="43"/>
      <c r="G1798" s="43"/>
      <c r="H1798" s="43"/>
      <c r="I1798" s="43"/>
      <c r="J1798" s="43"/>
    </row>
    <row r="1799" spans="1:10" ht="25.5" customHeight="1">
      <c r="A1799" s="47"/>
      <c r="B1799" s="47"/>
      <c r="C1799" s="47"/>
      <c r="D1799" s="47"/>
      <c r="E1799" s="47"/>
      <c r="F1799" s="43"/>
      <c r="G1799" s="51"/>
      <c r="H1799" s="250" t="s">
        <v>1227</v>
      </c>
      <c r="I1799" s="251"/>
      <c r="J1799" s="43"/>
    </row>
    <row r="1800" spans="1:10">
      <c r="A1800" s="43" t="s">
        <v>1226</v>
      </c>
      <c r="B1800" s="43"/>
      <c r="C1800" s="43"/>
      <c r="D1800" s="43"/>
      <c r="E1800" s="43"/>
      <c r="F1800" s="43"/>
      <c r="G1800" s="43"/>
      <c r="H1800" s="43"/>
      <c r="I1800" s="43"/>
      <c r="J1800" s="43"/>
    </row>
    <row r="1801" spans="1:10">
      <c r="A1801" s="43"/>
      <c r="B1801" s="43"/>
      <c r="C1801" s="43"/>
      <c r="D1801" s="43"/>
      <c r="E1801" s="43"/>
      <c r="F1801" s="43"/>
      <c r="G1801" s="43"/>
      <c r="H1801" s="43"/>
      <c r="I1801" s="43"/>
      <c r="J1801" s="43"/>
    </row>
    <row r="1802" spans="1:10">
      <c r="A1802" s="43"/>
      <c r="B1802" s="43"/>
      <c r="C1802" s="43"/>
      <c r="D1802" s="43"/>
      <c r="E1802" s="256" t="str">
        <f>CONCATENATE("(",$D1773," vs ",$I1773,")")</f>
        <v>(B vs E)</v>
      </c>
      <c r="F1802" s="256"/>
      <c r="G1802" s="43"/>
      <c r="H1802" s="43"/>
      <c r="I1802" s="43"/>
      <c r="J1802" s="43"/>
    </row>
    <row r="1803" spans="1:10" ht="15.75">
      <c r="A1803" s="42" t="s">
        <v>1223</v>
      </c>
      <c r="B1803" s="43"/>
      <c r="C1803" s="43"/>
      <c r="D1803" s="43"/>
      <c r="E1803" s="43"/>
      <c r="F1803" s="43"/>
      <c r="G1803" s="43"/>
      <c r="H1803" s="43"/>
      <c r="I1803" s="43"/>
      <c r="J1803" s="96" t="s">
        <v>4272</v>
      </c>
    </row>
    <row r="1804" spans="1:10" ht="12.75" customHeight="1">
      <c r="A1804" s="42"/>
      <c r="B1804" s="43"/>
      <c r="C1804" s="43"/>
      <c r="D1804" s="43"/>
      <c r="E1804" s="43"/>
      <c r="F1804" s="43"/>
      <c r="G1804" s="43" t="str">
        <f ca="1">Team_Matches!$J$6</f>
        <v>[NCTTA Teams Template (v2.06).xlsx]</v>
      </c>
      <c r="H1804" s="43"/>
      <c r="I1804" s="43"/>
      <c r="J1804" s="160"/>
    </row>
    <row r="1805" spans="1:10" ht="12.75" customHeight="1">
      <c r="A1805" s="42"/>
      <c r="B1805" s="43"/>
      <c r="C1805" s="43"/>
      <c r="D1805" s="43"/>
      <c r="E1805" s="43"/>
      <c r="F1805" s="43"/>
      <c r="G1805" s="247" t="str">
        <f>Team_Matches!$J1333</f>
        <v/>
      </c>
      <c r="H1805" s="247"/>
      <c r="I1805" s="161" t="str">
        <f>Team_Matches!$M1333</f>
        <v/>
      </c>
      <c r="J1805" s="161"/>
    </row>
    <row r="1806" spans="1:10" ht="15.75">
      <c r="A1806" s="42"/>
      <c r="B1806" s="43"/>
      <c r="C1806" s="43"/>
      <c r="D1806" s="43"/>
      <c r="E1806" s="43"/>
      <c r="F1806" s="43"/>
      <c r="G1806" s="43"/>
      <c r="H1806" s="43"/>
      <c r="I1806" s="43"/>
      <c r="J1806" s="43"/>
    </row>
    <row r="1807" spans="1:10">
      <c r="A1807" s="43"/>
      <c r="B1807" s="43"/>
      <c r="C1807" s="9" t="s">
        <v>1228</v>
      </c>
      <c r="D1807" s="52" t="str">
        <f>Team_Matches!$B1335</f>
        <v>B</v>
      </c>
      <c r="E1807" s="43"/>
      <c r="F1807" s="97" t="str">
        <f>CONCATENATE($D1807,"-",$I1807)</f>
        <v>B-E</v>
      </c>
      <c r="G1807" s="43"/>
      <c r="H1807" s="9" t="s">
        <v>1228</v>
      </c>
      <c r="I1807" s="52" t="str">
        <f>Team_Matches!$K1335</f>
        <v>E</v>
      </c>
      <c r="J1807" s="43"/>
    </row>
    <row r="1808" spans="1:10" ht="25.5" customHeight="1">
      <c r="A1808" s="44"/>
      <c r="B1808" s="252" t="str">
        <f>IF(VLOOKUP($D1807,Draw!$A$4:$B$27,2)&lt;&gt;0,VLOOKUP($D1807,Draw!$A$4:$B$27,2),"")</f>
        <v/>
      </c>
      <c r="C1808" s="252"/>
      <c r="D1808" s="252"/>
      <c r="E1808" s="253"/>
      <c r="F1808" s="45"/>
      <c r="G1808" s="248" t="str">
        <f>IF(VLOOKUP($I1807,Draw!$A$4:$B$27,2)&lt;&gt;0,VLOOKUP($I1807,Draw!$A$4:$B$27,2),"")</f>
        <v/>
      </c>
      <c r="H1808" s="248"/>
      <c r="I1808" s="248"/>
      <c r="J1808" s="249"/>
    </row>
    <row r="1809" spans="1:10" ht="25.5" customHeight="1"/>
    <row r="1810" spans="1:10" ht="25.5" customHeight="1"/>
    <row r="1811" spans="1:10" ht="24" customHeight="1">
      <c r="A1811" s="48" t="s">
        <v>1246</v>
      </c>
      <c r="B1811" s="43"/>
      <c r="C1811" s="43"/>
      <c r="D1811" s="43"/>
      <c r="E1811" s="43"/>
      <c r="F1811" s="43"/>
      <c r="G1811" s="43"/>
      <c r="H1811" s="43"/>
      <c r="I1811" s="43"/>
      <c r="J1811" s="43"/>
    </row>
    <row r="1812" spans="1:10" ht="24" customHeight="1">
      <c r="A1812" s="48"/>
      <c r="B1812" s="43"/>
      <c r="C1812" s="43"/>
      <c r="D1812" s="43"/>
      <c r="E1812" s="43"/>
      <c r="F1812" s="43"/>
      <c r="G1812" s="43"/>
      <c r="H1812" s="43"/>
      <c r="I1812" s="43"/>
      <c r="J1812" s="43"/>
    </row>
    <row r="1813" spans="1:10">
      <c r="A1813" s="49" t="s">
        <v>1224</v>
      </c>
      <c r="B1813" s="46"/>
      <c r="C1813" s="46"/>
      <c r="D1813" s="46"/>
      <c r="E1813" s="46"/>
      <c r="F1813" s="46"/>
      <c r="G1813" s="260" t="s">
        <v>10336</v>
      </c>
      <c r="H1813" s="260"/>
      <c r="I1813" s="260"/>
      <c r="J1813" s="260"/>
    </row>
    <row r="1814" spans="1:10" ht="24" customHeight="1">
      <c r="A1814" s="50" t="str">
        <f>CONCATENATE($I1807,"1")</f>
        <v>E1</v>
      </c>
      <c r="B1814" s="255" t="str">
        <f>IF(VLOOKUP($A1814,Players!$A$2:$C$132,3)&lt;&gt;0,VLOOKUP($A1814,Players!$A$2:$C$132,3),"")</f>
        <v/>
      </c>
      <c r="C1814" s="255"/>
      <c r="D1814" s="255"/>
      <c r="E1814" s="255"/>
      <c r="F1814" s="255"/>
      <c r="G1814" s="254" t="str">
        <f>IF(VLOOKUP($D1807&amp;RIGHT($A1814,1),Players!$A$2:$D$132,3)&lt;&gt;0,VLOOKUP($D1807&amp;RIGHT($A1814,1),Players!$A$2:$D$132,3),"")</f>
        <v/>
      </c>
      <c r="H1814" s="254"/>
      <c r="I1814" s="254"/>
      <c r="J1814" s="210" t="str">
        <f>IF(VLOOKUP($D1807&amp;RIGHT($A1814,1),Players!$A$2:$D$132,3)&lt;&gt;0,"("&amp;VLOOKUP($D1807&amp;RIGHT($A1814,1),Players!$A$2:$D$132,4)&amp;")","")</f>
        <v/>
      </c>
    </row>
    <row r="1815" spans="1:10" ht="25.5" customHeight="1">
      <c r="A1815" s="50" t="str">
        <f>CONCATENATE($I1807,"2")</f>
        <v>E2</v>
      </c>
      <c r="B1815" s="255" t="str">
        <f>IF(VLOOKUP($A1815,Players!$A$2:$C$132,3)&lt;&gt;0,VLOOKUP($A1815,Players!$A$2:$C$132,3),"")</f>
        <v/>
      </c>
      <c r="C1815" s="255"/>
      <c r="D1815" s="255"/>
      <c r="E1815" s="255"/>
      <c r="F1815" s="255"/>
      <c r="G1815" s="254" t="str">
        <f>IF(VLOOKUP($D1807&amp;RIGHT($A1815,1),Players!$A$2:$D$132,3)&lt;&gt;0,VLOOKUP($D1807&amp;RIGHT($A1815,1),Players!$A$2:$D$132,3),"")</f>
        <v/>
      </c>
      <c r="H1815" s="254"/>
      <c r="I1815" s="254"/>
      <c r="J1815" s="210" t="str">
        <f>IF(VLOOKUP($D1807&amp;RIGHT($A1815,1),Players!$A$2:$D$132,3)&lt;&gt;0,"("&amp;VLOOKUP($D1807&amp;RIGHT($A1815,1),Players!$A$2:$D$132,4)&amp;")","")</f>
        <v/>
      </c>
    </row>
    <row r="1816" spans="1:10" ht="25.5" customHeight="1">
      <c r="A1816" s="50" t="str">
        <f>CONCATENATE($I1807,"3")</f>
        <v>E3</v>
      </c>
      <c r="B1816" s="255" t="str">
        <f>IF(VLOOKUP($A1816,Players!$A$2:$C$132,3)&lt;&gt;0,VLOOKUP($A1816,Players!$A$2:$C$132,3),"")</f>
        <v/>
      </c>
      <c r="C1816" s="255"/>
      <c r="D1816" s="255"/>
      <c r="E1816" s="255"/>
      <c r="F1816" s="255"/>
      <c r="G1816" s="254" t="str">
        <f>IF(VLOOKUP($D1807&amp;RIGHT($A1816,1),Players!$A$2:$D$132,3)&lt;&gt;0,VLOOKUP($D1807&amp;RIGHT($A1816,1),Players!$A$2:$D$132,3),"")</f>
        <v/>
      </c>
      <c r="H1816" s="254"/>
      <c r="I1816" s="254"/>
      <c r="J1816" s="210" t="str">
        <f>IF(VLOOKUP($D1807&amp;RIGHT($A1816,1),Players!$A$2:$D$132,3)&lt;&gt;0,"("&amp;VLOOKUP($D1807&amp;RIGHT($A1816,1),Players!$A$2:$D$132,4)&amp;")","")</f>
        <v/>
      </c>
    </row>
    <row r="1817" spans="1:10" ht="25.5" customHeight="1">
      <c r="A1817" s="50" t="str">
        <f>CONCATENATE($I1807,"4")</f>
        <v>E4</v>
      </c>
      <c r="B1817" s="255" t="str">
        <f>IF(VLOOKUP($A1817,Players!$A$2:$C$132,3)&lt;&gt;0,VLOOKUP($A1817,Players!$A$2:$C$132,3),"")</f>
        <v/>
      </c>
      <c r="C1817" s="255"/>
      <c r="D1817" s="255"/>
      <c r="E1817" s="255"/>
      <c r="F1817" s="255"/>
      <c r="G1817" s="254" t="str">
        <f>IF(VLOOKUP($D1807&amp;RIGHT($A1817,1),Players!$A$2:$D$132,3)&lt;&gt;0,VLOOKUP($D1807&amp;RIGHT($A1817,1),Players!$A$2:$D$132,3),"")</f>
        <v/>
      </c>
      <c r="H1817" s="254"/>
      <c r="I1817" s="254"/>
      <c r="J1817" s="210" t="str">
        <f>IF(VLOOKUP($D1807&amp;RIGHT($A1817,1),Players!$A$2:$D$132,3)&lt;&gt;0,"("&amp;VLOOKUP($D1807&amp;RIGHT($A1817,1),Players!$A$2:$D$132,4)&amp;")","")</f>
        <v/>
      </c>
    </row>
    <row r="1818" spans="1:10" ht="25.5" customHeight="1">
      <c r="A1818" s="50" t="str">
        <f>CONCATENATE($I1807,"5")</f>
        <v>E5</v>
      </c>
      <c r="B1818" s="255" t="str">
        <f>IF(VLOOKUP($A1818,Players!$A$2:$C$132,3)&lt;&gt;0,VLOOKUP($A1818,Players!$A$2:$C$132,3),"")</f>
        <v/>
      </c>
      <c r="C1818" s="255"/>
      <c r="D1818" s="255"/>
      <c r="E1818" s="255"/>
      <c r="F1818" s="255"/>
      <c r="G1818" s="254" t="str">
        <f>IF(VLOOKUP($D1807&amp;RIGHT($A1818,1),Players!$A$2:$D$132,3)&lt;&gt;0,VLOOKUP($D1807&amp;RIGHT($A1818,1),Players!$A$2:$D$132,3),"")</f>
        <v/>
      </c>
      <c r="H1818" s="254"/>
      <c r="I1818" s="254"/>
      <c r="J1818" s="210" t="str">
        <f>IF(VLOOKUP($D1807&amp;RIGHT($A1818,1),Players!$A$2:$D$132,3)&lt;&gt;0,"("&amp;VLOOKUP($D1807&amp;RIGHT($A1818,1),Players!$A$2:$D$132,4)&amp;")","")</f>
        <v/>
      </c>
    </row>
    <row r="1819" spans="1:10" ht="25.5" customHeight="1">
      <c r="A1819" s="50" t="str">
        <f>CONCATENATE($I1807,"6")</f>
        <v>E6</v>
      </c>
      <c r="B1819" s="255" t="str">
        <f>IF(VLOOKUP($A1819,Players!$A$2:$C$132,3)&lt;&gt;0,VLOOKUP($A1819,Players!$A$2:$C$132,3),"")</f>
        <v/>
      </c>
      <c r="C1819" s="255"/>
      <c r="D1819" s="255"/>
      <c r="E1819" s="255"/>
      <c r="F1819" s="255"/>
      <c r="G1819" s="254" t="str">
        <f>IF(VLOOKUP($D1807&amp;RIGHT($A1819,1),Players!$A$2:$D$132,3)&lt;&gt;0,VLOOKUP($D1807&amp;RIGHT($A1819,1),Players!$A$2:$D$132,3),"")</f>
        <v/>
      </c>
      <c r="H1819" s="254"/>
      <c r="I1819" s="254"/>
      <c r="J1819" s="210" t="str">
        <f>IF(VLOOKUP($D1807&amp;RIGHT($A1819,1),Players!$A$2:$D$132,3)&lt;&gt;0,"("&amp;VLOOKUP($D1807&amp;RIGHT($A1819,1),Players!$A$2:$D$132,4)&amp;")","")</f>
        <v/>
      </c>
    </row>
    <row r="1820" spans="1:10" ht="25.5" customHeight="1">
      <c r="A1820" s="50" t="str">
        <f>CONCATENATE($I1807,"7")</f>
        <v>E7</v>
      </c>
      <c r="B1820" s="255" t="str">
        <f>IF(VLOOKUP($A1820,Players!$A$2:$C$132,3)&lt;&gt;0,VLOOKUP($A1820,Players!$A$2:$C$132,3),"")</f>
        <v/>
      </c>
      <c r="C1820" s="255"/>
      <c r="D1820" s="255"/>
      <c r="E1820" s="255"/>
      <c r="F1820" s="255"/>
      <c r="G1820" s="254" t="str">
        <f>IF(VLOOKUP($D1807&amp;RIGHT($A1820,1),Players!$A$2:$D$132,3)&lt;&gt;0,VLOOKUP($D1807&amp;RIGHT($A1820,1),Players!$A$2:$D$132,3),"")</f>
        <v/>
      </c>
      <c r="H1820" s="254"/>
      <c r="I1820" s="254"/>
      <c r="J1820" s="210" t="str">
        <f>IF(VLOOKUP($D1807&amp;RIGHT($A1820,1),Players!$A$2:$D$132,3)&lt;&gt;0,"("&amp;VLOOKUP($D1807&amp;RIGHT($A1820,1),Players!$A$2:$D$132,4)&amp;")","")</f>
        <v/>
      </c>
    </row>
    <row r="1821" spans="1:10" ht="25.5" customHeight="1">
      <c r="A1821" s="50" t="str">
        <f>CONCATENATE($I1807,"8")</f>
        <v>E8</v>
      </c>
      <c r="B1821" s="255" t="str">
        <f>IF(VLOOKUP($A1821,Players!$A$2:$C$132,3)&lt;&gt;0,VLOOKUP($A1821,Players!$A$2:$C$132,3),"")</f>
        <v/>
      </c>
      <c r="C1821" s="255"/>
      <c r="D1821" s="255"/>
      <c r="E1821" s="255"/>
      <c r="F1821" s="255"/>
      <c r="G1821" s="254" t="str">
        <f>IF(VLOOKUP($D1807&amp;RIGHT($A1821,1),Players!$A$2:$D$132,3)&lt;&gt;0,VLOOKUP($D1807&amp;RIGHT($A1821,1),Players!$A$2:$D$132,3),"")</f>
        <v/>
      </c>
      <c r="H1821" s="254"/>
      <c r="I1821" s="254"/>
      <c r="J1821" s="210" t="str">
        <f>IF(VLOOKUP($D1807&amp;RIGHT($A1821,1),Players!$A$2:$D$132,3)&lt;&gt;0,"("&amp;VLOOKUP($D1807&amp;RIGHT($A1821,1),Players!$A$2:$D$132,4)&amp;")","")</f>
        <v/>
      </c>
    </row>
    <row r="1822" spans="1:10" ht="25.5" customHeight="1">
      <c r="A1822" s="50"/>
      <c r="B1822" s="26"/>
      <c r="C1822" s="26"/>
      <c r="D1822" s="26"/>
      <c r="E1822" s="26"/>
      <c r="F1822" s="27"/>
      <c r="G1822" s="43"/>
      <c r="H1822" s="43"/>
      <c r="I1822" s="43"/>
      <c r="J1822" s="43"/>
    </row>
    <row r="1823" spans="1:10">
      <c r="A1823" s="49" t="s">
        <v>1225</v>
      </c>
      <c r="B1823" s="46"/>
      <c r="C1823" s="46"/>
      <c r="D1823" s="46"/>
      <c r="E1823" s="46"/>
      <c r="F1823" s="46"/>
      <c r="G1823" s="43"/>
      <c r="H1823" s="43"/>
      <c r="I1823" s="43"/>
      <c r="J1823" s="43"/>
    </row>
    <row r="1824" spans="1:10">
      <c r="A1824" s="46" t="s">
        <v>1247</v>
      </c>
      <c r="B1824" s="46"/>
      <c r="C1824" s="46"/>
      <c r="D1824" s="46"/>
      <c r="E1824" s="46"/>
      <c r="F1824" s="46"/>
      <c r="G1824" s="43"/>
      <c r="H1824" s="43"/>
      <c r="I1824" s="43"/>
      <c r="J1824" s="43"/>
    </row>
    <row r="1825" spans="1:10">
      <c r="A1825" s="46" t="s">
        <v>1248</v>
      </c>
      <c r="B1825" s="46"/>
      <c r="C1825" s="46"/>
      <c r="D1825" s="46"/>
      <c r="E1825" s="46"/>
      <c r="F1825" s="46"/>
      <c r="G1825" s="43"/>
      <c r="H1825" s="43"/>
      <c r="I1825" s="43"/>
      <c r="J1825" s="43"/>
    </row>
    <row r="1826" spans="1:10" ht="13.5" thickBot="1">
      <c r="A1826" s="46"/>
      <c r="B1826" s="46"/>
      <c r="C1826" s="46"/>
      <c r="D1826" s="46"/>
      <c r="E1826" s="46"/>
      <c r="F1826" s="46"/>
      <c r="G1826" s="43"/>
      <c r="H1826" s="43"/>
      <c r="I1826" s="43"/>
      <c r="J1826" s="43"/>
    </row>
    <row r="1827" spans="1:10" ht="25.5" customHeight="1" thickBot="1">
      <c r="A1827" s="50"/>
      <c r="B1827" s="257"/>
      <c r="C1827" s="258"/>
      <c r="D1827" s="258"/>
      <c r="E1827" s="258"/>
      <c r="F1827" s="259"/>
      <c r="G1827" s="43"/>
      <c r="H1827" s="43"/>
      <c r="I1827" s="43"/>
      <c r="J1827" s="43"/>
    </row>
    <row r="1828" spans="1:10">
      <c r="A1828" s="43"/>
      <c r="B1828" s="43"/>
      <c r="C1828" s="43"/>
      <c r="D1828" s="43"/>
      <c r="E1828" s="43"/>
      <c r="F1828" s="43"/>
      <c r="G1828" s="43"/>
      <c r="H1828" s="43"/>
      <c r="I1828" s="43"/>
      <c r="J1828" s="43"/>
    </row>
    <row r="1829" spans="1:10">
      <c r="A1829" s="43"/>
      <c r="B1829" s="43"/>
      <c r="C1829" s="43"/>
      <c r="D1829" s="43"/>
      <c r="E1829" s="43"/>
      <c r="F1829" s="43"/>
      <c r="G1829" s="43"/>
      <c r="H1829" s="43"/>
      <c r="I1829" s="43"/>
      <c r="J1829" s="43"/>
    </row>
    <row r="1830" spans="1:10">
      <c r="A1830" s="43"/>
      <c r="B1830" s="43"/>
      <c r="C1830" s="43"/>
      <c r="D1830" s="43"/>
      <c r="E1830" s="43"/>
      <c r="F1830" s="43"/>
      <c r="G1830" s="43"/>
      <c r="H1830" s="43"/>
      <c r="I1830" s="43"/>
      <c r="J1830" s="43"/>
    </row>
    <row r="1831" spans="1:10">
      <c r="A1831" s="43"/>
      <c r="B1831" s="43"/>
      <c r="C1831" s="43"/>
      <c r="D1831" s="43"/>
      <c r="E1831" s="43"/>
      <c r="F1831" s="43"/>
      <c r="G1831" s="43"/>
      <c r="H1831" s="43"/>
      <c r="I1831" s="43"/>
      <c r="J1831" s="43"/>
    </row>
    <row r="1832" spans="1:10">
      <c r="A1832" s="43"/>
      <c r="B1832" s="43"/>
      <c r="C1832" s="43"/>
      <c r="D1832" s="43"/>
      <c r="E1832" s="43"/>
      <c r="F1832" s="43"/>
      <c r="G1832" s="43"/>
      <c r="H1832" s="43"/>
      <c r="I1832" s="43"/>
      <c r="J1832" s="43"/>
    </row>
    <row r="1833" spans="1:10" ht="25.5" customHeight="1">
      <c r="A1833" s="47"/>
      <c r="B1833" s="47"/>
      <c r="C1833" s="47"/>
      <c r="D1833" s="47"/>
      <c r="E1833" s="47"/>
      <c r="F1833" s="43"/>
      <c r="G1833" s="51"/>
      <c r="H1833" s="250" t="s">
        <v>1227</v>
      </c>
      <c r="I1833" s="251"/>
      <c r="J1833" s="43"/>
    </row>
    <row r="1834" spans="1:10">
      <c r="A1834" s="43" t="s">
        <v>1226</v>
      </c>
      <c r="B1834" s="43"/>
      <c r="C1834" s="43"/>
      <c r="D1834" s="43"/>
      <c r="E1834" s="43"/>
      <c r="F1834" s="43"/>
      <c r="G1834" s="43"/>
      <c r="H1834" s="43"/>
      <c r="I1834" s="43"/>
      <c r="J1834" s="43"/>
    </row>
    <row r="1835" spans="1:10">
      <c r="A1835" s="43"/>
      <c r="B1835" s="43"/>
      <c r="C1835" s="43"/>
      <c r="D1835" s="43"/>
      <c r="E1835" s="43"/>
      <c r="F1835" s="43"/>
      <c r="G1835" s="43"/>
      <c r="H1835" s="43"/>
      <c r="I1835" s="43"/>
      <c r="J1835" s="43"/>
    </row>
    <row r="1836" spans="1:10">
      <c r="A1836" s="43"/>
      <c r="B1836" s="43"/>
      <c r="C1836" s="43"/>
      <c r="D1836" s="43"/>
      <c r="E1836" s="256" t="str">
        <f>CONCATENATE("(",$D1807," vs ",$I1807,")")</f>
        <v>(B vs E)</v>
      </c>
      <c r="F1836" s="256"/>
      <c r="G1836" s="43"/>
      <c r="H1836" s="43"/>
      <c r="I1836" s="43"/>
      <c r="J1836" s="43"/>
    </row>
    <row r="1837" spans="1:10" ht="15.75">
      <c r="A1837" s="42" t="s">
        <v>1223</v>
      </c>
      <c r="B1837" s="43"/>
      <c r="C1837" s="43"/>
      <c r="D1837" s="43"/>
      <c r="E1837" s="43"/>
      <c r="F1837" s="43"/>
      <c r="G1837" s="43"/>
      <c r="H1837" s="43"/>
      <c r="I1837" s="43"/>
      <c r="J1837" s="96" t="s">
        <v>4273</v>
      </c>
    </row>
    <row r="1838" spans="1:10" ht="12.75" customHeight="1">
      <c r="A1838" s="42"/>
      <c r="B1838" s="43"/>
      <c r="C1838" s="43"/>
      <c r="D1838" s="43"/>
      <c r="E1838" s="43"/>
      <c r="F1838" s="43"/>
      <c r="G1838" s="43" t="str">
        <f ca="1">Team_Matches!$J$6</f>
        <v>[NCTTA Teams Template (v2.06).xlsx]</v>
      </c>
      <c r="H1838" s="43"/>
      <c r="I1838" s="43"/>
      <c r="J1838" s="160"/>
    </row>
    <row r="1839" spans="1:10" ht="12.75" customHeight="1">
      <c r="A1839" s="42"/>
      <c r="B1839" s="43"/>
      <c r="C1839" s="43"/>
      <c r="D1839" s="43"/>
      <c r="E1839" s="43"/>
      <c r="F1839" s="43"/>
      <c r="G1839" s="247" t="str">
        <f>Team_Matches!$J1384</f>
        <v/>
      </c>
      <c r="H1839" s="247"/>
      <c r="I1839" s="161" t="str">
        <f>Team_Matches!$M1384</f>
        <v/>
      </c>
      <c r="J1839" s="161"/>
    </row>
    <row r="1840" spans="1:10" ht="15.75">
      <c r="A1840" s="42"/>
      <c r="B1840" s="43"/>
      <c r="C1840" s="43"/>
      <c r="D1840" s="43"/>
      <c r="E1840" s="43"/>
      <c r="F1840" s="43"/>
      <c r="G1840" s="43"/>
      <c r="H1840" s="43"/>
      <c r="I1840" s="43"/>
      <c r="J1840" s="43"/>
    </row>
    <row r="1841" spans="1:10">
      <c r="A1841" s="43"/>
      <c r="B1841" s="43"/>
      <c r="C1841" s="9" t="s">
        <v>1228</v>
      </c>
      <c r="D1841" s="52" t="str">
        <f>Team_Matches!$B1386</f>
        <v>B</v>
      </c>
      <c r="E1841" s="43"/>
      <c r="F1841" s="97" t="str">
        <f>CONCATENATE($D1841,"-",$I1841)</f>
        <v>B-F</v>
      </c>
      <c r="G1841" s="43"/>
      <c r="H1841" s="9" t="s">
        <v>1228</v>
      </c>
      <c r="I1841" s="52" t="str">
        <f>Team_Matches!$K1386</f>
        <v>F</v>
      </c>
      <c r="J1841" s="43"/>
    </row>
    <row r="1842" spans="1:10" ht="25.5" customHeight="1">
      <c r="A1842" s="44"/>
      <c r="B1842" s="248" t="str">
        <f>IF(VLOOKUP($D1841,Draw!$A$4:$B$27,2)&lt;&gt;0,VLOOKUP($D1841,Draw!$A$4:$B$27,2),"")</f>
        <v/>
      </c>
      <c r="C1842" s="248"/>
      <c r="D1842" s="248"/>
      <c r="E1842" s="249"/>
      <c r="F1842" s="45"/>
      <c r="G1842" s="252" t="str">
        <f>IF(VLOOKUP($I1841,Draw!$A$4:$B$27,2)&lt;&gt;0,VLOOKUP($I1841,Draw!$A$4:$B$27,2),"")</f>
        <v/>
      </c>
      <c r="H1842" s="252"/>
      <c r="I1842" s="252"/>
      <c r="J1842" s="253"/>
    </row>
    <row r="1843" spans="1:10" ht="25.5" customHeight="1"/>
    <row r="1844" spans="1:10" ht="25.5" customHeight="1"/>
    <row r="1845" spans="1:10" ht="24" customHeight="1">
      <c r="A1845" s="48" t="s">
        <v>1246</v>
      </c>
      <c r="B1845" s="43"/>
      <c r="C1845" s="43"/>
      <c r="D1845" s="43"/>
      <c r="E1845" s="43"/>
      <c r="F1845" s="43"/>
      <c r="G1845" s="43"/>
      <c r="H1845" s="43"/>
      <c r="I1845" s="43"/>
      <c r="J1845" s="43"/>
    </row>
    <row r="1846" spans="1:10" ht="24" customHeight="1">
      <c r="A1846" s="48"/>
      <c r="B1846" s="43"/>
      <c r="C1846" s="43"/>
      <c r="D1846" s="43"/>
      <c r="E1846" s="43"/>
      <c r="F1846" s="43"/>
      <c r="G1846" s="43"/>
      <c r="H1846" s="43"/>
      <c r="I1846" s="43"/>
      <c r="J1846" s="43"/>
    </row>
    <row r="1847" spans="1:10">
      <c r="A1847" s="49" t="s">
        <v>1224</v>
      </c>
      <c r="B1847" s="46"/>
      <c r="C1847" s="46"/>
      <c r="D1847" s="46"/>
      <c r="E1847" s="46"/>
      <c r="F1847" s="46"/>
      <c r="G1847" s="260" t="s">
        <v>10336</v>
      </c>
      <c r="H1847" s="260"/>
      <c r="I1847" s="260"/>
      <c r="J1847" s="260"/>
    </row>
    <row r="1848" spans="1:10" ht="24" customHeight="1">
      <c r="A1848" s="50" t="str">
        <f>CONCATENATE($D1841,"1")</f>
        <v>B1</v>
      </c>
      <c r="B1848" s="255" t="str">
        <f>IF(VLOOKUP($A1848,Players!$A$2:$C$132,3)&lt;&gt;0,VLOOKUP($A1848,Players!$A$2:$C$132,3),"")</f>
        <v/>
      </c>
      <c r="C1848" s="255"/>
      <c r="D1848" s="255"/>
      <c r="E1848" s="255"/>
      <c r="F1848" s="255"/>
      <c r="G1848" s="254" t="str">
        <f>IF(VLOOKUP($I1841&amp;RIGHT($A1848,1),Players!$A$2:$D$132,3)&lt;&gt;0,VLOOKUP($I1841&amp;RIGHT($A1848,1),Players!$A$2:$D$132,3),"")</f>
        <v/>
      </c>
      <c r="H1848" s="254"/>
      <c r="I1848" s="254"/>
      <c r="J1848" s="210" t="str">
        <f>IF(VLOOKUP($I1841&amp;RIGHT($A1848,1),Players!$A$2:$D$132,3)&lt;&gt;0,"("&amp;VLOOKUP($I1841&amp;RIGHT($A1848,1),Players!$A$2:$D$132,4)&amp;")","")</f>
        <v/>
      </c>
    </row>
    <row r="1849" spans="1:10" ht="25.5" customHeight="1">
      <c r="A1849" s="50" t="str">
        <f>CONCATENATE($D1841,"2")</f>
        <v>B2</v>
      </c>
      <c r="B1849" s="255" t="str">
        <f>IF(VLOOKUP($A1849,Players!$A$2:$C$132,3)&lt;&gt;0,VLOOKUP($A1849,Players!$A$2:$C$132,3),"")</f>
        <v/>
      </c>
      <c r="C1849" s="255"/>
      <c r="D1849" s="255"/>
      <c r="E1849" s="255"/>
      <c r="F1849" s="255"/>
      <c r="G1849" s="254" t="str">
        <f>IF(VLOOKUP($I1841&amp;RIGHT($A1849,1),Players!$A$2:$D$132,3)&lt;&gt;0,VLOOKUP($I1841&amp;RIGHT($A1849,1),Players!$A$2:$D$132,3),"")</f>
        <v/>
      </c>
      <c r="H1849" s="254"/>
      <c r="I1849" s="254"/>
      <c r="J1849" s="210" t="str">
        <f>IF(VLOOKUP($I1841&amp;RIGHT($A1849,1),Players!$A$2:$D$132,3)&lt;&gt;0,"("&amp;VLOOKUP($I1841&amp;RIGHT($A1849,1),Players!$A$2:$D$132,4)&amp;")","")</f>
        <v/>
      </c>
    </row>
    <row r="1850" spans="1:10" ht="25.5" customHeight="1">
      <c r="A1850" s="50" t="str">
        <f>CONCATENATE($D1841,"3")</f>
        <v>B3</v>
      </c>
      <c r="B1850" s="255" t="str">
        <f>IF(VLOOKUP($A1850,Players!$A$2:$C$132,3)&lt;&gt;0,VLOOKUP($A1850,Players!$A$2:$C$132,3),"")</f>
        <v/>
      </c>
      <c r="C1850" s="255"/>
      <c r="D1850" s="255"/>
      <c r="E1850" s="255"/>
      <c r="F1850" s="255"/>
      <c r="G1850" s="254" t="str">
        <f>IF(VLOOKUP($I1841&amp;RIGHT($A1850,1),Players!$A$2:$D$132,3)&lt;&gt;0,VLOOKUP($I1841&amp;RIGHT($A1850,1),Players!$A$2:$D$132,3),"")</f>
        <v/>
      </c>
      <c r="H1850" s="254"/>
      <c r="I1850" s="254"/>
      <c r="J1850" s="210" t="str">
        <f>IF(VLOOKUP($I1841&amp;RIGHT($A1850,1),Players!$A$2:$D$132,3)&lt;&gt;0,"("&amp;VLOOKUP($I1841&amp;RIGHT($A1850,1),Players!$A$2:$D$132,4)&amp;")","")</f>
        <v/>
      </c>
    </row>
    <row r="1851" spans="1:10" ht="25.5" customHeight="1">
      <c r="A1851" s="50" t="str">
        <f>CONCATENATE($D1841,"4")</f>
        <v>B4</v>
      </c>
      <c r="B1851" s="255" t="str">
        <f>IF(VLOOKUP($A1851,Players!$A$2:$C$132,3)&lt;&gt;0,VLOOKUP($A1851,Players!$A$2:$C$132,3),"")</f>
        <v/>
      </c>
      <c r="C1851" s="255"/>
      <c r="D1851" s="255"/>
      <c r="E1851" s="255"/>
      <c r="F1851" s="255"/>
      <c r="G1851" s="254" t="str">
        <f>IF(VLOOKUP($I1841&amp;RIGHT($A1851,1),Players!$A$2:$D$132,3)&lt;&gt;0,VLOOKUP($I1841&amp;RIGHT($A1851,1),Players!$A$2:$D$132,3),"")</f>
        <v/>
      </c>
      <c r="H1851" s="254"/>
      <c r="I1851" s="254"/>
      <c r="J1851" s="210" t="str">
        <f>IF(VLOOKUP($I1841&amp;RIGHT($A1851,1),Players!$A$2:$D$132,3)&lt;&gt;0,"("&amp;VLOOKUP($I1841&amp;RIGHT($A1851,1),Players!$A$2:$D$132,4)&amp;")","")</f>
        <v/>
      </c>
    </row>
    <row r="1852" spans="1:10" ht="25.5" customHeight="1">
      <c r="A1852" s="50" t="str">
        <f>CONCATENATE($D1841,"5")</f>
        <v>B5</v>
      </c>
      <c r="B1852" s="255" t="str">
        <f>IF(VLOOKUP($A1852,Players!$A$2:$C$132,3)&lt;&gt;0,VLOOKUP($A1852,Players!$A$2:$C$132,3),"")</f>
        <v/>
      </c>
      <c r="C1852" s="255"/>
      <c r="D1852" s="255"/>
      <c r="E1852" s="255"/>
      <c r="F1852" s="255"/>
      <c r="G1852" s="254" t="str">
        <f>IF(VLOOKUP($I1841&amp;RIGHT($A1852,1),Players!$A$2:$D$132,3)&lt;&gt;0,VLOOKUP($I1841&amp;RIGHT($A1852,1),Players!$A$2:$D$132,3),"")</f>
        <v/>
      </c>
      <c r="H1852" s="254"/>
      <c r="I1852" s="254"/>
      <c r="J1852" s="210" t="str">
        <f>IF(VLOOKUP($I1841&amp;RIGHT($A1852,1),Players!$A$2:$D$132,3)&lt;&gt;0,"("&amp;VLOOKUP($I1841&amp;RIGHT($A1852,1),Players!$A$2:$D$132,4)&amp;")","")</f>
        <v/>
      </c>
    </row>
    <row r="1853" spans="1:10" ht="25.5" customHeight="1">
      <c r="A1853" s="50" t="str">
        <f>CONCATENATE($D1841,"6")</f>
        <v>B6</v>
      </c>
      <c r="B1853" s="255" t="str">
        <f>IF(VLOOKUP($A1853,Players!$A$2:$C$132,3)&lt;&gt;0,VLOOKUP($A1853,Players!$A$2:$C$132,3),"")</f>
        <v/>
      </c>
      <c r="C1853" s="255"/>
      <c r="D1853" s="255"/>
      <c r="E1853" s="255"/>
      <c r="F1853" s="255"/>
      <c r="G1853" s="254" t="str">
        <f>IF(VLOOKUP($I1841&amp;RIGHT($A1853,1),Players!$A$2:$D$132,3)&lt;&gt;0,VLOOKUP($I1841&amp;RIGHT($A1853,1),Players!$A$2:$D$132,3),"")</f>
        <v/>
      </c>
      <c r="H1853" s="254"/>
      <c r="I1853" s="254"/>
      <c r="J1853" s="210" t="str">
        <f>IF(VLOOKUP($I1841&amp;RIGHT($A1853,1),Players!$A$2:$D$132,3)&lt;&gt;0,"("&amp;VLOOKUP($I1841&amp;RIGHT($A1853,1),Players!$A$2:$D$132,4)&amp;")","")</f>
        <v/>
      </c>
    </row>
    <row r="1854" spans="1:10" ht="25.5" customHeight="1">
      <c r="A1854" s="50" t="str">
        <f>CONCATENATE($D1841,"7")</f>
        <v>B7</v>
      </c>
      <c r="B1854" s="255" t="str">
        <f>IF(VLOOKUP($A1854,Players!$A$2:$C$132,3)&lt;&gt;0,VLOOKUP($A1854,Players!$A$2:$C$132,3),"")</f>
        <v/>
      </c>
      <c r="C1854" s="255"/>
      <c r="D1854" s="255"/>
      <c r="E1854" s="255"/>
      <c r="F1854" s="255"/>
      <c r="G1854" s="254" t="str">
        <f>IF(VLOOKUP($I1841&amp;RIGHT($A1854,1),Players!$A$2:$D$132,3)&lt;&gt;0,VLOOKUP($I1841&amp;RIGHT($A1854,1),Players!$A$2:$D$132,3),"")</f>
        <v/>
      </c>
      <c r="H1854" s="254"/>
      <c r="I1854" s="254"/>
      <c r="J1854" s="210" t="str">
        <f>IF(VLOOKUP($I1841&amp;RIGHT($A1854,1),Players!$A$2:$D$132,3)&lt;&gt;0,"("&amp;VLOOKUP($I1841&amp;RIGHT($A1854,1),Players!$A$2:$D$132,4)&amp;")","")</f>
        <v/>
      </c>
    </row>
    <row r="1855" spans="1:10" ht="25.5" customHeight="1">
      <c r="A1855" s="50" t="str">
        <f>CONCATENATE($D1841,"8")</f>
        <v>B8</v>
      </c>
      <c r="B1855" s="255" t="str">
        <f>IF(VLOOKUP($A1855,Players!$A$2:$C$132,3)&lt;&gt;0,VLOOKUP($A1855,Players!$A$2:$C$132,3),"")</f>
        <v/>
      </c>
      <c r="C1855" s="255"/>
      <c r="D1855" s="255"/>
      <c r="E1855" s="255"/>
      <c r="F1855" s="255"/>
      <c r="G1855" s="254" t="str">
        <f>IF(VLOOKUP($I1841&amp;RIGHT($A1855,1),Players!$A$2:$D$132,3)&lt;&gt;0,VLOOKUP($I1841&amp;RIGHT($A1855,1),Players!$A$2:$D$132,3),"")</f>
        <v/>
      </c>
      <c r="H1855" s="254"/>
      <c r="I1855" s="254"/>
      <c r="J1855" s="210" t="str">
        <f>IF(VLOOKUP($I1841&amp;RIGHT($A1855,1),Players!$A$2:$D$132,3)&lt;&gt;0,"("&amp;VLOOKUP($I1841&amp;RIGHT($A1855,1),Players!$A$2:$D$132,4)&amp;")","")</f>
        <v/>
      </c>
    </row>
    <row r="1856" spans="1:10" ht="25.5" customHeight="1">
      <c r="A1856" s="50"/>
      <c r="B1856" s="26"/>
      <c r="C1856" s="26"/>
      <c r="D1856" s="26"/>
      <c r="E1856" s="26"/>
      <c r="F1856" s="27"/>
      <c r="G1856" s="43"/>
      <c r="H1856" s="43"/>
      <c r="I1856" s="43"/>
      <c r="J1856" s="43"/>
    </row>
    <row r="1857" spans="1:10">
      <c r="A1857" s="49" t="s">
        <v>1225</v>
      </c>
      <c r="B1857" s="46"/>
      <c r="C1857" s="46"/>
      <c r="D1857" s="46"/>
      <c r="E1857" s="46"/>
      <c r="F1857" s="46"/>
      <c r="G1857" s="43"/>
      <c r="H1857" s="43"/>
      <c r="I1857" s="43"/>
      <c r="J1857" s="43"/>
    </row>
    <row r="1858" spans="1:10">
      <c r="A1858" s="46" t="s">
        <v>1247</v>
      </c>
      <c r="B1858" s="46"/>
      <c r="C1858" s="46"/>
      <c r="D1858" s="46"/>
      <c r="E1858" s="46"/>
      <c r="F1858" s="46"/>
      <c r="G1858" s="43"/>
      <c r="H1858" s="43"/>
      <c r="I1858" s="43"/>
      <c r="J1858" s="43"/>
    </row>
    <row r="1859" spans="1:10">
      <c r="A1859" s="46" t="s">
        <v>1248</v>
      </c>
      <c r="B1859" s="46"/>
      <c r="C1859" s="46"/>
      <c r="D1859" s="46"/>
      <c r="E1859" s="46"/>
      <c r="F1859" s="46"/>
      <c r="G1859" s="43"/>
      <c r="H1859" s="43"/>
      <c r="I1859" s="43"/>
      <c r="J1859" s="43"/>
    </row>
    <row r="1860" spans="1:10" ht="13.5" thickBot="1">
      <c r="A1860" s="46"/>
      <c r="B1860" s="46"/>
      <c r="C1860" s="46"/>
      <c r="D1860" s="46"/>
      <c r="E1860" s="46"/>
      <c r="F1860" s="46"/>
      <c r="G1860" s="43"/>
      <c r="H1860" s="43"/>
      <c r="I1860" s="43"/>
      <c r="J1860" s="43"/>
    </row>
    <row r="1861" spans="1:10" ht="25.5" customHeight="1" thickBot="1">
      <c r="A1861" s="50"/>
      <c r="B1861" s="257"/>
      <c r="C1861" s="258"/>
      <c r="D1861" s="258"/>
      <c r="E1861" s="258"/>
      <c r="F1861" s="259"/>
      <c r="G1861" s="43"/>
      <c r="H1861" s="43"/>
      <c r="I1861" s="43"/>
      <c r="J1861" s="43"/>
    </row>
    <row r="1862" spans="1:10">
      <c r="A1862" s="43"/>
      <c r="B1862" s="43"/>
      <c r="C1862" s="43"/>
      <c r="D1862" s="43"/>
      <c r="E1862" s="43"/>
      <c r="F1862" s="43"/>
      <c r="G1862" s="43"/>
      <c r="H1862" s="43"/>
      <c r="I1862" s="43"/>
      <c r="J1862" s="43"/>
    </row>
    <row r="1863" spans="1:10">
      <c r="A1863" s="43"/>
      <c r="B1863" s="43"/>
      <c r="C1863" s="43"/>
      <c r="D1863" s="43"/>
      <c r="E1863" s="43"/>
      <c r="F1863" s="43"/>
      <c r="G1863" s="43"/>
      <c r="H1863" s="43"/>
      <c r="I1863" s="43"/>
      <c r="J1863" s="43"/>
    </row>
    <row r="1864" spans="1:10">
      <c r="A1864" s="43"/>
      <c r="B1864" s="43"/>
      <c r="C1864" s="43"/>
      <c r="D1864" s="43"/>
      <c r="E1864" s="43"/>
      <c r="F1864" s="43"/>
      <c r="G1864" s="43"/>
      <c r="H1864" s="43"/>
      <c r="I1864" s="43"/>
      <c r="J1864" s="43"/>
    </row>
    <row r="1865" spans="1:10">
      <c r="A1865" s="43"/>
      <c r="B1865" s="43"/>
      <c r="C1865" s="43"/>
      <c r="D1865" s="43"/>
      <c r="E1865" s="43"/>
      <c r="F1865" s="43"/>
      <c r="G1865" s="43"/>
      <c r="H1865" s="43"/>
      <c r="I1865" s="43"/>
      <c r="J1865" s="43"/>
    </row>
    <row r="1866" spans="1:10">
      <c r="A1866" s="43"/>
      <c r="B1866" s="43"/>
      <c r="C1866" s="43"/>
      <c r="D1866" s="43"/>
      <c r="E1866" s="43"/>
      <c r="F1866" s="43"/>
      <c r="G1866" s="43"/>
      <c r="H1866" s="43"/>
      <c r="I1866" s="43"/>
      <c r="J1866" s="43"/>
    </row>
    <row r="1867" spans="1:10" ht="25.5" customHeight="1">
      <c r="A1867" s="47"/>
      <c r="B1867" s="47"/>
      <c r="C1867" s="47"/>
      <c r="D1867" s="47"/>
      <c r="E1867" s="47"/>
      <c r="F1867" s="43"/>
      <c r="G1867" s="51"/>
      <c r="H1867" s="250" t="s">
        <v>1227</v>
      </c>
      <c r="I1867" s="251"/>
      <c r="J1867" s="43"/>
    </row>
    <row r="1868" spans="1:10">
      <c r="A1868" s="43" t="s">
        <v>1226</v>
      </c>
      <c r="B1868" s="43"/>
      <c r="C1868" s="43"/>
      <c r="D1868" s="43"/>
      <c r="E1868" s="43"/>
      <c r="F1868" s="43"/>
      <c r="G1868" s="43"/>
      <c r="H1868" s="43"/>
      <c r="I1868" s="43"/>
      <c r="J1868" s="43"/>
    </row>
    <row r="1869" spans="1:10">
      <c r="A1869" s="43"/>
      <c r="B1869" s="43"/>
      <c r="C1869" s="43"/>
      <c r="D1869" s="43"/>
      <c r="E1869" s="43"/>
      <c r="F1869" s="43"/>
      <c r="G1869" s="43"/>
      <c r="H1869" s="43"/>
      <c r="I1869" s="43"/>
      <c r="J1869" s="43"/>
    </row>
    <row r="1870" spans="1:10">
      <c r="A1870" s="43"/>
      <c r="B1870" s="43"/>
      <c r="C1870" s="43"/>
      <c r="D1870" s="43"/>
      <c r="E1870" s="256" t="str">
        <f>CONCATENATE("(",$D1841," vs ",$I1841,")")</f>
        <v>(B vs F)</v>
      </c>
      <c r="F1870" s="256"/>
      <c r="G1870" s="43"/>
      <c r="H1870" s="43"/>
      <c r="I1870" s="43"/>
      <c r="J1870" s="43"/>
    </row>
    <row r="1871" spans="1:10" ht="15.75">
      <c r="A1871" s="42" t="s">
        <v>1223</v>
      </c>
      <c r="B1871" s="43"/>
      <c r="C1871" s="43"/>
      <c r="D1871" s="43"/>
      <c r="E1871" s="43"/>
      <c r="F1871" s="43"/>
      <c r="G1871" s="43"/>
      <c r="H1871" s="43"/>
      <c r="I1871" s="43"/>
      <c r="J1871" s="96" t="s">
        <v>4274</v>
      </c>
    </row>
    <row r="1872" spans="1:10" ht="12.75" customHeight="1">
      <c r="A1872" s="42"/>
      <c r="B1872" s="43"/>
      <c r="C1872" s="43"/>
      <c r="D1872" s="43"/>
      <c r="E1872" s="43"/>
      <c r="F1872" s="43"/>
      <c r="G1872" s="43" t="str">
        <f ca="1">Team_Matches!$J$6</f>
        <v>[NCTTA Teams Template (v2.06).xlsx]</v>
      </c>
      <c r="H1872" s="43"/>
      <c r="I1872" s="43"/>
      <c r="J1872" s="160"/>
    </row>
    <row r="1873" spans="1:10" ht="12.75" customHeight="1">
      <c r="A1873" s="42"/>
      <c r="B1873" s="43"/>
      <c r="C1873" s="43"/>
      <c r="D1873" s="43"/>
      <c r="E1873" s="43"/>
      <c r="F1873" s="43"/>
      <c r="G1873" s="247" t="str">
        <f>Team_Matches!$J1384</f>
        <v/>
      </c>
      <c r="H1873" s="247"/>
      <c r="I1873" s="161" t="str">
        <f>Team_Matches!$M1384</f>
        <v/>
      </c>
      <c r="J1873" s="161"/>
    </row>
    <row r="1874" spans="1:10" ht="15.75">
      <c r="A1874" s="42"/>
      <c r="B1874" s="43"/>
      <c r="C1874" s="43"/>
      <c r="D1874" s="43"/>
      <c r="E1874" s="43"/>
      <c r="F1874" s="43"/>
      <c r="G1874" s="43"/>
      <c r="H1874" s="43"/>
      <c r="I1874" s="43"/>
      <c r="J1874" s="43"/>
    </row>
    <row r="1875" spans="1:10">
      <c r="A1875" s="43"/>
      <c r="B1875" s="43"/>
      <c r="C1875" s="9" t="s">
        <v>1228</v>
      </c>
      <c r="D1875" s="52" t="str">
        <f>Team_Matches!$B1386</f>
        <v>B</v>
      </c>
      <c r="E1875" s="43"/>
      <c r="F1875" s="97" t="str">
        <f>CONCATENATE($D1875,"-",$I1875)</f>
        <v>B-F</v>
      </c>
      <c r="G1875" s="43"/>
      <c r="H1875" s="9" t="s">
        <v>1228</v>
      </c>
      <c r="I1875" s="52" t="str">
        <f>Team_Matches!$K1386</f>
        <v>F</v>
      </c>
      <c r="J1875" s="43"/>
    </row>
    <row r="1876" spans="1:10" ht="25.5" customHeight="1">
      <c r="A1876" s="44"/>
      <c r="B1876" s="252" t="str">
        <f>IF(VLOOKUP($D1875,Draw!$A$4:$B$27,2)&lt;&gt;0,VLOOKUP($D1875,Draw!$A$4:$B$27,2),"")</f>
        <v/>
      </c>
      <c r="C1876" s="252"/>
      <c r="D1876" s="252"/>
      <c r="E1876" s="253"/>
      <c r="F1876" s="45"/>
      <c r="G1876" s="248" t="str">
        <f>IF(VLOOKUP($I1875,Draw!$A$4:$B$27,2)&lt;&gt;0,VLOOKUP($I1875,Draw!$A$4:$B$27,2),"")</f>
        <v/>
      </c>
      <c r="H1876" s="248"/>
      <c r="I1876" s="248"/>
      <c r="J1876" s="249"/>
    </row>
    <row r="1877" spans="1:10" ht="25.5" customHeight="1"/>
    <row r="1878" spans="1:10" ht="25.5" customHeight="1"/>
    <row r="1879" spans="1:10" ht="24" customHeight="1">
      <c r="A1879" s="48" t="s">
        <v>1246</v>
      </c>
      <c r="B1879" s="43"/>
      <c r="C1879" s="43"/>
      <c r="D1879" s="43"/>
      <c r="E1879" s="43"/>
      <c r="F1879" s="43"/>
      <c r="G1879" s="43"/>
      <c r="H1879" s="43"/>
      <c r="I1879" s="43"/>
      <c r="J1879" s="43"/>
    </row>
    <row r="1880" spans="1:10" ht="24" customHeight="1">
      <c r="A1880" s="48"/>
      <c r="B1880" s="43"/>
      <c r="C1880" s="43"/>
      <c r="D1880" s="43"/>
      <c r="E1880" s="43"/>
      <c r="F1880" s="43"/>
      <c r="G1880" s="43"/>
      <c r="H1880" s="43"/>
      <c r="I1880" s="43"/>
      <c r="J1880" s="43"/>
    </row>
    <row r="1881" spans="1:10">
      <c r="A1881" s="49" t="s">
        <v>1224</v>
      </c>
      <c r="B1881" s="46"/>
      <c r="C1881" s="46"/>
      <c r="D1881" s="46"/>
      <c r="E1881" s="46"/>
      <c r="F1881" s="46"/>
      <c r="G1881" s="260" t="s">
        <v>10336</v>
      </c>
      <c r="H1881" s="260"/>
      <c r="I1881" s="260"/>
      <c r="J1881" s="260"/>
    </row>
    <row r="1882" spans="1:10" ht="24" customHeight="1">
      <c r="A1882" s="50" t="str">
        <f>CONCATENATE($I1875,"1")</f>
        <v>F1</v>
      </c>
      <c r="B1882" s="255" t="str">
        <f>IF(VLOOKUP($A1882,Players!$A$2:$C$132,3)&lt;&gt;0,VLOOKUP($A1882,Players!$A$2:$C$132,3),"")</f>
        <v/>
      </c>
      <c r="C1882" s="255"/>
      <c r="D1882" s="255"/>
      <c r="E1882" s="255"/>
      <c r="F1882" s="255"/>
      <c r="G1882" s="254" t="str">
        <f>IF(VLOOKUP($D1875&amp;RIGHT($A1882,1),Players!$A$2:$D$132,3)&lt;&gt;0,VLOOKUP($D1875&amp;RIGHT($A1882,1),Players!$A$2:$D$132,3),"")</f>
        <v/>
      </c>
      <c r="H1882" s="254"/>
      <c r="I1882" s="254"/>
      <c r="J1882" s="210" t="str">
        <f>IF(VLOOKUP($D1875&amp;RIGHT($A1882,1),Players!$A$2:$D$132,3)&lt;&gt;0,"("&amp;VLOOKUP($D1875&amp;RIGHT($A1882,1),Players!$A$2:$D$132,4)&amp;")","")</f>
        <v/>
      </c>
    </row>
    <row r="1883" spans="1:10" ht="25.5" customHeight="1">
      <c r="A1883" s="50" t="str">
        <f>CONCATENATE($I1875,"2")</f>
        <v>F2</v>
      </c>
      <c r="B1883" s="255" t="str">
        <f>IF(VLOOKUP($A1883,Players!$A$2:$C$132,3)&lt;&gt;0,VLOOKUP($A1883,Players!$A$2:$C$132,3),"")</f>
        <v/>
      </c>
      <c r="C1883" s="255"/>
      <c r="D1883" s="255"/>
      <c r="E1883" s="255"/>
      <c r="F1883" s="255"/>
      <c r="G1883" s="254" t="str">
        <f>IF(VLOOKUP($D1875&amp;RIGHT($A1883,1),Players!$A$2:$D$132,3)&lt;&gt;0,VLOOKUP($D1875&amp;RIGHT($A1883,1),Players!$A$2:$D$132,3),"")</f>
        <v/>
      </c>
      <c r="H1883" s="254"/>
      <c r="I1883" s="254"/>
      <c r="J1883" s="210" t="str">
        <f>IF(VLOOKUP($D1875&amp;RIGHT($A1883,1),Players!$A$2:$D$132,3)&lt;&gt;0,"("&amp;VLOOKUP($D1875&amp;RIGHT($A1883,1),Players!$A$2:$D$132,4)&amp;")","")</f>
        <v/>
      </c>
    </row>
    <row r="1884" spans="1:10" ht="25.5" customHeight="1">
      <c r="A1884" s="50" t="str">
        <f>CONCATENATE($I1875,"3")</f>
        <v>F3</v>
      </c>
      <c r="B1884" s="255" t="str">
        <f>IF(VLOOKUP($A1884,Players!$A$2:$C$132,3)&lt;&gt;0,VLOOKUP($A1884,Players!$A$2:$C$132,3),"")</f>
        <v/>
      </c>
      <c r="C1884" s="255"/>
      <c r="D1884" s="255"/>
      <c r="E1884" s="255"/>
      <c r="F1884" s="255"/>
      <c r="G1884" s="254" t="str">
        <f>IF(VLOOKUP($D1875&amp;RIGHT($A1884,1),Players!$A$2:$D$132,3)&lt;&gt;0,VLOOKUP($D1875&amp;RIGHT($A1884,1),Players!$A$2:$D$132,3),"")</f>
        <v/>
      </c>
      <c r="H1884" s="254"/>
      <c r="I1884" s="254"/>
      <c r="J1884" s="210" t="str">
        <f>IF(VLOOKUP($D1875&amp;RIGHT($A1884,1),Players!$A$2:$D$132,3)&lt;&gt;0,"("&amp;VLOOKUP($D1875&amp;RIGHT($A1884,1),Players!$A$2:$D$132,4)&amp;")","")</f>
        <v/>
      </c>
    </row>
    <row r="1885" spans="1:10" ht="25.5" customHeight="1">
      <c r="A1885" s="50" t="str">
        <f>CONCATENATE($I1875,"4")</f>
        <v>F4</v>
      </c>
      <c r="B1885" s="255" t="str">
        <f>IF(VLOOKUP($A1885,Players!$A$2:$C$132,3)&lt;&gt;0,VLOOKUP($A1885,Players!$A$2:$C$132,3),"")</f>
        <v/>
      </c>
      <c r="C1885" s="255"/>
      <c r="D1885" s="255"/>
      <c r="E1885" s="255"/>
      <c r="F1885" s="255"/>
      <c r="G1885" s="254" t="str">
        <f>IF(VLOOKUP($D1875&amp;RIGHT($A1885,1),Players!$A$2:$D$132,3)&lt;&gt;0,VLOOKUP($D1875&amp;RIGHT($A1885,1),Players!$A$2:$D$132,3),"")</f>
        <v/>
      </c>
      <c r="H1885" s="254"/>
      <c r="I1885" s="254"/>
      <c r="J1885" s="210" t="str">
        <f>IF(VLOOKUP($D1875&amp;RIGHT($A1885,1),Players!$A$2:$D$132,3)&lt;&gt;0,"("&amp;VLOOKUP($D1875&amp;RIGHT($A1885,1),Players!$A$2:$D$132,4)&amp;")","")</f>
        <v/>
      </c>
    </row>
    <row r="1886" spans="1:10" ht="25.5" customHeight="1">
      <c r="A1886" s="50" t="str">
        <f>CONCATENATE($I1875,"5")</f>
        <v>F5</v>
      </c>
      <c r="B1886" s="255" t="str">
        <f>IF(VLOOKUP($A1886,Players!$A$2:$C$132,3)&lt;&gt;0,VLOOKUP($A1886,Players!$A$2:$C$132,3),"")</f>
        <v/>
      </c>
      <c r="C1886" s="255"/>
      <c r="D1886" s="255"/>
      <c r="E1886" s="255"/>
      <c r="F1886" s="255"/>
      <c r="G1886" s="254" t="str">
        <f>IF(VLOOKUP($D1875&amp;RIGHT($A1886,1),Players!$A$2:$D$132,3)&lt;&gt;0,VLOOKUP($D1875&amp;RIGHT($A1886,1),Players!$A$2:$D$132,3),"")</f>
        <v/>
      </c>
      <c r="H1886" s="254"/>
      <c r="I1886" s="254"/>
      <c r="J1886" s="210" t="str">
        <f>IF(VLOOKUP($D1875&amp;RIGHT($A1886,1),Players!$A$2:$D$132,3)&lt;&gt;0,"("&amp;VLOOKUP($D1875&amp;RIGHT($A1886,1),Players!$A$2:$D$132,4)&amp;")","")</f>
        <v/>
      </c>
    </row>
    <row r="1887" spans="1:10" ht="25.5" customHeight="1">
      <c r="A1887" s="50" t="str">
        <f>CONCATENATE($I1875,"6")</f>
        <v>F6</v>
      </c>
      <c r="B1887" s="255" t="str">
        <f>IF(VLOOKUP($A1887,Players!$A$2:$C$132,3)&lt;&gt;0,VLOOKUP($A1887,Players!$A$2:$C$132,3),"")</f>
        <v/>
      </c>
      <c r="C1887" s="255"/>
      <c r="D1887" s="255"/>
      <c r="E1887" s="255"/>
      <c r="F1887" s="255"/>
      <c r="G1887" s="254" t="str">
        <f>IF(VLOOKUP($D1875&amp;RIGHT($A1887,1),Players!$A$2:$D$132,3)&lt;&gt;0,VLOOKUP($D1875&amp;RIGHT($A1887,1),Players!$A$2:$D$132,3),"")</f>
        <v/>
      </c>
      <c r="H1887" s="254"/>
      <c r="I1887" s="254"/>
      <c r="J1887" s="210" t="str">
        <f>IF(VLOOKUP($D1875&amp;RIGHT($A1887,1),Players!$A$2:$D$132,3)&lt;&gt;0,"("&amp;VLOOKUP($D1875&amp;RIGHT($A1887,1),Players!$A$2:$D$132,4)&amp;")","")</f>
        <v/>
      </c>
    </row>
    <row r="1888" spans="1:10" ht="25.5" customHeight="1">
      <c r="A1888" s="50" t="str">
        <f>CONCATENATE($I1875,"7")</f>
        <v>F7</v>
      </c>
      <c r="B1888" s="255" t="str">
        <f>IF(VLOOKUP($A1888,Players!$A$2:$C$132,3)&lt;&gt;0,VLOOKUP($A1888,Players!$A$2:$C$132,3),"")</f>
        <v/>
      </c>
      <c r="C1888" s="255"/>
      <c r="D1888" s="255"/>
      <c r="E1888" s="255"/>
      <c r="F1888" s="255"/>
      <c r="G1888" s="254" t="str">
        <f>IF(VLOOKUP($D1875&amp;RIGHT($A1888,1),Players!$A$2:$D$132,3)&lt;&gt;0,VLOOKUP($D1875&amp;RIGHT($A1888,1),Players!$A$2:$D$132,3),"")</f>
        <v/>
      </c>
      <c r="H1888" s="254"/>
      <c r="I1888" s="254"/>
      <c r="J1888" s="210" t="str">
        <f>IF(VLOOKUP($D1875&amp;RIGHT($A1888,1),Players!$A$2:$D$132,3)&lt;&gt;0,"("&amp;VLOOKUP($D1875&amp;RIGHT($A1888,1),Players!$A$2:$D$132,4)&amp;")","")</f>
        <v/>
      </c>
    </row>
    <row r="1889" spans="1:10" ht="25.5" customHeight="1">
      <c r="A1889" s="50" t="str">
        <f>CONCATENATE($I1875,"8")</f>
        <v>F8</v>
      </c>
      <c r="B1889" s="255" t="str">
        <f>IF(VLOOKUP($A1889,Players!$A$2:$C$132,3)&lt;&gt;0,VLOOKUP($A1889,Players!$A$2:$C$132,3),"")</f>
        <v/>
      </c>
      <c r="C1889" s="255"/>
      <c r="D1889" s="255"/>
      <c r="E1889" s="255"/>
      <c r="F1889" s="255"/>
      <c r="G1889" s="254" t="str">
        <f>IF(VLOOKUP($D1875&amp;RIGHT($A1889,1),Players!$A$2:$D$132,3)&lt;&gt;0,VLOOKUP($D1875&amp;RIGHT($A1889,1),Players!$A$2:$D$132,3),"")</f>
        <v/>
      </c>
      <c r="H1889" s="254"/>
      <c r="I1889" s="254"/>
      <c r="J1889" s="210" t="str">
        <f>IF(VLOOKUP($D1875&amp;RIGHT($A1889,1),Players!$A$2:$D$132,3)&lt;&gt;0,"("&amp;VLOOKUP($D1875&amp;RIGHT($A1889,1),Players!$A$2:$D$132,4)&amp;")","")</f>
        <v/>
      </c>
    </row>
    <row r="1890" spans="1:10" ht="25.5" customHeight="1">
      <c r="A1890" s="50"/>
      <c r="B1890" s="26"/>
      <c r="C1890" s="26"/>
      <c r="D1890" s="26"/>
      <c r="E1890" s="26"/>
      <c r="F1890" s="27"/>
      <c r="G1890" s="43"/>
      <c r="H1890" s="43"/>
      <c r="I1890" s="43"/>
      <c r="J1890" s="43"/>
    </row>
    <row r="1891" spans="1:10">
      <c r="A1891" s="49" t="s">
        <v>1225</v>
      </c>
      <c r="B1891" s="46"/>
      <c r="C1891" s="46"/>
      <c r="D1891" s="46"/>
      <c r="E1891" s="46"/>
      <c r="F1891" s="46"/>
      <c r="G1891" s="43"/>
      <c r="H1891" s="43"/>
      <c r="I1891" s="43"/>
      <c r="J1891" s="43"/>
    </row>
    <row r="1892" spans="1:10">
      <c r="A1892" s="46" t="s">
        <v>1247</v>
      </c>
      <c r="B1892" s="46"/>
      <c r="C1892" s="46"/>
      <c r="D1892" s="46"/>
      <c r="E1892" s="46"/>
      <c r="F1892" s="46"/>
      <c r="G1892" s="43"/>
      <c r="H1892" s="43"/>
      <c r="I1892" s="43"/>
      <c r="J1892" s="43"/>
    </row>
    <row r="1893" spans="1:10">
      <c r="A1893" s="46" t="s">
        <v>1248</v>
      </c>
      <c r="B1893" s="46"/>
      <c r="C1893" s="46"/>
      <c r="D1893" s="46"/>
      <c r="E1893" s="46"/>
      <c r="F1893" s="46"/>
      <c r="G1893" s="43"/>
      <c r="H1893" s="43"/>
      <c r="I1893" s="43"/>
      <c r="J1893" s="43"/>
    </row>
    <row r="1894" spans="1:10" ht="13.5" thickBot="1">
      <c r="A1894" s="46"/>
      <c r="B1894" s="46"/>
      <c r="C1894" s="46"/>
      <c r="D1894" s="46"/>
      <c r="E1894" s="46"/>
      <c r="F1894" s="46"/>
      <c r="G1894" s="43"/>
      <c r="H1894" s="43"/>
      <c r="I1894" s="43"/>
      <c r="J1894" s="43"/>
    </row>
    <row r="1895" spans="1:10" ht="25.5" customHeight="1" thickBot="1">
      <c r="A1895" s="50"/>
      <c r="B1895" s="257"/>
      <c r="C1895" s="258"/>
      <c r="D1895" s="258"/>
      <c r="E1895" s="258"/>
      <c r="F1895" s="259"/>
      <c r="G1895" s="43"/>
      <c r="H1895" s="43"/>
      <c r="I1895" s="43"/>
      <c r="J1895" s="43"/>
    </row>
    <row r="1896" spans="1:10">
      <c r="A1896" s="43"/>
      <c r="B1896" s="43"/>
      <c r="C1896" s="43"/>
      <c r="D1896" s="43"/>
      <c r="E1896" s="43"/>
      <c r="F1896" s="43"/>
      <c r="G1896" s="43"/>
      <c r="H1896" s="43"/>
      <c r="I1896" s="43"/>
      <c r="J1896" s="43"/>
    </row>
    <row r="1897" spans="1:10">
      <c r="A1897" s="43"/>
      <c r="B1897" s="43"/>
      <c r="C1897" s="43"/>
      <c r="D1897" s="43"/>
      <c r="E1897" s="43"/>
      <c r="F1897" s="43"/>
      <c r="G1897" s="43"/>
      <c r="H1897" s="43"/>
      <c r="I1897" s="43"/>
      <c r="J1897" s="43"/>
    </row>
    <row r="1898" spans="1:10">
      <c r="A1898" s="43"/>
      <c r="B1898" s="43"/>
      <c r="C1898" s="43"/>
      <c r="D1898" s="43"/>
      <c r="E1898" s="43"/>
      <c r="F1898" s="43"/>
      <c r="G1898" s="43"/>
      <c r="H1898" s="43"/>
      <c r="I1898" s="43"/>
      <c r="J1898" s="43"/>
    </row>
    <row r="1899" spans="1:10">
      <c r="A1899" s="43"/>
      <c r="B1899" s="43"/>
      <c r="C1899" s="43"/>
      <c r="D1899" s="43"/>
      <c r="E1899" s="43"/>
      <c r="F1899" s="43"/>
      <c r="G1899" s="43"/>
      <c r="H1899" s="43"/>
      <c r="I1899" s="43"/>
      <c r="J1899" s="43"/>
    </row>
    <row r="1900" spans="1:10">
      <c r="A1900" s="43"/>
      <c r="B1900" s="43"/>
      <c r="C1900" s="43"/>
      <c r="D1900" s="43"/>
      <c r="E1900" s="43"/>
      <c r="F1900" s="43"/>
      <c r="G1900" s="43"/>
      <c r="H1900" s="43"/>
      <c r="I1900" s="43"/>
      <c r="J1900" s="43"/>
    </row>
    <row r="1901" spans="1:10" ht="25.5" customHeight="1">
      <c r="A1901" s="47"/>
      <c r="B1901" s="47"/>
      <c r="C1901" s="47"/>
      <c r="D1901" s="47"/>
      <c r="E1901" s="47"/>
      <c r="F1901" s="43"/>
      <c r="G1901" s="51"/>
      <c r="H1901" s="250" t="s">
        <v>1227</v>
      </c>
      <c r="I1901" s="251"/>
      <c r="J1901" s="43"/>
    </row>
    <row r="1902" spans="1:10">
      <c r="A1902" s="43" t="s">
        <v>1226</v>
      </c>
      <c r="B1902" s="43"/>
      <c r="C1902" s="43"/>
      <c r="D1902" s="43"/>
      <c r="E1902" s="43"/>
      <c r="F1902" s="43"/>
      <c r="G1902" s="43"/>
      <c r="H1902" s="43"/>
      <c r="I1902" s="43"/>
      <c r="J1902" s="43"/>
    </row>
    <row r="1903" spans="1:10">
      <c r="A1903" s="43"/>
      <c r="B1903" s="43"/>
      <c r="C1903" s="43"/>
      <c r="D1903" s="43"/>
      <c r="E1903" s="43"/>
      <c r="F1903" s="43"/>
      <c r="G1903" s="43"/>
      <c r="H1903" s="43"/>
      <c r="I1903" s="43"/>
      <c r="J1903" s="43"/>
    </row>
    <row r="1904" spans="1:10">
      <c r="A1904" s="43"/>
      <c r="B1904" s="43"/>
      <c r="C1904" s="43"/>
      <c r="D1904" s="43"/>
      <c r="E1904" s="256" t="str">
        <f>CONCATENATE("(",$D1875," vs ",$I1875,")")</f>
        <v>(B vs F)</v>
      </c>
      <c r="F1904" s="256"/>
      <c r="G1904" s="43"/>
      <c r="H1904" s="43"/>
      <c r="I1904" s="43"/>
      <c r="J1904" s="43"/>
    </row>
    <row r="1905" spans="1:10" ht="15.75">
      <c r="A1905" s="42" t="s">
        <v>1223</v>
      </c>
      <c r="B1905" s="43"/>
      <c r="C1905" s="43"/>
      <c r="D1905" s="43"/>
      <c r="E1905" s="43"/>
      <c r="F1905" s="43"/>
      <c r="G1905" s="43"/>
      <c r="H1905" s="43"/>
      <c r="I1905" s="43"/>
      <c r="J1905" s="96" t="s">
        <v>4275</v>
      </c>
    </row>
    <row r="1906" spans="1:10" ht="12.75" customHeight="1">
      <c r="A1906" s="42"/>
      <c r="B1906" s="43"/>
      <c r="C1906" s="43"/>
      <c r="D1906" s="43"/>
      <c r="E1906" s="43"/>
      <c r="F1906" s="43"/>
      <c r="G1906" s="43" t="str">
        <f ca="1">Team_Matches!$J$6</f>
        <v>[NCTTA Teams Template (v2.06).xlsx]</v>
      </c>
      <c r="H1906" s="43"/>
      <c r="I1906" s="43"/>
      <c r="J1906" s="160"/>
    </row>
    <row r="1907" spans="1:10" ht="12.75" customHeight="1">
      <c r="A1907" s="42"/>
      <c r="B1907" s="43"/>
      <c r="C1907" s="43"/>
      <c r="D1907" s="43"/>
      <c r="E1907" s="43"/>
      <c r="F1907" s="43"/>
      <c r="G1907" s="247" t="str">
        <f>Team_Matches!$J1435</f>
        <v/>
      </c>
      <c r="H1907" s="247"/>
      <c r="I1907" s="161" t="str">
        <f>Team_Matches!$M1435</f>
        <v/>
      </c>
      <c r="J1907" s="161"/>
    </row>
    <row r="1908" spans="1:10" ht="15.75">
      <c r="A1908" s="42"/>
      <c r="B1908" s="43"/>
      <c r="C1908" s="43"/>
      <c r="D1908" s="43"/>
      <c r="E1908" s="43"/>
      <c r="F1908" s="43"/>
      <c r="G1908" s="43"/>
      <c r="H1908" s="43"/>
      <c r="I1908" s="43"/>
      <c r="J1908" s="43"/>
    </row>
    <row r="1909" spans="1:10">
      <c r="A1909" s="43"/>
      <c r="B1909" s="43"/>
      <c r="C1909" s="9" t="s">
        <v>1228</v>
      </c>
      <c r="D1909" s="52" t="str">
        <f>Team_Matches!$B1437</f>
        <v>B</v>
      </c>
      <c r="E1909" s="43"/>
      <c r="F1909" s="97" t="str">
        <f>CONCATENATE($D1909,"-",$I1909)</f>
        <v>B-G</v>
      </c>
      <c r="G1909" s="43"/>
      <c r="H1909" s="9" t="s">
        <v>1228</v>
      </c>
      <c r="I1909" s="52" t="str">
        <f>Team_Matches!$K1437</f>
        <v>G</v>
      </c>
      <c r="J1909" s="43"/>
    </row>
    <row r="1910" spans="1:10" ht="25.5" customHeight="1">
      <c r="A1910" s="44"/>
      <c r="B1910" s="248" t="str">
        <f>IF(VLOOKUP($D1909,Draw!$A$4:$B$27,2)&lt;&gt;0,VLOOKUP($D1909,Draw!$A$4:$B$27,2),"")</f>
        <v/>
      </c>
      <c r="C1910" s="248"/>
      <c r="D1910" s="248"/>
      <c r="E1910" s="249"/>
      <c r="F1910" s="45"/>
      <c r="G1910" s="252" t="str">
        <f>IF(VLOOKUP($I1909,Draw!$A$4:$B$27,2)&lt;&gt;0,VLOOKUP($I1909,Draw!$A$4:$B$27,2),"")</f>
        <v/>
      </c>
      <c r="H1910" s="252"/>
      <c r="I1910" s="252"/>
      <c r="J1910" s="253"/>
    </row>
    <row r="1911" spans="1:10" ht="25.5" customHeight="1"/>
    <row r="1912" spans="1:10" ht="25.5" customHeight="1"/>
    <row r="1913" spans="1:10" ht="24" customHeight="1">
      <c r="A1913" s="48" t="s">
        <v>1246</v>
      </c>
      <c r="B1913" s="43"/>
      <c r="C1913" s="43"/>
      <c r="D1913" s="43"/>
      <c r="E1913" s="43"/>
      <c r="F1913" s="43"/>
      <c r="G1913" s="43"/>
      <c r="H1913" s="43"/>
      <c r="I1913" s="43"/>
      <c r="J1913" s="43"/>
    </row>
    <row r="1914" spans="1:10" ht="24" customHeight="1">
      <c r="A1914" s="48"/>
      <c r="B1914" s="43"/>
      <c r="C1914" s="43"/>
      <c r="D1914" s="43"/>
      <c r="E1914" s="43"/>
      <c r="F1914" s="43"/>
      <c r="G1914" s="43"/>
      <c r="H1914" s="43"/>
      <c r="I1914" s="43"/>
      <c r="J1914" s="43"/>
    </row>
    <row r="1915" spans="1:10">
      <c r="A1915" s="49" t="s">
        <v>1224</v>
      </c>
      <c r="B1915" s="46"/>
      <c r="C1915" s="46"/>
      <c r="D1915" s="46"/>
      <c r="E1915" s="46"/>
      <c r="F1915" s="46"/>
      <c r="G1915" s="260" t="s">
        <v>10336</v>
      </c>
      <c r="H1915" s="260"/>
      <c r="I1915" s="260"/>
      <c r="J1915" s="260"/>
    </row>
    <row r="1916" spans="1:10" ht="24" customHeight="1">
      <c r="A1916" s="50" t="str">
        <f>CONCATENATE($D1909,"1")</f>
        <v>B1</v>
      </c>
      <c r="B1916" s="255" t="str">
        <f>IF(VLOOKUP($A1916,Players!$A$2:$C$132,3)&lt;&gt;0,VLOOKUP($A1916,Players!$A$2:$C$132,3),"")</f>
        <v/>
      </c>
      <c r="C1916" s="255"/>
      <c r="D1916" s="255"/>
      <c r="E1916" s="255"/>
      <c r="F1916" s="255"/>
      <c r="G1916" s="254" t="str">
        <f>IF(VLOOKUP($I1909&amp;RIGHT($A1916,1),Players!$A$2:$D$132,3)&lt;&gt;0,VLOOKUP($I1909&amp;RIGHT($A1916,1),Players!$A$2:$D$132,3),"")</f>
        <v/>
      </c>
      <c r="H1916" s="254"/>
      <c r="I1916" s="254"/>
      <c r="J1916" s="210" t="str">
        <f>IF(VLOOKUP($I1909&amp;RIGHT($A1916,1),Players!$A$2:$D$132,3)&lt;&gt;0,"("&amp;VLOOKUP($I1909&amp;RIGHT($A1916,1),Players!$A$2:$D$132,4)&amp;")","")</f>
        <v/>
      </c>
    </row>
    <row r="1917" spans="1:10" ht="25.5" customHeight="1">
      <c r="A1917" s="50" t="str">
        <f>CONCATENATE($D1909,"2")</f>
        <v>B2</v>
      </c>
      <c r="B1917" s="255" t="str">
        <f>IF(VLOOKUP($A1917,Players!$A$2:$C$132,3)&lt;&gt;0,VLOOKUP($A1917,Players!$A$2:$C$132,3),"")</f>
        <v/>
      </c>
      <c r="C1917" s="255"/>
      <c r="D1917" s="255"/>
      <c r="E1917" s="255"/>
      <c r="F1917" s="255"/>
      <c r="G1917" s="254" t="str">
        <f>IF(VLOOKUP($I1909&amp;RIGHT($A1917,1),Players!$A$2:$D$132,3)&lt;&gt;0,VLOOKUP($I1909&amp;RIGHT($A1917,1),Players!$A$2:$D$132,3),"")</f>
        <v/>
      </c>
      <c r="H1917" s="254"/>
      <c r="I1917" s="254"/>
      <c r="J1917" s="210" t="str">
        <f>IF(VLOOKUP($I1909&amp;RIGHT($A1917,1),Players!$A$2:$D$132,3)&lt;&gt;0,"("&amp;VLOOKUP($I1909&amp;RIGHT($A1917,1),Players!$A$2:$D$132,4)&amp;")","")</f>
        <v/>
      </c>
    </row>
    <row r="1918" spans="1:10" ht="25.5" customHeight="1">
      <c r="A1918" s="50" t="str">
        <f>CONCATENATE($D1909,"3")</f>
        <v>B3</v>
      </c>
      <c r="B1918" s="255" t="str">
        <f>IF(VLOOKUP($A1918,Players!$A$2:$C$132,3)&lt;&gt;0,VLOOKUP($A1918,Players!$A$2:$C$132,3),"")</f>
        <v/>
      </c>
      <c r="C1918" s="255"/>
      <c r="D1918" s="255"/>
      <c r="E1918" s="255"/>
      <c r="F1918" s="255"/>
      <c r="G1918" s="254" t="str">
        <f>IF(VLOOKUP($I1909&amp;RIGHT($A1918,1),Players!$A$2:$D$132,3)&lt;&gt;0,VLOOKUP($I1909&amp;RIGHT($A1918,1),Players!$A$2:$D$132,3),"")</f>
        <v/>
      </c>
      <c r="H1918" s="254"/>
      <c r="I1918" s="254"/>
      <c r="J1918" s="210" t="str">
        <f>IF(VLOOKUP($I1909&amp;RIGHT($A1918,1),Players!$A$2:$D$132,3)&lt;&gt;0,"("&amp;VLOOKUP($I1909&amp;RIGHT($A1918,1),Players!$A$2:$D$132,4)&amp;")","")</f>
        <v/>
      </c>
    </row>
    <row r="1919" spans="1:10" ht="25.5" customHeight="1">
      <c r="A1919" s="50" t="str">
        <f>CONCATENATE($D1909,"4")</f>
        <v>B4</v>
      </c>
      <c r="B1919" s="255" t="str">
        <f>IF(VLOOKUP($A1919,Players!$A$2:$C$132,3)&lt;&gt;0,VLOOKUP($A1919,Players!$A$2:$C$132,3),"")</f>
        <v/>
      </c>
      <c r="C1919" s="255"/>
      <c r="D1919" s="255"/>
      <c r="E1919" s="255"/>
      <c r="F1919" s="255"/>
      <c r="G1919" s="254" t="str">
        <f>IF(VLOOKUP($I1909&amp;RIGHT($A1919,1),Players!$A$2:$D$132,3)&lt;&gt;0,VLOOKUP($I1909&amp;RIGHT($A1919,1),Players!$A$2:$D$132,3),"")</f>
        <v/>
      </c>
      <c r="H1919" s="254"/>
      <c r="I1919" s="254"/>
      <c r="J1919" s="210" t="str">
        <f>IF(VLOOKUP($I1909&amp;RIGHT($A1919,1),Players!$A$2:$D$132,3)&lt;&gt;0,"("&amp;VLOOKUP($I1909&amp;RIGHT($A1919,1),Players!$A$2:$D$132,4)&amp;")","")</f>
        <v/>
      </c>
    </row>
    <row r="1920" spans="1:10" ht="25.5" customHeight="1">
      <c r="A1920" s="50" t="str">
        <f>CONCATENATE($D1909,"5")</f>
        <v>B5</v>
      </c>
      <c r="B1920" s="255" t="str">
        <f>IF(VLOOKUP($A1920,Players!$A$2:$C$132,3)&lt;&gt;0,VLOOKUP($A1920,Players!$A$2:$C$132,3),"")</f>
        <v/>
      </c>
      <c r="C1920" s="255"/>
      <c r="D1920" s="255"/>
      <c r="E1920" s="255"/>
      <c r="F1920" s="255"/>
      <c r="G1920" s="254" t="str">
        <f>IF(VLOOKUP($I1909&amp;RIGHT($A1920,1),Players!$A$2:$D$132,3)&lt;&gt;0,VLOOKUP($I1909&amp;RIGHT($A1920,1),Players!$A$2:$D$132,3),"")</f>
        <v/>
      </c>
      <c r="H1920" s="254"/>
      <c r="I1920" s="254"/>
      <c r="J1920" s="210" t="str">
        <f>IF(VLOOKUP($I1909&amp;RIGHT($A1920,1),Players!$A$2:$D$132,3)&lt;&gt;0,"("&amp;VLOOKUP($I1909&amp;RIGHT($A1920,1),Players!$A$2:$D$132,4)&amp;")","")</f>
        <v/>
      </c>
    </row>
    <row r="1921" spans="1:10" ht="25.5" customHeight="1">
      <c r="A1921" s="50" t="str">
        <f>CONCATENATE($D1909,"6")</f>
        <v>B6</v>
      </c>
      <c r="B1921" s="255" t="str">
        <f>IF(VLOOKUP($A1921,Players!$A$2:$C$132,3)&lt;&gt;0,VLOOKUP($A1921,Players!$A$2:$C$132,3),"")</f>
        <v/>
      </c>
      <c r="C1921" s="255"/>
      <c r="D1921" s="255"/>
      <c r="E1921" s="255"/>
      <c r="F1921" s="255"/>
      <c r="G1921" s="254" t="str">
        <f>IF(VLOOKUP($I1909&amp;RIGHT($A1921,1),Players!$A$2:$D$132,3)&lt;&gt;0,VLOOKUP($I1909&amp;RIGHT($A1921,1),Players!$A$2:$D$132,3),"")</f>
        <v/>
      </c>
      <c r="H1921" s="254"/>
      <c r="I1921" s="254"/>
      <c r="J1921" s="210" t="str">
        <f>IF(VLOOKUP($I1909&amp;RIGHT($A1921,1),Players!$A$2:$D$132,3)&lt;&gt;0,"("&amp;VLOOKUP($I1909&amp;RIGHT($A1921,1),Players!$A$2:$D$132,4)&amp;")","")</f>
        <v/>
      </c>
    </row>
    <row r="1922" spans="1:10" ht="25.5" customHeight="1">
      <c r="A1922" s="50" t="str">
        <f>CONCATENATE($D1909,"7")</f>
        <v>B7</v>
      </c>
      <c r="B1922" s="255" t="str">
        <f>IF(VLOOKUP($A1922,Players!$A$2:$C$132,3)&lt;&gt;0,VLOOKUP($A1922,Players!$A$2:$C$132,3),"")</f>
        <v/>
      </c>
      <c r="C1922" s="255"/>
      <c r="D1922" s="255"/>
      <c r="E1922" s="255"/>
      <c r="F1922" s="255"/>
      <c r="G1922" s="254" t="str">
        <f>IF(VLOOKUP($I1909&amp;RIGHT($A1922,1),Players!$A$2:$D$132,3)&lt;&gt;0,VLOOKUP($I1909&amp;RIGHT($A1922,1),Players!$A$2:$D$132,3),"")</f>
        <v/>
      </c>
      <c r="H1922" s="254"/>
      <c r="I1922" s="254"/>
      <c r="J1922" s="210" t="str">
        <f>IF(VLOOKUP($I1909&amp;RIGHT($A1922,1),Players!$A$2:$D$132,3)&lt;&gt;0,"("&amp;VLOOKUP($I1909&amp;RIGHT($A1922,1),Players!$A$2:$D$132,4)&amp;")","")</f>
        <v/>
      </c>
    </row>
    <row r="1923" spans="1:10" ht="25.5" customHeight="1">
      <c r="A1923" s="50" t="str">
        <f>CONCATENATE($D1909,"8")</f>
        <v>B8</v>
      </c>
      <c r="B1923" s="255" t="str">
        <f>IF(VLOOKUP($A1923,Players!$A$2:$C$132,3)&lt;&gt;0,VLOOKUP($A1923,Players!$A$2:$C$132,3),"")</f>
        <v/>
      </c>
      <c r="C1923" s="255"/>
      <c r="D1923" s="255"/>
      <c r="E1923" s="255"/>
      <c r="F1923" s="255"/>
      <c r="G1923" s="254" t="str">
        <f>IF(VLOOKUP($I1909&amp;RIGHT($A1923,1),Players!$A$2:$D$132,3)&lt;&gt;0,VLOOKUP($I1909&amp;RIGHT($A1923,1),Players!$A$2:$D$132,3),"")</f>
        <v/>
      </c>
      <c r="H1923" s="254"/>
      <c r="I1923" s="254"/>
      <c r="J1923" s="210" t="str">
        <f>IF(VLOOKUP($I1909&amp;RIGHT($A1923,1),Players!$A$2:$D$132,3)&lt;&gt;0,"("&amp;VLOOKUP($I1909&amp;RIGHT($A1923,1),Players!$A$2:$D$132,4)&amp;")","")</f>
        <v/>
      </c>
    </row>
    <row r="1924" spans="1:10" ht="25.5" customHeight="1">
      <c r="A1924" s="50"/>
      <c r="B1924" s="26"/>
      <c r="C1924" s="26"/>
      <c r="D1924" s="26"/>
      <c r="E1924" s="26"/>
      <c r="F1924" s="27"/>
      <c r="G1924" s="43"/>
      <c r="H1924" s="43"/>
      <c r="I1924" s="43"/>
      <c r="J1924" s="43"/>
    </row>
    <row r="1925" spans="1:10">
      <c r="A1925" s="49" t="s">
        <v>1225</v>
      </c>
      <c r="B1925" s="46"/>
      <c r="C1925" s="46"/>
      <c r="D1925" s="46"/>
      <c r="E1925" s="46"/>
      <c r="F1925" s="46"/>
      <c r="G1925" s="43"/>
      <c r="H1925" s="43"/>
      <c r="I1925" s="43"/>
      <c r="J1925" s="43"/>
    </row>
    <row r="1926" spans="1:10">
      <c r="A1926" s="46" t="s">
        <v>1247</v>
      </c>
      <c r="B1926" s="46"/>
      <c r="C1926" s="46"/>
      <c r="D1926" s="46"/>
      <c r="E1926" s="46"/>
      <c r="F1926" s="46"/>
      <c r="G1926" s="43"/>
      <c r="H1926" s="43"/>
      <c r="I1926" s="43"/>
      <c r="J1926" s="43"/>
    </row>
    <row r="1927" spans="1:10">
      <c r="A1927" s="46" t="s">
        <v>1248</v>
      </c>
      <c r="B1927" s="46"/>
      <c r="C1927" s="46"/>
      <c r="D1927" s="46"/>
      <c r="E1927" s="46"/>
      <c r="F1927" s="46"/>
      <c r="G1927" s="43"/>
      <c r="H1927" s="43"/>
      <c r="I1927" s="43"/>
      <c r="J1927" s="43"/>
    </row>
    <row r="1928" spans="1:10" ht="13.5" thickBot="1">
      <c r="A1928" s="46"/>
      <c r="B1928" s="46"/>
      <c r="C1928" s="46"/>
      <c r="D1928" s="46"/>
      <c r="E1928" s="46"/>
      <c r="F1928" s="46"/>
      <c r="G1928" s="43"/>
      <c r="H1928" s="43"/>
      <c r="I1928" s="43"/>
      <c r="J1928" s="43"/>
    </row>
    <row r="1929" spans="1:10" ht="25.5" customHeight="1" thickBot="1">
      <c r="A1929" s="50"/>
      <c r="B1929" s="257"/>
      <c r="C1929" s="258"/>
      <c r="D1929" s="258"/>
      <c r="E1929" s="258"/>
      <c r="F1929" s="259"/>
      <c r="G1929" s="43"/>
      <c r="H1929" s="43"/>
      <c r="I1929" s="43"/>
      <c r="J1929" s="43"/>
    </row>
    <row r="1930" spans="1:10">
      <c r="A1930" s="43"/>
      <c r="B1930" s="43"/>
      <c r="C1930" s="43"/>
      <c r="D1930" s="43"/>
      <c r="E1930" s="43"/>
      <c r="F1930" s="43"/>
      <c r="G1930" s="43"/>
      <c r="H1930" s="43"/>
      <c r="I1930" s="43"/>
      <c r="J1930" s="43"/>
    </row>
    <row r="1931" spans="1:10">
      <c r="A1931" s="43"/>
      <c r="B1931" s="43"/>
      <c r="C1931" s="43"/>
      <c r="D1931" s="43"/>
      <c r="E1931" s="43"/>
      <c r="F1931" s="43"/>
      <c r="G1931" s="43"/>
      <c r="H1931" s="43"/>
      <c r="I1931" s="43"/>
      <c r="J1931" s="43"/>
    </row>
    <row r="1932" spans="1:10">
      <c r="A1932" s="43"/>
      <c r="B1932" s="43"/>
      <c r="C1932" s="43"/>
      <c r="D1932" s="43"/>
      <c r="E1932" s="43"/>
      <c r="F1932" s="43"/>
      <c r="G1932" s="43"/>
      <c r="H1932" s="43"/>
      <c r="I1932" s="43"/>
      <c r="J1932" s="43"/>
    </row>
    <row r="1933" spans="1:10">
      <c r="A1933" s="43"/>
      <c r="B1933" s="43"/>
      <c r="C1933" s="43"/>
      <c r="D1933" s="43"/>
      <c r="E1933" s="43"/>
      <c r="F1933" s="43"/>
      <c r="G1933" s="43"/>
      <c r="H1933" s="43"/>
      <c r="I1933" s="43"/>
      <c r="J1933" s="43"/>
    </row>
    <row r="1934" spans="1:10">
      <c r="A1934" s="43"/>
      <c r="B1934" s="43"/>
      <c r="C1934" s="43"/>
      <c r="D1934" s="43"/>
      <c r="E1934" s="43"/>
      <c r="F1934" s="43"/>
      <c r="G1934" s="43"/>
      <c r="H1934" s="43"/>
      <c r="I1934" s="43"/>
      <c r="J1934" s="43"/>
    </row>
    <row r="1935" spans="1:10" ht="25.5" customHeight="1">
      <c r="A1935" s="47"/>
      <c r="B1935" s="47"/>
      <c r="C1935" s="47"/>
      <c r="D1935" s="47"/>
      <c r="E1935" s="47"/>
      <c r="F1935" s="43"/>
      <c r="G1935" s="51"/>
      <c r="H1935" s="250" t="s">
        <v>1227</v>
      </c>
      <c r="I1935" s="251"/>
      <c r="J1935" s="43"/>
    </row>
    <row r="1936" spans="1:10">
      <c r="A1936" s="43" t="s">
        <v>1226</v>
      </c>
      <c r="B1936" s="43"/>
      <c r="C1936" s="43"/>
      <c r="D1936" s="43"/>
      <c r="E1936" s="43"/>
      <c r="F1936" s="43"/>
      <c r="G1936" s="43"/>
      <c r="H1936" s="43"/>
      <c r="I1936" s="43"/>
      <c r="J1936" s="43"/>
    </row>
    <row r="1937" spans="1:10">
      <c r="A1937" s="43"/>
      <c r="B1937" s="43"/>
      <c r="C1937" s="43"/>
      <c r="D1937" s="43"/>
      <c r="E1937" s="43"/>
      <c r="F1937" s="43"/>
      <c r="G1937" s="43"/>
      <c r="H1937" s="43"/>
      <c r="I1937" s="43"/>
      <c r="J1937" s="43"/>
    </row>
    <row r="1938" spans="1:10">
      <c r="A1938" s="43"/>
      <c r="B1938" s="43"/>
      <c r="C1938" s="43"/>
      <c r="D1938" s="43"/>
      <c r="E1938" s="256" t="str">
        <f>CONCATENATE("(",$D1909," vs ",$I1909,")")</f>
        <v>(B vs G)</v>
      </c>
      <c r="F1938" s="256"/>
      <c r="G1938" s="43"/>
      <c r="H1938" s="43"/>
      <c r="I1938" s="43"/>
      <c r="J1938" s="43"/>
    </row>
    <row r="1939" spans="1:10" ht="15.75">
      <c r="A1939" s="42" t="s">
        <v>1223</v>
      </c>
      <c r="B1939" s="43"/>
      <c r="C1939" s="43"/>
      <c r="D1939" s="43"/>
      <c r="E1939" s="43"/>
      <c r="F1939" s="43"/>
      <c r="G1939" s="43"/>
      <c r="H1939" s="43"/>
      <c r="I1939" s="43"/>
      <c r="J1939" s="96" t="s">
        <v>4276</v>
      </c>
    </row>
    <row r="1940" spans="1:10" ht="12.75" customHeight="1">
      <c r="A1940" s="42"/>
      <c r="B1940" s="43"/>
      <c r="C1940" s="43"/>
      <c r="D1940" s="43"/>
      <c r="E1940" s="43"/>
      <c r="F1940" s="43"/>
      <c r="G1940" s="43" t="str">
        <f ca="1">Team_Matches!$J$6</f>
        <v>[NCTTA Teams Template (v2.06).xlsx]</v>
      </c>
      <c r="H1940" s="43"/>
      <c r="I1940" s="43"/>
      <c r="J1940" s="160"/>
    </row>
    <row r="1941" spans="1:10" ht="12.75" customHeight="1">
      <c r="A1941" s="42"/>
      <c r="B1941" s="43"/>
      <c r="C1941" s="43"/>
      <c r="D1941" s="43"/>
      <c r="E1941" s="43"/>
      <c r="F1941" s="43"/>
      <c r="G1941" s="247" t="str">
        <f>Team_Matches!$J1435</f>
        <v/>
      </c>
      <c r="H1941" s="247"/>
      <c r="I1941" s="161" t="str">
        <f>Team_Matches!$M1435</f>
        <v/>
      </c>
      <c r="J1941" s="161"/>
    </row>
    <row r="1942" spans="1:10" ht="15.75">
      <c r="A1942" s="42"/>
      <c r="B1942" s="43"/>
      <c r="C1942" s="43"/>
      <c r="D1942" s="43"/>
      <c r="E1942" s="43"/>
      <c r="F1942" s="43"/>
      <c r="G1942" s="43"/>
      <c r="H1942" s="43"/>
      <c r="I1942" s="43"/>
      <c r="J1942" s="43"/>
    </row>
    <row r="1943" spans="1:10">
      <c r="A1943" s="43"/>
      <c r="B1943" s="43"/>
      <c r="C1943" s="9" t="s">
        <v>1228</v>
      </c>
      <c r="D1943" s="52" t="str">
        <f>Team_Matches!$B1437</f>
        <v>B</v>
      </c>
      <c r="E1943" s="43"/>
      <c r="F1943" s="97" t="str">
        <f>CONCATENATE($D1943,"-",$I1943)</f>
        <v>B-G</v>
      </c>
      <c r="G1943" s="43"/>
      <c r="H1943" s="9" t="s">
        <v>1228</v>
      </c>
      <c r="I1943" s="52" t="str">
        <f>Team_Matches!$K1437</f>
        <v>G</v>
      </c>
      <c r="J1943" s="43"/>
    </row>
    <row r="1944" spans="1:10" ht="25.5" customHeight="1">
      <c r="A1944" s="44"/>
      <c r="B1944" s="252" t="str">
        <f>IF(VLOOKUP($D1943,Draw!$A$4:$B$27,2)&lt;&gt;0,VLOOKUP($D1943,Draw!$A$4:$B$27,2),"")</f>
        <v/>
      </c>
      <c r="C1944" s="252"/>
      <c r="D1944" s="252"/>
      <c r="E1944" s="253"/>
      <c r="F1944" s="45"/>
      <c r="G1944" s="248" t="str">
        <f>IF(VLOOKUP($I1943,Draw!$A$4:$B$27,2)&lt;&gt;0,VLOOKUP($I1943,Draw!$A$4:$B$27,2),"")</f>
        <v/>
      </c>
      <c r="H1944" s="248"/>
      <c r="I1944" s="248"/>
      <c r="J1944" s="249"/>
    </row>
    <row r="1945" spans="1:10" ht="25.5" customHeight="1"/>
    <row r="1946" spans="1:10" ht="25.5" customHeight="1"/>
    <row r="1947" spans="1:10" ht="24" customHeight="1">
      <c r="A1947" s="48" t="s">
        <v>1246</v>
      </c>
      <c r="B1947" s="43"/>
      <c r="C1947" s="43"/>
      <c r="D1947" s="43"/>
      <c r="E1947" s="43"/>
      <c r="F1947" s="43"/>
      <c r="G1947" s="43"/>
      <c r="H1947" s="43"/>
      <c r="I1947" s="43"/>
      <c r="J1947" s="43"/>
    </row>
    <row r="1948" spans="1:10" ht="24" customHeight="1">
      <c r="A1948" s="48"/>
      <c r="B1948" s="43"/>
      <c r="C1948" s="43"/>
      <c r="D1948" s="43"/>
      <c r="E1948" s="43"/>
      <c r="F1948" s="43"/>
      <c r="G1948" s="43"/>
      <c r="H1948" s="43"/>
      <c r="I1948" s="43"/>
      <c r="J1948" s="43"/>
    </row>
    <row r="1949" spans="1:10">
      <c r="A1949" s="49" t="s">
        <v>1224</v>
      </c>
      <c r="B1949" s="46"/>
      <c r="C1949" s="46"/>
      <c r="D1949" s="46"/>
      <c r="E1949" s="46"/>
      <c r="F1949" s="46"/>
      <c r="G1949" s="260" t="s">
        <v>10336</v>
      </c>
      <c r="H1949" s="260"/>
      <c r="I1949" s="260"/>
      <c r="J1949" s="260"/>
    </row>
    <row r="1950" spans="1:10" ht="24" customHeight="1">
      <c r="A1950" s="50" t="str">
        <f>CONCATENATE($I1943,"1")</f>
        <v>G1</v>
      </c>
      <c r="B1950" s="255" t="str">
        <f>IF(VLOOKUP($A1950,Players!$A$2:$C$132,3)&lt;&gt;0,VLOOKUP($A1950,Players!$A$2:$C$132,3),"")</f>
        <v/>
      </c>
      <c r="C1950" s="255"/>
      <c r="D1950" s="255"/>
      <c r="E1950" s="255"/>
      <c r="F1950" s="255"/>
      <c r="G1950" s="254" t="str">
        <f>IF(VLOOKUP($D1943&amp;RIGHT($A1950,1),Players!$A$2:$D$132,3)&lt;&gt;0,VLOOKUP($D1943&amp;RIGHT($A1950,1),Players!$A$2:$D$132,3),"")</f>
        <v/>
      </c>
      <c r="H1950" s="254"/>
      <c r="I1950" s="254"/>
      <c r="J1950" s="210" t="str">
        <f>IF(VLOOKUP($D1943&amp;RIGHT($A1950,1),Players!$A$2:$D$132,3)&lt;&gt;0,"("&amp;VLOOKUP($D1943&amp;RIGHT($A1950,1),Players!$A$2:$D$132,4)&amp;")","")</f>
        <v/>
      </c>
    </row>
    <row r="1951" spans="1:10" ht="25.5" customHeight="1">
      <c r="A1951" s="50" t="str">
        <f>CONCATENATE($I1943,"2")</f>
        <v>G2</v>
      </c>
      <c r="B1951" s="255" t="str">
        <f>IF(VLOOKUP($A1951,Players!$A$2:$C$132,3)&lt;&gt;0,VLOOKUP($A1951,Players!$A$2:$C$132,3),"")</f>
        <v/>
      </c>
      <c r="C1951" s="255"/>
      <c r="D1951" s="255"/>
      <c r="E1951" s="255"/>
      <c r="F1951" s="255"/>
      <c r="G1951" s="254" t="str">
        <f>IF(VLOOKUP($D1943&amp;RIGHT($A1951,1),Players!$A$2:$D$132,3)&lt;&gt;0,VLOOKUP($D1943&amp;RIGHT($A1951,1),Players!$A$2:$D$132,3),"")</f>
        <v/>
      </c>
      <c r="H1951" s="254"/>
      <c r="I1951" s="254"/>
      <c r="J1951" s="210" t="str">
        <f>IF(VLOOKUP($D1943&amp;RIGHT($A1951,1),Players!$A$2:$D$132,3)&lt;&gt;0,"("&amp;VLOOKUP($D1943&amp;RIGHT($A1951,1),Players!$A$2:$D$132,4)&amp;")","")</f>
        <v/>
      </c>
    </row>
    <row r="1952" spans="1:10" ht="25.5" customHeight="1">
      <c r="A1952" s="50" t="str">
        <f>CONCATENATE($I1943,"3")</f>
        <v>G3</v>
      </c>
      <c r="B1952" s="255" t="str">
        <f>IF(VLOOKUP($A1952,Players!$A$2:$C$132,3)&lt;&gt;0,VLOOKUP($A1952,Players!$A$2:$C$132,3),"")</f>
        <v/>
      </c>
      <c r="C1952" s="255"/>
      <c r="D1952" s="255"/>
      <c r="E1952" s="255"/>
      <c r="F1952" s="255"/>
      <c r="G1952" s="254" t="str">
        <f>IF(VLOOKUP($D1943&amp;RIGHT($A1952,1),Players!$A$2:$D$132,3)&lt;&gt;0,VLOOKUP($D1943&amp;RIGHT($A1952,1),Players!$A$2:$D$132,3),"")</f>
        <v/>
      </c>
      <c r="H1952" s="254"/>
      <c r="I1952" s="254"/>
      <c r="J1952" s="210" t="str">
        <f>IF(VLOOKUP($D1943&amp;RIGHT($A1952,1),Players!$A$2:$D$132,3)&lt;&gt;0,"("&amp;VLOOKUP($D1943&amp;RIGHT($A1952,1),Players!$A$2:$D$132,4)&amp;")","")</f>
        <v/>
      </c>
    </row>
    <row r="1953" spans="1:10" ht="25.5" customHeight="1">
      <c r="A1953" s="50" t="str">
        <f>CONCATENATE($I1943,"4")</f>
        <v>G4</v>
      </c>
      <c r="B1953" s="255" t="str">
        <f>IF(VLOOKUP($A1953,Players!$A$2:$C$132,3)&lt;&gt;0,VLOOKUP($A1953,Players!$A$2:$C$132,3),"")</f>
        <v/>
      </c>
      <c r="C1953" s="255"/>
      <c r="D1953" s="255"/>
      <c r="E1953" s="255"/>
      <c r="F1953" s="255"/>
      <c r="G1953" s="254" t="str">
        <f>IF(VLOOKUP($D1943&amp;RIGHT($A1953,1),Players!$A$2:$D$132,3)&lt;&gt;0,VLOOKUP($D1943&amp;RIGHT($A1953,1),Players!$A$2:$D$132,3),"")</f>
        <v/>
      </c>
      <c r="H1953" s="254"/>
      <c r="I1953" s="254"/>
      <c r="J1953" s="210" t="str">
        <f>IF(VLOOKUP($D1943&amp;RIGHT($A1953,1),Players!$A$2:$D$132,3)&lt;&gt;0,"("&amp;VLOOKUP($D1943&amp;RIGHT($A1953,1),Players!$A$2:$D$132,4)&amp;")","")</f>
        <v/>
      </c>
    </row>
    <row r="1954" spans="1:10" ht="25.5" customHeight="1">
      <c r="A1954" s="50" t="str">
        <f>CONCATENATE($I1943,"5")</f>
        <v>G5</v>
      </c>
      <c r="B1954" s="255" t="str">
        <f>IF(VLOOKUP($A1954,Players!$A$2:$C$132,3)&lt;&gt;0,VLOOKUP($A1954,Players!$A$2:$C$132,3),"")</f>
        <v/>
      </c>
      <c r="C1954" s="255"/>
      <c r="D1954" s="255"/>
      <c r="E1954" s="255"/>
      <c r="F1954" s="255"/>
      <c r="G1954" s="254" t="str">
        <f>IF(VLOOKUP($D1943&amp;RIGHT($A1954,1),Players!$A$2:$D$132,3)&lt;&gt;0,VLOOKUP($D1943&amp;RIGHT($A1954,1),Players!$A$2:$D$132,3),"")</f>
        <v/>
      </c>
      <c r="H1954" s="254"/>
      <c r="I1954" s="254"/>
      <c r="J1954" s="210" t="str">
        <f>IF(VLOOKUP($D1943&amp;RIGHT($A1954,1),Players!$A$2:$D$132,3)&lt;&gt;0,"("&amp;VLOOKUP($D1943&amp;RIGHT($A1954,1),Players!$A$2:$D$132,4)&amp;")","")</f>
        <v/>
      </c>
    </row>
    <row r="1955" spans="1:10" ht="25.5" customHeight="1">
      <c r="A1955" s="50" t="str">
        <f>CONCATENATE($I1943,"6")</f>
        <v>G6</v>
      </c>
      <c r="B1955" s="255" t="str">
        <f>IF(VLOOKUP($A1955,Players!$A$2:$C$132,3)&lt;&gt;0,VLOOKUP($A1955,Players!$A$2:$C$132,3),"")</f>
        <v/>
      </c>
      <c r="C1955" s="255"/>
      <c r="D1955" s="255"/>
      <c r="E1955" s="255"/>
      <c r="F1955" s="255"/>
      <c r="G1955" s="254" t="str">
        <f>IF(VLOOKUP($D1943&amp;RIGHT($A1955,1),Players!$A$2:$D$132,3)&lt;&gt;0,VLOOKUP($D1943&amp;RIGHT($A1955,1),Players!$A$2:$D$132,3),"")</f>
        <v/>
      </c>
      <c r="H1955" s="254"/>
      <c r="I1955" s="254"/>
      <c r="J1955" s="210" t="str">
        <f>IF(VLOOKUP($D1943&amp;RIGHT($A1955,1),Players!$A$2:$D$132,3)&lt;&gt;0,"("&amp;VLOOKUP($D1943&amp;RIGHT($A1955,1),Players!$A$2:$D$132,4)&amp;")","")</f>
        <v/>
      </c>
    </row>
    <row r="1956" spans="1:10" ht="25.5" customHeight="1">
      <c r="A1956" s="50" t="str">
        <f>CONCATENATE($I1943,"7")</f>
        <v>G7</v>
      </c>
      <c r="B1956" s="255" t="str">
        <f>IF(VLOOKUP($A1956,Players!$A$2:$C$132,3)&lt;&gt;0,VLOOKUP($A1956,Players!$A$2:$C$132,3),"")</f>
        <v/>
      </c>
      <c r="C1956" s="255"/>
      <c r="D1956" s="255"/>
      <c r="E1956" s="255"/>
      <c r="F1956" s="255"/>
      <c r="G1956" s="254" t="str">
        <f>IF(VLOOKUP($D1943&amp;RIGHT($A1956,1),Players!$A$2:$D$132,3)&lt;&gt;0,VLOOKUP($D1943&amp;RIGHT($A1956,1),Players!$A$2:$D$132,3),"")</f>
        <v/>
      </c>
      <c r="H1956" s="254"/>
      <c r="I1956" s="254"/>
      <c r="J1956" s="210" t="str">
        <f>IF(VLOOKUP($D1943&amp;RIGHT($A1956,1),Players!$A$2:$D$132,3)&lt;&gt;0,"("&amp;VLOOKUP($D1943&amp;RIGHT($A1956,1),Players!$A$2:$D$132,4)&amp;")","")</f>
        <v/>
      </c>
    </row>
    <row r="1957" spans="1:10" ht="25.5" customHeight="1">
      <c r="A1957" s="50" t="str">
        <f>CONCATENATE($I1943,"8")</f>
        <v>G8</v>
      </c>
      <c r="B1957" s="255" t="str">
        <f>IF(VLOOKUP($A1957,Players!$A$2:$C$132,3)&lt;&gt;0,VLOOKUP($A1957,Players!$A$2:$C$132,3),"")</f>
        <v/>
      </c>
      <c r="C1957" s="255"/>
      <c r="D1957" s="255"/>
      <c r="E1957" s="255"/>
      <c r="F1957" s="255"/>
      <c r="G1957" s="254" t="str">
        <f>IF(VLOOKUP($D1943&amp;RIGHT($A1957,1),Players!$A$2:$D$132,3)&lt;&gt;0,VLOOKUP($D1943&amp;RIGHT($A1957,1),Players!$A$2:$D$132,3),"")</f>
        <v/>
      </c>
      <c r="H1957" s="254"/>
      <c r="I1957" s="254"/>
      <c r="J1957" s="210" t="str">
        <f>IF(VLOOKUP($D1943&amp;RIGHT($A1957,1),Players!$A$2:$D$132,3)&lt;&gt;0,"("&amp;VLOOKUP($D1943&amp;RIGHT($A1957,1),Players!$A$2:$D$132,4)&amp;")","")</f>
        <v/>
      </c>
    </row>
    <row r="1958" spans="1:10" ht="25.5" customHeight="1">
      <c r="A1958" s="50"/>
      <c r="B1958" s="26"/>
      <c r="C1958" s="26"/>
      <c r="D1958" s="26"/>
      <c r="E1958" s="26"/>
      <c r="F1958" s="27"/>
      <c r="G1958" s="43"/>
      <c r="H1958" s="43"/>
      <c r="I1958" s="43"/>
      <c r="J1958" s="43"/>
    </row>
    <row r="1959" spans="1:10">
      <c r="A1959" s="49" t="s">
        <v>1225</v>
      </c>
      <c r="B1959" s="46"/>
      <c r="C1959" s="46"/>
      <c r="D1959" s="46"/>
      <c r="E1959" s="46"/>
      <c r="F1959" s="46"/>
      <c r="G1959" s="43"/>
      <c r="H1959" s="43"/>
      <c r="I1959" s="43"/>
      <c r="J1959" s="43"/>
    </row>
    <row r="1960" spans="1:10">
      <c r="A1960" s="46" t="s">
        <v>1247</v>
      </c>
      <c r="B1960" s="46"/>
      <c r="C1960" s="46"/>
      <c r="D1960" s="46"/>
      <c r="E1960" s="46"/>
      <c r="F1960" s="46"/>
      <c r="G1960" s="43"/>
      <c r="H1960" s="43"/>
      <c r="I1960" s="43"/>
      <c r="J1960" s="43"/>
    </row>
    <row r="1961" spans="1:10">
      <c r="A1961" s="46" t="s">
        <v>1248</v>
      </c>
      <c r="B1961" s="46"/>
      <c r="C1961" s="46"/>
      <c r="D1961" s="46"/>
      <c r="E1961" s="46"/>
      <c r="F1961" s="46"/>
      <c r="G1961" s="43"/>
      <c r="H1961" s="43"/>
      <c r="I1961" s="43"/>
      <c r="J1961" s="43"/>
    </row>
    <row r="1962" spans="1:10" ht="13.5" thickBot="1">
      <c r="A1962" s="46"/>
      <c r="B1962" s="46"/>
      <c r="C1962" s="46"/>
      <c r="D1962" s="46"/>
      <c r="E1962" s="46"/>
      <c r="F1962" s="46"/>
      <c r="G1962" s="43"/>
      <c r="H1962" s="43"/>
      <c r="I1962" s="43"/>
      <c r="J1962" s="43"/>
    </row>
    <row r="1963" spans="1:10" ht="25.5" customHeight="1" thickBot="1">
      <c r="A1963" s="50"/>
      <c r="B1963" s="257"/>
      <c r="C1963" s="258"/>
      <c r="D1963" s="258"/>
      <c r="E1963" s="258"/>
      <c r="F1963" s="259"/>
      <c r="G1963" s="43"/>
      <c r="H1963" s="43"/>
      <c r="I1963" s="43"/>
      <c r="J1963" s="43"/>
    </row>
    <row r="1964" spans="1:10">
      <c r="A1964" s="43"/>
      <c r="B1964" s="43"/>
      <c r="C1964" s="43"/>
      <c r="D1964" s="43"/>
      <c r="E1964" s="43"/>
      <c r="F1964" s="43"/>
      <c r="G1964" s="43"/>
      <c r="H1964" s="43"/>
      <c r="I1964" s="43"/>
      <c r="J1964" s="43"/>
    </row>
    <row r="1965" spans="1:10">
      <c r="A1965" s="43"/>
      <c r="B1965" s="43"/>
      <c r="C1965" s="43"/>
      <c r="D1965" s="43"/>
      <c r="E1965" s="43"/>
      <c r="F1965" s="43"/>
      <c r="G1965" s="43"/>
      <c r="H1965" s="43"/>
      <c r="I1965" s="43"/>
      <c r="J1965" s="43"/>
    </row>
    <row r="1966" spans="1:10">
      <c r="A1966" s="43"/>
      <c r="B1966" s="43"/>
      <c r="C1966" s="43"/>
      <c r="D1966" s="43"/>
      <c r="E1966" s="43"/>
      <c r="F1966" s="43"/>
      <c r="G1966" s="43"/>
      <c r="H1966" s="43"/>
      <c r="I1966" s="43"/>
      <c r="J1966" s="43"/>
    </row>
    <row r="1967" spans="1:10">
      <c r="A1967" s="43"/>
      <c r="B1967" s="43"/>
      <c r="C1967" s="43"/>
      <c r="D1967" s="43"/>
      <c r="E1967" s="43"/>
      <c r="F1967" s="43"/>
      <c r="G1967" s="43"/>
      <c r="H1967" s="43"/>
      <c r="I1967" s="43"/>
      <c r="J1967" s="43"/>
    </row>
    <row r="1968" spans="1:10">
      <c r="A1968" s="43"/>
      <c r="B1968" s="43"/>
      <c r="C1968" s="43"/>
      <c r="D1968" s="43"/>
      <c r="E1968" s="43"/>
      <c r="F1968" s="43"/>
      <c r="G1968" s="43"/>
      <c r="H1968" s="43"/>
      <c r="I1968" s="43"/>
      <c r="J1968" s="43"/>
    </row>
    <row r="1969" spans="1:10" ht="25.5" customHeight="1">
      <c r="A1969" s="47"/>
      <c r="B1969" s="47"/>
      <c r="C1969" s="47"/>
      <c r="D1969" s="47"/>
      <c r="E1969" s="47"/>
      <c r="F1969" s="43"/>
      <c r="G1969" s="51"/>
      <c r="H1969" s="250" t="s">
        <v>1227</v>
      </c>
      <c r="I1969" s="251"/>
      <c r="J1969" s="43"/>
    </row>
    <row r="1970" spans="1:10">
      <c r="A1970" s="43" t="s">
        <v>1226</v>
      </c>
      <c r="B1970" s="43"/>
      <c r="C1970" s="43"/>
      <c r="D1970" s="43"/>
      <c r="E1970" s="43"/>
      <c r="F1970" s="43"/>
      <c r="G1970" s="43"/>
      <c r="H1970" s="43"/>
      <c r="I1970" s="43"/>
      <c r="J1970" s="43"/>
    </row>
    <row r="1971" spans="1:10">
      <c r="A1971" s="43"/>
      <c r="B1971" s="43"/>
      <c r="C1971" s="43"/>
      <c r="D1971" s="43"/>
      <c r="E1971" s="43"/>
      <c r="F1971" s="43"/>
      <c r="G1971" s="43"/>
      <c r="H1971" s="43"/>
      <c r="I1971" s="43"/>
      <c r="J1971" s="43"/>
    </row>
    <row r="1972" spans="1:10">
      <c r="A1972" s="43"/>
      <c r="B1972" s="43"/>
      <c r="C1972" s="43"/>
      <c r="D1972" s="43"/>
      <c r="E1972" s="256" t="str">
        <f>CONCATENATE("(",$D1943," vs ",$I1943,")")</f>
        <v>(B vs G)</v>
      </c>
      <c r="F1972" s="256"/>
      <c r="G1972" s="43"/>
      <c r="H1972" s="43"/>
      <c r="I1972" s="43"/>
      <c r="J1972" s="43"/>
    </row>
    <row r="1973" spans="1:10" ht="15.75">
      <c r="A1973" s="42" t="s">
        <v>1223</v>
      </c>
      <c r="B1973" s="43"/>
      <c r="C1973" s="43"/>
      <c r="D1973" s="43"/>
      <c r="E1973" s="43"/>
      <c r="F1973" s="43"/>
      <c r="G1973" s="43"/>
      <c r="H1973" s="43"/>
      <c r="I1973" s="43"/>
      <c r="J1973" s="96" t="s">
        <v>4277</v>
      </c>
    </row>
    <row r="1974" spans="1:10" ht="12.75" customHeight="1">
      <c r="A1974" s="42"/>
      <c r="B1974" s="43"/>
      <c r="C1974" s="43"/>
      <c r="D1974" s="43"/>
      <c r="E1974" s="43"/>
      <c r="F1974" s="43"/>
      <c r="G1974" s="43" t="str">
        <f ca="1">Team_Matches!$J$6</f>
        <v>[NCTTA Teams Template (v2.06).xlsx]</v>
      </c>
      <c r="H1974" s="43"/>
      <c r="I1974" s="43"/>
      <c r="J1974" s="160"/>
    </row>
    <row r="1975" spans="1:10" ht="12.75" customHeight="1">
      <c r="A1975" s="42"/>
      <c r="B1975" s="43"/>
      <c r="C1975" s="43"/>
      <c r="D1975" s="43"/>
      <c r="E1975" s="43"/>
      <c r="F1975" s="43"/>
      <c r="G1975" s="247" t="str">
        <f>Team_Matches!$J1486</f>
        <v/>
      </c>
      <c r="H1975" s="247"/>
      <c r="I1975" s="161" t="str">
        <f>Team_Matches!$M1486</f>
        <v/>
      </c>
      <c r="J1975" s="161"/>
    </row>
    <row r="1976" spans="1:10" ht="15.75">
      <c r="A1976" s="42"/>
      <c r="B1976" s="43"/>
      <c r="C1976" s="43"/>
      <c r="D1976" s="43"/>
      <c r="E1976" s="43"/>
      <c r="F1976" s="43"/>
      <c r="G1976" s="43"/>
      <c r="H1976" s="43"/>
      <c r="I1976" s="43"/>
      <c r="J1976" s="43"/>
    </row>
    <row r="1977" spans="1:10">
      <c r="A1977" s="43"/>
      <c r="B1977" s="43"/>
      <c r="C1977" s="9" t="s">
        <v>1228</v>
      </c>
      <c r="D1977" s="52" t="str">
        <f>Team_Matches!$B1488</f>
        <v>B</v>
      </c>
      <c r="E1977" s="43"/>
      <c r="F1977" s="97" t="str">
        <f>CONCATENATE($D1977,"-",$I1977)</f>
        <v>B-H</v>
      </c>
      <c r="G1977" s="43"/>
      <c r="H1977" s="9" t="s">
        <v>1228</v>
      </c>
      <c r="I1977" s="52" t="str">
        <f>Team_Matches!$K1488</f>
        <v>H</v>
      </c>
      <c r="J1977" s="43"/>
    </row>
    <row r="1978" spans="1:10" ht="25.5" customHeight="1">
      <c r="A1978" s="44"/>
      <c r="B1978" s="248" t="str">
        <f>IF(VLOOKUP($D1977,Draw!$A$4:$B$27,2)&lt;&gt;0,VLOOKUP($D1977,Draw!$A$4:$B$27,2),"")</f>
        <v/>
      </c>
      <c r="C1978" s="248"/>
      <c r="D1978" s="248"/>
      <c r="E1978" s="249"/>
      <c r="F1978" s="45"/>
      <c r="G1978" s="252" t="str">
        <f>IF(VLOOKUP($I1977,Draw!$A$4:$B$27,2)&lt;&gt;0,VLOOKUP($I1977,Draw!$A$4:$B$27,2),"")</f>
        <v/>
      </c>
      <c r="H1978" s="252"/>
      <c r="I1978" s="252"/>
      <c r="J1978" s="253"/>
    </row>
    <row r="1979" spans="1:10" ht="25.5" customHeight="1"/>
    <row r="1980" spans="1:10" ht="25.5" customHeight="1"/>
    <row r="1981" spans="1:10" ht="24" customHeight="1">
      <c r="A1981" s="48" t="s">
        <v>1246</v>
      </c>
      <c r="B1981" s="43"/>
      <c r="C1981" s="43"/>
      <c r="D1981" s="43"/>
      <c r="E1981" s="43"/>
      <c r="F1981" s="43"/>
      <c r="G1981" s="43"/>
      <c r="H1981" s="43"/>
      <c r="I1981" s="43"/>
      <c r="J1981" s="43"/>
    </row>
    <row r="1982" spans="1:10" ht="24" customHeight="1">
      <c r="A1982" s="48"/>
      <c r="B1982" s="43"/>
      <c r="C1982" s="43"/>
      <c r="D1982" s="43"/>
      <c r="E1982" s="43"/>
      <c r="F1982" s="43"/>
      <c r="G1982" s="43"/>
      <c r="H1982" s="43"/>
      <c r="I1982" s="43"/>
      <c r="J1982" s="43"/>
    </row>
    <row r="1983" spans="1:10">
      <c r="A1983" s="49" t="s">
        <v>1224</v>
      </c>
      <c r="B1983" s="46"/>
      <c r="C1983" s="46"/>
      <c r="D1983" s="46"/>
      <c r="E1983" s="46"/>
      <c r="F1983" s="46"/>
      <c r="G1983" s="260" t="s">
        <v>10336</v>
      </c>
      <c r="H1983" s="260"/>
      <c r="I1983" s="260"/>
      <c r="J1983" s="260"/>
    </row>
    <row r="1984" spans="1:10" ht="24" customHeight="1">
      <c r="A1984" s="50" t="str">
        <f>CONCATENATE($D1977,"1")</f>
        <v>B1</v>
      </c>
      <c r="B1984" s="255" t="str">
        <f>IF(VLOOKUP($A1984,Players!$A$2:$C$132,3)&lt;&gt;0,VLOOKUP($A1984,Players!$A$2:$C$132,3),"")</f>
        <v/>
      </c>
      <c r="C1984" s="255"/>
      <c r="D1984" s="255"/>
      <c r="E1984" s="255"/>
      <c r="F1984" s="255"/>
      <c r="G1984" s="254" t="str">
        <f>IF(VLOOKUP($I1977&amp;RIGHT($A1984,1),Players!$A$2:$D$132,3)&lt;&gt;0,VLOOKUP($I1977&amp;RIGHT($A1984,1),Players!$A$2:$D$132,3),"")</f>
        <v/>
      </c>
      <c r="H1984" s="254"/>
      <c r="I1984" s="254"/>
      <c r="J1984" s="210" t="str">
        <f>IF(VLOOKUP($I1977&amp;RIGHT($A1984,1),Players!$A$2:$D$132,3)&lt;&gt;0,"("&amp;VLOOKUP($I1977&amp;RIGHT($A1984,1),Players!$A$2:$D$132,4)&amp;")","")</f>
        <v/>
      </c>
    </row>
    <row r="1985" spans="1:10" ht="25.5" customHeight="1">
      <c r="A1985" s="50" t="str">
        <f>CONCATENATE($D1977,"2")</f>
        <v>B2</v>
      </c>
      <c r="B1985" s="255" t="str">
        <f>IF(VLOOKUP($A1985,Players!$A$2:$C$132,3)&lt;&gt;0,VLOOKUP($A1985,Players!$A$2:$C$132,3),"")</f>
        <v/>
      </c>
      <c r="C1985" s="255"/>
      <c r="D1985" s="255"/>
      <c r="E1985" s="255"/>
      <c r="F1985" s="255"/>
      <c r="G1985" s="254" t="str">
        <f>IF(VLOOKUP($I1977&amp;RIGHT($A1985,1),Players!$A$2:$D$132,3)&lt;&gt;0,VLOOKUP($I1977&amp;RIGHT($A1985,1),Players!$A$2:$D$132,3),"")</f>
        <v/>
      </c>
      <c r="H1985" s="254"/>
      <c r="I1985" s="254"/>
      <c r="J1985" s="210" t="str">
        <f>IF(VLOOKUP($I1977&amp;RIGHT($A1985,1),Players!$A$2:$D$132,3)&lt;&gt;0,"("&amp;VLOOKUP($I1977&amp;RIGHT($A1985,1),Players!$A$2:$D$132,4)&amp;")","")</f>
        <v/>
      </c>
    </row>
    <row r="1986" spans="1:10" ht="25.5" customHeight="1">
      <c r="A1986" s="50" t="str">
        <f>CONCATENATE($D1977,"3")</f>
        <v>B3</v>
      </c>
      <c r="B1986" s="255" t="str">
        <f>IF(VLOOKUP($A1986,Players!$A$2:$C$132,3)&lt;&gt;0,VLOOKUP($A1986,Players!$A$2:$C$132,3),"")</f>
        <v/>
      </c>
      <c r="C1986" s="255"/>
      <c r="D1986" s="255"/>
      <c r="E1986" s="255"/>
      <c r="F1986" s="255"/>
      <c r="G1986" s="254" t="str">
        <f>IF(VLOOKUP($I1977&amp;RIGHT($A1986,1),Players!$A$2:$D$132,3)&lt;&gt;0,VLOOKUP($I1977&amp;RIGHT($A1986,1),Players!$A$2:$D$132,3),"")</f>
        <v/>
      </c>
      <c r="H1986" s="254"/>
      <c r="I1986" s="254"/>
      <c r="J1986" s="210" t="str">
        <f>IF(VLOOKUP($I1977&amp;RIGHT($A1986,1),Players!$A$2:$D$132,3)&lt;&gt;0,"("&amp;VLOOKUP($I1977&amp;RIGHT($A1986,1),Players!$A$2:$D$132,4)&amp;")","")</f>
        <v/>
      </c>
    </row>
    <row r="1987" spans="1:10" ht="25.5" customHeight="1">
      <c r="A1987" s="50" t="str">
        <f>CONCATENATE($D1977,"4")</f>
        <v>B4</v>
      </c>
      <c r="B1987" s="255" t="str">
        <f>IF(VLOOKUP($A1987,Players!$A$2:$C$132,3)&lt;&gt;0,VLOOKUP($A1987,Players!$A$2:$C$132,3),"")</f>
        <v/>
      </c>
      <c r="C1987" s="255"/>
      <c r="D1987" s="255"/>
      <c r="E1987" s="255"/>
      <c r="F1987" s="255"/>
      <c r="G1987" s="254" t="str">
        <f>IF(VLOOKUP($I1977&amp;RIGHT($A1987,1),Players!$A$2:$D$132,3)&lt;&gt;0,VLOOKUP($I1977&amp;RIGHT($A1987,1),Players!$A$2:$D$132,3),"")</f>
        <v/>
      </c>
      <c r="H1987" s="254"/>
      <c r="I1987" s="254"/>
      <c r="J1987" s="210" t="str">
        <f>IF(VLOOKUP($I1977&amp;RIGHT($A1987,1),Players!$A$2:$D$132,3)&lt;&gt;0,"("&amp;VLOOKUP($I1977&amp;RIGHT($A1987,1),Players!$A$2:$D$132,4)&amp;")","")</f>
        <v/>
      </c>
    </row>
    <row r="1988" spans="1:10" ht="25.5" customHeight="1">
      <c r="A1988" s="50" t="str">
        <f>CONCATENATE($D1977,"5")</f>
        <v>B5</v>
      </c>
      <c r="B1988" s="255" t="str">
        <f>IF(VLOOKUP($A1988,Players!$A$2:$C$132,3)&lt;&gt;0,VLOOKUP($A1988,Players!$A$2:$C$132,3),"")</f>
        <v/>
      </c>
      <c r="C1988" s="255"/>
      <c r="D1988" s="255"/>
      <c r="E1988" s="255"/>
      <c r="F1988" s="255"/>
      <c r="G1988" s="254" t="str">
        <f>IF(VLOOKUP($I1977&amp;RIGHT($A1988,1),Players!$A$2:$D$132,3)&lt;&gt;0,VLOOKUP($I1977&amp;RIGHT($A1988,1),Players!$A$2:$D$132,3),"")</f>
        <v/>
      </c>
      <c r="H1988" s="254"/>
      <c r="I1988" s="254"/>
      <c r="J1988" s="210" t="str">
        <f>IF(VLOOKUP($I1977&amp;RIGHT($A1988,1),Players!$A$2:$D$132,3)&lt;&gt;0,"("&amp;VLOOKUP($I1977&amp;RIGHT($A1988,1),Players!$A$2:$D$132,4)&amp;")","")</f>
        <v/>
      </c>
    </row>
    <row r="1989" spans="1:10" ht="25.5" customHeight="1">
      <c r="A1989" s="50" t="str">
        <f>CONCATENATE($D1977,"6")</f>
        <v>B6</v>
      </c>
      <c r="B1989" s="255" t="str">
        <f>IF(VLOOKUP($A1989,Players!$A$2:$C$132,3)&lt;&gt;0,VLOOKUP($A1989,Players!$A$2:$C$132,3),"")</f>
        <v/>
      </c>
      <c r="C1989" s="255"/>
      <c r="D1989" s="255"/>
      <c r="E1989" s="255"/>
      <c r="F1989" s="255"/>
      <c r="G1989" s="254" t="str">
        <f>IF(VLOOKUP($I1977&amp;RIGHT($A1989,1),Players!$A$2:$D$132,3)&lt;&gt;0,VLOOKUP($I1977&amp;RIGHT($A1989,1),Players!$A$2:$D$132,3),"")</f>
        <v/>
      </c>
      <c r="H1989" s="254"/>
      <c r="I1989" s="254"/>
      <c r="J1989" s="210" t="str">
        <f>IF(VLOOKUP($I1977&amp;RIGHT($A1989,1),Players!$A$2:$D$132,3)&lt;&gt;0,"("&amp;VLOOKUP($I1977&amp;RIGHT($A1989,1),Players!$A$2:$D$132,4)&amp;")","")</f>
        <v/>
      </c>
    </row>
    <row r="1990" spans="1:10" ht="25.5" customHeight="1">
      <c r="A1990" s="50" t="str">
        <f>CONCATENATE($D1977,"7")</f>
        <v>B7</v>
      </c>
      <c r="B1990" s="255" t="str">
        <f>IF(VLOOKUP($A1990,Players!$A$2:$C$132,3)&lt;&gt;0,VLOOKUP($A1990,Players!$A$2:$C$132,3),"")</f>
        <v/>
      </c>
      <c r="C1990" s="255"/>
      <c r="D1990" s="255"/>
      <c r="E1990" s="255"/>
      <c r="F1990" s="255"/>
      <c r="G1990" s="254" t="str">
        <f>IF(VLOOKUP($I1977&amp;RIGHT($A1990,1),Players!$A$2:$D$132,3)&lt;&gt;0,VLOOKUP($I1977&amp;RIGHT($A1990,1),Players!$A$2:$D$132,3),"")</f>
        <v/>
      </c>
      <c r="H1990" s="254"/>
      <c r="I1990" s="254"/>
      <c r="J1990" s="210" t="str">
        <f>IF(VLOOKUP($I1977&amp;RIGHT($A1990,1),Players!$A$2:$D$132,3)&lt;&gt;0,"("&amp;VLOOKUP($I1977&amp;RIGHT($A1990,1),Players!$A$2:$D$132,4)&amp;")","")</f>
        <v/>
      </c>
    </row>
    <row r="1991" spans="1:10" ht="25.5" customHeight="1">
      <c r="A1991" s="50" t="str">
        <f>CONCATENATE($D1977,"8")</f>
        <v>B8</v>
      </c>
      <c r="B1991" s="255" t="str">
        <f>IF(VLOOKUP($A1991,Players!$A$2:$C$132,3)&lt;&gt;0,VLOOKUP($A1991,Players!$A$2:$C$132,3),"")</f>
        <v/>
      </c>
      <c r="C1991" s="255"/>
      <c r="D1991" s="255"/>
      <c r="E1991" s="255"/>
      <c r="F1991" s="255"/>
      <c r="G1991" s="254" t="str">
        <f>IF(VLOOKUP($I1977&amp;RIGHT($A1991,1),Players!$A$2:$D$132,3)&lt;&gt;0,VLOOKUP($I1977&amp;RIGHT($A1991,1),Players!$A$2:$D$132,3),"")</f>
        <v/>
      </c>
      <c r="H1991" s="254"/>
      <c r="I1991" s="254"/>
      <c r="J1991" s="210" t="str">
        <f>IF(VLOOKUP($I1977&amp;RIGHT($A1991,1),Players!$A$2:$D$132,3)&lt;&gt;0,"("&amp;VLOOKUP($I1977&amp;RIGHT($A1991,1),Players!$A$2:$D$132,4)&amp;")","")</f>
        <v/>
      </c>
    </row>
    <row r="1992" spans="1:10" ht="25.5" customHeight="1">
      <c r="A1992" s="50"/>
      <c r="B1992" s="26"/>
      <c r="C1992" s="26"/>
      <c r="D1992" s="26"/>
      <c r="E1992" s="26"/>
      <c r="F1992" s="27"/>
      <c r="G1992" s="43"/>
      <c r="H1992" s="43"/>
      <c r="I1992" s="43"/>
      <c r="J1992" s="43"/>
    </row>
    <row r="1993" spans="1:10">
      <c r="A1993" s="49" t="s">
        <v>1225</v>
      </c>
      <c r="B1993" s="46"/>
      <c r="C1993" s="46"/>
      <c r="D1993" s="46"/>
      <c r="E1993" s="46"/>
      <c r="F1993" s="46"/>
      <c r="G1993" s="43"/>
      <c r="H1993" s="43"/>
      <c r="I1993" s="43"/>
      <c r="J1993" s="43"/>
    </row>
    <row r="1994" spans="1:10">
      <c r="A1994" s="46" t="s">
        <v>1247</v>
      </c>
      <c r="B1994" s="46"/>
      <c r="C1994" s="46"/>
      <c r="D1994" s="46"/>
      <c r="E1994" s="46"/>
      <c r="F1994" s="46"/>
      <c r="G1994" s="43"/>
      <c r="H1994" s="43"/>
      <c r="I1994" s="43"/>
      <c r="J1994" s="43"/>
    </row>
    <row r="1995" spans="1:10">
      <c r="A1995" s="46" t="s">
        <v>1248</v>
      </c>
      <c r="B1995" s="46"/>
      <c r="C1995" s="46"/>
      <c r="D1995" s="46"/>
      <c r="E1995" s="46"/>
      <c r="F1995" s="46"/>
      <c r="G1995" s="43"/>
      <c r="H1995" s="43"/>
      <c r="I1995" s="43"/>
      <c r="J1995" s="43"/>
    </row>
    <row r="1996" spans="1:10" ht="13.5" thickBot="1">
      <c r="A1996" s="46"/>
      <c r="B1996" s="46"/>
      <c r="C1996" s="46"/>
      <c r="D1996" s="46"/>
      <c r="E1996" s="46"/>
      <c r="F1996" s="46"/>
      <c r="G1996" s="43"/>
      <c r="H1996" s="43"/>
      <c r="I1996" s="43"/>
      <c r="J1996" s="43"/>
    </row>
    <row r="1997" spans="1:10" ht="25.5" customHeight="1" thickBot="1">
      <c r="A1997" s="50"/>
      <c r="B1997" s="257"/>
      <c r="C1997" s="258"/>
      <c r="D1997" s="258"/>
      <c r="E1997" s="258"/>
      <c r="F1997" s="259"/>
      <c r="G1997" s="43"/>
      <c r="H1997" s="43"/>
      <c r="I1997" s="43"/>
      <c r="J1997" s="43"/>
    </row>
    <row r="1998" spans="1:10">
      <c r="A1998" s="43"/>
      <c r="B1998" s="43"/>
      <c r="C1998" s="43"/>
      <c r="D1998" s="43"/>
      <c r="E1998" s="43"/>
      <c r="F1998" s="43"/>
      <c r="G1998" s="43"/>
      <c r="H1998" s="43"/>
      <c r="I1998" s="43"/>
      <c r="J1998" s="43"/>
    </row>
    <row r="1999" spans="1:10">
      <c r="A1999" s="43"/>
      <c r="B1999" s="43"/>
      <c r="C1999" s="43"/>
      <c r="D1999" s="43"/>
      <c r="E1999" s="43"/>
      <c r="F1999" s="43"/>
      <c r="G1999" s="43"/>
      <c r="H1999" s="43"/>
      <c r="I1999" s="43"/>
      <c r="J1999" s="43"/>
    </row>
    <row r="2000" spans="1:10">
      <c r="A2000" s="43"/>
      <c r="B2000" s="43"/>
      <c r="C2000" s="43"/>
      <c r="D2000" s="43"/>
      <c r="E2000" s="43"/>
      <c r="F2000" s="43"/>
      <c r="G2000" s="43"/>
      <c r="H2000" s="43"/>
      <c r="I2000" s="43"/>
      <c r="J2000" s="43"/>
    </row>
    <row r="2001" spans="1:10">
      <c r="A2001" s="43"/>
      <c r="B2001" s="43"/>
      <c r="C2001" s="43"/>
      <c r="D2001" s="43"/>
      <c r="E2001" s="43"/>
      <c r="F2001" s="43"/>
      <c r="G2001" s="43"/>
      <c r="H2001" s="43"/>
      <c r="I2001" s="43"/>
      <c r="J2001" s="43"/>
    </row>
    <row r="2002" spans="1:10">
      <c r="A2002" s="43"/>
      <c r="B2002" s="43"/>
      <c r="C2002" s="43"/>
      <c r="D2002" s="43"/>
      <c r="E2002" s="43"/>
      <c r="F2002" s="43"/>
      <c r="G2002" s="43"/>
      <c r="H2002" s="43"/>
      <c r="I2002" s="43"/>
      <c r="J2002" s="43"/>
    </row>
    <row r="2003" spans="1:10" ht="25.5" customHeight="1">
      <c r="A2003" s="47"/>
      <c r="B2003" s="47"/>
      <c r="C2003" s="47"/>
      <c r="D2003" s="47"/>
      <c r="E2003" s="47"/>
      <c r="F2003" s="43"/>
      <c r="G2003" s="51"/>
      <c r="H2003" s="250" t="s">
        <v>1227</v>
      </c>
      <c r="I2003" s="251"/>
      <c r="J2003" s="43"/>
    </row>
    <row r="2004" spans="1:10">
      <c r="A2004" s="43" t="s">
        <v>1226</v>
      </c>
      <c r="B2004" s="43"/>
      <c r="C2004" s="43"/>
      <c r="D2004" s="43"/>
      <c r="E2004" s="43"/>
      <c r="F2004" s="43"/>
      <c r="G2004" s="43"/>
      <c r="H2004" s="43"/>
      <c r="I2004" s="43"/>
      <c r="J2004" s="43"/>
    </row>
    <row r="2005" spans="1:10">
      <c r="A2005" s="43"/>
      <c r="B2005" s="43"/>
      <c r="C2005" s="43"/>
      <c r="D2005" s="43"/>
      <c r="E2005" s="43"/>
      <c r="F2005" s="43"/>
      <c r="G2005" s="43"/>
      <c r="H2005" s="43"/>
      <c r="I2005" s="43"/>
      <c r="J2005" s="43"/>
    </row>
    <row r="2006" spans="1:10">
      <c r="A2006" s="43"/>
      <c r="B2006" s="43"/>
      <c r="C2006" s="43"/>
      <c r="D2006" s="43"/>
      <c r="E2006" s="256" t="str">
        <f>CONCATENATE("(",$D1977," vs ",$I1977,")")</f>
        <v>(B vs H)</v>
      </c>
      <c r="F2006" s="256"/>
      <c r="G2006" s="43"/>
      <c r="H2006" s="43"/>
      <c r="I2006" s="43"/>
      <c r="J2006" s="43"/>
    </row>
    <row r="2007" spans="1:10" ht="15.75">
      <c r="A2007" s="42" t="s">
        <v>1223</v>
      </c>
      <c r="B2007" s="43"/>
      <c r="C2007" s="43"/>
      <c r="D2007" s="43"/>
      <c r="E2007" s="43"/>
      <c r="F2007" s="43"/>
      <c r="G2007" s="43"/>
      <c r="H2007" s="43"/>
      <c r="I2007" s="43"/>
      <c r="J2007" s="96" t="s">
        <v>4278</v>
      </c>
    </row>
    <row r="2008" spans="1:10" ht="12.75" customHeight="1">
      <c r="A2008" s="42"/>
      <c r="B2008" s="43"/>
      <c r="C2008" s="43"/>
      <c r="D2008" s="43"/>
      <c r="E2008" s="43"/>
      <c r="F2008" s="43"/>
      <c r="G2008" s="43" t="str">
        <f ca="1">Team_Matches!$J$6</f>
        <v>[NCTTA Teams Template (v2.06).xlsx]</v>
      </c>
      <c r="H2008" s="43"/>
      <c r="I2008" s="43"/>
      <c r="J2008" s="160"/>
    </row>
    <row r="2009" spans="1:10" ht="12.75" customHeight="1">
      <c r="A2009" s="42"/>
      <c r="B2009" s="43"/>
      <c r="C2009" s="43"/>
      <c r="D2009" s="43"/>
      <c r="E2009" s="43"/>
      <c r="F2009" s="43"/>
      <c r="G2009" s="247" t="str">
        <f>Team_Matches!$J1486</f>
        <v/>
      </c>
      <c r="H2009" s="247"/>
      <c r="I2009" s="161" t="str">
        <f>Team_Matches!$M1486</f>
        <v/>
      </c>
      <c r="J2009" s="161"/>
    </row>
    <row r="2010" spans="1:10" ht="15.75">
      <c r="A2010" s="42"/>
      <c r="B2010" s="43"/>
      <c r="C2010" s="43"/>
      <c r="D2010" s="43"/>
      <c r="E2010" s="43"/>
      <c r="F2010" s="43"/>
      <c r="G2010" s="43"/>
      <c r="H2010" s="43"/>
      <c r="I2010" s="43"/>
      <c r="J2010" s="43"/>
    </row>
    <row r="2011" spans="1:10">
      <c r="A2011" s="43"/>
      <c r="B2011" s="43"/>
      <c r="C2011" s="9" t="s">
        <v>1228</v>
      </c>
      <c r="D2011" s="52" t="str">
        <f>Team_Matches!$B1488</f>
        <v>B</v>
      </c>
      <c r="E2011" s="43"/>
      <c r="F2011" s="97" t="str">
        <f>CONCATENATE($D2011,"-",$I2011)</f>
        <v>B-H</v>
      </c>
      <c r="G2011" s="43"/>
      <c r="H2011" s="9" t="s">
        <v>1228</v>
      </c>
      <c r="I2011" s="52" t="str">
        <f>Team_Matches!$K1488</f>
        <v>H</v>
      </c>
      <c r="J2011" s="43"/>
    </row>
    <row r="2012" spans="1:10" ht="25.5" customHeight="1">
      <c r="A2012" s="44"/>
      <c r="B2012" s="252" t="str">
        <f>IF(VLOOKUP($D2011,Draw!$A$4:$B$27,2)&lt;&gt;0,VLOOKUP($D2011,Draw!$A$4:$B$27,2),"")</f>
        <v/>
      </c>
      <c r="C2012" s="252"/>
      <c r="D2012" s="252"/>
      <c r="E2012" s="253"/>
      <c r="F2012" s="45"/>
      <c r="G2012" s="248" t="str">
        <f>IF(VLOOKUP($I2011,Draw!$A$4:$B$27,2)&lt;&gt;0,VLOOKUP($I2011,Draw!$A$4:$B$27,2),"")</f>
        <v/>
      </c>
      <c r="H2012" s="248"/>
      <c r="I2012" s="248"/>
      <c r="J2012" s="249"/>
    </row>
    <row r="2013" spans="1:10" ht="25.5" customHeight="1"/>
    <row r="2014" spans="1:10" ht="25.5" customHeight="1"/>
    <row r="2015" spans="1:10" ht="24" customHeight="1">
      <c r="A2015" s="48" t="s">
        <v>1246</v>
      </c>
      <c r="B2015" s="43"/>
      <c r="C2015" s="43"/>
      <c r="D2015" s="43"/>
      <c r="E2015" s="43"/>
      <c r="F2015" s="43"/>
      <c r="G2015" s="43"/>
      <c r="H2015" s="43"/>
      <c r="I2015" s="43"/>
      <c r="J2015" s="43"/>
    </row>
    <row r="2016" spans="1:10" ht="24" customHeight="1">
      <c r="A2016" s="48"/>
      <c r="B2016" s="43"/>
      <c r="C2016" s="43"/>
      <c r="D2016" s="43"/>
      <c r="E2016" s="43"/>
      <c r="F2016" s="43"/>
      <c r="G2016" s="43"/>
      <c r="H2016" s="43"/>
      <c r="I2016" s="43"/>
      <c r="J2016" s="43"/>
    </row>
    <row r="2017" spans="1:10">
      <c r="A2017" s="49" t="s">
        <v>1224</v>
      </c>
      <c r="B2017" s="46"/>
      <c r="C2017" s="46"/>
      <c r="D2017" s="46"/>
      <c r="E2017" s="46"/>
      <c r="F2017" s="46"/>
      <c r="G2017" s="260" t="s">
        <v>10336</v>
      </c>
      <c r="H2017" s="260"/>
      <c r="I2017" s="260"/>
      <c r="J2017" s="260"/>
    </row>
    <row r="2018" spans="1:10" ht="24" customHeight="1">
      <c r="A2018" s="50" t="str">
        <f>CONCATENATE($I2011,"1")</f>
        <v>H1</v>
      </c>
      <c r="B2018" s="255" t="str">
        <f>IF(VLOOKUP($A2018,Players!$A$2:$C$132,3)&lt;&gt;0,VLOOKUP($A2018,Players!$A$2:$C$132,3),"")</f>
        <v/>
      </c>
      <c r="C2018" s="255"/>
      <c r="D2018" s="255"/>
      <c r="E2018" s="255"/>
      <c r="F2018" s="255"/>
      <c r="G2018" s="254" t="str">
        <f>IF(VLOOKUP($D2011&amp;RIGHT($A2018,1),Players!$A$2:$D$132,3)&lt;&gt;0,VLOOKUP($D2011&amp;RIGHT($A2018,1),Players!$A$2:$D$132,3),"")</f>
        <v/>
      </c>
      <c r="H2018" s="254"/>
      <c r="I2018" s="254"/>
      <c r="J2018" s="210" t="str">
        <f>IF(VLOOKUP($D2011&amp;RIGHT($A2018,1),Players!$A$2:$D$132,3)&lt;&gt;0,"("&amp;VLOOKUP($D2011&amp;RIGHT($A2018,1),Players!$A$2:$D$132,4)&amp;")","")</f>
        <v/>
      </c>
    </row>
    <row r="2019" spans="1:10" ht="25.5" customHeight="1">
      <c r="A2019" s="50" t="str">
        <f>CONCATENATE($I2011,"2")</f>
        <v>H2</v>
      </c>
      <c r="B2019" s="255" t="str">
        <f>IF(VLOOKUP($A2019,Players!$A$2:$C$132,3)&lt;&gt;0,VLOOKUP($A2019,Players!$A$2:$C$132,3),"")</f>
        <v/>
      </c>
      <c r="C2019" s="255"/>
      <c r="D2019" s="255"/>
      <c r="E2019" s="255"/>
      <c r="F2019" s="255"/>
      <c r="G2019" s="254" t="str">
        <f>IF(VLOOKUP($D2011&amp;RIGHT($A2019,1),Players!$A$2:$D$132,3)&lt;&gt;0,VLOOKUP($D2011&amp;RIGHT($A2019,1),Players!$A$2:$D$132,3),"")</f>
        <v/>
      </c>
      <c r="H2019" s="254"/>
      <c r="I2019" s="254"/>
      <c r="J2019" s="210" t="str">
        <f>IF(VLOOKUP($D2011&amp;RIGHT($A2019,1),Players!$A$2:$D$132,3)&lt;&gt;0,"("&amp;VLOOKUP($D2011&amp;RIGHT($A2019,1),Players!$A$2:$D$132,4)&amp;")","")</f>
        <v/>
      </c>
    </row>
    <row r="2020" spans="1:10" ht="25.5" customHeight="1">
      <c r="A2020" s="50" t="str">
        <f>CONCATENATE($I2011,"3")</f>
        <v>H3</v>
      </c>
      <c r="B2020" s="255" t="str">
        <f>IF(VLOOKUP($A2020,Players!$A$2:$C$132,3)&lt;&gt;0,VLOOKUP($A2020,Players!$A$2:$C$132,3),"")</f>
        <v/>
      </c>
      <c r="C2020" s="255"/>
      <c r="D2020" s="255"/>
      <c r="E2020" s="255"/>
      <c r="F2020" s="255"/>
      <c r="G2020" s="254" t="str">
        <f>IF(VLOOKUP($D2011&amp;RIGHT($A2020,1),Players!$A$2:$D$132,3)&lt;&gt;0,VLOOKUP($D2011&amp;RIGHT($A2020,1),Players!$A$2:$D$132,3),"")</f>
        <v/>
      </c>
      <c r="H2020" s="254"/>
      <c r="I2020" s="254"/>
      <c r="J2020" s="210" t="str">
        <f>IF(VLOOKUP($D2011&amp;RIGHT($A2020,1),Players!$A$2:$D$132,3)&lt;&gt;0,"("&amp;VLOOKUP($D2011&amp;RIGHT($A2020,1),Players!$A$2:$D$132,4)&amp;")","")</f>
        <v/>
      </c>
    </row>
    <row r="2021" spans="1:10" ht="25.5" customHeight="1">
      <c r="A2021" s="50" t="str">
        <f>CONCATENATE($I2011,"4")</f>
        <v>H4</v>
      </c>
      <c r="B2021" s="255" t="str">
        <f>IF(VLOOKUP($A2021,Players!$A$2:$C$132,3)&lt;&gt;0,VLOOKUP($A2021,Players!$A$2:$C$132,3),"")</f>
        <v/>
      </c>
      <c r="C2021" s="255"/>
      <c r="D2021" s="255"/>
      <c r="E2021" s="255"/>
      <c r="F2021" s="255"/>
      <c r="G2021" s="254" t="str">
        <f>IF(VLOOKUP($D2011&amp;RIGHT($A2021,1),Players!$A$2:$D$132,3)&lt;&gt;0,VLOOKUP($D2011&amp;RIGHT($A2021,1),Players!$A$2:$D$132,3),"")</f>
        <v/>
      </c>
      <c r="H2021" s="254"/>
      <c r="I2021" s="254"/>
      <c r="J2021" s="210" t="str">
        <f>IF(VLOOKUP($D2011&amp;RIGHT($A2021,1),Players!$A$2:$D$132,3)&lt;&gt;0,"("&amp;VLOOKUP($D2011&amp;RIGHT($A2021,1),Players!$A$2:$D$132,4)&amp;")","")</f>
        <v/>
      </c>
    </row>
    <row r="2022" spans="1:10" ht="25.5" customHeight="1">
      <c r="A2022" s="50" t="str">
        <f>CONCATENATE($I2011,"5")</f>
        <v>H5</v>
      </c>
      <c r="B2022" s="255" t="str">
        <f>IF(VLOOKUP($A2022,Players!$A$2:$C$132,3)&lt;&gt;0,VLOOKUP($A2022,Players!$A$2:$C$132,3),"")</f>
        <v/>
      </c>
      <c r="C2022" s="255"/>
      <c r="D2022" s="255"/>
      <c r="E2022" s="255"/>
      <c r="F2022" s="255"/>
      <c r="G2022" s="254" t="str">
        <f>IF(VLOOKUP($D2011&amp;RIGHT($A2022,1),Players!$A$2:$D$132,3)&lt;&gt;0,VLOOKUP($D2011&amp;RIGHT($A2022,1),Players!$A$2:$D$132,3),"")</f>
        <v/>
      </c>
      <c r="H2022" s="254"/>
      <c r="I2022" s="254"/>
      <c r="J2022" s="210" t="str">
        <f>IF(VLOOKUP($D2011&amp;RIGHT($A2022,1),Players!$A$2:$D$132,3)&lt;&gt;0,"("&amp;VLOOKUP($D2011&amp;RIGHT($A2022,1),Players!$A$2:$D$132,4)&amp;")","")</f>
        <v/>
      </c>
    </row>
    <row r="2023" spans="1:10" ht="25.5" customHeight="1">
      <c r="A2023" s="50" t="str">
        <f>CONCATENATE($I2011,"6")</f>
        <v>H6</v>
      </c>
      <c r="B2023" s="255" t="str">
        <f>IF(VLOOKUP($A2023,Players!$A$2:$C$132,3)&lt;&gt;0,VLOOKUP($A2023,Players!$A$2:$C$132,3),"")</f>
        <v/>
      </c>
      <c r="C2023" s="255"/>
      <c r="D2023" s="255"/>
      <c r="E2023" s="255"/>
      <c r="F2023" s="255"/>
      <c r="G2023" s="254" t="str">
        <f>IF(VLOOKUP($D2011&amp;RIGHT($A2023,1),Players!$A$2:$D$132,3)&lt;&gt;0,VLOOKUP($D2011&amp;RIGHT($A2023,1),Players!$A$2:$D$132,3),"")</f>
        <v/>
      </c>
      <c r="H2023" s="254"/>
      <c r="I2023" s="254"/>
      <c r="J2023" s="210" t="str">
        <f>IF(VLOOKUP($D2011&amp;RIGHT($A2023,1),Players!$A$2:$D$132,3)&lt;&gt;0,"("&amp;VLOOKUP($D2011&amp;RIGHT($A2023,1),Players!$A$2:$D$132,4)&amp;")","")</f>
        <v/>
      </c>
    </row>
    <row r="2024" spans="1:10" ht="25.5" customHeight="1">
      <c r="A2024" s="50" t="str">
        <f>CONCATENATE($I2011,"7")</f>
        <v>H7</v>
      </c>
      <c r="B2024" s="255" t="str">
        <f>IF(VLOOKUP($A2024,Players!$A$2:$C$132,3)&lt;&gt;0,VLOOKUP($A2024,Players!$A$2:$C$132,3),"")</f>
        <v/>
      </c>
      <c r="C2024" s="255"/>
      <c r="D2024" s="255"/>
      <c r="E2024" s="255"/>
      <c r="F2024" s="255"/>
      <c r="G2024" s="254" t="str">
        <f>IF(VLOOKUP($D2011&amp;RIGHT($A2024,1),Players!$A$2:$D$132,3)&lt;&gt;0,VLOOKUP($D2011&amp;RIGHT($A2024,1),Players!$A$2:$D$132,3),"")</f>
        <v/>
      </c>
      <c r="H2024" s="254"/>
      <c r="I2024" s="254"/>
      <c r="J2024" s="210" t="str">
        <f>IF(VLOOKUP($D2011&amp;RIGHT($A2024,1),Players!$A$2:$D$132,3)&lt;&gt;0,"("&amp;VLOOKUP($D2011&amp;RIGHT($A2024,1),Players!$A$2:$D$132,4)&amp;")","")</f>
        <v/>
      </c>
    </row>
    <row r="2025" spans="1:10" ht="25.5" customHeight="1">
      <c r="A2025" s="50" t="str">
        <f>CONCATENATE($I2011,"8")</f>
        <v>H8</v>
      </c>
      <c r="B2025" s="255" t="str">
        <f>IF(VLOOKUP($A2025,Players!$A$2:$C$132,3)&lt;&gt;0,VLOOKUP($A2025,Players!$A$2:$C$132,3),"")</f>
        <v/>
      </c>
      <c r="C2025" s="255"/>
      <c r="D2025" s="255"/>
      <c r="E2025" s="255"/>
      <c r="F2025" s="255"/>
      <c r="G2025" s="254" t="str">
        <f>IF(VLOOKUP($D2011&amp;RIGHT($A2025,1),Players!$A$2:$D$132,3)&lt;&gt;0,VLOOKUP($D2011&amp;RIGHT($A2025,1),Players!$A$2:$D$132,3),"")</f>
        <v/>
      </c>
      <c r="H2025" s="254"/>
      <c r="I2025" s="254"/>
      <c r="J2025" s="210" t="str">
        <f>IF(VLOOKUP($D2011&amp;RIGHT($A2025,1),Players!$A$2:$D$132,3)&lt;&gt;0,"("&amp;VLOOKUP($D2011&amp;RIGHT($A2025,1),Players!$A$2:$D$132,4)&amp;")","")</f>
        <v/>
      </c>
    </row>
    <row r="2026" spans="1:10" ht="25.5" customHeight="1">
      <c r="A2026" s="50"/>
      <c r="B2026" s="26"/>
      <c r="C2026" s="26"/>
      <c r="D2026" s="26"/>
      <c r="E2026" s="26"/>
      <c r="F2026" s="27"/>
      <c r="G2026" s="43"/>
      <c r="H2026" s="43"/>
      <c r="I2026" s="43"/>
      <c r="J2026" s="43"/>
    </row>
    <row r="2027" spans="1:10">
      <c r="A2027" s="49" t="s">
        <v>1225</v>
      </c>
      <c r="B2027" s="46"/>
      <c r="C2027" s="46"/>
      <c r="D2027" s="46"/>
      <c r="E2027" s="46"/>
      <c r="F2027" s="46"/>
      <c r="G2027" s="43"/>
      <c r="H2027" s="43"/>
      <c r="I2027" s="43"/>
      <c r="J2027" s="43"/>
    </row>
    <row r="2028" spans="1:10">
      <c r="A2028" s="46" t="s">
        <v>1247</v>
      </c>
      <c r="B2028" s="46"/>
      <c r="C2028" s="46"/>
      <c r="D2028" s="46"/>
      <c r="E2028" s="46"/>
      <c r="F2028" s="46"/>
      <c r="G2028" s="43"/>
      <c r="H2028" s="43"/>
      <c r="I2028" s="43"/>
      <c r="J2028" s="43"/>
    </row>
    <row r="2029" spans="1:10">
      <c r="A2029" s="46" t="s">
        <v>1248</v>
      </c>
      <c r="B2029" s="46"/>
      <c r="C2029" s="46"/>
      <c r="D2029" s="46"/>
      <c r="E2029" s="46"/>
      <c r="F2029" s="46"/>
      <c r="G2029" s="43"/>
      <c r="H2029" s="43"/>
      <c r="I2029" s="43"/>
      <c r="J2029" s="43"/>
    </row>
    <row r="2030" spans="1:10" ht="13.5" thickBot="1">
      <c r="A2030" s="46"/>
      <c r="B2030" s="46"/>
      <c r="C2030" s="46"/>
      <c r="D2030" s="46"/>
      <c r="E2030" s="46"/>
      <c r="F2030" s="46"/>
      <c r="G2030" s="43"/>
      <c r="H2030" s="43"/>
      <c r="I2030" s="43"/>
      <c r="J2030" s="43"/>
    </row>
    <row r="2031" spans="1:10" ht="25.5" customHeight="1" thickBot="1">
      <c r="A2031" s="50"/>
      <c r="B2031" s="257"/>
      <c r="C2031" s="258"/>
      <c r="D2031" s="258"/>
      <c r="E2031" s="258"/>
      <c r="F2031" s="259"/>
      <c r="G2031" s="43"/>
      <c r="H2031" s="43"/>
      <c r="I2031" s="43"/>
      <c r="J2031" s="43"/>
    </row>
    <row r="2032" spans="1:10">
      <c r="A2032" s="43"/>
      <c r="B2032" s="43"/>
      <c r="C2032" s="43"/>
      <c r="D2032" s="43"/>
      <c r="E2032" s="43"/>
      <c r="F2032" s="43"/>
      <c r="G2032" s="43"/>
      <c r="H2032" s="43"/>
      <c r="I2032" s="43"/>
      <c r="J2032" s="43"/>
    </row>
    <row r="2033" spans="1:10">
      <c r="A2033" s="43"/>
      <c r="B2033" s="43"/>
      <c r="C2033" s="43"/>
      <c r="D2033" s="43"/>
      <c r="E2033" s="43"/>
      <c r="F2033" s="43"/>
      <c r="G2033" s="43"/>
      <c r="H2033" s="43"/>
      <c r="I2033" s="43"/>
      <c r="J2033" s="43"/>
    </row>
    <row r="2034" spans="1:10">
      <c r="A2034" s="43"/>
      <c r="B2034" s="43"/>
      <c r="C2034" s="43"/>
      <c r="D2034" s="43"/>
      <c r="E2034" s="43"/>
      <c r="F2034" s="43"/>
      <c r="G2034" s="43"/>
      <c r="H2034" s="43"/>
      <c r="I2034" s="43"/>
      <c r="J2034" s="43"/>
    </row>
    <row r="2035" spans="1:10">
      <c r="A2035" s="43"/>
      <c r="B2035" s="43"/>
      <c r="C2035" s="43"/>
      <c r="D2035" s="43"/>
      <c r="E2035" s="43"/>
      <c r="F2035" s="43"/>
      <c r="G2035" s="43"/>
      <c r="H2035" s="43"/>
      <c r="I2035" s="43"/>
      <c r="J2035" s="43"/>
    </row>
    <row r="2036" spans="1:10">
      <c r="A2036" s="43"/>
      <c r="B2036" s="43"/>
      <c r="C2036" s="43"/>
      <c r="D2036" s="43"/>
      <c r="E2036" s="43"/>
      <c r="F2036" s="43"/>
      <c r="G2036" s="43"/>
      <c r="H2036" s="43"/>
      <c r="I2036" s="43"/>
      <c r="J2036" s="43"/>
    </row>
    <row r="2037" spans="1:10" ht="25.5" customHeight="1">
      <c r="A2037" s="47"/>
      <c r="B2037" s="47"/>
      <c r="C2037" s="47"/>
      <c r="D2037" s="47"/>
      <c r="E2037" s="47"/>
      <c r="F2037" s="43"/>
      <c r="G2037" s="51"/>
      <c r="H2037" s="250" t="s">
        <v>1227</v>
      </c>
      <c r="I2037" s="251"/>
      <c r="J2037" s="43"/>
    </row>
    <row r="2038" spans="1:10">
      <c r="A2038" s="43" t="s">
        <v>1226</v>
      </c>
      <c r="B2038" s="43"/>
      <c r="C2038" s="43"/>
      <c r="D2038" s="43"/>
      <c r="E2038" s="43"/>
      <c r="F2038" s="43"/>
      <c r="G2038" s="43"/>
      <c r="H2038" s="43"/>
      <c r="I2038" s="43"/>
      <c r="J2038" s="43"/>
    </row>
    <row r="2039" spans="1:10">
      <c r="A2039" s="43"/>
      <c r="B2039" s="43"/>
      <c r="C2039" s="43"/>
      <c r="D2039" s="43"/>
      <c r="E2039" s="43"/>
      <c r="F2039" s="43"/>
      <c r="G2039" s="43"/>
      <c r="H2039" s="43"/>
      <c r="I2039" s="43"/>
      <c r="J2039" s="43"/>
    </row>
    <row r="2040" spans="1:10">
      <c r="A2040" s="43"/>
      <c r="B2040" s="43"/>
      <c r="C2040" s="43"/>
      <c r="D2040" s="43"/>
      <c r="E2040" s="256" t="str">
        <f>CONCATENATE("(",$D2011," vs ",$I2011,")")</f>
        <v>(B vs H)</v>
      </c>
      <c r="F2040" s="256"/>
      <c r="G2040" s="43"/>
      <c r="H2040" s="43"/>
      <c r="I2040" s="43"/>
      <c r="J2040" s="43"/>
    </row>
    <row r="2041" spans="1:10" ht="15.75">
      <c r="A2041" s="42" t="s">
        <v>1223</v>
      </c>
      <c r="B2041" s="43"/>
      <c r="C2041" s="43"/>
      <c r="D2041" s="43"/>
      <c r="E2041" s="43"/>
      <c r="F2041" s="43"/>
      <c r="G2041" s="43"/>
      <c r="H2041" s="43"/>
      <c r="I2041" s="43"/>
      <c r="J2041" s="96" t="s">
        <v>4279</v>
      </c>
    </row>
    <row r="2042" spans="1:10" ht="12.75" customHeight="1">
      <c r="A2042" s="42"/>
      <c r="B2042" s="43"/>
      <c r="C2042" s="43"/>
      <c r="D2042" s="43"/>
      <c r="E2042" s="43"/>
      <c r="F2042" s="43"/>
      <c r="G2042" s="43" t="str">
        <f ca="1">Team_Matches!$J$6</f>
        <v>[NCTTA Teams Template (v2.06).xlsx]</v>
      </c>
      <c r="H2042" s="43"/>
      <c r="I2042" s="43"/>
      <c r="J2042" s="160"/>
    </row>
    <row r="2043" spans="1:10" ht="12.75" customHeight="1">
      <c r="A2043" s="42"/>
      <c r="B2043" s="43"/>
      <c r="C2043" s="43"/>
      <c r="D2043" s="43"/>
      <c r="E2043" s="43"/>
      <c r="F2043" s="43"/>
      <c r="G2043" s="247" t="str">
        <f>Team_Matches!$J1537</f>
        <v/>
      </c>
      <c r="H2043" s="247"/>
      <c r="I2043" s="161" t="str">
        <f>Team_Matches!$M1537</f>
        <v/>
      </c>
      <c r="J2043" s="161"/>
    </row>
    <row r="2044" spans="1:10" ht="15.75">
      <c r="A2044" s="42"/>
      <c r="B2044" s="43"/>
      <c r="C2044" s="43"/>
      <c r="D2044" s="43"/>
      <c r="E2044" s="43"/>
      <c r="F2044" s="43"/>
      <c r="G2044" s="43"/>
      <c r="H2044" s="43"/>
      <c r="I2044" s="43"/>
      <c r="J2044" s="43"/>
    </row>
    <row r="2045" spans="1:10">
      <c r="A2045" s="43"/>
      <c r="B2045" s="43"/>
      <c r="C2045" s="9" t="s">
        <v>1228</v>
      </c>
      <c r="D2045" s="52" t="str">
        <f>Team_Matches!$B1539</f>
        <v>B</v>
      </c>
      <c r="E2045" s="43"/>
      <c r="F2045" s="97" t="str">
        <f>CONCATENATE($D2045,"-",$I2045)</f>
        <v>B-I</v>
      </c>
      <c r="G2045" s="43"/>
      <c r="H2045" s="9" t="s">
        <v>1228</v>
      </c>
      <c r="I2045" s="52" t="str">
        <f>Team_Matches!$K1539</f>
        <v>I</v>
      </c>
      <c r="J2045" s="43"/>
    </row>
    <row r="2046" spans="1:10" ht="25.5" customHeight="1">
      <c r="A2046" s="44"/>
      <c r="B2046" s="248" t="str">
        <f>IF(VLOOKUP($D2045,Draw!$A$4:$B$27,2)&lt;&gt;0,VLOOKUP($D2045,Draw!$A$4:$B$27,2),"")</f>
        <v/>
      </c>
      <c r="C2046" s="248"/>
      <c r="D2046" s="248"/>
      <c r="E2046" s="249"/>
      <c r="F2046" s="45"/>
      <c r="G2046" s="252" t="str">
        <f>IF(VLOOKUP($I2045,Draw!$A$4:$B$27,2)&lt;&gt;0,VLOOKUP($I2045,Draw!$A$4:$B$27,2),"")</f>
        <v/>
      </c>
      <c r="H2046" s="252"/>
      <c r="I2046" s="252"/>
      <c r="J2046" s="253"/>
    </row>
    <row r="2047" spans="1:10" ht="25.5" customHeight="1"/>
    <row r="2048" spans="1:10" ht="25.5" customHeight="1"/>
    <row r="2049" spans="1:10" ht="24" customHeight="1">
      <c r="A2049" s="48" t="s">
        <v>1246</v>
      </c>
      <c r="B2049" s="43"/>
      <c r="C2049" s="43"/>
      <c r="D2049" s="43"/>
      <c r="E2049" s="43"/>
      <c r="F2049" s="43"/>
      <c r="G2049" s="43"/>
      <c r="H2049" s="43"/>
      <c r="I2049" s="43"/>
      <c r="J2049" s="43"/>
    </row>
    <row r="2050" spans="1:10" ht="24" customHeight="1">
      <c r="A2050" s="48"/>
      <c r="B2050" s="43"/>
      <c r="C2050" s="43"/>
      <c r="D2050" s="43"/>
      <c r="E2050" s="43"/>
      <c r="F2050" s="43"/>
      <c r="G2050" s="43"/>
      <c r="H2050" s="43"/>
      <c r="I2050" s="43"/>
      <c r="J2050" s="43"/>
    </row>
    <row r="2051" spans="1:10">
      <c r="A2051" s="49" t="s">
        <v>1224</v>
      </c>
      <c r="B2051" s="46"/>
      <c r="C2051" s="46"/>
      <c r="D2051" s="46"/>
      <c r="E2051" s="46"/>
      <c r="F2051" s="46"/>
      <c r="G2051" s="260" t="s">
        <v>10336</v>
      </c>
      <c r="H2051" s="260"/>
      <c r="I2051" s="260"/>
      <c r="J2051" s="260"/>
    </row>
    <row r="2052" spans="1:10" ht="24" customHeight="1">
      <c r="A2052" s="50" t="str">
        <f>CONCATENATE($D2045,"1")</f>
        <v>B1</v>
      </c>
      <c r="B2052" s="255" t="str">
        <f>IF(VLOOKUP($A2052,Players!$A$2:$C$132,3)&lt;&gt;0,VLOOKUP($A2052,Players!$A$2:$C$132,3),"")</f>
        <v/>
      </c>
      <c r="C2052" s="255"/>
      <c r="D2052" s="255"/>
      <c r="E2052" s="255"/>
      <c r="F2052" s="255"/>
      <c r="G2052" s="254" t="str">
        <f>IF(VLOOKUP($I2045&amp;RIGHT($A2052,1),Players!$A$2:$D$132,3)&lt;&gt;0,VLOOKUP($I2045&amp;RIGHT($A2052,1),Players!$A$2:$D$132,3),"")</f>
        <v/>
      </c>
      <c r="H2052" s="254"/>
      <c r="I2052" s="254"/>
      <c r="J2052" s="210" t="str">
        <f>IF(VLOOKUP($I2045&amp;RIGHT($A2052,1),Players!$A$2:$D$132,3)&lt;&gt;0,"("&amp;VLOOKUP($I2045&amp;RIGHT($A2052,1),Players!$A$2:$D$132,4)&amp;")","")</f>
        <v/>
      </c>
    </row>
    <row r="2053" spans="1:10" ht="25.5" customHeight="1">
      <c r="A2053" s="50" t="str">
        <f>CONCATENATE($D2045,"2")</f>
        <v>B2</v>
      </c>
      <c r="B2053" s="255" t="str">
        <f>IF(VLOOKUP($A2053,Players!$A$2:$C$132,3)&lt;&gt;0,VLOOKUP($A2053,Players!$A$2:$C$132,3),"")</f>
        <v/>
      </c>
      <c r="C2053" s="255"/>
      <c r="D2053" s="255"/>
      <c r="E2053" s="255"/>
      <c r="F2053" s="255"/>
      <c r="G2053" s="254" t="str">
        <f>IF(VLOOKUP($I2045&amp;RIGHT($A2053,1),Players!$A$2:$D$132,3)&lt;&gt;0,VLOOKUP($I2045&amp;RIGHT($A2053,1),Players!$A$2:$D$132,3),"")</f>
        <v/>
      </c>
      <c r="H2053" s="254"/>
      <c r="I2053" s="254"/>
      <c r="J2053" s="210" t="str">
        <f>IF(VLOOKUP($I2045&amp;RIGHT($A2053,1),Players!$A$2:$D$132,3)&lt;&gt;0,"("&amp;VLOOKUP($I2045&amp;RIGHT($A2053,1),Players!$A$2:$D$132,4)&amp;")","")</f>
        <v/>
      </c>
    </row>
    <row r="2054" spans="1:10" ht="25.5" customHeight="1">
      <c r="A2054" s="50" t="str">
        <f>CONCATENATE($D2045,"3")</f>
        <v>B3</v>
      </c>
      <c r="B2054" s="255" t="str">
        <f>IF(VLOOKUP($A2054,Players!$A$2:$C$132,3)&lt;&gt;0,VLOOKUP($A2054,Players!$A$2:$C$132,3),"")</f>
        <v/>
      </c>
      <c r="C2054" s="255"/>
      <c r="D2054" s="255"/>
      <c r="E2054" s="255"/>
      <c r="F2054" s="255"/>
      <c r="G2054" s="254" t="str">
        <f>IF(VLOOKUP($I2045&amp;RIGHT($A2054,1),Players!$A$2:$D$132,3)&lt;&gt;0,VLOOKUP($I2045&amp;RIGHT($A2054,1),Players!$A$2:$D$132,3),"")</f>
        <v/>
      </c>
      <c r="H2054" s="254"/>
      <c r="I2054" s="254"/>
      <c r="J2054" s="210" t="str">
        <f>IF(VLOOKUP($I2045&amp;RIGHT($A2054,1),Players!$A$2:$D$132,3)&lt;&gt;0,"("&amp;VLOOKUP($I2045&amp;RIGHT($A2054,1),Players!$A$2:$D$132,4)&amp;")","")</f>
        <v/>
      </c>
    </row>
    <row r="2055" spans="1:10" ht="25.5" customHeight="1">
      <c r="A2055" s="50" t="str">
        <f>CONCATENATE($D2045,"4")</f>
        <v>B4</v>
      </c>
      <c r="B2055" s="255" t="str">
        <f>IF(VLOOKUP($A2055,Players!$A$2:$C$132,3)&lt;&gt;0,VLOOKUP($A2055,Players!$A$2:$C$132,3),"")</f>
        <v/>
      </c>
      <c r="C2055" s="255"/>
      <c r="D2055" s="255"/>
      <c r="E2055" s="255"/>
      <c r="F2055" s="255"/>
      <c r="G2055" s="254" t="str">
        <f>IF(VLOOKUP($I2045&amp;RIGHT($A2055,1),Players!$A$2:$D$132,3)&lt;&gt;0,VLOOKUP($I2045&amp;RIGHT($A2055,1),Players!$A$2:$D$132,3),"")</f>
        <v/>
      </c>
      <c r="H2055" s="254"/>
      <c r="I2055" s="254"/>
      <c r="J2055" s="210" t="str">
        <f>IF(VLOOKUP($I2045&amp;RIGHT($A2055,1),Players!$A$2:$D$132,3)&lt;&gt;0,"("&amp;VLOOKUP($I2045&amp;RIGHT($A2055,1),Players!$A$2:$D$132,4)&amp;")","")</f>
        <v/>
      </c>
    </row>
    <row r="2056" spans="1:10" ht="25.5" customHeight="1">
      <c r="A2056" s="50" t="str">
        <f>CONCATENATE($D2045,"5")</f>
        <v>B5</v>
      </c>
      <c r="B2056" s="255" t="str">
        <f>IF(VLOOKUP($A2056,Players!$A$2:$C$132,3)&lt;&gt;0,VLOOKUP($A2056,Players!$A$2:$C$132,3),"")</f>
        <v/>
      </c>
      <c r="C2056" s="255"/>
      <c r="D2056" s="255"/>
      <c r="E2056" s="255"/>
      <c r="F2056" s="255"/>
      <c r="G2056" s="254" t="str">
        <f>IF(VLOOKUP($I2045&amp;RIGHT($A2056,1),Players!$A$2:$D$132,3)&lt;&gt;0,VLOOKUP($I2045&amp;RIGHT($A2056,1),Players!$A$2:$D$132,3),"")</f>
        <v/>
      </c>
      <c r="H2056" s="254"/>
      <c r="I2056" s="254"/>
      <c r="J2056" s="210" t="str">
        <f>IF(VLOOKUP($I2045&amp;RIGHT($A2056,1),Players!$A$2:$D$132,3)&lt;&gt;0,"("&amp;VLOOKUP($I2045&amp;RIGHT($A2056,1),Players!$A$2:$D$132,4)&amp;")","")</f>
        <v/>
      </c>
    </row>
    <row r="2057" spans="1:10" ht="25.5" customHeight="1">
      <c r="A2057" s="50" t="str">
        <f>CONCATENATE($D2045,"6")</f>
        <v>B6</v>
      </c>
      <c r="B2057" s="255" t="str">
        <f>IF(VLOOKUP($A2057,Players!$A$2:$C$132,3)&lt;&gt;0,VLOOKUP($A2057,Players!$A$2:$C$132,3),"")</f>
        <v/>
      </c>
      <c r="C2057" s="255"/>
      <c r="D2057" s="255"/>
      <c r="E2057" s="255"/>
      <c r="F2057" s="255"/>
      <c r="G2057" s="254" t="str">
        <f>IF(VLOOKUP($I2045&amp;RIGHT($A2057,1),Players!$A$2:$D$132,3)&lt;&gt;0,VLOOKUP($I2045&amp;RIGHT($A2057,1),Players!$A$2:$D$132,3),"")</f>
        <v/>
      </c>
      <c r="H2057" s="254"/>
      <c r="I2057" s="254"/>
      <c r="J2057" s="210" t="str">
        <f>IF(VLOOKUP($I2045&amp;RIGHT($A2057,1),Players!$A$2:$D$132,3)&lt;&gt;0,"("&amp;VLOOKUP($I2045&amp;RIGHT($A2057,1),Players!$A$2:$D$132,4)&amp;")","")</f>
        <v/>
      </c>
    </row>
    <row r="2058" spans="1:10" ht="25.5" customHeight="1">
      <c r="A2058" s="50" t="str">
        <f>CONCATENATE($D2045,"7")</f>
        <v>B7</v>
      </c>
      <c r="B2058" s="255" t="str">
        <f>IF(VLOOKUP($A2058,Players!$A$2:$C$132,3)&lt;&gt;0,VLOOKUP($A2058,Players!$A$2:$C$132,3),"")</f>
        <v/>
      </c>
      <c r="C2058" s="255"/>
      <c r="D2058" s="255"/>
      <c r="E2058" s="255"/>
      <c r="F2058" s="255"/>
      <c r="G2058" s="254" t="str">
        <f>IF(VLOOKUP($I2045&amp;RIGHT($A2058,1),Players!$A$2:$D$132,3)&lt;&gt;0,VLOOKUP($I2045&amp;RIGHT($A2058,1),Players!$A$2:$D$132,3),"")</f>
        <v/>
      </c>
      <c r="H2058" s="254"/>
      <c r="I2058" s="254"/>
      <c r="J2058" s="210" t="str">
        <f>IF(VLOOKUP($I2045&amp;RIGHT($A2058,1),Players!$A$2:$D$132,3)&lt;&gt;0,"("&amp;VLOOKUP($I2045&amp;RIGHT($A2058,1),Players!$A$2:$D$132,4)&amp;")","")</f>
        <v/>
      </c>
    </row>
    <row r="2059" spans="1:10" ht="25.5" customHeight="1">
      <c r="A2059" s="50" t="str">
        <f>CONCATENATE($D2045,"8")</f>
        <v>B8</v>
      </c>
      <c r="B2059" s="255" t="str">
        <f>IF(VLOOKUP($A2059,Players!$A$2:$C$132,3)&lt;&gt;0,VLOOKUP($A2059,Players!$A$2:$C$132,3),"")</f>
        <v/>
      </c>
      <c r="C2059" s="255"/>
      <c r="D2059" s="255"/>
      <c r="E2059" s="255"/>
      <c r="F2059" s="255"/>
      <c r="G2059" s="254" t="str">
        <f>IF(VLOOKUP($I2045&amp;RIGHT($A2059,1),Players!$A$2:$D$132,3)&lt;&gt;0,VLOOKUP($I2045&amp;RIGHT($A2059,1),Players!$A$2:$D$132,3),"")</f>
        <v/>
      </c>
      <c r="H2059" s="254"/>
      <c r="I2059" s="254"/>
      <c r="J2059" s="210" t="str">
        <f>IF(VLOOKUP($I2045&amp;RIGHT($A2059,1),Players!$A$2:$D$132,3)&lt;&gt;0,"("&amp;VLOOKUP($I2045&amp;RIGHT($A2059,1),Players!$A$2:$D$132,4)&amp;")","")</f>
        <v/>
      </c>
    </row>
    <row r="2060" spans="1:10" ht="25.5" customHeight="1">
      <c r="A2060" s="50"/>
      <c r="B2060" s="26"/>
      <c r="C2060" s="26"/>
      <c r="D2060" s="26"/>
      <c r="E2060" s="26"/>
      <c r="F2060" s="27"/>
      <c r="G2060" s="43"/>
      <c r="H2060" s="43"/>
      <c r="I2060" s="43"/>
      <c r="J2060" s="43"/>
    </row>
    <row r="2061" spans="1:10">
      <c r="A2061" s="49" t="s">
        <v>1225</v>
      </c>
      <c r="B2061" s="46"/>
      <c r="C2061" s="46"/>
      <c r="D2061" s="46"/>
      <c r="E2061" s="46"/>
      <c r="F2061" s="46"/>
      <c r="G2061" s="43"/>
      <c r="H2061" s="43"/>
      <c r="I2061" s="43"/>
      <c r="J2061" s="43"/>
    </row>
    <row r="2062" spans="1:10">
      <c r="A2062" s="46" t="s">
        <v>1247</v>
      </c>
      <c r="B2062" s="46"/>
      <c r="C2062" s="46"/>
      <c r="D2062" s="46"/>
      <c r="E2062" s="46"/>
      <c r="F2062" s="46"/>
      <c r="G2062" s="43"/>
      <c r="H2062" s="43"/>
      <c r="I2062" s="43"/>
      <c r="J2062" s="43"/>
    </row>
    <row r="2063" spans="1:10">
      <c r="A2063" s="46" t="s">
        <v>1248</v>
      </c>
      <c r="B2063" s="46"/>
      <c r="C2063" s="46"/>
      <c r="D2063" s="46"/>
      <c r="E2063" s="46"/>
      <c r="F2063" s="46"/>
      <c r="G2063" s="43"/>
      <c r="H2063" s="43"/>
      <c r="I2063" s="43"/>
      <c r="J2063" s="43"/>
    </row>
    <row r="2064" spans="1:10" ht="13.5" thickBot="1">
      <c r="A2064" s="46"/>
      <c r="B2064" s="46"/>
      <c r="C2064" s="46"/>
      <c r="D2064" s="46"/>
      <c r="E2064" s="46"/>
      <c r="F2064" s="46"/>
      <c r="G2064" s="43"/>
      <c r="H2064" s="43"/>
      <c r="I2064" s="43"/>
      <c r="J2064" s="43"/>
    </row>
    <row r="2065" spans="1:10" ht="25.5" customHeight="1" thickBot="1">
      <c r="A2065" s="50"/>
      <c r="B2065" s="257"/>
      <c r="C2065" s="258"/>
      <c r="D2065" s="258"/>
      <c r="E2065" s="258"/>
      <c r="F2065" s="259"/>
      <c r="G2065" s="43"/>
      <c r="H2065" s="43"/>
      <c r="I2065" s="43"/>
      <c r="J2065" s="43"/>
    </row>
    <row r="2066" spans="1:10">
      <c r="A2066" s="43"/>
      <c r="B2066" s="43"/>
      <c r="C2066" s="43"/>
      <c r="D2066" s="43"/>
      <c r="E2066" s="43"/>
      <c r="F2066" s="43"/>
      <c r="G2066" s="43"/>
      <c r="H2066" s="43"/>
      <c r="I2066" s="43"/>
      <c r="J2066" s="43"/>
    </row>
    <row r="2067" spans="1:10">
      <c r="A2067" s="43"/>
      <c r="B2067" s="43"/>
      <c r="C2067" s="43"/>
      <c r="D2067" s="43"/>
      <c r="E2067" s="43"/>
      <c r="F2067" s="43"/>
      <c r="G2067" s="43"/>
      <c r="H2067" s="43"/>
      <c r="I2067" s="43"/>
      <c r="J2067" s="43"/>
    </row>
    <row r="2068" spans="1:10">
      <c r="A2068" s="43"/>
      <c r="B2068" s="43"/>
      <c r="C2068" s="43"/>
      <c r="D2068" s="43"/>
      <c r="E2068" s="43"/>
      <c r="F2068" s="43"/>
      <c r="G2068" s="43"/>
      <c r="H2068" s="43"/>
      <c r="I2068" s="43"/>
      <c r="J2068" s="43"/>
    </row>
    <row r="2069" spans="1:10">
      <c r="A2069" s="43"/>
      <c r="B2069" s="43"/>
      <c r="C2069" s="43"/>
      <c r="D2069" s="43"/>
      <c r="E2069" s="43"/>
      <c r="F2069" s="43"/>
      <c r="G2069" s="43"/>
      <c r="H2069" s="43"/>
      <c r="I2069" s="43"/>
      <c r="J2069" s="43"/>
    </row>
    <row r="2070" spans="1:10">
      <c r="A2070" s="43"/>
      <c r="B2070" s="43"/>
      <c r="C2070" s="43"/>
      <c r="D2070" s="43"/>
      <c r="E2070" s="43"/>
      <c r="F2070" s="43"/>
      <c r="G2070" s="43"/>
      <c r="H2070" s="43"/>
      <c r="I2070" s="43"/>
      <c r="J2070" s="43"/>
    </row>
    <row r="2071" spans="1:10" ht="25.5" customHeight="1">
      <c r="A2071" s="47"/>
      <c r="B2071" s="47"/>
      <c r="C2071" s="47"/>
      <c r="D2071" s="47"/>
      <c r="E2071" s="47"/>
      <c r="F2071" s="43"/>
      <c r="G2071" s="51"/>
      <c r="H2071" s="250" t="s">
        <v>1227</v>
      </c>
      <c r="I2071" s="251"/>
      <c r="J2071" s="43"/>
    </row>
    <row r="2072" spans="1:10">
      <c r="A2072" s="43" t="s">
        <v>1226</v>
      </c>
      <c r="B2072" s="43"/>
      <c r="C2072" s="43"/>
      <c r="D2072" s="43"/>
      <c r="E2072" s="43"/>
      <c r="F2072" s="43"/>
      <c r="G2072" s="43"/>
      <c r="H2072" s="43"/>
      <c r="I2072" s="43"/>
      <c r="J2072" s="43"/>
    </row>
    <row r="2073" spans="1:10">
      <c r="A2073" s="43"/>
      <c r="B2073" s="43"/>
      <c r="C2073" s="43"/>
      <c r="D2073" s="43"/>
      <c r="E2073" s="43"/>
      <c r="F2073" s="43"/>
      <c r="G2073" s="43"/>
      <c r="H2073" s="43"/>
      <c r="I2073" s="43"/>
      <c r="J2073" s="43"/>
    </row>
    <row r="2074" spans="1:10">
      <c r="A2074" s="43"/>
      <c r="B2074" s="43"/>
      <c r="C2074" s="43"/>
      <c r="D2074" s="43"/>
      <c r="E2074" s="256" t="str">
        <f>CONCATENATE("(",$D2045," vs ",$I2045,")")</f>
        <v>(B vs I)</v>
      </c>
      <c r="F2074" s="256"/>
      <c r="G2074" s="43"/>
      <c r="H2074" s="43"/>
      <c r="I2074" s="43"/>
      <c r="J2074" s="43"/>
    </row>
    <row r="2075" spans="1:10" ht="15.75">
      <c r="A2075" s="42" t="s">
        <v>1223</v>
      </c>
      <c r="B2075" s="43"/>
      <c r="C2075" s="43"/>
      <c r="D2075" s="43"/>
      <c r="E2075" s="43"/>
      <c r="F2075" s="43"/>
      <c r="G2075" s="43"/>
      <c r="H2075" s="43"/>
      <c r="I2075" s="43"/>
      <c r="J2075" s="96" t="s">
        <v>4280</v>
      </c>
    </row>
    <row r="2076" spans="1:10" ht="12.75" customHeight="1">
      <c r="A2076" s="42"/>
      <c r="B2076" s="43"/>
      <c r="C2076" s="43"/>
      <c r="D2076" s="43"/>
      <c r="E2076" s="43"/>
      <c r="F2076" s="43"/>
      <c r="G2076" s="43" t="str">
        <f ca="1">Team_Matches!$J$6</f>
        <v>[NCTTA Teams Template (v2.06).xlsx]</v>
      </c>
      <c r="H2076" s="43"/>
      <c r="I2076" s="43"/>
      <c r="J2076" s="160"/>
    </row>
    <row r="2077" spans="1:10" ht="12.75" customHeight="1">
      <c r="A2077" s="42"/>
      <c r="B2077" s="43"/>
      <c r="C2077" s="43"/>
      <c r="D2077" s="43"/>
      <c r="E2077" s="43"/>
      <c r="F2077" s="43"/>
      <c r="G2077" s="247" t="str">
        <f>Team_Matches!$J1537</f>
        <v/>
      </c>
      <c r="H2077" s="247"/>
      <c r="I2077" s="161" t="str">
        <f>Team_Matches!$M1537</f>
        <v/>
      </c>
      <c r="J2077" s="161"/>
    </row>
    <row r="2078" spans="1:10" ht="15.75">
      <c r="A2078" s="42"/>
      <c r="B2078" s="43"/>
      <c r="C2078" s="43"/>
      <c r="D2078" s="43"/>
      <c r="E2078" s="43"/>
      <c r="F2078" s="43"/>
      <c r="G2078" s="43"/>
      <c r="H2078" s="43"/>
      <c r="I2078" s="43"/>
      <c r="J2078" s="43"/>
    </row>
    <row r="2079" spans="1:10">
      <c r="A2079" s="43"/>
      <c r="B2079" s="43"/>
      <c r="C2079" s="9" t="s">
        <v>1228</v>
      </c>
      <c r="D2079" s="52" t="str">
        <f>Team_Matches!$B1539</f>
        <v>B</v>
      </c>
      <c r="E2079" s="43"/>
      <c r="F2079" s="97" t="str">
        <f>CONCATENATE($D2079,"-",$I2079)</f>
        <v>B-I</v>
      </c>
      <c r="G2079" s="43"/>
      <c r="H2079" s="9" t="s">
        <v>1228</v>
      </c>
      <c r="I2079" s="52" t="str">
        <f>Team_Matches!$K1539</f>
        <v>I</v>
      </c>
      <c r="J2079" s="43"/>
    </row>
    <row r="2080" spans="1:10" ht="25.5" customHeight="1">
      <c r="A2080" s="44"/>
      <c r="B2080" s="252" t="str">
        <f>IF(VLOOKUP($D2079,Draw!$A$4:$B$27,2)&lt;&gt;0,VLOOKUP($D2079,Draw!$A$4:$B$27,2),"")</f>
        <v/>
      </c>
      <c r="C2080" s="252"/>
      <c r="D2080" s="252"/>
      <c r="E2080" s="253"/>
      <c r="F2080" s="45"/>
      <c r="G2080" s="248" t="str">
        <f>IF(VLOOKUP($I2079,Draw!$A$4:$B$27,2)&lt;&gt;0,VLOOKUP($I2079,Draw!$A$4:$B$27,2),"")</f>
        <v/>
      </c>
      <c r="H2080" s="248"/>
      <c r="I2080" s="248"/>
      <c r="J2080" s="249"/>
    </row>
    <row r="2081" spans="1:10" ht="25.5" customHeight="1"/>
    <row r="2082" spans="1:10" ht="25.5" customHeight="1"/>
    <row r="2083" spans="1:10" ht="24" customHeight="1">
      <c r="A2083" s="48" t="s">
        <v>1246</v>
      </c>
      <c r="B2083" s="43"/>
      <c r="C2083" s="43"/>
      <c r="D2083" s="43"/>
      <c r="E2083" s="43"/>
      <c r="F2083" s="43"/>
      <c r="G2083" s="43"/>
      <c r="H2083" s="43"/>
      <c r="I2083" s="43"/>
      <c r="J2083" s="43"/>
    </row>
    <row r="2084" spans="1:10" ht="24" customHeight="1">
      <c r="A2084" s="48"/>
      <c r="B2084" s="43"/>
      <c r="C2084" s="43"/>
      <c r="D2084" s="43"/>
      <c r="E2084" s="43"/>
      <c r="F2084" s="43"/>
      <c r="G2084" s="43"/>
      <c r="H2084" s="43"/>
      <c r="I2084" s="43"/>
      <c r="J2084" s="43"/>
    </row>
    <row r="2085" spans="1:10">
      <c r="A2085" s="49" t="s">
        <v>1224</v>
      </c>
      <c r="B2085" s="46"/>
      <c r="C2085" s="46"/>
      <c r="D2085" s="46"/>
      <c r="E2085" s="46"/>
      <c r="F2085" s="46"/>
      <c r="G2085" s="260" t="s">
        <v>10336</v>
      </c>
      <c r="H2085" s="260"/>
      <c r="I2085" s="260"/>
      <c r="J2085" s="260"/>
    </row>
    <row r="2086" spans="1:10" ht="24" customHeight="1">
      <c r="A2086" s="50" t="str">
        <f>CONCATENATE($I2079,"1")</f>
        <v>I1</v>
      </c>
      <c r="B2086" s="255" t="str">
        <f>IF(VLOOKUP($A2086,Players!$A$2:$C$132,3)&lt;&gt;0,VLOOKUP($A2086,Players!$A$2:$C$132,3),"")</f>
        <v/>
      </c>
      <c r="C2086" s="255"/>
      <c r="D2086" s="255"/>
      <c r="E2086" s="255"/>
      <c r="F2086" s="255"/>
      <c r="G2086" s="254" t="str">
        <f>IF(VLOOKUP($D2079&amp;RIGHT($A2086,1),Players!$A$2:$D$132,3)&lt;&gt;0,VLOOKUP($D2079&amp;RIGHT($A2086,1),Players!$A$2:$D$132,3),"")</f>
        <v/>
      </c>
      <c r="H2086" s="254"/>
      <c r="I2086" s="254"/>
      <c r="J2086" s="210" t="str">
        <f>IF(VLOOKUP($D2079&amp;RIGHT($A2086,1),Players!$A$2:$D$132,3)&lt;&gt;0,"("&amp;VLOOKUP($D2079&amp;RIGHT($A2086,1),Players!$A$2:$D$132,4)&amp;")","")</f>
        <v/>
      </c>
    </row>
    <row r="2087" spans="1:10" ht="25.5" customHeight="1">
      <c r="A2087" s="50" t="str">
        <f>CONCATENATE($I2079,"2")</f>
        <v>I2</v>
      </c>
      <c r="B2087" s="255" t="str">
        <f>IF(VLOOKUP($A2087,Players!$A$2:$C$132,3)&lt;&gt;0,VLOOKUP($A2087,Players!$A$2:$C$132,3),"")</f>
        <v/>
      </c>
      <c r="C2087" s="255"/>
      <c r="D2087" s="255"/>
      <c r="E2087" s="255"/>
      <c r="F2087" s="255"/>
      <c r="G2087" s="254" t="str">
        <f>IF(VLOOKUP($D2079&amp;RIGHT($A2087,1),Players!$A$2:$D$132,3)&lt;&gt;0,VLOOKUP($D2079&amp;RIGHT($A2087,1),Players!$A$2:$D$132,3),"")</f>
        <v/>
      </c>
      <c r="H2087" s="254"/>
      <c r="I2087" s="254"/>
      <c r="J2087" s="210" t="str">
        <f>IF(VLOOKUP($D2079&amp;RIGHT($A2087,1),Players!$A$2:$D$132,3)&lt;&gt;0,"("&amp;VLOOKUP($D2079&amp;RIGHT($A2087,1),Players!$A$2:$D$132,4)&amp;")","")</f>
        <v/>
      </c>
    </row>
    <row r="2088" spans="1:10" ht="25.5" customHeight="1">
      <c r="A2088" s="50" t="str">
        <f>CONCATENATE($I2079,"3")</f>
        <v>I3</v>
      </c>
      <c r="B2088" s="255" t="str">
        <f>IF(VLOOKUP($A2088,Players!$A$2:$C$132,3)&lt;&gt;0,VLOOKUP($A2088,Players!$A$2:$C$132,3),"")</f>
        <v/>
      </c>
      <c r="C2088" s="255"/>
      <c r="D2088" s="255"/>
      <c r="E2088" s="255"/>
      <c r="F2088" s="255"/>
      <c r="G2088" s="254" t="str">
        <f>IF(VLOOKUP($D2079&amp;RIGHT($A2088,1),Players!$A$2:$D$132,3)&lt;&gt;0,VLOOKUP($D2079&amp;RIGHT($A2088,1),Players!$A$2:$D$132,3),"")</f>
        <v/>
      </c>
      <c r="H2088" s="254"/>
      <c r="I2088" s="254"/>
      <c r="J2088" s="210" t="str">
        <f>IF(VLOOKUP($D2079&amp;RIGHT($A2088,1),Players!$A$2:$D$132,3)&lt;&gt;0,"("&amp;VLOOKUP($D2079&amp;RIGHT($A2088,1),Players!$A$2:$D$132,4)&amp;")","")</f>
        <v/>
      </c>
    </row>
    <row r="2089" spans="1:10" ht="25.5" customHeight="1">
      <c r="A2089" s="50" t="str">
        <f>CONCATENATE($I2079,"4")</f>
        <v>I4</v>
      </c>
      <c r="B2089" s="255" t="str">
        <f>IF(VLOOKUP($A2089,Players!$A$2:$C$132,3)&lt;&gt;0,VLOOKUP($A2089,Players!$A$2:$C$132,3),"")</f>
        <v/>
      </c>
      <c r="C2089" s="255"/>
      <c r="D2089" s="255"/>
      <c r="E2089" s="255"/>
      <c r="F2089" s="255"/>
      <c r="G2089" s="254" t="str">
        <f>IF(VLOOKUP($D2079&amp;RIGHT($A2089,1),Players!$A$2:$D$132,3)&lt;&gt;0,VLOOKUP($D2079&amp;RIGHT($A2089,1),Players!$A$2:$D$132,3),"")</f>
        <v/>
      </c>
      <c r="H2089" s="254"/>
      <c r="I2089" s="254"/>
      <c r="J2089" s="210" t="str">
        <f>IF(VLOOKUP($D2079&amp;RIGHT($A2089,1),Players!$A$2:$D$132,3)&lt;&gt;0,"("&amp;VLOOKUP($D2079&amp;RIGHT($A2089,1),Players!$A$2:$D$132,4)&amp;")","")</f>
        <v/>
      </c>
    </row>
    <row r="2090" spans="1:10" ht="25.5" customHeight="1">
      <c r="A2090" s="50" t="str">
        <f>CONCATENATE($I2079,"5")</f>
        <v>I5</v>
      </c>
      <c r="B2090" s="255" t="str">
        <f>IF(VLOOKUP($A2090,Players!$A$2:$C$132,3)&lt;&gt;0,VLOOKUP($A2090,Players!$A$2:$C$132,3),"")</f>
        <v/>
      </c>
      <c r="C2090" s="255"/>
      <c r="D2090" s="255"/>
      <c r="E2090" s="255"/>
      <c r="F2090" s="255"/>
      <c r="G2090" s="254" t="str">
        <f>IF(VLOOKUP($D2079&amp;RIGHT($A2090,1),Players!$A$2:$D$132,3)&lt;&gt;0,VLOOKUP($D2079&amp;RIGHT($A2090,1),Players!$A$2:$D$132,3),"")</f>
        <v/>
      </c>
      <c r="H2090" s="254"/>
      <c r="I2090" s="254"/>
      <c r="J2090" s="210" t="str">
        <f>IF(VLOOKUP($D2079&amp;RIGHT($A2090,1),Players!$A$2:$D$132,3)&lt;&gt;0,"("&amp;VLOOKUP($D2079&amp;RIGHT($A2090,1),Players!$A$2:$D$132,4)&amp;")","")</f>
        <v/>
      </c>
    </row>
    <row r="2091" spans="1:10" ht="25.5" customHeight="1">
      <c r="A2091" s="50" t="str">
        <f>CONCATENATE($I2079,"6")</f>
        <v>I6</v>
      </c>
      <c r="B2091" s="255" t="str">
        <f>IF(VLOOKUP($A2091,Players!$A$2:$C$132,3)&lt;&gt;0,VLOOKUP($A2091,Players!$A$2:$C$132,3),"")</f>
        <v/>
      </c>
      <c r="C2091" s="255"/>
      <c r="D2091" s="255"/>
      <c r="E2091" s="255"/>
      <c r="F2091" s="255"/>
      <c r="G2091" s="254" t="str">
        <f>IF(VLOOKUP($D2079&amp;RIGHT($A2091,1),Players!$A$2:$D$132,3)&lt;&gt;0,VLOOKUP($D2079&amp;RIGHT($A2091,1),Players!$A$2:$D$132,3),"")</f>
        <v/>
      </c>
      <c r="H2091" s="254"/>
      <c r="I2091" s="254"/>
      <c r="J2091" s="210" t="str">
        <f>IF(VLOOKUP($D2079&amp;RIGHT($A2091,1),Players!$A$2:$D$132,3)&lt;&gt;0,"("&amp;VLOOKUP($D2079&amp;RIGHT($A2091,1),Players!$A$2:$D$132,4)&amp;")","")</f>
        <v/>
      </c>
    </row>
    <row r="2092" spans="1:10" ht="25.5" customHeight="1">
      <c r="A2092" s="50" t="str">
        <f>CONCATENATE($I2079,"7")</f>
        <v>I7</v>
      </c>
      <c r="B2092" s="255" t="str">
        <f>IF(VLOOKUP($A2092,Players!$A$2:$C$132,3)&lt;&gt;0,VLOOKUP($A2092,Players!$A$2:$C$132,3),"")</f>
        <v/>
      </c>
      <c r="C2092" s="255"/>
      <c r="D2092" s="255"/>
      <c r="E2092" s="255"/>
      <c r="F2092" s="255"/>
      <c r="G2092" s="254" t="str">
        <f>IF(VLOOKUP($D2079&amp;RIGHT($A2092,1),Players!$A$2:$D$132,3)&lt;&gt;0,VLOOKUP($D2079&amp;RIGHT($A2092,1),Players!$A$2:$D$132,3),"")</f>
        <v/>
      </c>
      <c r="H2092" s="254"/>
      <c r="I2092" s="254"/>
      <c r="J2092" s="210" t="str">
        <f>IF(VLOOKUP($D2079&amp;RIGHT($A2092,1),Players!$A$2:$D$132,3)&lt;&gt;0,"("&amp;VLOOKUP($D2079&amp;RIGHT($A2092,1),Players!$A$2:$D$132,4)&amp;")","")</f>
        <v/>
      </c>
    </row>
    <row r="2093" spans="1:10" ht="25.5" customHeight="1">
      <c r="A2093" s="50" t="str">
        <f>CONCATENATE($I2079,"8")</f>
        <v>I8</v>
      </c>
      <c r="B2093" s="255" t="str">
        <f>IF(VLOOKUP($A2093,Players!$A$2:$C$132,3)&lt;&gt;0,VLOOKUP($A2093,Players!$A$2:$C$132,3),"")</f>
        <v/>
      </c>
      <c r="C2093" s="255"/>
      <c r="D2093" s="255"/>
      <c r="E2093" s="255"/>
      <c r="F2093" s="255"/>
      <c r="G2093" s="254" t="str">
        <f>IF(VLOOKUP($D2079&amp;RIGHT($A2093,1),Players!$A$2:$D$132,3)&lt;&gt;0,VLOOKUP($D2079&amp;RIGHT($A2093,1),Players!$A$2:$D$132,3),"")</f>
        <v/>
      </c>
      <c r="H2093" s="254"/>
      <c r="I2093" s="254"/>
      <c r="J2093" s="210" t="str">
        <f>IF(VLOOKUP($D2079&amp;RIGHT($A2093,1),Players!$A$2:$D$132,3)&lt;&gt;0,"("&amp;VLOOKUP($D2079&amp;RIGHT($A2093,1),Players!$A$2:$D$132,4)&amp;")","")</f>
        <v/>
      </c>
    </row>
    <row r="2094" spans="1:10" ht="25.5" customHeight="1">
      <c r="A2094" s="50"/>
      <c r="B2094" s="26"/>
      <c r="C2094" s="26"/>
      <c r="D2094" s="26"/>
      <c r="E2094" s="26"/>
      <c r="F2094" s="27"/>
      <c r="G2094" s="43"/>
      <c r="H2094" s="43"/>
      <c r="I2094" s="43"/>
      <c r="J2094" s="43"/>
    </row>
    <row r="2095" spans="1:10">
      <c r="A2095" s="49" t="s">
        <v>1225</v>
      </c>
      <c r="B2095" s="46"/>
      <c r="C2095" s="46"/>
      <c r="D2095" s="46"/>
      <c r="E2095" s="46"/>
      <c r="F2095" s="46"/>
      <c r="G2095" s="43"/>
      <c r="H2095" s="43"/>
      <c r="I2095" s="43"/>
      <c r="J2095" s="43"/>
    </row>
    <row r="2096" spans="1:10">
      <c r="A2096" s="46" t="s">
        <v>1247</v>
      </c>
      <c r="B2096" s="46"/>
      <c r="C2096" s="46"/>
      <c r="D2096" s="46"/>
      <c r="E2096" s="46"/>
      <c r="F2096" s="46"/>
      <c r="G2096" s="43"/>
      <c r="H2096" s="43"/>
      <c r="I2096" s="43"/>
      <c r="J2096" s="43"/>
    </row>
    <row r="2097" spans="1:10">
      <c r="A2097" s="46" t="s">
        <v>1248</v>
      </c>
      <c r="B2097" s="46"/>
      <c r="C2097" s="46"/>
      <c r="D2097" s="46"/>
      <c r="E2097" s="46"/>
      <c r="F2097" s="46"/>
      <c r="G2097" s="43"/>
      <c r="H2097" s="43"/>
      <c r="I2097" s="43"/>
      <c r="J2097" s="43"/>
    </row>
    <row r="2098" spans="1:10" ht="13.5" thickBot="1">
      <c r="A2098" s="46"/>
      <c r="B2098" s="46"/>
      <c r="C2098" s="46"/>
      <c r="D2098" s="46"/>
      <c r="E2098" s="46"/>
      <c r="F2098" s="46"/>
      <c r="G2098" s="43"/>
      <c r="H2098" s="43"/>
      <c r="I2098" s="43"/>
      <c r="J2098" s="43"/>
    </row>
    <row r="2099" spans="1:10" ht="25.5" customHeight="1" thickBot="1">
      <c r="A2099" s="50"/>
      <c r="B2099" s="257"/>
      <c r="C2099" s="258"/>
      <c r="D2099" s="258"/>
      <c r="E2099" s="258"/>
      <c r="F2099" s="259"/>
      <c r="G2099" s="43"/>
      <c r="H2099" s="43"/>
      <c r="I2099" s="43"/>
      <c r="J2099" s="43"/>
    </row>
    <row r="2100" spans="1:10">
      <c r="A2100" s="43"/>
      <c r="B2100" s="43"/>
      <c r="C2100" s="43"/>
      <c r="D2100" s="43"/>
      <c r="E2100" s="43"/>
      <c r="F2100" s="43"/>
      <c r="G2100" s="43"/>
      <c r="H2100" s="43"/>
      <c r="I2100" s="43"/>
      <c r="J2100" s="43"/>
    </row>
    <row r="2101" spans="1:10">
      <c r="A2101" s="43"/>
      <c r="B2101" s="43"/>
      <c r="C2101" s="43"/>
      <c r="D2101" s="43"/>
      <c r="E2101" s="43"/>
      <c r="F2101" s="43"/>
      <c r="G2101" s="43"/>
      <c r="H2101" s="43"/>
      <c r="I2101" s="43"/>
      <c r="J2101" s="43"/>
    </row>
    <row r="2102" spans="1:10">
      <c r="A2102" s="43"/>
      <c r="B2102" s="43"/>
      <c r="C2102" s="43"/>
      <c r="D2102" s="43"/>
      <c r="E2102" s="43"/>
      <c r="F2102" s="43"/>
      <c r="G2102" s="43"/>
      <c r="H2102" s="43"/>
      <c r="I2102" s="43"/>
      <c r="J2102" s="43"/>
    </row>
    <row r="2103" spans="1:10">
      <c r="A2103" s="43"/>
      <c r="B2103" s="43"/>
      <c r="C2103" s="43"/>
      <c r="D2103" s="43"/>
      <c r="E2103" s="43"/>
      <c r="F2103" s="43"/>
      <c r="G2103" s="43"/>
      <c r="H2103" s="43"/>
      <c r="I2103" s="43"/>
      <c r="J2103" s="43"/>
    </row>
    <row r="2104" spans="1:10">
      <c r="A2104" s="43"/>
      <c r="B2104" s="43"/>
      <c r="C2104" s="43"/>
      <c r="D2104" s="43"/>
      <c r="E2104" s="43"/>
      <c r="F2104" s="43"/>
      <c r="G2104" s="43"/>
      <c r="H2104" s="43"/>
      <c r="I2104" s="43"/>
      <c r="J2104" s="43"/>
    </row>
    <row r="2105" spans="1:10" ht="25.5" customHeight="1">
      <c r="A2105" s="47"/>
      <c r="B2105" s="47"/>
      <c r="C2105" s="47"/>
      <c r="D2105" s="47"/>
      <c r="E2105" s="47"/>
      <c r="F2105" s="43"/>
      <c r="G2105" s="51"/>
      <c r="H2105" s="250" t="s">
        <v>1227</v>
      </c>
      <c r="I2105" s="251"/>
      <c r="J2105" s="43"/>
    </row>
    <row r="2106" spans="1:10">
      <c r="A2106" s="43" t="s">
        <v>1226</v>
      </c>
      <c r="B2106" s="43"/>
      <c r="C2106" s="43"/>
      <c r="D2106" s="43"/>
      <c r="E2106" s="43"/>
      <c r="F2106" s="43"/>
      <c r="G2106" s="43"/>
      <c r="H2106" s="43"/>
      <c r="I2106" s="43"/>
      <c r="J2106" s="43"/>
    </row>
    <row r="2107" spans="1:10">
      <c r="A2107" s="43"/>
      <c r="B2107" s="43"/>
      <c r="C2107" s="43"/>
      <c r="D2107" s="43"/>
      <c r="E2107" s="43"/>
      <c r="F2107" s="43"/>
      <c r="G2107" s="43"/>
      <c r="H2107" s="43"/>
      <c r="I2107" s="43"/>
      <c r="J2107" s="43"/>
    </row>
    <row r="2108" spans="1:10">
      <c r="A2108" s="43"/>
      <c r="B2108" s="43"/>
      <c r="C2108" s="43"/>
      <c r="D2108" s="43"/>
      <c r="E2108" s="256" t="str">
        <f>CONCATENATE("(",$D2079," vs ",$I2079,")")</f>
        <v>(B vs I)</v>
      </c>
      <c r="F2108" s="256"/>
      <c r="G2108" s="43"/>
      <c r="H2108" s="43"/>
      <c r="I2108" s="43"/>
      <c r="J2108" s="43"/>
    </row>
    <row r="2109" spans="1:10" ht="15.75">
      <c r="A2109" s="42" t="s">
        <v>1223</v>
      </c>
      <c r="B2109" s="43"/>
      <c r="C2109" s="43"/>
      <c r="D2109" s="43"/>
      <c r="E2109" s="43"/>
      <c r="F2109" s="43"/>
      <c r="G2109" s="43"/>
      <c r="H2109" s="43"/>
      <c r="I2109" s="43"/>
      <c r="J2109" s="96" t="s">
        <v>4281</v>
      </c>
    </row>
    <row r="2110" spans="1:10" ht="12.75" customHeight="1">
      <c r="A2110" s="42"/>
      <c r="B2110" s="43"/>
      <c r="C2110" s="43"/>
      <c r="D2110" s="43"/>
      <c r="E2110" s="43"/>
      <c r="F2110" s="43"/>
      <c r="G2110" s="43" t="str">
        <f ca="1">Team_Matches!$J$6</f>
        <v>[NCTTA Teams Template (v2.06).xlsx]</v>
      </c>
      <c r="H2110" s="43"/>
      <c r="I2110" s="43"/>
      <c r="J2110" s="160"/>
    </row>
    <row r="2111" spans="1:10" ht="12.75" customHeight="1">
      <c r="A2111" s="42"/>
      <c r="B2111" s="43"/>
      <c r="C2111" s="43"/>
      <c r="D2111" s="43"/>
      <c r="E2111" s="43"/>
      <c r="F2111" s="43"/>
      <c r="G2111" s="247" t="str">
        <f>Team_Matches!$J1588</f>
        <v/>
      </c>
      <c r="H2111" s="247"/>
      <c r="I2111" s="161" t="str">
        <f>Team_Matches!$M1588</f>
        <v/>
      </c>
      <c r="J2111" s="161"/>
    </row>
    <row r="2112" spans="1:10" ht="15.75">
      <c r="A2112" s="42"/>
      <c r="B2112" s="43"/>
      <c r="C2112" s="43"/>
      <c r="D2112" s="43"/>
      <c r="E2112" s="43"/>
      <c r="F2112" s="43"/>
      <c r="G2112" s="43"/>
      <c r="H2112" s="43"/>
      <c r="I2112" s="43"/>
      <c r="J2112" s="43"/>
    </row>
    <row r="2113" spans="1:10">
      <c r="A2113" s="43"/>
      <c r="B2113" s="43"/>
      <c r="C2113" s="9" t="s">
        <v>1228</v>
      </c>
      <c r="D2113" s="3" t="str">
        <f>Team_Matches!$B1590</f>
        <v>B</v>
      </c>
      <c r="E2113" s="43"/>
      <c r="F2113" s="97" t="str">
        <f>CONCATENATE($D2113,"-",$I2113)</f>
        <v>B-J</v>
      </c>
      <c r="G2113" s="43"/>
      <c r="H2113" s="9" t="s">
        <v>1228</v>
      </c>
      <c r="I2113" s="52" t="str">
        <f>Team_Matches!$K1590</f>
        <v>J</v>
      </c>
      <c r="J2113" s="43"/>
    </row>
    <row r="2114" spans="1:10" ht="25.5" customHeight="1">
      <c r="A2114" s="44"/>
      <c r="B2114" s="248" t="str">
        <f>IF(VLOOKUP($D2113,Draw!$A$4:$B$27,2)&lt;&gt;0,VLOOKUP($D2113,Draw!$A$4:$B$27,2),"")</f>
        <v/>
      </c>
      <c r="C2114" s="248"/>
      <c r="D2114" s="248"/>
      <c r="E2114" s="249"/>
      <c r="F2114" s="45"/>
      <c r="G2114" s="252" t="str">
        <f>IF(VLOOKUP($I2113,Draw!$A$4:$B$27,2)&lt;&gt;0,VLOOKUP($I2113,Draw!$A$4:$B$27,2),"")</f>
        <v/>
      </c>
      <c r="H2114" s="252"/>
      <c r="I2114" s="252"/>
      <c r="J2114" s="253"/>
    </row>
    <row r="2115" spans="1:10" ht="25.5" customHeight="1"/>
    <row r="2116" spans="1:10" ht="25.5" customHeight="1"/>
    <row r="2117" spans="1:10" ht="24" customHeight="1">
      <c r="A2117" s="48" t="s">
        <v>1246</v>
      </c>
      <c r="B2117" s="43"/>
      <c r="C2117" s="43"/>
      <c r="D2117" s="43"/>
      <c r="E2117" s="43"/>
      <c r="F2117" s="43"/>
      <c r="G2117" s="43"/>
      <c r="H2117" s="43"/>
      <c r="I2117" s="43"/>
      <c r="J2117" s="43"/>
    </row>
    <row r="2118" spans="1:10" ht="24" customHeight="1">
      <c r="A2118" s="48"/>
      <c r="B2118" s="43"/>
      <c r="C2118" s="43"/>
      <c r="D2118" s="43"/>
      <c r="E2118" s="43"/>
      <c r="F2118" s="43"/>
      <c r="G2118" s="43"/>
      <c r="H2118" s="43"/>
      <c r="I2118" s="43"/>
      <c r="J2118" s="43"/>
    </row>
    <row r="2119" spans="1:10">
      <c r="A2119" s="49" t="s">
        <v>1224</v>
      </c>
      <c r="B2119" s="46"/>
      <c r="C2119" s="46"/>
      <c r="D2119" s="46"/>
      <c r="E2119" s="46"/>
      <c r="F2119" s="46"/>
      <c r="G2119" s="260" t="s">
        <v>10336</v>
      </c>
      <c r="H2119" s="260"/>
      <c r="I2119" s="260"/>
      <c r="J2119" s="260"/>
    </row>
    <row r="2120" spans="1:10" ht="24" customHeight="1">
      <c r="A2120" s="50" t="str">
        <f>CONCATENATE($D2113,"1")</f>
        <v>B1</v>
      </c>
      <c r="B2120" s="255" t="str">
        <f>IF(VLOOKUP($A2120,Players!$A$2:$C$132,3)&lt;&gt;0,VLOOKUP($A2120,Players!$A$2:$C$132,3),"")</f>
        <v/>
      </c>
      <c r="C2120" s="255"/>
      <c r="D2120" s="255"/>
      <c r="E2120" s="255"/>
      <c r="F2120" s="255"/>
      <c r="G2120" s="254" t="str">
        <f>IF(VLOOKUP($I2113&amp;RIGHT($A2120,1),Players!$A$2:$D$132,3)&lt;&gt;0,VLOOKUP($I2113&amp;RIGHT($A2120,1),Players!$A$2:$D$132,3),"")</f>
        <v/>
      </c>
      <c r="H2120" s="254"/>
      <c r="I2120" s="254"/>
      <c r="J2120" s="210" t="str">
        <f>IF(VLOOKUP($I2113&amp;RIGHT($A2120,1),Players!$A$2:$D$132,3)&lt;&gt;0,"("&amp;VLOOKUP($I2113&amp;RIGHT($A2120,1),Players!$A$2:$D$132,4)&amp;")","")</f>
        <v/>
      </c>
    </row>
    <row r="2121" spans="1:10" ht="25.5" customHeight="1">
      <c r="A2121" s="50" t="str">
        <f>CONCATENATE($D2113,"2")</f>
        <v>B2</v>
      </c>
      <c r="B2121" s="255" t="str">
        <f>IF(VLOOKUP($A2121,Players!$A$2:$C$132,3)&lt;&gt;0,VLOOKUP($A2121,Players!$A$2:$C$132,3),"")</f>
        <v/>
      </c>
      <c r="C2121" s="255"/>
      <c r="D2121" s="255"/>
      <c r="E2121" s="255"/>
      <c r="F2121" s="255"/>
      <c r="G2121" s="254" t="str">
        <f>IF(VLOOKUP($I2113&amp;RIGHT($A2121,1),Players!$A$2:$D$132,3)&lt;&gt;0,VLOOKUP($I2113&amp;RIGHT($A2121,1),Players!$A$2:$D$132,3),"")</f>
        <v/>
      </c>
      <c r="H2121" s="254"/>
      <c r="I2121" s="254"/>
      <c r="J2121" s="210" t="str">
        <f>IF(VLOOKUP($I2113&amp;RIGHT($A2121,1),Players!$A$2:$D$132,3)&lt;&gt;0,"("&amp;VLOOKUP($I2113&amp;RIGHT($A2121,1),Players!$A$2:$D$132,4)&amp;")","")</f>
        <v/>
      </c>
    </row>
    <row r="2122" spans="1:10" ht="25.5" customHeight="1">
      <c r="A2122" s="50" t="str">
        <f>CONCATENATE($D2113,"3")</f>
        <v>B3</v>
      </c>
      <c r="B2122" s="255" t="str">
        <f>IF(VLOOKUP($A2122,Players!$A$2:$C$132,3)&lt;&gt;0,VLOOKUP($A2122,Players!$A$2:$C$132,3),"")</f>
        <v/>
      </c>
      <c r="C2122" s="255"/>
      <c r="D2122" s="255"/>
      <c r="E2122" s="255"/>
      <c r="F2122" s="255"/>
      <c r="G2122" s="254" t="str">
        <f>IF(VLOOKUP($I2113&amp;RIGHT($A2122,1),Players!$A$2:$D$132,3)&lt;&gt;0,VLOOKUP($I2113&amp;RIGHT($A2122,1),Players!$A$2:$D$132,3),"")</f>
        <v/>
      </c>
      <c r="H2122" s="254"/>
      <c r="I2122" s="254"/>
      <c r="J2122" s="210" t="str">
        <f>IF(VLOOKUP($I2113&amp;RIGHT($A2122,1),Players!$A$2:$D$132,3)&lt;&gt;0,"("&amp;VLOOKUP($I2113&amp;RIGHT($A2122,1),Players!$A$2:$D$132,4)&amp;")","")</f>
        <v/>
      </c>
    </row>
    <row r="2123" spans="1:10" ht="25.5" customHeight="1">
      <c r="A2123" s="50" t="str">
        <f>CONCATENATE($D2113,"4")</f>
        <v>B4</v>
      </c>
      <c r="B2123" s="255" t="str">
        <f>IF(VLOOKUP($A2123,Players!$A$2:$C$132,3)&lt;&gt;0,VLOOKUP($A2123,Players!$A$2:$C$132,3),"")</f>
        <v/>
      </c>
      <c r="C2123" s="255"/>
      <c r="D2123" s="255"/>
      <c r="E2123" s="255"/>
      <c r="F2123" s="255"/>
      <c r="G2123" s="254" t="str">
        <f>IF(VLOOKUP($I2113&amp;RIGHT($A2123,1),Players!$A$2:$D$132,3)&lt;&gt;0,VLOOKUP($I2113&amp;RIGHT($A2123,1),Players!$A$2:$D$132,3),"")</f>
        <v/>
      </c>
      <c r="H2123" s="254"/>
      <c r="I2123" s="254"/>
      <c r="J2123" s="210" t="str">
        <f>IF(VLOOKUP($I2113&amp;RIGHT($A2123,1),Players!$A$2:$D$132,3)&lt;&gt;0,"("&amp;VLOOKUP($I2113&amp;RIGHT($A2123,1),Players!$A$2:$D$132,4)&amp;")","")</f>
        <v/>
      </c>
    </row>
    <row r="2124" spans="1:10" ht="25.5" customHeight="1">
      <c r="A2124" s="50" t="str">
        <f>CONCATENATE($D2113,"5")</f>
        <v>B5</v>
      </c>
      <c r="B2124" s="255" t="str">
        <f>IF(VLOOKUP($A2124,Players!$A$2:$C$132,3)&lt;&gt;0,VLOOKUP($A2124,Players!$A$2:$C$132,3),"")</f>
        <v/>
      </c>
      <c r="C2124" s="255"/>
      <c r="D2124" s="255"/>
      <c r="E2124" s="255"/>
      <c r="F2124" s="255"/>
      <c r="G2124" s="254" t="str">
        <f>IF(VLOOKUP($I2113&amp;RIGHT($A2124,1),Players!$A$2:$D$132,3)&lt;&gt;0,VLOOKUP($I2113&amp;RIGHT($A2124,1),Players!$A$2:$D$132,3),"")</f>
        <v/>
      </c>
      <c r="H2124" s="254"/>
      <c r="I2124" s="254"/>
      <c r="J2124" s="210" t="str">
        <f>IF(VLOOKUP($I2113&amp;RIGHT($A2124,1),Players!$A$2:$D$132,3)&lt;&gt;0,"("&amp;VLOOKUP($I2113&amp;RIGHT($A2124,1),Players!$A$2:$D$132,4)&amp;")","")</f>
        <v/>
      </c>
    </row>
    <row r="2125" spans="1:10" ht="25.5" customHeight="1">
      <c r="A2125" s="50" t="str">
        <f>CONCATENATE($D2113,"6")</f>
        <v>B6</v>
      </c>
      <c r="B2125" s="255" t="str">
        <f>IF(VLOOKUP($A2125,Players!$A$2:$C$132,3)&lt;&gt;0,VLOOKUP($A2125,Players!$A$2:$C$132,3),"")</f>
        <v/>
      </c>
      <c r="C2125" s="255"/>
      <c r="D2125" s="255"/>
      <c r="E2125" s="255"/>
      <c r="F2125" s="255"/>
      <c r="G2125" s="254" t="str">
        <f>IF(VLOOKUP($I2113&amp;RIGHT($A2125,1),Players!$A$2:$D$132,3)&lt;&gt;0,VLOOKUP($I2113&amp;RIGHT($A2125,1),Players!$A$2:$D$132,3),"")</f>
        <v/>
      </c>
      <c r="H2125" s="254"/>
      <c r="I2125" s="254"/>
      <c r="J2125" s="210" t="str">
        <f>IF(VLOOKUP($I2113&amp;RIGHT($A2125,1),Players!$A$2:$D$132,3)&lt;&gt;0,"("&amp;VLOOKUP($I2113&amp;RIGHT($A2125,1),Players!$A$2:$D$132,4)&amp;")","")</f>
        <v/>
      </c>
    </row>
    <row r="2126" spans="1:10" ht="25.5" customHeight="1">
      <c r="A2126" s="50" t="str">
        <f>CONCATENATE($D2113,"7")</f>
        <v>B7</v>
      </c>
      <c r="B2126" s="255" t="str">
        <f>IF(VLOOKUP($A2126,Players!$A$2:$C$132,3)&lt;&gt;0,VLOOKUP($A2126,Players!$A$2:$C$132,3),"")</f>
        <v/>
      </c>
      <c r="C2126" s="255"/>
      <c r="D2126" s="255"/>
      <c r="E2126" s="255"/>
      <c r="F2126" s="255"/>
      <c r="G2126" s="254" t="str">
        <f>IF(VLOOKUP($I2113&amp;RIGHT($A2126,1),Players!$A$2:$D$132,3)&lt;&gt;0,VLOOKUP($I2113&amp;RIGHT($A2126,1),Players!$A$2:$D$132,3),"")</f>
        <v/>
      </c>
      <c r="H2126" s="254"/>
      <c r="I2126" s="254"/>
      <c r="J2126" s="210" t="str">
        <f>IF(VLOOKUP($I2113&amp;RIGHT($A2126,1),Players!$A$2:$D$132,3)&lt;&gt;0,"("&amp;VLOOKUP($I2113&amp;RIGHT($A2126,1),Players!$A$2:$D$132,4)&amp;")","")</f>
        <v/>
      </c>
    </row>
    <row r="2127" spans="1:10" ht="25.5" customHeight="1">
      <c r="A2127" s="50" t="str">
        <f>CONCATENATE($D2113,"8")</f>
        <v>B8</v>
      </c>
      <c r="B2127" s="255" t="str">
        <f>IF(VLOOKUP($A2127,Players!$A$2:$C$132,3)&lt;&gt;0,VLOOKUP($A2127,Players!$A$2:$C$132,3),"")</f>
        <v/>
      </c>
      <c r="C2127" s="255"/>
      <c r="D2127" s="255"/>
      <c r="E2127" s="255"/>
      <c r="F2127" s="255"/>
      <c r="G2127" s="254" t="str">
        <f>IF(VLOOKUP($I2113&amp;RIGHT($A2127,1),Players!$A$2:$D$132,3)&lt;&gt;0,VLOOKUP($I2113&amp;RIGHT($A2127,1),Players!$A$2:$D$132,3),"")</f>
        <v/>
      </c>
      <c r="H2127" s="254"/>
      <c r="I2127" s="254"/>
      <c r="J2127" s="210" t="str">
        <f>IF(VLOOKUP($I2113&amp;RIGHT($A2127,1),Players!$A$2:$D$132,3)&lt;&gt;0,"("&amp;VLOOKUP($I2113&amp;RIGHT($A2127,1),Players!$A$2:$D$132,4)&amp;")","")</f>
        <v/>
      </c>
    </row>
    <row r="2128" spans="1:10" ht="25.5" customHeight="1">
      <c r="A2128" s="50"/>
      <c r="B2128" s="26"/>
      <c r="C2128" s="26"/>
      <c r="D2128" s="26"/>
      <c r="E2128" s="26"/>
      <c r="F2128" s="27"/>
      <c r="G2128" s="43"/>
      <c r="H2128" s="43"/>
      <c r="I2128" s="43"/>
      <c r="J2128" s="43"/>
    </row>
    <row r="2129" spans="1:10">
      <c r="A2129" s="49" t="s">
        <v>1225</v>
      </c>
      <c r="B2129" s="46"/>
      <c r="C2129" s="46"/>
      <c r="D2129" s="46"/>
      <c r="E2129" s="46"/>
      <c r="F2129" s="46"/>
      <c r="G2129" s="43"/>
      <c r="H2129" s="43"/>
      <c r="I2129" s="43"/>
      <c r="J2129" s="43"/>
    </row>
    <row r="2130" spans="1:10">
      <c r="A2130" s="46" t="s">
        <v>1247</v>
      </c>
      <c r="B2130" s="46"/>
      <c r="C2130" s="46"/>
      <c r="D2130" s="46"/>
      <c r="E2130" s="46"/>
      <c r="F2130" s="46"/>
      <c r="G2130" s="43"/>
      <c r="H2130" s="43"/>
      <c r="I2130" s="43"/>
      <c r="J2130" s="43"/>
    </row>
    <row r="2131" spans="1:10">
      <c r="A2131" s="46" t="s">
        <v>1248</v>
      </c>
      <c r="B2131" s="46"/>
      <c r="C2131" s="46"/>
      <c r="D2131" s="46"/>
      <c r="E2131" s="46"/>
      <c r="F2131" s="46"/>
      <c r="G2131" s="43"/>
      <c r="H2131" s="43"/>
      <c r="I2131" s="43"/>
      <c r="J2131" s="43"/>
    </row>
    <row r="2132" spans="1:10" ht="13.5" thickBot="1">
      <c r="A2132" s="46"/>
      <c r="B2132" s="46"/>
      <c r="C2132" s="46"/>
      <c r="D2132" s="46"/>
      <c r="E2132" s="46"/>
      <c r="F2132" s="46"/>
      <c r="G2132" s="43"/>
      <c r="H2132" s="43"/>
      <c r="I2132" s="43"/>
      <c r="J2132" s="43"/>
    </row>
    <row r="2133" spans="1:10" ht="25.5" customHeight="1" thickBot="1">
      <c r="A2133" s="50"/>
      <c r="B2133" s="257"/>
      <c r="C2133" s="258"/>
      <c r="D2133" s="258"/>
      <c r="E2133" s="258"/>
      <c r="F2133" s="259"/>
      <c r="G2133" s="43"/>
      <c r="H2133" s="43"/>
      <c r="I2133" s="43"/>
      <c r="J2133" s="43"/>
    </row>
    <row r="2134" spans="1:10">
      <c r="A2134" s="43"/>
      <c r="B2134" s="43"/>
      <c r="C2134" s="43"/>
      <c r="D2134" s="43"/>
      <c r="E2134" s="43"/>
      <c r="F2134" s="43"/>
      <c r="G2134" s="43"/>
      <c r="H2134" s="43"/>
      <c r="I2134" s="43"/>
      <c r="J2134" s="43"/>
    </row>
    <row r="2135" spans="1:10">
      <c r="A2135" s="43"/>
      <c r="B2135" s="43"/>
      <c r="C2135" s="43"/>
      <c r="D2135" s="43"/>
      <c r="E2135" s="43"/>
      <c r="F2135" s="43"/>
      <c r="G2135" s="43"/>
      <c r="H2135" s="43"/>
      <c r="I2135" s="43"/>
      <c r="J2135" s="43"/>
    </row>
    <row r="2136" spans="1:10">
      <c r="A2136" s="43"/>
      <c r="B2136" s="43"/>
      <c r="C2136" s="43"/>
      <c r="D2136" s="43"/>
      <c r="E2136" s="43"/>
      <c r="F2136" s="43"/>
      <c r="G2136" s="43"/>
      <c r="H2136" s="43"/>
      <c r="I2136" s="43"/>
      <c r="J2136" s="43"/>
    </row>
    <row r="2137" spans="1:10">
      <c r="A2137" s="43"/>
      <c r="B2137" s="43"/>
      <c r="C2137" s="43"/>
      <c r="D2137" s="43"/>
      <c r="E2137" s="43"/>
      <c r="F2137" s="43"/>
      <c r="G2137" s="43"/>
      <c r="H2137" s="43"/>
      <c r="I2137" s="43"/>
      <c r="J2137" s="43"/>
    </row>
    <row r="2138" spans="1:10">
      <c r="A2138" s="43"/>
      <c r="B2138" s="43"/>
      <c r="C2138" s="43"/>
      <c r="D2138" s="43"/>
      <c r="E2138" s="43"/>
      <c r="F2138" s="43"/>
      <c r="G2138" s="43"/>
      <c r="H2138" s="43"/>
      <c r="I2138" s="43"/>
      <c r="J2138" s="43"/>
    </row>
    <row r="2139" spans="1:10" ht="25.5" customHeight="1">
      <c r="A2139" s="47"/>
      <c r="B2139" s="47"/>
      <c r="C2139" s="47"/>
      <c r="D2139" s="47"/>
      <c r="E2139" s="47"/>
      <c r="F2139" s="43"/>
      <c r="G2139" s="51"/>
      <c r="H2139" s="250" t="s">
        <v>1227</v>
      </c>
      <c r="I2139" s="251"/>
      <c r="J2139" s="43"/>
    </row>
    <row r="2140" spans="1:10">
      <c r="A2140" s="43" t="s">
        <v>1226</v>
      </c>
      <c r="B2140" s="43"/>
      <c r="C2140" s="43"/>
      <c r="D2140" s="43"/>
      <c r="E2140" s="43"/>
      <c r="F2140" s="43"/>
      <c r="G2140" s="43"/>
      <c r="H2140" s="43"/>
      <c r="I2140" s="43"/>
      <c r="J2140" s="43"/>
    </row>
    <row r="2141" spans="1:10">
      <c r="A2141" s="43"/>
      <c r="B2141" s="43"/>
      <c r="C2141" s="43"/>
      <c r="D2141" s="43"/>
      <c r="E2141" s="43"/>
      <c r="F2141" s="43"/>
      <c r="G2141" s="43"/>
      <c r="H2141" s="43"/>
      <c r="I2141" s="43"/>
      <c r="J2141" s="43"/>
    </row>
    <row r="2142" spans="1:10">
      <c r="A2142" s="43"/>
      <c r="B2142" s="43"/>
      <c r="C2142" s="43"/>
      <c r="D2142" s="43"/>
      <c r="E2142" s="256" t="str">
        <f>CONCATENATE("(",$D2113," vs ",$I2113,")")</f>
        <v>(B vs J)</v>
      </c>
      <c r="F2142" s="256"/>
      <c r="G2142" s="43"/>
      <c r="H2142" s="43"/>
      <c r="I2142" s="43"/>
      <c r="J2142" s="43"/>
    </row>
    <row r="2143" spans="1:10" ht="15.75">
      <c r="A2143" s="42" t="s">
        <v>1223</v>
      </c>
      <c r="B2143" s="43"/>
      <c r="C2143" s="43"/>
      <c r="D2143" s="43"/>
      <c r="E2143" s="43"/>
      <c r="F2143" s="43"/>
      <c r="G2143" s="43"/>
      <c r="H2143" s="43"/>
      <c r="I2143" s="43"/>
      <c r="J2143" s="96" t="s">
        <v>4282</v>
      </c>
    </row>
    <row r="2144" spans="1:10" ht="12.75" customHeight="1">
      <c r="A2144" s="42"/>
      <c r="B2144" s="43"/>
      <c r="C2144" s="43"/>
      <c r="D2144" s="43"/>
      <c r="E2144" s="43"/>
      <c r="F2144" s="43"/>
      <c r="G2144" s="43" t="str">
        <f ca="1">Team_Matches!$J$6</f>
        <v>[NCTTA Teams Template (v2.06).xlsx]</v>
      </c>
      <c r="H2144" s="43"/>
      <c r="I2144" s="43"/>
      <c r="J2144" s="160"/>
    </row>
    <row r="2145" spans="1:10" ht="12.75" customHeight="1">
      <c r="A2145" s="42"/>
      <c r="B2145" s="43"/>
      <c r="C2145" s="43"/>
      <c r="D2145" s="43"/>
      <c r="E2145" s="43"/>
      <c r="F2145" s="43"/>
      <c r="G2145" s="247" t="str">
        <f>Team_Matches!$J1588</f>
        <v/>
      </c>
      <c r="H2145" s="247"/>
      <c r="I2145" s="161" t="str">
        <f>Team_Matches!$M1588</f>
        <v/>
      </c>
      <c r="J2145" s="161"/>
    </row>
    <row r="2146" spans="1:10" ht="15.75">
      <c r="A2146" s="42"/>
      <c r="B2146" s="43"/>
      <c r="C2146" s="43"/>
      <c r="D2146" s="43"/>
      <c r="E2146" s="43"/>
      <c r="F2146" s="43"/>
      <c r="G2146" s="43"/>
      <c r="H2146" s="43"/>
      <c r="I2146" s="43"/>
      <c r="J2146" s="43"/>
    </row>
    <row r="2147" spans="1:10">
      <c r="A2147" s="43"/>
      <c r="B2147" s="43"/>
      <c r="C2147" s="9" t="s">
        <v>1228</v>
      </c>
      <c r="D2147" s="3" t="str">
        <f>Team_Matches!$B1590</f>
        <v>B</v>
      </c>
      <c r="E2147" s="43"/>
      <c r="F2147" s="97" t="str">
        <f>CONCATENATE($D2147,"-",$I2147)</f>
        <v>B-J</v>
      </c>
      <c r="G2147" s="43"/>
      <c r="H2147" s="9" t="s">
        <v>1228</v>
      </c>
      <c r="I2147" s="52" t="str">
        <f>Team_Matches!$K1590</f>
        <v>J</v>
      </c>
      <c r="J2147" s="43"/>
    </row>
    <row r="2148" spans="1:10" ht="25.5" customHeight="1">
      <c r="A2148" s="44"/>
      <c r="B2148" s="252" t="str">
        <f>IF(VLOOKUP($D2147,Draw!$A$4:$B$27,2)&lt;&gt;0,VLOOKUP($D2147,Draw!$A$4:$B$27,2),"")</f>
        <v/>
      </c>
      <c r="C2148" s="252"/>
      <c r="D2148" s="252"/>
      <c r="E2148" s="253"/>
      <c r="F2148" s="45"/>
      <c r="G2148" s="248" t="str">
        <f>IF(VLOOKUP($I2147,Draw!$A$4:$B$27,2)&lt;&gt;0,VLOOKUP($I2147,Draw!$A$4:$B$27,2),"")</f>
        <v/>
      </c>
      <c r="H2148" s="248"/>
      <c r="I2148" s="248"/>
      <c r="J2148" s="249"/>
    </row>
    <row r="2149" spans="1:10" ht="25.5" customHeight="1"/>
    <row r="2150" spans="1:10" ht="25.5" customHeight="1"/>
    <row r="2151" spans="1:10" ht="24" customHeight="1">
      <c r="A2151" s="48" t="s">
        <v>1246</v>
      </c>
      <c r="B2151" s="43"/>
      <c r="C2151" s="43"/>
      <c r="D2151" s="43"/>
      <c r="E2151" s="43"/>
      <c r="F2151" s="43"/>
      <c r="G2151" s="43"/>
      <c r="H2151" s="43"/>
      <c r="I2151" s="43"/>
      <c r="J2151" s="43"/>
    </row>
    <row r="2152" spans="1:10" ht="24" customHeight="1">
      <c r="A2152" s="48"/>
      <c r="B2152" s="43"/>
      <c r="C2152" s="43"/>
      <c r="D2152" s="43"/>
      <c r="E2152" s="43"/>
      <c r="F2152" s="43"/>
      <c r="G2152" s="43"/>
      <c r="H2152" s="43"/>
      <c r="I2152" s="43"/>
      <c r="J2152" s="43"/>
    </row>
    <row r="2153" spans="1:10">
      <c r="A2153" s="49" t="s">
        <v>1224</v>
      </c>
      <c r="B2153" s="46"/>
      <c r="C2153" s="46"/>
      <c r="D2153" s="46"/>
      <c r="E2153" s="46"/>
      <c r="F2153" s="46"/>
      <c r="G2153" s="260" t="s">
        <v>10336</v>
      </c>
      <c r="H2153" s="260"/>
      <c r="I2153" s="260"/>
      <c r="J2153" s="260"/>
    </row>
    <row r="2154" spans="1:10" ht="24" customHeight="1">
      <c r="A2154" s="50" t="str">
        <f>CONCATENATE($I2147,"1")</f>
        <v>J1</v>
      </c>
      <c r="B2154" s="255" t="str">
        <f>IF(VLOOKUP($A2154,Players!$A$2:$C$132,3)&lt;&gt;0,VLOOKUP($A2154,Players!$A$2:$C$132,3),"")</f>
        <v/>
      </c>
      <c r="C2154" s="255"/>
      <c r="D2154" s="255"/>
      <c r="E2154" s="255"/>
      <c r="F2154" s="255"/>
      <c r="G2154" s="254" t="str">
        <f>IF(VLOOKUP($D2147&amp;RIGHT($A2154,1),Players!$A$2:$D$132,3)&lt;&gt;0,VLOOKUP($D2147&amp;RIGHT($A2154,1),Players!$A$2:$D$132,3),"")</f>
        <v/>
      </c>
      <c r="H2154" s="254"/>
      <c r="I2154" s="254"/>
      <c r="J2154" s="210" t="str">
        <f>IF(VLOOKUP($D2147&amp;RIGHT($A2154,1),Players!$A$2:$D$132,3)&lt;&gt;0,"("&amp;VLOOKUP($D2147&amp;RIGHT($A2154,1),Players!$A$2:$D$132,4)&amp;")","")</f>
        <v/>
      </c>
    </row>
    <row r="2155" spans="1:10" ht="25.5" customHeight="1">
      <c r="A2155" s="50" t="str">
        <f>CONCATENATE($I2147,"2")</f>
        <v>J2</v>
      </c>
      <c r="B2155" s="255" t="str">
        <f>IF(VLOOKUP($A2155,Players!$A$2:$C$132,3)&lt;&gt;0,VLOOKUP($A2155,Players!$A$2:$C$132,3),"")</f>
        <v/>
      </c>
      <c r="C2155" s="255"/>
      <c r="D2155" s="255"/>
      <c r="E2155" s="255"/>
      <c r="F2155" s="255"/>
      <c r="G2155" s="254" t="str">
        <f>IF(VLOOKUP($D2147&amp;RIGHT($A2155,1),Players!$A$2:$D$132,3)&lt;&gt;0,VLOOKUP($D2147&amp;RIGHT($A2155,1),Players!$A$2:$D$132,3),"")</f>
        <v/>
      </c>
      <c r="H2155" s="254"/>
      <c r="I2155" s="254"/>
      <c r="J2155" s="210" t="str">
        <f>IF(VLOOKUP($D2147&amp;RIGHT($A2155,1),Players!$A$2:$D$132,3)&lt;&gt;0,"("&amp;VLOOKUP($D2147&amp;RIGHT($A2155,1),Players!$A$2:$D$132,4)&amp;")","")</f>
        <v/>
      </c>
    </row>
    <row r="2156" spans="1:10" ht="25.5" customHeight="1">
      <c r="A2156" s="50" t="str">
        <f>CONCATENATE($I2147,"3")</f>
        <v>J3</v>
      </c>
      <c r="B2156" s="255" t="str">
        <f>IF(VLOOKUP($A2156,Players!$A$2:$C$132,3)&lt;&gt;0,VLOOKUP($A2156,Players!$A$2:$C$132,3),"")</f>
        <v/>
      </c>
      <c r="C2156" s="255"/>
      <c r="D2156" s="255"/>
      <c r="E2156" s="255"/>
      <c r="F2156" s="255"/>
      <c r="G2156" s="254" t="str">
        <f>IF(VLOOKUP($D2147&amp;RIGHT($A2156,1),Players!$A$2:$D$132,3)&lt;&gt;0,VLOOKUP($D2147&amp;RIGHT($A2156,1),Players!$A$2:$D$132,3),"")</f>
        <v/>
      </c>
      <c r="H2156" s="254"/>
      <c r="I2156" s="254"/>
      <c r="J2156" s="210" t="str">
        <f>IF(VLOOKUP($D2147&amp;RIGHT($A2156,1),Players!$A$2:$D$132,3)&lt;&gt;0,"("&amp;VLOOKUP($D2147&amp;RIGHT($A2156,1),Players!$A$2:$D$132,4)&amp;")","")</f>
        <v/>
      </c>
    </row>
    <row r="2157" spans="1:10" ht="25.5" customHeight="1">
      <c r="A2157" s="50" t="str">
        <f>CONCATENATE($I2147,"4")</f>
        <v>J4</v>
      </c>
      <c r="B2157" s="255" t="str">
        <f>IF(VLOOKUP($A2157,Players!$A$2:$C$132,3)&lt;&gt;0,VLOOKUP($A2157,Players!$A$2:$C$132,3),"")</f>
        <v/>
      </c>
      <c r="C2157" s="255"/>
      <c r="D2157" s="255"/>
      <c r="E2157" s="255"/>
      <c r="F2157" s="255"/>
      <c r="G2157" s="254" t="str">
        <f>IF(VLOOKUP($D2147&amp;RIGHT($A2157,1),Players!$A$2:$D$132,3)&lt;&gt;0,VLOOKUP($D2147&amp;RIGHT($A2157,1),Players!$A$2:$D$132,3),"")</f>
        <v/>
      </c>
      <c r="H2157" s="254"/>
      <c r="I2157" s="254"/>
      <c r="J2157" s="210" t="str">
        <f>IF(VLOOKUP($D2147&amp;RIGHT($A2157,1),Players!$A$2:$D$132,3)&lt;&gt;0,"("&amp;VLOOKUP($D2147&amp;RIGHT($A2157,1),Players!$A$2:$D$132,4)&amp;")","")</f>
        <v/>
      </c>
    </row>
    <row r="2158" spans="1:10" ht="25.5" customHeight="1">
      <c r="A2158" s="50" t="str">
        <f>CONCATENATE($I2147,"5")</f>
        <v>J5</v>
      </c>
      <c r="B2158" s="255" t="str">
        <f>IF(VLOOKUP($A2158,Players!$A$2:$C$132,3)&lt;&gt;0,VLOOKUP($A2158,Players!$A$2:$C$132,3),"")</f>
        <v/>
      </c>
      <c r="C2158" s="255"/>
      <c r="D2158" s="255"/>
      <c r="E2158" s="255"/>
      <c r="F2158" s="255"/>
      <c r="G2158" s="254" t="str">
        <f>IF(VLOOKUP($D2147&amp;RIGHT($A2158,1),Players!$A$2:$D$132,3)&lt;&gt;0,VLOOKUP($D2147&amp;RIGHT($A2158,1),Players!$A$2:$D$132,3),"")</f>
        <v/>
      </c>
      <c r="H2158" s="254"/>
      <c r="I2158" s="254"/>
      <c r="J2158" s="210" t="str">
        <f>IF(VLOOKUP($D2147&amp;RIGHT($A2158,1),Players!$A$2:$D$132,3)&lt;&gt;0,"("&amp;VLOOKUP($D2147&amp;RIGHT($A2158,1),Players!$A$2:$D$132,4)&amp;")","")</f>
        <v/>
      </c>
    </row>
    <row r="2159" spans="1:10" ht="25.5" customHeight="1">
      <c r="A2159" s="50" t="str">
        <f>CONCATENATE($I2147,"6")</f>
        <v>J6</v>
      </c>
      <c r="B2159" s="255" t="str">
        <f>IF(VLOOKUP($A2159,Players!$A$2:$C$132,3)&lt;&gt;0,VLOOKUP($A2159,Players!$A$2:$C$132,3),"")</f>
        <v/>
      </c>
      <c r="C2159" s="255"/>
      <c r="D2159" s="255"/>
      <c r="E2159" s="255"/>
      <c r="F2159" s="255"/>
      <c r="G2159" s="254" t="str">
        <f>IF(VLOOKUP($D2147&amp;RIGHT($A2159,1),Players!$A$2:$D$132,3)&lt;&gt;0,VLOOKUP($D2147&amp;RIGHT($A2159,1),Players!$A$2:$D$132,3),"")</f>
        <v/>
      </c>
      <c r="H2159" s="254"/>
      <c r="I2159" s="254"/>
      <c r="J2159" s="210" t="str">
        <f>IF(VLOOKUP($D2147&amp;RIGHT($A2159,1),Players!$A$2:$D$132,3)&lt;&gt;0,"("&amp;VLOOKUP($D2147&amp;RIGHT($A2159,1),Players!$A$2:$D$132,4)&amp;")","")</f>
        <v/>
      </c>
    </row>
    <row r="2160" spans="1:10" ht="25.5" customHeight="1">
      <c r="A2160" s="50" t="str">
        <f>CONCATENATE($I2147,"7")</f>
        <v>J7</v>
      </c>
      <c r="B2160" s="255" t="str">
        <f>IF(VLOOKUP($A2160,Players!$A$2:$C$132,3)&lt;&gt;0,VLOOKUP($A2160,Players!$A$2:$C$132,3),"")</f>
        <v/>
      </c>
      <c r="C2160" s="255"/>
      <c r="D2160" s="255"/>
      <c r="E2160" s="255"/>
      <c r="F2160" s="255"/>
      <c r="G2160" s="254" t="str">
        <f>IF(VLOOKUP($D2147&amp;RIGHT($A2160,1),Players!$A$2:$D$132,3)&lt;&gt;0,VLOOKUP($D2147&amp;RIGHT($A2160,1),Players!$A$2:$D$132,3),"")</f>
        <v/>
      </c>
      <c r="H2160" s="254"/>
      <c r="I2160" s="254"/>
      <c r="J2160" s="210" t="str">
        <f>IF(VLOOKUP($D2147&amp;RIGHT($A2160,1),Players!$A$2:$D$132,3)&lt;&gt;0,"("&amp;VLOOKUP($D2147&amp;RIGHT($A2160,1),Players!$A$2:$D$132,4)&amp;")","")</f>
        <v/>
      </c>
    </row>
    <row r="2161" spans="1:10" ht="25.5" customHeight="1">
      <c r="A2161" s="50" t="str">
        <f>CONCATENATE($I2147,"8")</f>
        <v>J8</v>
      </c>
      <c r="B2161" s="255" t="str">
        <f>IF(VLOOKUP($A2161,Players!$A$2:$C$132,3)&lt;&gt;0,VLOOKUP($A2161,Players!$A$2:$C$132,3),"")</f>
        <v/>
      </c>
      <c r="C2161" s="255"/>
      <c r="D2161" s="255"/>
      <c r="E2161" s="255"/>
      <c r="F2161" s="255"/>
      <c r="G2161" s="254" t="str">
        <f>IF(VLOOKUP($D2147&amp;RIGHT($A2161,1),Players!$A$2:$D$132,3)&lt;&gt;0,VLOOKUP($D2147&amp;RIGHT($A2161,1),Players!$A$2:$D$132,3),"")</f>
        <v/>
      </c>
      <c r="H2161" s="254"/>
      <c r="I2161" s="254"/>
      <c r="J2161" s="210" t="str">
        <f>IF(VLOOKUP($D2147&amp;RIGHT($A2161,1),Players!$A$2:$D$132,3)&lt;&gt;0,"("&amp;VLOOKUP($D2147&amp;RIGHT($A2161,1),Players!$A$2:$D$132,4)&amp;")","")</f>
        <v/>
      </c>
    </row>
    <row r="2162" spans="1:10" ht="25.5" customHeight="1">
      <c r="A2162" s="50"/>
      <c r="B2162" s="26"/>
      <c r="C2162" s="26"/>
      <c r="D2162" s="26"/>
      <c r="E2162" s="26"/>
      <c r="F2162" s="27"/>
      <c r="G2162" s="43"/>
      <c r="H2162" s="43"/>
      <c r="I2162" s="43"/>
      <c r="J2162" s="43"/>
    </row>
    <row r="2163" spans="1:10">
      <c r="A2163" s="49" t="s">
        <v>1225</v>
      </c>
      <c r="B2163" s="46"/>
      <c r="C2163" s="46"/>
      <c r="D2163" s="46"/>
      <c r="E2163" s="46"/>
      <c r="F2163" s="46"/>
      <c r="G2163" s="43"/>
      <c r="H2163" s="43"/>
      <c r="I2163" s="43"/>
      <c r="J2163" s="43"/>
    </row>
    <row r="2164" spans="1:10">
      <c r="A2164" s="46" t="s">
        <v>1247</v>
      </c>
      <c r="B2164" s="46"/>
      <c r="C2164" s="46"/>
      <c r="D2164" s="46"/>
      <c r="E2164" s="46"/>
      <c r="F2164" s="46"/>
      <c r="G2164" s="43"/>
      <c r="H2164" s="43"/>
      <c r="I2164" s="43"/>
      <c r="J2164" s="43"/>
    </row>
    <row r="2165" spans="1:10">
      <c r="A2165" s="46" t="s">
        <v>1248</v>
      </c>
      <c r="B2165" s="46"/>
      <c r="C2165" s="46"/>
      <c r="D2165" s="46"/>
      <c r="E2165" s="46"/>
      <c r="F2165" s="46"/>
      <c r="G2165" s="43"/>
      <c r="H2165" s="43"/>
      <c r="I2165" s="43"/>
      <c r="J2165" s="43"/>
    </row>
    <row r="2166" spans="1:10" ht="13.5" thickBot="1">
      <c r="A2166" s="46"/>
      <c r="B2166" s="46"/>
      <c r="C2166" s="46"/>
      <c r="D2166" s="46"/>
      <c r="E2166" s="46"/>
      <c r="F2166" s="46"/>
      <c r="G2166" s="43"/>
      <c r="H2166" s="43"/>
      <c r="I2166" s="43"/>
      <c r="J2166" s="43"/>
    </row>
    <row r="2167" spans="1:10" ht="25.5" customHeight="1" thickBot="1">
      <c r="A2167" s="50"/>
      <c r="B2167" s="257"/>
      <c r="C2167" s="258"/>
      <c r="D2167" s="258"/>
      <c r="E2167" s="258"/>
      <c r="F2167" s="259"/>
      <c r="G2167" s="43"/>
      <c r="H2167" s="43"/>
      <c r="I2167" s="43"/>
      <c r="J2167" s="43"/>
    </row>
    <row r="2168" spans="1:10">
      <c r="A2168" s="43"/>
      <c r="B2168" s="43"/>
      <c r="C2168" s="43"/>
      <c r="D2168" s="43"/>
      <c r="E2168" s="43"/>
      <c r="F2168" s="43"/>
      <c r="G2168" s="43"/>
      <c r="H2168" s="43"/>
      <c r="I2168" s="43"/>
      <c r="J2168" s="43"/>
    </row>
    <row r="2169" spans="1:10">
      <c r="A2169" s="43"/>
      <c r="B2169" s="43"/>
      <c r="C2169" s="43"/>
      <c r="D2169" s="43"/>
      <c r="E2169" s="43"/>
      <c r="F2169" s="43"/>
      <c r="G2169" s="43"/>
      <c r="H2169" s="43"/>
      <c r="I2169" s="43"/>
      <c r="J2169" s="43"/>
    </row>
    <row r="2170" spans="1:10">
      <c r="A2170" s="43"/>
      <c r="B2170" s="43"/>
      <c r="C2170" s="43"/>
      <c r="D2170" s="43"/>
      <c r="E2170" s="43"/>
      <c r="F2170" s="43"/>
      <c r="G2170" s="43"/>
      <c r="H2170" s="43"/>
      <c r="I2170" s="43"/>
      <c r="J2170" s="43"/>
    </row>
    <row r="2171" spans="1:10">
      <c r="A2171" s="43"/>
      <c r="B2171" s="43"/>
      <c r="C2171" s="43"/>
      <c r="D2171" s="43"/>
      <c r="E2171" s="43"/>
      <c r="F2171" s="43"/>
      <c r="G2171" s="43"/>
      <c r="H2171" s="43"/>
      <c r="I2171" s="43"/>
      <c r="J2171" s="43"/>
    </row>
    <row r="2172" spans="1:10">
      <c r="A2172" s="43"/>
      <c r="B2172" s="43"/>
      <c r="C2172" s="43"/>
      <c r="D2172" s="43"/>
      <c r="E2172" s="43"/>
      <c r="F2172" s="43"/>
      <c r="G2172" s="43"/>
      <c r="H2172" s="43"/>
      <c r="I2172" s="43"/>
      <c r="J2172" s="43"/>
    </row>
    <row r="2173" spans="1:10" ht="25.5" customHeight="1">
      <c r="A2173" s="47"/>
      <c r="B2173" s="47"/>
      <c r="C2173" s="47"/>
      <c r="D2173" s="47"/>
      <c r="E2173" s="47"/>
      <c r="F2173" s="43"/>
      <c r="G2173" s="51"/>
      <c r="H2173" s="250" t="s">
        <v>1227</v>
      </c>
      <c r="I2173" s="251"/>
      <c r="J2173" s="43"/>
    </row>
    <row r="2174" spans="1:10">
      <c r="A2174" s="43" t="s">
        <v>1226</v>
      </c>
      <c r="B2174" s="43"/>
      <c r="C2174" s="43"/>
      <c r="D2174" s="43"/>
      <c r="E2174" s="43"/>
      <c r="F2174" s="43"/>
      <c r="G2174" s="43"/>
      <c r="H2174" s="43"/>
      <c r="I2174" s="43"/>
      <c r="J2174" s="43"/>
    </row>
    <row r="2175" spans="1:10">
      <c r="A2175" s="43"/>
      <c r="B2175" s="43"/>
      <c r="C2175" s="43"/>
      <c r="D2175" s="43"/>
      <c r="E2175" s="43"/>
      <c r="F2175" s="43"/>
      <c r="G2175" s="43"/>
      <c r="H2175" s="43"/>
      <c r="I2175" s="43"/>
      <c r="J2175" s="43"/>
    </row>
    <row r="2176" spans="1:10">
      <c r="A2176" s="43"/>
      <c r="B2176" s="43"/>
      <c r="C2176" s="43"/>
      <c r="D2176" s="43"/>
      <c r="E2176" s="256" t="str">
        <f>CONCATENATE("(",$D2147," vs ",$I2147,")")</f>
        <v>(B vs J)</v>
      </c>
      <c r="F2176" s="256"/>
      <c r="G2176" s="43"/>
      <c r="H2176" s="43"/>
      <c r="I2176" s="43"/>
      <c r="J2176" s="43"/>
    </row>
    <row r="2177" spans="1:10" ht="15.75">
      <c r="A2177" s="42" t="s">
        <v>1223</v>
      </c>
      <c r="B2177" s="43"/>
      <c r="C2177" s="43"/>
      <c r="D2177" s="43"/>
      <c r="E2177" s="43"/>
      <c r="F2177" s="43"/>
      <c r="G2177" s="43"/>
      <c r="H2177" s="43"/>
      <c r="I2177" s="43"/>
      <c r="J2177" s="96" t="s">
        <v>4283</v>
      </c>
    </row>
    <row r="2178" spans="1:10" ht="12.75" customHeight="1">
      <c r="A2178" s="42"/>
      <c r="B2178" s="43"/>
      <c r="C2178" s="43"/>
      <c r="D2178" s="43"/>
      <c r="E2178" s="43"/>
      <c r="F2178" s="43"/>
      <c r="G2178" s="43" t="str">
        <f ca="1">Team_Matches!$J$6</f>
        <v>[NCTTA Teams Template (v2.06).xlsx]</v>
      </c>
      <c r="H2178" s="43"/>
      <c r="I2178" s="43"/>
      <c r="J2178" s="160"/>
    </row>
    <row r="2179" spans="1:10" ht="12.75" customHeight="1">
      <c r="A2179" s="42"/>
      <c r="B2179" s="43"/>
      <c r="C2179" s="43"/>
      <c r="D2179" s="43"/>
      <c r="E2179" s="43"/>
      <c r="F2179" s="43"/>
      <c r="G2179" s="247" t="str">
        <f>Team_Matches!$J1639</f>
        <v/>
      </c>
      <c r="H2179" s="247"/>
      <c r="I2179" s="161" t="str">
        <f>Team_Matches!$M1639</f>
        <v/>
      </c>
      <c r="J2179" s="161"/>
    </row>
    <row r="2180" spans="1:10" ht="15.75">
      <c r="A2180" s="42"/>
      <c r="B2180" s="43"/>
      <c r="C2180" s="43"/>
      <c r="D2180" s="43"/>
      <c r="E2180" s="43"/>
      <c r="F2180" s="43"/>
      <c r="G2180" s="43"/>
      <c r="H2180" s="43"/>
      <c r="I2180" s="43"/>
      <c r="J2180" s="43"/>
    </row>
    <row r="2181" spans="1:10">
      <c r="A2181" s="43"/>
      <c r="B2181" s="43"/>
      <c r="C2181" s="9" t="s">
        <v>1228</v>
      </c>
      <c r="D2181" s="52" t="str">
        <f>Team_Matches!$B1641</f>
        <v>B</v>
      </c>
      <c r="E2181" s="43"/>
      <c r="F2181" s="97" t="str">
        <f>CONCATENATE($D2181,"-",$I2181)</f>
        <v>B-K</v>
      </c>
      <c r="G2181" s="43"/>
      <c r="H2181" s="9" t="s">
        <v>1228</v>
      </c>
      <c r="I2181" s="52" t="str">
        <f>Team_Matches!$K1641</f>
        <v>K</v>
      </c>
      <c r="J2181" s="43"/>
    </row>
    <row r="2182" spans="1:10" ht="25.5" customHeight="1">
      <c r="A2182" s="44"/>
      <c r="B2182" s="248" t="str">
        <f>IF(VLOOKUP($D2181,Draw!$A$4:$B$27,2)&lt;&gt;0,VLOOKUP($D2181,Draw!$A$4:$B$27,2),"")</f>
        <v/>
      </c>
      <c r="C2182" s="248"/>
      <c r="D2182" s="248"/>
      <c r="E2182" s="249"/>
      <c r="F2182" s="45"/>
      <c r="G2182" s="252" t="str">
        <f>IF(VLOOKUP($I2181,Draw!$A$4:$B$27,2)&lt;&gt;0,VLOOKUP($I2181,Draw!$A$4:$B$27,2),"")</f>
        <v/>
      </c>
      <c r="H2182" s="252"/>
      <c r="I2182" s="252"/>
      <c r="J2182" s="253"/>
    </row>
    <row r="2183" spans="1:10" ht="25.5" customHeight="1"/>
    <row r="2184" spans="1:10" ht="25.5" customHeight="1"/>
    <row r="2185" spans="1:10" ht="24" customHeight="1">
      <c r="A2185" s="48" t="s">
        <v>1246</v>
      </c>
      <c r="B2185" s="43"/>
      <c r="C2185" s="43"/>
      <c r="D2185" s="43"/>
      <c r="E2185" s="43"/>
      <c r="F2185" s="43"/>
      <c r="G2185" s="43"/>
      <c r="H2185" s="43"/>
      <c r="I2185" s="43"/>
      <c r="J2185" s="43"/>
    </row>
    <row r="2186" spans="1:10" ht="24" customHeight="1">
      <c r="A2186" s="48"/>
      <c r="B2186" s="43"/>
      <c r="C2186" s="43"/>
      <c r="D2186" s="43"/>
      <c r="E2186" s="43"/>
      <c r="F2186" s="43"/>
      <c r="G2186" s="43"/>
      <c r="H2186" s="43"/>
      <c r="I2186" s="43"/>
      <c r="J2186" s="43"/>
    </row>
    <row r="2187" spans="1:10">
      <c r="A2187" s="49" t="s">
        <v>1224</v>
      </c>
      <c r="B2187" s="46"/>
      <c r="C2187" s="46"/>
      <c r="D2187" s="46"/>
      <c r="E2187" s="46"/>
      <c r="F2187" s="46"/>
      <c r="G2187" s="260" t="s">
        <v>10336</v>
      </c>
      <c r="H2187" s="260"/>
      <c r="I2187" s="260"/>
      <c r="J2187" s="260"/>
    </row>
    <row r="2188" spans="1:10" ht="24" customHeight="1">
      <c r="A2188" s="50" t="str">
        <f>CONCATENATE($D2181,"1")</f>
        <v>B1</v>
      </c>
      <c r="B2188" s="255" t="str">
        <f>IF(VLOOKUP($A2188,Players!$A$2:$C$132,3)&lt;&gt;0,VLOOKUP($A2188,Players!$A$2:$C$132,3),"")</f>
        <v/>
      </c>
      <c r="C2188" s="255"/>
      <c r="D2188" s="255"/>
      <c r="E2188" s="255"/>
      <c r="F2188" s="255"/>
      <c r="G2188" s="254" t="str">
        <f>IF(VLOOKUP($I2181&amp;RIGHT($A2188,1),Players!$A$2:$D$132,3)&lt;&gt;0,VLOOKUP($I2181&amp;RIGHT($A2188,1),Players!$A$2:$D$132,3),"")</f>
        <v/>
      </c>
      <c r="H2188" s="254"/>
      <c r="I2188" s="254"/>
      <c r="J2188" s="210" t="str">
        <f>IF(VLOOKUP($I2181&amp;RIGHT($A2188,1),Players!$A$2:$D$132,3)&lt;&gt;0,"("&amp;VLOOKUP($I2181&amp;RIGHT($A2188,1),Players!$A$2:$D$132,4)&amp;")","")</f>
        <v/>
      </c>
    </row>
    <row r="2189" spans="1:10" ht="25.5" customHeight="1">
      <c r="A2189" s="50" t="str">
        <f>CONCATENATE($D2181,"2")</f>
        <v>B2</v>
      </c>
      <c r="B2189" s="255" t="str">
        <f>IF(VLOOKUP($A2189,Players!$A$2:$C$132,3)&lt;&gt;0,VLOOKUP($A2189,Players!$A$2:$C$132,3),"")</f>
        <v/>
      </c>
      <c r="C2189" s="255"/>
      <c r="D2189" s="255"/>
      <c r="E2189" s="255"/>
      <c r="F2189" s="255"/>
      <c r="G2189" s="254" t="str">
        <f>IF(VLOOKUP($I2181&amp;RIGHT($A2189,1),Players!$A$2:$D$132,3)&lt;&gt;0,VLOOKUP($I2181&amp;RIGHT($A2189,1),Players!$A$2:$D$132,3),"")</f>
        <v/>
      </c>
      <c r="H2189" s="254"/>
      <c r="I2189" s="254"/>
      <c r="J2189" s="210" t="str">
        <f>IF(VLOOKUP($I2181&amp;RIGHT($A2189,1),Players!$A$2:$D$132,3)&lt;&gt;0,"("&amp;VLOOKUP($I2181&amp;RIGHT($A2189,1),Players!$A$2:$D$132,4)&amp;")","")</f>
        <v/>
      </c>
    </row>
    <row r="2190" spans="1:10" ht="25.5" customHeight="1">
      <c r="A2190" s="50" t="str">
        <f>CONCATENATE($D2181,"3")</f>
        <v>B3</v>
      </c>
      <c r="B2190" s="255" t="str">
        <f>IF(VLOOKUP($A2190,Players!$A$2:$C$132,3)&lt;&gt;0,VLOOKUP($A2190,Players!$A$2:$C$132,3),"")</f>
        <v/>
      </c>
      <c r="C2190" s="255"/>
      <c r="D2190" s="255"/>
      <c r="E2190" s="255"/>
      <c r="F2190" s="255"/>
      <c r="G2190" s="254" t="str">
        <f>IF(VLOOKUP($I2181&amp;RIGHT($A2190,1),Players!$A$2:$D$132,3)&lt;&gt;0,VLOOKUP($I2181&amp;RIGHT($A2190,1),Players!$A$2:$D$132,3),"")</f>
        <v/>
      </c>
      <c r="H2190" s="254"/>
      <c r="I2190" s="254"/>
      <c r="J2190" s="210" t="str">
        <f>IF(VLOOKUP($I2181&amp;RIGHT($A2190,1),Players!$A$2:$D$132,3)&lt;&gt;0,"("&amp;VLOOKUP($I2181&amp;RIGHT($A2190,1),Players!$A$2:$D$132,4)&amp;")","")</f>
        <v/>
      </c>
    </row>
    <row r="2191" spans="1:10" ht="25.5" customHeight="1">
      <c r="A2191" s="50" t="str">
        <f>CONCATENATE($D2181,"4")</f>
        <v>B4</v>
      </c>
      <c r="B2191" s="255" t="str">
        <f>IF(VLOOKUP($A2191,Players!$A$2:$C$132,3)&lt;&gt;0,VLOOKUP($A2191,Players!$A$2:$C$132,3),"")</f>
        <v/>
      </c>
      <c r="C2191" s="255"/>
      <c r="D2191" s="255"/>
      <c r="E2191" s="255"/>
      <c r="F2191" s="255"/>
      <c r="G2191" s="254" t="str">
        <f>IF(VLOOKUP($I2181&amp;RIGHT($A2191,1),Players!$A$2:$D$132,3)&lt;&gt;0,VLOOKUP($I2181&amp;RIGHT($A2191,1),Players!$A$2:$D$132,3),"")</f>
        <v/>
      </c>
      <c r="H2191" s="254"/>
      <c r="I2191" s="254"/>
      <c r="J2191" s="210" t="str">
        <f>IF(VLOOKUP($I2181&amp;RIGHT($A2191,1),Players!$A$2:$D$132,3)&lt;&gt;0,"("&amp;VLOOKUP($I2181&amp;RIGHT($A2191,1),Players!$A$2:$D$132,4)&amp;")","")</f>
        <v/>
      </c>
    </row>
    <row r="2192" spans="1:10" ht="25.5" customHeight="1">
      <c r="A2192" s="50" t="str">
        <f>CONCATENATE($D2181,"5")</f>
        <v>B5</v>
      </c>
      <c r="B2192" s="255" t="str">
        <f>IF(VLOOKUP($A2192,Players!$A$2:$C$132,3)&lt;&gt;0,VLOOKUP($A2192,Players!$A$2:$C$132,3),"")</f>
        <v/>
      </c>
      <c r="C2192" s="255"/>
      <c r="D2192" s="255"/>
      <c r="E2192" s="255"/>
      <c r="F2192" s="255"/>
      <c r="G2192" s="254" t="str">
        <f>IF(VLOOKUP($I2181&amp;RIGHT($A2192,1),Players!$A$2:$D$132,3)&lt;&gt;0,VLOOKUP($I2181&amp;RIGHT($A2192,1),Players!$A$2:$D$132,3),"")</f>
        <v/>
      </c>
      <c r="H2192" s="254"/>
      <c r="I2192" s="254"/>
      <c r="J2192" s="210" t="str">
        <f>IF(VLOOKUP($I2181&amp;RIGHT($A2192,1),Players!$A$2:$D$132,3)&lt;&gt;0,"("&amp;VLOOKUP($I2181&amp;RIGHT($A2192,1),Players!$A$2:$D$132,4)&amp;")","")</f>
        <v/>
      </c>
    </row>
    <row r="2193" spans="1:10" ht="25.5" customHeight="1">
      <c r="A2193" s="50" t="str">
        <f>CONCATENATE($D2181,"6")</f>
        <v>B6</v>
      </c>
      <c r="B2193" s="255" t="str">
        <f>IF(VLOOKUP($A2193,Players!$A$2:$C$132,3)&lt;&gt;0,VLOOKUP($A2193,Players!$A$2:$C$132,3),"")</f>
        <v/>
      </c>
      <c r="C2193" s="255"/>
      <c r="D2193" s="255"/>
      <c r="E2193" s="255"/>
      <c r="F2193" s="255"/>
      <c r="G2193" s="254" t="str">
        <f>IF(VLOOKUP($I2181&amp;RIGHT($A2193,1),Players!$A$2:$D$132,3)&lt;&gt;0,VLOOKUP($I2181&amp;RIGHT($A2193,1),Players!$A$2:$D$132,3),"")</f>
        <v/>
      </c>
      <c r="H2193" s="254"/>
      <c r="I2193" s="254"/>
      <c r="J2193" s="210" t="str">
        <f>IF(VLOOKUP($I2181&amp;RIGHT($A2193,1),Players!$A$2:$D$132,3)&lt;&gt;0,"("&amp;VLOOKUP($I2181&amp;RIGHT($A2193,1),Players!$A$2:$D$132,4)&amp;")","")</f>
        <v/>
      </c>
    </row>
    <row r="2194" spans="1:10" ht="25.5" customHeight="1">
      <c r="A2194" s="50" t="str">
        <f>CONCATENATE($D2181,"7")</f>
        <v>B7</v>
      </c>
      <c r="B2194" s="255" t="str">
        <f>IF(VLOOKUP($A2194,Players!$A$2:$C$132,3)&lt;&gt;0,VLOOKUP($A2194,Players!$A$2:$C$132,3),"")</f>
        <v/>
      </c>
      <c r="C2194" s="255"/>
      <c r="D2194" s="255"/>
      <c r="E2194" s="255"/>
      <c r="F2194" s="255"/>
      <c r="G2194" s="254" t="str">
        <f>IF(VLOOKUP($I2181&amp;RIGHT($A2194,1),Players!$A$2:$D$132,3)&lt;&gt;0,VLOOKUP($I2181&amp;RIGHT($A2194,1),Players!$A$2:$D$132,3),"")</f>
        <v/>
      </c>
      <c r="H2194" s="254"/>
      <c r="I2194" s="254"/>
      <c r="J2194" s="210" t="str">
        <f>IF(VLOOKUP($I2181&amp;RIGHT($A2194,1),Players!$A$2:$D$132,3)&lt;&gt;0,"("&amp;VLOOKUP($I2181&amp;RIGHT($A2194,1),Players!$A$2:$D$132,4)&amp;")","")</f>
        <v/>
      </c>
    </row>
    <row r="2195" spans="1:10" ht="25.5" customHeight="1">
      <c r="A2195" s="50" t="str">
        <f>CONCATENATE($D2181,"8")</f>
        <v>B8</v>
      </c>
      <c r="B2195" s="255" t="str">
        <f>IF(VLOOKUP($A2195,Players!$A$2:$C$132,3)&lt;&gt;0,VLOOKUP($A2195,Players!$A$2:$C$132,3),"")</f>
        <v/>
      </c>
      <c r="C2195" s="255"/>
      <c r="D2195" s="255"/>
      <c r="E2195" s="255"/>
      <c r="F2195" s="255"/>
      <c r="G2195" s="254" t="str">
        <f>IF(VLOOKUP($I2181&amp;RIGHT($A2195,1),Players!$A$2:$D$132,3)&lt;&gt;0,VLOOKUP($I2181&amp;RIGHT($A2195,1),Players!$A$2:$D$132,3),"")</f>
        <v/>
      </c>
      <c r="H2195" s="254"/>
      <c r="I2195" s="254"/>
      <c r="J2195" s="210" t="str">
        <f>IF(VLOOKUP($I2181&amp;RIGHT($A2195,1),Players!$A$2:$D$132,3)&lt;&gt;0,"("&amp;VLOOKUP($I2181&amp;RIGHT($A2195,1),Players!$A$2:$D$132,4)&amp;")","")</f>
        <v/>
      </c>
    </row>
    <row r="2196" spans="1:10" ht="25.5" customHeight="1">
      <c r="A2196" s="50"/>
      <c r="B2196" s="26"/>
      <c r="C2196" s="26"/>
      <c r="D2196" s="26"/>
      <c r="E2196" s="26"/>
      <c r="F2196" s="27"/>
      <c r="G2196" s="43"/>
      <c r="H2196" s="43"/>
      <c r="I2196" s="43"/>
      <c r="J2196" s="43"/>
    </row>
    <row r="2197" spans="1:10">
      <c r="A2197" s="49" t="s">
        <v>1225</v>
      </c>
      <c r="B2197" s="46"/>
      <c r="C2197" s="46"/>
      <c r="D2197" s="46"/>
      <c r="E2197" s="46"/>
      <c r="F2197" s="46"/>
      <c r="G2197" s="43"/>
      <c r="H2197" s="43"/>
      <c r="I2197" s="43"/>
      <c r="J2197" s="43"/>
    </row>
    <row r="2198" spans="1:10">
      <c r="A2198" s="46" t="s">
        <v>1247</v>
      </c>
      <c r="B2198" s="46"/>
      <c r="C2198" s="46"/>
      <c r="D2198" s="46"/>
      <c r="E2198" s="46"/>
      <c r="F2198" s="46"/>
      <c r="G2198" s="43"/>
      <c r="H2198" s="43"/>
      <c r="I2198" s="43"/>
      <c r="J2198" s="43"/>
    </row>
    <row r="2199" spans="1:10">
      <c r="A2199" s="46" t="s">
        <v>1248</v>
      </c>
      <c r="B2199" s="46"/>
      <c r="C2199" s="46"/>
      <c r="D2199" s="46"/>
      <c r="E2199" s="46"/>
      <c r="F2199" s="46"/>
      <c r="G2199" s="43"/>
      <c r="H2199" s="43"/>
      <c r="I2199" s="43"/>
      <c r="J2199" s="43"/>
    </row>
    <row r="2200" spans="1:10" ht="13.5" thickBot="1">
      <c r="A2200" s="46"/>
      <c r="B2200" s="46"/>
      <c r="C2200" s="46"/>
      <c r="D2200" s="46"/>
      <c r="E2200" s="46"/>
      <c r="F2200" s="46"/>
      <c r="G2200" s="43"/>
      <c r="H2200" s="43"/>
      <c r="I2200" s="43"/>
      <c r="J2200" s="43"/>
    </row>
    <row r="2201" spans="1:10" ht="25.5" customHeight="1" thickBot="1">
      <c r="A2201" s="50"/>
      <c r="B2201" s="257"/>
      <c r="C2201" s="258"/>
      <c r="D2201" s="258"/>
      <c r="E2201" s="258"/>
      <c r="F2201" s="259"/>
      <c r="G2201" s="43"/>
      <c r="H2201" s="43"/>
      <c r="I2201" s="43"/>
      <c r="J2201" s="43"/>
    </row>
    <row r="2202" spans="1:10">
      <c r="A2202" s="43"/>
      <c r="B2202" s="43"/>
      <c r="C2202" s="43"/>
      <c r="D2202" s="43"/>
      <c r="E2202" s="43"/>
      <c r="F2202" s="43"/>
      <c r="G2202" s="43"/>
      <c r="H2202" s="43"/>
      <c r="I2202" s="43"/>
      <c r="J2202" s="43"/>
    </row>
    <row r="2203" spans="1:10">
      <c r="A2203" s="43"/>
      <c r="B2203" s="43"/>
      <c r="C2203" s="43"/>
      <c r="D2203" s="43"/>
      <c r="E2203" s="43"/>
      <c r="F2203" s="43"/>
      <c r="G2203" s="43"/>
      <c r="H2203" s="43"/>
      <c r="I2203" s="43"/>
      <c r="J2203" s="43"/>
    </row>
    <row r="2204" spans="1:10">
      <c r="A2204" s="43"/>
      <c r="B2204" s="43"/>
      <c r="C2204" s="43"/>
      <c r="D2204" s="43"/>
      <c r="E2204" s="43"/>
      <c r="F2204" s="43"/>
      <c r="G2204" s="43"/>
      <c r="H2204" s="43"/>
      <c r="I2204" s="43"/>
      <c r="J2204" s="43"/>
    </row>
    <row r="2205" spans="1:10">
      <c r="A2205" s="43"/>
      <c r="B2205" s="43"/>
      <c r="C2205" s="43"/>
      <c r="D2205" s="43"/>
      <c r="E2205" s="43"/>
      <c r="F2205" s="43"/>
      <c r="G2205" s="43"/>
      <c r="H2205" s="43"/>
      <c r="I2205" s="43"/>
      <c r="J2205" s="43"/>
    </row>
    <row r="2206" spans="1:10">
      <c r="A2206" s="43"/>
      <c r="B2206" s="43"/>
      <c r="C2206" s="43"/>
      <c r="D2206" s="43"/>
      <c r="E2206" s="43"/>
      <c r="F2206" s="43"/>
      <c r="G2206" s="43"/>
      <c r="H2206" s="43"/>
      <c r="I2206" s="43"/>
      <c r="J2206" s="43"/>
    </row>
    <row r="2207" spans="1:10" ht="25.5" customHeight="1">
      <c r="A2207" s="47"/>
      <c r="B2207" s="47"/>
      <c r="C2207" s="47"/>
      <c r="D2207" s="47"/>
      <c r="E2207" s="47"/>
      <c r="F2207" s="43"/>
      <c r="G2207" s="51"/>
      <c r="H2207" s="250" t="s">
        <v>1227</v>
      </c>
      <c r="I2207" s="251"/>
      <c r="J2207" s="43"/>
    </row>
    <row r="2208" spans="1:10">
      <c r="A2208" s="43" t="s">
        <v>1226</v>
      </c>
      <c r="B2208" s="43"/>
      <c r="C2208" s="43"/>
      <c r="D2208" s="43"/>
      <c r="E2208" s="43"/>
      <c r="F2208" s="43"/>
      <c r="G2208" s="43"/>
      <c r="H2208" s="43"/>
      <c r="I2208" s="43"/>
      <c r="J2208" s="43"/>
    </row>
    <row r="2209" spans="1:10">
      <c r="A2209" s="43"/>
      <c r="B2209" s="43"/>
      <c r="C2209" s="43"/>
      <c r="D2209" s="43"/>
      <c r="E2209" s="43"/>
      <c r="F2209" s="43"/>
      <c r="G2209" s="43"/>
      <c r="H2209" s="43"/>
      <c r="I2209" s="43"/>
      <c r="J2209" s="43"/>
    </row>
    <row r="2210" spans="1:10">
      <c r="A2210" s="43"/>
      <c r="B2210" s="43"/>
      <c r="C2210" s="43"/>
      <c r="D2210" s="43"/>
      <c r="E2210" s="256" t="str">
        <f>CONCATENATE("(",$D2181," vs ",$I2181,")")</f>
        <v>(B vs K)</v>
      </c>
      <c r="F2210" s="256"/>
      <c r="G2210" s="43"/>
      <c r="H2210" s="43"/>
      <c r="I2210" s="43"/>
      <c r="J2210" s="43"/>
    </row>
    <row r="2211" spans="1:10" ht="15.75">
      <c r="A2211" s="42" t="s">
        <v>1223</v>
      </c>
      <c r="B2211" s="43"/>
      <c r="C2211" s="43"/>
      <c r="D2211" s="43"/>
      <c r="E2211" s="43"/>
      <c r="F2211" s="43"/>
      <c r="G2211" s="43"/>
      <c r="H2211" s="43"/>
      <c r="I2211" s="43"/>
      <c r="J2211" s="96" t="s">
        <v>4284</v>
      </c>
    </row>
    <row r="2212" spans="1:10" ht="12.75" customHeight="1">
      <c r="A2212" s="42"/>
      <c r="B2212" s="43"/>
      <c r="C2212" s="43"/>
      <c r="D2212" s="43"/>
      <c r="E2212" s="43"/>
      <c r="F2212" s="43"/>
      <c r="G2212" s="43" t="str">
        <f ca="1">Team_Matches!$J$6</f>
        <v>[NCTTA Teams Template (v2.06).xlsx]</v>
      </c>
      <c r="H2212" s="43"/>
      <c r="I2212" s="43"/>
      <c r="J2212" s="160"/>
    </row>
    <row r="2213" spans="1:10" ht="12.75" customHeight="1">
      <c r="A2213" s="42"/>
      <c r="B2213" s="43"/>
      <c r="C2213" s="43"/>
      <c r="D2213" s="43"/>
      <c r="E2213" s="43"/>
      <c r="F2213" s="43"/>
      <c r="G2213" s="247" t="str">
        <f>Team_Matches!$J1639</f>
        <v/>
      </c>
      <c r="H2213" s="247"/>
      <c r="I2213" s="161" t="str">
        <f>Team_Matches!$M1639</f>
        <v/>
      </c>
      <c r="J2213" s="161"/>
    </row>
    <row r="2214" spans="1:10" ht="15.75">
      <c r="A2214" s="42"/>
      <c r="B2214" s="43"/>
      <c r="C2214" s="43"/>
      <c r="D2214" s="43"/>
      <c r="E2214" s="43"/>
      <c r="F2214" s="43"/>
      <c r="G2214" s="43"/>
      <c r="H2214" s="43"/>
      <c r="I2214" s="43"/>
      <c r="J2214" s="43"/>
    </row>
    <row r="2215" spans="1:10">
      <c r="A2215" s="43"/>
      <c r="B2215" s="43"/>
      <c r="C2215" s="9" t="s">
        <v>1228</v>
      </c>
      <c r="D2215" s="52" t="str">
        <f>Team_Matches!$B1641</f>
        <v>B</v>
      </c>
      <c r="E2215" s="43"/>
      <c r="F2215" s="97" t="str">
        <f>CONCATENATE($D2215,"-",$I2215)</f>
        <v>B-K</v>
      </c>
      <c r="G2215" s="43"/>
      <c r="H2215" s="9" t="s">
        <v>1228</v>
      </c>
      <c r="I2215" s="52" t="str">
        <f>Team_Matches!$K1641</f>
        <v>K</v>
      </c>
      <c r="J2215" s="43"/>
    </row>
    <row r="2216" spans="1:10" ht="25.5" customHeight="1">
      <c r="A2216" s="44"/>
      <c r="B2216" s="252" t="str">
        <f>IF(VLOOKUP($D2215,Draw!$A$4:$B$27,2)&lt;&gt;0,VLOOKUP($D2215,Draw!$A$4:$B$27,2),"")</f>
        <v/>
      </c>
      <c r="C2216" s="252"/>
      <c r="D2216" s="252"/>
      <c r="E2216" s="253"/>
      <c r="F2216" s="45"/>
      <c r="G2216" s="248" t="str">
        <f>IF(VLOOKUP($I2215,Draw!$A$4:$B$27,2)&lt;&gt;0,VLOOKUP($I2215,Draw!$A$4:$B$27,2),"")</f>
        <v/>
      </c>
      <c r="H2216" s="248"/>
      <c r="I2216" s="248"/>
      <c r="J2216" s="249"/>
    </row>
    <row r="2217" spans="1:10" ht="25.5" customHeight="1"/>
    <row r="2218" spans="1:10" ht="25.5" customHeight="1"/>
    <row r="2219" spans="1:10" ht="24" customHeight="1">
      <c r="A2219" s="48" t="s">
        <v>1246</v>
      </c>
      <c r="B2219" s="43"/>
      <c r="C2219" s="43"/>
      <c r="D2219" s="43"/>
      <c r="E2219" s="43"/>
      <c r="F2219" s="43"/>
      <c r="G2219" s="43"/>
      <c r="H2219" s="43"/>
      <c r="I2219" s="43"/>
      <c r="J2219" s="43"/>
    </row>
    <row r="2220" spans="1:10" ht="24" customHeight="1">
      <c r="A2220" s="48"/>
      <c r="B2220" s="43"/>
      <c r="C2220" s="43"/>
      <c r="D2220" s="43"/>
      <c r="E2220" s="43"/>
      <c r="F2220" s="43"/>
      <c r="G2220" s="43"/>
      <c r="H2220" s="43"/>
      <c r="I2220" s="43"/>
      <c r="J2220" s="43"/>
    </row>
    <row r="2221" spans="1:10">
      <c r="A2221" s="49" t="s">
        <v>1224</v>
      </c>
      <c r="B2221" s="46"/>
      <c r="C2221" s="46"/>
      <c r="D2221" s="46"/>
      <c r="E2221" s="46"/>
      <c r="F2221" s="46"/>
      <c r="G2221" s="260" t="s">
        <v>10336</v>
      </c>
      <c r="H2221" s="260"/>
      <c r="I2221" s="260"/>
      <c r="J2221" s="260"/>
    </row>
    <row r="2222" spans="1:10" ht="24" customHeight="1">
      <c r="A2222" s="50" t="str">
        <f>CONCATENATE($I2215,"1")</f>
        <v>K1</v>
      </c>
      <c r="B2222" s="255" t="str">
        <f>IF(VLOOKUP($A2222,Players!$A$2:$C$132,3)&lt;&gt;0,VLOOKUP($A2222,Players!$A$2:$C$132,3),"")</f>
        <v/>
      </c>
      <c r="C2222" s="255"/>
      <c r="D2222" s="255"/>
      <c r="E2222" s="255"/>
      <c r="F2222" s="255"/>
      <c r="G2222" s="254" t="str">
        <f>IF(VLOOKUP($D2215&amp;RIGHT($A2222,1),Players!$A$2:$D$132,3)&lt;&gt;0,VLOOKUP($D2215&amp;RIGHT($A2222,1),Players!$A$2:$D$132,3),"")</f>
        <v/>
      </c>
      <c r="H2222" s="254"/>
      <c r="I2222" s="254"/>
      <c r="J2222" s="210" t="str">
        <f>IF(VLOOKUP($D2215&amp;RIGHT($A2222,1),Players!$A$2:$D$132,3)&lt;&gt;0,"("&amp;VLOOKUP($D2215&amp;RIGHT($A2222,1),Players!$A$2:$D$132,4)&amp;")","")</f>
        <v/>
      </c>
    </row>
    <row r="2223" spans="1:10" ht="25.5" customHeight="1">
      <c r="A2223" s="50" t="str">
        <f>CONCATENATE($I2215,"2")</f>
        <v>K2</v>
      </c>
      <c r="B2223" s="255" t="str">
        <f>IF(VLOOKUP($A2223,Players!$A$2:$C$132,3)&lt;&gt;0,VLOOKUP($A2223,Players!$A$2:$C$132,3),"")</f>
        <v/>
      </c>
      <c r="C2223" s="255"/>
      <c r="D2223" s="255"/>
      <c r="E2223" s="255"/>
      <c r="F2223" s="255"/>
      <c r="G2223" s="254" t="str">
        <f>IF(VLOOKUP($D2215&amp;RIGHT($A2223,1),Players!$A$2:$D$132,3)&lt;&gt;0,VLOOKUP($D2215&amp;RIGHT($A2223,1),Players!$A$2:$D$132,3),"")</f>
        <v/>
      </c>
      <c r="H2223" s="254"/>
      <c r="I2223" s="254"/>
      <c r="J2223" s="210" t="str">
        <f>IF(VLOOKUP($D2215&amp;RIGHT($A2223,1),Players!$A$2:$D$132,3)&lt;&gt;0,"("&amp;VLOOKUP($D2215&amp;RIGHT($A2223,1),Players!$A$2:$D$132,4)&amp;")","")</f>
        <v/>
      </c>
    </row>
    <row r="2224" spans="1:10" ht="25.5" customHeight="1">
      <c r="A2224" s="50" t="str">
        <f>CONCATENATE($I2215,"3")</f>
        <v>K3</v>
      </c>
      <c r="B2224" s="255" t="str">
        <f>IF(VLOOKUP($A2224,Players!$A$2:$C$132,3)&lt;&gt;0,VLOOKUP($A2224,Players!$A$2:$C$132,3),"")</f>
        <v/>
      </c>
      <c r="C2224" s="255"/>
      <c r="D2224" s="255"/>
      <c r="E2224" s="255"/>
      <c r="F2224" s="255"/>
      <c r="G2224" s="254" t="str">
        <f>IF(VLOOKUP($D2215&amp;RIGHT($A2224,1),Players!$A$2:$D$132,3)&lt;&gt;0,VLOOKUP($D2215&amp;RIGHT($A2224,1),Players!$A$2:$D$132,3),"")</f>
        <v/>
      </c>
      <c r="H2224" s="254"/>
      <c r="I2224" s="254"/>
      <c r="J2224" s="210" t="str">
        <f>IF(VLOOKUP($D2215&amp;RIGHT($A2224,1),Players!$A$2:$D$132,3)&lt;&gt;0,"("&amp;VLOOKUP($D2215&amp;RIGHT($A2224,1),Players!$A$2:$D$132,4)&amp;")","")</f>
        <v/>
      </c>
    </row>
    <row r="2225" spans="1:10" ht="25.5" customHeight="1">
      <c r="A2225" s="50" t="str">
        <f>CONCATENATE($I2215,"4")</f>
        <v>K4</v>
      </c>
      <c r="B2225" s="255" t="str">
        <f>IF(VLOOKUP($A2225,Players!$A$2:$C$132,3)&lt;&gt;0,VLOOKUP($A2225,Players!$A$2:$C$132,3),"")</f>
        <v/>
      </c>
      <c r="C2225" s="255"/>
      <c r="D2225" s="255"/>
      <c r="E2225" s="255"/>
      <c r="F2225" s="255"/>
      <c r="G2225" s="254" t="str">
        <f>IF(VLOOKUP($D2215&amp;RIGHT($A2225,1),Players!$A$2:$D$132,3)&lt;&gt;0,VLOOKUP($D2215&amp;RIGHT($A2225,1),Players!$A$2:$D$132,3),"")</f>
        <v/>
      </c>
      <c r="H2225" s="254"/>
      <c r="I2225" s="254"/>
      <c r="J2225" s="210" t="str">
        <f>IF(VLOOKUP($D2215&amp;RIGHT($A2225,1),Players!$A$2:$D$132,3)&lt;&gt;0,"("&amp;VLOOKUP($D2215&amp;RIGHT($A2225,1),Players!$A$2:$D$132,4)&amp;")","")</f>
        <v/>
      </c>
    </row>
    <row r="2226" spans="1:10" ht="25.5" customHeight="1">
      <c r="A2226" s="50" t="str">
        <f>CONCATENATE($I2215,"5")</f>
        <v>K5</v>
      </c>
      <c r="B2226" s="255" t="str">
        <f>IF(VLOOKUP($A2226,Players!$A$2:$C$132,3)&lt;&gt;0,VLOOKUP($A2226,Players!$A$2:$C$132,3),"")</f>
        <v/>
      </c>
      <c r="C2226" s="255"/>
      <c r="D2226" s="255"/>
      <c r="E2226" s="255"/>
      <c r="F2226" s="255"/>
      <c r="G2226" s="254" t="str">
        <f>IF(VLOOKUP($D2215&amp;RIGHT($A2226,1),Players!$A$2:$D$132,3)&lt;&gt;0,VLOOKUP($D2215&amp;RIGHT($A2226,1),Players!$A$2:$D$132,3),"")</f>
        <v/>
      </c>
      <c r="H2226" s="254"/>
      <c r="I2226" s="254"/>
      <c r="J2226" s="210" t="str">
        <f>IF(VLOOKUP($D2215&amp;RIGHT($A2226,1),Players!$A$2:$D$132,3)&lt;&gt;0,"("&amp;VLOOKUP($D2215&amp;RIGHT($A2226,1),Players!$A$2:$D$132,4)&amp;")","")</f>
        <v/>
      </c>
    </row>
    <row r="2227" spans="1:10" ht="25.5" customHeight="1">
      <c r="A2227" s="50" t="str">
        <f>CONCATENATE($I2215,"6")</f>
        <v>K6</v>
      </c>
      <c r="B2227" s="255" t="str">
        <f>IF(VLOOKUP($A2227,Players!$A$2:$C$132,3)&lt;&gt;0,VLOOKUP($A2227,Players!$A$2:$C$132,3),"")</f>
        <v/>
      </c>
      <c r="C2227" s="255"/>
      <c r="D2227" s="255"/>
      <c r="E2227" s="255"/>
      <c r="F2227" s="255"/>
      <c r="G2227" s="254" t="str">
        <f>IF(VLOOKUP($D2215&amp;RIGHT($A2227,1),Players!$A$2:$D$132,3)&lt;&gt;0,VLOOKUP($D2215&amp;RIGHT($A2227,1),Players!$A$2:$D$132,3),"")</f>
        <v/>
      </c>
      <c r="H2227" s="254"/>
      <c r="I2227" s="254"/>
      <c r="J2227" s="210" t="str">
        <f>IF(VLOOKUP($D2215&amp;RIGHT($A2227,1),Players!$A$2:$D$132,3)&lt;&gt;0,"("&amp;VLOOKUP($D2215&amp;RIGHT($A2227,1),Players!$A$2:$D$132,4)&amp;")","")</f>
        <v/>
      </c>
    </row>
    <row r="2228" spans="1:10" ht="25.5" customHeight="1">
      <c r="A2228" s="50" t="str">
        <f>CONCATENATE($I2215,"7")</f>
        <v>K7</v>
      </c>
      <c r="B2228" s="255" t="str">
        <f>IF(VLOOKUP($A2228,Players!$A$2:$C$132,3)&lt;&gt;0,VLOOKUP($A2228,Players!$A$2:$C$132,3),"")</f>
        <v/>
      </c>
      <c r="C2228" s="255"/>
      <c r="D2228" s="255"/>
      <c r="E2228" s="255"/>
      <c r="F2228" s="255"/>
      <c r="G2228" s="254" t="str">
        <f>IF(VLOOKUP($D2215&amp;RIGHT($A2228,1),Players!$A$2:$D$132,3)&lt;&gt;0,VLOOKUP($D2215&amp;RIGHT($A2228,1),Players!$A$2:$D$132,3),"")</f>
        <v/>
      </c>
      <c r="H2228" s="254"/>
      <c r="I2228" s="254"/>
      <c r="J2228" s="210" t="str">
        <f>IF(VLOOKUP($D2215&amp;RIGHT($A2228,1),Players!$A$2:$D$132,3)&lt;&gt;0,"("&amp;VLOOKUP($D2215&amp;RIGHT($A2228,1),Players!$A$2:$D$132,4)&amp;")","")</f>
        <v/>
      </c>
    </row>
    <row r="2229" spans="1:10" ht="25.5" customHeight="1">
      <c r="A2229" s="50" t="str">
        <f>CONCATENATE($I2215,"8")</f>
        <v>K8</v>
      </c>
      <c r="B2229" s="255" t="str">
        <f>IF(VLOOKUP($A2229,Players!$A$2:$C$132,3)&lt;&gt;0,VLOOKUP($A2229,Players!$A$2:$C$132,3),"")</f>
        <v/>
      </c>
      <c r="C2229" s="255"/>
      <c r="D2229" s="255"/>
      <c r="E2229" s="255"/>
      <c r="F2229" s="255"/>
      <c r="G2229" s="254" t="str">
        <f>IF(VLOOKUP($D2215&amp;RIGHT($A2229,1),Players!$A$2:$D$132,3)&lt;&gt;0,VLOOKUP($D2215&amp;RIGHT($A2229,1),Players!$A$2:$D$132,3),"")</f>
        <v/>
      </c>
      <c r="H2229" s="254"/>
      <c r="I2229" s="254"/>
      <c r="J2229" s="210" t="str">
        <f>IF(VLOOKUP($D2215&amp;RIGHT($A2229,1),Players!$A$2:$D$132,3)&lt;&gt;0,"("&amp;VLOOKUP($D2215&amp;RIGHT($A2229,1),Players!$A$2:$D$132,4)&amp;")","")</f>
        <v/>
      </c>
    </row>
    <row r="2230" spans="1:10" ht="25.5" customHeight="1">
      <c r="A2230" s="50"/>
      <c r="B2230" s="26"/>
      <c r="C2230" s="26"/>
      <c r="D2230" s="26"/>
      <c r="E2230" s="26"/>
      <c r="F2230" s="27"/>
      <c r="G2230" s="43"/>
      <c r="H2230" s="43"/>
      <c r="I2230" s="43"/>
      <c r="J2230" s="43"/>
    </row>
    <row r="2231" spans="1:10">
      <c r="A2231" s="49" t="s">
        <v>1225</v>
      </c>
      <c r="B2231" s="46"/>
      <c r="C2231" s="46"/>
      <c r="D2231" s="46"/>
      <c r="E2231" s="46"/>
      <c r="F2231" s="46"/>
      <c r="G2231" s="43"/>
      <c r="H2231" s="43"/>
      <c r="I2231" s="43"/>
      <c r="J2231" s="43"/>
    </row>
    <row r="2232" spans="1:10">
      <c r="A2232" s="46" t="s">
        <v>1247</v>
      </c>
      <c r="B2232" s="46"/>
      <c r="C2232" s="46"/>
      <c r="D2232" s="46"/>
      <c r="E2232" s="46"/>
      <c r="F2232" s="46"/>
      <c r="G2232" s="43"/>
      <c r="H2232" s="43"/>
      <c r="I2232" s="43"/>
      <c r="J2232" s="43"/>
    </row>
    <row r="2233" spans="1:10">
      <c r="A2233" s="46" t="s">
        <v>1248</v>
      </c>
      <c r="B2233" s="46"/>
      <c r="C2233" s="46"/>
      <c r="D2233" s="46"/>
      <c r="E2233" s="46"/>
      <c r="F2233" s="46"/>
      <c r="G2233" s="43"/>
      <c r="H2233" s="43"/>
      <c r="I2233" s="43"/>
      <c r="J2233" s="43"/>
    </row>
    <row r="2234" spans="1:10" ht="13.5" thickBot="1">
      <c r="A2234" s="46"/>
      <c r="B2234" s="46"/>
      <c r="C2234" s="46"/>
      <c r="D2234" s="46"/>
      <c r="E2234" s="46"/>
      <c r="F2234" s="46"/>
      <c r="G2234" s="43"/>
      <c r="H2234" s="43"/>
      <c r="I2234" s="43"/>
      <c r="J2234" s="43"/>
    </row>
    <row r="2235" spans="1:10" ht="25.5" customHeight="1" thickBot="1">
      <c r="A2235" s="50"/>
      <c r="B2235" s="257"/>
      <c r="C2235" s="258"/>
      <c r="D2235" s="258"/>
      <c r="E2235" s="258"/>
      <c r="F2235" s="259"/>
      <c r="G2235" s="43"/>
      <c r="H2235" s="43"/>
      <c r="I2235" s="43"/>
      <c r="J2235" s="43"/>
    </row>
    <row r="2236" spans="1:10">
      <c r="A2236" s="43"/>
      <c r="B2236" s="43"/>
      <c r="C2236" s="43"/>
      <c r="D2236" s="43"/>
      <c r="E2236" s="43"/>
      <c r="F2236" s="43"/>
      <c r="G2236" s="43"/>
      <c r="H2236" s="43"/>
      <c r="I2236" s="43"/>
      <c r="J2236" s="43"/>
    </row>
    <row r="2237" spans="1:10">
      <c r="A2237" s="43"/>
      <c r="B2237" s="43"/>
      <c r="C2237" s="43"/>
      <c r="D2237" s="43"/>
      <c r="E2237" s="43"/>
      <c r="F2237" s="43"/>
      <c r="G2237" s="43"/>
      <c r="H2237" s="43"/>
      <c r="I2237" s="43"/>
      <c r="J2237" s="43"/>
    </row>
    <row r="2238" spans="1:10">
      <c r="A2238" s="43"/>
      <c r="B2238" s="43"/>
      <c r="C2238" s="43"/>
      <c r="D2238" s="43"/>
      <c r="E2238" s="43"/>
      <c r="F2238" s="43"/>
      <c r="G2238" s="43"/>
      <c r="H2238" s="43"/>
      <c r="I2238" s="43"/>
      <c r="J2238" s="43"/>
    </row>
    <row r="2239" spans="1:10">
      <c r="A2239" s="43"/>
      <c r="B2239" s="43"/>
      <c r="C2239" s="43"/>
      <c r="D2239" s="43"/>
      <c r="E2239" s="43"/>
      <c r="F2239" s="43"/>
      <c r="G2239" s="43"/>
      <c r="H2239" s="43"/>
      <c r="I2239" s="43"/>
      <c r="J2239" s="43"/>
    </row>
    <row r="2240" spans="1:10">
      <c r="A2240" s="43"/>
      <c r="B2240" s="43"/>
      <c r="C2240" s="43"/>
      <c r="D2240" s="43"/>
      <c r="E2240" s="43"/>
      <c r="F2240" s="43"/>
      <c r="G2240" s="43"/>
      <c r="H2240" s="43"/>
      <c r="I2240" s="43"/>
      <c r="J2240" s="43"/>
    </row>
    <row r="2241" spans="1:10" ht="25.5" customHeight="1">
      <c r="A2241" s="47"/>
      <c r="B2241" s="47"/>
      <c r="C2241" s="47"/>
      <c r="D2241" s="47"/>
      <c r="E2241" s="47"/>
      <c r="F2241" s="43"/>
      <c r="G2241" s="51"/>
      <c r="H2241" s="250" t="s">
        <v>1227</v>
      </c>
      <c r="I2241" s="251"/>
      <c r="J2241" s="43"/>
    </row>
    <row r="2242" spans="1:10">
      <c r="A2242" s="43" t="s">
        <v>1226</v>
      </c>
      <c r="B2242" s="43"/>
      <c r="C2242" s="43"/>
      <c r="D2242" s="43"/>
      <c r="E2242" s="43"/>
      <c r="F2242" s="43"/>
      <c r="G2242" s="43"/>
      <c r="H2242" s="43"/>
      <c r="I2242" s="43"/>
      <c r="J2242" s="43"/>
    </row>
    <row r="2243" spans="1:10">
      <c r="A2243" s="43"/>
      <c r="B2243" s="43"/>
      <c r="C2243" s="43"/>
      <c r="D2243" s="43"/>
      <c r="E2243" s="43"/>
      <c r="F2243" s="43"/>
      <c r="G2243" s="43"/>
      <c r="H2243" s="43"/>
      <c r="I2243" s="43"/>
      <c r="J2243" s="43"/>
    </row>
    <row r="2244" spans="1:10">
      <c r="A2244" s="43"/>
      <c r="B2244" s="43"/>
      <c r="C2244" s="43"/>
      <c r="D2244" s="43"/>
      <c r="E2244" s="256" t="str">
        <f>CONCATENATE("(",$D2215," vs ",$I2215,")")</f>
        <v>(B vs K)</v>
      </c>
      <c r="F2244" s="256"/>
      <c r="G2244" s="43"/>
      <c r="H2244" s="43"/>
      <c r="I2244" s="43"/>
      <c r="J2244" s="43"/>
    </row>
    <row r="2245" spans="1:10" ht="15.75">
      <c r="A2245" s="42" t="s">
        <v>1223</v>
      </c>
      <c r="B2245" s="43"/>
      <c r="C2245" s="43"/>
      <c r="D2245" s="43"/>
      <c r="E2245" s="43"/>
      <c r="F2245" s="43"/>
      <c r="G2245" s="43"/>
      <c r="H2245" s="43"/>
      <c r="I2245" s="43"/>
      <c r="J2245" s="96" t="s">
        <v>4285</v>
      </c>
    </row>
    <row r="2246" spans="1:10" ht="12.75" customHeight="1">
      <c r="A2246" s="42"/>
      <c r="B2246" s="43"/>
      <c r="C2246" s="43"/>
      <c r="D2246" s="43"/>
      <c r="E2246" s="43"/>
      <c r="F2246" s="43"/>
      <c r="G2246" s="43" t="str">
        <f ca="1">Team_Matches!$J$6</f>
        <v>[NCTTA Teams Template (v2.06).xlsx]</v>
      </c>
      <c r="H2246" s="43"/>
      <c r="I2246" s="43"/>
      <c r="J2246" s="160"/>
    </row>
    <row r="2247" spans="1:10" ht="12.75" customHeight="1">
      <c r="A2247" s="42"/>
      <c r="B2247" s="43"/>
      <c r="C2247" s="43"/>
      <c r="D2247" s="43"/>
      <c r="E2247" s="43"/>
      <c r="F2247" s="43"/>
      <c r="G2247" s="247" t="str">
        <f>Team_Matches!$J1690</f>
        <v/>
      </c>
      <c r="H2247" s="247"/>
      <c r="I2247" s="161" t="str">
        <f>Team_Matches!$M1690</f>
        <v/>
      </c>
      <c r="J2247" s="161"/>
    </row>
    <row r="2248" spans="1:10" ht="15.75">
      <c r="A2248" s="42"/>
      <c r="B2248" s="43"/>
      <c r="C2248" s="43"/>
      <c r="D2248" s="43"/>
      <c r="E2248" s="43"/>
      <c r="F2248" s="43"/>
      <c r="G2248" s="43"/>
      <c r="H2248" s="43"/>
      <c r="I2248" s="43"/>
      <c r="J2248" s="43"/>
    </row>
    <row r="2249" spans="1:10">
      <c r="A2249" s="43"/>
      <c r="B2249" s="43"/>
      <c r="C2249" s="9" t="s">
        <v>1228</v>
      </c>
      <c r="D2249" s="52" t="str">
        <f>Team_Matches!$B1692</f>
        <v>B</v>
      </c>
      <c r="E2249" s="43"/>
      <c r="F2249" s="97" t="str">
        <f>CONCATENATE($D2249,"-",$I2249)</f>
        <v>B-L</v>
      </c>
      <c r="G2249" s="43"/>
      <c r="H2249" s="9" t="s">
        <v>1228</v>
      </c>
      <c r="I2249" s="52" t="str">
        <f>Team_Matches!$K1692</f>
        <v>L</v>
      </c>
      <c r="J2249" s="43"/>
    </row>
    <row r="2250" spans="1:10" ht="25.5" customHeight="1">
      <c r="A2250" s="44"/>
      <c r="B2250" s="248" t="str">
        <f>IF(VLOOKUP($D2249,Draw!$A$4:$B$27,2)&lt;&gt;0,VLOOKUP($D2249,Draw!$A$4:$B$27,2),"")</f>
        <v/>
      </c>
      <c r="C2250" s="248"/>
      <c r="D2250" s="248"/>
      <c r="E2250" s="249"/>
      <c r="F2250" s="45"/>
      <c r="G2250" s="252" t="str">
        <f>IF(VLOOKUP($I2249,Draw!$A$4:$B$27,2)&lt;&gt;0,VLOOKUP($I2249,Draw!$A$4:$B$27,2),"")</f>
        <v/>
      </c>
      <c r="H2250" s="252"/>
      <c r="I2250" s="252"/>
      <c r="J2250" s="253"/>
    </row>
    <row r="2251" spans="1:10" ht="25.5" customHeight="1"/>
    <row r="2252" spans="1:10" ht="25.5" customHeight="1"/>
    <row r="2253" spans="1:10" ht="24" customHeight="1">
      <c r="A2253" s="48" t="s">
        <v>1246</v>
      </c>
      <c r="B2253" s="43"/>
      <c r="C2253" s="43"/>
      <c r="D2253" s="43"/>
      <c r="E2253" s="43"/>
      <c r="F2253" s="43"/>
      <c r="G2253" s="43"/>
      <c r="H2253" s="43"/>
      <c r="I2253" s="43"/>
      <c r="J2253" s="43"/>
    </row>
    <row r="2254" spans="1:10" ht="24" customHeight="1">
      <c r="A2254" s="48"/>
      <c r="B2254" s="43"/>
      <c r="C2254" s="43"/>
      <c r="D2254" s="43"/>
      <c r="E2254" s="43"/>
      <c r="F2254" s="43"/>
      <c r="G2254" s="43"/>
      <c r="H2254" s="43"/>
      <c r="I2254" s="43"/>
      <c r="J2254" s="43"/>
    </row>
    <row r="2255" spans="1:10">
      <c r="A2255" s="49" t="s">
        <v>1224</v>
      </c>
      <c r="B2255" s="46"/>
      <c r="C2255" s="46"/>
      <c r="D2255" s="46"/>
      <c r="E2255" s="46"/>
      <c r="F2255" s="46"/>
      <c r="G2255" s="260" t="s">
        <v>10336</v>
      </c>
      <c r="H2255" s="260"/>
      <c r="I2255" s="260"/>
      <c r="J2255" s="260"/>
    </row>
    <row r="2256" spans="1:10" ht="24" customHeight="1">
      <c r="A2256" s="50" t="str">
        <f>CONCATENATE($D2249,"1")</f>
        <v>B1</v>
      </c>
      <c r="B2256" s="255" t="str">
        <f>IF(VLOOKUP($A2256,Players!$A$2:$C$132,3)&lt;&gt;0,VLOOKUP($A2256,Players!$A$2:$C$132,3),"")</f>
        <v/>
      </c>
      <c r="C2256" s="255"/>
      <c r="D2256" s="255"/>
      <c r="E2256" s="255"/>
      <c r="F2256" s="255"/>
      <c r="G2256" s="254" t="str">
        <f>IF(VLOOKUP($I2249&amp;RIGHT($A2256,1),Players!$A$2:$D$132,3)&lt;&gt;0,VLOOKUP($I2249&amp;RIGHT($A2256,1),Players!$A$2:$D$132,3),"")</f>
        <v/>
      </c>
      <c r="H2256" s="254"/>
      <c r="I2256" s="254"/>
      <c r="J2256" s="210" t="str">
        <f>IF(VLOOKUP($I2249&amp;RIGHT($A2256,1),Players!$A$2:$D$132,3)&lt;&gt;0,"("&amp;VLOOKUP($I2249&amp;RIGHT($A2256,1),Players!$A$2:$D$132,4)&amp;")","")</f>
        <v/>
      </c>
    </row>
    <row r="2257" spans="1:10" ht="25.5" customHeight="1">
      <c r="A2257" s="50" t="str">
        <f>CONCATENATE($D2249,"2")</f>
        <v>B2</v>
      </c>
      <c r="B2257" s="255" t="str">
        <f>IF(VLOOKUP($A2257,Players!$A$2:$C$132,3)&lt;&gt;0,VLOOKUP($A2257,Players!$A$2:$C$132,3),"")</f>
        <v/>
      </c>
      <c r="C2257" s="255"/>
      <c r="D2257" s="255"/>
      <c r="E2257" s="255"/>
      <c r="F2257" s="255"/>
      <c r="G2257" s="254" t="str">
        <f>IF(VLOOKUP($I2249&amp;RIGHT($A2257,1),Players!$A$2:$D$132,3)&lt;&gt;0,VLOOKUP($I2249&amp;RIGHT($A2257,1),Players!$A$2:$D$132,3),"")</f>
        <v/>
      </c>
      <c r="H2257" s="254"/>
      <c r="I2257" s="254"/>
      <c r="J2257" s="210" t="str">
        <f>IF(VLOOKUP($I2249&amp;RIGHT($A2257,1),Players!$A$2:$D$132,3)&lt;&gt;0,"("&amp;VLOOKUP($I2249&amp;RIGHT($A2257,1),Players!$A$2:$D$132,4)&amp;")","")</f>
        <v/>
      </c>
    </row>
    <row r="2258" spans="1:10" ht="25.5" customHeight="1">
      <c r="A2258" s="50" t="str">
        <f>CONCATENATE($D2249,"3")</f>
        <v>B3</v>
      </c>
      <c r="B2258" s="255" t="str">
        <f>IF(VLOOKUP($A2258,Players!$A$2:$C$132,3)&lt;&gt;0,VLOOKUP($A2258,Players!$A$2:$C$132,3),"")</f>
        <v/>
      </c>
      <c r="C2258" s="255"/>
      <c r="D2258" s="255"/>
      <c r="E2258" s="255"/>
      <c r="F2258" s="255"/>
      <c r="G2258" s="254" t="str">
        <f>IF(VLOOKUP($I2249&amp;RIGHT($A2258,1),Players!$A$2:$D$132,3)&lt;&gt;0,VLOOKUP($I2249&amp;RIGHT($A2258,1),Players!$A$2:$D$132,3),"")</f>
        <v/>
      </c>
      <c r="H2258" s="254"/>
      <c r="I2258" s="254"/>
      <c r="J2258" s="210" t="str">
        <f>IF(VLOOKUP($I2249&amp;RIGHT($A2258,1),Players!$A$2:$D$132,3)&lt;&gt;0,"("&amp;VLOOKUP($I2249&amp;RIGHT($A2258,1),Players!$A$2:$D$132,4)&amp;")","")</f>
        <v/>
      </c>
    </row>
    <row r="2259" spans="1:10" ht="25.5" customHeight="1">
      <c r="A2259" s="50" t="str">
        <f>CONCATENATE($D2249,"4")</f>
        <v>B4</v>
      </c>
      <c r="B2259" s="255" t="str">
        <f>IF(VLOOKUP($A2259,Players!$A$2:$C$132,3)&lt;&gt;0,VLOOKUP($A2259,Players!$A$2:$C$132,3),"")</f>
        <v/>
      </c>
      <c r="C2259" s="255"/>
      <c r="D2259" s="255"/>
      <c r="E2259" s="255"/>
      <c r="F2259" s="255"/>
      <c r="G2259" s="254" t="str">
        <f>IF(VLOOKUP($I2249&amp;RIGHT($A2259,1),Players!$A$2:$D$132,3)&lt;&gt;0,VLOOKUP($I2249&amp;RIGHT($A2259,1),Players!$A$2:$D$132,3),"")</f>
        <v/>
      </c>
      <c r="H2259" s="254"/>
      <c r="I2259" s="254"/>
      <c r="J2259" s="210" t="str">
        <f>IF(VLOOKUP($I2249&amp;RIGHT($A2259,1),Players!$A$2:$D$132,3)&lt;&gt;0,"("&amp;VLOOKUP($I2249&amp;RIGHT($A2259,1),Players!$A$2:$D$132,4)&amp;")","")</f>
        <v/>
      </c>
    </row>
    <row r="2260" spans="1:10" ht="25.5" customHeight="1">
      <c r="A2260" s="50" t="str">
        <f>CONCATENATE($D2249,"5")</f>
        <v>B5</v>
      </c>
      <c r="B2260" s="255" t="str">
        <f>IF(VLOOKUP($A2260,Players!$A$2:$C$132,3)&lt;&gt;0,VLOOKUP($A2260,Players!$A$2:$C$132,3),"")</f>
        <v/>
      </c>
      <c r="C2260" s="255"/>
      <c r="D2260" s="255"/>
      <c r="E2260" s="255"/>
      <c r="F2260" s="255"/>
      <c r="G2260" s="254" t="str">
        <f>IF(VLOOKUP($I2249&amp;RIGHT($A2260,1),Players!$A$2:$D$132,3)&lt;&gt;0,VLOOKUP($I2249&amp;RIGHT($A2260,1),Players!$A$2:$D$132,3),"")</f>
        <v/>
      </c>
      <c r="H2260" s="254"/>
      <c r="I2260" s="254"/>
      <c r="J2260" s="210" t="str">
        <f>IF(VLOOKUP($I2249&amp;RIGHT($A2260,1),Players!$A$2:$D$132,3)&lt;&gt;0,"("&amp;VLOOKUP($I2249&amp;RIGHT($A2260,1),Players!$A$2:$D$132,4)&amp;")","")</f>
        <v/>
      </c>
    </row>
    <row r="2261" spans="1:10" ht="25.5" customHeight="1">
      <c r="A2261" s="50" t="str">
        <f>CONCATENATE($D2249,"6")</f>
        <v>B6</v>
      </c>
      <c r="B2261" s="255" t="str">
        <f>IF(VLOOKUP($A2261,Players!$A$2:$C$132,3)&lt;&gt;0,VLOOKUP($A2261,Players!$A$2:$C$132,3),"")</f>
        <v/>
      </c>
      <c r="C2261" s="255"/>
      <c r="D2261" s="255"/>
      <c r="E2261" s="255"/>
      <c r="F2261" s="255"/>
      <c r="G2261" s="254" t="str">
        <f>IF(VLOOKUP($I2249&amp;RIGHT($A2261,1),Players!$A$2:$D$132,3)&lt;&gt;0,VLOOKUP($I2249&amp;RIGHT($A2261,1),Players!$A$2:$D$132,3),"")</f>
        <v/>
      </c>
      <c r="H2261" s="254"/>
      <c r="I2261" s="254"/>
      <c r="J2261" s="210" t="str">
        <f>IF(VLOOKUP($I2249&amp;RIGHT($A2261,1),Players!$A$2:$D$132,3)&lt;&gt;0,"("&amp;VLOOKUP($I2249&amp;RIGHT($A2261,1),Players!$A$2:$D$132,4)&amp;")","")</f>
        <v/>
      </c>
    </row>
    <row r="2262" spans="1:10" ht="25.5" customHeight="1">
      <c r="A2262" s="50" t="str">
        <f>CONCATENATE($D2249,"7")</f>
        <v>B7</v>
      </c>
      <c r="B2262" s="255" t="str">
        <f>IF(VLOOKUP($A2262,Players!$A$2:$C$132,3)&lt;&gt;0,VLOOKUP($A2262,Players!$A$2:$C$132,3),"")</f>
        <v/>
      </c>
      <c r="C2262" s="255"/>
      <c r="D2262" s="255"/>
      <c r="E2262" s="255"/>
      <c r="F2262" s="255"/>
      <c r="G2262" s="254" t="str">
        <f>IF(VLOOKUP($I2249&amp;RIGHT($A2262,1),Players!$A$2:$D$132,3)&lt;&gt;0,VLOOKUP($I2249&amp;RIGHT($A2262,1),Players!$A$2:$D$132,3),"")</f>
        <v/>
      </c>
      <c r="H2262" s="254"/>
      <c r="I2262" s="254"/>
      <c r="J2262" s="210" t="str">
        <f>IF(VLOOKUP($I2249&amp;RIGHT($A2262,1),Players!$A$2:$D$132,3)&lt;&gt;0,"("&amp;VLOOKUP($I2249&amp;RIGHT($A2262,1),Players!$A$2:$D$132,4)&amp;")","")</f>
        <v/>
      </c>
    </row>
    <row r="2263" spans="1:10" ht="25.5" customHeight="1">
      <c r="A2263" s="50" t="str">
        <f>CONCATENATE($D2249,"8")</f>
        <v>B8</v>
      </c>
      <c r="B2263" s="255" t="str">
        <f>IF(VLOOKUP($A2263,Players!$A$2:$C$132,3)&lt;&gt;0,VLOOKUP($A2263,Players!$A$2:$C$132,3),"")</f>
        <v/>
      </c>
      <c r="C2263" s="255"/>
      <c r="D2263" s="255"/>
      <c r="E2263" s="255"/>
      <c r="F2263" s="255"/>
      <c r="G2263" s="254" t="str">
        <f>IF(VLOOKUP($I2249&amp;RIGHT($A2263,1),Players!$A$2:$D$132,3)&lt;&gt;0,VLOOKUP($I2249&amp;RIGHT($A2263,1),Players!$A$2:$D$132,3),"")</f>
        <v/>
      </c>
      <c r="H2263" s="254"/>
      <c r="I2263" s="254"/>
      <c r="J2263" s="210" t="str">
        <f>IF(VLOOKUP($I2249&amp;RIGHT($A2263,1),Players!$A$2:$D$132,3)&lt;&gt;0,"("&amp;VLOOKUP($I2249&amp;RIGHT($A2263,1),Players!$A$2:$D$132,4)&amp;")","")</f>
        <v/>
      </c>
    </row>
    <row r="2264" spans="1:10" ht="25.5" customHeight="1">
      <c r="A2264" s="50"/>
      <c r="B2264" s="26"/>
      <c r="C2264" s="26"/>
      <c r="D2264" s="26"/>
      <c r="E2264" s="26"/>
      <c r="F2264" s="27"/>
      <c r="G2264" s="43"/>
      <c r="H2264" s="43"/>
      <c r="I2264" s="43"/>
      <c r="J2264" s="43"/>
    </row>
    <row r="2265" spans="1:10">
      <c r="A2265" s="49" t="s">
        <v>1225</v>
      </c>
      <c r="B2265" s="46"/>
      <c r="C2265" s="46"/>
      <c r="D2265" s="46"/>
      <c r="E2265" s="46"/>
      <c r="F2265" s="46"/>
      <c r="G2265" s="43"/>
      <c r="H2265" s="43"/>
      <c r="I2265" s="43"/>
      <c r="J2265" s="43"/>
    </row>
    <row r="2266" spans="1:10">
      <c r="A2266" s="46" t="s">
        <v>1247</v>
      </c>
      <c r="B2266" s="46"/>
      <c r="C2266" s="46"/>
      <c r="D2266" s="46"/>
      <c r="E2266" s="46"/>
      <c r="F2266" s="46"/>
      <c r="G2266" s="43"/>
      <c r="H2266" s="43"/>
      <c r="I2266" s="43"/>
      <c r="J2266" s="43"/>
    </row>
    <row r="2267" spans="1:10">
      <c r="A2267" s="46" t="s">
        <v>1248</v>
      </c>
      <c r="B2267" s="46"/>
      <c r="C2267" s="46"/>
      <c r="D2267" s="46"/>
      <c r="E2267" s="46"/>
      <c r="F2267" s="46"/>
      <c r="G2267" s="43"/>
      <c r="H2267" s="43"/>
      <c r="I2267" s="43"/>
      <c r="J2267" s="43"/>
    </row>
    <row r="2268" spans="1:10" ht="13.5" thickBot="1">
      <c r="A2268" s="46"/>
      <c r="B2268" s="46"/>
      <c r="C2268" s="46"/>
      <c r="D2268" s="46"/>
      <c r="E2268" s="46"/>
      <c r="F2268" s="46"/>
      <c r="G2268" s="43"/>
      <c r="H2268" s="43"/>
      <c r="I2268" s="43"/>
      <c r="J2268" s="43"/>
    </row>
    <row r="2269" spans="1:10" ht="25.5" customHeight="1" thickBot="1">
      <c r="A2269" s="50"/>
      <c r="B2269" s="257"/>
      <c r="C2269" s="258"/>
      <c r="D2269" s="258"/>
      <c r="E2269" s="258"/>
      <c r="F2269" s="259"/>
      <c r="G2269" s="43"/>
      <c r="H2269" s="43"/>
      <c r="I2269" s="43"/>
      <c r="J2269" s="43"/>
    </row>
    <row r="2270" spans="1:10">
      <c r="A2270" s="43"/>
      <c r="B2270" s="43"/>
      <c r="C2270" s="43"/>
      <c r="D2270" s="43"/>
      <c r="E2270" s="43"/>
      <c r="F2270" s="43"/>
      <c r="G2270" s="43"/>
      <c r="H2270" s="43"/>
      <c r="I2270" s="43"/>
      <c r="J2270" s="43"/>
    </row>
    <row r="2271" spans="1:10">
      <c r="A2271" s="43"/>
      <c r="B2271" s="43"/>
      <c r="C2271" s="43"/>
      <c r="D2271" s="43"/>
      <c r="E2271" s="43"/>
      <c r="F2271" s="43"/>
      <c r="G2271" s="43"/>
      <c r="H2271" s="43"/>
      <c r="I2271" s="43"/>
      <c r="J2271" s="43"/>
    </row>
    <row r="2272" spans="1:10">
      <c r="A2272" s="43"/>
      <c r="B2272" s="43"/>
      <c r="C2272" s="43"/>
      <c r="D2272" s="43"/>
      <c r="E2272" s="43"/>
      <c r="F2272" s="43"/>
      <c r="G2272" s="43"/>
      <c r="H2272" s="43"/>
      <c r="I2272" s="43"/>
      <c r="J2272" s="43"/>
    </row>
    <row r="2273" spans="1:10">
      <c r="A2273" s="43"/>
      <c r="B2273" s="43"/>
      <c r="C2273" s="43"/>
      <c r="D2273" s="43"/>
      <c r="E2273" s="43"/>
      <c r="F2273" s="43"/>
      <c r="G2273" s="43"/>
      <c r="H2273" s="43"/>
      <c r="I2273" s="43"/>
      <c r="J2273" s="43"/>
    </row>
    <row r="2274" spans="1:10">
      <c r="A2274" s="43"/>
      <c r="B2274" s="43"/>
      <c r="C2274" s="43"/>
      <c r="D2274" s="43"/>
      <c r="E2274" s="43"/>
      <c r="F2274" s="43"/>
      <c r="G2274" s="43"/>
      <c r="H2274" s="43"/>
      <c r="I2274" s="43"/>
      <c r="J2274" s="43"/>
    </row>
    <row r="2275" spans="1:10" ht="25.5" customHeight="1">
      <c r="A2275" s="47"/>
      <c r="B2275" s="47"/>
      <c r="C2275" s="47"/>
      <c r="D2275" s="47"/>
      <c r="E2275" s="47"/>
      <c r="F2275" s="43"/>
      <c r="G2275" s="51"/>
      <c r="H2275" s="250" t="s">
        <v>1227</v>
      </c>
      <c r="I2275" s="251"/>
      <c r="J2275" s="43"/>
    </row>
    <row r="2276" spans="1:10">
      <c r="A2276" s="43" t="s">
        <v>1226</v>
      </c>
      <c r="B2276" s="43"/>
      <c r="C2276" s="43"/>
      <c r="D2276" s="43"/>
      <c r="E2276" s="43"/>
      <c r="F2276" s="43"/>
      <c r="G2276" s="43"/>
      <c r="H2276" s="43"/>
      <c r="I2276" s="43"/>
      <c r="J2276" s="43"/>
    </row>
    <row r="2277" spans="1:10">
      <c r="A2277" s="43"/>
      <c r="B2277" s="43"/>
      <c r="C2277" s="43"/>
      <c r="D2277" s="43"/>
      <c r="E2277" s="43"/>
      <c r="F2277" s="43"/>
      <c r="G2277" s="43"/>
      <c r="H2277" s="43"/>
      <c r="I2277" s="43"/>
      <c r="J2277" s="43"/>
    </row>
    <row r="2278" spans="1:10">
      <c r="A2278" s="43"/>
      <c r="B2278" s="43"/>
      <c r="C2278" s="43"/>
      <c r="D2278" s="43"/>
      <c r="E2278" s="256" t="str">
        <f>CONCATENATE("(",$D2249," vs ",$I2249,")")</f>
        <v>(B vs L)</v>
      </c>
      <c r="F2278" s="256"/>
      <c r="G2278" s="43"/>
      <c r="H2278" s="43"/>
      <c r="I2278" s="43"/>
      <c r="J2278" s="43"/>
    </row>
    <row r="2279" spans="1:10" ht="15.75">
      <c r="A2279" s="42" t="s">
        <v>1223</v>
      </c>
      <c r="B2279" s="43"/>
      <c r="C2279" s="43"/>
      <c r="D2279" s="43"/>
      <c r="E2279" s="43"/>
      <c r="F2279" s="43"/>
      <c r="G2279" s="43"/>
      <c r="H2279" s="43"/>
      <c r="I2279" s="43"/>
      <c r="J2279" s="96" t="s">
        <v>4286</v>
      </c>
    </row>
    <row r="2280" spans="1:10" ht="12.75" customHeight="1">
      <c r="A2280" s="42"/>
      <c r="B2280" s="43"/>
      <c r="C2280" s="43"/>
      <c r="D2280" s="43"/>
      <c r="E2280" s="43"/>
      <c r="F2280" s="43"/>
      <c r="G2280" s="43" t="str">
        <f ca="1">Team_Matches!$J$6</f>
        <v>[NCTTA Teams Template (v2.06).xlsx]</v>
      </c>
      <c r="H2280" s="43"/>
      <c r="I2280" s="43"/>
      <c r="J2280" s="160"/>
    </row>
    <row r="2281" spans="1:10" ht="12.75" customHeight="1">
      <c r="A2281" s="42"/>
      <c r="B2281" s="43"/>
      <c r="C2281" s="43"/>
      <c r="D2281" s="43"/>
      <c r="E2281" s="43"/>
      <c r="F2281" s="43"/>
      <c r="G2281" s="247" t="str">
        <f>Team_Matches!$J1690</f>
        <v/>
      </c>
      <c r="H2281" s="247"/>
      <c r="I2281" s="161" t="str">
        <f>Team_Matches!$M1690</f>
        <v/>
      </c>
      <c r="J2281" s="161"/>
    </row>
    <row r="2282" spans="1:10" ht="15.75">
      <c r="A2282" s="42"/>
      <c r="B2282" s="43"/>
      <c r="C2282" s="43"/>
      <c r="D2282" s="43"/>
      <c r="E2282" s="43"/>
      <c r="F2282" s="43"/>
      <c r="G2282" s="43"/>
      <c r="H2282" s="43"/>
      <c r="I2282" s="43"/>
      <c r="J2282" s="43"/>
    </row>
    <row r="2283" spans="1:10">
      <c r="A2283" s="43"/>
      <c r="B2283" s="43"/>
      <c r="C2283" s="9" t="s">
        <v>1228</v>
      </c>
      <c r="D2283" s="52" t="str">
        <f>Team_Matches!$B1692</f>
        <v>B</v>
      </c>
      <c r="E2283" s="43"/>
      <c r="F2283" s="97" t="str">
        <f>CONCATENATE($D2283,"-",$I2283)</f>
        <v>B-L</v>
      </c>
      <c r="G2283" s="43"/>
      <c r="H2283" s="9" t="s">
        <v>1228</v>
      </c>
      <c r="I2283" s="52" t="str">
        <f>Team_Matches!$K1692</f>
        <v>L</v>
      </c>
      <c r="J2283" s="43"/>
    </row>
    <row r="2284" spans="1:10" ht="25.5" customHeight="1">
      <c r="A2284" s="44"/>
      <c r="B2284" s="252" t="str">
        <f>IF(VLOOKUP($D2283,Draw!$A$4:$B$27,2)&lt;&gt;0,VLOOKUP($D2283,Draw!$A$4:$B$27,2),"")</f>
        <v/>
      </c>
      <c r="C2284" s="252"/>
      <c r="D2284" s="252"/>
      <c r="E2284" s="253"/>
      <c r="F2284" s="45"/>
      <c r="G2284" s="248" t="str">
        <f>IF(VLOOKUP($I2283,Draw!$A$4:$B$27,2)&lt;&gt;0,VLOOKUP($I2283,Draw!$A$4:$B$27,2),"")</f>
        <v/>
      </c>
      <c r="H2284" s="248"/>
      <c r="I2284" s="248"/>
      <c r="J2284" s="249"/>
    </row>
    <row r="2285" spans="1:10" ht="25.5" customHeight="1"/>
    <row r="2286" spans="1:10" ht="25.5" customHeight="1"/>
    <row r="2287" spans="1:10" ht="24" customHeight="1">
      <c r="A2287" s="48" t="s">
        <v>1246</v>
      </c>
      <c r="B2287" s="43"/>
      <c r="C2287" s="43"/>
      <c r="D2287" s="43"/>
      <c r="E2287" s="43"/>
      <c r="F2287" s="43"/>
      <c r="G2287" s="43"/>
      <c r="H2287" s="43"/>
      <c r="I2287" s="43"/>
      <c r="J2287" s="43"/>
    </row>
    <row r="2288" spans="1:10" ht="24" customHeight="1">
      <c r="A2288" s="48"/>
      <c r="B2288" s="43"/>
      <c r="C2288" s="43"/>
      <c r="D2288" s="43"/>
      <c r="E2288" s="43"/>
      <c r="F2288" s="43"/>
      <c r="G2288" s="43"/>
      <c r="H2288" s="43"/>
      <c r="I2288" s="43"/>
      <c r="J2288" s="43"/>
    </row>
    <row r="2289" spans="1:10">
      <c r="A2289" s="49" t="s">
        <v>1224</v>
      </c>
      <c r="B2289" s="46"/>
      <c r="C2289" s="46"/>
      <c r="D2289" s="46"/>
      <c r="E2289" s="46"/>
      <c r="F2289" s="46"/>
      <c r="G2289" s="260" t="s">
        <v>10336</v>
      </c>
      <c r="H2289" s="260"/>
      <c r="I2289" s="260"/>
      <c r="J2289" s="260"/>
    </row>
    <row r="2290" spans="1:10" ht="24" customHeight="1">
      <c r="A2290" s="50" t="str">
        <f>CONCATENATE($I2283,"1")</f>
        <v>L1</v>
      </c>
      <c r="B2290" s="255" t="str">
        <f>IF(VLOOKUP($A2290,Players!$A$2:$C$132,3)&lt;&gt;0,VLOOKUP($A2290,Players!$A$2:$C$132,3),"")</f>
        <v/>
      </c>
      <c r="C2290" s="255"/>
      <c r="D2290" s="255"/>
      <c r="E2290" s="255"/>
      <c r="F2290" s="255"/>
      <c r="G2290" s="254" t="str">
        <f>IF(VLOOKUP($D2283&amp;RIGHT($A2290,1),Players!$A$2:$D$132,3)&lt;&gt;0,VLOOKUP($D2283&amp;RIGHT($A2290,1),Players!$A$2:$D$132,3),"")</f>
        <v/>
      </c>
      <c r="H2290" s="254"/>
      <c r="I2290" s="254"/>
      <c r="J2290" s="210" t="str">
        <f>IF(VLOOKUP($D2283&amp;RIGHT($A2290,1),Players!$A$2:$D$132,3)&lt;&gt;0,"("&amp;VLOOKUP($D2283&amp;RIGHT($A2290,1),Players!$A$2:$D$132,4)&amp;")","")</f>
        <v/>
      </c>
    </row>
    <row r="2291" spans="1:10" ht="25.5" customHeight="1">
      <c r="A2291" s="50" t="str">
        <f>CONCATENATE($I2283,"2")</f>
        <v>L2</v>
      </c>
      <c r="B2291" s="255" t="str">
        <f>IF(VLOOKUP($A2291,Players!$A$2:$C$132,3)&lt;&gt;0,VLOOKUP($A2291,Players!$A$2:$C$132,3),"")</f>
        <v/>
      </c>
      <c r="C2291" s="255"/>
      <c r="D2291" s="255"/>
      <c r="E2291" s="255"/>
      <c r="F2291" s="255"/>
      <c r="G2291" s="254" t="str">
        <f>IF(VLOOKUP($D2283&amp;RIGHT($A2291,1),Players!$A$2:$D$132,3)&lt;&gt;0,VLOOKUP($D2283&amp;RIGHT($A2291,1),Players!$A$2:$D$132,3),"")</f>
        <v/>
      </c>
      <c r="H2291" s="254"/>
      <c r="I2291" s="254"/>
      <c r="J2291" s="210" t="str">
        <f>IF(VLOOKUP($D2283&amp;RIGHT($A2291,1),Players!$A$2:$D$132,3)&lt;&gt;0,"("&amp;VLOOKUP($D2283&amp;RIGHT($A2291,1),Players!$A$2:$D$132,4)&amp;")","")</f>
        <v/>
      </c>
    </row>
    <row r="2292" spans="1:10" ht="25.5" customHeight="1">
      <c r="A2292" s="50" t="str">
        <f>CONCATENATE($I2283,"3")</f>
        <v>L3</v>
      </c>
      <c r="B2292" s="255" t="str">
        <f>IF(VLOOKUP($A2292,Players!$A$2:$C$132,3)&lt;&gt;0,VLOOKUP($A2292,Players!$A$2:$C$132,3),"")</f>
        <v/>
      </c>
      <c r="C2292" s="255"/>
      <c r="D2292" s="255"/>
      <c r="E2292" s="255"/>
      <c r="F2292" s="255"/>
      <c r="G2292" s="254" t="str">
        <f>IF(VLOOKUP($D2283&amp;RIGHT($A2292,1),Players!$A$2:$D$132,3)&lt;&gt;0,VLOOKUP($D2283&amp;RIGHT($A2292,1),Players!$A$2:$D$132,3),"")</f>
        <v/>
      </c>
      <c r="H2292" s="254"/>
      <c r="I2292" s="254"/>
      <c r="J2292" s="210" t="str">
        <f>IF(VLOOKUP($D2283&amp;RIGHT($A2292,1),Players!$A$2:$D$132,3)&lt;&gt;0,"("&amp;VLOOKUP($D2283&amp;RIGHT($A2292,1),Players!$A$2:$D$132,4)&amp;")","")</f>
        <v/>
      </c>
    </row>
    <row r="2293" spans="1:10" ht="25.5" customHeight="1">
      <c r="A2293" s="50" t="str">
        <f>CONCATENATE($I2283,"4")</f>
        <v>L4</v>
      </c>
      <c r="B2293" s="255" t="str">
        <f>IF(VLOOKUP($A2293,Players!$A$2:$C$132,3)&lt;&gt;0,VLOOKUP($A2293,Players!$A$2:$C$132,3),"")</f>
        <v/>
      </c>
      <c r="C2293" s="255"/>
      <c r="D2293" s="255"/>
      <c r="E2293" s="255"/>
      <c r="F2293" s="255"/>
      <c r="G2293" s="254" t="str">
        <f>IF(VLOOKUP($D2283&amp;RIGHT($A2293,1),Players!$A$2:$D$132,3)&lt;&gt;0,VLOOKUP($D2283&amp;RIGHT($A2293,1),Players!$A$2:$D$132,3),"")</f>
        <v/>
      </c>
      <c r="H2293" s="254"/>
      <c r="I2293" s="254"/>
      <c r="J2293" s="210" t="str">
        <f>IF(VLOOKUP($D2283&amp;RIGHT($A2293,1),Players!$A$2:$D$132,3)&lt;&gt;0,"("&amp;VLOOKUP($D2283&amp;RIGHT($A2293,1),Players!$A$2:$D$132,4)&amp;")","")</f>
        <v/>
      </c>
    </row>
    <row r="2294" spans="1:10" ht="25.5" customHeight="1">
      <c r="A2294" s="50" t="str">
        <f>CONCATENATE($I2283,"5")</f>
        <v>L5</v>
      </c>
      <c r="B2294" s="255" t="str">
        <f>IF(VLOOKUP($A2294,Players!$A$2:$C$132,3)&lt;&gt;0,VLOOKUP($A2294,Players!$A$2:$C$132,3),"")</f>
        <v/>
      </c>
      <c r="C2294" s="255"/>
      <c r="D2294" s="255"/>
      <c r="E2294" s="255"/>
      <c r="F2294" s="255"/>
      <c r="G2294" s="254" t="str">
        <f>IF(VLOOKUP($D2283&amp;RIGHT($A2294,1),Players!$A$2:$D$132,3)&lt;&gt;0,VLOOKUP($D2283&amp;RIGHT($A2294,1),Players!$A$2:$D$132,3),"")</f>
        <v/>
      </c>
      <c r="H2294" s="254"/>
      <c r="I2294" s="254"/>
      <c r="J2294" s="210" t="str">
        <f>IF(VLOOKUP($D2283&amp;RIGHT($A2294,1),Players!$A$2:$D$132,3)&lt;&gt;0,"("&amp;VLOOKUP($D2283&amp;RIGHT($A2294,1),Players!$A$2:$D$132,4)&amp;")","")</f>
        <v/>
      </c>
    </row>
    <row r="2295" spans="1:10" ht="25.5" customHeight="1">
      <c r="A2295" s="50" t="str">
        <f>CONCATENATE($I2283,"6")</f>
        <v>L6</v>
      </c>
      <c r="B2295" s="255" t="str">
        <f>IF(VLOOKUP($A2295,Players!$A$2:$C$132,3)&lt;&gt;0,VLOOKUP($A2295,Players!$A$2:$C$132,3),"")</f>
        <v/>
      </c>
      <c r="C2295" s="255"/>
      <c r="D2295" s="255"/>
      <c r="E2295" s="255"/>
      <c r="F2295" s="255"/>
      <c r="G2295" s="254" t="str">
        <f>IF(VLOOKUP($D2283&amp;RIGHT($A2295,1),Players!$A$2:$D$132,3)&lt;&gt;0,VLOOKUP($D2283&amp;RIGHT($A2295,1),Players!$A$2:$D$132,3),"")</f>
        <v/>
      </c>
      <c r="H2295" s="254"/>
      <c r="I2295" s="254"/>
      <c r="J2295" s="210" t="str">
        <f>IF(VLOOKUP($D2283&amp;RIGHT($A2295,1),Players!$A$2:$D$132,3)&lt;&gt;0,"("&amp;VLOOKUP($D2283&amp;RIGHT($A2295,1),Players!$A$2:$D$132,4)&amp;")","")</f>
        <v/>
      </c>
    </row>
    <row r="2296" spans="1:10" ht="25.5" customHeight="1">
      <c r="A2296" s="50" t="str">
        <f>CONCATENATE($I2283,"7")</f>
        <v>L7</v>
      </c>
      <c r="B2296" s="255" t="str">
        <f>IF(VLOOKUP($A2296,Players!$A$2:$C$132,3)&lt;&gt;0,VLOOKUP($A2296,Players!$A$2:$C$132,3),"")</f>
        <v/>
      </c>
      <c r="C2296" s="255"/>
      <c r="D2296" s="255"/>
      <c r="E2296" s="255"/>
      <c r="F2296" s="255"/>
      <c r="G2296" s="254" t="str">
        <f>IF(VLOOKUP($D2283&amp;RIGHT($A2296,1),Players!$A$2:$D$132,3)&lt;&gt;0,VLOOKUP($D2283&amp;RIGHT($A2296,1),Players!$A$2:$D$132,3),"")</f>
        <v/>
      </c>
      <c r="H2296" s="254"/>
      <c r="I2296" s="254"/>
      <c r="J2296" s="210" t="str">
        <f>IF(VLOOKUP($D2283&amp;RIGHT($A2296,1),Players!$A$2:$D$132,3)&lt;&gt;0,"("&amp;VLOOKUP($D2283&amp;RIGHT($A2296,1),Players!$A$2:$D$132,4)&amp;")","")</f>
        <v/>
      </c>
    </row>
    <row r="2297" spans="1:10" ht="25.5" customHeight="1">
      <c r="A2297" s="50" t="str">
        <f>CONCATENATE($I2283,"8")</f>
        <v>L8</v>
      </c>
      <c r="B2297" s="255" t="str">
        <f>IF(VLOOKUP($A2297,Players!$A$2:$C$132,3)&lt;&gt;0,VLOOKUP($A2297,Players!$A$2:$C$132,3),"")</f>
        <v/>
      </c>
      <c r="C2297" s="255"/>
      <c r="D2297" s="255"/>
      <c r="E2297" s="255"/>
      <c r="F2297" s="255"/>
      <c r="G2297" s="254" t="str">
        <f>IF(VLOOKUP($D2283&amp;RIGHT($A2297,1),Players!$A$2:$D$132,3)&lt;&gt;0,VLOOKUP($D2283&amp;RIGHT($A2297,1),Players!$A$2:$D$132,3),"")</f>
        <v/>
      </c>
      <c r="H2297" s="254"/>
      <c r="I2297" s="254"/>
      <c r="J2297" s="210" t="str">
        <f>IF(VLOOKUP($D2283&amp;RIGHT($A2297,1),Players!$A$2:$D$132,3)&lt;&gt;0,"("&amp;VLOOKUP($D2283&amp;RIGHT($A2297,1),Players!$A$2:$D$132,4)&amp;")","")</f>
        <v/>
      </c>
    </row>
    <row r="2298" spans="1:10" ht="25.5" customHeight="1">
      <c r="A2298" s="50"/>
      <c r="B2298" s="26"/>
      <c r="C2298" s="26"/>
      <c r="D2298" s="26"/>
      <c r="E2298" s="26"/>
      <c r="F2298" s="27"/>
      <c r="G2298" s="43"/>
      <c r="H2298" s="43"/>
      <c r="I2298" s="43"/>
      <c r="J2298" s="43"/>
    </row>
    <row r="2299" spans="1:10">
      <c r="A2299" s="49" t="s">
        <v>1225</v>
      </c>
      <c r="B2299" s="46"/>
      <c r="C2299" s="46"/>
      <c r="D2299" s="46"/>
      <c r="E2299" s="46"/>
      <c r="F2299" s="46"/>
      <c r="G2299" s="43"/>
      <c r="H2299" s="43"/>
      <c r="I2299" s="43"/>
      <c r="J2299" s="43"/>
    </row>
    <row r="2300" spans="1:10">
      <c r="A2300" s="46" t="s">
        <v>1247</v>
      </c>
      <c r="B2300" s="46"/>
      <c r="C2300" s="46"/>
      <c r="D2300" s="46"/>
      <c r="E2300" s="46"/>
      <c r="F2300" s="46"/>
      <c r="G2300" s="43"/>
      <c r="H2300" s="43"/>
      <c r="I2300" s="43"/>
      <c r="J2300" s="43"/>
    </row>
    <row r="2301" spans="1:10">
      <c r="A2301" s="46" t="s">
        <v>1248</v>
      </c>
      <c r="B2301" s="46"/>
      <c r="C2301" s="46"/>
      <c r="D2301" s="46"/>
      <c r="E2301" s="46"/>
      <c r="F2301" s="46"/>
      <c r="G2301" s="43"/>
      <c r="H2301" s="43"/>
      <c r="I2301" s="43"/>
      <c r="J2301" s="43"/>
    </row>
    <row r="2302" spans="1:10" ht="13.5" thickBot="1">
      <c r="A2302" s="46"/>
      <c r="B2302" s="46"/>
      <c r="C2302" s="46"/>
      <c r="D2302" s="46"/>
      <c r="E2302" s="46"/>
      <c r="F2302" s="46"/>
      <c r="G2302" s="43"/>
      <c r="H2302" s="43"/>
      <c r="I2302" s="43"/>
      <c r="J2302" s="43"/>
    </row>
    <row r="2303" spans="1:10" ht="25.5" customHeight="1" thickBot="1">
      <c r="A2303" s="50"/>
      <c r="B2303" s="257"/>
      <c r="C2303" s="258"/>
      <c r="D2303" s="258"/>
      <c r="E2303" s="258"/>
      <c r="F2303" s="259"/>
      <c r="G2303" s="43"/>
      <c r="H2303" s="43"/>
      <c r="I2303" s="43"/>
      <c r="J2303" s="43"/>
    </row>
    <row r="2304" spans="1:10">
      <c r="A2304" s="43"/>
      <c r="B2304" s="43"/>
      <c r="C2304" s="43"/>
      <c r="D2304" s="43"/>
      <c r="E2304" s="43"/>
      <c r="F2304" s="43"/>
      <c r="G2304" s="43"/>
      <c r="H2304" s="43"/>
      <c r="I2304" s="43"/>
      <c r="J2304" s="43"/>
    </row>
    <row r="2305" spans="1:10">
      <c r="A2305" s="43"/>
      <c r="B2305" s="43"/>
      <c r="C2305" s="43"/>
      <c r="D2305" s="43"/>
      <c r="E2305" s="43"/>
      <c r="F2305" s="43"/>
      <c r="G2305" s="43"/>
      <c r="H2305" s="43"/>
      <c r="I2305" s="43"/>
      <c r="J2305" s="43"/>
    </row>
    <row r="2306" spans="1:10">
      <c r="A2306" s="43"/>
      <c r="B2306" s="43"/>
      <c r="C2306" s="43"/>
      <c r="D2306" s="43"/>
      <c r="E2306" s="43"/>
      <c r="F2306" s="43"/>
      <c r="G2306" s="43"/>
      <c r="H2306" s="43"/>
      <c r="I2306" s="43"/>
      <c r="J2306" s="43"/>
    </row>
    <row r="2307" spans="1:10">
      <c r="A2307" s="43"/>
      <c r="B2307" s="43"/>
      <c r="C2307" s="43"/>
      <c r="D2307" s="43"/>
      <c r="E2307" s="43"/>
      <c r="F2307" s="43"/>
      <c r="G2307" s="43"/>
      <c r="H2307" s="43"/>
      <c r="I2307" s="43"/>
      <c r="J2307" s="43"/>
    </row>
    <row r="2308" spans="1:10">
      <c r="A2308" s="43"/>
      <c r="B2308" s="43"/>
      <c r="C2308" s="43"/>
      <c r="D2308" s="43"/>
      <c r="E2308" s="43"/>
      <c r="F2308" s="43"/>
      <c r="G2308" s="43"/>
      <c r="H2308" s="43"/>
      <c r="I2308" s="43"/>
      <c r="J2308" s="43"/>
    </row>
    <row r="2309" spans="1:10" ht="25.5" customHeight="1">
      <c r="A2309" s="47"/>
      <c r="B2309" s="47"/>
      <c r="C2309" s="47"/>
      <c r="D2309" s="47"/>
      <c r="E2309" s="47"/>
      <c r="F2309" s="43"/>
      <c r="G2309" s="51"/>
      <c r="H2309" s="250" t="s">
        <v>1227</v>
      </c>
      <c r="I2309" s="251"/>
      <c r="J2309" s="43"/>
    </row>
    <row r="2310" spans="1:10">
      <c r="A2310" s="43" t="s">
        <v>1226</v>
      </c>
      <c r="B2310" s="43"/>
      <c r="C2310" s="43"/>
      <c r="D2310" s="43"/>
      <c r="E2310" s="43"/>
      <c r="F2310" s="43"/>
      <c r="G2310" s="43"/>
      <c r="H2310" s="43"/>
      <c r="I2310" s="43"/>
      <c r="J2310" s="43"/>
    </row>
    <row r="2311" spans="1:10">
      <c r="A2311" s="43"/>
      <c r="B2311" s="43"/>
      <c r="C2311" s="43"/>
      <c r="D2311" s="43"/>
      <c r="E2311" s="43"/>
      <c r="F2311" s="43"/>
      <c r="G2311" s="43"/>
      <c r="H2311" s="43"/>
      <c r="I2311" s="43"/>
      <c r="J2311" s="43"/>
    </row>
    <row r="2312" spans="1:10">
      <c r="A2312" s="43"/>
      <c r="B2312" s="43"/>
      <c r="C2312" s="43"/>
      <c r="D2312" s="43"/>
      <c r="E2312" s="256" t="str">
        <f>CONCATENATE("(",$D2283," vs ",$I2283,")")</f>
        <v>(B vs L)</v>
      </c>
      <c r="F2312" s="256"/>
      <c r="G2312" s="43"/>
      <c r="H2312" s="43"/>
      <c r="I2312" s="43"/>
      <c r="J2312" s="43"/>
    </row>
    <row r="2313" spans="1:10" ht="15.75">
      <c r="A2313" s="42" t="s">
        <v>1223</v>
      </c>
      <c r="B2313" s="43"/>
      <c r="C2313" s="43"/>
      <c r="D2313" s="43"/>
      <c r="E2313" s="43"/>
      <c r="F2313" s="43"/>
      <c r="G2313" s="43"/>
      <c r="H2313" s="43"/>
      <c r="I2313" s="43"/>
      <c r="J2313" s="96" t="s">
        <v>4288</v>
      </c>
    </row>
    <row r="2314" spans="1:10" ht="12.75" customHeight="1">
      <c r="A2314" s="42"/>
      <c r="B2314" s="43"/>
      <c r="C2314" s="43"/>
      <c r="D2314" s="43"/>
      <c r="E2314" s="43"/>
      <c r="F2314" s="43"/>
      <c r="G2314" s="43" t="str">
        <f ca="1">Team_Matches!$J$6</f>
        <v>[NCTTA Teams Template (v2.06).xlsx]</v>
      </c>
      <c r="H2314" s="43"/>
      <c r="I2314" s="43"/>
      <c r="J2314" s="160"/>
    </row>
    <row r="2315" spans="1:10" ht="12.75" customHeight="1">
      <c r="A2315" s="42"/>
      <c r="B2315" s="43"/>
      <c r="C2315" s="43"/>
      <c r="D2315" s="43"/>
      <c r="E2315" s="43"/>
      <c r="F2315" s="43"/>
      <c r="G2315" s="247" t="str">
        <f>Team_Matches!$J1741</f>
        <v/>
      </c>
      <c r="H2315" s="247"/>
      <c r="I2315" s="161" t="str">
        <f>Team_Matches!$M1741</f>
        <v/>
      </c>
      <c r="J2315" s="161"/>
    </row>
    <row r="2316" spans="1:10" ht="15.75">
      <c r="A2316" s="42"/>
      <c r="B2316" s="43"/>
      <c r="C2316" s="43"/>
      <c r="D2316" s="43"/>
      <c r="E2316" s="43"/>
      <c r="F2316" s="43"/>
      <c r="G2316" s="43"/>
      <c r="H2316" s="43"/>
      <c r="I2316" s="43"/>
      <c r="J2316" s="43"/>
    </row>
    <row r="2317" spans="1:10">
      <c r="A2317" s="43"/>
      <c r="B2317" s="43"/>
      <c r="C2317" s="9" t="s">
        <v>1228</v>
      </c>
      <c r="D2317" s="52" t="str">
        <f>Team_Matches!$B1743</f>
        <v>C</v>
      </c>
      <c r="E2317" s="43"/>
      <c r="F2317" s="97" t="str">
        <f>CONCATENATE($D2317,"-",$I2317)</f>
        <v>C-E</v>
      </c>
      <c r="G2317" s="43"/>
      <c r="H2317" s="9" t="s">
        <v>1228</v>
      </c>
      <c r="I2317" s="3" t="str">
        <f>Team_Matches!$K1743</f>
        <v>E</v>
      </c>
      <c r="J2317" s="43"/>
    </row>
    <row r="2318" spans="1:10" ht="25.5" customHeight="1">
      <c r="A2318" s="44"/>
      <c r="B2318" s="248" t="str">
        <f>IF(VLOOKUP($D2317,Draw!$A$4:$B$27,2)&lt;&gt;0,VLOOKUP($D2317,Draw!$A$4:$B$27,2),"")</f>
        <v/>
      </c>
      <c r="C2318" s="248"/>
      <c r="D2318" s="248"/>
      <c r="E2318" s="249"/>
      <c r="F2318" s="45"/>
      <c r="G2318" s="252" t="str">
        <f>IF(VLOOKUP($I2317,Draw!$A$4:$B$27,2)&lt;&gt;0,VLOOKUP($I2317,Draw!$A$4:$B$27,2),"")</f>
        <v/>
      </c>
      <c r="H2318" s="252"/>
      <c r="I2318" s="252"/>
      <c r="J2318" s="253"/>
    </row>
    <row r="2319" spans="1:10" ht="25.5" customHeight="1"/>
    <row r="2320" spans="1:10" ht="25.5" customHeight="1"/>
    <row r="2321" spans="1:10" ht="24" customHeight="1">
      <c r="A2321" s="48" t="s">
        <v>1246</v>
      </c>
      <c r="B2321" s="43"/>
      <c r="C2321" s="43"/>
      <c r="D2321" s="43"/>
      <c r="E2321" s="43"/>
      <c r="F2321" s="43"/>
      <c r="G2321" s="43"/>
      <c r="H2321" s="43"/>
      <c r="I2321" s="43"/>
      <c r="J2321" s="43"/>
    </row>
    <row r="2322" spans="1:10" ht="24" customHeight="1">
      <c r="A2322" s="48"/>
      <c r="B2322" s="43"/>
      <c r="C2322" s="43"/>
      <c r="D2322" s="43"/>
      <c r="E2322" s="43"/>
      <c r="F2322" s="43"/>
      <c r="G2322" s="43"/>
      <c r="H2322" s="43"/>
      <c r="I2322" s="43"/>
      <c r="J2322" s="43"/>
    </row>
    <row r="2323" spans="1:10">
      <c r="A2323" s="49" t="s">
        <v>1224</v>
      </c>
      <c r="B2323" s="46"/>
      <c r="C2323" s="46"/>
      <c r="D2323" s="46"/>
      <c r="E2323" s="46"/>
      <c r="F2323" s="46"/>
      <c r="G2323" s="260" t="s">
        <v>10336</v>
      </c>
      <c r="H2323" s="260"/>
      <c r="I2323" s="260"/>
      <c r="J2323" s="260"/>
    </row>
    <row r="2324" spans="1:10" ht="24" customHeight="1">
      <c r="A2324" s="50" t="str">
        <f>CONCATENATE($D2317,"1")</f>
        <v>C1</v>
      </c>
      <c r="B2324" s="255" t="str">
        <f>IF(VLOOKUP($A2324,Players!$A$2:$C$132,3)&lt;&gt;0,VLOOKUP($A2324,Players!$A$2:$C$132,3),"")</f>
        <v/>
      </c>
      <c r="C2324" s="255"/>
      <c r="D2324" s="255"/>
      <c r="E2324" s="255"/>
      <c r="F2324" s="255"/>
      <c r="G2324" s="254" t="str">
        <f>IF(VLOOKUP($I2317&amp;RIGHT($A2324,1),Players!$A$2:$D$132,3)&lt;&gt;0,VLOOKUP($I2317&amp;RIGHT($A2324,1),Players!$A$2:$D$132,3),"")</f>
        <v/>
      </c>
      <c r="H2324" s="254"/>
      <c r="I2324" s="254"/>
      <c r="J2324" s="210" t="str">
        <f>IF(VLOOKUP($I2317&amp;RIGHT($A2324,1),Players!$A$2:$D$132,3)&lt;&gt;0,"("&amp;VLOOKUP($I2317&amp;RIGHT($A2324,1),Players!$A$2:$D$132,4)&amp;")","")</f>
        <v/>
      </c>
    </row>
    <row r="2325" spans="1:10" ht="25.5" customHeight="1">
      <c r="A2325" s="50" t="str">
        <f>CONCATENATE($D2317,"2")</f>
        <v>C2</v>
      </c>
      <c r="B2325" s="255" t="str">
        <f>IF(VLOOKUP($A2325,Players!$A$2:$C$132,3)&lt;&gt;0,VLOOKUP($A2325,Players!$A$2:$C$132,3),"")</f>
        <v/>
      </c>
      <c r="C2325" s="255"/>
      <c r="D2325" s="255"/>
      <c r="E2325" s="255"/>
      <c r="F2325" s="255"/>
      <c r="G2325" s="254" t="str">
        <f>IF(VLOOKUP($I2317&amp;RIGHT($A2325,1),Players!$A$2:$D$132,3)&lt;&gt;0,VLOOKUP($I2317&amp;RIGHT($A2325,1),Players!$A$2:$D$132,3),"")</f>
        <v/>
      </c>
      <c r="H2325" s="254"/>
      <c r="I2325" s="254"/>
      <c r="J2325" s="210" t="str">
        <f>IF(VLOOKUP($I2317&amp;RIGHT($A2325,1),Players!$A$2:$D$132,3)&lt;&gt;0,"("&amp;VLOOKUP($I2317&amp;RIGHT($A2325,1),Players!$A$2:$D$132,4)&amp;")","")</f>
        <v/>
      </c>
    </row>
    <row r="2326" spans="1:10" ht="25.5" customHeight="1">
      <c r="A2326" s="50" t="str">
        <f>CONCATENATE($D2317,"3")</f>
        <v>C3</v>
      </c>
      <c r="B2326" s="255" t="str">
        <f>IF(VLOOKUP($A2326,Players!$A$2:$C$132,3)&lt;&gt;0,VLOOKUP($A2326,Players!$A$2:$C$132,3),"")</f>
        <v/>
      </c>
      <c r="C2326" s="255"/>
      <c r="D2326" s="255"/>
      <c r="E2326" s="255"/>
      <c r="F2326" s="255"/>
      <c r="G2326" s="254" t="str">
        <f>IF(VLOOKUP($I2317&amp;RIGHT($A2326,1),Players!$A$2:$D$132,3)&lt;&gt;0,VLOOKUP($I2317&amp;RIGHT($A2326,1),Players!$A$2:$D$132,3),"")</f>
        <v/>
      </c>
      <c r="H2326" s="254"/>
      <c r="I2326" s="254"/>
      <c r="J2326" s="210" t="str">
        <f>IF(VLOOKUP($I2317&amp;RIGHT($A2326,1),Players!$A$2:$D$132,3)&lt;&gt;0,"("&amp;VLOOKUP($I2317&amp;RIGHT($A2326,1),Players!$A$2:$D$132,4)&amp;")","")</f>
        <v/>
      </c>
    </row>
    <row r="2327" spans="1:10" ht="25.5" customHeight="1">
      <c r="A2327" s="50" t="str">
        <f>CONCATENATE($D2317,"4")</f>
        <v>C4</v>
      </c>
      <c r="B2327" s="255" t="str">
        <f>IF(VLOOKUP($A2327,Players!$A$2:$C$132,3)&lt;&gt;0,VLOOKUP($A2327,Players!$A$2:$C$132,3),"")</f>
        <v/>
      </c>
      <c r="C2327" s="255"/>
      <c r="D2327" s="255"/>
      <c r="E2327" s="255"/>
      <c r="F2327" s="255"/>
      <c r="G2327" s="254" t="str">
        <f>IF(VLOOKUP($I2317&amp;RIGHT($A2327,1),Players!$A$2:$D$132,3)&lt;&gt;0,VLOOKUP($I2317&amp;RIGHT($A2327,1),Players!$A$2:$D$132,3),"")</f>
        <v/>
      </c>
      <c r="H2327" s="254"/>
      <c r="I2327" s="254"/>
      <c r="J2327" s="210" t="str">
        <f>IF(VLOOKUP($I2317&amp;RIGHT($A2327,1),Players!$A$2:$D$132,3)&lt;&gt;0,"("&amp;VLOOKUP($I2317&amp;RIGHT($A2327,1),Players!$A$2:$D$132,4)&amp;")","")</f>
        <v/>
      </c>
    </row>
    <row r="2328" spans="1:10" ht="25.5" customHeight="1">
      <c r="A2328" s="50" t="str">
        <f>CONCATENATE($D2317,"5")</f>
        <v>C5</v>
      </c>
      <c r="B2328" s="255" t="str">
        <f>IF(VLOOKUP($A2328,Players!$A$2:$C$132,3)&lt;&gt;0,VLOOKUP($A2328,Players!$A$2:$C$132,3),"")</f>
        <v/>
      </c>
      <c r="C2328" s="255"/>
      <c r="D2328" s="255"/>
      <c r="E2328" s="255"/>
      <c r="F2328" s="255"/>
      <c r="G2328" s="254" t="str">
        <f>IF(VLOOKUP($I2317&amp;RIGHT($A2328,1),Players!$A$2:$D$132,3)&lt;&gt;0,VLOOKUP($I2317&amp;RIGHT($A2328,1),Players!$A$2:$D$132,3),"")</f>
        <v/>
      </c>
      <c r="H2328" s="254"/>
      <c r="I2328" s="254"/>
      <c r="J2328" s="210" t="str">
        <f>IF(VLOOKUP($I2317&amp;RIGHT($A2328,1),Players!$A$2:$D$132,3)&lt;&gt;0,"("&amp;VLOOKUP($I2317&amp;RIGHT($A2328,1),Players!$A$2:$D$132,4)&amp;")","")</f>
        <v/>
      </c>
    </row>
    <row r="2329" spans="1:10" ht="25.5" customHeight="1">
      <c r="A2329" s="50" t="str">
        <f>CONCATENATE($D2317,"6")</f>
        <v>C6</v>
      </c>
      <c r="B2329" s="255" t="str">
        <f>IF(VLOOKUP($A2329,Players!$A$2:$C$132,3)&lt;&gt;0,VLOOKUP($A2329,Players!$A$2:$C$132,3),"")</f>
        <v/>
      </c>
      <c r="C2329" s="255"/>
      <c r="D2329" s="255"/>
      <c r="E2329" s="255"/>
      <c r="F2329" s="255"/>
      <c r="G2329" s="254" t="str">
        <f>IF(VLOOKUP($I2317&amp;RIGHT($A2329,1),Players!$A$2:$D$132,3)&lt;&gt;0,VLOOKUP($I2317&amp;RIGHT($A2329,1),Players!$A$2:$D$132,3),"")</f>
        <v/>
      </c>
      <c r="H2329" s="254"/>
      <c r="I2329" s="254"/>
      <c r="J2329" s="210" t="str">
        <f>IF(VLOOKUP($I2317&amp;RIGHT($A2329,1),Players!$A$2:$D$132,3)&lt;&gt;0,"("&amp;VLOOKUP($I2317&amp;RIGHT($A2329,1),Players!$A$2:$D$132,4)&amp;")","")</f>
        <v/>
      </c>
    </row>
    <row r="2330" spans="1:10" ht="25.5" customHeight="1">
      <c r="A2330" s="50" t="str">
        <f>CONCATENATE($D2317,"7")</f>
        <v>C7</v>
      </c>
      <c r="B2330" s="255" t="str">
        <f>IF(VLOOKUP($A2330,Players!$A$2:$C$132,3)&lt;&gt;0,VLOOKUP($A2330,Players!$A$2:$C$132,3),"")</f>
        <v/>
      </c>
      <c r="C2330" s="255"/>
      <c r="D2330" s="255"/>
      <c r="E2330" s="255"/>
      <c r="F2330" s="255"/>
      <c r="G2330" s="254" t="str">
        <f>IF(VLOOKUP($I2317&amp;RIGHT($A2330,1),Players!$A$2:$D$132,3)&lt;&gt;0,VLOOKUP($I2317&amp;RIGHT($A2330,1),Players!$A$2:$D$132,3),"")</f>
        <v/>
      </c>
      <c r="H2330" s="254"/>
      <c r="I2330" s="254"/>
      <c r="J2330" s="210" t="str">
        <f>IF(VLOOKUP($I2317&amp;RIGHT($A2330,1),Players!$A$2:$D$132,3)&lt;&gt;0,"("&amp;VLOOKUP($I2317&amp;RIGHT($A2330,1),Players!$A$2:$D$132,4)&amp;")","")</f>
        <v/>
      </c>
    </row>
    <row r="2331" spans="1:10" ht="25.5" customHeight="1">
      <c r="A2331" s="50" t="str">
        <f>CONCATENATE($D2317,"8")</f>
        <v>C8</v>
      </c>
      <c r="B2331" s="255" t="str">
        <f>IF(VLOOKUP($A2331,Players!$A$2:$C$132,3)&lt;&gt;0,VLOOKUP($A2331,Players!$A$2:$C$132,3),"")</f>
        <v/>
      </c>
      <c r="C2331" s="255"/>
      <c r="D2331" s="255"/>
      <c r="E2331" s="255"/>
      <c r="F2331" s="255"/>
      <c r="G2331" s="254" t="str">
        <f>IF(VLOOKUP($I2317&amp;RIGHT($A2331,1),Players!$A$2:$D$132,3)&lt;&gt;0,VLOOKUP($I2317&amp;RIGHT($A2331,1),Players!$A$2:$D$132,3),"")</f>
        <v/>
      </c>
      <c r="H2331" s="254"/>
      <c r="I2331" s="254"/>
      <c r="J2331" s="210" t="str">
        <f>IF(VLOOKUP($I2317&amp;RIGHT($A2331,1),Players!$A$2:$D$132,3)&lt;&gt;0,"("&amp;VLOOKUP($I2317&amp;RIGHT($A2331,1),Players!$A$2:$D$132,4)&amp;")","")</f>
        <v/>
      </c>
    </row>
    <row r="2332" spans="1:10" ht="25.5" customHeight="1">
      <c r="A2332" s="50"/>
      <c r="B2332" s="26"/>
      <c r="C2332" s="26"/>
      <c r="D2332" s="26"/>
      <c r="E2332" s="26"/>
      <c r="F2332" s="27"/>
      <c r="G2332" s="43"/>
      <c r="H2332" s="43"/>
      <c r="I2332" s="43"/>
      <c r="J2332" s="43"/>
    </row>
    <row r="2333" spans="1:10">
      <c r="A2333" s="49" t="s">
        <v>1225</v>
      </c>
      <c r="B2333" s="46"/>
      <c r="C2333" s="46"/>
      <c r="D2333" s="46"/>
      <c r="E2333" s="46"/>
      <c r="F2333" s="46"/>
      <c r="G2333" s="43"/>
      <c r="H2333" s="43"/>
      <c r="I2333" s="43"/>
      <c r="J2333" s="43"/>
    </row>
    <row r="2334" spans="1:10">
      <c r="A2334" s="46" t="s">
        <v>1247</v>
      </c>
      <c r="B2334" s="46"/>
      <c r="C2334" s="46"/>
      <c r="D2334" s="46"/>
      <c r="E2334" s="46"/>
      <c r="F2334" s="46"/>
      <c r="G2334" s="43"/>
      <c r="H2334" s="43"/>
      <c r="I2334" s="43"/>
      <c r="J2334" s="43"/>
    </row>
    <row r="2335" spans="1:10">
      <c r="A2335" s="46" t="s">
        <v>1248</v>
      </c>
      <c r="B2335" s="46"/>
      <c r="C2335" s="46"/>
      <c r="D2335" s="46"/>
      <c r="E2335" s="46"/>
      <c r="F2335" s="46"/>
      <c r="G2335" s="43"/>
      <c r="H2335" s="43"/>
      <c r="I2335" s="43"/>
      <c r="J2335" s="43"/>
    </row>
    <row r="2336" spans="1:10" ht="13.5" thickBot="1">
      <c r="A2336" s="46"/>
      <c r="B2336" s="46"/>
      <c r="C2336" s="46"/>
      <c r="D2336" s="46"/>
      <c r="E2336" s="46"/>
      <c r="F2336" s="46"/>
      <c r="G2336" s="43"/>
      <c r="H2336" s="43"/>
      <c r="I2336" s="43"/>
      <c r="J2336" s="43"/>
    </row>
    <row r="2337" spans="1:10" ht="25.5" customHeight="1" thickBot="1">
      <c r="A2337" s="50"/>
      <c r="B2337" s="257"/>
      <c r="C2337" s="258"/>
      <c r="D2337" s="258"/>
      <c r="E2337" s="258"/>
      <c r="F2337" s="259"/>
      <c r="G2337" s="43"/>
      <c r="H2337" s="43"/>
      <c r="I2337" s="43"/>
      <c r="J2337" s="43"/>
    </row>
    <row r="2338" spans="1:10">
      <c r="A2338" s="43"/>
      <c r="B2338" s="43"/>
      <c r="C2338" s="43"/>
      <c r="D2338" s="43"/>
      <c r="E2338" s="43"/>
      <c r="F2338" s="43"/>
      <c r="G2338" s="43"/>
      <c r="H2338" s="43"/>
      <c r="I2338" s="43"/>
      <c r="J2338" s="43"/>
    </row>
    <row r="2339" spans="1:10">
      <c r="A2339" s="43"/>
      <c r="B2339" s="43"/>
      <c r="C2339" s="43"/>
      <c r="D2339" s="43"/>
      <c r="E2339" s="43"/>
      <c r="F2339" s="43"/>
      <c r="G2339" s="43"/>
      <c r="H2339" s="43"/>
      <c r="I2339" s="43"/>
      <c r="J2339" s="43"/>
    </row>
    <row r="2340" spans="1:10">
      <c r="A2340" s="43"/>
      <c r="B2340" s="43"/>
      <c r="C2340" s="43"/>
      <c r="D2340" s="43"/>
      <c r="E2340" s="43"/>
      <c r="F2340" s="43"/>
      <c r="G2340" s="43"/>
      <c r="H2340" s="43"/>
      <c r="I2340" s="43"/>
      <c r="J2340" s="43"/>
    </row>
    <row r="2341" spans="1:10">
      <c r="A2341" s="43"/>
      <c r="B2341" s="43"/>
      <c r="C2341" s="43"/>
      <c r="D2341" s="43"/>
      <c r="E2341" s="43"/>
      <c r="F2341" s="43"/>
      <c r="G2341" s="43"/>
      <c r="H2341" s="43"/>
      <c r="I2341" s="43"/>
      <c r="J2341" s="43"/>
    </row>
    <row r="2342" spans="1:10">
      <c r="A2342" s="43"/>
      <c r="B2342" s="43"/>
      <c r="C2342" s="43"/>
      <c r="D2342" s="43"/>
      <c r="E2342" s="43"/>
      <c r="F2342" s="43"/>
      <c r="G2342" s="43"/>
      <c r="H2342" s="43"/>
      <c r="I2342" s="43"/>
      <c r="J2342" s="43"/>
    </row>
    <row r="2343" spans="1:10" ht="25.5" customHeight="1">
      <c r="A2343" s="47"/>
      <c r="B2343" s="47"/>
      <c r="C2343" s="47"/>
      <c r="D2343" s="47"/>
      <c r="E2343" s="47"/>
      <c r="F2343" s="43"/>
      <c r="G2343" s="51"/>
      <c r="H2343" s="250" t="s">
        <v>1227</v>
      </c>
      <c r="I2343" s="251"/>
      <c r="J2343" s="43"/>
    </row>
    <row r="2344" spans="1:10">
      <c r="A2344" s="43" t="s">
        <v>1226</v>
      </c>
      <c r="B2344" s="43"/>
      <c r="C2344" s="43"/>
      <c r="D2344" s="43"/>
      <c r="E2344" s="43"/>
      <c r="F2344" s="43"/>
      <c r="G2344" s="43"/>
      <c r="H2344" s="43"/>
      <c r="I2344" s="43"/>
      <c r="J2344" s="43"/>
    </row>
    <row r="2345" spans="1:10">
      <c r="A2345" s="43"/>
      <c r="B2345" s="43"/>
      <c r="C2345" s="43"/>
      <c r="D2345" s="43"/>
      <c r="E2345" s="43"/>
      <c r="F2345" s="43"/>
      <c r="G2345" s="43"/>
      <c r="H2345" s="43"/>
      <c r="I2345" s="43"/>
      <c r="J2345" s="43"/>
    </row>
    <row r="2346" spans="1:10">
      <c r="A2346" s="43"/>
      <c r="B2346" s="43"/>
      <c r="C2346" s="43"/>
      <c r="D2346" s="43"/>
      <c r="E2346" s="256" t="str">
        <f>CONCATENATE("(",$D2317," vs ",$I2317,")")</f>
        <v>(C vs E)</v>
      </c>
      <c r="F2346" s="256"/>
      <c r="G2346" s="43"/>
      <c r="H2346" s="43"/>
      <c r="I2346" s="43"/>
      <c r="J2346" s="43"/>
    </row>
    <row r="2347" spans="1:10" ht="15.75">
      <c r="A2347" s="42" t="s">
        <v>1223</v>
      </c>
      <c r="B2347" s="43"/>
      <c r="C2347" s="43"/>
      <c r="D2347" s="43"/>
      <c r="E2347" s="43"/>
      <c r="F2347" s="43"/>
      <c r="G2347" s="43"/>
      <c r="H2347" s="43"/>
      <c r="I2347" s="43"/>
      <c r="J2347" s="96" t="s">
        <v>4287</v>
      </c>
    </row>
    <row r="2348" spans="1:10" ht="12.75" customHeight="1">
      <c r="A2348" s="42"/>
      <c r="B2348" s="43"/>
      <c r="C2348" s="43"/>
      <c r="D2348" s="43"/>
      <c r="E2348" s="43"/>
      <c r="F2348" s="43"/>
      <c r="G2348" s="43" t="str">
        <f ca="1">Team_Matches!$J$6</f>
        <v>[NCTTA Teams Template (v2.06).xlsx]</v>
      </c>
      <c r="H2348" s="43"/>
      <c r="I2348" s="43"/>
      <c r="J2348" s="160"/>
    </row>
    <row r="2349" spans="1:10" ht="12.75" customHeight="1">
      <c r="A2349" s="42"/>
      <c r="B2349" s="43"/>
      <c r="C2349" s="43"/>
      <c r="D2349" s="43"/>
      <c r="E2349" s="43"/>
      <c r="F2349" s="43"/>
      <c r="G2349" s="247" t="str">
        <f>Team_Matches!$J1741</f>
        <v/>
      </c>
      <c r="H2349" s="247"/>
      <c r="I2349" s="161" t="str">
        <f>Team_Matches!$M1741</f>
        <v/>
      </c>
      <c r="J2349" s="161"/>
    </row>
    <row r="2350" spans="1:10" ht="15.75">
      <c r="A2350" s="42"/>
      <c r="B2350" s="43"/>
      <c r="C2350" s="43"/>
      <c r="D2350" s="43"/>
      <c r="E2350" s="43"/>
      <c r="F2350" s="43"/>
      <c r="G2350" s="43"/>
      <c r="H2350" s="43"/>
      <c r="I2350" s="43"/>
      <c r="J2350" s="43"/>
    </row>
    <row r="2351" spans="1:10">
      <c r="A2351" s="43"/>
      <c r="B2351" s="43"/>
      <c r="C2351" s="9" t="s">
        <v>1228</v>
      </c>
      <c r="D2351" s="52" t="str">
        <f>Team_Matches!$B1743</f>
        <v>C</v>
      </c>
      <c r="E2351" s="43"/>
      <c r="F2351" s="97" t="str">
        <f>CONCATENATE($D2351,"-",$I2351)</f>
        <v>C-E</v>
      </c>
      <c r="G2351" s="43"/>
      <c r="H2351" s="9" t="s">
        <v>1228</v>
      </c>
      <c r="I2351" s="3" t="str">
        <f>Team_Matches!$K1743</f>
        <v>E</v>
      </c>
      <c r="J2351" s="43"/>
    </row>
    <row r="2352" spans="1:10" ht="25.5" customHeight="1">
      <c r="A2352" s="44"/>
      <c r="B2352" s="252" t="str">
        <f>IF(VLOOKUP($D2351,Draw!$A$4:$B$27,2)&lt;&gt;0,VLOOKUP($D2351,Draw!$A$4:$B$27,2),"")</f>
        <v/>
      </c>
      <c r="C2352" s="252"/>
      <c r="D2352" s="252"/>
      <c r="E2352" s="253"/>
      <c r="F2352" s="45"/>
      <c r="G2352" s="248" t="str">
        <f>IF(VLOOKUP($I2351,Draw!$A$4:$B$27,2)&lt;&gt;0,VLOOKUP($I2351,Draw!$A$4:$B$27,2),"")</f>
        <v/>
      </c>
      <c r="H2352" s="248"/>
      <c r="I2352" s="248"/>
      <c r="J2352" s="249"/>
    </row>
    <row r="2353" spans="1:10" ht="25.5" customHeight="1"/>
    <row r="2354" spans="1:10" ht="25.5" customHeight="1"/>
    <row r="2355" spans="1:10" ht="24" customHeight="1">
      <c r="A2355" s="48" t="s">
        <v>1246</v>
      </c>
      <c r="B2355" s="43"/>
      <c r="C2355" s="43"/>
      <c r="D2355" s="43"/>
      <c r="E2355" s="43"/>
      <c r="F2355" s="43"/>
      <c r="G2355" s="43"/>
      <c r="H2355" s="43"/>
      <c r="I2355" s="43"/>
      <c r="J2355" s="43"/>
    </row>
    <row r="2356" spans="1:10" ht="24" customHeight="1">
      <c r="A2356" s="48"/>
      <c r="B2356" s="43"/>
      <c r="C2356" s="43"/>
      <c r="D2356" s="43"/>
      <c r="E2356" s="43"/>
      <c r="F2356" s="43"/>
      <c r="G2356" s="43"/>
      <c r="H2356" s="43"/>
      <c r="I2356" s="43"/>
      <c r="J2356" s="43"/>
    </row>
    <row r="2357" spans="1:10">
      <c r="A2357" s="49" t="s">
        <v>1224</v>
      </c>
      <c r="B2357" s="46"/>
      <c r="C2357" s="46"/>
      <c r="D2357" s="46"/>
      <c r="E2357" s="46"/>
      <c r="F2357" s="46"/>
      <c r="G2357" s="260" t="s">
        <v>10336</v>
      </c>
      <c r="H2357" s="260"/>
      <c r="I2357" s="260"/>
      <c r="J2357" s="260"/>
    </row>
    <row r="2358" spans="1:10" ht="24" customHeight="1">
      <c r="A2358" s="50" t="str">
        <f>CONCATENATE($I2351,"1")</f>
        <v>E1</v>
      </c>
      <c r="B2358" s="255" t="str">
        <f>IF(VLOOKUP($A2358,Players!$A$2:$C$132,3)&lt;&gt;0,VLOOKUP($A2358,Players!$A$2:$C$132,3),"")</f>
        <v/>
      </c>
      <c r="C2358" s="255"/>
      <c r="D2358" s="255"/>
      <c r="E2358" s="255"/>
      <c r="F2358" s="255"/>
      <c r="G2358" s="254" t="str">
        <f>IF(VLOOKUP($D2351&amp;RIGHT($A2358,1),Players!$A$2:$D$132,3)&lt;&gt;0,VLOOKUP($D2351&amp;RIGHT($A2358,1),Players!$A$2:$D$132,3),"")</f>
        <v/>
      </c>
      <c r="H2358" s="254"/>
      <c r="I2358" s="254"/>
      <c r="J2358" s="210" t="str">
        <f>IF(VLOOKUP($D2351&amp;RIGHT($A2358,1),Players!$A$2:$D$132,3)&lt;&gt;0,"("&amp;VLOOKUP($D2351&amp;RIGHT($A2358,1),Players!$A$2:$D$132,4)&amp;")","")</f>
        <v/>
      </c>
    </row>
    <row r="2359" spans="1:10" ht="25.5" customHeight="1">
      <c r="A2359" s="50" t="str">
        <f>CONCATENATE($I2351,"2")</f>
        <v>E2</v>
      </c>
      <c r="B2359" s="255" t="str">
        <f>IF(VLOOKUP($A2359,Players!$A$2:$C$132,3)&lt;&gt;0,VLOOKUP($A2359,Players!$A$2:$C$132,3),"")</f>
        <v/>
      </c>
      <c r="C2359" s="255"/>
      <c r="D2359" s="255"/>
      <c r="E2359" s="255"/>
      <c r="F2359" s="255"/>
      <c r="G2359" s="254" t="str">
        <f>IF(VLOOKUP($D2351&amp;RIGHT($A2359,1),Players!$A$2:$D$132,3)&lt;&gt;0,VLOOKUP($D2351&amp;RIGHT($A2359,1),Players!$A$2:$D$132,3),"")</f>
        <v/>
      </c>
      <c r="H2359" s="254"/>
      <c r="I2359" s="254"/>
      <c r="J2359" s="210" t="str">
        <f>IF(VLOOKUP($D2351&amp;RIGHT($A2359,1),Players!$A$2:$D$132,3)&lt;&gt;0,"("&amp;VLOOKUP($D2351&amp;RIGHT($A2359,1),Players!$A$2:$D$132,4)&amp;")","")</f>
        <v/>
      </c>
    </row>
    <row r="2360" spans="1:10" ht="25.5" customHeight="1">
      <c r="A2360" s="50" t="str">
        <f>CONCATENATE($I2351,"3")</f>
        <v>E3</v>
      </c>
      <c r="B2360" s="255" t="str">
        <f>IF(VLOOKUP($A2360,Players!$A$2:$C$132,3)&lt;&gt;0,VLOOKUP($A2360,Players!$A$2:$C$132,3),"")</f>
        <v/>
      </c>
      <c r="C2360" s="255"/>
      <c r="D2360" s="255"/>
      <c r="E2360" s="255"/>
      <c r="F2360" s="255"/>
      <c r="G2360" s="254" t="str">
        <f>IF(VLOOKUP($D2351&amp;RIGHT($A2360,1),Players!$A$2:$D$132,3)&lt;&gt;0,VLOOKUP($D2351&amp;RIGHT($A2360,1),Players!$A$2:$D$132,3),"")</f>
        <v/>
      </c>
      <c r="H2360" s="254"/>
      <c r="I2360" s="254"/>
      <c r="J2360" s="210" t="str">
        <f>IF(VLOOKUP($D2351&amp;RIGHT($A2360,1),Players!$A$2:$D$132,3)&lt;&gt;0,"("&amp;VLOOKUP($D2351&amp;RIGHT($A2360,1),Players!$A$2:$D$132,4)&amp;")","")</f>
        <v/>
      </c>
    </row>
    <row r="2361" spans="1:10" ht="25.5" customHeight="1">
      <c r="A2361" s="50" t="str">
        <f>CONCATENATE($I2351,"4")</f>
        <v>E4</v>
      </c>
      <c r="B2361" s="255" t="str">
        <f>IF(VLOOKUP($A2361,Players!$A$2:$C$132,3)&lt;&gt;0,VLOOKUP($A2361,Players!$A$2:$C$132,3),"")</f>
        <v/>
      </c>
      <c r="C2361" s="255"/>
      <c r="D2361" s="255"/>
      <c r="E2361" s="255"/>
      <c r="F2361" s="255"/>
      <c r="G2361" s="254" t="str">
        <f>IF(VLOOKUP($D2351&amp;RIGHT($A2361,1),Players!$A$2:$D$132,3)&lt;&gt;0,VLOOKUP($D2351&amp;RIGHT($A2361,1),Players!$A$2:$D$132,3),"")</f>
        <v/>
      </c>
      <c r="H2361" s="254"/>
      <c r="I2361" s="254"/>
      <c r="J2361" s="210" t="str">
        <f>IF(VLOOKUP($D2351&amp;RIGHT($A2361,1),Players!$A$2:$D$132,3)&lt;&gt;0,"("&amp;VLOOKUP($D2351&amp;RIGHT($A2361,1),Players!$A$2:$D$132,4)&amp;")","")</f>
        <v/>
      </c>
    </row>
    <row r="2362" spans="1:10" ht="25.5" customHeight="1">
      <c r="A2362" s="50" t="str">
        <f>CONCATENATE($I2351,"5")</f>
        <v>E5</v>
      </c>
      <c r="B2362" s="255" t="str">
        <f>IF(VLOOKUP($A2362,Players!$A$2:$C$132,3)&lt;&gt;0,VLOOKUP($A2362,Players!$A$2:$C$132,3),"")</f>
        <v/>
      </c>
      <c r="C2362" s="255"/>
      <c r="D2362" s="255"/>
      <c r="E2362" s="255"/>
      <c r="F2362" s="255"/>
      <c r="G2362" s="254" t="str">
        <f>IF(VLOOKUP($D2351&amp;RIGHT($A2362,1),Players!$A$2:$D$132,3)&lt;&gt;0,VLOOKUP($D2351&amp;RIGHT($A2362,1),Players!$A$2:$D$132,3),"")</f>
        <v/>
      </c>
      <c r="H2362" s="254"/>
      <c r="I2362" s="254"/>
      <c r="J2362" s="210" t="str">
        <f>IF(VLOOKUP($D2351&amp;RIGHT($A2362,1),Players!$A$2:$D$132,3)&lt;&gt;0,"("&amp;VLOOKUP($D2351&amp;RIGHT($A2362,1),Players!$A$2:$D$132,4)&amp;")","")</f>
        <v/>
      </c>
    </row>
    <row r="2363" spans="1:10" ht="25.5" customHeight="1">
      <c r="A2363" s="50" t="str">
        <f>CONCATENATE($I2351,"6")</f>
        <v>E6</v>
      </c>
      <c r="B2363" s="255" t="str">
        <f>IF(VLOOKUP($A2363,Players!$A$2:$C$132,3)&lt;&gt;0,VLOOKUP($A2363,Players!$A$2:$C$132,3),"")</f>
        <v/>
      </c>
      <c r="C2363" s="255"/>
      <c r="D2363" s="255"/>
      <c r="E2363" s="255"/>
      <c r="F2363" s="255"/>
      <c r="G2363" s="254" t="str">
        <f>IF(VLOOKUP($D2351&amp;RIGHT($A2363,1),Players!$A$2:$D$132,3)&lt;&gt;0,VLOOKUP($D2351&amp;RIGHT($A2363,1),Players!$A$2:$D$132,3),"")</f>
        <v/>
      </c>
      <c r="H2363" s="254"/>
      <c r="I2363" s="254"/>
      <c r="J2363" s="210" t="str">
        <f>IF(VLOOKUP($D2351&amp;RIGHT($A2363,1),Players!$A$2:$D$132,3)&lt;&gt;0,"("&amp;VLOOKUP($D2351&amp;RIGHT($A2363,1),Players!$A$2:$D$132,4)&amp;")","")</f>
        <v/>
      </c>
    </row>
    <row r="2364" spans="1:10" ht="25.5" customHeight="1">
      <c r="A2364" s="50" t="str">
        <f>CONCATENATE($I2351,"7")</f>
        <v>E7</v>
      </c>
      <c r="B2364" s="255" t="str">
        <f>IF(VLOOKUP($A2364,Players!$A$2:$C$132,3)&lt;&gt;0,VLOOKUP($A2364,Players!$A$2:$C$132,3),"")</f>
        <v/>
      </c>
      <c r="C2364" s="255"/>
      <c r="D2364" s="255"/>
      <c r="E2364" s="255"/>
      <c r="F2364" s="255"/>
      <c r="G2364" s="254" t="str">
        <f>IF(VLOOKUP($D2351&amp;RIGHT($A2364,1),Players!$A$2:$D$132,3)&lt;&gt;0,VLOOKUP($D2351&amp;RIGHT($A2364,1),Players!$A$2:$D$132,3),"")</f>
        <v/>
      </c>
      <c r="H2364" s="254"/>
      <c r="I2364" s="254"/>
      <c r="J2364" s="210" t="str">
        <f>IF(VLOOKUP($D2351&amp;RIGHT($A2364,1),Players!$A$2:$D$132,3)&lt;&gt;0,"("&amp;VLOOKUP($D2351&amp;RIGHT($A2364,1),Players!$A$2:$D$132,4)&amp;")","")</f>
        <v/>
      </c>
    </row>
    <row r="2365" spans="1:10" ht="25.5" customHeight="1">
      <c r="A2365" s="50" t="str">
        <f>CONCATENATE($I2351,"8")</f>
        <v>E8</v>
      </c>
      <c r="B2365" s="255" t="str">
        <f>IF(VLOOKUP($A2365,Players!$A$2:$C$132,3)&lt;&gt;0,VLOOKUP($A2365,Players!$A$2:$C$132,3),"")</f>
        <v/>
      </c>
      <c r="C2365" s="255"/>
      <c r="D2365" s="255"/>
      <c r="E2365" s="255"/>
      <c r="F2365" s="255"/>
      <c r="G2365" s="254" t="str">
        <f>IF(VLOOKUP($D2351&amp;RIGHT($A2365,1),Players!$A$2:$D$132,3)&lt;&gt;0,VLOOKUP($D2351&amp;RIGHT($A2365,1),Players!$A$2:$D$132,3),"")</f>
        <v/>
      </c>
      <c r="H2365" s="254"/>
      <c r="I2365" s="254"/>
      <c r="J2365" s="210" t="str">
        <f>IF(VLOOKUP($D2351&amp;RIGHT($A2365,1),Players!$A$2:$D$132,3)&lt;&gt;0,"("&amp;VLOOKUP($D2351&amp;RIGHT($A2365,1),Players!$A$2:$D$132,4)&amp;")","")</f>
        <v/>
      </c>
    </row>
    <row r="2366" spans="1:10" ht="25.5" customHeight="1">
      <c r="A2366" s="50"/>
      <c r="B2366" s="26"/>
      <c r="C2366" s="26"/>
      <c r="D2366" s="26"/>
      <c r="E2366" s="26"/>
      <c r="F2366" s="27"/>
      <c r="G2366" s="43"/>
      <c r="H2366" s="43"/>
      <c r="I2366" s="43"/>
      <c r="J2366" s="43"/>
    </row>
    <row r="2367" spans="1:10">
      <c r="A2367" s="49" t="s">
        <v>1225</v>
      </c>
      <c r="B2367" s="46"/>
      <c r="C2367" s="46"/>
      <c r="D2367" s="46"/>
      <c r="E2367" s="46"/>
      <c r="F2367" s="46"/>
      <c r="G2367" s="43"/>
      <c r="H2367" s="43"/>
      <c r="I2367" s="43"/>
      <c r="J2367" s="43"/>
    </row>
    <row r="2368" spans="1:10">
      <c r="A2368" s="46" t="s">
        <v>1247</v>
      </c>
      <c r="B2368" s="46"/>
      <c r="C2368" s="46"/>
      <c r="D2368" s="46"/>
      <c r="E2368" s="46"/>
      <c r="F2368" s="46"/>
      <c r="G2368" s="43"/>
      <c r="H2368" s="43"/>
      <c r="I2368" s="43"/>
      <c r="J2368" s="43"/>
    </row>
    <row r="2369" spans="1:10">
      <c r="A2369" s="46" t="s">
        <v>1248</v>
      </c>
      <c r="B2369" s="46"/>
      <c r="C2369" s="46"/>
      <c r="D2369" s="46"/>
      <c r="E2369" s="46"/>
      <c r="F2369" s="46"/>
      <c r="G2369" s="43"/>
      <c r="H2369" s="43"/>
      <c r="I2369" s="43"/>
      <c r="J2369" s="43"/>
    </row>
    <row r="2370" spans="1:10" ht="13.5" thickBot="1">
      <c r="A2370" s="46"/>
      <c r="B2370" s="46"/>
      <c r="C2370" s="46"/>
      <c r="D2370" s="46"/>
      <c r="E2370" s="46"/>
      <c r="F2370" s="46"/>
      <c r="G2370" s="43"/>
      <c r="H2370" s="43"/>
      <c r="I2370" s="43"/>
      <c r="J2370" s="43"/>
    </row>
    <row r="2371" spans="1:10" ht="25.5" customHeight="1" thickBot="1">
      <c r="A2371" s="50"/>
      <c r="B2371" s="257"/>
      <c r="C2371" s="258"/>
      <c r="D2371" s="258"/>
      <c r="E2371" s="258"/>
      <c r="F2371" s="259"/>
      <c r="G2371" s="43"/>
      <c r="H2371" s="43"/>
      <c r="I2371" s="43"/>
      <c r="J2371" s="43"/>
    </row>
    <row r="2372" spans="1:10">
      <c r="A2372" s="43"/>
      <c r="B2372" s="43"/>
      <c r="C2372" s="43"/>
      <c r="D2372" s="43"/>
      <c r="E2372" s="43"/>
      <c r="F2372" s="43"/>
      <c r="G2372" s="43"/>
      <c r="H2372" s="43"/>
      <c r="I2372" s="43"/>
      <c r="J2372" s="43"/>
    </row>
    <row r="2373" spans="1:10">
      <c r="A2373" s="43"/>
      <c r="B2373" s="43"/>
      <c r="C2373" s="43"/>
      <c r="D2373" s="43"/>
      <c r="E2373" s="43"/>
      <c r="F2373" s="43"/>
      <c r="G2373" s="43"/>
      <c r="H2373" s="43"/>
      <c r="I2373" s="43"/>
      <c r="J2373" s="43"/>
    </row>
    <row r="2374" spans="1:10">
      <c r="A2374" s="43"/>
      <c r="B2374" s="43"/>
      <c r="C2374" s="43"/>
      <c r="D2374" s="43"/>
      <c r="E2374" s="43"/>
      <c r="F2374" s="43"/>
      <c r="G2374" s="43"/>
      <c r="H2374" s="43"/>
      <c r="I2374" s="43"/>
      <c r="J2374" s="43"/>
    </row>
    <row r="2375" spans="1:10">
      <c r="A2375" s="43"/>
      <c r="B2375" s="43"/>
      <c r="C2375" s="43"/>
      <c r="D2375" s="43"/>
      <c r="E2375" s="43"/>
      <c r="F2375" s="43"/>
      <c r="G2375" s="43"/>
      <c r="H2375" s="43"/>
      <c r="I2375" s="43"/>
      <c r="J2375" s="43"/>
    </row>
    <row r="2376" spans="1:10">
      <c r="A2376" s="43"/>
      <c r="B2376" s="43"/>
      <c r="C2376" s="43"/>
      <c r="D2376" s="43"/>
      <c r="E2376" s="43"/>
      <c r="F2376" s="43"/>
      <c r="G2376" s="43"/>
      <c r="H2376" s="43"/>
      <c r="I2376" s="43"/>
      <c r="J2376" s="43"/>
    </row>
    <row r="2377" spans="1:10" ht="25.5" customHeight="1">
      <c r="A2377" s="47"/>
      <c r="B2377" s="47"/>
      <c r="C2377" s="47"/>
      <c r="D2377" s="47"/>
      <c r="E2377" s="47"/>
      <c r="F2377" s="43"/>
      <c r="G2377" s="51"/>
      <c r="H2377" s="250" t="s">
        <v>1227</v>
      </c>
      <c r="I2377" s="251"/>
      <c r="J2377" s="43"/>
    </row>
    <row r="2378" spans="1:10">
      <c r="A2378" s="43" t="s">
        <v>1226</v>
      </c>
      <c r="B2378" s="43"/>
      <c r="C2378" s="43"/>
      <c r="D2378" s="43"/>
      <c r="E2378" s="43"/>
      <c r="F2378" s="43"/>
      <c r="G2378" s="43"/>
      <c r="H2378" s="43"/>
      <c r="I2378" s="43"/>
      <c r="J2378" s="43"/>
    </row>
    <row r="2379" spans="1:10">
      <c r="A2379" s="43"/>
      <c r="B2379" s="43"/>
      <c r="C2379" s="43"/>
      <c r="D2379" s="43"/>
      <c r="E2379" s="43"/>
      <c r="F2379" s="43"/>
      <c r="G2379" s="43"/>
      <c r="H2379" s="43"/>
      <c r="I2379" s="43"/>
      <c r="J2379" s="43"/>
    </row>
    <row r="2380" spans="1:10">
      <c r="A2380" s="43"/>
      <c r="B2380" s="43"/>
      <c r="C2380" s="43"/>
      <c r="D2380" s="43"/>
      <c r="E2380" s="256" t="str">
        <f>CONCATENATE("(",$D2351," vs ",$I2351,")")</f>
        <v>(C vs E)</v>
      </c>
      <c r="F2380" s="256"/>
      <c r="G2380" s="43"/>
      <c r="H2380" s="43"/>
      <c r="I2380" s="43"/>
      <c r="J2380" s="43"/>
    </row>
    <row r="2381" spans="1:10" ht="15.75">
      <c r="A2381" s="42" t="s">
        <v>1223</v>
      </c>
      <c r="B2381" s="43"/>
      <c r="C2381" s="43"/>
      <c r="D2381" s="43"/>
      <c r="E2381" s="43"/>
      <c r="F2381" s="43"/>
      <c r="G2381" s="43"/>
      <c r="H2381" s="43"/>
      <c r="I2381" s="43"/>
      <c r="J2381" s="96" t="s">
        <v>4289</v>
      </c>
    </row>
    <row r="2382" spans="1:10" ht="12.75" customHeight="1">
      <c r="A2382" s="42"/>
      <c r="B2382" s="43"/>
      <c r="C2382" s="43"/>
      <c r="D2382" s="43"/>
      <c r="E2382" s="43"/>
      <c r="F2382" s="43"/>
      <c r="G2382" s="43" t="str">
        <f ca="1">Team_Matches!$J$6</f>
        <v>[NCTTA Teams Template (v2.06).xlsx]</v>
      </c>
      <c r="H2382" s="43"/>
      <c r="I2382" s="43"/>
      <c r="J2382" s="160"/>
    </row>
    <row r="2383" spans="1:10" ht="12.75" customHeight="1">
      <c r="A2383" s="42"/>
      <c r="B2383" s="43"/>
      <c r="C2383" s="43"/>
      <c r="D2383" s="43"/>
      <c r="E2383" s="43"/>
      <c r="F2383" s="43"/>
      <c r="G2383" s="247" t="str">
        <f>Team_Matches!$J1792</f>
        <v/>
      </c>
      <c r="H2383" s="247"/>
      <c r="I2383" s="161" t="str">
        <f>Team_Matches!$M1792</f>
        <v/>
      </c>
      <c r="J2383" s="161"/>
    </row>
    <row r="2384" spans="1:10" ht="15.75">
      <c r="A2384" s="42"/>
      <c r="B2384" s="43"/>
      <c r="C2384" s="43"/>
      <c r="D2384" s="43"/>
      <c r="E2384" s="43"/>
      <c r="F2384" s="43"/>
      <c r="G2384" s="43"/>
      <c r="H2384" s="43"/>
      <c r="I2384" s="43"/>
      <c r="J2384" s="43"/>
    </row>
    <row r="2385" spans="1:10">
      <c r="A2385" s="43"/>
      <c r="B2385" s="43"/>
      <c r="C2385" s="9" t="s">
        <v>1228</v>
      </c>
      <c r="D2385" s="52" t="str">
        <f>Team_Matches!$B1794</f>
        <v>C</v>
      </c>
      <c r="E2385" s="43"/>
      <c r="F2385" s="97" t="str">
        <f>CONCATENATE($D2385,"-",$I2385)</f>
        <v>C-F</v>
      </c>
      <c r="G2385" s="43"/>
      <c r="H2385" s="9" t="s">
        <v>1228</v>
      </c>
      <c r="I2385" s="52" t="str">
        <f>Team_Matches!$K1794</f>
        <v>F</v>
      </c>
      <c r="J2385" s="43"/>
    </row>
    <row r="2386" spans="1:10" ht="25.5" customHeight="1">
      <c r="A2386" s="44"/>
      <c r="B2386" s="248" t="str">
        <f>IF(VLOOKUP($D2385,Draw!$A$4:$B$27,2)&lt;&gt;0,VLOOKUP($D2385,Draw!$A$4:$B$27,2),"")</f>
        <v/>
      </c>
      <c r="C2386" s="248"/>
      <c r="D2386" s="248"/>
      <c r="E2386" s="249"/>
      <c r="F2386" s="45"/>
      <c r="G2386" s="252" t="str">
        <f>IF(VLOOKUP($I2385,Draw!$A$4:$B$27,2)&lt;&gt;0,VLOOKUP($I2385,Draw!$A$4:$B$27,2),"")</f>
        <v/>
      </c>
      <c r="H2386" s="252"/>
      <c r="I2386" s="252"/>
      <c r="J2386" s="253"/>
    </row>
    <row r="2387" spans="1:10" ht="25.5" customHeight="1"/>
    <row r="2388" spans="1:10" ht="25.5" customHeight="1"/>
    <row r="2389" spans="1:10" ht="24" customHeight="1">
      <c r="A2389" s="48" t="s">
        <v>1246</v>
      </c>
      <c r="B2389" s="43"/>
      <c r="C2389" s="43"/>
      <c r="D2389" s="43"/>
      <c r="E2389" s="43"/>
      <c r="F2389" s="43"/>
      <c r="G2389" s="43"/>
      <c r="H2389" s="43"/>
      <c r="I2389" s="43"/>
      <c r="J2389" s="43"/>
    </row>
    <row r="2390" spans="1:10" ht="24" customHeight="1">
      <c r="A2390" s="48"/>
      <c r="B2390" s="43"/>
      <c r="C2390" s="43"/>
      <c r="D2390" s="43"/>
      <c r="E2390" s="43"/>
      <c r="F2390" s="43"/>
      <c r="G2390" s="43"/>
      <c r="H2390" s="43"/>
      <c r="I2390" s="43"/>
      <c r="J2390" s="43"/>
    </row>
    <row r="2391" spans="1:10">
      <c r="A2391" s="49" t="s">
        <v>1224</v>
      </c>
      <c r="B2391" s="46"/>
      <c r="C2391" s="46"/>
      <c r="D2391" s="46"/>
      <c r="E2391" s="46"/>
      <c r="F2391" s="46"/>
      <c r="G2391" s="260" t="s">
        <v>10336</v>
      </c>
      <c r="H2391" s="260"/>
      <c r="I2391" s="260"/>
      <c r="J2391" s="260"/>
    </row>
    <row r="2392" spans="1:10" ht="24" customHeight="1">
      <c r="A2392" s="50" t="str">
        <f>CONCATENATE($D2385,"1")</f>
        <v>C1</v>
      </c>
      <c r="B2392" s="255" t="str">
        <f>IF(VLOOKUP($A2392,Players!$A$2:$C$132,3)&lt;&gt;0,VLOOKUP($A2392,Players!$A$2:$C$132,3),"")</f>
        <v/>
      </c>
      <c r="C2392" s="255"/>
      <c r="D2392" s="255"/>
      <c r="E2392" s="255"/>
      <c r="F2392" s="255"/>
      <c r="G2392" s="254" t="str">
        <f>IF(VLOOKUP($I2385&amp;RIGHT($A2392,1),Players!$A$2:$D$132,3)&lt;&gt;0,VLOOKUP($I2385&amp;RIGHT($A2392,1),Players!$A$2:$D$132,3),"")</f>
        <v/>
      </c>
      <c r="H2392" s="254"/>
      <c r="I2392" s="254"/>
      <c r="J2392" s="210" t="str">
        <f>IF(VLOOKUP($I2385&amp;RIGHT($A2392,1),Players!$A$2:$D$132,3)&lt;&gt;0,"("&amp;VLOOKUP($I2385&amp;RIGHT($A2392,1),Players!$A$2:$D$132,4)&amp;")","")</f>
        <v/>
      </c>
    </row>
    <row r="2393" spans="1:10" ht="25.5" customHeight="1">
      <c r="A2393" s="50" t="str">
        <f>CONCATENATE($D2385,"2")</f>
        <v>C2</v>
      </c>
      <c r="B2393" s="255" t="str">
        <f>IF(VLOOKUP($A2393,Players!$A$2:$C$132,3)&lt;&gt;0,VLOOKUP($A2393,Players!$A$2:$C$132,3),"")</f>
        <v/>
      </c>
      <c r="C2393" s="255"/>
      <c r="D2393" s="255"/>
      <c r="E2393" s="255"/>
      <c r="F2393" s="255"/>
      <c r="G2393" s="254" t="str">
        <f>IF(VLOOKUP($I2385&amp;RIGHT($A2393,1),Players!$A$2:$D$132,3)&lt;&gt;0,VLOOKUP($I2385&amp;RIGHT($A2393,1),Players!$A$2:$D$132,3),"")</f>
        <v/>
      </c>
      <c r="H2393" s="254"/>
      <c r="I2393" s="254"/>
      <c r="J2393" s="210" t="str">
        <f>IF(VLOOKUP($I2385&amp;RIGHT($A2393,1),Players!$A$2:$D$132,3)&lt;&gt;0,"("&amp;VLOOKUP($I2385&amp;RIGHT($A2393,1),Players!$A$2:$D$132,4)&amp;")","")</f>
        <v/>
      </c>
    </row>
    <row r="2394" spans="1:10" ht="25.5" customHeight="1">
      <c r="A2394" s="50" t="str">
        <f>CONCATENATE($D2385,"3")</f>
        <v>C3</v>
      </c>
      <c r="B2394" s="255" t="str">
        <f>IF(VLOOKUP($A2394,Players!$A$2:$C$132,3)&lt;&gt;0,VLOOKUP($A2394,Players!$A$2:$C$132,3),"")</f>
        <v/>
      </c>
      <c r="C2394" s="255"/>
      <c r="D2394" s="255"/>
      <c r="E2394" s="255"/>
      <c r="F2394" s="255"/>
      <c r="G2394" s="254" t="str">
        <f>IF(VLOOKUP($I2385&amp;RIGHT($A2394,1),Players!$A$2:$D$132,3)&lt;&gt;0,VLOOKUP($I2385&amp;RIGHT($A2394,1),Players!$A$2:$D$132,3),"")</f>
        <v/>
      </c>
      <c r="H2394" s="254"/>
      <c r="I2394" s="254"/>
      <c r="J2394" s="210" t="str">
        <f>IF(VLOOKUP($I2385&amp;RIGHT($A2394,1),Players!$A$2:$D$132,3)&lt;&gt;0,"("&amp;VLOOKUP($I2385&amp;RIGHT($A2394,1),Players!$A$2:$D$132,4)&amp;")","")</f>
        <v/>
      </c>
    </row>
    <row r="2395" spans="1:10" ht="25.5" customHeight="1">
      <c r="A2395" s="50" t="str">
        <f>CONCATENATE($D2385,"4")</f>
        <v>C4</v>
      </c>
      <c r="B2395" s="255" t="str">
        <f>IF(VLOOKUP($A2395,Players!$A$2:$C$132,3)&lt;&gt;0,VLOOKUP($A2395,Players!$A$2:$C$132,3),"")</f>
        <v/>
      </c>
      <c r="C2395" s="255"/>
      <c r="D2395" s="255"/>
      <c r="E2395" s="255"/>
      <c r="F2395" s="255"/>
      <c r="G2395" s="254" t="str">
        <f>IF(VLOOKUP($I2385&amp;RIGHT($A2395,1),Players!$A$2:$D$132,3)&lt;&gt;0,VLOOKUP($I2385&amp;RIGHT($A2395,1),Players!$A$2:$D$132,3),"")</f>
        <v/>
      </c>
      <c r="H2395" s="254"/>
      <c r="I2395" s="254"/>
      <c r="J2395" s="210" t="str">
        <f>IF(VLOOKUP($I2385&amp;RIGHT($A2395,1),Players!$A$2:$D$132,3)&lt;&gt;0,"("&amp;VLOOKUP($I2385&amp;RIGHT($A2395,1),Players!$A$2:$D$132,4)&amp;")","")</f>
        <v/>
      </c>
    </row>
    <row r="2396" spans="1:10" ht="25.5" customHeight="1">
      <c r="A2396" s="50" t="str">
        <f>CONCATENATE($D2385,"5")</f>
        <v>C5</v>
      </c>
      <c r="B2396" s="255" t="str">
        <f>IF(VLOOKUP($A2396,Players!$A$2:$C$132,3)&lt;&gt;0,VLOOKUP($A2396,Players!$A$2:$C$132,3),"")</f>
        <v/>
      </c>
      <c r="C2396" s="255"/>
      <c r="D2396" s="255"/>
      <c r="E2396" s="255"/>
      <c r="F2396" s="255"/>
      <c r="G2396" s="254" t="str">
        <f>IF(VLOOKUP($I2385&amp;RIGHT($A2396,1),Players!$A$2:$D$132,3)&lt;&gt;0,VLOOKUP($I2385&amp;RIGHT($A2396,1),Players!$A$2:$D$132,3),"")</f>
        <v/>
      </c>
      <c r="H2396" s="254"/>
      <c r="I2396" s="254"/>
      <c r="J2396" s="210" t="str">
        <f>IF(VLOOKUP($I2385&amp;RIGHT($A2396,1),Players!$A$2:$D$132,3)&lt;&gt;0,"("&amp;VLOOKUP($I2385&amp;RIGHT($A2396,1),Players!$A$2:$D$132,4)&amp;")","")</f>
        <v/>
      </c>
    </row>
    <row r="2397" spans="1:10" ht="25.5" customHeight="1">
      <c r="A2397" s="50" t="str">
        <f>CONCATENATE($D2385,"6")</f>
        <v>C6</v>
      </c>
      <c r="B2397" s="255" t="str">
        <f>IF(VLOOKUP($A2397,Players!$A$2:$C$132,3)&lt;&gt;0,VLOOKUP($A2397,Players!$A$2:$C$132,3),"")</f>
        <v/>
      </c>
      <c r="C2397" s="255"/>
      <c r="D2397" s="255"/>
      <c r="E2397" s="255"/>
      <c r="F2397" s="255"/>
      <c r="G2397" s="254" t="str">
        <f>IF(VLOOKUP($I2385&amp;RIGHT($A2397,1),Players!$A$2:$D$132,3)&lt;&gt;0,VLOOKUP($I2385&amp;RIGHT($A2397,1),Players!$A$2:$D$132,3),"")</f>
        <v/>
      </c>
      <c r="H2397" s="254"/>
      <c r="I2397" s="254"/>
      <c r="J2397" s="210" t="str">
        <f>IF(VLOOKUP($I2385&amp;RIGHT($A2397,1),Players!$A$2:$D$132,3)&lt;&gt;0,"("&amp;VLOOKUP($I2385&amp;RIGHT($A2397,1),Players!$A$2:$D$132,4)&amp;")","")</f>
        <v/>
      </c>
    </row>
    <row r="2398" spans="1:10" ht="25.5" customHeight="1">
      <c r="A2398" s="50" t="str">
        <f>CONCATENATE($D2385,"7")</f>
        <v>C7</v>
      </c>
      <c r="B2398" s="255" t="str">
        <f>IF(VLOOKUP($A2398,Players!$A$2:$C$132,3)&lt;&gt;0,VLOOKUP($A2398,Players!$A$2:$C$132,3),"")</f>
        <v/>
      </c>
      <c r="C2398" s="255"/>
      <c r="D2398" s="255"/>
      <c r="E2398" s="255"/>
      <c r="F2398" s="255"/>
      <c r="G2398" s="254" t="str">
        <f>IF(VLOOKUP($I2385&amp;RIGHT($A2398,1),Players!$A$2:$D$132,3)&lt;&gt;0,VLOOKUP($I2385&amp;RIGHT($A2398,1),Players!$A$2:$D$132,3),"")</f>
        <v/>
      </c>
      <c r="H2398" s="254"/>
      <c r="I2398" s="254"/>
      <c r="J2398" s="210" t="str">
        <f>IF(VLOOKUP($I2385&amp;RIGHT($A2398,1),Players!$A$2:$D$132,3)&lt;&gt;0,"("&amp;VLOOKUP($I2385&amp;RIGHT($A2398,1),Players!$A$2:$D$132,4)&amp;")","")</f>
        <v/>
      </c>
    </row>
    <row r="2399" spans="1:10" ht="25.5" customHeight="1">
      <c r="A2399" s="50" t="str">
        <f>CONCATENATE($D2385,"8")</f>
        <v>C8</v>
      </c>
      <c r="B2399" s="255" t="str">
        <f>IF(VLOOKUP($A2399,Players!$A$2:$C$132,3)&lt;&gt;0,VLOOKUP($A2399,Players!$A$2:$C$132,3),"")</f>
        <v/>
      </c>
      <c r="C2399" s="255"/>
      <c r="D2399" s="255"/>
      <c r="E2399" s="255"/>
      <c r="F2399" s="255"/>
      <c r="G2399" s="254" t="str">
        <f>IF(VLOOKUP($I2385&amp;RIGHT($A2399,1),Players!$A$2:$D$132,3)&lt;&gt;0,VLOOKUP($I2385&amp;RIGHT($A2399,1),Players!$A$2:$D$132,3),"")</f>
        <v/>
      </c>
      <c r="H2399" s="254"/>
      <c r="I2399" s="254"/>
      <c r="J2399" s="210" t="str">
        <f>IF(VLOOKUP($I2385&amp;RIGHT($A2399,1),Players!$A$2:$D$132,3)&lt;&gt;0,"("&amp;VLOOKUP($I2385&amp;RIGHT($A2399,1),Players!$A$2:$D$132,4)&amp;")","")</f>
        <v/>
      </c>
    </row>
    <row r="2400" spans="1:10" ht="25.5" customHeight="1">
      <c r="A2400" s="50"/>
      <c r="B2400" s="26"/>
      <c r="C2400" s="26"/>
      <c r="D2400" s="26"/>
      <c r="E2400" s="26"/>
      <c r="F2400" s="27"/>
      <c r="G2400" s="43"/>
      <c r="H2400" s="43"/>
      <c r="I2400" s="43"/>
      <c r="J2400" s="43"/>
    </row>
    <row r="2401" spans="1:10">
      <c r="A2401" s="49" t="s">
        <v>1225</v>
      </c>
      <c r="B2401" s="46"/>
      <c r="C2401" s="46"/>
      <c r="D2401" s="46"/>
      <c r="E2401" s="46"/>
      <c r="F2401" s="46"/>
      <c r="G2401" s="43"/>
      <c r="H2401" s="43"/>
      <c r="I2401" s="43"/>
      <c r="J2401" s="43"/>
    </row>
    <row r="2402" spans="1:10">
      <c r="A2402" s="46" t="s">
        <v>1247</v>
      </c>
      <c r="B2402" s="46"/>
      <c r="C2402" s="46"/>
      <c r="D2402" s="46"/>
      <c r="E2402" s="46"/>
      <c r="F2402" s="46"/>
      <c r="G2402" s="43"/>
      <c r="H2402" s="43"/>
      <c r="I2402" s="43"/>
      <c r="J2402" s="43"/>
    </row>
    <row r="2403" spans="1:10">
      <c r="A2403" s="46" t="s">
        <v>1248</v>
      </c>
      <c r="B2403" s="46"/>
      <c r="C2403" s="46"/>
      <c r="D2403" s="46"/>
      <c r="E2403" s="46"/>
      <c r="F2403" s="46"/>
      <c r="G2403" s="43"/>
      <c r="H2403" s="43"/>
      <c r="I2403" s="43"/>
      <c r="J2403" s="43"/>
    </row>
    <row r="2404" spans="1:10" ht="13.5" thickBot="1">
      <c r="A2404" s="46"/>
      <c r="B2404" s="46"/>
      <c r="C2404" s="46"/>
      <c r="D2404" s="46"/>
      <c r="E2404" s="46"/>
      <c r="F2404" s="46"/>
      <c r="G2404" s="43"/>
      <c r="H2404" s="43"/>
      <c r="I2404" s="43"/>
      <c r="J2404" s="43"/>
    </row>
    <row r="2405" spans="1:10" ht="25.5" customHeight="1" thickBot="1">
      <c r="A2405" s="50"/>
      <c r="B2405" s="257"/>
      <c r="C2405" s="258"/>
      <c r="D2405" s="258"/>
      <c r="E2405" s="258"/>
      <c r="F2405" s="259"/>
      <c r="G2405" s="43"/>
      <c r="H2405" s="43"/>
      <c r="I2405" s="43"/>
      <c r="J2405" s="43"/>
    </row>
    <row r="2406" spans="1:10">
      <c r="A2406" s="43"/>
      <c r="B2406" s="43"/>
      <c r="C2406" s="43"/>
      <c r="D2406" s="43"/>
      <c r="E2406" s="43"/>
      <c r="F2406" s="43"/>
      <c r="G2406" s="43"/>
      <c r="H2406" s="43"/>
      <c r="I2406" s="43"/>
      <c r="J2406" s="43"/>
    </row>
    <row r="2407" spans="1:10">
      <c r="A2407" s="43"/>
      <c r="B2407" s="43"/>
      <c r="C2407" s="43"/>
      <c r="D2407" s="43"/>
      <c r="E2407" s="43"/>
      <c r="F2407" s="43"/>
      <c r="G2407" s="43"/>
      <c r="H2407" s="43"/>
      <c r="I2407" s="43"/>
      <c r="J2407" s="43"/>
    </row>
    <row r="2408" spans="1:10">
      <c r="A2408" s="43"/>
      <c r="B2408" s="43"/>
      <c r="C2408" s="43"/>
      <c r="D2408" s="43"/>
      <c r="E2408" s="43"/>
      <c r="F2408" s="43"/>
      <c r="G2408" s="43"/>
      <c r="H2408" s="43"/>
      <c r="I2408" s="43"/>
      <c r="J2408" s="43"/>
    </row>
    <row r="2409" spans="1:10">
      <c r="A2409" s="43"/>
      <c r="B2409" s="43"/>
      <c r="C2409" s="43"/>
      <c r="D2409" s="43"/>
      <c r="E2409" s="43"/>
      <c r="F2409" s="43"/>
      <c r="G2409" s="43"/>
      <c r="H2409" s="43"/>
      <c r="I2409" s="43"/>
      <c r="J2409" s="43"/>
    </row>
    <row r="2410" spans="1:10">
      <c r="A2410" s="43"/>
      <c r="B2410" s="43"/>
      <c r="C2410" s="43"/>
      <c r="D2410" s="43"/>
      <c r="E2410" s="43"/>
      <c r="F2410" s="43"/>
      <c r="G2410" s="43"/>
      <c r="H2410" s="43"/>
      <c r="I2410" s="43"/>
      <c r="J2410" s="43"/>
    </row>
    <row r="2411" spans="1:10" ht="25.5" customHeight="1">
      <c r="A2411" s="47"/>
      <c r="B2411" s="47"/>
      <c r="C2411" s="47"/>
      <c r="D2411" s="47"/>
      <c r="E2411" s="47"/>
      <c r="F2411" s="43"/>
      <c r="G2411" s="51"/>
      <c r="H2411" s="250" t="s">
        <v>1227</v>
      </c>
      <c r="I2411" s="251"/>
      <c r="J2411" s="43"/>
    </row>
    <row r="2412" spans="1:10">
      <c r="A2412" s="43" t="s">
        <v>1226</v>
      </c>
      <c r="B2412" s="43"/>
      <c r="C2412" s="43"/>
      <c r="D2412" s="43"/>
      <c r="E2412" s="43"/>
      <c r="F2412" s="43"/>
      <c r="G2412" s="43"/>
      <c r="H2412" s="43"/>
      <c r="I2412" s="43"/>
      <c r="J2412" s="43"/>
    </row>
    <row r="2413" spans="1:10">
      <c r="A2413" s="43"/>
      <c r="B2413" s="43"/>
      <c r="C2413" s="43"/>
      <c r="D2413" s="43"/>
      <c r="E2413" s="43"/>
      <c r="F2413" s="43"/>
      <c r="G2413" s="43"/>
      <c r="H2413" s="43"/>
      <c r="I2413" s="43"/>
      <c r="J2413" s="43"/>
    </row>
    <row r="2414" spans="1:10">
      <c r="A2414" s="43"/>
      <c r="B2414" s="43"/>
      <c r="C2414" s="43"/>
      <c r="D2414" s="43"/>
      <c r="E2414" s="256" t="str">
        <f>CONCATENATE("(",$D2385," vs ",$I2385,")")</f>
        <v>(C vs F)</v>
      </c>
      <c r="F2414" s="256"/>
      <c r="G2414" s="43"/>
      <c r="H2414" s="43"/>
      <c r="I2414" s="43"/>
      <c r="J2414" s="43"/>
    </row>
    <row r="2415" spans="1:10" ht="15.75">
      <c r="A2415" s="42" t="s">
        <v>1223</v>
      </c>
      <c r="B2415" s="43"/>
      <c r="C2415" s="43"/>
      <c r="D2415" s="43"/>
      <c r="E2415" s="43"/>
      <c r="F2415" s="43"/>
      <c r="G2415" s="43"/>
      <c r="H2415" s="43"/>
      <c r="I2415" s="43"/>
      <c r="J2415" s="96" t="s">
        <v>4290</v>
      </c>
    </row>
    <row r="2416" spans="1:10" ht="12.75" customHeight="1">
      <c r="A2416" s="42"/>
      <c r="B2416" s="43"/>
      <c r="C2416" s="43"/>
      <c r="D2416" s="43"/>
      <c r="E2416" s="43"/>
      <c r="F2416" s="43"/>
      <c r="G2416" s="43" t="str">
        <f ca="1">Team_Matches!$J$6</f>
        <v>[NCTTA Teams Template (v2.06).xlsx]</v>
      </c>
      <c r="H2416" s="43"/>
      <c r="I2416" s="43"/>
      <c r="J2416" s="160"/>
    </row>
    <row r="2417" spans="1:10" ht="12.75" customHeight="1">
      <c r="A2417" s="42"/>
      <c r="B2417" s="43"/>
      <c r="C2417" s="43"/>
      <c r="D2417" s="43"/>
      <c r="E2417" s="43"/>
      <c r="F2417" s="43"/>
      <c r="G2417" s="247" t="str">
        <f>Team_Matches!$J1792</f>
        <v/>
      </c>
      <c r="H2417" s="247"/>
      <c r="I2417" s="161" t="str">
        <f>Team_Matches!$M1792</f>
        <v/>
      </c>
      <c r="J2417" s="161"/>
    </row>
    <row r="2418" spans="1:10" ht="15.75">
      <c r="A2418" s="42"/>
      <c r="B2418" s="43"/>
      <c r="C2418" s="43"/>
      <c r="D2418" s="43"/>
      <c r="E2418" s="43"/>
      <c r="F2418" s="43"/>
      <c r="G2418" s="43"/>
      <c r="H2418" s="43"/>
      <c r="I2418" s="43"/>
      <c r="J2418" s="43"/>
    </row>
    <row r="2419" spans="1:10">
      <c r="A2419" s="43"/>
      <c r="B2419" s="43"/>
      <c r="C2419" s="9" t="s">
        <v>1228</v>
      </c>
      <c r="D2419" s="52" t="str">
        <f>Team_Matches!$B1794</f>
        <v>C</v>
      </c>
      <c r="E2419" s="43"/>
      <c r="F2419" s="97" t="str">
        <f>CONCATENATE($D2419,"-",$I2419)</f>
        <v>C-F</v>
      </c>
      <c r="G2419" s="43"/>
      <c r="H2419" s="9" t="s">
        <v>1228</v>
      </c>
      <c r="I2419" s="52" t="str">
        <f>Team_Matches!$K1794</f>
        <v>F</v>
      </c>
      <c r="J2419" s="43"/>
    </row>
    <row r="2420" spans="1:10" ht="25.5" customHeight="1">
      <c r="A2420" s="44"/>
      <c r="B2420" s="252" t="str">
        <f>IF(VLOOKUP($D2419,Draw!$A$4:$B$27,2)&lt;&gt;0,VLOOKUP($D2419,Draw!$A$4:$B$27,2),"")</f>
        <v/>
      </c>
      <c r="C2420" s="252"/>
      <c r="D2420" s="252"/>
      <c r="E2420" s="253"/>
      <c r="F2420" s="45"/>
      <c r="G2420" s="248" t="str">
        <f>IF(VLOOKUP($I2419,Draw!$A$4:$B$27,2)&lt;&gt;0,VLOOKUP($I2419,Draw!$A$4:$B$27,2),"")</f>
        <v/>
      </c>
      <c r="H2420" s="248"/>
      <c r="I2420" s="248"/>
      <c r="J2420" s="249"/>
    </row>
    <row r="2421" spans="1:10" ht="25.5" customHeight="1"/>
    <row r="2422" spans="1:10" ht="25.5" customHeight="1"/>
    <row r="2423" spans="1:10" ht="24" customHeight="1">
      <c r="A2423" s="48" t="s">
        <v>1246</v>
      </c>
      <c r="B2423" s="43"/>
      <c r="C2423" s="43"/>
      <c r="D2423" s="43"/>
      <c r="E2423" s="43"/>
      <c r="F2423" s="43"/>
      <c r="G2423" s="43"/>
      <c r="H2423" s="43"/>
      <c r="I2423" s="43"/>
      <c r="J2423" s="43"/>
    </row>
    <row r="2424" spans="1:10" ht="24" customHeight="1">
      <c r="A2424" s="48"/>
      <c r="B2424" s="43"/>
      <c r="C2424" s="43"/>
      <c r="D2424" s="43"/>
      <c r="E2424" s="43"/>
      <c r="F2424" s="43"/>
      <c r="G2424" s="43"/>
      <c r="H2424" s="43"/>
      <c r="I2424" s="43"/>
      <c r="J2424" s="43"/>
    </row>
    <row r="2425" spans="1:10">
      <c r="A2425" s="49" t="s">
        <v>1224</v>
      </c>
      <c r="B2425" s="46"/>
      <c r="C2425" s="46"/>
      <c r="D2425" s="46"/>
      <c r="E2425" s="46"/>
      <c r="F2425" s="46"/>
      <c r="G2425" s="260" t="s">
        <v>10336</v>
      </c>
      <c r="H2425" s="260"/>
      <c r="I2425" s="260"/>
      <c r="J2425" s="260"/>
    </row>
    <row r="2426" spans="1:10" ht="24" customHeight="1">
      <c r="A2426" s="50" t="str">
        <f>CONCATENATE($I2419,"1")</f>
        <v>F1</v>
      </c>
      <c r="B2426" s="255" t="str">
        <f>IF(VLOOKUP($A2426,Players!$A$2:$C$132,3)&lt;&gt;0,VLOOKUP($A2426,Players!$A$2:$C$132,3),"")</f>
        <v/>
      </c>
      <c r="C2426" s="255"/>
      <c r="D2426" s="255"/>
      <c r="E2426" s="255"/>
      <c r="F2426" s="255"/>
      <c r="G2426" s="254" t="str">
        <f>IF(VLOOKUP($D2419&amp;RIGHT($A2426,1),Players!$A$2:$D$132,3)&lt;&gt;0,VLOOKUP($D2419&amp;RIGHT($A2426,1),Players!$A$2:$D$132,3),"")</f>
        <v/>
      </c>
      <c r="H2426" s="254"/>
      <c r="I2426" s="254"/>
      <c r="J2426" s="210" t="str">
        <f>IF(VLOOKUP($D2419&amp;RIGHT($A2426,1),Players!$A$2:$D$132,3)&lt;&gt;0,"("&amp;VLOOKUP($D2419&amp;RIGHT($A2426,1),Players!$A$2:$D$132,4)&amp;")","")</f>
        <v/>
      </c>
    </row>
    <row r="2427" spans="1:10" ht="25.5" customHeight="1">
      <c r="A2427" s="50" t="str">
        <f>CONCATENATE($I2419,"2")</f>
        <v>F2</v>
      </c>
      <c r="B2427" s="255" t="str">
        <f>IF(VLOOKUP($A2427,Players!$A$2:$C$132,3)&lt;&gt;0,VLOOKUP($A2427,Players!$A$2:$C$132,3),"")</f>
        <v/>
      </c>
      <c r="C2427" s="255"/>
      <c r="D2427" s="255"/>
      <c r="E2427" s="255"/>
      <c r="F2427" s="255"/>
      <c r="G2427" s="254" t="str">
        <f>IF(VLOOKUP($D2419&amp;RIGHT($A2427,1),Players!$A$2:$D$132,3)&lt;&gt;0,VLOOKUP($D2419&amp;RIGHT($A2427,1),Players!$A$2:$D$132,3),"")</f>
        <v/>
      </c>
      <c r="H2427" s="254"/>
      <c r="I2427" s="254"/>
      <c r="J2427" s="210" t="str">
        <f>IF(VLOOKUP($D2419&amp;RIGHT($A2427,1),Players!$A$2:$D$132,3)&lt;&gt;0,"("&amp;VLOOKUP($D2419&amp;RIGHT($A2427,1),Players!$A$2:$D$132,4)&amp;")","")</f>
        <v/>
      </c>
    </row>
    <row r="2428" spans="1:10" ht="25.5" customHeight="1">
      <c r="A2428" s="50" t="str">
        <f>CONCATENATE($I2419,"3")</f>
        <v>F3</v>
      </c>
      <c r="B2428" s="255" t="str">
        <f>IF(VLOOKUP($A2428,Players!$A$2:$C$132,3)&lt;&gt;0,VLOOKUP($A2428,Players!$A$2:$C$132,3),"")</f>
        <v/>
      </c>
      <c r="C2428" s="255"/>
      <c r="D2428" s="255"/>
      <c r="E2428" s="255"/>
      <c r="F2428" s="255"/>
      <c r="G2428" s="254" t="str">
        <f>IF(VLOOKUP($D2419&amp;RIGHT($A2428,1),Players!$A$2:$D$132,3)&lt;&gt;0,VLOOKUP($D2419&amp;RIGHT($A2428,1),Players!$A$2:$D$132,3),"")</f>
        <v/>
      </c>
      <c r="H2428" s="254"/>
      <c r="I2428" s="254"/>
      <c r="J2428" s="210" t="str">
        <f>IF(VLOOKUP($D2419&amp;RIGHT($A2428,1),Players!$A$2:$D$132,3)&lt;&gt;0,"("&amp;VLOOKUP($D2419&amp;RIGHT($A2428,1),Players!$A$2:$D$132,4)&amp;")","")</f>
        <v/>
      </c>
    </row>
    <row r="2429" spans="1:10" ht="25.5" customHeight="1">
      <c r="A2429" s="50" t="str">
        <f>CONCATENATE($I2419,"4")</f>
        <v>F4</v>
      </c>
      <c r="B2429" s="255" t="str">
        <f>IF(VLOOKUP($A2429,Players!$A$2:$C$132,3)&lt;&gt;0,VLOOKUP($A2429,Players!$A$2:$C$132,3),"")</f>
        <v/>
      </c>
      <c r="C2429" s="255"/>
      <c r="D2429" s="255"/>
      <c r="E2429" s="255"/>
      <c r="F2429" s="255"/>
      <c r="G2429" s="254" t="str">
        <f>IF(VLOOKUP($D2419&amp;RIGHT($A2429,1),Players!$A$2:$D$132,3)&lt;&gt;0,VLOOKUP($D2419&amp;RIGHT($A2429,1),Players!$A$2:$D$132,3),"")</f>
        <v/>
      </c>
      <c r="H2429" s="254"/>
      <c r="I2429" s="254"/>
      <c r="J2429" s="210" t="str">
        <f>IF(VLOOKUP($D2419&amp;RIGHT($A2429,1),Players!$A$2:$D$132,3)&lt;&gt;0,"("&amp;VLOOKUP($D2419&amp;RIGHT($A2429,1),Players!$A$2:$D$132,4)&amp;")","")</f>
        <v/>
      </c>
    </row>
    <row r="2430" spans="1:10" ht="25.5" customHeight="1">
      <c r="A2430" s="50" t="str">
        <f>CONCATENATE($I2419,"5")</f>
        <v>F5</v>
      </c>
      <c r="B2430" s="255" t="str">
        <f>IF(VLOOKUP($A2430,Players!$A$2:$C$132,3)&lt;&gt;0,VLOOKUP($A2430,Players!$A$2:$C$132,3),"")</f>
        <v/>
      </c>
      <c r="C2430" s="255"/>
      <c r="D2430" s="255"/>
      <c r="E2430" s="255"/>
      <c r="F2430" s="255"/>
      <c r="G2430" s="254" t="str">
        <f>IF(VLOOKUP($D2419&amp;RIGHT($A2430,1),Players!$A$2:$D$132,3)&lt;&gt;0,VLOOKUP($D2419&amp;RIGHT($A2430,1),Players!$A$2:$D$132,3),"")</f>
        <v/>
      </c>
      <c r="H2430" s="254"/>
      <c r="I2430" s="254"/>
      <c r="J2430" s="210" t="str">
        <f>IF(VLOOKUP($D2419&amp;RIGHT($A2430,1),Players!$A$2:$D$132,3)&lt;&gt;0,"("&amp;VLOOKUP($D2419&amp;RIGHT($A2430,1),Players!$A$2:$D$132,4)&amp;")","")</f>
        <v/>
      </c>
    </row>
    <row r="2431" spans="1:10" ht="25.5" customHeight="1">
      <c r="A2431" s="50" t="str">
        <f>CONCATENATE($I2419,"6")</f>
        <v>F6</v>
      </c>
      <c r="B2431" s="255" t="str">
        <f>IF(VLOOKUP($A2431,Players!$A$2:$C$132,3)&lt;&gt;0,VLOOKUP($A2431,Players!$A$2:$C$132,3),"")</f>
        <v/>
      </c>
      <c r="C2431" s="255"/>
      <c r="D2431" s="255"/>
      <c r="E2431" s="255"/>
      <c r="F2431" s="255"/>
      <c r="G2431" s="254" t="str">
        <f>IF(VLOOKUP($D2419&amp;RIGHT($A2431,1),Players!$A$2:$D$132,3)&lt;&gt;0,VLOOKUP($D2419&amp;RIGHT($A2431,1),Players!$A$2:$D$132,3),"")</f>
        <v/>
      </c>
      <c r="H2431" s="254"/>
      <c r="I2431" s="254"/>
      <c r="J2431" s="210" t="str">
        <f>IF(VLOOKUP($D2419&amp;RIGHT($A2431,1),Players!$A$2:$D$132,3)&lt;&gt;0,"("&amp;VLOOKUP($D2419&amp;RIGHT($A2431,1),Players!$A$2:$D$132,4)&amp;")","")</f>
        <v/>
      </c>
    </row>
    <row r="2432" spans="1:10" ht="25.5" customHeight="1">
      <c r="A2432" s="50" t="str">
        <f>CONCATENATE($I2419,"7")</f>
        <v>F7</v>
      </c>
      <c r="B2432" s="255" t="str">
        <f>IF(VLOOKUP($A2432,Players!$A$2:$C$132,3)&lt;&gt;0,VLOOKUP($A2432,Players!$A$2:$C$132,3),"")</f>
        <v/>
      </c>
      <c r="C2432" s="255"/>
      <c r="D2432" s="255"/>
      <c r="E2432" s="255"/>
      <c r="F2432" s="255"/>
      <c r="G2432" s="254" t="str">
        <f>IF(VLOOKUP($D2419&amp;RIGHT($A2432,1),Players!$A$2:$D$132,3)&lt;&gt;0,VLOOKUP($D2419&amp;RIGHT($A2432,1),Players!$A$2:$D$132,3),"")</f>
        <v/>
      </c>
      <c r="H2432" s="254"/>
      <c r="I2432" s="254"/>
      <c r="J2432" s="210" t="str">
        <f>IF(VLOOKUP($D2419&amp;RIGHT($A2432,1),Players!$A$2:$D$132,3)&lt;&gt;0,"("&amp;VLOOKUP($D2419&amp;RIGHT($A2432,1),Players!$A$2:$D$132,4)&amp;")","")</f>
        <v/>
      </c>
    </row>
    <row r="2433" spans="1:10" ht="25.5" customHeight="1">
      <c r="A2433" s="50" t="str">
        <f>CONCATENATE($I2419,"8")</f>
        <v>F8</v>
      </c>
      <c r="B2433" s="255" t="str">
        <f>IF(VLOOKUP($A2433,Players!$A$2:$C$132,3)&lt;&gt;0,VLOOKUP($A2433,Players!$A$2:$C$132,3),"")</f>
        <v/>
      </c>
      <c r="C2433" s="255"/>
      <c r="D2433" s="255"/>
      <c r="E2433" s="255"/>
      <c r="F2433" s="255"/>
      <c r="G2433" s="254" t="str">
        <f>IF(VLOOKUP($D2419&amp;RIGHT($A2433,1),Players!$A$2:$D$132,3)&lt;&gt;0,VLOOKUP($D2419&amp;RIGHT($A2433,1),Players!$A$2:$D$132,3),"")</f>
        <v/>
      </c>
      <c r="H2433" s="254"/>
      <c r="I2433" s="254"/>
      <c r="J2433" s="210" t="str">
        <f>IF(VLOOKUP($D2419&amp;RIGHT($A2433,1),Players!$A$2:$D$132,3)&lt;&gt;0,"("&amp;VLOOKUP($D2419&amp;RIGHT($A2433,1),Players!$A$2:$D$132,4)&amp;")","")</f>
        <v/>
      </c>
    </row>
    <row r="2434" spans="1:10" ht="25.5" customHeight="1">
      <c r="A2434" s="50"/>
      <c r="B2434" s="26"/>
      <c r="C2434" s="26"/>
      <c r="D2434" s="26"/>
      <c r="E2434" s="26"/>
      <c r="F2434" s="27"/>
      <c r="G2434" s="43"/>
      <c r="H2434" s="43"/>
      <c r="I2434" s="43"/>
      <c r="J2434" s="43"/>
    </row>
    <row r="2435" spans="1:10">
      <c r="A2435" s="49" t="s">
        <v>1225</v>
      </c>
      <c r="B2435" s="46"/>
      <c r="C2435" s="46"/>
      <c r="D2435" s="46"/>
      <c r="E2435" s="46"/>
      <c r="F2435" s="46"/>
      <c r="G2435" s="43"/>
      <c r="H2435" s="43"/>
      <c r="I2435" s="43"/>
      <c r="J2435" s="43"/>
    </row>
    <row r="2436" spans="1:10">
      <c r="A2436" s="46" t="s">
        <v>1247</v>
      </c>
      <c r="B2436" s="46"/>
      <c r="C2436" s="46"/>
      <c r="D2436" s="46"/>
      <c r="E2436" s="46"/>
      <c r="F2436" s="46"/>
      <c r="G2436" s="43"/>
      <c r="H2436" s="43"/>
      <c r="I2436" s="43"/>
      <c r="J2436" s="43"/>
    </row>
    <row r="2437" spans="1:10">
      <c r="A2437" s="46" t="s">
        <v>1248</v>
      </c>
      <c r="B2437" s="46"/>
      <c r="C2437" s="46"/>
      <c r="D2437" s="46"/>
      <c r="E2437" s="46"/>
      <c r="F2437" s="46"/>
      <c r="G2437" s="43"/>
      <c r="H2437" s="43"/>
      <c r="I2437" s="43"/>
      <c r="J2437" s="43"/>
    </row>
    <row r="2438" spans="1:10" ht="13.5" thickBot="1">
      <c r="A2438" s="46"/>
      <c r="B2438" s="46"/>
      <c r="C2438" s="46"/>
      <c r="D2438" s="46"/>
      <c r="E2438" s="46"/>
      <c r="F2438" s="46"/>
      <c r="G2438" s="43"/>
      <c r="H2438" s="43"/>
      <c r="I2438" s="43"/>
      <c r="J2438" s="43"/>
    </row>
    <row r="2439" spans="1:10" ht="25.5" customHeight="1" thickBot="1">
      <c r="A2439" s="50"/>
      <c r="B2439" s="257"/>
      <c r="C2439" s="258"/>
      <c r="D2439" s="258"/>
      <c r="E2439" s="258"/>
      <c r="F2439" s="259"/>
      <c r="G2439" s="43"/>
      <c r="H2439" s="43"/>
      <c r="I2439" s="43"/>
      <c r="J2439" s="43"/>
    </row>
    <row r="2440" spans="1:10">
      <c r="A2440" s="43"/>
      <c r="B2440" s="43"/>
      <c r="C2440" s="43"/>
      <c r="D2440" s="43"/>
      <c r="E2440" s="43"/>
      <c r="F2440" s="43"/>
      <c r="G2440" s="43"/>
      <c r="H2440" s="43"/>
      <c r="I2440" s="43"/>
      <c r="J2440" s="43"/>
    </row>
    <row r="2441" spans="1:10">
      <c r="A2441" s="43"/>
      <c r="B2441" s="43"/>
      <c r="C2441" s="43"/>
      <c r="D2441" s="43"/>
      <c r="E2441" s="43"/>
      <c r="F2441" s="43"/>
      <c r="G2441" s="43"/>
      <c r="H2441" s="43"/>
      <c r="I2441" s="43"/>
      <c r="J2441" s="43"/>
    </row>
    <row r="2442" spans="1:10">
      <c r="A2442" s="43"/>
      <c r="B2442" s="43"/>
      <c r="C2442" s="43"/>
      <c r="D2442" s="43"/>
      <c r="E2442" s="43"/>
      <c r="F2442" s="43"/>
      <c r="G2442" s="43"/>
      <c r="H2442" s="43"/>
      <c r="I2442" s="43"/>
      <c r="J2442" s="43"/>
    </row>
    <row r="2443" spans="1:10">
      <c r="A2443" s="43"/>
      <c r="B2443" s="43"/>
      <c r="C2443" s="43"/>
      <c r="D2443" s="43"/>
      <c r="E2443" s="43"/>
      <c r="F2443" s="43"/>
      <c r="G2443" s="43"/>
      <c r="H2443" s="43"/>
      <c r="I2443" s="43"/>
      <c r="J2443" s="43"/>
    </row>
    <row r="2444" spans="1:10">
      <c r="A2444" s="43"/>
      <c r="B2444" s="43"/>
      <c r="C2444" s="43"/>
      <c r="D2444" s="43"/>
      <c r="E2444" s="43"/>
      <c r="F2444" s="43"/>
      <c r="G2444" s="43"/>
      <c r="H2444" s="43"/>
      <c r="I2444" s="43"/>
      <c r="J2444" s="43"/>
    </row>
    <row r="2445" spans="1:10" ht="25.5" customHeight="1">
      <c r="A2445" s="47"/>
      <c r="B2445" s="47"/>
      <c r="C2445" s="47"/>
      <c r="D2445" s="47"/>
      <c r="E2445" s="47"/>
      <c r="F2445" s="43"/>
      <c r="G2445" s="51"/>
      <c r="H2445" s="250" t="s">
        <v>1227</v>
      </c>
      <c r="I2445" s="251"/>
      <c r="J2445" s="43"/>
    </row>
    <row r="2446" spans="1:10">
      <c r="A2446" s="43" t="s">
        <v>1226</v>
      </c>
      <c r="B2446" s="43"/>
      <c r="C2446" s="43"/>
      <c r="D2446" s="43"/>
      <c r="E2446" s="43"/>
      <c r="F2446" s="43"/>
      <c r="G2446" s="43"/>
      <c r="H2446" s="43"/>
      <c r="I2446" s="43"/>
      <c r="J2446" s="43"/>
    </row>
    <row r="2447" spans="1:10">
      <c r="A2447" s="43"/>
      <c r="B2447" s="43"/>
      <c r="C2447" s="43"/>
      <c r="D2447" s="43"/>
      <c r="E2447" s="43"/>
      <c r="F2447" s="43"/>
      <c r="G2447" s="43"/>
      <c r="H2447" s="43"/>
      <c r="I2447" s="43"/>
      <c r="J2447" s="43"/>
    </row>
    <row r="2448" spans="1:10">
      <c r="A2448" s="43"/>
      <c r="B2448" s="43"/>
      <c r="C2448" s="43"/>
      <c r="D2448" s="43"/>
      <c r="E2448" s="256" t="str">
        <f>CONCATENATE("(",$D2419," vs ",$I2419,")")</f>
        <v>(C vs F)</v>
      </c>
      <c r="F2448" s="256"/>
      <c r="G2448" s="43"/>
      <c r="H2448" s="43"/>
      <c r="I2448" s="43"/>
      <c r="J2448" s="43"/>
    </row>
    <row r="2449" spans="1:10" ht="15.75">
      <c r="A2449" s="42" t="s">
        <v>1223</v>
      </c>
      <c r="B2449" s="43"/>
      <c r="C2449" s="43"/>
      <c r="D2449" s="43"/>
      <c r="E2449" s="43"/>
      <c r="F2449" s="43"/>
      <c r="G2449" s="43"/>
      <c r="H2449" s="43"/>
      <c r="I2449" s="43"/>
      <c r="J2449" s="96" t="s">
        <v>4291</v>
      </c>
    </row>
    <row r="2450" spans="1:10" ht="12.75" customHeight="1">
      <c r="A2450" s="42"/>
      <c r="B2450" s="43"/>
      <c r="C2450" s="43"/>
      <c r="D2450" s="43"/>
      <c r="E2450" s="43"/>
      <c r="F2450" s="43"/>
      <c r="G2450" s="43" t="str">
        <f ca="1">Team_Matches!$J$6</f>
        <v>[NCTTA Teams Template (v2.06).xlsx]</v>
      </c>
      <c r="H2450" s="43"/>
      <c r="I2450" s="43"/>
      <c r="J2450" s="160"/>
    </row>
    <row r="2451" spans="1:10" ht="12.75" customHeight="1">
      <c r="A2451" s="42"/>
      <c r="B2451" s="43"/>
      <c r="C2451" s="43"/>
      <c r="D2451" s="43"/>
      <c r="E2451" s="43"/>
      <c r="F2451" s="43"/>
      <c r="G2451" s="247" t="str">
        <f>Team_Matches!$J1843</f>
        <v/>
      </c>
      <c r="H2451" s="247"/>
      <c r="I2451" s="161" t="str">
        <f>Team_Matches!$M1843</f>
        <v/>
      </c>
      <c r="J2451" s="161"/>
    </row>
    <row r="2452" spans="1:10" ht="15.75">
      <c r="A2452" s="42"/>
      <c r="B2452" s="43"/>
      <c r="C2452" s="43"/>
      <c r="D2452" s="43"/>
      <c r="E2452" s="43"/>
      <c r="F2452" s="43"/>
      <c r="G2452" s="43"/>
      <c r="H2452" s="43"/>
      <c r="I2452" s="43"/>
      <c r="J2452" s="43"/>
    </row>
    <row r="2453" spans="1:10">
      <c r="A2453" s="43"/>
      <c r="B2453" s="43"/>
      <c r="C2453" s="9" t="s">
        <v>1228</v>
      </c>
      <c r="D2453" s="52" t="str">
        <f>Team_Matches!$B1845</f>
        <v>C</v>
      </c>
      <c r="E2453" s="43"/>
      <c r="F2453" s="97" t="str">
        <f>CONCATENATE($D2453,"-",$I2453)</f>
        <v>C-G</v>
      </c>
      <c r="G2453" s="43"/>
      <c r="H2453" s="9" t="s">
        <v>1228</v>
      </c>
      <c r="I2453" s="52" t="str">
        <f>Team_Matches!$K1845</f>
        <v>G</v>
      </c>
      <c r="J2453" s="43"/>
    </row>
    <row r="2454" spans="1:10" ht="25.5" customHeight="1">
      <c r="A2454" s="44"/>
      <c r="B2454" s="248" t="str">
        <f>IF(VLOOKUP($D2453,Draw!$A$4:$B$27,2)&lt;&gt;0,VLOOKUP($D2453,Draw!$A$4:$B$27,2),"")</f>
        <v/>
      </c>
      <c r="C2454" s="248"/>
      <c r="D2454" s="248"/>
      <c r="E2454" s="249"/>
      <c r="F2454" s="45"/>
      <c r="G2454" s="252" t="str">
        <f>IF(VLOOKUP($I2453,Draw!$A$4:$B$27,2)&lt;&gt;0,VLOOKUP($I2453,Draw!$A$4:$B$27,2),"")</f>
        <v/>
      </c>
      <c r="H2454" s="252"/>
      <c r="I2454" s="252"/>
      <c r="J2454" s="253"/>
    </row>
    <row r="2455" spans="1:10" ht="25.5" customHeight="1"/>
    <row r="2456" spans="1:10" ht="25.5" customHeight="1"/>
    <row r="2457" spans="1:10" ht="24" customHeight="1">
      <c r="A2457" s="48" t="s">
        <v>1246</v>
      </c>
      <c r="B2457" s="43"/>
      <c r="C2457" s="43"/>
      <c r="D2457" s="43"/>
      <c r="E2457" s="43"/>
      <c r="F2457" s="43"/>
      <c r="G2457" s="43"/>
      <c r="H2457" s="43"/>
      <c r="I2457" s="43"/>
      <c r="J2457" s="43"/>
    </row>
    <row r="2458" spans="1:10" ht="24" customHeight="1">
      <c r="A2458" s="48"/>
      <c r="B2458" s="43"/>
      <c r="C2458" s="43"/>
      <c r="D2458" s="43"/>
      <c r="E2458" s="43"/>
      <c r="F2458" s="43"/>
      <c r="G2458" s="43"/>
      <c r="H2458" s="43"/>
      <c r="I2458" s="43"/>
      <c r="J2458" s="43"/>
    </row>
    <row r="2459" spans="1:10">
      <c r="A2459" s="49" t="s">
        <v>1224</v>
      </c>
      <c r="B2459" s="46"/>
      <c r="C2459" s="46"/>
      <c r="D2459" s="46"/>
      <c r="E2459" s="46"/>
      <c r="F2459" s="46"/>
      <c r="G2459" s="260" t="s">
        <v>10336</v>
      </c>
      <c r="H2459" s="260"/>
      <c r="I2459" s="260"/>
      <c r="J2459" s="260"/>
    </row>
    <row r="2460" spans="1:10" ht="24" customHeight="1">
      <c r="A2460" s="50" t="str">
        <f>CONCATENATE($D2453,"1")</f>
        <v>C1</v>
      </c>
      <c r="B2460" s="255" t="str">
        <f>IF(VLOOKUP($A2460,Players!$A$2:$C$132,3)&lt;&gt;0,VLOOKUP($A2460,Players!$A$2:$C$132,3),"")</f>
        <v/>
      </c>
      <c r="C2460" s="255"/>
      <c r="D2460" s="255"/>
      <c r="E2460" s="255"/>
      <c r="F2460" s="255"/>
      <c r="G2460" s="254" t="str">
        <f>IF(VLOOKUP($I2453&amp;RIGHT($A2460,1),Players!$A$2:$D$132,3)&lt;&gt;0,VLOOKUP($I2453&amp;RIGHT($A2460,1),Players!$A$2:$D$132,3),"")</f>
        <v/>
      </c>
      <c r="H2460" s="254"/>
      <c r="I2460" s="254"/>
      <c r="J2460" s="210" t="str">
        <f>IF(VLOOKUP($I2453&amp;RIGHT($A2460,1),Players!$A$2:$D$132,3)&lt;&gt;0,"("&amp;VLOOKUP($I2453&amp;RIGHT($A2460,1),Players!$A$2:$D$132,4)&amp;")","")</f>
        <v/>
      </c>
    </row>
    <row r="2461" spans="1:10" ht="25.5" customHeight="1">
      <c r="A2461" s="50" t="str">
        <f>CONCATENATE($D2453,"2")</f>
        <v>C2</v>
      </c>
      <c r="B2461" s="255" t="str">
        <f>IF(VLOOKUP($A2461,Players!$A$2:$C$132,3)&lt;&gt;0,VLOOKUP($A2461,Players!$A$2:$C$132,3),"")</f>
        <v/>
      </c>
      <c r="C2461" s="255"/>
      <c r="D2461" s="255"/>
      <c r="E2461" s="255"/>
      <c r="F2461" s="255"/>
      <c r="G2461" s="254" t="str">
        <f>IF(VLOOKUP($I2453&amp;RIGHT($A2461,1),Players!$A$2:$D$132,3)&lt;&gt;0,VLOOKUP($I2453&amp;RIGHT($A2461,1),Players!$A$2:$D$132,3),"")</f>
        <v/>
      </c>
      <c r="H2461" s="254"/>
      <c r="I2461" s="254"/>
      <c r="J2461" s="210" t="str">
        <f>IF(VLOOKUP($I2453&amp;RIGHT($A2461,1),Players!$A$2:$D$132,3)&lt;&gt;0,"("&amp;VLOOKUP($I2453&amp;RIGHT($A2461,1),Players!$A$2:$D$132,4)&amp;")","")</f>
        <v/>
      </c>
    </row>
    <row r="2462" spans="1:10" ht="25.5" customHeight="1">
      <c r="A2462" s="50" t="str">
        <f>CONCATENATE($D2453,"3")</f>
        <v>C3</v>
      </c>
      <c r="B2462" s="255" t="str">
        <f>IF(VLOOKUP($A2462,Players!$A$2:$C$132,3)&lt;&gt;0,VLOOKUP($A2462,Players!$A$2:$C$132,3),"")</f>
        <v/>
      </c>
      <c r="C2462" s="255"/>
      <c r="D2462" s="255"/>
      <c r="E2462" s="255"/>
      <c r="F2462" s="255"/>
      <c r="G2462" s="254" t="str">
        <f>IF(VLOOKUP($I2453&amp;RIGHT($A2462,1),Players!$A$2:$D$132,3)&lt;&gt;0,VLOOKUP($I2453&amp;RIGHT($A2462,1),Players!$A$2:$D$132,3),"")</f>
        <v/>
      </c>
      <c r="H2462" s="254"/>
      <c r="I2462" s="254"/>
      <c r="J2462" s="210" t="str">
        <f>IF(VLOOKUP($I2453&amp;RIGHT($A2462,1),Players!$A$2:$D$132,3)&lt;&gt;0,"("&amp;VLOOKUP($I2453&amp;RIGHT($A2462,1),Players!$A$2:$D$132,4)&amp;")","")</f>
        <v/>
      </c>
    </row>
    <row r="2463" spans="1:10" ht="25.5" customHeight="1">
      <c r="A2463" s="50" t="str">
        <f>CONCATENATE($D2453,"4")</f>
        <v>C4</v>
      </c>
      <c r="B2463" s="255" t="str">
        <f>IF(VLOOKUP($A2463,Players!$A$2:$C$132,3)&lt;&gt;0,VLOOKUP($A2463,Players!$A$2:$C$132,3),"")</f>
        <v/>
      </c>
      <c r="C2463" s="255"/>
      <c r="D2463" s="255"/>
      <c r="E2463" s="255"/>
      <c r="F2463" s="255"/>
      <c r="G2463" s="254" t="str">
        <f>IF(VLOOKUP($I2453&amp;RIGHT($A2463,1),Players!$A$2:$D$132,3)&lt;&gt;0,VLOOKUP($I2453&amp;RIGHT($A2463,1),Players!$A$2:$D$132,3),"")</f>
        <v/>
      </c>
      <c r="H2463" s="254"/>
      <c r="I2463" s="254"/>
      <c r="J2463" s="210" t="str">
        <f>IF(VLOOKUP($I2453&amp;RIGHT($A2463,1),Players!$A$2:$D$132,3)&lt;&gt;0,"("&amp;VLOOKUP($I2453&amp;RIGHT($A2463,1),Players!$A$2:$D$132,4)&amp;")","")</f>
        <v/>
      </c>
    </row>
    <row r="2464" spans="1:10" ht="25.5" customHeight="1">
      <c r="A2464" s="50" t="str">
        <f>CONCATENATE($D2453,"5")</f>
        <v>C5</v>
      </c>
      <c r="B2464" s="255" t="str">
        <f>IF(VLOOKUP($A2464,Players!$A$2:$C$132,3)&lt;&gt;0,VLOOKUP($A2464,Players!$A$2:$C$132,3),"")</f>
        <v/>
      </c>
      <c r="C2464" s="255"/>
      <c r="D2464" s="255"/>
      <c r="E2464" s="255"/>
      <c r="F2464" s="255"/>
      <c r="G2464" s="254" t="str">
        <f>IF(VLOOKUP($I2453&amp;RIGHT($A2464,1),Players!$A$2:$D$132,3)&lt;&gt;0,VLOOKUP($I2453&amp;RIGHT($A2464,1),Players!$A$2:$D$132,3),"")</f>
        <v/>
      </c>
      <c r="H2464" s="254"/>
      <c r="I2464" s="254"/>
      <c r="J2464" s="210" t="str">
        <f>IF(VLOOKUP($I2453&amp;RIGHT($A2464,1),Players!$A$2:$D$132,3)&lt;&gt;0,"("&amp;VLOOKUP($I2453&amp;RIGHT($A2464,1),Players!$A$2:$D$132,4)&amp;")","")</f>
        <v/>
      </c>
    </row>
    <row r="2465" spans="1:10" ht="25.5" customHeight="1">
      <c r="A2465" s="50" t="str">
        <f>CONCATENATE($D2453,"6")</f>
        <v>C6</v>
      </c>
      <c r="B2465" s="255" t="str">
        <f>IF(VLOOKUP($A2465,Players!$A$2:$C$132,3)&lt;&gt;0,VLOOKUP($A2465,Players!$A$2:$C$132,3),"")</f>
        <v/>
      </c>
      <c r="C2465" s="255"/>
      <c r="D2465" s="255"/>
      <c r="E2465" s="255"/>
      <c r="F2465" s="255"/>
      <c r="G2465" s="254" t="str">
        <f>IF(VLOOKUP($I2453&amp;RIGHT($A2465,1),Players!$A$2:$D$132,3)&lt;&gt;0,VLOOKUP($I2453&amp;RIGHT($A2465,1),Players!$A$2:$D$132,3),"")</f>
        <v/>
      </c>
      <c r="H2465" s="254"/>
      <c r="I2465" s="254"/>
      <c r="J2465" s="210" t="str">
        <f>IF(VLOOKUP($I2453&amp;RIGHT($A2465,1),Players!$A$2:$D$132,3)&lt;&gt;0,"("&amp;VLOOKUP($I2453&amp;RIGHT($A2465,1),Players!$A$2:$D$132,4)&amp;")","")</f>
        <v/>
      </c>
    </row>
    <row r="2466" spans="1:10" ht="25.5" customHeight="1">
      <c r="A2466" s="50" t="str">
        <f>CONCATENATE($D2453,"7")</f>
        <v>C7</v>
      </c>
      <c r="B2466" s="255" t="str">
        <f>IF(VLOOKUP($A2466,Players!$A$2:$C$132,3)&lt;&gt;0,VLOOKUP($A2466,Players!$A$2:$C$132,3),"")</f>
        <v/>
      </c>
      <c r="C2466" s="255"/>
      <c r="D2466" s="255"/>
      <c r="E2466" s="255"/>
      <c r="F2466" s="255"/>
      <c r="G2466" s="254" t="str">
        <f>IF(VLOOKUP($I2453&amp;RIGHT($A2466,1),Players!$A$2:$D$132,3)&lt;&gt;0,VLOOKUP($I2453&amp;RIGHT($A2466,1),Players!$A$2:$D$132,3),"")</f>
        <v/>
      </c>
      <c r="H2466" s="254"/>
      <c r="I2466" s="254"/>
      <c r="J2466" s="210" t="str">
        <f>IF(VLOOKUP($I2453&amp;RIGHT($A2466,1),Players!$A$2:$D$132,3)&lt;&gt;0,"("&amp;VLOOKUP($I2453&amp;RIGHT($A2466,1),Players!$A$2:$D$132,4)&amp;")","")</f>
        <v/>
      </c>
    </row>
    <row r="2467" spans="1:10" ht="25.5" customHeight="1">
      <c r="A2467" s="50" t="str">
        <f>CONCATENATE($D2453,"8")</f>
        <v>C8</v>
      </c>
      <c r="B2467" s="255" t="str">
        <f>IF(VLOOKUP($A2467,Players!$A$2:$C$132,3)&lt;&gt;0,VLOOKUP($A2467,Players!$A$2:$C$132,3),"")</f>
        <v/>
      </c>
      <c r="C2467" s="255"/>
      <c r="D2467" s="255"/>
      <c r="E2467" s="255"/>
      <c r="F2467" s="255"/>
      <c r="G2467" s="254" t="str">
        <f>IF(VLOOKUP($I2453&amp;RIGHT($A2467,1),Players!$A$2:$D$132,3)&lt;&gt;0,VLOOKUP($I2453&amp;RIGHT($A2467,1),Players!$A$2:$D$132,3),"")</f>
        <v/>
      </c>
      <c r="H2467" s="254"/>
      <c r="I2467" s="254"/>
      <c r="J2467" s="210" t="str">
        <f>IF(VLOOKUP($I2453&amp;RIGHT($A2467,1),Players!$A$2:$D$132,3)&lt;&gt;0,"("&amp;VLOOKUP($I2453&amp;RIGHT($A2467,1),Players!$A$2:$D$132,4)&amp;")","")</f>
        <v/>
      </c>
    </row>
    <row r="2468" spans="1:10" ht="25.5" customHeight="1">
      <c r="A2468" s="50"/>
      <c r="B2468" s="26"/>
      <c r="C2468" s="26"/>
      <c r="D2468" s="26"/>
      <c r="E2468" s="26"/>
      <c r="F2468" s="27"/>
      <c r="G2468" s="43"/>
      <c r="H2468" s="43"/>
      <c r="I2468" s="43"/>
      <c r="J2468" s="43"/>
    </row>
    <row r="2469" spans="1:10">
      <c r="A2469" s="49" t="s">
        <v>1225</v>
      </c>
      <c r="B2469" s="46"/>
      <c r="C2469" s="46"/>
      <c r="D2469" s="46"/>
      <c r="E2469" s="46"/>
      <c r="F2469" s="46"/>
      <c r="G2469" s="43"/>
      <c r="H2469" s="43"/>
      <c r="I2469" s="43"/>
      <c r="J2469" s="43"/>
    </row>
    <row r="2470" spans="1:10">
      <c r="A2470" s="46" t="s">
        <v>1247</v>
      </c>
      <c r="B2470" s="46"/>
      <c r="C2470" s="46"/>
      <c r="D2470" s="46"/>
      <c r="E2470" s="46"/>
      <c r="F2470" s="46"/>
      <c r="G2470" s="43"/>
      <c r="H2470" s="43"/>
      <c r="I2470" s="43"/>
      <c r="J2470" s="43"/>
    </row>
    <row r="2471" spans="1:10">
      <c r="A2471" s="46" t="s">
        <v>1248</v>
      </c>
      <c r="B2471" s="46"/>
      <c r="C2471" s="46"/>
      <c r="D2471" s="46"/>
      <c r="E2471" s="46"/>
      <c r="F2471" s="46"/>
      <c r="G2471" s="43"/>
      <c r="H2471" s="43"/>
      <c r="I2471" s="43"/>
      <c r="J2471" s="43"/>
    </row>
    <row r="2472" spans="1:10" ht="13.5" thickBot="1">
      <c r="A2472" s="46"/>
      <c r="B2472" s="46"/>
      <c r="C2472" s="46"/>
      <c r="D2472" s="46"/>
      <c r="E2472" s="46"/>
      <c r="F2472" s="46"/>
      <c r="G2472" s="43"/>
      <c r="H2472" s="43"/>
      <c r="I2472" s="43"/>
      <c r="J2472" s="43"/>
    </row>
    <row r="2473" spans="1:10" ht="25.5" customHeight="1" thickBot="1">
      <c r="A2473" s="50"/>
      <c r="B2473" s="257"/>
      <c r="C2473" s="258"/>
      <c r="D2473" s="258"/>
      <c r="E2473" s="258"/>
      <c r="F2473" s="259"/>
      <c r="G2473" s="43"/>
      <c r="H2473" s="43"/>
      <c r="I2473" s="43"/>
      <c r="J2473" s="43"/>
    </row>
    <row r="2474" spans="1:10">
      <c r="A2474" s="43"/>
      <c r="B2474" s="43"/>
      <c r="C2474" s="43"/>
      <c r="D2474" s="43"/>
      <c r="E2474" s="43"/>
      <c r="F2474" s="43"/>
      <c r="G2474" s="43"/>
      <c r="H2474" s="43"/>
      <c r="I2474" s="43"/>
      <c r="J2474" s="43"/>
    </row>
    <row r="2475" spans="1:10">
      <c r="A2475" s="43"/>
      <c r="B2475" s="43"/>
      <c r="C2475" s="43"/>
      <c r="D2475" s="43"/>
      <c r="E2475" s="43"/>
      <c r="F2475" s="43"/>
      <c r="G2475" s="43"/>
      <c r="H2475" s="43"/>
      <c r="I2475" s="43"/>
      <c r="J2475" s="43"/>
    </row>
    <row r="2476" spans="1:10">
      <c r="A2476" s="43"/>
      <c r="B2476" s="43"/>
      <c r="C2476" s="43"/>
      <c r="D2476" s="43"/>
      <c r="E2476" s="43"/>
      <c r="F2476" s="43"/>
      <c r="G2476" s="43"/>
      <c r="H2476" s="43"/>
      <c r="I2476" s="43"/>
      <c r="J2476" s="43"/>
    </row>
    <row r="2477" spans="1:10">
      <c r="A2477" s="43"/>
      <c r="B2477" s="43"/>
      <c r="C2477" s="43"/>
      <c r="D2477" s="43"/>
      <c r="E2477" s="43"/>
      <c r="F2477" s="43"/>
      <c r="G2477" s="43"/>
      <c r="H2477" s="43"/>
      <c r="I2477" s="43"/>
      <c r="J2477" s="43"/>
    </row>
    <row r="2478" spans="1:10">
      <c r="A2478" s="43"/>
      <c r="B2478" s="43"/>
      <c r="C2478" s="43"/>
      <c r="D2478" s="43"/>
      <c r="E2478" s="43"/>
      <c r="F2478" s="43"/>
      <c r="G2478" s="43"/>
      <c r="H2478" s="43"/>
      <c r="I2478" s="43"/>
      <c r="J2478" s="43"/>
    </row>
    <row r="2479" spans="1:10" ht="25.5" customHeight="1">
      <c r="A2479" s="47"/>
      <c r="B2479" s="47"/>
      <c r="C2479" s="47"/>
      <c r="D2479" s="47"/>
      <c r="E2479" s="47"/>
      <c r="F2479" s="43"/>
      <c r="G2479" s="51"/>
      <c r="H2479" s="250" t="s">
        <v>1227</v>
      </c>
      <c r="I2479" s="251"/>
      <c r="J2479" s="43"/>
    </row>
    <row r="2480" spans="1:10">
      <c r="A2480" s="43" t="s">
        <v>1226</v>
      </c>
      <c r="B2480" s="43"/>
      <c r="C2480" s="43"/>
      <c r="D2480" s="43"/>
      <c r="E2480" s="43"/>
      <c r="F2480" s="43"/>
      <c r="G2480" s="43"/>
      <c r="H2480" s="43"/>
      <c r="I2480" s="43"/>
      <c r="J2480" s="43"/>
    </row>
    <row r="2481" spans="1:10">
      <c r="A2481" s="43"/>
      <c r="B2481" s="43"/>
      <c r="C2481" s="43"/>
      <c r="D2481" s="43"/>
      <c r="E2481" s="43"/>
      <c r="F2481" s="43"/>
      <c r="G2481" s="43"/>
      <c r="H2481" s="43"/>
      <c r="I2481" s="43"/>
      <c r="J2481" s="43"/>
    </row>
    <row r="2482" spans="1:10">
      <c r="A2482" s="43"/>
      <c r="B2482" s="43"/>
      <c r="C2482" s="43"/>
      <c r="D2482" s="43"/>
      <c r="E2482" s="256" t="str">
        <f>CONCATENATE("(",$D2453," vs ",$I2453,")")</f>
        <v>(C vs G)</v>
      </c>
      <c r="F2482" s="256"/>
      <c r="G2482" s="43"/>
      <c r="H2482" s="43"/>
      <c r="I2482" s="43"/>
      <c r="J2482" s="43"/>
    </row>
    <row r="2483" spans="1:10" ht="15.75">
      <c r="A2483" s="42" t="s">
        <v>1223</v>
      </c>
      <c r="B2483" s="43"/>
      <c r="C2483" s="43"/>
      <c r="D2483" s="43"/>
      <c r="E2483" s="43"/>
      <c r="F2483" s="43"/>
      <c r="G2483" s="43"/>
      <c r="H2483" s="43"/>
      <c r="I2483" s="43"/>
      <c r="J2483" s="96" t="s">
        <v>4292</v>
      </c>
    </row>
    <row r="2484" spans="1:10" ht="12.75" customHeight="1">
      <c r="A2484" s="42"/>
      <c r="B2484" s="43"/>
      <c r="C2484" s="43"/>
      <c r="D2484" s="43"/>
      <c r="E2484" s="43"/>
      <c r="F2484" s="43"/>
      <c r="G2484" s="43" t="str">
        <f ca="1">Team_Matches!$J$6</f>
        <v>[NCTTA Teams Template (v2.06).xlsx]</v>
      </c>
      <c r="H2484" s="43"/>
      <c r="I2484" s="43"/>
      <c r="J2484" s="160"/>
    </row>
    <row r="2485" spans="1:10" ht="12.75" customHeight="1">
      <c r="A2485" s="42"/>
      <c r="B2485" s="43"/>
      <c r="C2485" s="43"/>
      <c r="D2485" s="43"/>
      <c r="E2485" s="43"/>
      <c r="F2485" s="43"/>
      <c r="G2485" s="247" t="str">
        <f>Team_Matches!$J1843</f>
        <v/>
      </c>
      <c r="H2485" s="247"/>
      <c r="I2485" s="161" t="str">
        <f>Team_Matches!$M1843</f>
        <v/>
      </c>
      <c r="J2485" s="161"/>
    </row>
    <row r="2486" spans="1:10" ht="15.75">
      <c r="A2486" s="42"/>
      <c r="B2486" s="43"/>
      <c r="C2486" s="43"/>
      <c r="D2486" s="43"/>
      <c r="E2486" s="43"/>
      <c r="F2486" s="43"/>
      <c r="G2486" s="43"/>
      <c r="H2486" s="43"/>
      <c r="I2486" s="43"/>
      <c r="J2486" s="43"/>
    </row>
    <row r="2487" spans="1:10">
      <c r="A2487" s="43"/>
      <c r="B2487" s="43"/>
      <c r="C2487" s="9" t="s">
        <v>1228</v>
      </c>
      <c r="D2487" s="52" t="str">
        <f>Team_Matches!$B1845</f>
        <v>C</v>
      </c>
      <c r="E2487" s="43"/>
      <c r="F2487" s="97" t="str">
        <f>CONCATENATE($D2487,"-",$I2487)</f>
        <v>C-G</v>
      </c>
      <c r="G2487" s="43"/>
      <c r="H2487" s="9" t="s">
        <v>1228</v>
      </c>
      <c r="I2487" s="52" t="str">
        <f>Team_Matches!$K1845</f>
        <v>G</v>
      </c>
      <c r="J2487" s="43"/>
    </row>
    <row r="2488" spans="1:10" ht="25.5" customHeight="1">
      <c r="A2488" s="44"/>
      <c r="B2488" s="252" t="str">
        <f>IF(VLOOKUP($D2487,Draw!$A$4:$B$27,2)&lt;&gt;0,VLOOKUP($D2487,Draw!$A$4:$B$27,2),"")</f>
        <v/>
      </c>
      <c r="C2488" s="252"/>
      <c r="D2488" s="252"/>
      <c r="E2488" s="253"/>
      <c r="F2488" s="45"/>
      <c r="G2488" s="248" t="str">
        <f>IF(VLOOKUP($I2487,Draw!$A$4:$B$27,2)&lt;&gt;0,VLOOKUP($I2487,Draw!$A$4:$B$27,2),"")</f>
        <v/>
      </c>
      <c r="H2488" s="248"/>
      <c r="I2488" s="248"/>
      <c r="J2488" s="249"/>
    </row>
    <row r="2489" spans="1:10" ht="25.5" customHeight="1"/>
    <row r="2490" spans="1:10" ht="25.5" customHeight="1"/>
    <row r="2491" spans="1:10" ht="24" customHeight="1">
      <c r="A2491" s="48" t="s">
        <v>1246</v>
      </c>
      <c r="B2491" s="43"/>
      <c r="C2491" s="43"/>
      <c r="D2491" s="43"/>
      <c r="E2491" s="43"/>
      <c r="F2491" s="43"/>
      <c r="G2491" s="43"/>
      <c r="H2491" s="43"/>
      <c r="I2491" s="43"/>
      <c r="J2491" s="43"/>
    </row>
    <row r="2492" spans="1:10" ht="24" customHeight="1">
      <c r="A2492" s="48"/>
      <c r="B2492" s="43"/>
      <c r="C2492" s="43"/>
      <c r="D2492" s="43"/>
      <c r="E2492" s="43"/>
      <c r="F2492" s="43"/>
      <c r="G2492" s="43"/>
      <c r="H2492" s="43"/>
      <c r="I2492" s="43"/>
      <c r="J2492" s="43"/>
    </row>
    <row r="2493" spans="1:10">
      <c r="A2493" s="49" t="s">
        <v>1224</v>
      </c>
      <c r="B2493" s="46"/>
      <c r="C2493" s="46"/>
      <c r="D2493" s="46"/>
      <c r="E2493" s="46"/>
      <c r="F2493" s="46"/>
      <c r="G2493" s="260" t="s">
        <v>10336</v>
      </c>
      <c r="H2493" s="260"/>
      <c r="I2493" s="260"/>
      <c r="J2493" s="260"/>
    </row>
    <row r="2494" spans="1:10" ht="24" customHeight="1">
      <c r="A2494" s="50" t="str">
        <f>CONCATENATE($I2487,"1")</f>
        <v>G1</v>
      </c>
      <c r="B2494" s="255" t="str">
        <f>IF(VLOOKUP($A2494,Players!$A$2:$C$132,3)&lt;&gt;0,VLOOKUP($A2494,Players!$A$2:$C$132,3),"")</f>
        <v/>
      </c>
      <c r="C2494" s="255"/>
      <c r="D2494" s="255"/>
      <c r="E2494" s="255"/>
      <c r="F2494" s="255"/>
      <c r="G2494" s="254" t="str">
        <f>IF(VLOOKUP($D2487&amp;RIGHT($A2494,1),Players!$A$2:$D$132,3)&lt;&gt;0,VLOOKUP($D2487&amp;RIGHT($A2494,1),Players!$A$2:$D$132,3),"")</f>
        <v/>
      </c>
      <c r="H2494" s="254"/>
      <c r="I2494" s="254"/>
      <c r="J2494" s="210" t="str">
        <f>IF(VLOOKUP($D2487&amp;RIGHT($A2494,1),Players!$A$2:$D$132,3)&lt;&gt;0,"("&amp;VLOOKUP($D2487&amp;RIGHT($A2494,1),Players!$A$2:$D$132,4)&amp;")","")</f>
        <v/>
      </c>
    </row>
    <row r="2495" spans="1:10" ht="25.5" customHeight="1">
      <c r="A2495" s="50" t="str">
        <f>CONCATENATE($I2487,"2")</f>
        <v>G2</v>
      </c>
      <c r="B2495" s="255" t="str">
        <f>IF(VLOOKUP($A2495,Players!$A$2:$C$132,3)&lt;&gt;0,VLOOKUP($A2495,Players!$A$2:$C$132,3),"")</f>
        <v/>
      </c>
      <c r="C2495" s="255"/>
      <c r="D2495" s="255"/>
      <c r="E2495" s="255"/>
      <c r="F2495" s="255"/>
      <c r="G2495" s="254" t="str">
        <f>IF(VLOOKUP($D2487&amp;RIGHT($A2495,1),Players!$A$2:$D$132,3)&lt;&gt;0,VLOOKUP($D2487&amp;RIGHT($A2495,1),Players!$A$2:$D$132,3),"")</f>
        <v/>
      </c>
      <c r="H2495" s="254"/>
      <c r="I2495" s="254"/>
      <c r="J2495" s="210" t="str">
        <f>IF(VLOOKUP($D2487&amp;RIGHT($A2495,1),Players!$A$2:$D$132,3)&lt;&gt;0,"("&amp;VLOOKUP($D2487&amp;RIGHT($A2495,1),Players!$A$2:$D$132,4)&amp;")","")</f>
        <v/>
      </c>
    </row>
    <row r="2496" spans="1:10" ht="25.5" customHeight="1">
      <c r="A2496" s="50" t="str">
        <f>CONCATENATE($I2487,"3")</f>
        <v>G3</v>
      </c>
      <c r="B2496" s="255" t="str">
        <f>IF(VLOOKUP($A2496,Players!$A$2:$C$132,3)&lt;&gt;0,VLOOKUP($A2496,Players!$A$2:$C$132,3),"")</f>
        <v/>
      </c>
      <c r="C2496" s="255"/>
      <c r="D2496" s="255"/>
      <c r="E2496" s="255"/>
      <c r="F2496" s="255"/>
      <c r="G2496" s="254" t="str">
        <f>IF(VLOOKUP($D2487&amp;RIGHT($A2496,1),Players!$A$2:$D$132,3)&lt;&gt;0,VLOOKUP($D2487&amp;RIGHT($A2496,1),Players!$A$2:$D$132,3),"")</f>
        <v/>
      </c>
      <c r="H2496" s="254"/>
      <c r="I2496" s="254"/>
      <c r="J2496" s="210" t="str">
        <f>IF(VLOOKUP($D2487&amp;RIGHT($A2496,1),Players!$A$2:$D$132,3)&lt;&gt;0,"("&amp;VLOOKUP($D2487&amp;RIGHT($A2496,1),Players!$A$2:$D$132,4)&amp;")","")</f>
        <v/>
      </c>
    </row>
    <row r="2497" spans="1:10" ht="25.5" customHeight="1">
      <c r="A2497" s="50" t="str">
        <f>CONCATENATE($I2487,"4")</f>
        <v>G4</v>
      </c>
      <c r="B2497" s="255" t="str">
        <f>IF(VLOOKUP($A2497,Players!$A$2:$C$132,3)&lt;&gt;0,VLOOKUP($A2497,Players!$A$2:$C$132,3),"")</f>
        <v/>
      </c>
      <c r="C2497" s="255"/>
      <c r="D2497" s="255"/>
      <c r="E2497" s="255"/>
      <c r="F2497" s="255"/>
      <c r="G2497" s="254" t="str">
        <f>IF(VLOOKUP($D2487&amp;RIGHT($A2497,1),Players!$A$2:$D$132,3)&lt;&gt;0,VLOOKUP($D2487&amp;RIGHT($A2497,1),Players!$A$2:$D$132,3),"")</f>
        <v/>
      </c>
      <c r="H2497" s="254"/>
      <c r="I2497" s="254"/>
      <c r="J2497" s="210" t="str">
        <f>IF(VLOOKUP($D2487&amp;RIGHT($A2497,1),Players!$A$2:$D$132,3)&lt;&gt;0,"("&amp;VLOOKUP($D2487&amp;RIGHT($A2497,1),Players!$A$2:$D$132,4)&amp;")","")</f>
        <v/>
      </c>
    </row>
    <row r="2498" spans="1:10" ht="25.5" customHeight="1">
      <c r="A2498" s="50" t="str">
        <f>CONCATENATE($I2487,"5")</f>
        <v>G5</v>
      </c>
      <c r="B2498" s="255" t="str">
        <f>IF(VLOOKUP($A2498,Players!$A$2:$C$132,3)&lt;&gt;0,VLOOKUP($A2498,Players!$A$2:$C$132,3),"")</f>
        <v/>
      </c>
      <c r="C2498" s="255"/>
      <c r="D2498" s="255"/>
      <c r="E2498" s="255"/>
      <c r="F2498" s="255"/>
      <c r="G2498" s="254" t="str">
        <f>IF(VLOOKUP($D2487&amp;RIGHT($A2498,1),Players!$A$2:$D$132,3)&lt;&gt;0,VLOOKUP($D2487&amp;RIGHT($A2498,1),Players!$A$2:$D$132,3),"")</f>
        <v/>
      </c>
      <c r="H2498" s="254"/>
      <c r="I2498" s="254"/>
      <c r="J2498" s="210" t="str">
        <f>IF(VLOOKUP($D2487&amp;RIGHT($A2498,1),Players!$A$2:$D$132,3)&lt;&gt;0,"("&amp;VLOOKUP($D2487&amp;RIGHT($A2498,1),Players!$A$2:$D$132,4)&amp;")","")</f>
        <v/>
      </c>
    </row>
    <row r="2499" spans="1:10" ht="25.5" customHeight="1">
      <c r="A2499" s="50" t="str">
        <f>CONCATENATE($I2487,"6")</f>
        <v>G6</v>
      </c>
      <c r="B2499" s="255" t="str">
        <f>IF(VLOOKUP($A2499,Players!$A$2:$C$132,3)&lt;&gt;0,VLOOKUP($A2499,Players!$A$2:$C$132,3),"")</f>
        <v/>
      </c>
      <c r="C2499" s="255"/>
      <c r="D2499" s="255"/>
      <c r="E2499" s="255"/>
      <c r="F2499" s="255"/>
      <c r="G2499" s="254" t="str">
        <f>IF(VLOOKUP($D2487&amp;RIGHT($A2499,1),Players!$A$2:$D$132,3)&lt;&gt;0,VLOOKUP($D2487&amp;RIGHT($A2499,1),Players!$A$2:$D$132,3),"")</f>
        <v/>
      </c>
      <c r="H2499" s="254"/>
      <c r="I2499" s="254"/>
      <c r="J2499" s="210" t="str">
        <f>IF(VLOOKUP($D2487&amp;RIGHT($A2499,1),Players!$A$2:$D$132,3)&lt;&gt;0,"("&amp;VLOOKUP($D2487&amp;RIGHT($A2499,1),Players!$A$2:$D$132,4)&amp;")","")</f>
        <v/>
      </c>
    </row>
    <row r="2500" spans="1:10" ht="25.5" customHeight="1">
      <c r="A2500" s="50" t="str">
        <f>CONCATENATE($I2487,"7")</f>
        <v>G7</v>
      </c>
      <c r="B2500" s="255" t="str">
        <f>IF(VLOOKUP($A2500,Players!$A$2:$C$132,3)&lt;&gt;0,VLOOKUP($A2500,Players!$A$2:$C$132,3),"")</f>
        <v/>
      </c>
      <c r="C2500" s="255"/>
      <c r="D2500" s="255"/>
      <c r="E2500" s="255"/>
      <c r="F2500" s="255"/>
      <c r="G2500" s="254" t="str">
        <f>IF(VLOOKUP($D2487&amp;RIGHT($A2500,1),Players!$A$2:$D$132,3)&lt;&gt;0,VLOOKUP($D2487&amp;RIGHT($A2500,1),Players!$A$2:$D$132,3),"")</f>
        <v/>
      </c>
      <c r="H2500" s="254"/>
      <c r="I2500" s="254"/>
      <c r="J2500" s="210" t="str">
        <f>IF(VLOOKUP($D2487&amp;RIGHT($A2500,1),Players!$A$2:$D$132,3)&lt;&gt;0,"("&amp;VLOOKUP($D2487&amp;RIGHT($A2500,1),Players!$A$2:$D$132,4)&amp;")","")</f>
        <v/>
      </c>
    </row>
    <row r="2501" spans="1:10" ht="25.5" customHeight="1">
      <c r="A2501" s="50" t="str">
        <f>CONCATENATE($I2487,"8")</f>
        <v>G8</v>
      </c>
      <c r="B2501" s="255" t="str">
        <f>IF(VLOOKUP($A2501,Players!$A$2:$C$132,3)&lt;&gt;0,VLOOKUP($A2501,Players!$A$2:$C$132,3),"")</f>
        <v/>
      </c>
      <c r="C2501" s="255"/>
      <c r="D2501" s="255"/>
      <c r="E2501" s="255"/>
      <c r="F2501" s="255"/>
      <c r="G2501" s="254" t="str">
        <f>IF(VLOOKUP($D2487&amp;RIGHT($A2501,1),Players!$A$2:$D$132,3)&lt;&gt;0,VLOOKUP($D2487&amp;RIGHT($A2501,1),Players!$A$2:$D$132,3),"")</f>
        <v/>
      </c>
      <c r="H2501" s="254"/>
      <c r="I2501" s="254"/>
      <c r="J2501" s="210" t="str">
        <f>IF(VLOOKUP($D2487&amp;RIGHT($A2501,1),Players!$A$2:$D$132,3)&lt;&gt;0,"("&amp;VLOOKUP($D2487&amp;RIGHT($A2501,1),Players!$A$2:$D$132,4)&amp;")","")</f>
        <v/>
      </c>
    </row>
    <row r="2502" spans="1:10" ht="25.5" customHeight="1">
      <c r="A2502" s="50"/>
      <c r="B2502" s="26"/>
      <c r="C2502" s="26"/>
      <c r="D2502" s="26"/>
      <c r="E2502" s="26"/>
      <c r="F2502" s="27"/>
      <c r="G2502" s="43"/>
      <c r="H2502" s="43"/>
      <c r="I2502" s="43"/>
      <c r="J2502" s="43"/>
    </row>
    <row r="2503" spans="1:10">
      <c r="A2503" s="49" t="s">
        <v>1225</v>
      </c>
      <c r="B2503" s="46"/>
      <c r="C2503" s="46"/>
      <c r="D2503" s="46"/>
      <c r="E2503" s="46"/>
      <c r="F2503" s="46"/>
      <c r="G2503" s="43"/>
      <c r="H2503" s="43"/>
      <c r="I2503" s="43"/>
      <c r="J2503" s="43"/>
    </row>
    <row r="2504" spans="1:10">
      <c r="A2504" s="46" t="s">
        <v>1247</v>
      </c>
      <c r="B2504" s="46"/>
      <c r="C2504" s="46"/>
      <c r="D2504" s="46"/>
      <c r="E2504" s="46"/>
      <c r="F2504" s="46"/>
      <c r="G2504" s="43"/>
      <c r="H2504" s="43"/>
      <c r="I2504" s="43"/>
      <c r="J2504" s="43"/>
    </row>
    <row r="2505" spans="1:10">
      <c r="A2505" s="46" t="s">
        <v>1248</v>
      </c>
      <c r="B2505" s="46"/>
      <c r="C2505" s="46"/>
      <c r="D2505" s="46"/>
      <c r="E2505" s="46"/>
      <c r="F2505" s="46"/>
      <c r="G2505" s="43"/>
      <c r="H2505" s="43"/>
      <c r="I2505" s="43"/>
      <c r="J2505" s="43"/>
    </row>
    <row r="2506" spans="1:10" ht="13.5" thickBot="1">
      <c r="A2506" s="46"/>
      <c r="B2506" s="46"/>
      <c r="C2506" s="46"/>
      <c r="D2506" s="46"/>
      <c r="E2506" s="46"/>
      <c r="F2506" s="46"/>
      <c r="G2506" s="43"/>
      <c r="H2506" s="43"/>
      <c r="I2506" s="43"/>
      <c r="J2506" s="43"/>
    </row>
    <row r="2507" spans="1:10" ht="25.5" customHeight="1" thickBot="1">
      <c r="A2507" s="50"/>
      <c r="B2507" s="257"/>
      <c r="C2507" s="258"/>
      <c r="D2507" s="258"/>
      <c r="E2507" s="258"/>
      <c r="F2507" s="259"/>
      <c r="G2507" s="43"/>
      <c r="H2507" s="43"/>
      <c r="I2507" s="43"/>
      <c r="J2507" s="43"/>
    </row>
    <row r="2508" spans="1:10">
      <c r="A2508" s="43"/>
      <c r="B2508" s="43"/>
      <c r="C2508" s="43"/>
      <c r="D2508" s="43"/>
      <c r="E2508" s="43"/>
      <c r="F2508" s="43"/>
      <c r="G2508" s="43"/>
      <c r="H2508" s="43"/>
      <c r="I2508" s="43"/>
      <c r="J2508" s="43"/>
    </row>
    <row r="2509" spans="1:10">
      <c r="A2509" s="43"/>
      <c r="B2509" s="43"/>
      <c r="C2509" s="43"/>
      <c r="D2509" s="43"/>
      <c r="E2509" s="43"/>
      <c r="F2509" s="43"/>
      <c r="G2509" s="43"/>
      <c r="H2509" s="43"/>
      <c r="I2509" s="43"/>
      <c r="J2509" s="43"/>
    </row>
    <row r="2510" spans="1:10">
      <c r="A2510" s="43"/>
      <c r="B2510" s="43"/>
      <c r="C2510" s="43"/>
      <c r="D2510" s="43"/>
      <c r="E2510" s="43"/>
      <c r="F2510" s="43"/>
      <c r="G2510" s="43"/>
      <c r="H2510" s="43"/>
      <c r="I2510" s="43"/>
      <c r="J2510" s="43"/>
    </row>
    <row r="2511" spans="1:10">
      <c r="A2511" s="43"/>
      <c r="B2511" s="43"/>
      <c r="C2511" s="43"/>
      <c r="D2511" s="43"/>
      <c r="E2511" s="43"/>
      <c r="F2511" s="43"/>
      <c r="G2511" s="43"/>
      <c r="H2511" s="43"/>
      <c r="I2511" s="43"/>
      <c r="J2511" s="43"/>
    </row>
    <row r="2512" spans="1:10">
      <c r="A2512" s="43"/>
      <c r="B2512" s="43"/>
      <c r="C2512" s="43"/>
      <c r="D2512" s="43"/>
      <c r="E2512" s="43"/>
      <c r="F2512" s="43"/>
      <c r="G2512" s="43"/>
      <c r="H2512" s="43"/>
      <c r="I2512" s="43"/>
      <c r="J2512" s="43"/>
    </row>
    <row r="2513" spans="1:10" ht="25.5" customHeight="1">
      <c r="A2513" s="47"/>
      <c r="B2513" s="47"/>
      <c r="C2513" s="47"/>
      <c r="D2513" s="47"/>
      <c r="E2513" s="47"/>
      <c r="F2513" s="43"/>
      <c r="G2513" s="51"/>
      <c r="H2513" s="250" t="s">
        <v>1227</v>
      </c>
      <c r="I2513" s="251"/>
      <c r="J2513" s="43"/>
    </row>
    <row r="2514" spans="1:10">
      <c r="A2514" s="43" t="s">
        <v>1226</v>
      </c>
      <c r="B2514" s="43"/>
      <c r="C2514" s="43"/>
      <c r="D2514" s="43"/>
      <c r="E2514" s="43"/>
      <c r="F2514" s="43"/>
      <c r="G2514" s="43"/>
      <c r="H2514" s="43"/>
      <c r="I2514" s="43"/>
      <c r="J2514" s="43"/>
    </row>
    <row r="2515" spans="1:10">
      <c r="A2515" s="43"/>
      <c r="B2515" s="43"/>
      <c r="C2515" s="43"/>
      <c r="D2515" s="43"/>
      <c r="E2515" s="43"/>
      <c r="F2515" s="43"/>
      <c r="G2515" s="43"/>
      <c r="H2515" s="43"/>
      <c r="I2515" s="43"/>
      <c r="J2515" s="43"/>
    </row>
    <row r="2516" spans="1:10">
      <c r="A2516" s="43"/>
      <c r="B2516" s="43"/>
      <c r="C2516" s="43"/>
      <c r="D2516" s="43"/>
      <c r="E2516" s="256" t="str">
        <f>CONCATENATE("(",$D2487," vs ",$I2487,")")</f>
        <v>(C vs G)</v>
      </c>
      <c r="F2516" s="256"/>
      <c r="G2516" s="43"/>
      <c r="H2516" s="43"/>
      <c r="I2516" s="43"/>
      <c r="J2516" s="43"/>
    </row>
    <row r="2517" spans="1:10" ht="15.75">
      <c r="A2517" s="42" t="s">
        <v>1223</v>
      </c>
      <c r="B2517" s="43"/>
      <c r="C2517" s="43"/>
      <c r="D2517" s="43"/>
      <c r="E2517" s="43"/>
      <c r="F2517" s="43"/>
      <c r="G2517" s="43"/>
      <c r="H2517" s="43"/>
      <c r="I2517" s="43"/>
      <c r="J2517" s="96" t="s">
        <v>4293</v>
      </c>
    </row>
    <row r="2518" spans="1:10" ht="12.75" customHeight="1">
      <c r="A2518" s="42"/>
      <c r="B2518" s="43"/>
      <c r="C2518" s="43"/>
      <c r="D2518" s="43"/>
      <c r="E2518" s="43"/>
      <c r="F2518" s="43"/>
      <c r="G2518" s="43" t="str">
        <f ca="1">Team_Matches!$J$6</f>
        <v>[NCTTA Teams Template (v2.06).xlsx]</v>
      </c>
      <c r="H2518" s="43"/>
      <c r="I2518" s="43"/>
      <c r="J2518" s="160"/>
    </row>
    <row r="2519" spans="1:10" ht="12.75" customHeight="1">
      <c r="A2519" s="42"/>
      <c r="B2519" s="43"/>
      <c r="C2519" s="43"/>
      <c r="D2519" s="43"/>
      <c r="E2519" s="43"/>
      <c r="F2519" s="43"/>
      <c r="G2519" s="247" t="str">
        <f>Team_Matches!$J1894</f>
        <v/>
      </c>
      <c r="H2519" s="247"/>
      <c r="I2519" s="161" t="str">
        <f>Team_Matches!$M1894</f>
        <v/>
      </c>
      <c r="J2519" s="161"/>
    </row>
    <row r="2520" spans="1:10" ht="15.75">
      <c r="A2520" s="42"/>
      <c r="B2520" s="43"/>
      <c r="C2520" s="43"/>
      <c r="D2520" s="43"/>
      <c r="E2520" s="43"/>
      <c r="F2520" s="43"/>
      <c r="G2520" s="43"/>
      <c r="H2520" s="43"/>
      <c r="I2520" s="43"/>
      <c r="J2520" s="43"/>
    </row>
    <row r="2521" spans="1:10">
      <c r="A2521" s="43"/>
      <c r="B2521" s="43"/>
      <c r="C2521" s="9" t="s">
        <v>1228</v>
      </c>
      <c r="D2521" s="52" t="str">
        <f>Team_Matches!$B1896</f>
        <v>C</v>
      </c>
      <c r="E2521" s="43"/>
      <c r="F2521" s="97" t="str">
        <f>CONCATENATE($D2521,"-",$I2521)</f>
        <v>C-H</v>
      </c>
      <c r="G2521" s="43"/>
      <c r="H2521" s="9" t="s">
        <v>1228</v>
      </c>
      <c r="I2521" s="52" t="str">
        <f>Team_Matches!$K1896</f>
        <v>H</v>
      </c>
      <c r="J2521" s="43"/>
    </row>
    <row r="2522" spans="1:10" ht="25.5" customHeight="1">
      <c r="A2522" s="44"/>
      <c r="B2522" s="248" t="str">
        <f>IF(VLOOKUP($D2521,Draw!$A$4:$B$27,2)&lt;&gt;0,VLOOKUP($D2521,Draw!$A$4:$B$27,2),"")</f>
        <v/>
      </c>
      <c r="C2522" s="248"/>
      <c r="D2522" s="248"/>
      <c r="E2522" s="249"/>
      <c r="F2522" s="45"/>
      <c r="G2522" s="252" t="str">
        <f>IF(VLOOKUP($I2521,Draw!$A$4:$B$27,2)&lt;&gt;0,VLOOKUP($I2521,Draw!$A$4:$B$27,2),"")</f>
        <v/>
      </c>
      <c r="H2522" s="252"/>
      <c r="I2522" s="252"/>
      <c r="J2522" s="253"/>
    </row>
    <row r="2523" spans="1:10" ht="25.5" customHeight="1"/>
    <row r="2524" spans="1:10" ht="25.5" customHeight="1"/>
    <row r="2525" spans="1:10" ht="24" customHeight="1">
      <c r="A2525" s="48" t="s">
        <v>1246</v>
      </c>
      <c r="B2525" s="43"/>
      <c r="C2525" s="43"/>
      <c r="D2525" s="43"/>
      <c r="E2525" s="43"/>
      <c r="F2525" s="43"/>
      <c r="G2525" s="43"/>
      <c r="H2525" s="43"/>
      <c r="I2525" s="43"/>
      <c r="J2525" s="43"/>
    </row>
    <row r="2526" spans="1:10" ht="24" customHeight="1">
      <c r="A2526" s="48"/>
      <c r="B2526" s="43"/>
      <c r="C2526" s="43"/>
      <c r="D2526" s="43"/>
      <c r="E2526" s="43"/>
      <c r="F2526" s="43"/>
      <c r="G2526" s="43"/>
      <c r="H2526" s="43"/>
      <c r="I2526" s="43"/>
      <c r="J2526" s="43"/>
    </row>
    <row r="2527" spans="1:10">
      <c r="A2527" s="49" t="s">
        <v>1224</v>
      </c>
      <c r="B2527" s="46"/>
      <c r="C2527" s="46"/>
      <c r="D2527" s="46"/>
      <c r="E2527" s="46"/>
      <c r="F2527" s="46"/>
      <c r="G2527" s="260" t="s">
        <v>10336</v>
      </c>
      <c r="H2527" s="260"/>
      <c r="I2527" s="260"/>
      <c r="J2527" s="260"/>
    </row>
    <row r="2528" spans="1:10" ht="24" customHeight="1">
      <c r="A2528" s="50" t="str">
        <f>CONCATENATE($D2521,"1")</f>
        <v>C1</v>
      </c>
      <c r="B2528" s="255" t="str">
        <f>IF(VLOOKUP($A2528,Players!$A$2:$C$132,3)&lt;&gt;0,VLOOKUP($A2528,Players!$A$2:$C$132,3),"")</f>
        <v/>
      </c>
      <c r="C2528" s="255"/>
      <c r="D2528" s="255"/>
      <c r="E2528" s="255"/>
      <c r="F2528" s="255"/>
      <c r="G2528" s="254" t="str">
        <f>IF(VLOOKUP($I2521&amp;RIGHT($A2528,1),Players!$A$2:$D$132,3)&lt;&gt;0,VLOOKUP($I2521&amp;RIGHT($A2528,1),Players!$A$2:$D$132,3),"")</f>
        <v/>
      </c>
      <c r="H2528" s="254"/>
      <c r="I2528" s="254"/>
      <c r="J2528" s="210" t="str">
        <f>IF(VLOOKUP($I2521&amp;RIGHT($A2528,1),Players!$A$2:$D$132,3)&lt;&gt;0,"("&amp;VLOOKUP($I2521&amp;RIGHT($A2528,1),Players!$A$2:$D$132,4)&amp;")","")</f>
        <v/>
      </c>
    </row>
    <row r="2529" spans="1:10" ht="25.5" customHeight="1">
      <c r="A2529" s="50" t="str">
        <f>CONCATENATE($D2521,"2")</f>
        <v>C2</v>
      </c>
      <c r="B2529" s="255" t="str">
        <f>IF(VLOOKUP($A2529,Players!$A$2:$C$132,3)&lt;&gt;0,VLOOKUP($A2529,Players!$A$2:$C$132,3),"")</f>
        <v/>
      </c>
      <c r="C2529" s="255"/>
      <c r="D2529" s="255"/>
      <c r="E2529" s="255"/>
      <c r="F2529" s="255"/>
      <c r="G2529" s="254" t="str">
        <f>IF(VLOOKUP($I2521&amp;RIGHT($A2529,1),Players!$A$2:$D$132,3)&lt;&gt;0,VLOOKUP($I2521&amp;RIGHT($A2529,1),Players!$A$2:$D$132,3),"")</f>
        <v/>
      </c>
      <c r="H2529" s="254"/>
      <c r="I2529" s="254"/>
      <c r="J2529" s="210" t="str">
        <f>IF(VLOOKUP($I2521&amp;RIGHT($A2529,1),Players!$A$2:$D$132,3)&lt;&gt;0,"("&amp;VLOOKUP($I2521&amp;RIGHT($A2529,1),Players!$A$2:$D$132,4)&amp;")","")</f>
        <v/>
      </c>
    </row>
    <row r="2530" spans="1:10" ht="25.5" customHeight="1">
      <c r="A2530" s="50" t="str">
        <f>CONCATENATE($D2521,"3")</f>
        <v>C3</v>
      </c>
      <c r="B2530" s="255" t="str">
        <f>IF(VLOOKUP($A2530,Players!$A$2:$C$132,3)&lt;&gt;0,VLOOKUP($A2530,Players!$A$2:$C$132,3),"")</f>
        <v/>
      </c>
      <c r="C2530" s="255"/>
      <c r="D2530" s="255"/>
      <c r="E2530" s="255"/>
      <c r="F2530" s="255"/>
      <c r="G2530" s="254" t="str">
        <f>IF(VLOOKUP($I2521&amp;RIGHT($A2530,1),Players!$A$2:$D$132,3)&lt;&gt;0,VLOOKUP($I2521&amp;RIGHT($A2530,1),Players!$A$2:$D$132,3),"")</f>
        <v/>
      </c>
      <c r="H2530" s="254"/>
      <c r="I2530" s="254"/>
      <c r="J2530" s="210" t="str">
        <f>IF(VLOOKUP($I2521&amp;RIGHT($A2530,1),Players!$A$2:$D$132,3)&lt;&gt;0,"("&amp;VLOOKUP($I2521&amp;RIGHT($A2530,1),Players!$A$2:$D$132,4)&amp;")","")</f>
        <v/>
      </c>
    </row>
    <row r="2531" spans="1:10" ht="25.5" customHeight="1">
      <c r="A2531" s="50" t="str">
        <f>CONCATENATE($D2521,"4")</f>
        <v>C4</v>
      </c>
      <c r="B2531" s="255" t="str">
        <f>IF(VLOOKUP($A2531,Players!$A$2:$C$132,3)&lt;&gt;0,VLOOKUP($A2531,Players!$A$2:$C$132,3),"")</f>
        <v/>
      </c>
      <c r="C2531" s="255"/>
      <c r="D2531" s="255"/>
      <c r="E2531" s="255"/>
      <c r="F2531" s="255"/>
      <c r="G2531" s="254" t="str">
        <f>IF(VLOOKUP($I2521&amp;RIGHT($A2531,1),Players!$A$2:$D$132,3)&lt;&gt;0,VLOOKUP($I2521&amp;RIGHT($A2531,1),Players!$A$2:$D$132,3),"")</f>
        <v/>
      </c>
      <c r="H2531" s="254"/>
      <c r="I2531" s="254"/>
      <c r="J2531" s="210" t="str">
        <f>IF(VLOOKUP($I2521&amp;RIGHT($A2531,1),Players!$A$2:$D$132,3)&lt;&gt;0,"("&amp;VLOOKUP($I2521&amp;RIGHT($A2531,1),Players!$A$2:$D$132,4)&amp;")","")</f>
        <v/>
      </c>
    </row>
    <row r="2532" spans="1:10" ht="25.5" customHeight="1">
      <c r="A2532" s="50" t="str">
        <f>CONCATENATE($D2521,"5")</f>
        <v>C5</v>
      </c>
      <c r="B2532" s="255" t="str">
        <f>IF(VLOOKUP($A2532,Players!$A$2:$C$132,3)&lt;&gt;0,VLOOKUP($A2532,Players!$A$2:$C$132,3),"")</f>
        <v/>
      </c>
      <c r="C2532" s="255"/>
      <c r="D2532" s="255"/>
      <c r="E2532" s="255"/>
      <c r="F2532" s="255"/>
      <c r="G2532" s="254" t="str">
        <f>IF(VLOOKUP($I2521&amp;RIGHT($A2532,1),Players!$A$2:$D$132,3)&lt;&gt;0,VLOOKUP($I2521&amp;RIGHT($A2532,1),Players!$A$2:$D$132,3),"")</f>
        <v/>
      </c>
      <c r="H2532" s="254"/>
      <c r="I2532" s="254"/>
      <c r="J2532" s="210" t="str">
        <f>IF(VLOOKUP($I2521&amp;RIGHT($A2532,1),Players!$A$2:$D$132,3)&lt;&gt;0,"("&amp;VLOOKUP($I2521&amp;RIGHT($A2532,1),Players!$A$2:$D$132,4)&amp;")","")</f>
        <v/>
      </c>
    </row>
    <row r="2533" spans="1:10" ht="25.5" customHeight="1">
      <c r="A2533" s="50" t="str">
        <f>CONCATENATE($D2521,"6")</f>
        <v>C6</v>
      </c>
      <c r="B2533" s="255" t="str">
        <f>IF(VLOOKUP($A2533,Players!$A$2:$C$132,3)&lt;&gt;0,VLOOKUP($A2533,Players!$A$2:$C$132,3),"")</f>
        <v/>
      </c>
      <c r="C2533" s="255"/>
      <c r="D2533" s="255"/>
      <c r="E2533" s="255"/>
      <c r="F2533" s="255"/>
      <c r="G2533" s="254" t="str">
        <f>IF(VLOOKUP($I2521&amp;RIGHT($A2533,1),Players!$A$2:$D$132,3)&lt;&gt;0,VLOOKUP($I2521&amp;RIGHT($A2533,1),Players!$A$2:$D$132,3),"")</f>
        <v/>
      </c>
      <c r="H2533" s="254"/>
      <c r="I2533" s="254"/>
      <c r="J2533" s="210" t="str">
        <f>IF(VLOOKUP($I2521&amp;RIGHT($A2533,1),Players!$A$2:$D$132,3)&lt;&gt;0,"("&amp;VLOOKUP($I2521&amp;RIGHT($A2533,1),Players!$A$2:$D$132,4)&amp;")","")</f>
        <v/>
      </c>
    </row>
    <row r="2534" spans="1:10" ht="25.5" customHeight="1">
      <c r="A2534" s="50" t="str">
        <f>CONCATENATE($D2521,"7")</f>
        <v>C7</v>
      </c>
      <c r="B2534" s="255" t="str">
        <f>IF(VLOOKUP($A2534,Players!$A$2:$C$132,3)&lt;&gt;0,VLOOKUP($A2534,Players!$A$2:$C$132,3),"")</f>
        <v/>
      </c>
      <c r="C2534" s="255"/>
      <c r="D2534" s="255"/>
      <c r="E2534" s="255"/>
      <c r="F2534" s="255"/>
      <c r="G2534" s="254" t="str">
        <f>IF(VLOOKUP($I2521&amp;RIGHT($A2534,1),Players!$A$2:$D$132,3)&lt;&gt;0,VLOOKUP($I2521&amp;RIGHT($A2534,1),Players!$A$2:$D$132,3),"")</f>
        <v/>
      </c>
      <c r="H2534" s="254"/>
      <c r="I2534" s="254"/>
      <c r="J2534" s="210" t="str">
        <f>IF(VLOOKUP($I2521&amp;RIGHT($A2534,1),Players!$A$2:$D$132,3)&lt;&gt;0,"("&amp;VLOOKUP($I2521&amp;RIGHT($A2534,1),Players!$A$2:$D$132,4)&amp;")","")</f>
        <v/>
      </c>
    </row>
    <row r="2535" spans="1:10" ht="25.5" customHeight="1">
      <c r="A2535" s="50" t="str">
        <f>CONCATENATE($D2521,"8")</f>
        <v>C8</v>
      </c>
      <c r="B2535" s="255" t="str">
        <f>IF(VLOOKUP($A2535,Players!$A$2:$C$132,3)&lt;&gt;0,VLOOKUP($A2535,Players!$A$2:$C$132,3),"")</f>
        <v/>
      </c>
      <c r="C2535" s="255"/>
      <c r="D2535" s="255"/>
      <c r="E2535" s="255"/>
      <c r="F2535" s="255"/>
      <c r="G2535" s="254" t="str">
        <f>IF(VLOOKUP($I2521&amp;RIGHT($A2535,1),Players!$A$2:$D$132,3)&lt;&gt;0,VLOOKUP($I2521&amp;RIGHT($A2535,1),Players!$A$2:$D$132,3),"")</f>
        <v/>
      </c>
      <c r="H2535" s="254"/>
      <c r="I2535" s="254"/>
      <c r="J2535" s="210" t="str">
        <f>IF(VLOOKUP($I2521&amp;RIGHT($A2535,1),Players!$A$2:$D$132,3)&lt;&gt;0,"("&amp;VLOOKUP($I2521&amp;RIGHT($A2535,1),Players!$A$2:$D$132,4)&amp;")","")</f>
        <v/>
      </c>
    </row>
    <row r="2536" spans="1:10" ht="25.5" customHeight="1">
      <c r="A2536" s="50"/>
      <c r="B2536" s="26"/>
      <c r="C2536" s="26"/>
      <c r="D2536" s="26"/>
      <c r="E2536" s="26"/>
      <c r="F2536" s="27"/>
      <c r="G2536" s="43"/>
      <c r="H2536" s="43"/>
      <c r="I2536" s="43"/>
      <c r="J2536" s="43"/>
    </row>
    <row r="2537" spans="1:10">
      <c r="A2537" s="49" t="s">
        <v>1225</v>
      </c>
      <c r="B2537" s="46"/>
      <c r="C2537" s="46"/>
      <c r="D2537" s="46"/>
      <c r="E2537" s="46"/>
      <c r="F2537" s="46"/>
      <c r="G2537" s="43"/>
      <c r="H2537" s="43"/>
      <c r="I2537" s="43"/>
      <c r="J2537" s="43"/>
    </row>
    <row r="2538" spans="1:10">
      <c r="A2538" s="46" t="s">
        <v>1247</v>
      </c>
      <c r="B2538" s="46"/>
      <c r="C2538" s="46"/>
      <c r="D2538" s="46"/>
      <c r="E2538" s="46"/>
      <c r="F2538" s="46"/>
      <c r="G2538" s="43"/>
      <c r="H2538" s="43"/>
      <c r="I2538" s="43"/>
      <c r="J2538" s="43"/>
    </row>
    <row r="2539" spans="1:10">
      <c r="A2539" s="46" t="s">
        <v>1248</v>
      </c>
      <c r="B2539" s="46"/>
      <c r="C2539" s="46"/>
      <c r="D2539" s="46"/>
      <c r="E2539" s="46"/>
      <c r="F2539" s="46"/>
      <c r="G2539" s="43"/>
      <c r="H2539" s="43"/>
      <c r="I2539" s="43"/>
      <c r="J2539" s="43"/>
    </row>
    <row r="2540" spans="1:10" ht="13.5" thickBot="1">
      <c r="A2540" s="46"/>
      <c r="B2540" s="46"/>
      <c r="C2540" s="46"/>
      <c r="D2540" s="46"/>
      <c r="E2540" s="46"/>
      <c r="F2540" s="46"/>
      <c r="G2540" s="43"/>
      <c r="H2540" s="43"/>
      <c r="I2540" s="43"/>
      <c r="J2540" s="43"/>
    </row>
    <row r="2541" spans="1:10" ht="25.5" customHeight="1" thickBot="1">
      <c r="A2541" s="50"/>
      <c r="B2541" s="257"/>
      <c r="C2541" s="258"/>
      <c r="D2541" s="258"/>
      <c r="E2541" s="258"/>
      <c r="F2541" s="259"/>
      <c r="G2541" s="43"/>
      <c r="H2541" s="43"/>
      <c r="I2541" s="43"/>
      <c r="J2541" s="43"/>
    </row>
    <row r="2542" spans="1:10">
      <c r="A2542" s="43"/>
      <c r="B2542" s="43"/>
      <c r="C2542" s="43"/>
      <c r="D2542" s="43"/>
      <c r="E2542" s="43"/>
      <c r="F2542" s="43"/>
      <c r="G2542" s="43"/>
      <c r="H2542" s="43"/>
      <c r="I2542" s="43"/>
      <c r="J2542" s="43"/>
    </row>
    <row r="2543" spans="1:10">
      <c r="A2543" s="43"/>
      <c r="B2543" s="43"/>
      <c r="C2543" s="43"/>
      <c r="D2543" s="43"/>
      <c r="E2543" s="43"/>
      <c r="F2543" s="43"/>
      <c r="G2543" s="43"/>
      <c r="H2543" s="43"/>
      <c r="I2543" s="43"/>
      <c r="J2543" s="43"/>
    </row>
    <row r="2544" spans="1:10">
      <c r="A2544" s="43"/>
      <c r="B2544" s="43"/>
      <c r="C2544" s="43"/>
      <c r="D2544" s="43"/>
      <c r="E2544" s="43"/>
      <c r="F2544" s="43"/>
      <c r="G2544" s="43"/>
      <c r="H2544" s="43"/>
      <c r="I2544" s="43"/>
      <c r="J2544" s="43"/>
    </row>
    <row r="2545" spans="1:10">
      <c r="A2545" s="43"/>
      <c r="B2545" s="43"/>
      <c r="C2545" s="43"/>
      <c r="D2545" s="43"/>
      <c r="E2545" s="43"/>
      <c r="F2545" s="43"/>
      <c r="G2545" s="43"/>
      <c r="H2545" s="43"/>
      <c r="I2545" s="43"/>
      <c r="J2545" s="43"/>
    </row>
    <row r="2546" spans="1:10">
      <c r="A2546" s="43"/>
      <c r="B2546" s="43"/>
      <c r="C2546" s="43"/>
      <c r="D2546" s="43"/>
      <c r="E2546" s="43"/>
      <c r="F2546" s="43"/>
      <c r="G2546" s="43"/>
      <c r="H2546" s="43"/>
      <c r="I2546" s="43"/>
      <c r="J2546" s="43"/>
    </row>
    <row r="2547" spans="1:10" ht="25.5" customHeight="1">
      <c r="A2547" s="47"/>
      <c r="B2547" s="47"/>
      <c r="C2547" s="47"/>
      <c r="D2547" s="47"/>
      <c r="E2547" s="47"/>
      <c r="F2547" s="43"/>
      <c r="G2547" s="51"/>
      <c r="H2547" s="250" t="s">
        <v>1227</v>
      </c>
      <c r="I2547" s="251"/>
      <c r="J2547" s="43"/>
    </row>
    <row r="2548" spans="1:10">
      <c r="A2548" s="43" t="s">
        <v>1226</v>
      </c>
      <c r="B2548" s="43"/>
      <c r="C2548" s="43"/>
      <c r="D2548" s="43"/>
      <c r="E2548" s="43"/>
      <c r="F2548" s="43"/>
      <c r="G2548" s="43"/>
      <c r="H2548" s="43"/>
      <c r="I2548" s="43"/>
      <c r="J2548" s="43"/>
    </row>
    <row r="2549" spans="1:10">
      <c r="A2549" s="43"/>
      <c r="B2549" s="43"/>
      <c r="C2549" s="43"/>
      <c r="D2549" s="43"/>
      <c r="E2549" s="43"/>
      <c r="F2549" s="43"/>
      <c r="G2549" s="43"/>
      <c r="H2549" s="43"/>
      <c r="I2549" s="43"/>
      <c r="J2549" s="43"/>
    </row>
    <row r="2550" spans="1:10">
      <c r="A2550" s="43"/>
      <c r="B2550" s="43"/>
      <c r="C2550" s="43"/>
      <c r="D2550" s="43"/>
      <c r="E2550" s="256" t="str">
        <f>CONCATENATE("(",$D2521," vs ",$I2521,")")</f>
        <v>(C vs H)</v>
      </c>
      <c r="F2550" s="256"/>
      <c r="G2550" s="43"/>
      <c r="H2550" s="43"/>
      <c r="I2550" s="43"/>
      <c r="J2550" s="43"/>
    </row>
    <row r="2551" spans="1:10" ht="15.75">
      <c r="A2551" s="42" t="s">
        <v>1223</v>
      </c>
      <c r="B2551" s="43"/>
      <c r="C2551" s="43"/>
      <c r="D2551" s="43"/>
      <c r="E2551" s="43"/>
      <c r="F2551" s="43"/>
      <c r="G2551" s="43"/>
      <c r="H2551" s="43"/>
      <c r="I2551" s="43"/>
      <c r="J2551" s="96" t="s">
        <v>4294</v>
      </c>
    </row>
    <row r="2552" spans="1:10" ht="12.75" customHeight="1">
      <c r="A2552" s="42"/>
      <c r="B2552" s="43"/>
      <c r="C2552" s="43"/>
      <c r="D2552" s="43"/>
      <c r="E2552" s="43"/>
      <c r="F2552" s="43"/>
      <c r="G2552" s="43" t="str">
        <f ca="1">Team_Matches!$J$6</f>
        <v>[NCTTA Teams Template (v2.06).xlsx]</v>
      </c>
      <c r="H2552" s="43"/>
      <c r="I2552" s="43"/>
      <c r="J2552" s="160"/>
    </row>
    <row r="2553" spans="1:10" ht="12.75" customHeight="1">
      <c r="A2553" s="42"/>
      <c r="B2553" s="43"/>
      <c r="C2553" s="43"/>
      <c r="D2553" s="43"/>
      <c r="E2553" s="43"/>
      <c r="F2553" s="43"/>
      <c r="G2553" s="247" t="str">
        <f>Team_Matches!$J1894</f>
        <v/>
      </c>
      <c r="H2553" s="247"/>
      <c r="I2553" s="161" t="str">
        <f>Team_Matches!$M1894</f>
        <v/>
      </c>
      <c r="J2553" s="161"/>
    </row>
    <row r="2554" spans="1:10" ht="15.75">
      <c r="A2554" s="42"/>
      <c r="B2554" s="43"/>
      <c r="C2554" s="43"/>
      <c r="D2554" s="43"/>
      <c r="E2554" s="43"/>
      <c r="F2554" s="43"/>
      <c r="G2554" s="43"/>
      <c r="H2554" s="43"/>
      <c r="I2554" s="43"/>
      <c r="J2554" s="43"/>
    </row>
    <row r="2555" spans="1:10">
      <c r="A2555" s="43"/>
      <c r="B2555" s="43"/>
      <c r="C2555" s="9" t="s">
        <v>1228</v>
      </c>
      <c r="D2555" s="52" t="str">
        <f>Team_Matches!$B1896</f>
        <v>C</v>
      </c>
      <c r="E2555" s="43"/>
      <c r="F2555" s="97" t="str">
        <f>CONCATENATE($D2555,"-",$I2555)</f>
        <v>C-H</v>
      </c>
      <c r="G2555" s="43"/>
      <c r="H2555" s="9" t="s">
        <v>1228</v>
      </c>
      <c r="I2555" s="52" t="str">
        <f>Team_Matches!$K1896</f>
        <v>H</v>
      </c>
      <c r="J2555" s="43"/>
    </row>
    <row r="2556" spans="1:10" ht="25.5" customHeight="1">
      <c r="A2556" s="44"/>
      <c r="B2556" s="252" t="str">
        <f>IF(VLOOKUP($D2555,Draw!$A$4:$B$27,2)&lt;&gt;0,VLOOKUP($D2555,Draw!$A$4:$B$27,2),"")</f>
        <v/>
      </c>
      <c r="C2556" s="252"/>
      <c r="D2556" s="252"/>
      <c r="E2556" s="253"/>
      <c r="F2556" s="45"/>
      <c r="G2556" s="248" t="str">
        <f>IF(VLOOKUP($I2555,Draw!$A$4:$B$27,2)&lt;&gt;0,VLOOKUP($I2555,Draw!$A$4:$B$27,2),"")</f>
        <v/>
      </c>
      <c r="H2556" s="248"/>
      <c r="I2556" s="248"/>
      <c r="J2556" s="249"/>
    </row>
    <row r="2557" spans="1:10" ht="25.5" customHeight="1"/>
    <row r="2558" spans="1:10" ht="25.5" customHeight="1"/>
    <row r="2559" spans="1:10" ht="24" customHeight="1">
      <c r="A2559" s="48" t="s">
        <v>1246</v>
      </c>
      <c r="B2559" s="43"/>
      <c r="C2559" s="43"/>
      <c r="D2559" s="43"/>
      <c r="E2559" s="43"/>
      <c r="F2559" s="43"/>
      <c r="G2559" s="43"/>
      <c r="H2559" s="43"/>
      <c r="I2559" s="43"/>
      <c r="J2559" s="43"/>
    </row>
    <row r="2560" spans="1:10" ht="24" customHeight="1">
      <c r="A2560" s="48"/>
      <c r="B2560" s="43"/>
      <c r="C2560" s="43"/>
      <c r="D2560" s="43"/>
      <c r="E2560" s="43"/>
      <c r="F2560" s="43"/>
      <c r="G2560" s="43"/>
      <c r="H2560" s="43"/>
      <c r="I2560" s="43"/>
      <c r="J2560" s="43"/>
    </row>
    <row r="2561" spans="1:10">
      <c r="A2561" s="49" t="s">
        <v>1224</v>
      </c>
      <c r="B2561" s="46"/>
      <c r="C2561" s="46"/>
      <c r="D2561" s="46"/>
      <c r="E2561" s="46"/>
      <c r="F2561" s="46"/>
      <c r="G2561" s="260" t="s">
        <v>10336</v>
      </c>
      <c r="H2561" s="260"/>
      <c r="I2561" s="260"/>
      <c r="J2561" s="260"/>
    </row>
    <row r="2562" spans="1:10" ht="24" customHeight="1">
      <c r="A2562" s="50" t="str">
        <f>CONCATENATE($I2555,"1")</f>
        <v>H1</v>
      </c>
      <c r="B2562" s="255" t="str">
        <f>IF(VLOOKUP($A2562,Players!$A$2:$C$132,3)&lt;&gt;0,VLOOKUP($A2562,Players!$A$2:$C$132,3),"")</f>
        <v/>
      </c>
      <c r="C2562" s="255"/>
      <c r="D2562" s="255"/>
      <c r="E2562" s="255"/>
      <c r="F2562" s="255"/>
      <c r="G2562" s="254" t="str">
        <f>IF(VLOOKUP($D2555&amp;RIGHT($A2562,1),Players!$A$2:$D$132,3)&lt;&gt;0,VLOOKUP($D2555&amp;RIGHT($A2562,1),Players!$A$2:$D$132,3),"")</f>
        <v/>
      </c>
      <c r="H2562" s="254"/>
      <c r="I2562" s="254"/>
      <c r="J2562" s="210" t="str">
        <f>IF(VLOOKUP($D2555&amp;RIGHT($A2562,1),Players!$A$2:$D$132,3)&lt;&gt;0,"("&amp;VLOOKUP($D2555&amp;RIGHT($A2562,1),Players!$A$2:$D$132,4)&amp;")","")</f>
        <v/>
      </c>
    </row>
    <row r="2563" spans="1:10" ht="25.5" customHeight="1">
      <c r="A2563" s="50" t="str">
        <f>CONCATENATE($I2555,"2")</f>
        <v>H2</v>
      </c>
      <c r="B2563" s="255" t="str">
        <f>IF(VLOOKUP($A2563,Players!$A$2:$C$132,3)&lt;&gt;0,VLOOKUP($A2563,Players!$A$2:$C$132,3),"")</f>
        <v/>
      </c>
      <c r="C2563" s="255"/>
      <c r="D2563" s="255"/>
      <c r="E2563" s="255"/>
      <c r="F2563" s="255"/>
      <c r="G2563" s="254" t="str">
        <f>IF(VLOOKUP($D2555&amp;RIGHT($A2563,1),Players!$A$2:$D$132,3)&lt;&gt;0,VLOOKUP($D2555&amp;RIGHT($A2563,1),Players!$A$2:$D$132,3),"")</f>
        <v/>
      </c>
      <c r="H2563" s="254"/>
      <c r="I2563" s="254"/>
      <c r="J2563" s="210" t="str">
        <f>IF(VLOOKUP($D2555&amp;RIGHT($A2563,1),Players!$A$2:$D$132,3)&lt;&gt;0,"("&amp;VLOOKUP($D2555&amp;RIGHT($A2563,1),Players!$A$2:$D$132,4)&amp;")","")</f>
        <v/>
      </c>
    </row>
    <row r="2564" spans="1:10" ht="25.5" customHeight="1">
      <c r="A2564" s="50" t="str">
        <f>CONCATENATE($I2555,"3")</f>
        <v>H3</v>
      </c>
      <c r="B2564" s="255" t="str">
        <f>IF(VLOOKUP($A2564,Players!$A$2:$C$132,3)&lt;&gt;0,VLOOKUP($A2564,Players!$A$2:$C$132,3),"")</f>
        <v/>
      </c>
      <c r="C2564" s="255"/>
      <c r="D2564" s="255"/>
      <c r="E2564" s="255"/>
      <c r="F2564" s="255"/>
      <c r="G2564" s="254" t="str">
        <f>IF(VLOOKUP($D2555&amp;RIGHT($A2564,1),Players!$A$2:$D$132,3)&lt;&gt;0,VLOOKUP($D2555&amp;RIGHT($A2564,1),Players!$A$2:$D$132,3),"")</f>
        <v/>
      </c>
      <c r="H2564" s="254"/>
      <c r="I2564" s="254"/>
      <c r="J2564" s="210" t="str">
        <f>IF(VLOOKUP($D2555&amp;RIGHT($A2564,1),Players!$A$2:$D$132,3)&lt;&gt;0,"("&amp;VLOOKUP($D2555&amp;RIGHT($A2564,1),Players!$A$2:$D$132,4)&amp;")","")</f>
        <v/>
      </c>
    </row>
    <row r="2565" spans="1:10" ht="25.5" customHeight="1">
      <c r="A2565" s="50" t="str">
        <f>CONCATENATE($I2555,"4")</f>
        <v>H4</v>
      </c>
      <c r="B2565" s="255" t="str">
        <f>IF(VLOOKUP($A2565,Players!$A$2:$C$132,3)&lt;&gt;0,VLOOKUP($A2565,Players!$A$2:$C$132,3),"")</f>
        <v/>
      </c>
      <c r="C2565" s="255"/>
      <c r="D2565" s="255"/>
      <c r="E2565" s="255"/>
      <c r="F2565" s="255"/>
      <c r="G2565" s="254" t="str">
        <f>IF(VLOOKUP($D2555&amp;RIGHT($A2565,1),Players!$A$2:$D$132,3)&lt;&gt;0,VLOOKUP($D2555&amp;RIGHT($A2565,1),Players!$A$2:$D$132,3),"")</f>
        <v/>
      </c>
      <c r="H2565" s="254"/>
      <c r="I2565" s="254"/>
      <c r="J2565" s="210" t="str">
        <f>IF(VLOOKUP($D2555&amp;RIGHT($A2565,1),Players!$A$2:$D$132,3)&lt;&gt;0,"("&amp;VLOOKUP($D2555&amp;RIGHT($A2565,1),Players!$A$2:$D$132,4)&amp;")","")</f>
        <v/>
      </c>
    </row>
    <row r="2566" spans="1:10" ht="25.5" customHeight="1">
      <c r="A2566" s="50" t="str">
        <f>CONCATENATE($I2555,"5")</f>
        <v>H5</v>
      </c>
      <c r="B2566" s="255" t="str">
        <f>IF(VLOOKUP($A2566,Players!$A$2:$C$132,3)&lt;&gt;0,VLOOKUP($A2566,Players!$A$2:$C$132,3),"")</f>
        <v/>
      </c>
      <c r="C2566" s="255"/>
      <c r="D2566" s="255"/>
      <c r="E2566" s="255"/>
      <c r="F2566" s="255"/>
      <c r="G2566" s="254" t="str">
        <f>IF(VLOOKUP($D2555&amp;RIGHT($A2566,1),Players!$A$2:$D$132,3)&lt;&gt;0,VLOOKUP($D2555&amp;RIGHT($A2566,1),Players!$A$2:$D$132,3),"")</f>
        <v/>
      </c>
      <c r="H2566" s="254"/>
      <c r="I2566" s="254"/>
      <c r="J2566" s="210" t="str">
        <f>IF(VLOOKUP($D2555&amp;RIGHT($A2566,1),Players!$A$2:$D$132,3)&lt;&gt;0,"("&amp;VLOOKUP($D2555&amp;RIGHT($A2566,1),Players!$A$2:$D$132,4)&amp;")","")</f>
        <v/>
      </c>
    </row>
    <row r="2567" spans="1:10" ht="25.5" customHeight="1">
      <c r="A2567" s="50" t="str">
        <f>CONCATENATE($I2555,"6")</f>
        <v>H6</v>
      </c>
      <c r="B2567" s="255" t="str">
        <f>IF(VLOOKUP($A2567,Players!$A$2:$C$132,3)&lt;&gt;0,VLOOKUP($A2567,Players!$A$2:$C$132,3),"")</f>
        <v/>
      </c>
      <c r="C2567" s="255"/>
      <c r="D2567" s="255"/>
      <c r="E2567" s="255"/>
      <c r="F2567" s="255"/>
      <c r="G2567" s="254" t="str">
        <f>IF(VLOOKUP($D2555&amp;RIGHT($A2567,1),Players!$A$2:$D$132,3)&lt;&gt;0,VLOOKUP($D2555&amp;RIGHT($A2567,1),Players!$A$2:$D$132,3),"")</f>
        <v/>
      </c>
      <c r="H2567" s="254"/>
      <c r="I2567" s="254"/>
      <c r="J2567" s="210" t="str">
        <f>IF(VLOOKUP($D2555&amp;RIGHT($A2567,1),Players!$A$2:$D$132,3)&lt;&gt;0,"("&amp;VLOOKUP($D2555&amp;RIGHT($A2567,1),Players!$A$2:$D$132,4)&amp;")","")</f>
        <v/>
      </c>
    </row>
    <row r="2568" spans="1:10" ht="25.5" customHeight="1">
      <c r="A2568" s="50" t="str">
        <f>CONCATENATE($I2555,"7")</f>
        <v>H7</v>
      </c>
      <c r="B2568" s="255" t="str">
        <f>IF(VLOOKUP($A2568,Players!$A$2:$C$132,3)&lt;&gt;0,VLOOKUP($A2568,Players!$A$2:$C$132,3),"")</f>
        <v/>
      </c>
      <c r="C2568" s="255"/>
      <c r="D2568" s="255"/>
      <c r="E2568" s="255"/>
      <c r="F2568" s="255"/>
      <c r="G2568" s="254" t="str">
        <f>IF(VLOOKUP($D2555&amp;RIGHT($A2568,1),Players!$A$2:$D$132,3)&lt;&gt;0,VLOOKUP($D2555&amp;RIGHT($A2568,1),Players!$A$2:$D$132,3),"")</f>
        <v/>
      </c>
      <c r="H2568" s="254"/>
      <c r="I2568" s="254"/>
      <c r="J2568" s="210" t="str">
        <f>IF(VLOOKUP($D2555&amp;RIGHT($A2568,1),Players!$A$2:$D$132,3)&lt;&gt;0,"("&amp;VLOOKUP($D2555&amp;RIGHT($A2568,1),Players!$A$2:$D$132,4)&amp;")","")</f>
        <v/>
      </c>
    </row>
    <row r="2569" spans="1:10" ht="25.5" customHeight="1">
      <c r="A2569" s="50" t="str">
        <f>CONCATENATE($I2555,"8")</f>
        <v>H8</v>
      </c>
      <c r="B2569" s="255" t="str">
        <f>IF(VLOOKUP($A2569,Players!$A$2:$C$132,3)&lt;&gt;0,VLOOKUP($A2569,Players!$A$2:$C$132,3),"")</f>
        <v/>
      </c>
      <c r="C2569" s="255"/>
      <c r="D2569" s="255"/>
      <c r="E2569" s="255"/>
      <c r="F2569" s="255"/>
      <c r="G2569" s="254" t="str">
        <f>IF(VLOOKUP($D2555&amp;RIGHT($A2569,1),Players!$A$2:$D$132,3)&lt;&gt;0,VLOOKUP($D2555&amp;RIGHT($A2569,1),Players!$A$2:$D$132,3),"")</f>
        <v/>
      </c>
      <c r="H2569" s="254"/>
      <c r="I2569" s="254"/>
      <c r="J2569" s="210" t="str">
        <f>IF(VLOOKUP($D2555&amp;RIGHT($A2569,1),Players!$A$2:$D$132,3)&lt;&gt;0,"("&amp;VLOOKUP($D2555&amp;RIGHT($A2569,1),Players!$A$2:$D$132,4)&amp;")","")</f>
        <v/>
      </c>
    </row>
    <row r="2570" spans="1:10" ht="25.5" customHeight="1">
      <c r="A2570" s="50"/>
      <c r="B2570" s="26"/>
      <c r="C2570" s="26"/>
      <c r="D2570" s="26"/>
      <c r="E2570" s="26"/>
      <c r="F2570" s="27"/>
      <c r="G2570" s="43"/>
      <c r="H2570" s="43"/>
      <c r="I2570" s="43"/>
      <c r="J2570" s="43"/>
    </row>
    <row r="2571" spans="1:10">
      <c r="A2571" s="49" t="s">
        <v>1225</v>
      </c>
      <c r="B2571" s="46"/>
      <c r="C2571" s="46"/>
      <c r="D2571" s="46"/>
      <c r="E2571" s="46"/>
      <c r="F2571" s="46"/>
      <c r="G2571" s="43"/>
      <c r="H2571" s="43"/>
      <c r="I2571" s="43"/>
      <c r="J2571" s="43"/>
    </row>
    <row r="2572" spans="1:10">
      <c r="A2572" s="46" t="s">
        <v>1247</v>
      </c>
      <c r="B2572" s="46"/>
      <c r="C2572" s="46"/>
      <c r="D2572" s="46"/>
      <c r="E2572" s="46"/>
      <c r="F2572" s="46"/>
      <c r="G2572" s="43"/>
      <c r="H2572" s="43"/>
      <c r="I2572" s="43"/>
      <c r="J2572" s="43"/>
    </row>
    <row r="2573" spans="1:10">
      <c r="A2573" s="46" t="s">
        <v>1248</v>
      </c>
      <c r="B2573" s="46"/>
      <c r="C2573" s="46"/>
      <c r="D2573" s="46"/>
      <c r="E2573" s="46"/>
      <c r="F2573" s="46"/>
      <c r="G2573" s="43"/>
      <c r="H2573" s="43"/>
      <c r="I2573" s="43"/>
      <c r="J2573" s="43"/>
    </row>
    <row r="2574" spans="1:10" ht="13.5" thickBot="1">
      <c r="A2574" s="46"/>
      <c r="B2574" s="46"/>
      <c r="C2574" s="46"/>
      <c r="D2574" s="46"/>
      <c r="E2574" s="46"/>
      <c r="F2574" s="46"/>
      <c r="G2574" s="43"/>
      <c r="H2574" s="43"/>
      <c r="I2574" s="43"/>
      <c r="J2574" s="43"/>
    </row>
    <row r="2575" spans="1:10" ht="25.5" customHeight="1" thickBot="1">
      <c r="A2575" s="50"/>
      <c r="B2575" s="257"/>
      <c r="C2575" s="258"/>
      <c r="D2575" s="258"/>
      <c r="E2575" s="258"/>
      <c r="F2575" s="259"/>
      <c r="G2575" s="43"/>
      <c r="H2575" s="43"/>
      <c r="I2575" s="43"/>
      <c r="J2575" s="43"/>
    </row>
    <row r="2576" spans="1:10">
      <c r="A2576" s="43"/>
      <c r="B2576" s="43"/>
      <c r="C2576" s="43"/>
      <c r="D2576" s="43"/>
      <c r="E2576" s="43"/>
      <c r="F2576" s="43"/>
      <c r="G2576" s="43"/>
      <c r="H2576" s="43"/>
      <c r="I2576" s="43"/>
      <c r="J2576" s="43"/>
    </row>
    <row r="2577" spans="1:10">
      <c r="A2577" s="43"/>
      <c r="B2577" s="43"/>
      <c r="C2577" s="43"/>
      <c r="D2577" s="43"/>
      <c r="E2577" s="43"/>
      <c r="F2577" s="43"/>
      <c r="G2577" s="43"/>
      <c r="H2577" s="43"/>
      <c r="I2577" s="43"/>
      <c r="J2577" s="43"/>
    </row>
    <row r="2578" spans="1:10">
      <c r="A2578" s="43"/>
      <c r="B2578" s="43"/>
      <c r="C2578" s="43"/>
      <c r="D2578" s="43"/>
      <c r="E2578" s="43"/>
      <c r="F2578" s="43"/>
      <c r="G2578" s="43"/>
      <c r="H2578" s="43"/>
      <c r="I2578" s="43"/>
      <c r="J2578" s="43"/>
    </row>
    <row r="2579" spans="1:10">
      <c r="A2579" s="43"/>
      <c r="B2579" s="43"/>
      <c r="C2579" s="43"/>
      <c r="D2579" s="43"/>
      <c r="E2579" s="43"/>
      <c r="F2579" s="43"/>
      <c r="G2579" s="43"/>
      <c r="H2579" s="43"/>
      <c r="I2579" s="43"/>
      <c r="J2579" s="43"/>
    </row>
    <row r="2580" spans="1:10">
      <c r="A2580" s="43"/>
      <c r="B2580" s="43"/>
      <c r="C2580" s="43"/>
      <c r="D2580" s="43"/>
      <c r="E2580" s="43"/>
      <c r="F2580" s="43"/>
      <c r="G2580" s="43"/>
      <c r="H2580" s="43"/>
      <c r="I2580" s="43"/>
      <c r="J2580" s="43"/>
    </row>
    <row r="2581" spans="1:10" ht="25.5" customHeight="1">
      <c r="A2581" s="47"/>
      <c r="B2581" s="47"/>
      <c r="C2581" s="47"/>
      <c r="D2581" s="47"/>
      <c r="E2581" s="47"/>
      <c r="F2581" s="43"/>
      <c r="G2581" s="51"/>
      <c r="H2581" s="250" t="s">
        <v>1227</v>
      </c>
      <c r="I2581" s="251"/>
      <c r="J2581" s="43"/>
    </row>
    <row r="2582" spans="1:10">
      <c r="A2582" s="43" t="s">
        <v>1226</v>
      </c>
      <c r="B2582" s="43"/>
      <c r="C2582" s="43"/>
      <c r="D2582" s="43"/>
      <c r="E2582" s="43"/>
      <c r="F2582" s="43"/>
      <c r="G2582" s="43"/>
      <c r="H2582" s="43"/>
      <c r="I2582" s="43"/>
      <c r="J2582" s="43"/>
    </row>
    <row r="2583" spans="1:10">
      <c r="A2583" s="43"/>
      <c r="B2583" s="43"/>
      <c r="C2583" s="43"/>
      <c r="D2583" s="43"/>
      <c r="E2583" s="43"/>
      <c r="F2583" s="43"/>
      <c r="G2583" s="43"/>
      <c r="H2583" s="43"/>
      <c r="I2583" s="43"/>
      <c r="J2583" s="43"/>
    </row>
    <row r="2584" spans="1:10">
      <c r="A2584" s="43"/>
      <c r="B2584" s="43"/>
      <c r="C2584" s="43"/>
      <c r="D2584" s="43"/>
      <c r="E2584" s="256" t="str">
        <f>CONCATENATE("(",$D2555," vs ",$I2555,")")</f>
        <v>(C vs H)</v>
      </c>
      <c r="F2584" s="256"/>
      <c r="G2584" s="43"/>
      <c r="H2584" s="43"/>
      <c r="I2584" s="43"/>
      <c r="J2584" s="43"/>
    </row>
    <row r="2585" spans="1:10" ht="15.75">
      <c r="A2585" s="42" t="s">
        <v>1223</v>
      </c>
      <c r="B2585" s="43"/>
      <c r="C2585" s="43"/>
      <c r="D2585" s="43"/>
      <c r="E2585" s="43"/>
      <c r="F2585" s="43"/>
      <c r="G2585" s="43"/>
      <c r="H2585" s="43"/>
      <c r="I2585" s="43"/>
      <c r="J2585" s="96" t="s">
        <v>4295</v>
      </c>
    </row>
    <row r="2586" spans="1:10" ht="12.75" customHeight="1">
      <c r="A2586" s="42"/>
      <c r="B2586" s="43"/>
      <c r="C2586" s="43"/>
      <c r="D2586" s="43"/>
      <c r="E2586" s="43"/>
      <c r="F2586" s="43"/>
      <c r="G2586" s="43" t="str">
        <f ca="1">Team_Matches!$J$6</f>
        <v>[NCTTA Teams Template (v2.06).xlsx]</v>
      </c>
      <c r="H2586" s="43"/>
      <c r="I2586" s="43"/>
      <c r="J2586" s="160"/>
    </row>
    <row r="2587" spans="1:10" ht="12.75" customHeight="1">
      <c r="A2587" s="42"/>
      <c r="B2587" s="43"/>
      <c r="C2587" s="43"/>
      <c r="D2587" s="43"/>
      <c r="E2587" s="43"/>
      <c r="F2587" s="43"/>
      <c r="G2587" s="247" t="str">
        <f>Team_Matches!$J1945</f>
        <v/>
      </c>
      <c r="H2587" s="247"/>
      <c r="I2587" s="161" t="str">
        <f>Team_Matches!$M1945</f>
        <v/>
      </c>
      <c r="J2587" s="161"/>
    </row>
    <row r="2588" spans="1:10" ht="15.75">
      <c r="A2588" s="42"/>
      <c r="B2588" s="43"/>
      <c r="C2588" s="43"/>
      <c r="D2588" s="43"/>
      <c r="E2588" s="43"/>
      <c r="F2588" s="43"/>
      <c r="G2588" s="43"/>
      <c r="H2588" s="43"/>
      <c r="I2588" s="43"/>
      <c r="J2588" s="43"/>
    </row>
    <row r="2589" spans="1:10">
      <c r="A2589" s="43"/>
      <c r="B2589" s="43"/>
      <c r="C2589" s="9" t="s">
        <v>1228</v>
      </c>
      <c r="D2589" s="52" t="str">
        <f>Team_Matches!$B1947</f>
        <v>C</v>
      </c>
      <c r="E2589" s="43"/>
      <c r="F2589" s="97" t="str">
        <f>CONCATENATE($D2589,"-",$I2589)</f>
        <v>C-I</v>
      </c>
      <c r="G2589" s="43"/>
      <c r="H2589" s="9" t="s">
        <v>1228</v>
      </c>
      <c r="I2589" s="52" t="str">
        <f>Team_Matches!$K1947</f>
        <v>I</v>
      </c>
      <c r="J2589" s="43"/>
    </row>
    <row r="2590" spans="1:10" ht="25.5" customHeight="1">
      <c r="A2590" s="44"/>
      <c r="B2590" s="248" t="str">
        <f>IF(VLOOKUP($D2589,Draw!$A$4:$B$27,2)&lt;&gt;0,VLOOKUP($D2589,Draw!$A$4:$B$27,2),"")</f>
        <v/>
      </c>
      <c r="C2590" s="248"/>
      <c r="D2590" s="248"/>
      <c r="E2590" s="249"/>
      <c r="F2590" s="45"/>
      <c r="G2590" s="252" t="str">
        <f>IF(VLOOKUP($I2589,Draw!$A$4:$B$27,2)&lt;&gt;0,VLOOKUP($I2589,Draw!$A$4:$B$27,2),"")</f>
        <v/>
      </c>
      <c r="H2590" s="252"/>
      <c r="I2590" s="252"/>
      <c r="J2590" s="253"/>
    </row>
    <row r="2591" spans="1:10" ht="25.5" customHeight="1"/>
    <row r="2592" spans="1:10" ht="25.5" customHeight="1"/>
    <row r="2593" spans="1:10" ht="24" customHeight="1">
      <c r="A2593" s="48" t="s">
        <v>1246</v>
      </c>
      <c r="B2593" s="43"/>
      <c r="C2593" s="43"/>
      <c r="D2593" s="43"/>
      <c r="E2593" s="43"/>
      <c r="F2593" s="43"/>
      <c r="G2593" s="43"/>
      <c r="H2593" s="43"/>
      <c r="I2593" s="43"/>
      <c r="J2593" s="43"/>
    </row>
    <row r="2594" spans="1:10" ht="24" customHeight="1">
      <c r="A2594" s="48"/>
      <c r="B2594" s="43"/>
      <c r="C2594" s="43"/>
      <c r="D2594" s="43"/>
      <c r="E2594" s="43"/>
      <c r="F2594" s="43"/>
      <c r="G2594" s="43"/>
      <c r="H2594" s="43"/>
      <c r="I2594" s="43"/>
      <c r="J2594" s="43"/>
    </row>
    <row r="2595" spans="1:10">
      <c r="A2595" s="49" t="s">
        <v>1224</v>
      </c>
      <c r="B2595" s="46"/>
      <c r="C2595" s="46"/>
      <c r="D2595" s="46"/>
      <c r="E2595" s="46"/>
      <c r="F2595" s="46"/>
      <c r="G2595" s="260" t="s">
        <v>10336</v>
      </c>
      <c r="H2595" s="260"/>
      <c r="I2595" s="260"/>
      <c r="J2595" s="260"/>
    </row>
    <row r="2596" spans="1:10" ht="24" customHeight="1">
      <c r="A2596" s="50" t="str">
        <f>CONCATENATE($D2589,"1")</f>
        <v>C1</v>
      </c>
      <c r="B2596" s="255" t="str">
        <f>IF(VLOOKUP($A2596,Players!$A$2:$C$132,3)&lt;&gt;0,VLOOKUP($A2596,Players!$A$2:$C$132,3),"")</f>
        <v/>
      </c>
      <c r="C2596" s="255"/>
      <c r="D2596" s="255"/>
      <c r="E2596" s="255"/>
      <c r="F2596" s="255"/>
      <c r="G2596" s="254" t="str">
        <f>IF(VLOOKUP($I2589&amp;RIGHT($A2596,1),Players!$A$2:$D$132,3)&lt;&gt;0,VLOOKUP($I2589&amp;RIGHT($A2596,1),Players!$A$2:$D$132,3),"")</f>
        <v/>
      </c>
      <c r="H2596" s="254"/>
      <c r="I2596" s="254"/>
      <c r="J2596" s="210" t="str">
        <f>IF(VLOOKUP($I2589&amp;RIGHT($A2596,1),Players!$A$2:$D$132,3)&lt;&gt;0,"("&amp;VLOOKUP($I2589&amp;RIGHT($A2596,1),Players!$A$2:$D$132,4)&amp;")","")</f>
        <v/>
      </c>
    </row>
    <row r="2597" spans="1:10" ht="25.5" customHeight="1">
      <c r="A2597" s="50" t="str">
        <f>CONCATENATE($D2589,"2")</f>
        <v>C2</v>
      </c>
      <c r="B2597" s="255" t="str">
        <f>IF(VLOOKUP($A2597,Players!$A$2:$C$132,3)&lt;&gt;0,VLOOKUP($A2597,Players!$A$2:$C$132,3),"")</f>
        <v/>
      </c>
      <c r="C2597" s="255"/>
      <c r="D2597" s="255"/>
      <c r="E2597" s="255"/>
      <c r="F2597" s="255"/>
      <c r="G2597" s="254" t="str">
        <f>IF(VLOOKUP($I2589&amp;RIGHT($A2597,1),Players!$A$2:$D$132,3)&lt;&gt;0,VLOOKUP($I2589&amp;RIGHT($A2597,1),Players!$A$2:$D$132,3),"")</f>
        <v/>
      </c>
      <c r="H2597" s="254"/>
      <c r="I2597" s="254"/>
      <c r="J2597" s="210" t="str">
        <f>IF(VLOOKUP($I2589&amp;RIGHT($A2597,1),Players!$A$2:$D$132,3)&lt;&gt;0,"("&amp;VLOOKUP($I2589&amp;RIGHT($A2597,1),Players!$A$2:$D$132,4)&amp;")","")</f>
        <v/>
      </c>
    </row>
    <row r="2598" spans="1:10" ht="25.5" customHeight="1">
      <c r="A2598" s="50" t="str">
        <f>CONCATENATE($D2589,"3")</f>
        <v>C3</v>
      </c>
      <c r="B2598" s="255" t="str">
        <f>IF(VLOOKUP($A2598,Players!$A$2:$C$132,3)&lt;&gt;0,VLOOKUP($A2598,Players!$A$2:$C$132,3),"")</f>
        <v/>
      </c>
      <c r="C2598" s="255"/>
      <c r="D2598" s="255"/>
      <c r="E2598" s="255"/>
      <c r="F2598" s="255"/>
      <c r="G2598" s="254" t="str">
        <f>IF(VLOOKUP($I2589&amp;RIGHT($A2598,1),Players!$A$2:$D$132,3)&lt;&gt;0,VLOOKUP($I2589&amp;RIGHT($A2598,1),Players!$A$2:$D$132,3),"")</f>
        <v/>
      </c>
      <c r="H2598" s="254"/>
      <c r="I2598" s="254"/>
      <c r="J2598" s="210" t="str">
        <f>IF(VLOOKUP($I2589&amp;RIGHT($A2598,1),Players!$A$2:$D$132,3)&lt;&gt;0,"("&amp;VLOOKUP($I2589&amp;RIGHT($A2598,1),Players!$A$2:$D$132,4)&amp;")","")</f>
        <v/>
      </c>
    </row>
    <row r="2599" spans="1:10" ht="25.5" customHeight="1">
      <c r="A2599" s="50" t="str">
        <f>CONCATENATE($D2589,"4")</f>
        <v>C4</v>
      </c>
      <c r="B2599" s="255" t="str">
        <f>IF(VLOOKUP($A2599,Players!$A$2:$C$132,3)&lt;&gt;0,VLOOKUP($A2599,Players!$A$2:$C$132,3),"")</f>
        <v/>
      </c>
      <c r="C2599" s="255"/>
      <c r="D2599" s="255"/>
      <c r="E2599" s="255"/>
      <c r="F2599" s="255"/>
      <c r="G2599" s="254" t="str">
        <f>IF(VLOOKUP($I2589&amp;RIGHT($A2599,1),Players!$A$2:$D$132,3)&lt;&gt;0,VLOOKUP($I2589&amp;RIGHT($A2599,1),Players!$A$2:$D$132,3),"")</f>
        <v/>
      </c>
      <c r="H2599" s="254"/>
      <c r="I2599" s="254"/>
      <c r="J2599" s="210" t="str">
        <f>IF(VLOOKUP($I2589&amp;RIGHT($A2599,1),Players!$A$2:$D$132,3)&lt;&gt;0,"("&amp;VLOOKUP($I2589&amp;RIGHT($A2599,1),Players!$A$2:$D$132,4)&amp;")","")</f>
        <v/>
      </c>
    </row>
    <row r="2600" spans="1:10" ht="25.5" customHeight="1">
      <c r="A2600" s="50" t="str">
        <f>CONCATENATE($D2589,"5")</f>
        <v>C5</v>
      </c>
      <c r="B2600" s="255" t="str">
        <f>IF(VLOOKUP($A2600,Players!$A$2:$C$132,3)&lt;&gt;0,VLOOKUP($A2600,Players!$A$2:$C$132,3),"")</f>
        <v/>
      </c>
      <c r="C2600" s="255"/>
      <c r="D2600" s="255"/>
      <c r="E2600" s="255"/>
      <c r="F2600" s="255"/>
      <c r="G2600" s="254" t="str">
        <f>IF(VLOOKUP($I2589&amp;RIGHT($A2600,1),Players!$A$2:$D$132,3)&lt;&gt;0,VLOOKUP($I2589&amp;RIGHT($A2600,1),Players!$A$2:$D$132,3),"")</f>
        <v/>
      </c>
      <c r="H2600" s="254"/>
      <c r="I2600" s="254"/>
      <c r="J2600" s="210" t="str">
        <f>IF(VLOOKUP($I2589&amp;RIGHT($A2600,1),Players!$A$2:$D$132,3)&lt;&gt;0,"("&amp;VLOOKUP($I2589&amp;RIGHT($A2600,1),Players!$A$2:$D$132,4)&amp;")","")</f>
        <v/>
      </c>
    </row>
    <row r="2601" spans="1:10" ht="25.5" customHeight="1">
      <c r="A2601" s="50" t="str">
        <f>CONCATENATE($D2589,"6")</f>
        <v>C6</v>
      </c>
      <c r="B2601" s="255" t="str">
        <f>IF(VLOOKUP($A2601,Players!$A$2:$C$132,3)&lt;&gt;0,VLOOKUP($A2601,Players!$A$2:$C$132,3),"")</f>
        <v/>
      </c>
      <c r="C2601" s="255"/>
      <c r="D2601" s="255"/>
      <c r="E2601" s="255"/>
      <c r="F2601" s="255"/>
      <c r="G2601" s="254" t="str">
        <f>IF(VLOOKUP($I2589&amp;RIGHT($A2601,1),Players!$A$2:$D$132,3)&lt;&gt;0,VLOOKUP($I2589&amp;RIGHT($A2601,1),Players!$A$2:$D$132,3),"")</f>
        <v/>
      </c>
      <c r="H2601" s="254"/>
      <c r="I2601" s="254"/>
      <c r="J2601" s="210" t="str">
        <f>IF(VLOOKUP($I2589&amp;RIGHT($A2601,1),Players!$A$2:$D$132,3)&lt;&gt;0,"("&amp;VLOOKUP($I2589&amp;RIGHT($A2601,1),Players!$A$2:$D$132,4)&amp;")","")</f>
        <v/>
      </c>
    </row>
    <row r="2602" spans="1:10" ht="25.5" customHeight="1">
      <c r="A2602" s="50" t="str">
        <f>CONCATENATE($D2589,"7")</f>
        <v>C7</v>
      </c>
      <c r="B2602" s="255" t="str">
        <f>IF(VLOOKUP($A2602,Players!$A$2:$C$132,3)&lt;&gt;0,VLOOKUP($A2602,Players!$A$2:$C$132,3),"")</f>
        <v/>
      </c>
      <c r="C2602" s="255"/>
      <c r="D2602" s="255"/>
      <c r="E2602" s="255"/>
      <c r="F2602" s="255"/>
      <c r="G2602" s="254" t="str">
        <f>IF(VLOOKUP($I2589&amp;RIGHT($A2602,1),Players!$A$2:$D$132,3)&lt;&gt;0,VLOOKUP($I2589&amp;RIGHT($A2602,1),Players!$A$2:$D$132,3),"")</f>
        <v/>
      </c>
      <c r="H2602" s="254"/>
      <c r="I2602" s="254"/>
      <c r="J2602" s="210" t="str">
        <f>IF(VLOOKUP($I2589&amp;RIGHT($A2602,1),Players!$A$2:$D$132,3)&lt;&gt;0,"("&amp;VLOOKUP($I2589&amp;RIGHT($A2602,1),Players!$A$2:$D$132,4)&amp;")","")</f>
        <v/>
      </c>
    </row>
    <row r="2603" spans="1:10" ht="25.5" customHeight="1">
      <c r="A2603" s="50" t="str">
        <f>CONCATENATE($D2589,"8")</f>
        <v>C8</v>
      </c>
      <c r="B2603" s="255" t="str">
        <f>IF(VLOOKUP($A2603,Players!$A$2:$C$132,3)&lt;&gt;0,VLOOKUP($A2603,Players!$A$2:$C$132,3),"")</f>
        <v/>
      </c>
      <c r="C2603" s="255"/>
      <c r="D2603" s="255"/>
      <c r="E2603" s="255"/>
      <c r="F2603" s="255"/>
      <c r="G2603" s="254" t="str">
        <f>IF(VLOOKUP($I2589&amp;RIGHT($A2603,1),Players!$A$2:$D$132,3)&lt;&gt;0,VLOOKUP($I2589&amp;RIGHT($A2603,1),Players!$A$2:$D$132,3),"")</f>
        <v/>
      </c>
      <c r="H2603" s="254"/>
      <c r="I2603" s="254"/>
      <c r="J2603" s="210" t="str">
        <f>IF(VLOOKUP($I2589&amp;RIGHT($A2603,1),Players!$A$2:$D$132,3)&lt;&gt;0,"("&amp;VLOOKUP($I2589&amp;RIGHT($A2603,1),Players!$A$2:$D$132,4)&amp;")","")</f>
        <v/>
      </c>
    </row>
    <row r="2604" spans="1:10" ht="25.5" customHeight="1">
      <c r="A2604" s="50"/>
      <c r="B2604" s="26"/>
      <c r="C2604" s="26"/>
      <c r="D2604" s="26"/>
      <c r="E2604" s="26"/>
      <c r="F2604" s="27"/>
      <c r="G2604" s="43"/>
      <c r="H2604" s="43"/>
      <c r="I2604" s="43"/>
      <c r="J2604" s="43"/>
    </row>
    <row r="2605" spans="1:10">
      <c r="A2605" s="49" t="s">
        <v>1225</v>
      </c>
      <c r="B2605" s="46"/>
      <c r="C2605" s="46"/>
      <c r="D2605" s="46"/>
      <c r="E2605" s="46"/>
      <c r="F2605" s="46"/>
      <c r="G2605" s="43"/>
      <c r="H2605" s="43"/>
      <c r="I2605" s="43"/>
      <c r="J2605" s="43"/>
    </row>
    <row r="2606" spans="1:10">
      <c r="A2606" s="46" t="s">
        <v>1247</v>
      </c>
      <c r="B2606" s="46"/>
      <c r="C2606" s="46"/>
      <c r="D2606" s="46"/>
      <c r="E2606" s="46"/>
      <c r="F2606" s="46"/>
      <c r="G2606" s="43"/>
      <c r="H2606" s="43"/>
      <c r="I2606" s="43"/>
      <c r="J2606" s="43"/>
    </row>
    <row r="2607" spans="1:10">
      <c r="A2607" s="46" t="s">
        <v>1248</v>
      </c>
      <c r="B2607" s="46"/>
      <c r="C2607" s="46"/>
      <c r="D2607" s="46"/>
      <c r="E2607" s="46"/>
      <c r="F2607" s="46"/>
      <c r="G2607" s="43"/>
      <c r="H2607" s="43"/>
      <c r="I2607" s="43"/>
      <c r="J2607" s="43"/>
    </row>
    <row r="2608" spans="1:10" ht="13.5" thickBot="1">
      <c r="A2608" s="46"/>
      <c r="B2608" s="46"/>
      <c r="C2608" s="46"/>
      <c r="D2608" s="46"/>
      <c r="E2608" s="46"/>
      <c r="F2608" s="46"/>
      <c r="G2608" s="43"/>
      <c r="H2608" s="43"/>
      <c r="I2608" s="43"/>
      <c r="J2608" s="43"/>
    </row>
    <row r="2609" spans="1:10" ht="25.5" customHeight="1" thickBot="1">
      <c r="A2609" s="50"/>
      <c r="B2609" s="257"/>
      <c r="C2609" s="258"/>
      <c r="D2609" s="258"/>
      <c r="E2609" s="258"/>
      <c r="F2609" s="259"/>
      <c r="G2609" s="43"/>
      <c r="H2609" s="43"/>
      <c r="I2609" s="43"/>
      <c r="J2609" s="43"/>
    </row>
    <row r="2610" spans="1:10">
      <c r="A2610" s="43"/>
      <c r="B2610" s="43"/>
      <c r="C2610" s="43"/>
      <c r="D2610" s="43"/>
      <c r="E2610" s="43"/>
      <c r="F2610" s="43"/>
      <c r="G2610" s="43"/>
      <c r="H2610" s="43"/>
      <c r="I2610" s="43"/>
      <c r="J2610" s="43"/>
    </row>
    <row r="2611" spans="1:10">
      <c r="A2611" s="43"/>
      <c r="B2611" s="43"/>
      <c r="C2611" s="43"/>
      <c r="D2611" s="43"/>
      <c r="E2611" s="43"/>
      <c r="F2611" s="43"/>
      <c r="G2611" s="43"/>
      <c r="H2611" s="43"/>
      <c r="I2611" s="43"/>
      <c r="J2611" s="43"/>
    </row>
    <row r="2612" spans="1:10">
      <c r="A2612" s="43"/>
      <c r="B2612" s="43"/>
      <c r="C2612" s="43"/>
      <c r="D2612" s="43"/>
      <c r="E2612" s="43"/>
      <c r="F2612" s="43"/>
      <c r="G2612" s="43"/>
      <c r="H2612" s="43"/>
      <c r="I2612" s="43"/>
      <c r="J2612" s="43"/>
    </row>
    <row r="2613" spans="1:10">
      <c r="A2613" s="43"/>
      <c r="B2613" s="43"/>
      <c r="C2613" s="43"/>
      <c r="D2613" s="43"/>
      <c r="E2613" s="43"/>
      <c r="F2613" s="43"/>
      <c r="G2613" s="43"/>
      <c r="H2613" s="43"/>
      <c r="I2613" s="43"/>
      <c r="J2613" s="43"/>
    </row>
    <row r="2614" spans="1:10">
      <c r="A2614" s="43"/>
      <c r="B2614" s="43"/>
      <c r="C2614" s="43"/>
      <c r="D2614" s="43"/>
      <c r="E2614" s="43"/>
      <c r="F2614" s="43"/>
      <c r="G2614" s="43"/>
      <c r="H2614" s="43"/>
      <c r="I2614" s="43"/>
      <c r="J2614" s="43"/>
    </row>
    <row r="2615" spans="1:10" ht="25.5" customHeight="1">
      <c r="A2615" s="47"/>
      <c r="B2615" s="47"/>
      <c r="C2615" s="47"/>
      <c r="D2615" s="47"/>
      <c r="E2615" s="47"/>
      <c r="F2615" s="43"/>
      <c r="G2615" s="51"/>
      <c r="H2615" s="250" t="s">
        <v>1227</v>
      </c>
      <c r="I2615" s="251"/>
      <c r="J2615" s="43"/>
    </row>
    <row r="2616" spans="1:10">
      <c r="A2616" s="43" t="s">
        <v>1226</v>
      </c>
      <c r="B2616" s="43"/>
      <c r="C2616" s="43"/>
      <c r="D2616" s="43"/>
      <c r="E2616" s="43"/>
      <c r="F2616" s="43"/>
      <c r="G2616" s="43"/>
      <c r="H2616" s="43"/>
      <c r="I2616" s="43"/>
      <c r="J2616" s="43"/>
    </row>
    <row r="2617" spans="1:10">
      <c r="A2617" s="43"/>
      <c r="B2617" s="43"/>
      <c r="C2617" s="43"/>
      <c r="D2617" s="43"/>
      <c r="E2617" s="43"/>
      <c r="F2617" s="43"/>
      <c r="G2617" s="43"/>
      <c r="H2617" s="43"/>
      <c r="I2617" s="43"/>
      <c r="J2617" s="43"/>
    </row>
    <row r="2618" spans="1:10">
      <c r="A2618" s="43"/>
      <c r="B2618" s="43"/>
      <c r="C2618" s="43"/>
      <c r="D2618" s="43"/>
      <c r="E2618" s="256" t="str">
        <f>CONCATENATE("(",$D2589," vs ",$I2589,")")</f>
        <v>(C vs I)</v>
      </c>
      <c r="F2618" s="256"/>
      <c r="G2618" s="43"/>
      <c r="H2618" s="43"/>
      <c r="I2618" s="43"/>
      <c r="J2618" s="43"/>
    </row>
    <row r="2619" spans="1:10" ht="15.75">
      <c r="A2619" s="42" t="s">
        <v>1223</v>
      </c>
      <c r="B2619" s="43"/>
      <c r="C2619" s="43"/>
      <c r="D2619" s="43"/>
      <c r="E2619" s="43"/>
      <c r="F2619" s="43"/>
      <c r="G2619" s="43"/>
      <c r="H2619" s="43"/>
      <c r="I2619" s="43"/>
      <c r="J2619" s="96" t="s">
        <v>4296</v>
      </c>
    </row>
    <row r="2620" spans="1:10" ht="12.75" customHeight="1">
      <c r="A2620" s="42"/>
      <c r="B2620" s="43"/>
      <c r="C2620" s="43"/>
      <c r="D2620" s="43"/>
      <c r="E2620" s="43"/>
      <c r="F2620" s="43"/>
      <c r="G2620" s="43" t="str">
        <f ca="1">Team_Matches!$J$6</f>
        <v>[NCTTA Teams Template (v2.06).xlsx]</v>
      </c>
      <c r="H2620" s="43"/>
      <c r="I2620" s="43"/>
      <c r="J2620" s="160"/>
    </row>
    <row r="2621" spans="1:10" ht="12.75" customHeight="1">
      <c r="A2621" s="42"/>
      <c r="B2621" s="43"/>
      <c r="C2621" s="43"/>
      <c r="D2621" s="43"/>
      <c r="E2621" s="43"/>
      <c r="F2621" s="43"/>
      <c r="G2621" s="247" t="str">
        <f>Team_Matches!$J1945</f>
        <v/>
      </c>
      <c r="H2621" s="247"/>
      <c r="I2621" s="161" t="str">
        <f>Team_Matches!$M1945</f>
        <v/>
      </c>
      <c r="J2621" s="161"/>
    </row>
    <row r="2622" spans="1:10" ht="15.75">
      <c r="A2622" s="42"/>
      <c r="B2622" s="43"/>
      <c r="C2622" s="43"/>
      <c r="D2622" s="43"/>
      <c r="E2622" s="43"/>
      <c r="F2622" s="43"/>
      <c r="G2622" s="43"/>
      <c r="H2622" s="43"/>
      <c r="I2622" s="43"/>
      <c r="J2622" s="43"/>
    </row>
    <row r="2623" spans="1:10">
      <c r="A2623" s="43"/>
      <c r="B2623" s="43"/>
      <c r="C2623" s="9" t="s">
        <v>1228</v>
      </c>
      <c r="D2623" s="52" t="str">
        <f>Team_Matches!$B1947</f>
        <v>C</v>
      </c>
      <c r="E2623" s="43"/>
      <c r="F2623" s="97" t="str">
        <f>CONCATENATE($D2623,"-",$I2623)</f>
        <v>C-I</v>
      </c>
      <c r="G2623" s="43"/>
      <c r="H2623" s="9" t="s">
        <v>1228</v>
      </c>
      <c r="I2623" s="52" t="str">
        <f>Team_Matches!$K1947</f>
        <v>I</v>
      </c>
      <c r="J2623" s="43"/>
    </row>
    <row r="2624" spans="1:10" ht="25.5" customHeight="1">
      <c r="A2624" s="44"/>
      <c r="B2624" s="252" t="str">
        <f>IF(VLOOKUP($D2623,Draw!$A$4:$B$27,2)&lt;&gt;0,VLOOKUP($D2623,Draw!$A$4:$B$27,2),"")</f>
        <v/>
      </c>
      <c r="C2624" s="252"/>
      <c r="D2624" s="252"/>
      <c r="E2624" s="253"/>
      <c r="F2624" s="45"/>
      <c r="G2624" s="248" t="str">
        <f>IF(VLOOKUP($I2623,Draw!$A$4:$B$27,2)&lt;&gt;0,VLOOKUP($I2623,Draw!$A$4:$B$27,2),"")</f>
        <v/>
      </c>
      <c r="H2624" s="248"/>
      <c r="I2624" s="248"/>
      <c r="J2624" s="249"/>
    </row>
    <row r="2625" spans="1:10" ht="25.5" customHeight="1"/>
    <row r="2626" spans="1:10" ht="25.5" customHeight="1"/>
    <row r="2627" spans="1:10" ht="24" customHeight="1">
      <c r="A2627" s="48" t="s">
        <v>1246</v>
      </c>
      <c r="B2627" s="43"/>
      <c r="C2627" s="43"/>
      <c r="D2627" s="43"/>
      <c r="E2627" s="43"/>
      <c r="F2627" s="43"/>
      <c r="G2627" s="43"/>
      <c r="H2627" s="43"/>
      <c r="I2627" s="43"/>
      <c r="J2627" s="43"/>
    </row>
    <row r="2628" spans="1:10" ht="24" customHeight="1">
      <c r="A2628" s="48"/>
      <c r="B2628" s="43"/>
      <c r="C2628" s="43"/>
      <c r="D2628" s="43"/>
      <c r="E2628" s="43"/>
      <c r="F2628" s="43"/>
      <c r="G2628" s="43"/>
      <c r="H2628" s="43"/>
      <c r="I2628" s="43"/>
      <c r="J2628" s="43"/>
    </row>
    <row r="2629" spans="1:10">
      <c r="A2629" s="49" t="s">
        <v>1224</v>
      </c>
      <c r="B2629" s="46"/>
      <c r="C2629" s="46"/>
      <c r="D2629" s="46"/>
      <c r="E2629" s="46"/>
      <c r="F2629" s="46"/>
      <c r="G2629" s="260" t="s">
        <v>10336</v>
      </c>
      <c r="H2629" s="260"/>
      <c r="I2629" s="260"/>
      <c r="J2629" s="260"/>
    </row>
    <row r="2630" spans="1:10" ht="24" customHeight="1">
      <c r="A2630" s="50" t="str">
        <f>CONCATENATE($I2623,"1")</f>
        <v>I1</v>
      </c>
      <c r="B2630" s="255" t="str">
        <f>IF(VLOOKUP($A2630,Players!$A$2:$C$132,3)&lt;&gt;0,VLOOKUP($A2630,Players!$A$2:$C$132,3),"")</f>
        <v/>
      </c>
      <c r="C2630" s="255"/>
      <c r="D2630" s="255"/>
      <c r="E2630" s="255"/>
      <c r="F2630" s="255"/>
      <c r="G2630" s="254" t="str">
        <f>IF(VLOOKUP($D2623&amp;RIGHT($A2630,1),Players!$A$2:$D$132,3)&lt;&gt;0,VLOOKUP($D2623&amp;RIGHT($A2630,1),Players!$A$2:$D$132,3),"")</f>
        <v/>
      </c>
      <c r="H2630" s="254"/>
      <c r="I2630" s="254"/>
      <c r="J2630" s="210" t="str">
        <f>IF(VLOOKUP($D2623&amp;RIGHT($A2630,1),Players!$A$2:$D$132,3)&lt;&gt;0,"("&amp;VLOOKUP($D2623&amp;RIGHT($A2630,1),Players!$A$2:$D$132,4)&amp;")","")</f>
        <v/>
      </c>
    </row>
    <row r="2631" spans="1:10" ht="25.5" customHeight="1">
      <c r="A2631" s="50" t="str">
        <f>CONCATENATE($I2623,"2")</f>
        <v>I2</v>
      </c>
      <c r="B2631" s="255" t="str">
        <f>IF(VLOOKUP($A2631,Players!$A$2:$C$132,3)&lt;&gt;0,VLOOKUP($A2631,Players!$A$2:$C$132,3),"")</f>
        <v/>
      </c>
      <c r="C2631" s="255"/>
      <c r="D2631" s="255"/>
      <c r="E2631" s="255"/>
      <c r="F2631" s="255"/>
      <c r="G2631" s="254" t="str">
        <f>IF(VLOOKUP($D2623&amp;RIGHT($A2631,1),Players!$A$2:$D$132,3)&lt;&gt;0,VLOOKUP($D2623&amp;RIGHT($A2631,1),Players!$A$2:$D$132,3),"")</f>
        <v/>
      </c>
      <c r="H2631" s="254"/>
      <c r="I2631" s="254"/>
      <c r="J2631" s="210" t="str">
        <f>IF(VLOOKUP($D2623&amp;RIGHT($A2631,1),Players!$A$2:$D$132,3)&lt;&gt;0,"("&amp;VLOOKUP($D2623&amp;RIGHT($A2631,1),Players!$A$2:$D$132,4)&amp;")","")</f>
        <v/>
      </c>
    </row>
    <row r="2632" spans="1:10" ht="25.5" customHeight="1">
      <c r="A2632" s="50" t="str">
        <f>CONCATENATE($I2623,"3")</f>
        <v>I3</v>
      </c>
      <c r="B2632" s="255" t="str">
        <f>IF(VLOOKUP($A2632,Players!$A$2:$C$132,3)&lt;&gt;0,VLOOKUP($A2632,Players!$A$2:$C$132,3),"")</f>
        <v/>
      </c>
      <c r="C2632" s="255"/>
      <c r="D2632" s="255"/>
      <c r="E2632" s="255"/>
      <c r="F2632" s="255"/>
      <c r="G2632" s="254" t="str">
        <f>IF(VLOOKUP($D2623&amp;RIGHT($A2632,1),Players!$A$2:$D$132,3)&lt;&gt;0,VLOOKUP($D2623&amp;RIGHT($A2632,1),Players!$A$2:$D$132,3),"")</f>
        <v/>
      </c>
      <c r="H2632" s="254"/>
      <c r="I2632" s="254"/>
      <c r="J2632" s="210" t="str">
        <f>IF(VLOOKUP($D2623&amp;RIGHT($A2632,1),Players!$A$2:$D$132,3)&lt;&gt;0,"("&amp;VLOOKUP($D2623&amp;RIGHT($A2632,1),Players!$A$2:$D$132,4)&amp;")","")</f>
        <v/>
      </c>
    </row>
    <row r="2633" spans="1:10" ht="25.5" customHeight="1">
      <c r="A2633" s="50" t="str">
        <f>CONCATENATE($I2623,"4")</f>
        <v>I4</v>
      </c>
      <c r="B2633" s="255" t="str">
        <f>IF(VLOOKUP($A2633,Players!$A$2:$C$132,3)&lt;&gt;0,VLOOKUP($A2633,Players!$A$2:$C$132,3),"")</f>
        <v/>
      </c>
      <c r="C2633" s="255"/>
      <c r="D2633" s="255"/>
      <c r="E2633" s="255"/>
      <c r="F2633" s="255"/>
      <c r="G2633" s="254" t="str">
        <f>IF(VLOOKUP($D2623&amp;RIGHT($A2633,1),Players!$A$2:$D$132,3)&lt;&gt;0,VLOOKUP($D2623&amp;RIGHT($A2633,1),Players!$A$2:$D$132,3),"")</f>
        <v/>
      </c>
      <c r="H2633" s="254"/>
      <c r="I2633" s="254"/>
      <c r="J2633" s="210" t="str">
        <f>IF(VLOOKUP($D2623&amp;RIGHT($A2633,1),Players!$A$2:$D$132,3)&lt;&gt;0,"("&amp;VLOOKUP($D2623&amp;RIGHT($A2633,1),Players!$A$2:$D$132,4)&amp;")","")</f>
        <v/>
      </c>
    </row>
    <row r="2634" spans="1:10" ht="25.5" customHeight="1">
      <c r="A2634" s="50" t="str">
        <f>CONCATENATE($I2623,"5")</f>
        <v>I5</v>
      </c>
      <c r="B2634" s="255" t="str">
        <f>IF(VLOOKUP($A2634,Players!$A$2:$C$132,3)&lt;&gt;0,VLOOKUP($A2634,Players!$A$2:$C$132,3),"")</f>
        <v/>
      </c>
      <c r="C2634" s="255"/>
      <c r="D2634" s="255"/>
      <c r="E2634" s="255"/>
      <c r="F2634" s="255"/>
      <c r="G2634" s="254" t="str">
        <f>IF(VLOOKUP($D2623&amp;RIGHT($A2634,1),Players!$A$2:$D$132,3)&lt;&gt;0,VLOOKUP($D2623&amp;RIGHT($A2634,1),Players!$A$2:$D$132,3),"")</f>
        <v/>
      </c>
      <c r="H2634" s="254"/>
      <c r="I2634" s="254"/>
      <c r="J2634" s="210" t="str">
        <f>IF(VLOOKUP($D2623&amp;RIGHT($A2634,1),Players!$A$2:$D$132,3)&lt;&gt;0,"("&amp;VLOOKUP($D2623&amp;RIGHT($A2634,1),Players!$A$2:$D$132,4)&amp;")","")</f>
        <v/>
      </c>
    </row>
    <row r="2635" spans="1:10" ht="25.5" customHeight="1">
      <c r="A2635" s="50" t="str">
        <f>CONCATENATE($I2623,"6")</f>
        <v>I6</v>
      </c>
      <c r="B2635" s="255" t="str">
        <f>IF(VLOOKUP($A2635,Players!$A$2:$C$132,3)&lt;&gt;0,VLOOKUP($A2635,Players!$A$2:$C$132,3),"")</f>
        <v/>
      </c>
      <c r="C2635" s="255"/>
      <c r="D2635" s="255"/>
      <c r="E2635" s="255"/>
      <c r="F2635" s="255"/>
      <c r="G2635" s="254" t="str">
        <f>IF(VLOOKUP($D2623&amp;RIGHT($A2635,1),Players!$A$2:$D$132,3)&lt;&gt;0,VLOOKUP($D2623&amp;RIGHT($A2635,1),Players!$A$2:$D$132,3),"")</f>
        <v/>
      </c>
      <c r="H2635" s="254"/>
      <c r="I2635" s="254"/>
      <c r="J2635" s="210" t="str">
        <f>IF(VLOOKUP($D2623&amp;RIGHT($A2635,1),Players!$A$2:$D$132,3)&lt;&gt;0,"("&amp;VLOOKUP($D2623&amp;RIGHT($A2635,1),Players!$A$2:$D$132,4)&amp;")","")</f>
        <v/>
      </c>
    </row>
    <row r="2636" spans="1:10" ht="25.5" customHeight="1">
      <c r="A2636" s="50" t="str">
        <f>CONCATENATE($I2623,"7")</f>
        <v>I7</v>
      </c>
      <c r="B2636" s="255" t="str">
        <f>IF(VLOOKUP($A2636,Players!$A$2:$C$132,3)&lt;&gt;0,VLOOKUP($A2636,Players!$A$2:$C$132,3),"")</f>
        <v/>
      </c>
      <c r="C2636" s="255"/>
      <c r="D2636" s="255"/>
      <c r="E2636" s="255"/>
      <c r="F2636" s="255"/>
      <c r="G2636" s="254" t="str">
        <f>IF(VLOOKUP($D2623&amp;RIGHT($A2636,1),Players!$A$2:$D$132,3)&lt;&gt;0,VLOOKUP($D2623&amp;RIGHT($A2636,1),Players!$A$2:$D$132,3),"")</f>
        <v/>
      </c>
      <c r="H2636" s="254"/>
      <c r="I2636" s="254"/>
      <c r="J2636" s="210" t="str">
        <f>IF(VLOOKUP($D2623&amp;RIGHT($A2636,1),Players!$A$2:$D$132,3)&lt;&gt;0,"("&amp;VLOOKUP($D2623&amp;RIGHT($A2636,1),Players!$A$2:$D$132,4)&amp;")","")</f>
        <v/>
      </c>
    </row>
    <row r="2637" spans="1:10" ht="25.5" customHeight="1">
      <c r="A2637" s="50" t="str">
        <f>CONCATENATE($I2623,"8")</f>
        <v>I8</v>
      </c>
      <c r="B2637" s="255" t="str">
        <f>IF(VLOOKUP($A2637,Players!$A$2:$C$132,3)&lt;&gt;0,VLOOKUP($A2637,Players!$A$2:$C$132,3),"")</f>
        <v/>
      </c>
      <c r="C2637" s="255"/>
      <c r="D2637" s="255"/>
      <c r="E2637" s="255"/>
      <c r="F2637" s="255"/>
      <c r="G2637" s="254" t="str">
        <f>IF(VLOOKUP($D2623&amp;RIGHT($A2637,1),Players!$A$2:$D$132,3)&lt;&gt;0,VLOOKUP($D2623&amp;RIGHT($A2637,1),Players!$A$2:$D$132,3),"")</f>
        <v/>
      </c>
      <c r="H2637" s="254"/>
      <c r="I2637" s="254"/>
      <c r="J2637" s="210" t="str">
        <f>IF(VLOOKUP($D2623&amp;RIGHT($A2637,1),Players!$A$2:$D$132,3)&lt;&gt;0,"("&amp;VLOOKUP($D2623&amp;RIGHT($A2637,1),Players!$A$2:$D$132,4)&amp;")","")</f>
        <v/>
      </c>
    </row>
    <row r="2638" spans="1:10" ht="25.5" customHeight="1">
      <c r="A2638" s="50"/>
      <c r="B2638" s="26"/>
      <c r="C2638" s="26"/>
      <c r="D2638" s="26"/>
      <c r="E2638" s="26"/>
      <c r="F2638" s="27"/>
      <c r="G2638" s="43"/>
      <c r="H2638" s="43"/>
      <c r="I2638" s="43"/>
      <c r="J2638" s="43"/>
    </row>
    <row r="2639" spans="1:10">
      <c r="A2639" s="49" t="s">
        <v>1225</v>
      </c>
      <c r="B2639" s="46"/>
      <c r="C2639" s="46"/>
      <c r="D2639" s="46"/>
      <c r="E2639" s="46"/>
      <c r="F2639" s="46"/>
      <c r="G2639" s="43"/>
      <c r="H2639" s="43"/>
      <c r="I2639" s="43"/>
      <c r="J2639" s="43"/>
    </row>
    <row r="2640" spans="1:10">
      <c r="A2640" s="46" t="s">
        <v>1247</v>
      </c>
      <c r="B2640" s="46"/>
      <c r="C2640" s="46"/>
      <c r="D2640" s="46"/>
      <c r="E2640" s="46"/>
      <c r="F2640" s="46"/>
      <c r="G2640" s="43"/>
      <c r="H2640" s="43"/>
      <c r="I2640" s="43"/>
      <c r="J2640" s="43"/>
    </row>
    <row r="2641" spans="1:10">
      <c r="A2641" s="46" t="s">
        <v>1248</v>
      </c>
      <c r="B2641" s="46"/>
      <c r="C2641" s="46"/>
      <c r="D2641" s="46"/>
      <c r="E2641" s="46"/>
      <c r="F2641" s="46"/>
      <c r="G2641" s="43"/>
      <c r="H2641" s="43"/>
      <c r="I2641" s="43"/>
      <c r="J2641" s="43"/>
    </row>
    <row r="2642" spans="1:10" ht="13.5" thickBot="1">
      <c r="A2642" s="46"/>
      <c r="B2642" s="46"/>
      <c r="C2642" s="46"/>
      <c r="D2642" s="46"/>
      <c r="E2642" s="46"/>
      <c r="F2642" s="46"/>
      <c r="G2642" s="43"/>
      <c r="H2642" s="43"/>
      <c r="I2642" s="43"/>
      <c r="J2642" s="43"/>
    </row>
    <row r="2643" spans="1:10" ht="25.5" customHeight="1" thickBot="1">
      <c r="A2643" s="50"/>
      <c r="B2643" s="257"/>
      <c r="C2643" s="258"/>
      <c r="D2643" s="258"/>
      <c r="E2643" s="258"/>
      <c r="F2643" s="259"/>
      <c r="G2643" s="43"/>
      <c r="H2643" s="43"/>
      <c r="I2643" s="43"/>
      <c r="J2643" s="43"/>
    </row>
    <row r="2644" spans="1:10">
      <c r="A2644" s="43"/>
      <c r="B2644" s="43"/>
      <c r="C2644" s="43"/>
      <c r="D2644" s="43"/>
      <c r="E2644" s="43"/>
      <c r="F2644" s="43"/>
      <c r="G2644" s="43"/>
      <c r="H2644" s="43"/>
      <c r="I2644" s="43"/>
      <c r="J2644" s="43"/>
    </row>
    <row r="2645" spans="1:10">
      <c r="A2645" s="43"/>
      <c r="B2645" s="43"/>
      <c r="C2645" s="43"/>
      <c r="D2645" s="43"/>
      <c r="E2645" s="43"/>
      <c r="F2645" s="43"/>
      <c r="G2645" s="43"/>
      <c r="H2645" s="43"/>
      <c r="I2645" s="43"/>
      <c r="J2645" s="43"/>
    </row>
    <row r="2646" spans="1:10">
      <c r="A2646" s="43"/>
      <c r="B2646" s="43"/>
      <c r="C2646" s="43"/>
      <c r="D2646" s="43"/>
      <c r="E2646" s="43"/>
      <c r="F2646" s="43"/>
      <c r="G2646" s="43"/>
      <c r="H2646" s="43"/>
      <c r="I2646" s="43"/>
      <c r="J2646" s="43"/>
    </row>
    <row r="2647" spans="1:10">
      <c r="A2647" s="43"/>
      <c r="B2647" s="43"/>
      <c r="C2647" s="43"/>
      <c r="D2647" s="43"/>
      <c r="E2647" s="43"/>
      <c r="F2647" s="43"/>
      <c r="G2647" s="43"/>
      <c r="H2647" s="43"/>
      <c r="I2647" s="43"/>
      <c r="J2647" s="43"/>
    </row>
    <row r="2648" spans="1:10">
      <c r="A2648" s="43"/>
      <c r="B2648" s="43"/>
      <c r="C2648" s="43"/>
      <c r="D2648" s="43"/>
      <c r="E2648" s="43"/>
      <c r="F2648" s="43"/>
      <c r="G2648" s="43"/>
      <c r="H2648" s="43"/>
      <c r="I2648" s="43"/>
      <c r="J2648" s="43"/>
    </row>
    <row r="2649" spans="1:10" ht="25.5" customHeight="1">
      <c r="A2649" s="47"/>
      <c r="B2649" s="47"/>
      <c r="C2649" s="47"/>
      <c r="D2649" s="47"/>
      <c r="E2649" s="47"/>
      <c r="F2649" s="43"/>
      <c r="G2649" s="51"/>
      <c r="H2649" s="250" t="s">
        <v>1227</v>
      </c>
      <c r="I2649" s="251"/>
      <c r="J2649" s="43"/>
    </row>
    <row r="2650" spans="1:10">
      <c r="A2650" s="43" t="s">
        <v>1226</v>
      </c>
      <c r="B2650" s="43"/>
      <c r="C2650" s="43"/>
      <c r="D2650" s="43"/>
      <c r="E2650" s="43"/>
      <c r="F2650" s="43"/>
      <c r="G2650" s="43"/>
      <c r="H2650" s="43"/>
      <c r="I2650" s="43"/>
      <c r="J2650" s="43"/>
    </row>
    <row r="2651" spans="1:10">
      <c r="A2651" s="43"/>
      <c r="B2651" s="43"/>
      <c r="C2651" s="43"/>
      <c r="D2651" s="43"/>
      <c r="E2651" s="43"/>
      <c r="F2651" s="43"/>
      <c r="G2651" s="43"/>
      <c r="H2651" s="43"/>
      <c r="I2651" s="43"/>
      <c r="J2651" s="43"/>
    </row>
    <row r="2652" spans="1:10">
      <c r="A2652" s="43"/>
      <c r="B2652" s="43"/>
      <c r="C2652" s="43"/>
      <c r="D2652" s="43"/>
      <c r="E2652" s="256" t="str">
        <f>CONCATENATE("(",$D2623," vs ",$I2623,")")</f>
        <v>(C vs I)</v>
      </c>
      <c r="F2652" s="256"/>
      <c r="G2652" s="43"/>
      <c r="H2652" s="43"/>
      <c r="I2652" s="43"/>
      <c r="J2652" s="43"/>
    </row>
    <row r="2653" spans="1:10" ht="15.75">
      <c r="A2653" s="42" t="s">
        <v>1223</v>
      </c>
      <c r="B2653" s="43"/>
      <c r="C2653" s="43"/>
      <c r="D2653" s="43"/>
      <c r="E2653" s="43"/>
      <c r="F2653" s="43"/>
      <c r="G2653" s="43"/>
      <c r="H2653" s="43"/>
      <c r="I2653" s="43"/>
      <c r="J2653" s="96" t="s">
        <v>4297</v>
      </c>
    </row>
    <row r="2654" spans="1:10" ht="12.75" customHeight="1">
      <c r="A2654" s="42"/>
      <c r="B2654" s="43"/>
      <c r="C2654" s="43"/>
      <c r="D2654" s="43"/>
      <c r="E2654" s="43"/>
      <c r="F2654" s="43"/>
      <c r="G2654" s="43" t="str">
        <f ca="1">Team_Matches!$J$6</f>
        <v>[NCTTA Teams Template (v2.06).xlsx]</v>
      </c>
      <c r="H2654" s="43"/>
      <c r="I2654" s="43"/>
      <c r="J2654" s="160"/>
    </row>
    <row r="2655" spans="1:10" ht="12.75" customHeight="1">
      <c r="A2655" s="42"/>
      <c r="B2655" s="43"/>
      <c r="C2655" s="43"/>
      <c r="D2655" s="43"/>
      <c r="E2655" s="43"/>
      <c r="F2655" s="43"/>
      <c r="G2655" s="247" t="str">
        <f>Team_Matches!$J1996</f>
        <v/>
      </c>
      <c r="H2655" s="247"/>
      <c r="I2655" s="161" t="str">
        <f>Team_Matches!$M1996</f>
        <v/>
      </c>
      <c r="J2655" s="161"/>
    </row>
    <row r="2656" spans="1:10" ht="15.75">
      <c r="A2656" s="42"/>
      <c r="B2656" s="43"/>
      <c r="C2656" s="43"/>
      <c r="D2656" s="43"/>
      <c r="E2656" s="43"/>
      <c r="F2656" s="43"/>
      <c r="G2656" s="43"/>
      <c r="H2656" s="43"/>
      <c r="I2656" s="43"/>
      <c r="J2656" s="43"/>
    </row>
    <row r="2657" spans="1:10">
      <c r="A2657" s="43"/>
      <c r="B2657" s="43"/>
      <c r="C2657" s="9" t="s">
        <v>1228</v>
      </c>
      <c r="D2657" s="52" t="str">
        <f>Team_Matches!$B1998</f>
        <v>C</v>
      </c>
      <c r="E2657" s="43"/>
      <c r="F2657" s="97" t="str">
        <f>CONCATENATE($D2657,"-",$I2657)</f>
        <v>C-J</v>
      </c>
      <c r="G2657" s="43"/>
      <c r="H2657" s="9" t="s">
        <v>1228</v>
      </c>
      <c r="I2657" s="52" t="str">
        <f>Team_Matches!$K1998</f>
        <v>J</v>
      </c>
      <c r="J2657" s="43"/>
    </row>
    <row r="2658" spans="1:10" ht="25.5" customHeight="1">
      <c r="A2658" s="44"/>
      <c r="B2658" s="248" t="str">
        <f>IF(VLOOKUP($D2657,Draw!$A$4:$B$27,2)&lt;&gt;0,VLOOKUP($D2657,Draw!$A$4:$B$27,2),"")</f>
        <v/>
      </c>
      <c r="C2658" s="248"/>
      <c r="D2658" s="248"/>
      <c r="E2658" s="249"/>
      <c r="F2658" s="45"/>
      <c r="G2658" s="252" t="str">
        <f>IF(VLOOKUP($I2657,Draw!$A$4:$B$27,2)&lt;&gt;0,VLOOKUP($I2657,Draw!$A$4:$B$27,2),"")</f>
        <v/>
      </c>
      <c r="H2658" s="252"/>
      <c r="I2658" s="252"/>
      <c r="J2658" s="253"/>
    </row>
    <row r="2659" spans="1:10" ht="25.5" customHeight="1"/>
    <row r="2660" spans="1:10" ht="25.5" customHeight="1"/>
    <row r="2661" spans="1:10" ht="24" customHeight="1">
      <c r="A2661" s="48" t="s">
        <v>1246</v>
      </c>
      <c r="B2661" s="43"/>
      <c r="C2661" s="43"/>
      <c r="D2661" s="43"/>
      <c r="E2661" s="43"/>
      <c r="F2661" s="43"/>
      <c r="G2661" s="43"/>
      <c r="H2661" s="43"/>
      <c r="I2661" s="43"/>
      <c r="J2661" s="43"/>
    </row>
    <row r="2662" spans="1:10" ht="24" customHeight="1">
      <c r="A2662" s="48"/>
      <c r="B2662" s="43"/>
      <c r="C2662" s="43"/>
      <c r="D2662" s="43"/>
      <c r="E2662" s="43"/>
      <c r="F2662" s="43"/>
      <c r="G2662" s="43"/>
      <c r="H2662" s="43"/>
      <c r="I2662" s="43"/>
      <c r="J2662" s="43"/>
    </row>
    <row r="2663" spans="1:10">
      <c r="A2663" s="49" t="s">
        <v>1224</v>
      </c>
      <c r="B2663" s="46"/>
      <c r="C2663" s="46"/>
      <c r="D2663" s="46"/>
      <c r="E2663" s="46"/>
      <c r="F2663" s="46"/>
      <c r="G2663" s="260" t="s">
        <v>10336</v>
      </c>
      <c r="H2663" s="260"/>
      <c r="I2663" s="260"/>
      <c r="J2663" s="260"/>
    </row>
    <row r="2664" spans="1:10" ht="24" customHeight="1">
      <c r="A2664" s="50" t="str">
        <f>CONCATENATE($D2657,"1")</f>
        <v>C1</v>
      </c>
      <c r="B2664" s="255" t="str">
        <f>IF(VLOOKUP($A2664,Players!$A$2:$C$132,3)&lt;&gt;0,VLOOKUP($A2664,Players!$A$2:$C$132,3),"")</f>
        <v/>
      </c>
      <c r="C2664" s="255"/>
      <c r="D2664" s="255"/>
      <c r="E2664" s="255"/>
      <c r="F2664" s="255"/>
      <c r="G2664" s="254" t="str">
        <f>IF(VLOOKUP($I2657&amp;RIGHT($A2664,1),Players!$A$2:$D$132,3)&lt;&gt;0,VLOOKUP($I2657&amp;RIGHT($A2664,1),Players!$A$2:$D$132,3),"")</f>
        <v/>
      </c>
      <c r="H2664" s="254"/>
      <c r="I2664" s="254"/>
      <c r="J2664" s="210" t="str">
        <f>IF(VLOOKUP($I2657&amp;RIGHT($A2664,1),Players!$A$2:$D$132,3)&lt;&gt;0,"("&amp;VLOOKUP($I2657&amp;RIGHT($A2664,1),Players!$A$2:$D$132,4)&amp;")","")</f>
        <v/>
      </c>
    </row>
    <row r="2665" spans="1:10" ht="25.5" customHeight="1">
      <c r="A2665" s="50" t="str">
        <f>CONCATENATE($D2657,"2")</f>
        <v>C2</v>
      </c>
      <c r="B2665" s="255" t="str">
        <f>IF(VLOOKUP($A2665,Players!$A$2:$C$132,3)&lt;&gt;0,VLOOKUP($A2665,Players!$A$2:$C$132,3),"")</f>
        <v/>
      </c>
      <c r="C2665" s="255"/>
      <c r="D2665" s="255"/>
      <c r="E2665" s="255"/>
      <c r="F2665" s="255"/>
      <c r="G2665" s="254" t="str">
        <f>IF(VLOOKUP($I2657&amp;RIGHT($A2665,1),Players!$A$2:$D$132,3)&lt;&gt;0,VLOOKUP($I2657&amp;RIGHT($A2665,1),Players!$A$2:$D$132,3),"")</f>
        <v/>
      </c>
      <c r="H2665" s="254"/>
      <c r="I2665" s="254"/>
      <c r="J2665" s="210" t="str">
        <f>IF(VLOOKUP($I2657&amp;RIGHT($A2665,1),Players!$A$2:$D$132,3)&lt;&gt;0,"("&amp;VLOOKUP($I2657&amp;RIGHT($A2665,1),Players!$A$2:$D$132,4)&amp;")","")</f>
        <v/>
      </c>
    </row>
    <row r="2666" spans="1:10" ht="25.5" customHeight="1">
      <c r="A2666" s="50" t="str">
        <f>CONCATENATE($D2657,"3")</f>
        <v>C3</v>
      </c>
      <c r="B2666" s="255" t="str">
        <f>IF(VLOOKUP($A2666,Players!$A$2:$C$132,3)&lt;&gt;0,VLOOKUP($A2666,Players!$A$2:$C$132,3),"")</f>
        <v/>
      </c>
      <c r="C2666" s="255"/>
      <c r="D2666" s="255"/>
      <c r="E2666" s="255"/>
      <c r="F2666" s="255"/>
      <c r="G2666" s="254" t="str">
        <f>IF(VLOOKUP($I2657&amp;RIGHT($A2666,1),Players!$A$2:$D$132,3)&lt;&gt;0,VLOOKUP($I2657&amp;RIGHT($A2666,1),Players!$A$2:$D$132,3),"")</f>
        <v/>
      </c>
      <c r="H2666" s="254"/>
      <c r="I2666" s="254"/>
      <c r="J2666" s="210" t="str">
        <f>IF(VLOOKUP($I2657&amp;RIGHT($A2666,1),Players!$A$2:$D$132,3)&lt;&gt;0,"("&amp;VLOOKUP($I2657&amp;RIGHT($A2666,1),Players!$A$2:$D$132,4)&amp;")","")</f>
        <v/>
      </c>
    </row>
    <row r="2667" spans="1:10" ht="25.5" customHeight="1">
      <c r="A2667" s="50" t="str">
        <f>CONCATENATE($D2657,"4")</f>
        <v>C4</v>
      </c>
      <c r="B2667" s="255" t="str">
        <f>IF(VLOOKUP($A2667,Players!$A$2:$C$132,3)&lt;&gt;0,VLOOKUP($A2667,Players!$A$2:$C$132,3),"")</f>
        <v/>
      </c>
      <c r="C2667" s="255"/>
      <c r="D2667" s="255"/>
      <c r="E2667" s="255"/>
      <c r="F2667" s="255"/>
      <c r="G2667" s="254" t="str">
        <f>IF(VLOOKUP($I2657&amp;RIGHT($A2667,1),Players!$A$2:$D$132,3)&lt;&gt;0,VLOOKUP($I2657&amp;RIGHT($A2667,1),Players!$A$2:$D$132,3),"")</f>
        <v/>
      </c>
      <c r="H2667" s="254"/>
      <c r="I2667" s="254"/>
      <c r="J2667" s="210" t="str">
        <f>IF(VLOOKUP($I2657&amp;RIGHT($A2667,1),Players!$A$2:$D$132,3)&lt;&gt;0,"("&amp;VLOOKUP($I2657&amp;RIGHT($A2667,1),Players!$A$2:$D$132,4)&amp;")","")</f>
        <v/>
      </c>
    </row>
    <row r="2668" spans="1:10" ht="25.5" customHeight="1">
      <c r="A2668" s="50" t="str">
        <f>CONCATENATE($D2657,"5")</f>
        <v>C5</v>
      </c>
      <c r="B2668" s="255" t="str">
        <f>IF(VLOOKUP($A2668,Players!$A$2:$C$132,3)&lt;&gt;0,VLOOKUP($A2668,Players!$A$2:$C$132,3),"")</f>
        <v/>
      </c>
      <c r="C2668" s="255"/>
      <c r="D2668" s="255"/>
      <c r="E2668" s="255"/>
      <c r="F2668" s="255"/>
      <c r="G2668" s="254" t="str">
        <f>IF(VLOOKUP($I2657&amp;RIGHT($A2668,1),Players!$A$2:$D$132,3)&lt;&gt;0,VLOOKUP($I2657&amp;RIGHT($A2668,1),Players!$A$2:$D$132,3),"")</f>
        <v/>
      </c>
      <c r="H2668" s="254"/>
      <c r="I2668" s="254"/>
      <c r="J2668" s="210" t="str">
        <f>IF(VLOOKUP($I2657&amp;RIGHT($A2668,1),Players!$A$2:$D$132,3)&lt;&gt;0,"("&amp;VLOOKUP($I2657&amp;RIGHT($A2668,1),Players!$A$2:$D$132,4)&amp;")","")</f>
        <v/>
      </c>
    </row>
    <row r="2669" spans="1:10" ht="25.5" customHeight="1">
      <c r="A2669" s="50" t="str">
        <f>CONCATENATE($D2657,"6")</f>
        <v>C6</v>
      </c>
      <c r="B2669" s="255" t="str">
        <f>IF(VLOOKUP($A2669,Players!$A$2:$C$132,3)&lt;&gt;0,VLOOKUP($A2669,Players!$A$2:$C$132,3),"")</f>
        <v/>
      </c>
      <c r="C2669" s="255"/>
      <c r="D2669" s="255"/>
      <c r="E2669" s="255"/>
      <c r="F2669" s="255"/>
      <c r="G2669" s="254" t="str">
        <f>IF(VLOOKUP($I2657&amp;RIGHT($A2669,1),Players!$A$2:$D$132,3)&lt;&gt;0,VLOOKUP($I2657&amp;RIGHT($A2669,1),Players!$A$2:$D$132,3),"")</f>
        <v/>
      </c>
      <c r="H2669" s="254"/>
      <c r="I2669" s="254"/>
      <c r="J2669" s="210" t="str">
        <f>IF(VLOOKUP($I2657&amp;RIGHT($A2669,1),Players!$A$2:$D$132,3)&lt;&gt;0,"("&amp;VLOOKUP($I2657&amp;RIGHT($A2669,1),Players!$A$2:$D$132,4)&amp;")","")</f>
        <v/>
      </c>
    </row>
    <row r="2670" spans="1:10" ht="25.5" customHeight="1">
      <c r="A2670" s="50" t="str">
        <f>CONCATENATE($D2657,"7")</f>
        <v>C7</v>
      </c>
      <c r="B2670" s="255" t="str">
        <f>IF(VLOOKUP($A2670,Players!$A$2:$C$132,3)&lt;&gt;0,VLOOKUP($A2670,Players!$A$2:$C$132,3),"")</f>
        <v/>
      </c>
      <c r="C2670" s="255"/>
      <c r="D2670" s="255"/>
      <c r="E2670" s="255"/>
      <c r="F2670" s="255"/>
      <c r="G2670" s="254" t="str">
        <f>IF(VLOOKUP($I2657&amp;RIGHT($A2670,1),Players!$A$2:$D$132,3)&lt;&gt;0,VLOOKUP($I2657&amp;RIGHT($A2670,1),Players!$A$2:$D$132,3),"")</f>
        <v/>
      </c>
      <c r="H2670" s="254"/>
      <c r="I2670" s="254"/>
      <c r="J2670" s="210" t="str">
        <f>IF(VLOOKUP($I2657&amp;RIGHT($A2670,1),Players!$A$2:$D$132,3)&lt;&gt;0,"("&amp;VLOOKUP($I2657&amp;RIGHT($A2670,1),Players!$A$2:$D$132,4)&amp;")","")</f>
        <v/>
      </c>
    </row>
    <row r="2671" spans="1:10" ht="25.5" customHeight="1">
      <c r="A2671" s="50" t="str">
        <f>CONCATENATE($D2657,"8")</f>
        <v>C8</v>
      </c>
      <c r="B2671" s="255" t="str">
        <f>IF(VLOOKUP($A2671,Players!$A$2:$C$132,3)&lt;&gt;0,VLOOKUP($A2671,Players!$A$2:$C$132,3),"")</f>
        <v/>
      </c>
      <c r="C2671" s="255"/>
      <c r="D2671" s="255"/>
      <c r="E2671" s="255"/>
      <c r="F2671" s="255"/>
      <c r="G2671" s="254" t="str">
        <f>IF(VLOOKUP($I2657&amp;RIGHT($A2671,1),Players!$A$2:$D$132,3)&lt;&gt;0,VLOOKUP($I2657&amp;RIGHT($A2671,1),Players!$A$2:$D$132,3),"")</f>
        <v/>
      </c>
      <c r="H2671" s="254"/>
      <c r="I2671" s="254"/>
      <c r="J2671" s="210" t="str">
        <f>IF(VLOOKUP($I2657&amp;RIGHT($A2671,1),Players!$A$2:$D$132,3)&lt;&gt;0,"("&amp;VLOOKUP($I2657&amp;RIGHT($A2671,1),Players!$A$2:$D$132,4)&amp;")","")</f>
        <v/>
      </c>
    </row>
    <row r="2672" spans="1:10" ht="25.5" customHeight="1">
      <c r="A2672" s="50"/>
      <c r="B2672" s="26"/>
      <c r="C2672" s="26"/>
      <c r="D2672" s="26"/>
      <c r="E2672" s="26"/>
      <c r="F2672" s="27"/>
      <c r="G2672" s="43"/>
      <c r="H2672" s="43"/>
      <c r="I2672" s="43"/>
      <c r="J2672" s="43"/>
    </row>
    <row r="2673" spans="1:10">
      <c r="A2673" s="49" t="s">
        <v>1225</v>
      </c>
      <c r="B2673" s="46"/>
      <c r="C2673" s="46"/>
      <c r="D2673" s="46"/>
      <c r="E2673" s="46"/>
      <c r="F2673" s="46"/>
      <c r="G2673" s="43"/>
      <c r="H2673" s="43"/>
      <c r="I2673" s="43"/>
      <c r="J2673" s="43"/>
    </row>
    <row r="2674" spans="1:10">
      <c r="A2674" s="46" t="s">
        <v>1247</v>
      </c>
      <c r="B2674" s="46"/>
      <c r="C2674" s="46"/>
      <c r="D2674" s="46"/>
      <c r="E2674" s="46"/>
      <c r="F2674" s="46"/>
      <c r="G2674" s="43"/>
      <c r="H2674" s="43"/>
      <c r="I2674" s="43"/>
      <c r="J2674" s="43"/>
    </row>
    <row r="2675" spans="1:10">
      <c r="A2675" s="46" t="s">
        <v>1248</v>
      </c>
      <c r="B2675" s="46"/>
      <c r="C2675" s="46"/>
      <c r="D2675" s="46"/>
      <c r="E2675" s="46"/>
      <c r="F2675" s="46"/>
      <c r="G2675" s="43"/>
      <c r="H2675" s="43"/>
      <c r="I2675" s="43"/>
      <c r="J2675" s="43"/>
    </row>
    <row r="2676" spans="1:10" ht="13.5" thickBot="1">
      <c r="A2676" s="46"/>
      <c r="B2676" s="46"/>
      <c r="C2676" s="46"/>
      <c r="D2676" s="46"/>
      <c r="E2676" s="46"/>
      <c r="F2676" s="46"/>
      <c r="G2676" s="43"/>
      <c r="H2676" s="43"/>
      <c r="I2676" s="43"/>
      <c r="J2676" s="43"/>
    </row>
    <row r="2677" spans="1:10" ht="25.5" customHeight="1" thickBot="1">
      <c r="A2677" s="50"/>
      <c r="B2677" s="257"/>
      <c r="C2677" s="258"/>
      <c r="D2677" s="258"/>
      <c r="E2677" s="258"/>
      <c r="F2677" s="259"/>
      <c r="G2677" s="43"/>
      <c r="H2677" s="43"/>
      <c r="I2677" s="43"/>
      <c r="J2677" s="43"/>
    </row>
    <row r="2678" spans="1:10">
      <c r="A2678" s="43"/>
      <c r="B2678" s="43"/>
      <c r="C2678" s="43"/>
      <c r="D2678" s="43"/>
      <c r="E2678" s="43"/>
      <c r="F2678" s="43"/>
      <c r="G2678" s="43"/>
      <c r="H2678" s="43"/>
      <c r="I2678" s="43"/>
      <c r="J2678" s="43"/>
    </row>
    <row r="2679" spans="1:10">
      <c r="A2679" s="43"/>
      <c r="B2679" s="43"/>
      <c r="C2679" s="43"/>
      <c r="D2679" s="43"/>
      <c r="E2679" s="43"/>
      <c r="F2679" s="43"/>
      <c r="G2679" s="43"/>
      <c r="H2679" s="43"/>
      <c r="I2679" s="43"/>
      <c r="J2679" s="43"/>
    </row>
    <row r="2680" spans="1:10">
      <c r="A2680" s="43"/>
      <c r="B2680" s="43"/>
      <c r="C2680" s="43"/>
      <c r="D2680" s="43"/>
      <c r="E2680" s="43"/>
      <c r="F2680" s="43"/>
      <c r="G2680" s="43"/>
      <c r="H2680" s="43"/>
      <c r="I2680" s="43"/>
      <c r="J2680" s="43"/>
    </row>
    <row r="2681" spans="1:10">
      <c r="A2681" s="43"/>
      <c r="B2681" s="43"/>
      <c r="C2681" s="43"/>
      <c r="D2681" s="43"/>
      <c r="E2681" s="43"/>
      <c r="F2681" s="43"/>
      <c r="G2681" s="43"/>
      <c r="H2681" s="43"/>
      <c r="I2681" s="43"/>
      <c r="J2681" s="43"/>
    </row>
    <row r="2682" spans="1:10">
      <c r="A2682" s="43"/>
      <c r="B2682" s="43"/>
      <c r="C2682" s="43"/>
      <c r="D2682" s="43"/>
      <c r="E2682" s="43"/>
      <c r="F2682" s="43"/>
      <c r="G2682" s="43"/>
      <c r="H2682" s="43"/>
      <c r="I2682" s="43"/>
      <c r="J2682" s="43"/>
    </row>
    <row r="2683" spans="1:10" ht="25.5" customHeight="1">
      <c r="A2683" s="47"/>
      <c r="B2683" s="47"/>
      <c r="C2683" s="47"/>
      <c r="D2683" s="47"/>
      <c r="E2683" s="47"/>
      <c r="F2683" s="43"/>
      <c r="G2683" s="51"/>
      <c r="H2683" s="250" t="s">
        <v>1227</v>
      </c>
      <c r="I2683" s="251"/>
      <c r="J2683" s="43"/>
    </row>
    <row r="2684" spans="1:10">
      <c r="A2684" s="43" t="s">
        <v>1226</v>
      </c>
      <c r="B2684" s="43"/>
      <c r="C2684" s="43"/>
      <c r="D2684" s="43"/>
      <c r="E2684" s="43"/>
      <c r="F2684" s="43"/>
      <c r="G2684" s="43"/>
      <c r="H2684" s="43"/>
      <c r="I2684" s="43"/>
      <c r="J2684" s="43"/>
    </row>
    <row r="2685" spans="1:10">
      <c r="A2685" s="43"/>
      <c r="B2685" s="43"/>
      <c r="C2685" s="43"/>
      <c r="D2685" s="43"/>
      <c r="E2685" s="43"/>
      <c r="F2685" s="43"/>
      <c r="G2685" s="43"/>
      <c r="H2685" s="43"/>
      <c r="I2685" s="43"/>
      <c r="J2685" s="43"/>
    </row>
    <row r="2686" spans="1:10">
      <c r="A2686" s="43"/>
      <c r="B2686" s="43"/>
      <c r="C2686" s="43"/>
      <c r="D2686" s="43"/>
      <c r="E2686" s="256" t="str">
        <f>CONCATENATE("(",$D2657," vs ",$I2657,")")</f>
        <v>(C vs J)</v>
      </c>
      <c r="F2686" s="256"/>
      <c r="G2686" s="43"/>
      <c r="H2686" s="43"/>
      <c r="I2686" s="43"/>
      <c r="J2686" s="43"/>
    </row>
    <row r="2687" spans="1:10" ht="15.75">
      <c r="A2687" s="42" t="s">
        <v>1223</v>
      </c>
      <c r="B2687" s="43"/>
      <c r="C2687" s="43"/>
      <c r="D2687" s="43"/>
      <c r="E2687" s="43"/>
      <c r="F2687" s="43"/>
      <c r="G2687" s="43"/>
      <c r="H2687" s="43"/>
      <c r="I2687" s="43"/>
      <c r="J2687" s="96" t="s">
        <v>4298</v>
      </c>
    </row>
    <row r="2688" spans="1:10" ht="12.75" customHeight="1">
      <c r="A2688" s="42"/>
      <c r="B2688" s="43"/>
      <c r="C2688" s="43"/>
      <c r="D2688" s="43"/>
      <c r="E2688" s="43"/>
      <c r="F2688" s="43"/>
      <c r="G2688" s="43" t="str">
        <f ca="1">Team_Matches!$J$6</f>
        <v>[NCTTA Teams Template (v2.06).xlsx]</v>
      </c>
      <c r="H2688" s="43"/>
      <c r="I2688" s="43"/>
      <c r="J2688" s="160"/>
    </row>
    <row r="2689" spans="1:10" ht="12.75" customHeight="1">
      <c r="A2689" s="42"/>
      <c r="B2689" s="43"/>
      <c r="C2689" s="43"/>
      <c r="D2689" s="43"/>
      <c r="E2689" s="43"/>
      <c r="F2689" s="43"/>
      <c r="G2689" s="247" t="str">
        <f>Team_Matches!$J1996</f>
        <v/>
      </c>
      <c r="H2689" s="247"/>
      <c r="I2689" s="161" t="str">
        <f>Team_Matches!$M1996</f>
        <v/>
      </c>
      <c r="J2689" s="161"/>
    </row>
    <row r="2690" spans="1:10" ht="15.75">
      <c r="A2690" s="42"/>
      <c r="B2690" s="43"/>
      <c r="C2690" s="43"/>
      <c r="D2690" s="43"/>
      <c r="E2690" s="43"/>
      <c r="F2690" s="43"/>
      <c r="G2690" s="43"/>
      <c r="H2690" s="43"/>
      <c r="I2690" s="43"/>
      <c r="J2690" s="43"/>
    </row>
    <row r="2691" spans="1:10">
      <c r="A2691" s="43"/>
      <c r="B2691" s="43"/>
      <c r="C2691" s="9" t="s">
        <v>1228</v>
      </c>
      <c r="D2691" s="52" t="str">
        <f>Team_Matches!$B1998</f>
        <v>C</v>
      </c>
      <c r="E2691" s="43"/>
      <c r="F2691" s="97" t="str">
        <f>CONCATENATE($D2691,"-",$I2691)</f>
        <v>C-J</v>
      </c>
      <c r="G2691" s="43"/>
      <c r="H2691" s="9" t="s">
        <v>1228</v>
      </c>
      <c r="I2691" s="52" t="str">
        <f>Team_Matches!$K1998</f>
        <v>J</v>
      </c>
      <c r="J2691" s="43"/>
    </row>
    <row r="2692" spans="1:10" ht="25.5" customHeight="1">
      <c r="A2692" s="44"/>
      <c r="B2692" s="252" t="str">
        <f>IF(VLOOKUP($D2691,Draw!$A$4:$B$27,2)&lt;&gt;0,VLOOKUP($D2691,Draw!$A$4:$B$27,2),"")</f>
        <v/>
      </c>
      <c r="C2692" s="252"/>
      <c r="D2692" s="252"/>
      <c r="E2692" s="253"/>
      <c r="F2692" s="45"/>
      <c r="G2692" s="248" t="str">
        <f>IF(VLOOKUP($I2691,Draw!$A$4:$B$27,2)&lt;&gt;0,VLOOKUP($I2691,Draw!$A$4:$B$27,2),"")</f>
        <v/>
      </c>
      <c r="H2692" s="248"/>
      <c r="I2692" s="248"/>
      <c r="J2692" s="249"/>
    </row>
    <row r="2693" spans="1:10" ht="25.5" customHeight="1"/>
    <row r="2694" spans="1:10" ht="25.5" customHeight="1"/>
    <row r="2695" spans="1:10" ht="24" customHeight="1">
      <c r="A2695" s="48" t="s">
        <v>1246</v>
      </c>
      <c r="B2695" s="43"/>
      <c r="C2695" s="43"/>
      <c r="D2695" s="43"/>
      <c r="E2695" s="43"/>
      <c r="F2695" s="43"/>
      <c r="G2695" s="43"/>
      <c r="H2695" s="43"/>
      <c r="I2695" s="43"/>
      <c r="J2695" s="43"/>
    </row>
    <row r="2696" spans="1:10" ht="24" customHeight="1">
      <c r="A2696" s="48"/>
      <c r="B2696" s="43"/>
      <c r="C2696" s="43"/>
      <c r="D2696" s="43"/>
      <c r="E2696" s="43"/>
      <c r="F2696" s="43"/>
      <c r="G2696" s="43"/>
      <c r="H2696" s="43"/>
      <c r="I2696" s="43"/>
      <c r="J2696" s="43"/>
    </row>
    <row r="2697" spans="1:10">
      <c r="A2697" s="49" t="s">
        <v>1224</v>
      </c>
      <c r="B2697" s="46"/>
      <c r="C2697" s="46"/>
      <c r="D2697" s="46"/>
      <c r="E2697" s="46"/>
      <c r="F2697" s="46"/>
      <c r="G2697" s="260" t="s">
        <v>10336</v>
      </c>
      <c r="H2697" s="260"/>
      <c r="I2697" s="260"/>
      <c r="J2697" s="260"/>
    </row>
    <row r="2698" spans="1:10" ht="24" customHeight="1">
      <c r="A2698" s="50" t="str">
        <f>CONCATENATE($I2691,"1")</f>
        <v>J1</v>
      </c>
      <c r="B2698" s="255" t="str">
        <f>IF(VLOOKUP($A2698,Players!$A$2:$C$132,3)&lt;&gt;0,VLOOKUP($A2698,Players!$A$2:$C$132,3),"")</f>
        <v/>
      </c>
      <c r="C2698" s="255"/>
      <c r="D2698" s="255"/>
      <c r="E2698" s="255"/>
      <c r="F2698" s="255"/>
      <c r="G2698" s="254" t="str">
        <f>IF(VLOOKUP($D2691&amp;RIGHT($A2698,1),Players!$A$2:$D$132,3)&lt;&gt;0,VLOOKUP($D2691&amp;RIGHT($A2698,1),Players!$A$2:$D$132,3),"")</f>
        <v/>
      </c>
      <c r="H2698" s="254"/>
      <c r="I2698" s="254"/>
      <c r="J2698" s="210" t="str">
        <f>IF(VLOOKUP($D2691&amp;RIGHT($A2698,1),Players!$A$2:$D$132,3)&lt;&gt;0,"("&amp;VLOOKUP($D2691&amp;RIGHT($A2698,1),Players!$A$2:$D$132,4)&amp;")","")</f>
        <v/>
      </c>
    </row>
    <row r="2699" spans="1:10" ht="25.5" customHeight="1">
      <c r="A2699" s="50" t="str">
        <f>CONCATENATE($I2691,"2")</f>
        <v>J2</v>
      </c>
      <c r="B2699" s="255" t="str">
        <f>IF(VLOOKUP($A2699,Players!$A$2:$C$132,3)&lt;&gt;0,VLOOKUP($A2699,Players!$A$2:$C$132,3),"")</f>
        <v/>
      </c>
      <c r="C2699" s="255"/>
      <c r="D2699" s="255"/>
      <c r="E2699" s="255"/>
      <c r="F2699" s="255"/>
      <c r="G2699" s="254" t="str">
        <f>IF(VLOOKUP($D2691&amp;RIGHT($A2699,1),Players!$A$2:$D$132,3)&lt;&gt;0,VLOOKUP($D2691&amp;RIGHT($A2699,1),Players!$A$2:$D$132,3),"")</f>
        <v/>
      </c>
      <c r="H2699" s="254"/>
      <c r="I2699" s="254"/>
      <c r="J2699" s="210" t="str">
        <f>IF(VLOOKUP($D2691&amp;RIGHT($A2699,1),Players!$A$2:$D$132,3)&lt;&gt;0,"("&amp;VLOOKUP($D2691&amp;RIGHT($A2699,1),Players!$A$2:$D$132,4)&amp;")","")</f>
        <v/>
      </c>
    </row>
    <row r="2700" spans="1:10" ht="25.5" customHeight="1">
      <c r="A2700" s="50" t="str">
        <f>CONCATENATE($I2691,"3")</f>
        <v>J3</v>
      </c>
      <c r="B2700" s="255" t="str">
        <f>IF(VLOOKUP($A2700,Players!$A$2:$C$132,3)&lt;&gt;0,VLOOKUP($A2700,Players!$A$2:$C$132,3),"")</f>
        <v/>
      </c>
      <c r="C2700" s="255"/>
      <c r="D2700" s="255"/>
      <c r="E2700" s="255"/>
      <c r="F2700" s="255"/>
      <c r="G2700" s="254" t="str">
        <f>IF(VLOOKUP($D2691&amp;RIGHT($A2700,1),Players!$A$2:$D$132,3)&lt;&gt;0,VLOOKUP($D2691&amp;RIGHT($A2700,1),Players!$A$2:$D$132,3),"")</f>
        <v/>
      </c>
      <c r="H2700" s="254"/>
      <c r="I2700" s="254"/>
      <c r="J2700" s="210" t="str">
        <f>IF(VLOOKUP($D2691&amp;RIGHT($A2700,1),Players!$A$2:$D$132,3)&lt;&gt;0,"("&amp;VLOOKUP($D2691&amp;RIGHT($A2700,1),Players!$A$2:$D$132,4)&amp;")","")</f>
        <v/>
      </c>
    </row>
    <row r="2701" spans="1:10" ht="25.5" customHeight="1">
      <c r="A2701" s="50" t="str">
        <f>CONCATENATE($I2691,"4")</f>
        <v>J4</v>
      </c>
      <c r="B2701" s="255" t="str">
        <f>IF(VLOOKUP($A2701,Players!$A$2:$C$132,3)&lt;&gt;0,VLOOKUP($A2701,Players!$A$2:$C$132,3),"")</f>
        <v/>
      </c>
      <c r="C2701" s="255"/>
      <c r="D2701" s="255"/>
      <c r="E2701" s="255"/>
      <c r="F2701" s="255"/>
      <c r="G2701" s="254" t="str">
        <f>IF(VLOOKUP($D2691&amp;RIGHT($A2701,1),Players!$A$2:$D$132,3)&lt;&gt;0,VLOOKUP($D2691&amp;RIGHT($A2701,1),Players!$A$2:$D$132,3),"")</f>
        <v/>
      </c>
      <c r="H2701" s="254"/>
      <c r="I2701" s="254"/>
      <c r="J2701" s="210" t="str">
        <f>IF(VLOOKUP($D2691&amp;RIGHT($A2701,1),Players!$A$2:$D$132,3)&lt;&gt;0,"("&amp;VLOOKUP($D2691&amp;RIGHT($A2701,1),Players!$A$2:$D$132,4)&amp;")","")</f>
        <v/>
      </c>
    </row>
    <row r="2702" spans="1:10" ht="25.5" customHeight="1">
      <c r="A2702" s="50" t="str">
        <f>CONCATENATE($I2691,"5")</f>
        <v>J5</v>
      </c>
      <c r="B2702" s="255" t="str">
        <f>IF(VLOOKUP($A2702,Players!$A$2:$C$132,3)&lt;&gt;0,VLOOKUP($A2702,Players!$A$2:$C$132,3),"")</f>
        <v/>
      </c>
      <c r="C2702" s="255"/>
      <c r="D2702" s="255"/>
      <c r="E2702" s="255"/>
      <c r="F2702" s="255"/>
      <c r="G2702" s="254" t="str">
        <f>IF(VLOOKUP($D2691&amp;RIGHT($A2702,1),Players!$A$2:$D$132,3)&lt;&gt;0,VLOOKUP($D2691&amp;RIGHT($A2702,1),Players!$A$2:$D$132,3),"")</f>
        <v/>
      </c>
      <c r="H2702" s="254"/>
      <c r="I2702" s="254"/>
      <c r="J2702" s="210" t="str">
        <f>IF(VLOOKUP($D2691&amp;RIGHT($A2702,1),Players!$A$2:$D$132,3)&lt;&gt;0,"("&amp;VLOOKUP($D2691&amp;RIGHT($A2702,1),Players!$A$2:$D$132,4)&amp;")","")</f>
        <v/>
      </c>
    </row>
    <row r="2703" spans="1:10" ht="25.5" customHeight="1">
      <c r="A2703" s="50" t="str">
        <f>CONCATENATE($I2691,"6")</f>
        <v>J6</v>
      </c>
      <c r="B2703" s="255" t="str">
        <f>IF(VLOOKUP($A2703,Players!$A$2:$C$132,3)&lt;&gt;0,VLOOKUP($A2703,Players!$A$2:$C$132,3),"")</f>
        <v/>
      </c>
      <c r="C2703" s="255"/>
      <c r="D2703" s="255"/>
      <c r="E2703" s="255"/>
      <c r="F2703" s="255"/>
      <c r="G2703" s="254" t="str">
        <f>IF(VLOOKUP($D2691&amp;RIGHT($A2703,1),Players!$A$2:$D$132,3)&lt;&gt;0,VLOOKUP($D2691&amp;RIGHT($A2703,1),Players!$A$2:$D$132,3),"")</f>
        <v/>
      </c>
      <c r="H2703" s="254"/>
      <c r="I2703" s="254"/>
      <c r="J2703" s="210" t="str">
        <f>IF(VLOOKUP($D2691&amp;RIGHT($A2703,1),Players!$A$2:$D$132,3)&lt;&gt;0,"("&amp;VLOOKUP($D2691&amp;RIGHT($A2703,1),Players!$A$2:$D$132,4)&amp;")","")</f>
        <v/>
      </c>
    </row>
    <row r="2704" spans="1:10" ht="25.5" customHeight="1">
      <c r="A2704" s="50" t="str">
        <f>CONCATENATE($I2691,"7")</f>
        <v>J7</v>
      </c>
      <c r="B2704" s="255" t="str">
        <f>IF(VLOOKUP($A2704,Players!$A$2:$C$132,3)&lt;&gt;0,VLOOKUP($A2704,Players!$A$2:$C$132,3),"")</f>
        <v/>
      </c>
      <c r="C2704" s="255"/>
      <c r="D2704" s="255"/>
      <c r="E2704" s="255"/>
      <c r="F2704" s="255"/>
      <c r="G2704" s="254" t="str">
        <f>IF(VLOOKUP($D2691&amp;RIGHT($A2704,1),Players!$A$2:$D$132,3)&lt;&gt;0,VLOOKUP($D2691&amp;RIGHT($A2704,1),Players!$A$2:$D$132,3),"")</f>
        <v/>
      </c>
      <c r="H2704" s="254"/>
      <c r="I2704" s="254"/>
      <c r="J2704" s="210" t="str">
        <f>IF(VLOOKUP($D2691&amp;RIGHT($A2704,1),Players!$A$2:$D$132,3)&lt;&gt;0,"("&amp;VLOOKUP($D2691&amp;RIGHT($A2704,1),Players!$A$2:$D$132,4)&amp;")","")</f>
        <v/>
      </c>
    </row>
    <row r="2705" spans="1:10" ht="25.5" customHeight="1">
      <c r="A2705" s="50" t="str">
        <f>CONCATENATE($I2691,"8")</f>
        <v>J8</v>
      </c>
      <c r="B2705" s="255" t="str">
        <f>IF(VLOOKUP($A2705,Players!$A$2:$C$132,3)&lt;&gt;0,VLOOKUP($A2705,Players!$A$2:$C$132,3),"")</f>
        <v/>
      </c>
      <c r="C2705" s="255"/>
      <c r="D2705" s="255"/>
      <c r="E2705" s="255"/>
      <c r="F2705" s="255"/>
      <c r="G2705" s="254" t="str">
        <f>IF(VLOOKUP($D2691&amp;RIGHT($A2705,1),Players!$A$2:$D$132,3)&lt;&gt;0,VLOOKUP($D2691&amp;RIGHT($A2705,1),Players!$A$2:$D$132,3),"")</f>
        <v/>
      </c>
      <c r="H2705" s="254"/>
      <c r="I2705" s="254"/>
      <c r="J2705" s="210" t="str">
        <f>IF(VLOOKUP($D2691&amp;RIGHT($A2705,1),Players!$A$2:$D$132,3)&lt;&gt;0,"("&amp;VLOOKUP($D2691&amp;RIGHT($A2705,1),Players!$A$2:$D$132,4)&amp;")","")</f>
        <v/>
      </c>
    </row>
    <row r="2706" spans="1:10" ht="25.5" customHeight="1">
      <c r="A2706" s="50"/>
      <c r="B2706" s="26"/>
      <c r="C2706" s="26"/>
      <c r="D2706" s="26"/>
      <c r="E2706" s="26"/>
      <c r="F2706" s="27"/>
      <c r="G2706" s="43"/>
      <c r="H2706" s="43"/>
      <c r="I2706" s="43"/>
      <c r="J2706" s="43"/>
    </row>
    <row r="2707" spans="1:10">
      <c r="A2707" s="49" t="s">
        <v>1225</v>
      </c>
      <c r="B2707" s="46"/>
      <c r="C2707" s="46"/>
      <c r="D2707" s="46"/>
      <c r="E2707" s="46"/>
      <c r="F2707" s="46"/>
      <c r="G2707" s="43"/>
      <c r="H2707" s="43"/>
      <c r="I2707" s="43"/>
      <c r="J2707" s="43"/>
    </row>
    <row r="2708" spans="1:10">
      <c r="A2708" s="46" t="s">
        <v>1247</v>
      </c>
      <c r="B2708" s="46"/>
      <c r="C2708" s="46"/>
      <c r="D2708" s="46"/>
      <c r="E2708" s="46"/>
      <c r="F2708" s="46"/>
      <c r="G2708" s="43"/>
      <c r="H2708" s="43"/>
      <c r="I2708" s="43"/>
      <c r="J2708" s="43"/>
    </row>
    <row r="2709" spans="1:10">
      <c r="A2709" s="46" t="s">
        <v>1248</v>
      </c>
      <c r="B2709" s="46"/>
      <c r="C2709" s="46"/>
      <c r="D2709" s="46"/>
      <c r="E2709" s="46"/>
      <c r="F2709" s="46"/>
      <c r="G2709" s="43"/>
      <c r="H2709" s="43"/>
      <c r="I2709" s="43"/>
      <c r="J2709" s="43"/>
    </row>
    <row r="2710" spans="1:10" ht="13.5" thickBot="1">
      <c r="A2710" s="46"/>
      <c r="B2710" s="46"/>
      <c r="C2710" s="46"/>
      <c r="D2710" s="46"/>
      <c r="E2710" s="46"/>
      <c r="F2710" s="46"/>
      <c r="G2710" s="43"/>
      <c r="H2710" s="43"/>
      <c r="I2710" s="43"/>
      <c r="J2710" s="43"/>
    </row>
    <row r="2711" spans="1:10" ht="25.5" customHeight="1" thickBot="1">
      <c r="A2711" s="50"/>
      <c r="B2711" s="257"/>
      <c r="C2711" s="258"/>
      <c r="D2711" s="258"/>
      <c r="E2711" s="258"/>
      <c r="F2711" s="259"/>
      <c r="G2711" s="43"/>
      <c r="H2711" s="43"/>
      <c r="I2711" s="43"/>
      <c r="J2711" s="43"/>
    </row>
    <row r="2712" spans="1:10">
      <c r="A2712" s="43"/>
      <c r="B2712" s="43"/>
      <c r="C2712" s="43"/>
      <c r="D2712" s="43"/>
      <c r="E2712" s="43"/>
      <c r="F2712" s="43"/>
      <c r="G2712" s="43"/>
      <c r="H2712" s="43"/>
      <c r="I2712" s="43"/>
      <c r="J2712" s="43"/>
    </row>
    <row r="2713" spans="1:10">
      <c r="A2713" s="43"/>
      <c r="B2713" s="43"/>
      <c r="C2713" s="43"/>
      <c r="D2713" s="43"/>
      <c r="E2713" s="43"/>
      <c r="F2713" s="43"/>
      <c r="G2713" s="43"/>
      <c r="H2713" s="43"/>
      <c r="I2713" s="43"/>
      <c r="J2713" s="43"/>
    </row>
    <row r="2714" spans="1:10">
      <c r="A2714" s="43"/>
      <c r="B2714" s="43"/>
      <c r="C2714" s="43"/>
      <c r="D2714" s="43"/>
      <c r="E2714" s="43"/>
      <c r="F2714" s="43"/>
      <c r="G2714" s="43"/>
      <c r="H2714" s="43"/>
      <c r="I2714" s="43"/>
      <c r="J2714" s="43"/>
    </row>
    <row r="2715" spans="1:10">
      <c r="A2715" s="43"/>
      <c r="B2715" s="43"/>
      <c r="C2715" s="43"/>
      <c r="D2715" s="43"/>
      <c r="E2715" s="43"/>
      <c r="F2715" s="43"/>
      <c r="G2715" s="43"/>
      <c r="H2715" s="43"/>
      <c r="I2715" s="43"/>
      <c r="J2715" s="43"/>
    </row>
    <row r="2716" spans="1:10">
      <c r="A2716" s="43"/>
      <c r="B2716" s="43"/>
      <c r="C2716" s="43"/>
      <c r="D2716" s="43"/>
      <c r="E2716" s="43"/>
      <c r="F2716" s="43"/>
      <c r="G2716" s="43"/>
      <c r="H2716" s="43"/>
      <c r="I2716" s="43"/>
      <c r="J2716" s="43"/>
    </row>
    <row r="2717" spans="1:10" ht="25.5" customHeight="1">
      <c r="A2717" s="47"/>
      <c r="B2717" s="47"/>
      <c r="C2717" s="47"/>
      <c r="D2717" s="47"/>
      <c r="E2717" s="47"/>
      <c r="F2717" s="43"/>
      <c r="G2717" s="51"/>
      <c r="H2717" s="250" t="s">
        <v>1227</v>
      </c>
      <c r="I2717" s="251"/>
      <c r="J2717" s="43"/>
    </row>
    <row r="2718" spans="1:10">
      <c r="A2718" s="43" t="s">
        <v>1226</v>
      </c>
      <c r="B2718" s="43"/>
      <c r="C2718" s="43"/>
      <c r="D2718" s="43"/>
      <c r="E2718" s="43"/>
      <c r="F2718" s="43"/>
      <c r="G2718" s="43"/>
      <c r="H2718" s="43"/>
      <c r="I2718" s="43"/>
      <c r="J2718" s="43"/>
    </row>
    <row r="2719" spans="1:10">
      <c r="A2719" s="43"/>
      <c r="B2719" s="43"/>
      <c r="C2719" s="43"/>
      <c r="D2719" s="43"/>
      <c r="E2719" s="43"/>
      <c r="F2719" s="43"/>
      <c r="G2719" s="43"/>
      <c r="H2719" s="43"/>
      <c r="I2719" s="43"/>
      <c r="J2719" s="43"/>
    </row>
    <row r="2720" spans="1:10">
      <c r="A2720" s="43"/>
      <c r="B2720" s="43"/>
      <c r="C2720" s="43"/>
      <c r="D2720" s="43"/>
      <c r="E2720" s="256" t="str">
        <f>CONCATENATE("(",$D2691," vs ",$I2691,")")</f>
        <v>(C vs J)</v>
      </c>
      <c r="F2720" s="256"/>
      <c r="G2720" s="43"/>
      <c r="H2720" s="43"/>
      <c r="I2720" s="43"/>
      <c r="J2720" s="43"/>
    </row>
    <row r="2721" spans="1:10" ht="15.75">
      <c r="A2721" s="42" t="s">
        <v>1223</v>
      </c>
      <c r="B2721" s="43"/>
      <c r="C2721" s="43"/>
      <c r="D2721" s="43"/>
      <c r="E2721" s="43"/>
      <c r="F2721" s="43"/>
      <c r="G2721" s="43"/>
      <c r="H2721" s="43"/>
      <c r="I2721" s="43"/>
      <c r="J2721" s="96" t="s">
        <v>4299</v>
      </c>
    </row>
    <row r="2722" spans="1:10" ht="12.75" customHeight="1">
      <c r="A2722" s="42"/>
      <c r="B2722" s="43"/>
      <c r="C2722" s="43"/>
      <c r="D2722" s="43"/>
      <c r="E2722" s="43"/>
      <c r="F2722" s="43"/>
      <c r="G2722" s="43" t="str">
        <f ca="1">Team_Matches!$J$6</f>
        <v>[NCTTA Teams Template (v2.06).xlsx]</v>
      </c>
      <c r="H2722" s="43"/>
      <c r="I2722" s="43"/>
      <c r="J2722" s="160"/>
    </row>
    <row r="2723" spans="1:10" ht="12.75" customHeight="1">
      <c r="A2723" s="42"/>
      <c r="B2723" s="43"/>
      <c r="C2723" s="43"/>
      <c r="D2723" s="43"/>
      <c r="E2723" s="43"/>
      <c r="F2723" s="43"/>
      <c r="G2723" s="247" t="str">
        <f>Team_Matches!$J2047</f>
        <v/>
      </c>
      <c r="H2723" s="247"/>
      <c r="I2723" s="161" t="str">
        <f>Team_Matches!$M2047</f>
        <v/>
      </c>
      <c r="J2723" s="161"/>
    </row>
    <row r="2724" spans="1:10" ht="15.75">
      <c r="A2724" s="42"/>
      <c r="B2724" s="43"/>
      <c r="C2724" s="43"/>
      <c r="D2724" s="43"/>
      <c r="E2724" s="43"/>
      <c r="F2724" s="43"/>
      <c r="G2724" s="43"/>
      <c r="H2724" s="43"/>
      <c r="I2724" s="43"/>
      <c r="J2724" s="43"/>
    </row>
    <row r="2725" spans="1:10">
      <c r="A2725" s="43"/>
      <c r="B2725" s="43"/>
      <c r="C2725" s="9" t="s">
        <v>1228</v>
      </c>
      <c r="D2725" s="3" t="str">
        <f>Team_Matches!$B2049</f>
        <v>C</v>
      </c>
      <c r="E2725" s="43"/>
      <c r="F2725" s="97" t="str">
        <f>CONCATENATE($D2725,"-",$I2725)</f>
        <v>C-K</v>
      </c>
      <c r="G2725" s="43"/>
      <c r="H2725" s="9" t="s">
        <v>1228</v>
      </c>
      <c r="I2725" s="52" t="str">
        <f>Team_Matches!$K2049</f>
        <v>K</v>
      </c>
      <c r="J2725" s="43"/>
    </row>
    <row r="2726" spans="1:10" ht="25.5" customHeight="1">
      <c r="A2726" s="44"/>
      <c r="B2726" s="248" t="str">
        <f>IF(VLOOKUP($D2725,Draw!$A$4:$B$27,2)&lt;&gt;0,VLOOKUP($D2725,Draw!$A$4:$B$27,2),"")</f>
        <v/>
      </c>
      <c r="C2726" s="248"/>
      <c r="D2726" s="248"/>
      <c r="E2726" s="249"/>
      <c r="F2726" s="45"/>
      <c r="G2726" s="252" t="str">
        <f>IF(VLOOKUP($I2725,Draw!$A$4:$B$27,2)&lt;&gt;0,VLOOKUP($I2725,Draw!$A$4:$B$27,2),"")</f>
        <v/>
      </c>
      <c r="H2726" s="252"/>
      <c r="I2726" s="252"/>
      <c r="J2726" s="253"/>
    </row>
    <row r="2727" spans="1:10" ht="25.5" customHeight="1"/>
    <row r="2728" spans="1:10" ht="25.5" customHeight="1"/>
    <row r="2729" spans="1:10" ht="24" customHeight="1">
      <c r="A2729" s="48" t="s">
        <v>1246</v>
      </c>
      <c r="B2729" s="43"/>
      <c r="C2729" s="43"/>
      <c r="D2729" s="43"/>
      <c r="E2729" s="43"/>
      <c r="F2729" s="43"/>
      <c r="G2729" s="43"/>
      <c r="H2729" s="43"/>
      <c r="I2729" s="43"/>
      <c r="J2729" s="43"/>
    </row>
    <row r="2730" spans="1:10" ht="24" customHeight="1">
      <c r="A2730" s="48"/>
      <c r="B2730" s="43"/>
      <c r="C2730" s="43"/>
      <c r="D2730" s="43"/>
      <c r="E2730" s="43"/>
      <c r="F2730" s="43"/>
      <c r="G2730" s="43"/>
      <c r="H2730" s="43"/>
      <c r="I2730" s="43"/>
      <c r="J2730" s="43"/>
    </row>
    <row r="2731" spans="1:10">
      <c r="A2731" s="49" t="s">
        <v>1224</v>
      </c>
      <c r="B2731" s="46"/>
      <c r="C2731" s="46"/>
      <c r="D2731" s="46"/>
      <c r="E2731" s="46"/>
      <c r="F2731" s="46"/>
      <c r="G2731" s="260" t="s">
        <v>10336</v>
      </c>
      <c r="H2731" s="260"/>
      <c r="I2731" s="260"/>
      <c r="J2731" s="260"/>
    </row>
    <row r="2732" spans="1:10" ht="24" customHeight="1">
      <c r="A2732" s="50" t="str">
        <f>CONCATENATE($D2725,"1")</f>
        <v>C1</v>
      </c>
      <c r="B2732" s="255" t="str">
        <f>IF(VLOOKUP($A2732,Players!$A$2:$C$132,3)&lt;&gt;0,VLOOKUP($A2732,Players!$A$2:$C$132,3),"")</f>
        <v/>
      </c>
      <c r="C2732" s="255"/>
      <c r="D2732" s="255"/>
      <c r="E2732" s="255"/>
      <c r="F2732" s="255"/>
      <c r="G2732" s="254" t="str">
        <f>IF(VLOOKUP($I2725&amp;RIGHT($A2732,1),Players!$A$2:$D$132,3)&lt;&gt;0,VLOOKUP($I2725&amp;RIGHT($A2732,1),Players!$A$2:$D$132,3),"")</f>
        <v/>
      </c>
      <c r="H2732" s="254"/>
      <c r="I2732" s="254"/>
      <c r="J2732" s="210" t="str">
        <f>IF(VLOOKUP($I2725&amp;RIGHT($A2732,1),Players!$A$2:$D$132,3)&lt;&gt;0,"("&amp;VLOOKUP($I2725&amp;RIGHT($A2732,1),Players!$A$2:$D$132,4)&amp;")","")</f>
        <v/>
      </c>
    </row>
    <row r="2733" spans="1:10" ht="25.5" customHeight="1">
      <c r="A2733" s="50" t="str">
        <f>CONCATENATE($D2725,"2")</f>
        <v>C2</v>
      </c>
      <c r="B2733" s="255" t="str">
        <f>IF(VLOOKUP($A2733,Players!$A$2:$C$132,3)&lt;&gt;0,VLOOKUP($A2733,Players!$A$2:$C$132,3),"")</f>
        <v/>
      </c>
      <c r="C2733" s="255"/>
      <c r="D2733" s="255"/>
      <c r="E2733" s="255"/>
      <c r="F2733" s="255"/>
      <c r="G2733" s="254" t="str">
        <f>IF(VLOOKUP($I2725&amp;RIGHT($A2733,1),Players!$A$2:$D$132,3)&lt;&gt;0,VLOOKUP($I2725&amp;RIGHT($A2733,1),Players!$A$2:$D$132,3),"")</f>
        <v/>
      </c>
      <c r="H2733" s="254"/>
      <c r="I2733" s="254"/>
      <c r="J2733" s="210" t="str">
        <f>IF(VLOOKUP($I2725&amp;RIGHT($A2733,1),Players!$A$2:$D$132,3)&lt;&gt;0,"("&amp;VLOOKUP($I2725&amp;RIGHT($A2733,1),Players!$A$2:$D$132,4)&amp;")","")</f>
        <v/>
      </c>
    </row>
    <row r="2734" spans="1:10" ht="25.5" customHeight="1">
      <c r="A2734" s="50" t="str">
        <f>CONCATENATE($D2725,"3")</f>
        <v>C3</v>
      </c>
      <c r="B2734" s="255" t="str">
        <f>IF(VLOOKUP($A2734,Players!$A$2:$C$132,3)&lt;&gt;0,VLOOKUP($A2734,Players!$A$2:$C$132,3),"")</f>
        <v/>
      </c>
      <c r="C2734" s="255"/>
      <c r="D2734" s="255"/>
      <c r="E2734" s="255"/>
      <c r="F2734" s="255"/>
      <c r="G2734" s="254" t="str">
        <f>IF(VLOOKUP($I2725&amp;RIGHT($A2734,1),Players!$A$2:$D$132,3)&lt;&gt;0,VLOOKUP($I2725&amp;RIGHT($A2734,1),Players!$A$2:$D$132,3),"")</f>
        <v/>
      </c>
      <c r="H2734" s="254"/>
      <c r="I2734" s="254"/>
      <c r="J2734" s="210" t="str">
        <f>IF(VLOOKUP($I2725&amp;RIGHT($A2734,1),Players!$A$2:$D$132,3)&lt;&gt;0,"("&amp;VLOOKUP($I2725&amp;RIGHT($A2734,1),Players!$A$2:$D$132,4)&amp;")","")</f>
        <v/>
      </c>
    </row>
    <row r="2735" spans="1:10" ht="25.5" customHeight="1">
      <c r="A2735" s="50" t="str">
        <f>CONCATENATE($D2725,"4")</f>
        <v>C4</v>
      </c>
      <c r="B2735" s="255" t="str">
        <f>IF(VLOOKUP($A2735,Players!$A$2:$C$132,3)&lt;&gt;0,VLOOKUP($A2735,Players!$A$2:$C$132,3),"")</f>
        <v/>
      </c>
      <c r="C2735" s="255"/>
      <c r="D2735" s="255"/>
      <c r="E2735" s="255"/>
      <c r="F2735" s="255"/>
      <c r="G2735" s="254" t="str">
        <f>IF(VLOOKUP($I2725&amp;RIGHT($A2735,1),Players!$A$2:$D$132,3)&lt;&gt;0,VLOOKUP($I2725&amp;RIGHT($A2735,1),Players!$A$2:$D$132,3),"")</f>
        <v/>
      </c>
      <c r="H2735" s="254"/>
      <c r="I2735" s="254"/>
      <c r="J2735" s="210" t="str">
        <f>IF(VLOOKUP($I2725&amp;RIGHT($A2735,1),Players!$A$2:$D$132,3)&lt;&gt;0,"("&amp;VLOOKUP($I2725&amp;RIGHT($A2735,1),Players!$A$2:$D$132,4)&amp;")","")</f>
        <v/>
      </c>
    </row>
    <row r="2736" spans="1:10" ht="25.5" customHeight="1">
      <c r="A2736" s="50" t="str">
        <f>CONCATENATE($D2725,"5")</f>
        <v>C5</v>
      </c>
      <c r="B2736" s="255" t="str">
        <f>IF(VLOOKUP($A2736,Players!$A$2:$C$132,3)&lt;&gt;0,VLOOKUP($A2736,Players!$A$2:$C$132,3),"")</f>
        <v/>
      </c>
      <c r="C2736" s="255"/>
      <c r="D2736" s="255"/>
      <c r="E2736" s="255"/>
      <c r="F2736" s="255"/>
      <c r="G2736" s="254" t="str">
        <f>IF(VLOOKUP($I2725&amp;RIGHT($A2736,1),Players!$A$2:$D$132,3)&lt;&gt;0,VLOOKUP($I2725&amp;RIGHT($A2736,1),Players!$A$2:$D$132,3),"")</f>
        <v/>
      </c>
      <c r="H2736" s="254"/>
      <c r="I2736" s="254"/>
      <c r="J2736" s="210" t="str">
        <f>IF(VLOOKUP($I2725&amp;RIGHT($A2736,1),Players!$A$2:$D$132,3)&lt;&gt;0,"("&amp;VLOOKUP($I2725&amp;RIGHT($A2736,1),Players!$A$2:$D$132,4)&amp;")","")</f>
        <v/>
      </c>
    </row>
    <row r="2737" spans="1:10" ht="25.5" customHeight="1">
      <c r="A2737" s="50" t="str">
        <f>CONCATENATE($D2725,"6")</f>
        <v>C6</v>
      </c>
      <c r="B2737" s="255" t="str">
        <f>IF(VLOOKUP($A2737,Players!$A$2:$C$132,3)&lt;&gt;0,VLOOKUP($A2737,Players!$A$2:$C$132,3),"")</f>
        <v/>
      </c>
      <c r="C2737" s="255"/>
      <c r="D2737" s="255"/>
      <c r="E2737" s="255"/>
      <c r="F2737" s="255"/>
      <c r="G2737" s="254" t="str">
        <f>IF(VLOOKUP($I2725&amp;RIGHT($A2737,1),Players!$A$2:$D$132,3)&lt;&gt;0,VLOOKUP($I2725&amp;RIGHT($A2737,1),Players!$A$2:$D$132,3),"")</f>
        <v/>
      </c>
      <c r="H2737" s="254"/>
      <c r="I2737" s="254"/>
      <c r="J2737" s="210" t="str">
        <f>IF(VLOOKUP($I2725&amp;RIGHT($A2737,1),Players!$A$2:$D$132,3)&lt;&gt;0,"("&amp;VLOOKUP($I2725&amp;RIGHT($A2737,1),Players!$A$2:$D$132,4)&amp;")","")</f>
        <v/>
      </c>
    </row>
    <row r="2738" spans="1:10" ht="25.5" customHeight="1">
      <c r="A2738" s="50" t="str">
        <f>CONCATENATE($D2725,"7")</f>
        <v>C7</v>
      </c>
      <c r="B2738" s="255" t="str">
        <f>IF(VLOOKUP($A2738,Players!$A$2:$C$132,3)&lt;&gt;0,VLOOKUP($A2738,Players!$A$2:$C$132,3),"")</f>
        <v/>
      </c>
      <c r="C2738" s="255"/>
      <c r="D2738" s="255"/>
      <c r="E2738" s="255"/>
      <c r="F2738" s="255"/>
      <c r="G2738" s="254" t="str">
        <f>IF(VLOOKUP($I2725&amp;RIGHT($A2738,1),Players!$A$2:$D$132,3)&lt;&gt;0,VLOOKUP($I2725&amp;RIGHT($A2738,1),Players!$A$2:$D$132,3),"")</f>
        <v/>
      </c>
      <c r="H2738" s="254"/>
      <c r="I2738" s="254"/>
      <c r="J2738" s="210" t="str">
        <f>IF(VLOOKUP($I2725&amp;RIGHT($A2738,1),Players!$A$2:$D$132,3)&lt;&gt;0,"("&amp;VLOOKUP($I2725&amp;RIGHT($A2738,1),Players!$A$2:$D$132,4)&amp;")","")</f>
        <v/>
      </c>
    </row>
    <row r="2739" spans="1:10" ht="25.5" customHeight="1">
      <c r="A2739" s="50" t="str">
        <f>CONCATENATE($D2725,"8")</f>
        <v>C8</v>
      </c>
      <c r="B2739" s="255" t="str">
        <f>IF(VLOOKUP($A2739,Players!$A$2:$C$132,3)&lt;&gt;0,VLOOKUP($A2739,Players!$A$2:$C$132,3),"")</f>
        <v/>
      </c>
      <c r="C2739" s="255"/>
      <c r="D2739" s="255"/>
      <c r="E2739" s="255"/>
      <c r="F2739" s="255"/>
      <c r="G2739" s="254" t="str">
        <f>IF(VLOOKUP($I2725&amp;RIGHT($A2739,1),Players!$A$2:$D$132,3)&lt;&gt;0,VLOOKUP($I2725&amp;RIGHT($A2739,1),Players!$A$2:$D$132,3),"")</f>
        <v/>
      </c>
      <c r="H2739" s="254"/>
      <c r="I2739" s="254"/>
      <c r="J2739" s="210" t="str">
        <f>IF(VLOOKUP($I2725&amp;RIGHT($A2739,1),Players!$A$2:$D$132,3)&lt;&gt;0,"("&amp;VLOOKUP($I2725&amp;RIGHT($A2739,1),Players!$A$2:$D$132,4)&amp;")","")</f>
        <v/>
      </c>
    </row>
    <row r="2740" spans="1:10" ht="25.5" customHeight="1">
      <c r="A2740" s="50"/>
      <c r="B2740" s="26"/>
      <c r="C2740" s="26"/>
      <c r="D2740" s="26"/>
      <c r="E2740" s="26"/>
      <c r="F2740" s="27"/>
      <c r="G2740" s="43"/>
      <c r="H2740" s="43"/>
      <c r="I2740" s="43"/>
      <c r="J2740" s="43"/>
    </row>
    <row r="2741" spans="1:10">
      <c r="A2741" s="49" t="s">
        <v>1225</v>
      </c>
      <c r="B2741" s="46"/>
      <c r="C2741" s="46"/>
      <c r="D2741" s="46"/>
      <c r="E2741" s="46"/>
      <c r="F2741" s="46"/>
      <c r="G2741" s="43"/>
      <c r="H2741" s="43"/>
      <c r="I2741" s="43"/>
      <c r="J2741" s="43"/>
    </row>
    <row r="2742" spans="1:10">
      <c r="A2742" s="46" t="s">
        <v>1247</v>
      </c>
      <c r="B2742" s="46"/>
      <c r="C2742" s="46"/>
      <c r="D2742" s="46"/>
      <c r="E2742" s="46"/>
      <c r="F2742" s="46"/>
      <c r="G2742" s="43"/>
      <c r="H2742" s="43"/>
      <c r="I2742" s="43"/>
      <c r="J2742" s="43"/>
    </row>
    <row r="2743" spans="1:10">
      <c r="A2743" s="46" t="s">
        <v>1248</v>
      </c>
      <c r="B2743" s="46"/>
      <c r="C2743" s="46"/>
      <c r="D2743" s="46"/>
      <c r="E2743" s="46"/>
      <c r="F2743" s="46"/>
      <c r="G2743" s="43"/>
      <c r="H2743" s="43"/>
      <c r="I2743" s="43"/>
      <c r="J2743" s="43"/>
    </row>
    <row r="2744" spans="1:10" ht="13.5" thickBot="1">
      <c r="A2744" s="46"/>
      <c r="B2744" s="46"/>
      <c r="C2744" s="46"/>
      <c r="D2744" s="46"/>
      <c r="E2744" s="46"/>
      <c r="F2744" s="46"/>
      <c r="G2744" s="43"/>
      <c r="H2744" s="43"/>
      <c r="I2744" s="43"/>
      <c r="J2744" s="43"/>
    </row>
    <row r="2745" spans="1:10" ht="25.5" customHeight="1" thickBot="1">
      <c r="A2745" s="50"/>
      <c r="B2745" s="257"/>
      <c r="C2745" s="258"/>
      <c r="D2745" s="258"/>
      <c r="E2745" s="258"/>
      <c r="F2745" s="259"/>
      <c r="G2745" s="43"/>
      <c r="H2745" s="43"/>
      <c r="I2745" s="43"/>
      <c r="J2745" s="43"/>
    </row>
    <row r="2746" spans="1:10">
      <c r="A2746" s="43"/>
      <c r="B2746" s="43"/>
      <c r="C2746" s="43"/>
      <c r="D2746" s="43"/>
      <c r="E2746" s="43"/>
      <c r="F2746" s="43"/>
      <c r="G2746" s="43"/>
      <c r="H2746" s="43"/>
      <c r="I2746" s="43"/>
      <c r="J2746" s="43"/>
    </row>
    <row r="2747" spans="1:10">
      <c r="A2747" s="43"/>
      <c r="B2747" s="43"/>
      <c r="C2747" s="43"/>
      <c r="D2747" s="43"/>
      <c r="E2747" s="43"/>
      <c r="F2747" s="43"/>
      <c r="G2747" s="43"/>
      <c r="H2747" s="43"/>
      <c r="I2747" s="43"/>
      <c r="J2747" s="43"/>
    </row>
    <row r="2748" spans="1:10">
      <c r="A2748" s="43"/>
      <c r="B2748" s="43"/>
      <c r="C2748" s="43"/>
      <c r="D2748" s="43"/>
      <c r="E2748" s="43"/>
      <c r="F2748" s="43"/>
      <c r="G2748" s="43"/>
      <c r="H2748" s="43"/>
      <c r="I2748" s="43"/>
      <c r="J2748" s="43"/>
    </row>
    <row r="2749" spans="1:10">
      <c r="A2749" s="43"/>
      <c r="B2749" s="43"/>
      <c r="C2749" s="43"/>
      <c r="D2749" s="43"/>
      <c r="E2749" s="43"/>
      <c r="F2749" s="43"/>
      <c r="G2749" s="43"/>
      <c r="H2749" s="43"/>
      <c r="I2749" s="43"/>
      <c r="J2749" s="43"/>
    </row>
    <row r="2750" spans="1:10">
      <c r="A2750" s="43"/>
      <c r="B2750" s="43"/>
      <c r="C2750" s="43"/>
      <c r="D2750" s="43"/>
      <c r="E2750" s="43"/>
      <c r="F2750" s="43"/>
      <c r="G2750" s="43"/>
      <c r="H2750" s="43"/>
      <c r="I2750" s="43"/>
      <c r="J2750" s="43"/>
    </row>
    <row r="2751" spans="1:10" ht="25.5" customHeight="1">
      <c r="A2751" s="47"/>
      <c r="B2751" s="47"/>
      <c r="C2751" s="47"/>
      <c r="D2751" s="47"/>
      <c r="E2751" s="47"/>
      <c r="F2751" s="43"/>
      <c r="G2751" s="51"/>
      <c r="H2751" s="250" t="s">
        <v>1227</v>
      </c>
      <c r="I2751" s="251"/>
      <c r="J2751" s="43"/>
    </row>
    <row r="2752" spans="1:10">
      <c r="A2752" s="43" t="s">
        <v>1226</v>
      </c>
      <c r="B2752" s="43"/>
      <c r="C2752" s="43"/>
      <c r="D2752" s="43"/>
      <c r="E2752" s="43"/>
      <c r="F2752" s="43"/>
      <c r="G2752" s="43"/>
      <c r="H2752" s="43"/>
      <c r="I2752" s="43"/>
      <c r="J2752" s="43"/>
    </row>
    <row r="2753" spans="1:10">
      <c r="A2753" s="43"/>
      <c r="B2753" s="43"/>
      <c r="C2753" s="43"/>
      <c r="D2753" s="43"/>
      <c r="E2753" s="43"/>
      <c r="F2753" s="43"/>
      <c r="G2753" s="43"/>
      <c r="H2753" s="43"/>
      <c r="I2753" s="43"/>
      <c r="J2753" s="43"/>
    </row>
    <row r="2754" spans="1:10">
      <c r="A2754" s="43"/>
      <c r="B2754" s="43"/>
      <c r="C2754" s="43"/>
      <c r="D2754" s="43"/>
      <c r="E2754" s="256" t="str">
        <f>CONCATENATE("(",$D2725," vs ",$I2725,")")</f>
        <v>(C vs K)</v>
      </c>
      <c r="F2754" s="256"/>
      <c r="G2754" s="43"/>
      <c r="H2754" s="43"/>
      <c r="I2754" s="43"/>
      <c r="J2754" s="43"/>
    </row>
    <row r="2755" spans="1:10" ht="15.75">
      <c r="A2755" s="42" t="s">
        <v>1223</v>
      </c>
      <c r="B2755" s="43"/>
      <c r="C2755" s="43"/>
      <c r="D2755" s="43"/>
      <c r="E2755" s="43"/>
      <c r="F2755" s="43"/>
      <c r="G2755" s="43"/>
      <c r="H2755" s="43"/>
      <c r="I2755" s="43"/>
      <c r="J2755" s="96" t="s">
        <v>4300</v>
      </c>
    </row>
    <row r="2756" spans="1:10" ht="12.75" customHeight="1">
      <c r="A2756" s="42"/>
      <c r="B2756" s="43"/>
      <c r="C2756" s="43"/>
      <c r="D2756" s="43"/>
      <c r="E2756" s="43"/>
      <c r="F2756" s="43"/>
      <c r="G2756" s="43" t="str">
        <f ca="1">Team_Matches!$J$6</f>
        <v>[NCTTA Teams Template (v2.06).xlsx]</v>
      </c>
      <c r="H2756" s="43"/>
      <c r="I2756" s="43"/>
      <c r="J2756" s="160"/>
    </row>
    <row r="2757" spans="1:10" ht="12.75" customHeight="1">
      <c r="A2757" s="42"/>
      <c r="B2757" s="43"/>
      <c r="C2757" s="43"/>
      <c r="D2757" s="43"/>
      <c r="E2757" s="43"/>
      <c r="F2757" s="43"/>
      <c r="G2757" s="247" t="str">
        <f>Team_Matches!$J2047</f>
        <v/>
      </c>
      <c r="H2757" s="247"/>
      <c r="I2757" s="161" t="str">
        <f>Team_Matches!$M2047</f>
        <v/>
      </c>
      <c r="J2757" s="161"/>
    </row>
    <row r="2758" spans="1:10" ht="15.75">
      <c r="A2758" s="42"/>
      <c r="B2758" s="43"/>
      <c r="C2758" s="43"/>
      <c r="D2758" s="43"/>
      <c r="E2758" s="43"/>
      <c r="F2758" s="43"/>
      <c r="G2758" s="43"/>
      <c r="H2758" s="43"/>
      <c r="I2758" s="43"/>
      <c r="J2758" s="43"/>
    </row>
    <row r="2759" spans="1:10">
      <c r="A2759" s="43"/>
      <c r="B2759" s="43"/>
      <c r="C2759" s="9" t="s">
        <v>1228</v>
      </c>
      <c r="D2759" s="3" t="str">
        <f>Team_Matches!$B2049</f>
        <v>C</v>
      </c>
      <c r="E2759" s="43"/>
      <c r="F2759" s="97" t="str">
        <f>CONCATENATE($D2759,"-",$I2759)</f>
        <v>C-K</v>
      </c>
      <c r="G2759" s="43"/>
      <c r="H2759" s="9" t="s">
        <v>1228</v>
      </c>
      <c r="I2759" s="52" t="str">
        <f>Team_Matches!$K2049</f>
        <v>K</v>
      </c>
      <c r="J2759" s="43"/>
    </row>
    <row r="2760" spans="1:10" ht="25.5" customHeight="1">
      <c r="A2760" s="44"/>
      <c r="B2760" s="252" t="str">
        <f>IF(VLOOKUP($D2759,Draw!$A$4:$B$27,2)&lt;&gt;0,VLOOKUP($D2759,Draw!$A$4:$B$27,2),"")</f>
        <v/>
      </c>
      <c r="C2760" s="252"/>
      <c r="D2760" s="252"/>
      <c r="E2760" s="253"/>
      <c r="F2760" s="45"/>
      <c r="G2760" s="248" t="str">
        <f>IF(VLOOKUP($I2759,Draw!$A$4:$B$27,2)&lt;&gt;0,VLOOKUP($I2759,Draw!$A$4:$B$27,2),"")</f>
        <v/>
      </c>
      <c r="H2760" s="248"/>
      <c r="I2760" s="248"/>
      <c r="J2760" s="249"/>
    </row>
    <row r="2761" spans="1:10" ht="25.5" customHeight="1"/>
    <row r="2762" spans="1:10" ht="25.5" customHeight="1"/>
    <row r="2763" spans="1:10" ht="24" customHeight="1">
      <c r="A2763" s="48" t="s">
        <v>1246</v>
      </c>
      <c r="B2763" s="43"/>
      <c r="C2763" s="43"/>
      <c r="D2763" s="43"/>
      <c r="E2763" s="43"/>
      <c r="F2763" s="43"/>
      <c r="G2763" s="43"/>
      <c r="H2763" s="43"/>
      <c r="I2763" s="43"/>
      <c r="J2763" s="43"/>
    </row>
    <row r="2764" spans="1:10" ht="24" customHeight="1">
      <c r="A2764" s="48"/>
      <c r="B2764" s="43"/>
      <c r="C2764" s="43"/>
      <c r="D2764" s="43"/>
      <c r="E2764" s="43"/>
      <c r="F2764" s="43"/>
      <c r="G2764" s="43"/>
      <c r="H2764" s="43"/>
      <c r="I2764" s="43"/>
      <c r="J2764" s="43"/>
    </row>
    <row r="2765" spans="1:10">
      <c r="A2765" s="49" t="s">
        <v>1224</v>
      </c>
      <c r="B2765" s="46"/>
      <c r="C2765" s="46"/>
      <c r="D2765" s="46"/>
      <c r="E2765" s="46"/>
      <c r="F2765" s="46"/>
      <c r="G2765" s="260" t="s">
        <v>10336</v>
      </c>
      <c r="H2765" s="260"/>
      <c r="I2765" s="260"/>
      <c r="J2765" s="260"/>
    </row>
    <row r="2766" spans="1:10" ht="24" customHeight="1">
      <c r="A2766" s="50" t="str">
        <f>CONCATENATE($I2759,"1")</f>
        <v>K1</v>
      </c>
      <c r="B2766" s="255" t="str">
        <f>IF(VLOOKUP($A2766,Players!$A$2:$C$132,3)&lt;&gt;0,VLOOKUP($A2766,Players!$A$2:$C$132,3),"")</f>
        <v/>
      </c>
      <c r="C2766" s="255"/>
      <c r="D2766" s="255"/>
      <c r="E2766" s="255"/>
      <c r="F2766" s="255"/>
      <c r="G2766" s="254" t="str">
        <f>IF(VLOOKUP($D2759&amp;RIGHT($A2766,1),Players!$A$2:$D$132,3)&lt;&gt;0,VLOOKUP($D2759&amp;RIGHT($A2766,1),Players!$A$2:$D$132,3),"")</f>
        <v/>
      </c>
      <c r="H2766" s="254"/>
      <c r="I2766" s="254"/>
      <c r="J2766" s="210" t="str">
        <f>IF(VLOOKUP($D2759&amp;RIGHT($A2766,1),Players!$A$2:$D$132,3)&lt;&gt;0,"("&amp;VLOOKUP($D2759&amp;RIGHT($A2766,1),Players!$A$2:$D$132,4)&amp;")","")</f>
        <v/>
      </c>
    </row>
    <row r="2767" spans="1:10" ht="25.5" customHeight="1">
      <c r="A2767" s="50" t="str">
        <f>CONCATENATE($I2759,"2")</f>
        <v>K2</v>
      </c>
      <c r="B2767" s="255" t="str">
        <f>IF(VLOOKUP($A2767,Players!$A$2:$C$132,3)&lt;&gt;0,VLOOKUP($A2767,Players!$A$2:$C$132,3),"")</f>
        <v/>
      </c>
      <c r="C2767" s="255"/>
      <c r="D2767" s="255"/>
      <c r="E2767" s="255"/>
      <c r="F2767" s="255"/>
      <c r="G2767" s="254" t="str">
        <f>IF(VLOOKUP($D2759&amp;RIGHT($A2767,1),Players!$A$2:$D$132,3)&lt;&gt;0,VLOOKUP($D2759&amp;RIGHT($A2767,1),Players!$A$2:$D$132,3),"")</f>
        <v/>
      </c>
      <c r="H2767" s="254"/>
      <c r="I2767" s="254"/>
      <c r="J2767" s="210" t="str">
        <f>IF(VLOOKUP($D2759&amp;RIGHT($A2767,1),Players!$A$2:$D$132,3)&lt;&gt;0,"("&amp;VLOOKUP($D2759&amp;RIGHT($A2767,1),Players!$A$2:$D$132,4)&amp;")","")</f>
        <v/>
      </c>
    </row>
    <row r="2768" spans="1:10" ht="25.5" customHeight="1">
      <c r="A2768" s="50" t="str">
        <f>CONCATENATE($I2759,"3")</f>
        <v>K3</v>
      </c>
      <c r="B2768" s="255" t="str">
        <f>IF(VLOOKUP($A2768,Players!$A$2:$C$132,3)&lt;&gt;0,VLOOKUP($A2768,Players!$A$2:$C$132,3),"")</f>
        <v/>
      </c>
      <c r="C2768" s="255"/>
      <c r="D2768" s="255"/>
      <c r="E2768" s="255"/>
      <c r="F2768" s="255"/>
      <c r="G2768" s="254" t="str">
        <f>IF(VLOOKUP($D2759&amp;RIGHT($A2768,1),Players!$A$2:$D$132,3)&lt;&gt;0,VLOOKUP($D2759&amp;RIGHT($A2768,1),Players!$A$2:$D$132,3),"")</f>
        <v/>
      </c>
      <c r="H2768" s="254"/>
      <c r="I2768" s="254"/>
      <c r="J2768" s="210" t="str">
        <f>IF(VLOOKUP($D2759&amp;RIGHT($A2768,1),Players!$A$2:$D$132,3)&lt;&gt;0,"("&amp;VLOOKUP($D2759&amp;RIGHT($A2768,1),Players!$A$2:$D$132,4)&amp;")","")</f>
        <v/>
      </c>
    </row>
    <row r="2769" spans="1:10" ht="25.5" customHeight="1">
      <c r="A2769" s="50" t="str">
        <f>CONCATENATE($I2759,"4")</f>
        <v>K4</v>
      </c>
      <c r="B2769" s="255" t="str">
        <f>IF(VLOOKUP($A2769,Players!$A$2:$C$132,3)&lt;&gt;0,VLOOKUP($A2769,Players!$A$2:$C$132,3),"")</f>
        <v/>
      </c>
      <c r="C2769" s="255"/>
      <c r="D2769" s="255"/>
      <c r="E2769" s="255"/>
      <c r="F2769" s="255"/>
      <c r="G2769" s="254" t="str">
        <f>IF(VLOOKUP($D2759&amp;RIGHT($A2769,1),Players!$A$2:$D$132,3)&lt;&gt;0,VLOOKUP($D2759&amp;RIGHT($A2769,1),Players!$A$2:$D$132,3),"")</f>
        <v/>
      </c>
      <c r="H2769" s="254"/>
      <c r="I2769" s="254"/>
      <c r="J2769" s="210" t="str">
        <f>IF(VLOOKUP($D2759&amp;RIGHT($A2769,1),Players!$A$2:$D$132,3)&lt;&gt;0,"("&amp;VLOOKUP($D2759&amp;RIGHT($A2769,1),Players!$A$2:$D$132,4)&amp;")","")</f>
        <v/>
      </c>
    </row>
    <row r="2770" spans="1:10" ht="25.5" customHeight="1">
      <c r="A2770" s="50" t="str">
        <f>CONCATENATE($I2759,"5")</f>
        <v>K5</v>
      </c>
      <c r="B2770" s="255" t="str">
        <f>IF(VLOOKUP($A2770,Players!$A$2:$C$132,3)&lt;&gt;0,VLOOKUP($A2770,Players!$A$2:$C$132,3),"")</f>
        <v/>
      </c>
      <c r="C2770" s="255"/>
      <c r="D2770" s="255"/>
      <c r="E2770" s="255"/>
      <c r="F2770" s="255"/>
      <c r="G2770" s="254" t="str">
        <f>IF(VLOOKUP($D2759&amp;RIGHT($A2770,1),Players!$A$2:$D$132,3)&lt;&gt;0,VLOOKUP($D2759&amp;RIGHT($A2770,1),Players!$A$2:$D$132,3),"")</f>
        <v/>
      </c>
      <c r="H2770" s="254"/>
      <c r="I2770" s="254"/>
      <c r="J2770" s="210" t="str">
        <f>IF(VLOOKUP($D2759&amp;RIGHT($A2770,1),Players!$A$2:$D$132,3)&lt;&gt;0,"("&amp;VLOOKUP($D2759&amp;RIGHT($A2770,1),Players!$A$2:$D$132,4)&amp;")","")</f>
        <v/>
      </c>
    </row>
    <row r="2771" spans="1:10" ht="25.5" customHeight="1">
      <c r="A2771" s="50" t="str">
        <f>CONCATENATE($I2759,"6")</f>
        <v>K6</v>
      </c>
      <c r="B2771" s="255" t="str">
        <f>IF(VLOOKUP($A2771,Players!$A$2:$C$132,3)&lt;&gt;0,VLOOKUP($A2771,Players!$A$2:$C$132,3),"")</f>
        <v/>
      </c>
      <c r="C2771" s="255"/>
      <c r="D2771" s="255"/>
      <c r="E2771" s="255"/>
      <c r="F2771" s="255"/>
      <c r="G2771" s="254" t="str">
        <f>IF(VLOOKUP($D2759&amp;RIGHT($A2771,1),Players!$A$2:$D$132,3)&lt;&gt;0,VLOOKUP($D2759&amp;RIGHT($A2771,1),Players!$A$2:$D$132,3),"")</f>
        <v/>
      </c>
      <c r="H2771" s="254"/>
      <c r="I2771" s="254"/>
      <c r="J2771" s="210" t="str">
        <f>IF(VLOOKUP($D2759&amp;RIGHT($A2771,1),Players!$A$2:$D$132,3)&lt;&gt;0,"("&amp;VLOOKUP($D2759&amp;RIGHT($A2771,1),Players!$A$2:$D$132,4)&amp;")","")</f>
        <v/>
      </c>
    </row>
    <row r="2772" spans="1:10" ht="25.5" customHeight="1">
      <c r="A2772" s="50" t="str">
        <f>CONCATENATE($I2759,"7")</f>
        <v>K7</v>
      </c>
      <c r="B2772" s="255" t="str">
        <f>IF(VLOOKUP($A2772,Players!$A$2:$C$132,3)&lt;&gt;0,VLOOKUP($A2772,Players!$A$2:$C$132,3),"")</f>
        <v/>
      </c>
      <c r="C2772" s="255"/>
      <c r="D2772" s="255"/>
      <c r="E2772" s="255"/>
      <c r="F2772" s="255"/>
      <c r="G2772" s="254" t="str">
        <f>IF(VLOOKUP($D2759&amp;RIGHT($A2772,1),Players!$A$2:$D$132,3)&lt;&gt;0,VLOOKUP($D2759&amp;RIGHT($A2772,1),Players!$A$2:$D$132,3),"")</f>
        <v/>
      </c>
      <c r="H2772" s="254"/>
      <c r="I2772" s="254"/>
      <c r="J2772" s="210" t="str">
        <f>IF(VLOOKUP($D2759&amp;RIGHT($A2772,1),Players!$A$2:$D$132,3)&lt;&gt;0,"("&amp;VLOOKUP($D2759&amp;RIGHT($A2772,1),Players!$A$2:$D$132,4)&amp;")","")</f>
        <v/>
      </c>
    </row>
    <row r="2773" spans="1:10" ht="25.5" customHeight="1">
      <c r="A2773" s="50" t="str">
        <f>CONCATENATE($I2759,"8")</f>
        <v>K8</v>
      </c>
      <c r="B2773" s="255" t="str">
        <f>IF(VLOOKUP($A2773,Players!$A$2:$C$132,3)&lt;&gt;0,VLOOKUP($A2773,Players!$A$2:$C$132,3),"")</f>
        <v/>
      </c>
      <c r="C2773" s="255"/>
      <c r="D2773" s="255"/>
      <c r="E2773" s="255"/>
      <c r="F2773" s="255"/>
      <c r="G2773" s="254" t="str">
        <f>IF(VLOOKUP($D2759&amp;RIGHT($A2773,1),Players!$A$2:$D$132,3)&lt;&gt;0,VLOOKUP($D2759&amp;RIGHT($A2773,1),Players!$A$2:$D$132,3),"")</f>
        <v/>
      </c>
      <c r="H2773" s="254"/>
      <c r="I2773" s="254"/>
      <c r="J2773" s="210" t="str">
        <f>IF(VLOOKUP($D2759&amp;RIGHT($A2773,1),Players!$A$2:$D$132,3)&lt;&gt;0,"("&amp;VLOOKUP($D2759&amp;RIGHT($A2773,1),Players!$A$2:$D$132,4)&amp;")","")</f>
        <v/>
      </c>
    </row>
    <row r="2774" spans="1:10" ht="25.5" customHeight="1">
      <c r="A2774" s="50"/>
      <c r="B2774" s="26"/>
      <c r="C2774" s="26"/>
      <c r="D2774" s="26"/>
      <c r="E2774" s="26"/>
      <c r="F2774" s="27"/>
      <c r="G2774" s="43"/>
      <c r="H2774" s="43"/>
      <c r="I2774" s="43"/>
      <c r="J2774" s="43"/>
    </row>
    <row r="2775" spans="1:10">
      <c r="A2775" s="49" t="s">
        <v>1225</v>
      </c>
      <c r="B2775" s="46"/>
      <c r="C2775" s="46"/>
      <c r="D2775" s="46"/>
      <c r="E2775" s="46"/>
      <c r="F2775" s="46"/>
      <c r="G2775" s="43"/>
      <c r="H2775" s="43"/>
      <c r="I2775" s="43"/>
      <c r="J2775" s="43"/>
    </row>
    <row r="2776" spans="1:10">
      <c r="A2776" s="46" t="s">
        <v>1247</v>
      </c>
      <c r="B2776" s="46"/>
      <c r="C2776" s="46"/>
      <c r="D2776" s="46"/>
      <c r="E2776" s="46"/>
      <c r="F2776" s="46"/>
      <c r="G2776" s="43"/>
      <c r="H2776" s="43"/>
      <c r="I2776" s="43"/>
      <c r="J2776" s="43"/>
    </row>
    <row r="2777" spans="1:10">
      <c r="A2777" s="46" t="s">
        <v>1248</v>
      </c>
      <c r="B2777" s="46"/>
      <c r="C2777" s="46"/>
      <c r="D2777" s="46"/>
      <c r="E2777" s="46"/>
      <c r="F2777" s="46"/>
      <c r="G2777" s="43"/>
      <c r="H2777" s="43"/>
      <c r="I2777" s="43"/>
      <c r="J2777" s="43"/>
    </row>
    <row r="2778" spans="1:10" ht="13.5" thickBot="1">
      <c r="A2778" s="46"/>
      <c r="B2778" s="46"/>
      <c r="C2778" s="46"/>
      <c r="D2778" s="46"/>
      <c r="E2778" s="46"/>
      <c r="F2778" s="46"/>
      <c r="G2778" s="43"/>
      <c r="H2778" s="43"/>
      <c r="I2778" s="43"/>
      <c r="J2778" s="43"/>
    </row>
    <row r="2779" spans="1:10" ht="25.5" customHeight="1" thickBot="1">
      <c r="A2779" s="50"/>
      <c r="B2779" s="257"/>
      <c r="C2779" s="258"/>
      <c r="D2779" s="258"/>
      <c r="E2779" s="258"/>
      <c r="F2779" s="259"/>
      <c r="G2779" s="43"/>
      <c r="H2779" s="43"/>
      <c r="I2779" s="43"/>
      <c r="J2779" s="43"/>
    </row>
    <row r="2780" spans="1:10">
      <c r="A2780" s="43"/>
      <c r="B2780" s="43"/>
      <c r="C2780" s="43"/>
      <c r="D2780" s="43"/>
      <c r="E2780" s="43"/>
      <c r="F2780" s="43"/>
      <c r="G2780" s="43"/>
      <c r="H2780" s="43"/>
      <c r="I2780" s="43"/>
      <c r="J2780" s="43"/>
    </row>
    <row r="2781" spans="1:10">
      <c r="A2781" s="43"/>
      <c r="B2781" s="43"/>
      <c r="C2781" s="43"/>
      <c r="D2781" s="43"/>
      <c r="E2781" s="43"/>
      <c r="F2781" s="43"/>
      <c r="G2781" s="43"/>
      <c r="H2781" s="43"/>
      <c r="I2781" s="43"/>
      <c r="J2781" s="43"/>
    </row>
    <row r="2782" spans="1:10">
      <c r="A2782" s="43"/>
      <c r="B2782" s="43"/>
      <c r="C2782" s="43"/>
      <c r="D2782" s="43"/>
      <c r="E2782" s="43"/>
      <c r="F2782" s="43"/>
      <c r="G2782" s="43"/>
      <c r="H2782" s="43"/>
      <c r="I2782" s="43"/>
      <c r="J2782" s="43"/>
    </row>
    <row r="2783" spans="1:10">
      <c r="A2783" s="43"/>
      <c r="B2783" s="43"/>
      <c r="C2783" s="43"/>
      <c r="D2783" s="43"/>
      <c r="E2783" s="43"/>
      <c r="F2783" s="43"/>
      <c r="G2783" s="43"/>
      <c r="H2783" s="43"/>
      <c r="I2783" s="43"/>
      <c r="J2783" s="43"/>
    </row>
    <row r="2784" spans="1:10">
      <c r="A2784" s="43"/>
      <c r="B2784" s="43"/>
      <c r="C2784" s="43"/>
      <c r="D2784" s="43"/>
      <c r="E2784" s="43"/>
      <c r="F2784" s="43"/>
      <c r="G2784" s="43"/>
      <c r="H2784" s="43"/>
      <c r="I2784" s="43"/>
      <c r="J2784" s="43"/>
    </row>
    <row r="2785" spans="1:10" ht="25.5" customHeight="1">
      <c r="A2785" s="47"/>
      <c r="B2785" s="47"/>
      <c r="C2785" s="47"/>
      <c r="D2785" s="47"/>
      <c r="E2785" s="47"/>
      <c r="F2785" s="43"/>
      <c r="G2785" s="51"/>
      <c r="H2785" s="250" t="s">
        <v>1227</v>
      </c>
      <c r="I2785" s="251"/>
      <c r="J2785" s="43"/>
    </row>
    <row r="2786" spans="1:10">
      <c r="A2786" s="43" t="s">
        <v>1226</v>
      </c>
      <c r="B2786" s="43"/>
      <c r="C2786" s="43"/>
      <c r="D2786" s="43"/>
      <c r="E2786" s="43"/>
      <c r="F2786" s="43"/>
      <c r="G2786" s="43"/>
      <c r="H2786" s="43"/>
      <c r="I2786" s="43"/>
      <c r="J2786" s="43"/>
    </row>
    <row r="2787" spans="1:10">
      <c r="A2787" s="43"/>
      <c r="B2787" s="43"/>
      <c r="C2787" s="43"/>
      <c r="D2787" s="43"/>
      <c r="E2787" s="43"/>
      <c r="F2787" s="43"/>
      <c r="G2787" s="43"/>
      <c r="H2787" s="43"/>
      <c r="I2787" s="43"/>
      <c r="J2787" s="43"/>
    </row>
    <row r="2788" spans="1:10">
      <c r="A2788" s="43"/>
      <c r="B2788" s="43"/>
      <c r="C2788" s="43"/>
      <c r="D2788" s="43"/>
      <c r="E2788" s="256" t="str">
        <f>CONCATENATE("(",$D2759," vs ",$I2759,")")</f>
        <v>(C vs K)</v>
      </c>
      <c r="F2788" s="256"/>
      <c r="G2788" s="43"/>
      <c r="H2788" s="43"/>
      <c r="I2788" s="43"/>
      <c r="J2788" s="43"/>
    </row>
    <row r="2789" spans="1:10" ht="15.75">
      <c r="A2789" s="42" t="s">
        <v>1223</v>
      </c>
      <c r="B2789" s="43"/>
      <c r="C2789" s="43"/>
      <c r="D2789" s="43"/>
      <c r="E2789" s="43"/>
      <c r="F2789" s="43"/>
      <c r="G2789" s="43"/>
      <c r="H2789" s="43"/>
      <c r="I2789" s="43"/>
      <c r="J2789" s="96" t="s">
        <v>4301</v>
      </c>
    </row>
    <row r="2790" spans="1:10" ht="12.75" customHeight="1">
      <c r="A2790" s="42"/>
      <c r="B2790" s="43"/>
      <c r="C2790" s="43"/>
      <c r="D2790" s="43"/>
      <c r="E2790" s="43"/>
      <c r="F2790" s="43"/>
      <c r="G2790" s="43" t="str">
        <f ca="1">Team_Matches!$J$6</f>
        <v>[NCTTA Teams Template (v2.06).xlsx]</v>
      </c>
      <c r="H2790" s="43"/>
      <c r="I2790" s="43"/>
      <c r="J2790" s="160"/>
    </row>
    <row r="2791" spans="1:10" ht="12.75" customHeight="1">
      <c r="A2791" s="42"/>
      <c r="B2791" s="43"/>
      <c r="C2791" s="43"/>
      <c r="D2791" s="43"/>
      <c r="E2791" s="43"/>
      <c r="F2791" s="43"/>
      <c r="G2791" s="247" t="str">
        <f>Team_Matches!$J2098</f>
        <v/>
      </c>
      <c r="H2791" s="247"/>
      <c r="I2791" s="161" t="str">
        <f>Team_Matches!$M2098</f>
        <v/>
      </c>
      <c r="J2791" s="161"/>
    </row>
    <row r="2792" spans="1:10" ht="15.75">
      <c r="A2792" s="42"/>
      <c r="B2792" s="43"/>
      <c r="C2792" s="43"/>
      <c r="D2792" s="43"/>
      <c r="E2792" s="43"/>
      <c r="F2792" s="43"/>
      <c r="G2792" s="43"/>
      <c r="H2792" s="43"/>
      <c r="I2792" s="43"/>
      <c r="J2792" s="43"/>
    </row>
    <row r="2793" spans="1:10">
      <c r="A2793" s="43"/>
      <c r="B2793" s="43"/>
      <c r="C2793" s="9" t="s">
        <v>1228</v>
      </c>
      <c r="D2793" s="52" t="str">
        <f>Team_Matches!$B2100</f>
        <v>C</v>
      </c>
      <c r="E2793" s="43"/>
      <c r="F2793" s="97" t="str">
        <f>CONCATENATE($D2793,"-",$I2793)</f>
        <v>C-L</v>
      </c>
      <c r="G2793" s="43"/>
      <c r="H2793" s="9" t="s">
        <v>1228</v>
      </c>
      <c r="I2793" s="52" t="str">
        <f>Team_Matches!$K2100</f>
        <v>L</v>
      </c>
      <c r="J2793" s="43"/>
    </row>
    <row r="2794" spans="1:10" ht="25.5" customHeight="1">
      <c r="A2794" s="44"/>
      <c r="B2794" s="248" t="str">
        <f>IF(VLOOKUP($D2793,Draw!$A$4:$B$27,2)&lt;&gt;0,VLOOKUP($D2793,Draw!$A$4:$B$27,2),"")</f>
        <v/>
      </c>
      <c r="C2794" s="248"/>
      <c r="D2794" s="248"/>
      <c r="E2794" s="249"/>
      <c r="F2794" s="45"/>
      <c r="G2794" s="252" t="str">
        <f>IF(VLOOKUP($I2793,Draw!$A$4:$B$27,2)&lt;&gt;0,VLOOKUP($I2793,Draw!$A$4:$B$27,2),"")</f>
        <v/>
      </c>
      <c r="H2794" s="252"/>
      <c r="I2794" s="252"/>
      <c r="J2794" s="253"/>
    </row>
    <row r="2795" spans="1:10" ht="25.5" customHeight="1"/>
    <row r="2796" spans="1:10" ht="25.5" customHeight="1"/>
    <row r="2797" spans="1:10" ht="24" customHeight="1">
      <c r="A2797" s="48" t="s">
        <v>1246</v>
      </c>
      <c r="B2797" s="43"/>
      <c r="C2797" s="43"/>
      <c r="D2797" s="43"/>
      <c r="E2797" s="43"/>
      <c r="F2797" s="43"/>
      <c r="G2797" s="43"/>
      <c r="H2797" s="43"/>
      <c r="I2797" s="43"/>
      <c r="J2797" s="43"/>
    </row>
    <row r="2798" spans="1:10" ht="24" customHeight="1">
      <c r="A2798" s="48"/>
      <c r="B2798" s="43"/>
      <c r="C2798" s="43"/>
      <c r="D2798" s="43"/>
      <c r="E2798" s="43"/>
      <c r="F2798" s="43"/>
      <c r="G2798" s="43"/>
      <c r="H2798" s="43"/>
      <c r="I2798" s="43"/>
      <c r="J2798" s="43"/>
    </row>
    <row r="2799" spans="1:10">
      <c r="A2799" s="49" t="s">
        <v>1224</v>
      </c>
      <c r="B2799" s="46"/>
      <c r="C2799" s="46"/>
      <c r="D2799" s="46"/>
      <c r="E2799" s="46"/>
      <c r="F2799" s="46"/>
      <c r="G2799" s="260" t="s">
        <v>10336</v>
      </c>
      <c r="H2799" s="260"/>
      <c r="I2799" s="260"/>
      <c r="J2799" s="260"/>
    </row>
    <row r="2800" spans="1:10" ht="24" customHeight="1">
      <c r="A2800" s="50" t="str">
        <f>CONCATENATE($D2793,"1")</f>
        <v>C1</v>
      </c>
      <c r="B2800" s="255" t="str">
        <f>IF(VLOOKUP($A2800,Players!$A$2:$C$132,3)&lt;&gt;0,VLOOKUP($A2800,Players!$A$2:$C$132,3),"")</f>
        <v/>
      </c>
      <c r="C2800" s="255"/>
      <c r="D2800" s="255"/>
      <c r="E2800" s="255"/>
      <c r="F2800" s="255"/>
      <c r="G2800" s="254" t="str">
        <f>IF(VLOOKUP($I2793&amp;RIGHT($A2800,1),Players!$A$2:$D$132,3)&lt;&gt;0,VLOOKUP($I2793&amp;RIGHT($A2800,1),Players!$A$2:$D$132,3),"")</f>
        <v/>
      </c>
      <c r="H2800" s="254"/>
      <c r="I2800" s="254"/>
      <c r="J2800" s="210" t="str">
        <f>IF(VLOOKUP($I2793&amp;RIGHT($A2800,1),Players!$A$2:$D$132,3)&lt;&gt;0,"("&amp;VLOOKUP($I2793&amp;RIGHT($A2800,1),Players!$A$2:$D$132,4)&amp;")","")</f>
        <v/>
      </c>
    </row>
    <row r="2801" spans="1:10" ht="25.5" customHeight="1">
      <c r="A2801" s="50" t="str">
        <f>CONCATENATE($D2793,"2")</f>
        <v>C2</v>
      </c>
      <c r="B2801" s="255" t="str">
        <f>IF(VLOOKUP($A2801,Players!$A$2:$C$132,3)&lt;&gt;0,VLOOKUP($A2801,Players!$A$2:$C$132,3),"")</f>
        <v/>
      </c>
      <c r="C2801" s="255"/>
      <c r="D2801" s="255"/>
      <c r="E2801" s="255"/>
      <c r="F2801" s="255"/>
      <c r="G2801" s="254" t="str">
        <f>IF(VLOOKUP($I2793&amp;RIGHT($A2801,1),Players!$A$2:$D$132,3)&lt;&gt;0,VLOOKUP($I2793&amp;RIGHT($A2801,1),Players!$A$2:$D$132,3),"")</f>
        <v/>
      </c>
      <c r="H2801" s="254"/>
      <c r="I2801" s="254"/>
      <c r="J2801" s="210" t="str">
        <f>IF(VLOOKUP($I2793&amp;RIGHT($A2801,1),Players!$A$2:$D$132,3)&lt;&gt;0,"("&amp;VLOOKUP($I2793&amp;RIGHT($A2801,1),Players!$A$2:$D$132,4)&amp;")","")</f>
        <v/>
      </c>
    </row>
    <row r="2802" spans="1:10" ht="25.5" customHeight="1">
      <c r="A2802" s="50" t="str">
        <f>CONCATENATE($D2793,"3")</f>
        <v>C3</v>
      </c>
      <c r="B2802" s="255" t="str">
        <f>IF(VLOOKUP($A2802,Players!$A$2:$C$132,3)&lt;&gt;0,VLOOKUP($A2802,Players!$A$2:$C$132,3),"")</f>
        <v/>
      </c>
      <c r="C2802" s="255"/>
      <c r="D2802" s="255"/>
      <c r="E2802" s="255"/>
      <c r="F2802" s="255"/>
      <c r="G2802" s="254" t="str">
        <f>IF(VLOOKUP($I2793&amp;RIGHT($A2802,1),Players!$A$2:$D$132,3)&lt;&gt;0,VLOOKUP($I2793&amp;RIGHT($A2802,1),Players!$A$2:$D$132,3),"")</f>
        <v/>
      </c>
      <c r="H2802" s="254"/>
      <c r="I2802" s="254"/>
      <c r="J2802" s="210" t="str">
        <f>IF(VLOOKUP($I2793&amp;RIGHT($A2802,1),Players!$A$2:$D$132,3)&lt;&gt;0,"("&amp;VLOOKUP($I2793&amp;RIGHT($A2802,1),Players!$A$2:$D$132,4)&amp;")","")</f>
        <v/>
      </c>
    </row>
    <row r="2803" spans="1:10" ht="25.5" customHeight="1">
      <c r="A2803" s="50" t="str">
        <f>CONCATENATE($D2793,"4")</f>
        <v>C4</v>
      </c>
      <c r="B2803" s="255" t="str">
        <f>IF(VLOOKUP($A2803,Players!$A$2:$C$132,3)&lt;&gt;0,VLOOKUP($A2803,Players!$A$2:$C$132,3),"")</f>
        <v/>
      </c>
      <c r="C2803" s="255"/>
      <c r="D2803" s="255"/>
      <c r="E2803" s="255"/>
      <c r="F2803" s="255"/>
      <c r="G2803" s="254" t="str">
        <f>IF(VLOOKUP($I2793&amp;RIGHT($A2803,1),Players!$A$2:$D$132,3)&lt;&gt;0,VLOOKUP($I2793&amp;RIGHT($A2803,1),Players!$A$2:$D$132,3),"")</f>
        <v/>
      </c>
      <c r="H2803" s="254"/>
      <c r="I2803" s="254"/>
      <c r="J2803" s="210" t="str">
        <f>IF(VLOOKUP($I2793&amp;RIGHT($A2803,1),Players!$A$2:$D$132,3)&lt;&gt;0,"("&amp;VLOOKUP($I2793&amp;RIGHT($A2803,1),Players!$A$2:$D$132,4)&amp;")","")</f>
        <v/>
      </c>
    </row>
    <row r="2804" spans="1:10" ht="25.5" customHeight="1">
      <c r="A2804" s="50" t="str">
        <f>CONCATENATE($D2793,"5")</f>
        <v>C5</v>
      </c>
      <c r="B2804" s="255" t="str">
        <f>IF(VLOOKUP($A2804,Players!$A$2:$C$132,3)&lt;&gt;0,VLOOKUP($A2804,Players!$A$2:$C$132,3),"")</f>
        <v/>
      </c>
      <c r="C2804" s="255"/>
      <c r="D2804" s="255"/>
      <c r="E2804" s="255"/>
      <c r="F2804" s="255"/>
      <c r="G2804" s="254" t="str">
        <f>IF(VLOOKUP($I2793&amp;RIGHT($A2804,1),Players!$A$2:$D$132,3)&lt;&gt;0,VLOOKUP($I2793&amp;RIGHT($A2804,1),Players!$A$2:$D$132,3),"")</f>
        <v/>
      </c>
      <c r="H2804" s="254"/>
      <c r="I2804" s="254"/>
      <c r="J2804" s="210" t="str">
        <f>IF(VLOOKUP($I2793&amp;RIGHT($A2804,1),Players!$A$2:$D$132,3)&lt;&gt;0,"("&amp;VLOOKUP($I2793&amp;RIGHT($A2804,1),Players!$A$2:$D$132,4)&amp;")","")</f>
        <v/>
      </c>
    </row>
    <row r="2805" spans="1:10" ht="25.5" customHeight="1">
      <c r="A2805" s="50" t="str">
        <f>CONCATENATE($D2793,"6")</f>
        <v>C6</v>
      </c>
      <c r="B2805" s="255" t="str">
        <f>IF(VLOOKUP($A2805,Players!$A$2:$C$132,3)&lt;&gt;0,VLOOKUP($A2805,Players!$A$2:$C$132,3),"")</f>
        <v/>
      </c>
      <c r="C2805" s="255"/>
      <c r="D2805" s="255"/>
      <c r="E2805" s="255"/>
      <c r="F2805" s="255"/>
      <c r="G2805" s="254" t="str">
        <f>IF(VLOOKUP($I2793&amp;RIGHT($A2805,1),Players!$A$2:$D$132,3)&lt;&gt;0,VLOOKUP($I2793&amp;RIGHT($A2805,1),Players!$A$2:$D$132,3),"")</f>
        <v/>
      </c>
      <c r="H2805" s="254"/>
      <c r="I2805" s="254"/>
      <c r="J2805" s="210" t="str">
        <f>IF(VLOOKUP($I2793&amp;RIGHT($A2805,1),Players!$A$2:$D$132,3)&lt;&gt;0,"("&amp;VLOOKUP($I2793&amp;RIGHT($A2805,1),Players!$A$2:$D$132,4)&amp;")","")</f>
        <v/>
      </c>
    </row>
    <row r="2806" spans="1:10" ht="25.5" customHeight="1">
      <c r="A2806" s="50" t="str">
        <f>CONCATENATE($D2793,"7")</f>
        <v>C7</v>
      </c>
      <c r="B2806" s="255" t="str">
        <f>IF(VLOOKUP($A2806,Players!$A$2:$C$132,3)&lt;&gt;0,VLOOKUP($A2806,Players!$A$2:$C$132,3),"")</f>
        <v/>
      </c>
      <c r="C2806" s="255"/>
      <c r="D2806" s="255"/>
      <c r="E2806" s="255"/>
      <c r="F2806" s="255"/>
      <c r="G2806" s="254" t="str">
        <f>IF(VLOOKUP($I2793&amp;RIGHT($A2806,1),Players!$A$2:$D$132,3)&lt;&gt;0,VLOOKUP($I2793&amp;RIGHT($A2806,1),Players!$A$2:$D$132,3),"")</f>
        <v/>
      </c>
      <c r="H2806" s="254"/>
      <c r="I2806" s="254"/>
      <c r="J2806" s="210" t="str">
        <f>IF(VLOOKUP($I2793&amp;RIGHT($A2806,1),Players!$A$2:$D$132,3)&lt;&gt;0,"("&amp;VLOOKUP($I2793&amp;RIGHT($A2806,1),Players!$A$2:$D$132,4)&amp;")","")</f>
        <v/>
      </c>
    </row>
    <row r="2807" spans="1:10" ht="25.5" customHeight="1">
      <c r="A2807" s="50" t="str">
        <f>CONCATENATE($D2793,"8")</f>
        <v>C8</v>
      </c>
      <c r="B2807" s="255" t="str">
        <f>IF(VLOOKUP($A2807,Players!$A$2:$C$132,3)&lt;&gt;0,VLOOKUP($A2807,Players!$A$2:$C$132,3),"")</f>
        <v/>
      </c>
      <c r="C2807" s="255"/>
      <c r="D2807" s="255"/>
      <c r="E2807" s="255"/>
      <c r="F2807" s="255"/>
      <c r="G2807" s="254" t="str">
        <f>IF(VLOOKUP($I2793&amp;RIGHT($A2807,1),Players!$A$2:$D$132,3)&lt;&gt;0,VLOOKUP($I2793&amp;RIGHT($A2807,1),Players!$A$2:$D$132,3),"")</f>
        <v/>
      </c>
      <c r="H2807" s="254"/>
      <c r="I2807" s="254"/>
      <c r="J2807" s="210" t="str">
        <f>IF(VLOOKUP($I2793&amp;RIGHT($A2807,1),Players!$A$2:$D$132,3)&lt;&gt;0,"("&amp;VLOOKUP($I2793&amp;RIGHT($A2807,1),Players!$A$2:$D$132,4)&amp;")","")</f>
        <v/>
      </c>
    </row>
    <row r="2808" spans="1:10" ht="25.5" customHeight="1">
      <c r="A2808" s="50"/>
      <c r="B2808" s="26"/>
      <c r="C2808" s="26"/>
      <c r="D2808" s="26"/>
      <c r="E2808" s="26"/>
      <c r="F2808" s="27"/>
      <c r="G2808" s="43"/>
      <c r="H2808" s="43"/>
      <c r="I2808" s="43"/>
      <c r="J2808" s="43"/>
    </row>
    <row r="2809" spans="1:10">
      <c r="A2809" s="49" t="s">
        <v>1225</v>
      </c>
      <c r="B2809" s="46"/>
      <c r="C2809" s="46"/>
      <c r="D2809" s="46"/>
      <c r="E2809" s="46"/>
      <c r="F2809" s="46"/>
      <c r="G2809" s="43"/>
      <c r="H2809" s="43"/>
      <c r="I2809" s="43"/>
      <c r="J2809" s="43"/>
    </row>
    <row r="2810" spans="1:10">
      <c r="A2810" s="46" t="s">
        <v>1247</v>
      </c>
      <c r="B2810" s="46"/>
      <c r="C2810" s="46"/>
      <c r="D2810" s="46"/>
      <c r="E2810" s="46"/>
      <c r="F2810" s="46"/>
      <c r="G2810" s="43"/>
      <c r="H2810" s="43"/>
      <c r="I2810" s="43"/>
      <c r="J2810" s="43"/>
    </row>
    <row r="2811" spans="1:10">
      <c r="A2811" s="46" t="s">
        <v>1248</v>
      </c>
      <c r="B2811" s="46"/>
      <c r="C2811" s="46"/>
      <c r="D2811" s="46"/>
      <c r="E2811" s="46"/>
      <c r="F2811" s="46"/>
      <c r="G2811" s="43"/>
      <c r="H2811" s="43"/>
      <c r="I2811" s="43"/>
      <c r="J2811" s="43"/>
    </row>
    <row r="2812" spans="1:10" ht="13.5" thickBot="1">
      <c r="A2812" s="46"/>
      <c r="B2812" s="46"/>
      <c r="C2812" s="46"/>
      <c r="D2812" s="46"/>
      <c r="E2812" s="46"/>
      <c r="F2812" s="46"/>
      <c r="G2812" s="43"/>
      <c r="H2812" s="43"/>
      <c r="I2812" s="43"/>
      <c r="J2812" s="43"/>
    </row>
    <row r="2813" spans="1:10" ht="25.5" customHeight="1" thickBot="1">
      <c r="A2813" s="50"/>
      <c r="B2813" s="257"/>
      <c r="C2813" s="258"/>
      <c r="D2813" s="258"/>
      <c r="E2813" s="258"/>
      <c r="F2813" s="259"/>
      <c r="G2813" s="43"/>
      <c r="H2813" s="43"/>
      <c r="I2813" s="43"/>
      <c r="J2813" s="43"/>
    </row>
    <row r="2814" spans="1:10">
      <c r="A2814" s="43"/>
      <c r="B2814" s="43"/>
      <c r="C2814" s="43"/>
      <c r="D2814" s="43"/>
      <c r="E2814" s="43"/>
      <c r="F2814" s="43"/>
      <c r="G2814" s="43"/>
      <c r="H2814" s="43"/>
      <c r="I2814" s="43"/>
      <c r="J2814" s="43"/>
    </row>
    <row r="2815" spans="1:10">
      <c r="A2815" s="43"/>
      <c r="B2815" s="43"/>
      <c r="C2815" s="43"/>
      <c r="D2815" s="43"/>
      <c r="E2815" s="43"/>
      <c r="F2815" s="43"/>
      <c r="G2815" s="43"/>
      <c r="H2815" s="43"/>
      <c r="I2815" s="43"/>
      <c r="J2815" s="43"/>
    </row>
    <row r="2816" spans="1:10">
      <c r="A2816" s="43"/>
      <c r="B2816" s="43"/>
      <c r="C2816" s="43"/>
      <c r="D2816" s="43"/>
      <c r="E2816" s="43"/>
      <c r="F2816" s="43"/>
      <c r="G2816" s="43"/>
      <c r="H2816" s="43"/>
      <c r="I2816" s="43"/>
      <c r="J2816" s="43"/>
    </row>
    <row r="2817" spans="1:10">
      <c r="A2817" s="43"/>
      <c r="B2817" s="43"/>
      <c r="C2817" s="43"/>
      <c r="D2817" s="43"/>
      <c r="E2817" s="43"/>
      <c r="F2817" s="43"/>
      <c r="G2817" s="43"/>
      <c r="H2817" s="43"/>
      <c r="I2817" s="43"/>
      <c r="J2817" s="43"/>
    </row>
    <row r="2818" spans="1:10">
      <c r="A2818" s="43"/>
      <c r="B2818" s="43"/>
      <c r="C2818" s="43"/>
      <c r="D2818" s="43"/>
      <c r="E2818" s="43"/>
      <c r="F2818" s="43"/>
      <c r="G2818" s="43"/>
      <c r="H2818" s="43"/>
      <c r="I2818" s="43"/>
      <c r="J2818" s="43"/>
    </row>
    <row r="2819" spans="1:10" ht="25.5" customHeight="1">
      <c r="A2819" s="47"/>
      <c r="B2819" s="47"/>
      <c r="C2819" s="47"/>
      <c r="D2819" s="47"/>
      <c r="E2819" s="47"/>
      <c r="F2819" s="43"/>
      <c r="G2819" s="51"/>
      <c r="H2819" s="250" t="s">
        <v>1227</v>
      </c>
      <c r="I2819" s="251"/>
      <c r="J2819" s="43"/>
    </row>
    <row r="2820" spans="1:10">
      <c r="A2820" s="43" t="s">
        <v>1226</v>
      </c>
      <c r="B2820" s="43"/>
      <c r="C2820" s="43"/>
      <c r="D2820" s="43"/>
      <c r="E2820" s="43"/>
      <c r="F2820" s="43"/>
      <c r="G2820" s="43"/>
      <c r="H2820" s="43"/>
      <c r="I2820" s="43"/>
      <c r="J2820" s="43"/>
    </row>
    <row r="2821" spans="1:10">
      <c r="A2821" s="43"/>
      <c r="B2821" s="43"/>
      <c r="C2821" s="43"/>
      <c r="D2821" s="43"/>
      <c r="E2821" s="43"/>
      <c r="F2821" s="43"/>
      <c r="G2821" s="43"/>
      <c r="H2821" s="43"/>
      <c r="I2821" s="43"/>
      <c r="J2821" s="43"/>
    </row>
    <row r="2822" spans="1:10">
      <c r="A2822" s="43"/>
      <c r="B2822" s="43"/>
      <c r="C2822" s="43"/>
      <c r="D2822" s="43"/>
      <c r="E2822" s="256" t="str">
        <f>CONCATENATE("(",$D2793," vs ",$I2793,")")</f>
        <v>(C vs L)</v>
      </c>
      <c r="F2822" s="256"/>
      <c r="G2822" s="43"/>
      <c r="H2822" s="43"/>
      <c r="I2822" s="43"/>
      <c r="J2822" s="43"/>
    </row>
    <row r="2823" spans="1:10" ht="15.75">
      <c r="A2823" s="42" t="s">
        <v>1223</v>
      </c>
      <c r="B2823" s="43"/>
      <c r="C2823" s="43"/>
      <c r="D2823" s="43"/>
      <c r="E2823" s="43"/>
      <c r="F2823" s="43"/>
      <c r="G2823" s="43"/>
      <c r="H2823" s="43"/>
      <c r="I2823" s="43"/>
      <c r="J2823" s="96" t="s">
        <v>4302</v>
      </c>
    </row>
    <row r="2824" spans="1:10" ht="12.75" customHeight="1">
      <c r="A2824" s="42"/>
      <c r="B2824" s="43"/>
      <c r="C2824" s="43"/>
      <c r="D2824" s="43"/>
      <c r="E2824" s="43"/>
      <c r="F2824" s="43"/>
      <c r="G2824" s="43" t="str">
        <f ca="1">Team_Matches!$J$6</f>
        <v>[NCTTA Teams Template (v2.06).xlsx]</v>
      </c>
      <c r="H2824" s="43"/>
      <c r="I2824" s="43"/>
      <c r="J2824" s="160"/>
    </row>
    <row r="2825" spans="1:10" ht="12.75" customHeight="1">
      <c r="A2825" s="42"/>
      <c r="B2825" s="43"/>
      <c r="C2825" s="43"/>
      <c r="D2825" s="43"/>
      <c r="E2825" s="43"/>
      <c r="F2825" s="43"/>
      <c r="G2825" s="247" t="str">
        <f>Team_Matches!$J2098</f>
        <v/>
      </c>
      <c r="H2825" s="247"/>
      <c r="I2825" s="161" t="str">
        <f>Team_Matches!$M2098</f>
        <v/>
      </c>
      <c r="J2825" s="161"/>
    </row>
    <row r="2826" spans="1:10" ht="15.75">
      <c r="A2826" s="42"/>
      <c r="B2826" s="43"/>
      <c r="C2826" s="43"/>
      <c r="D2826" s="43"/>
      <c r="E2826" s="43"/>
      <c r="F2826" s="43"/>
      <c r="G2826" s="43"/>
      <c r="H2826" s="43"/>
      <c r="I2826" s="43"/>
      <c r="J2826" s="43"/>
    </row>
    <row r="2827" spans="1:10">
      <c r="A2827" s="43"/>
      <c r="B2827" s="43"/>
      <c r="C2827" s="9" t="s">
        <v>1228</v>
      </c>
      <c r="D2827" s="52" t="str">
        <f>Team_Matches!$B2100</f>
        <v>C</v>
      </c>
      <c r="E2827" s="43"/>
      <c r="F2827" s="97" t="str">
        <f>CONCATENATE($D2827,"-",$I2827)</f>
        <v>C-L</v>
      </c>
      <c r="G2827" s="43"/>
      <c r="H2827" s="9" t="s">
        <v>1228</v>
      </c>
      <c r="I2827" s="52" t="str">
        <f>Team_Matches!$K2100</f>
        <v>L</v>
      </c>
      <c r="J2827" s="43"/>
    </row>
    <row r="2828" spans="1:10" ht="25.5" customHeight="1">
      <c r="A2828" s="44"/>
      <c r="B2828" s="252" t="str">
        <f>IF(VLOOKUP($D2827,Draw!$A$4:$B$27,2)&lt;&gt;0,VLOOKUP($D2827,Draw!$A$4:$B$27,2),"")</f>
        <v/>
      </c>
      <c r="C2828" s="252"/>
      <c r="D2828" s="252"/>
      <c r="E2828" s="253"/>
      <c r="F2828" s="45"/>
      <c r="G2828" s="248" t="str">
        <f>IF(VLOOKUP($I2827,Draw!$A$4:$B$27,2)&lt;&gt;0,VLOOKUP($I2827,Draw!$A$4:$B$27,2),"")</f>
        <v/>
      </c>
      <c r="H2828" s="248"/>
      <c r="I2828" s="248"/>
      <c r="J2828" s="249"/>
    </row>
    <row r="2829" spans="1:10" ht="25.5" customHeight="1"/>
    <row r="2830" spans="1:10" ht="25.5" customHeight="1"/>
    <row r="2831" spans="1:10" ht="24" customHeight="1">
      <c r="A2831" s="48" t="s">
        <v>1246</v>
      </c>
      <c r="B2831" s="43"/>
      <c r="C2831" s="43"/>
      <c r="D2831" s="43"/>
      <c r="E2831" s="43"/>
      <c r="F2831" s="43"/>
      <c r="G2831" s="43"/>
      <c r="H2831" s="43"/>
      <c r="I2831" s="43"/>
      <c r="J2831" s="43"/>
    </row>
    <row r="2832" spans="1:10" ht="24" customHeight="1">
      <c r="A2832" s="48"/>
      <c r="B2832" s="43"/>
      <c r="C2832" s="43"/>
      <c r="D2832" s="43"/>
      <c r="E2832" s="43"/>
      <c r="F2832" s="43"/>
      <c r="G2832" s="43"/>
      <c r="H2832" s="43"/>
      <c r="I2832" s="43"/>
      <c r="J2832" s="43"/>
    </row>
    <row r="2833" spans="1:10">
      <c r="A2833" s="49" t="s">
        <v>1224</v>
      </c>
      <c r="B2833" s="46"/>
      <c r="C2833" s="46"/>
      <c r="D2833" s="46"/>
      <c r="E2833" s="46"/>
      <c r="F2833" s="46"/>
      <c r="G2833" s="260" t="s">
        <v>10336</v>
      </c>
      <c r="H2833" s="260"/>
      <c r="I2833" s="260"/>
      <c r="J2833" s="260"/>
    </row>
    <row r="2834" spans="1:10" ht="24" customHeight="1">
      <c r="A2834" s="50" t="str">
        <f>CONCATENATE($I2827,"1")</f>
        <v>L1</v>
      </c>
      <c r="B2834" s="255" t="str">
        <f>IF(VLOOKUP($A2834,Players!$A$2:$C$132,3)&lt;&gt;0,VLOOKUP($A2834,Players!$A$2:$C$132,3),"")</f>
        <v/>
      </c>
      <c r="C2834" s="255"/>
      <c r="D2834" s="255"/>
      <c r="E2834" s="255"/>
      <c r="F2834" s="255"/>
      <c r="G2834" s="254" t="str">
        <f>IF(VLOOKUP($D2827&amp;RIGHT($A2834,1),Players!$A$2:$D$132,3)&lt;&gt;0,VLOOKUP($D2827&amp;RIGHT($A2834,1),Players!$A$2:$D$132,3),"")</f>
        <v/>
      </c>
      <c r="H2834" s="254"/>
      <c r="I2834" s="254"/>
      <c r="J2834" s="210" t="str">
        <f>IF(VLOOKUP($D2827&amp;RIGHT($A2834,1),Players!$A$2:$D$132,3)&lt;&gt;0,"("&amp;VLOOKUP($D2827&amp;RIGHT($A2834,1),Players!$A$2:$D$132,4)&amp;")","")</f>
        <v/>
      </c>
    </row>
    <row r="2835" spans="1:10" ht="25.5" customHeight="1">
      <c r="A2835" s="50" t="str">
        <f>CONCATENATE($I2827,"2")</f>
        <v>L2</v>
      </c>
      <c r="B2835" s="255" t="str">
        <f>IF(VLOOKUP($A2835,Players!$A$2:$C$132,3)&lt;&gt;0,VLOOKUP($A2835,Players!$A$2:$C$132,3),"")</f>
        <v/>
      </c>
      <c r="C2835" s="255"/>
      <c r="D2835" s="255"/>
      <c r="E2835" s="255"/>
      <c r="F2835" s="255"/>
      <c r="G2835" s="254" t="str">
        <f>IF(VLOOKUP($D2827&amp;RIGHT($A2835,1),Players!$A$2:$D$132,3)&lt;&gt;0,VLOOKUP($D2827&amp;RIGHT($A2835,1),Players!$A$2:$D$132,3),"")</f>
        <v/>
      </c>
      <c r="H2835" s="254"/>
      <c r="I2835" s="254"/>
      <c r="J2835" s="210" t="str">
        <f>IF(VLOOKUP($D2827&amp;RIGHT($A2835,1),Players!$A$2:$D$132,3)&lt;&gt;0,"("&amp;VLOOKUP($D2827&amp;RIGHT($A2835,1),Players!$A$2:$D$132,4)&amp;")","")</f>
        <v/>
      </c>
    </row>
    <row r="2836" spans="1:10" ht="25.5" customHeight="1">
      <c r="A2836" s="50" t="str">
        <f>CONCATENATE($I2827,"3")</f>
        <v>L3</v>
      </c>
      <c r="B2836" s="255" t="str">
        <f>IF(VLOOKUP($A2836,Players!$A$2:$C$132,3)&lt;&gt;0,VLOOKUP($A2836,Players!$A$2:$C$132,3),"")</f>
        <v/>
      </c>
      <c r="C2836" s="255"/>
      <c r="D2836" s="255"/>
      <c r="E2836" s="255"/>
      <c r="F2836" s="255"/>
      <c r="G2836" s="254" t="str">
        <f>IF(VLOOKUP($D2827&amp;RIGHT($A2836,1),Players!$A$2:$D$132,3)&lt;&gt;0,VLOOKUP($D2827&amp;RIGHT($A2836,1),Players!$A$2:$D$132,3),"")</f>
        <v/>
      </c>
      <c r="H2836" s="254"/>
      <c r="I2836" s="254"/>
      <c r="J2836" s="210" t="str">
        <f>IF(VLOOKUP($D2827&amp;RIGHT($A2836,1),Players!$A$2:$D$132,3)&lt;&gt;0,"("&amp;VLOOKUP($D2827&amp;RIGHT($A2836,1),Players!$A$2:$D$132,4)&amp;")","")</f>
        <v/>
      </c>
    </row>
    <row r="2837" spans="1:10" ht="25.5" customHeight="1">
      <c r="A2837" s="50" t="str">
        <f>CONCATENATE($I2827,"4")</f>
        <v>L4</v>
      </c>
      <c r="B2837" s="255" t="str">
        <f>IF(VLOOKUP($A2837,Players!$A$2:$C$132,3)&lt;&gt;0,VLOOKUP($A2837,Players!$A$2:$C$132,3),"")</f>
        <v/>
      </c>
      <c r="C2837" s="255"/>
      <c r="D2837" s="255"/>
      <c r="E2837" s="255"/>
      <c r="F2837" s="255"/>
      <c r="G2837" s="254" t="str">
        <f>IF(VLOOKUP($D2827&amp;RIGHT($A2837,1),Players!$A$2:$D$132,3)&lt;&gt;0,VLOOKUP($D2827&amp;RIGHT($A2837,1),Players!$A$2:$D$132,3),"")</f>
        <v/>
      </c>
      <c r="H2837" s="254"/>
      <c r="I2837" s="254"/>
      <c r="J2837" s="210" t="str">
        <f>IF(VLOOKUP($D2827&amp;RIGHT($A2837,1),Players!$A$2:$D$132,3)&lt;&gt;0,"("&amp;VLOOKUP($D2827&amp;RIGHT($A2837,1),Players!$A$2:$D$132,4)&amp;")","")</f>
        <v/>
      </c>
    </row>
    <row r="2838" spans="1:10" ht="25.5" customHeight="1">
      <c r="A2838" s="50" t="str">
        <f>CONCATENATE($I2827,"5")</f>
        <v>L5</v>
      </c>
      <c r="B2838" s="255" t="str">
        <f>IF(VLOOKUP($A2838,Players!$A$2:$C$132,3)&lt;&gt;0,VLOOKUP($A2838,Players!$A$2:$C$132,3),"")</f>
        <v/>
      </c>
      <c r="C2838" s="255"/>
      <c r="D2838" s="255"/>
      <c r="E2838" s="255"/>
      <c r="F2838" s="255"/>
      <c r="G2838" s="254" t="str">
        <f>IF(VLOOKUP($D2827&amp;RIGHT($A2838,1),Players!$A$2:$D$132,3)&lt;&gt;0,VLOOKUP($D2827&amp;RIGHT($A2838,1),Players!$A$2:$D$132,3),"")</f>
        <v/>
      </c>
      <c r="H2838" s="254"/>
      <c r="I2838" s="254"/>
      <c r="J2838" s="210" t="str">
        <f>IF(VLOOKUP($D2827&amp;RIGHT($A2838,1),Players!$A$2:$D$132,3)&lt;&gt;0,"("&amp;VLOOKUP($D2827&amp;RIGHT($A2838,1),Players!$A$2:$D$132,4)&amp;")","")</f>
        <v/>
      </c>
    </row>
    <row r="2839" spans="1:10" ht="25.5" customHeight="1">
      <c r="A2839" s="50" t="str">
        <f>CONCATENATE($I2827,"6")</f>
        <v>L6</v>
      </c>
      <c r="B2839" s="255" t="str">
        <f>IF(VLOOKUP($A2839,Players!$A$2:$C$132,3)&lt;&gt;0,VLOOKUP($A2839,Players!$A$2:$C$132,3),"")</f>
        <v/>
      </c>
      <c r="C2839" s="255"/>
      <c r="D2839" s="255"/>
      <c r="E2839" s="255"/>
      <c r="F2839" s="255"/>
      <c r="G2839" s="254" t="str">
        <f>IF(VLOOKUP($D2827&amp;RIGHT($A2839,1),Players!$A$2:$D$132,3)&lt;&gt;0,VLOOKUP($D2827&amp;RIGHT($A2839,1),Players!$A$2:$D$132,3),"")</f>
        <v/>
      </c>
      <c r="H2839" s="254"/>
      <c r="I2839" s="254"/>
      <c r="J2839" s="210" t="str">
        <f>IF(VLOOKUP($D2827&amp;RIGHT($A2839,1),Players!$A$2:$D$132,3)&lt;&gt;0,"("&amp;VLOOKUP($D2827&amp;RIGHT($A2839,1),Players!$A$2:$D$132,4)&amp;")","")</f>
        <v/>
      </c>
    </row>
    <row r="2840" spans="1:10" ht="25.5" customHeight="1">
      <c r="A2840" s="50" t="str">
        <f>CONCATENATE($I2827,"7")</f>
        <v>L7</v>
      </c>
      <c r="B2840" s="255" t="str">
        <f>IF(VLOOKUP($A2840,Players!$A$2:$C$132,3)&lt;&gt;0,VLOOKUP($A2840,Players!$A$2:$C$132,3),"")</f>
        <v/>
      </c>
      <c r="C2840" s="255"/>
      <c r="D2840" s="255"/>
      <c r="E2840" s="255"/>
      <c r="F2840" s="255"/>
      <c r="G2840" s="254" t="str">
        <f>IF(VLOOKUP($D2827&amp;RIGHT($A2840,1),Players!$A$2:$D$132,3)&lt;&gt;0,VLOOKUP($D2827&amp;RIGHT($A2840,1),Players!$A$2:$D$132,3),"")</f>
        <v/>
      </c>
      <c r="H2840" s="254"/>
      <c r="I2840" s="254"/>
      <c r="J2840" s="210" t="str">
        <f>IF(VLOOKUP($D2827&amp;RIGHT($A2840,1),Players!$A$2:$D$132,3)&lt;&gt;0,"("&amp;VLOOKUP($D2827&amp;RIGHT($A2840,1),Players!$A$2:$D$132,4)&amp;")","")</f>
        <v/>
      </c>
    </row>
    <row r="2841" spans="1:10" ht="25.5" customHeight="1">
      <c r="A2841" s="50" t="str">
        <f>CONCATENATE($I2827,"8")</f>
        <v>L8</v>
      </c>
      <c r="B2841" s="255" t="str">
        <f>IF(VLOOKUP($A2841,Players!$A$2:$C$132,3)&lt;&gt;0,VLOOKUP($A2841,Players!$A$2:$C$132,3),"")</f>
        <v/>
      </c>
      <c r="C2841" s="255"/>
      <c r="D2841" s="255"/>
      <c r="E2841" s="255"/>
      <c r="F2841" s="255"/>
      <c r="G2841" s="254" t="str">
        <f>IF(VLOOKUP($D2827&amp;RIGHT($A2841,1),Players!$A$2:$D$132,3)&lt;&gt;0,VLOOKUP($D2827&amp;RIGHT($A2841,1),Players!$A$2:$D$132,3),"")</f>
        <v/>
      </c>
      <c r="H2841" s="254"/>
      <c r="I2841" s="254"/>
      <c r="J2841" s="210" t="str">
        <f>IF(VLOOKUP($D2827&amp;RIGHT($A2841,1),Players!$A$2:$D$132,3)&lt;&gt;0,"("&amp;VLOOKUP($D2827&amp;RIGHT($A2841,1),Players!$A$2:$D$132,4)&amp;")","")</f>
        <v/>
      </c>
    </row>
    <row r="2842" spans="1:10" ht="25.5" customHeight="1">
      <c r="A2842" s="50"/>
      <c r="B2842" s="26"/>
      <c r="C2842" s="26"/>
      <c r="D2842" s="26"/>
      <c r="E2842" s="26"/>
      <c r="F2842" s="27"/>
      <c r="G2842" s="43"/>
      <c r="H2842" s="43"/>
      <c r="I2842" s="43"/>
      <c r="J2842" s="43"/>
    </row>
    <row r="2843" spans="1:10">
      <c r="A2843" s="49" t="s">
        <v>1225</v>
      </c>
      <c r="B2843" s="46"/>
      <c r="C2843" s="46"/>
      <c r="D2843" s="46"/>
      <c r="E2843" s="46"/>
      <c r="F2843" s="46"/>
      <c r="G2843" s="43"/>
      <c r="H2843" s="43"/>
      <c r="I2843" s="43"/>
      <c r="J2843" s="43"/>
    </row>
    <row r="2844" spans="1:10">
      <c r="A2844" s="46" t="s">
        <v>1247</v>
      </c>
      <c r="B2844" s="46"/>
      <c r="C2844" s="46"/>
      <c r="D2844" s="46"/>
      <c r="E2844" s="46"/>
      <c r="F2844" s="46"/>
      <c r="G2844" s="43"/>
      <c r="H2844" s="43"/>
      <c r="I2844" s="43"/>
      <c r="J2844" s="43"/>
    </row>
    <row r="2845" spans="1:10">
      <c r="A2845" s="46" t="s">
        <v>1248</v>
      </c>
      <c r="B2845" s="46"/>
      <c r="C2845" s="46"/>
      <c r="D2845" s="46"/>
      <c r="E2845" s="46"/>
      <c r="F2845" s="46"/>
      <c r="G2845" s="43"/>
      <c r="H2845" s="43"/>
      <c r="I2845" s="43"/>
      <c r="J2845" s="43"/>
    </row>
    <row r="2846" spans="1:10" ht="13.5" thickBot="1">
      <c r="A2846" s="46"/>
      <c r="B2846" s="46"/>
      <c r="C2846" s="46"/>
      <c r="D2846" s="46"/>
      <c r="E2846" s="46"/>
      <c r="F2846" s="46"/>
      <c r="G2846" s="43"/>
      <c r="H2846" s="43"/>
      <c r="I2846" s="43"/>
      <c r="J2846" s="43"/>
    </row>
    <row r="2847" spans="1:10" ht="25.5" customHeight="1" thickBot="1">
      <c r="A2847" s="50"/>
      <c r="B2847" s="257"/>
      <c r="C2847" s="258"/>
      <c r="D2847" s="258"/>
      <c r="E2847" s="258"/>
      <c r="F2847" s="259"/>
      <c r="G2847" s="43"/>
      <c r="H2847" s="43"/>
      <c r="I2847" s="43"/>
      <c r="J2847" s="43"/>
    </row>
    <row r="2848" spans="1:10">
      <c r="A2848" s="43"/>
      <c r="B2848" s="43"/>
      <c r="C2848" s="43"/>
      <c r="D2848" s="43"/>
      <c r="E2848" s="43"/>
      <c r="F2848" s="43"/>
      <c r="G2848" s="43"/>
      <c r="H2848" s="43"/>
      <c r="I2848" s="43"/>
      <c r="J2848" s="43"/>
    </row>
    <row r="2849" spans="1:10">
      <c r="A2849" s="43"/>
      <c r="B2849" s="43"/>
      <c r="C2849" s="43"/>
      <c r="D2849" s="43"/>
      <c r="E2849" s="43"/>
      <c r="F2849" s="43"/>
      <c r="G2849" s="43"/>
      <c r="H2849" s="43"/>
      <c r="I2849" s="43"/>
      <c r="J2849" s="43"/>
    </row>
    <row r="2850" spans="1:10">
      <c r="A2850" s="43"/>
      <c r="B2850" s="43"/>
      <c r="C2850" s="43"/>
      <c r="D2850" s="43"/>
      <c r="E2850" s="43"/>
      <c r="F2850" s="43"/>
      <c r="G2850" s="43"/>
      <c r="H2850" s="43"/>
      <c r="I2850" s="43"/>
      <c r="J2850" s="43"/>
    </row>
    <row r="2851" spans="1:10">
      <c r="A2851" s="43"/>
      <c r="B2851" s="43"/>
      <c r="C2851" s="43"/>
      <c r="D2851" s="43"/>
      <c r="E2851" s="43"/>
      <c r="F2851" s="43"/>
      <c r="G2851" s="43"/>
      <c r="H2851" s="43"/>
      <c r="I2851" s="43"/>
      <c r="J2851" s="43"/>
    </row>
    <row r="2852" spans="1:10">
      <c r="A2852" s="43"/>
      <c r="B2852" s="43"/>
      <c r="C2852" s="43"/>
      <c r="D2852" s="43"/>
      <c r="E2852" s="43"/>
      <c r="F2852" s="43"/>
      <c r="G2852" s="43"/>
      <c r="H2852" s="43"/>
      <c r="I2852" s="43"/>
      <c r="J2852" s="43"/>
    </row>
    <row r="2853" spans="1:10" ht="25.5" customHeight="1">
      <c r="A2853" s="47"/>
      <c r="B2853" s="47"/>
      <c r="C2853" s="47"/>
      <c r="D2853" s="47"/>
      <c r="E2853" s="47"/>
      <c r="F2853" s="43"/>
      <c r="G2853" s="51"/>
      <c r="H2853" s="250" t="s">
        <v>1227</v>
      </c>
      <c r="I2853" s="251"/>
      <c r="J2853" s="43"/>
    </row>
    <row r="2854" spans="1:10">
      <c r="A2854" s="43" t="s">
        <v>1226</v>
      </c>
      <c r="B2854" s="43"/>
      <c r="C2854" s="43"/>
      <c r="D2854" s="43"/>
      <c r="E2854" s="43"/>
      <c r="F2854" s="43"/>
      <c r="G2854" s="43"/>
      <c r="H2854" s="43"/>
      <c r="I2854" s="43"/>
      <c r="J2854" s="43"/>
    </row>
    <row r="2855" spans="1:10">
      <c r="A2855" s="43"/>
      <c r="B2855" s="43"/>
      <c r="C2855" s="43"/>
      <c r="D2855" s="43"/>
      <c r="E2855" s="43"/>
      <c r="F2855" s="43"/>
      <c r="G2855" s="43"/>
      <c r="H2855" s="43"/>
      <c r="I2855" s="43"/>
      <c r="J2855" s="43"/>
    </row>
    <row r="2856" spans="1:10">
      <c r="A2856" s="43"/>
      <c r="B2856" s="43"/>
      <c r="C2856" s="43"/>
      <c r="D2856" s="43"/>
      <c r="E2856" s="256" t="str">
        <f>CONCATENATE("(",$D2827," vs ",$I2827,")")</f>
        <v>(C vs L)</v>
      </c>
      <c r="F2856" s="256"/>
      <c r="G2856" s="43"/>
      <c r="H2856" s="43"/>
      <c r="I2856" s="43"/>
      <c r="J2856" s="43"/>
    </row>
    <row r="2857" spans="1:10" ht="15.75">
      <c r="A2857" s="42" t="s">
        <v>1223</v>
      </c>
      <c r="B2857" s="43"/>
      <c r="C2857" s="43"/>
      <c r="D2857" s="43"/>
      <c r="E2857" s="43"/>
      <c r="F2857" s="43"/>
      <c r="G2857" s="43"/>
      <c r="H2857" s="43"/>
      <c r="I2857" s="43"/>
      <c r="J2857" s="96" t="s">
        <v>4303</v>
      </c>
    </row>
    <row r="2858" spans="1:10" ht="12.75" customHeight="1">
      <c r="A2858" s="42"/>
      <c r="B2858" s="43"/>
      <c r="C2858" s="43"/>
      <c r="D2858" s="43"/>
      <c r="E2858" s="43"/>
      <c r="F2858" s="43"/>
      <c r="G2858" s="43" t="str">
        <f ca="1">Team_Matches!$J$6</f>
        <v>[NCTTA Teams Template (v2.06).xlsx]</v>
      </c>
      <c r="H2858" s="43"/>
      <c r="I2858" s="43"/>
      <c r="J2858" s="160"/>
    </row>
    <row r="2859" spans="1:10" ht="12.75" customHeight="1">
      <c r="A2859" s="42"/>
      <c r="B2859" s="43"/>
      <c r="C2859" s="43"/>
      <c r="D2859" s="43"/>
      <c r="E2859" s="43"/>
      <c r="F2859" s="43"/>
      <c r="G2859" s="247" t="str">
        <f>Team_Matches!$J2149</f>
        <v/>
      </c>
      <c r="H2859" s="247"/>
      <c r="I2859" s="161" t="str">
        <f>Team_Matches!$M2149</f>
        <v/>
      </c>
      <c r="J2859" s="161"/>
    </row>
    <row r="2860" spans="1:10" ht="15.75">
      <c r="A2860" s="42"/>
      <c r="B2860" s="43"/>
      <c r="C2860" s="43"/>
      <c r="D2860" s="43"/>
      <c r="E2860" s="43"/>
      <c r="F2860" s="43"/>
      <c r="G2860" s="43"/>
      <c r="H2860" s="43"/>
      <c r="I2860" s="43"/>
      <c r="J2860" s="43"/>
    </row>
    <row r="2861" spans="1:10">
      <c r="A2861" s="43"/>
      <c r="B2861" s="43"/>
      <c r="C2861" s="9" t="s">
        <v>1228</v>
      </c>
      <c r="D2861" s="52" t="str">
        <f>Team_Matches!$B2151</f>
        <v>D</v>
      </c>
      <c r="E2861" s="43"/>
      <c r="F2861" s="97" t="str">
        <f>CONCATENATE($D2861,"-",$I2861)</f>
        <v>D-E</v>
      </c>
      <c r="G2861" s="43"/>
      <c r="H2861" s="9" t="s">
        <v>1228</v>
      </c>
      <c r="I2861" s="3" t="str">
        <f>Team_Matches!$K2151</f>
        <v>E</v>
      </c>
      <c r="J2861" s="43"/>
    </row>
    <row r="2862" spans="1:10" ht="25.5" customHeight="1">
      <c r="A2862" s="44"/>
      <c r="B2862" s="248" t="str">
        <f>IF(VLOOKUP($D2861,Draw!$A$4:$B$27,2)&lt;&gt;0,VLOOKUP($D2861,Draw!$A$4:$B$27,2),"")</f>
        <v/>
      </c>
      <c r="C2862" s="248"/>
      <c r="D2862" s="248"/>
      <c r="E2862" s="249"/>
      <c r="F2862" s="45"/>
      <c r="G2862" s="252" t="str">
        <f>IF(VLOOKUP($I2861,Draw!$A$4:$B$27,2)&lt;&gt;0,VLOOKUP($I2861,Draw!$A$4:$B$27,2),"")</f>
        <v/>
      </c>
      <c r="H2862" s="252"/>
      <c r="I2862" s="252"/>
      <c r="J2862" s="253"/>
    </row>
    <row r="2863" spans="1:10" ht="25.5" customHeight="1"/>
    <row r="2864" spans="1:10" ht="25.5" customHeight="1"/>
    <row r="2865" spans="1:10" ht="24" customHeight="1">
      <c r="A2865" s="48" t="s">
        <v>1246</v>
      </c>
      <c r="B2865" s="43"/>
      <c r="C2865" s="43"/>
      <c r="D2865" s="43"/>
      <c r="E2865" s="43"/>
      <c r="F2865" s="43"/>
      <c r="G2865" s="43"/>
      <c r="H2865" s="43"/>
      <c r="I2865" s="43"/>
      <c r="J2865" s="43"/>
    </row>
    <row r="2866" spans="1:10" ht="24" customHeight="1">
      <c r="A2866" s="48"/>
      <c r="B2866" s="43"/>
      <c r="C2866" s="43"/>
      <c r="D2866" s="43"/>
      <c r="E2866" s="43"/>
      <c r="F2866" s="43"/>
      <c r="G2866" s="43"/>
      <c r="H2866" s="43"/>
      <c r="I2866" s="43"/>
      <c r="J2866" s="43"/>
    </row>
    <row r="2867" spans="1:10">
      <c r="A2867" s="49" t="s">
        <v>1224</v>
      </c>
      <c r="B2867" s="46"/>
      <c r="C2867" s="46"/>
      <c r="D2867" s="46"/>
      <c r="E2867" s="46"/>
      <c r="F2867" s="46"/>
      <c r="G2867" s="260" t="s">
        <v>10336</v>
      </c>
      <c r="H2867" s="260"/>
      <c r="I2867" s="260"/>
      <c r="J2867" s="260"/>
    </row>
    <row r="2868" spans="1:10" ht="24" customHeight="1">
      <c r="A2868" s="50" t="str">
        <f>CONCATENATE($D2861,"1")</f>
        <v>D1</v>
      </c>
      <c r="B2868" s="255" t="str">
        <f>IF(VLOOKUP($A2868,Players!$A$2:$C$132,3)&lt;&gt;0,VLOOKUP($A2868,Players!$A$2:$C$132,3),"")</f>
        <v/>
      </c>
      <c r="C2868" s="255"/>
      <c r="D2868" s="255"/>
      <c r="E2868" s="255"/>
      <c r="F2868" s="255"/>
      <c r="G2868" s="254" t="str">
        <f>IF(VLOOKUP($I2861&amp;RIGHT($A2868,1),Players!$A$2:$D$132,3)&lt;&gt;0,VLOOKUP($I2861&amp;RIGHT($A2868,1),Players!$A$2:$D$132,3),"")</f>
        <v/>
      </c>
      <c r="H2868" s="254"/>
      <c r="I2868" s="254"/>
      <c r="J2868" s="210" t="str">
        <f>IF(VLOOKUP($I2861&amp;RIGHT($A2868,1),Players!$A$2:$D$132,3)&lt;&gt;0,"("&amp;VLOOKUP($I2861&amp;RIGHT($A2868,1),Players!$A$2:$D$132,4)&amp;")","")</f>
        <v/>
      </c>
    </row>
    <row r="2869" spans="1:10" ht="25.5" customHeight="1">
      <c r="A2869" s="50" t="str">
        <f>CONCATENATE($D2861,"2")</f>
        <v>D2</v>
      </c>
      <c r="B2869" s="255" t="str">
        <f>IF(VLOOKUP($A2869,Players!$A$2:$C$132,3)&lt;&gt;0,VLOOKUP($A2869,Players!$A$2:$C$132,3),"")</f>
        <v/>
      </c>
      <c r="C2869" s="255"/>
      <c r="D2869" s="255"/>
      <c r="E2869" s="255"/>
      <c r="F2869" s="255"/>
      <c r="G2869" s="254" t="str">
        <f>IF(VLOOKUP($I2861&amp;RIGHT($A2869,1),Players!$A$2:$D$132,3)&lt;&gt;0,VLOOKUP($I2861&amp;RIGHT($A2869,1),Players!$A$2:$D$132,3),"")</f>
        <v/>
      </c>
      <c r="H2869" s="254"/>
      <c r="I2869" s="254"/>
      <c r="J2869" s="210" t="str">
        <f>IF(VLOOKUP($I2861&amp;RIGHT($A2869,1),Players!$A$2:$D$132,3)&lt;&gt;0,"("&amp;VLOOKUP($I2861&amp;RIGHT($A2869,1),Players!$A$2:$D$132,4)&amp;")","")</f>
        <v/>
      </c>
    </row>
    <row r="2870" spans="1:10" ht="25.5" customHeight="1">
      <c r="A2870" s="50" t="str">
        <f>CONCATENATE($D2861,"3")</f>
        <v>D3</v>
      </c>
      <c r="B2870" s="255" t="str">
        <f>IF(VLOOKUP($A2870,Players!$A$2:$C$132,3)&lt;&gt;0,VLOOKUP($A2870,Players!$A$2:$C$132,3),"")</f>
        <v/>
      </c>
      <c r="C2870" s="255"/>
      <c r="D2870" s="255"/>
      <c r="E2870" s="255"/>
      <c r="F2870" s="255"/>
      <c r="G2870" s="254" t="str">
        <f>IF(VLOOKUP($I2861&amp;RIGHT($A2870,1),Players!$A$2:$D$132,3)&lt;&gt;0,VLOOKUP($I2861&amp;RIGHT($A2870,1),Players!$A$2:$D$132,3),"")</f>
        <v/>
      </c>
      <c r="H2870" s="254"/>
      <c r="I2870" s="254"/>
      <c r="J2870" s="210" t="str">
        <f>IF(VLOOKUP($I2861&amp;RIGHT($A2870,1),Players!$A$2:$D$132,3)&lt;&gt;0,"("&amp;VLOOKUP($I2861&amp;RIGHT($A2870,1),Players!$A$2:$D$132,4)&amp;")","")</f>
        <v/>
      </c>
    </row>
    <row r="2871" spans="1:10" ht="25.5" customHeight="1">
      <c r="A2871" s="50" t="str">
        <f>CONCATENATE($D2861,"4")</f>
        <v>D4</v>
      </c>
      <c r="B2871" s="255" t="str">
        <f>IF(VLOOKUP($A2871,Players!$A$2:$C$132,3)&lt;&gt;0,VLOOKUP($A2871,Players!$A$2:$C$132,3),"")</f>
        <v/>
      </c>
      <c r="C2871" s="255"/>
      <c r="D2871" s="255"/>
      <c r="E2871" s="255"/>
      <c r="F2871" s="255"/>
      <c r="G2871" s="254" t="str">
        <f>IF(VLOOKUP($I2861&amp;RIGHT($A2871,1),Players!$A$2:$D$132,3)&lt;&gt;0,VLOOKUP($I2861&amp;RIGHT($A2871,1),Players!$A$2:$D$132,3),"")</f>
        <v/>
      </c>
      <c r="H2871" s="254"/>
      <c r="I2871" s="254"/>
      <c r="J2871" s="210" t="str">
        <f>IF(VLOOKUP($I2861&amp;RIGHT($A2871,1),Players!$A$2:$D$132,3)&lt;&gt;0,"("&amp;VLOOKUP($I2861&amp;RIGHT($A2871,1),Players!$A$2:$D$132,4)&amp;")","")</f>
        <v/>
      </c>
    </row>
    <row r="2872" spans="1:10" ht="25.5" customHeight="1">
      <c r="A2872" s="50" t="str">
        <f>CONCATENATE($D2861,"5")</f>
        <v>D5</v>
      </c>
      <c r="B2872" s="255" t="str">
        <f>IF(VLOOKUP($A2872,Players!$A$2:$C$132,3)&lt;&gt;0,VLOOKUP($A2872,Players!$A$2:$C$132,3),"")</f>
        <v/>
      </c>
      <c r="C2872" s="255"/>
      <c r="D2872" s="255"/>
      <c r="E2872" s="255"/>
      <c r="F2872" s="255"/>
      <c r="G2872" s="254" t="str">
        <f>IF(VLOOKUP($I2861&amp;RIGHT($A2872,1),Players!$A$2:$D$132,3)&lt;&gt;0,VLOOKUP($I2861&amp;RIGHT($A2872,1),Players!$A$2:$D$132,3),"")</f>
        <v/>
      </c>
      <c r="H2872" s="254"/>
      <c r="I2872" s="254"/>
      <c r="J2872" s="210" t="str">
        <f>IF(VLOOKUP($I2861&amp;RIGHT($A2872,1),Players!$A$2:$D$132,3)&lt;&gt;0,"("&amp;VLOOKUP($I2861&amp;RIGHT($A2872,1),Players!$A$2:$D$132,4)&amp;")","")</f>
        <v/>
      </c>
    </row>
    <row r="2873" spans="1:10" ht="25.5" customHeight="1">
      <c r="A2873" s="50" t="str">
        <f>CONCATENATE($D2861,"6")</f>
        <v>D6</v>
      </c>
      <c r="B2873" s="255" t="str">
        <f>IF(VLOOKUP($A2873,Players!$A$2:$C$132,3)&lt;&gt;0,VLOOKUP($A2873,Players!$A$2:$C$132,3),"")</f>
        <v/>
      </c>
      <c r="C2873" s="255"/>
      <c r="D2873" s="255"/>
      <c r="E2873" s="255"/>
      <c r="F2873" s="255"/>
      <c r="G2873" s="254" t="str">
        <f>IF(VLOOKUP($I2861&amp;RIGHT($A2873,1),Players!$A$2:$D$132,3)&lt;&gt;0,VLOOKUP($I2861&amp;RIGHT($A2873,1),Players!$A$2:$D$132,3),"")</f>
        <v/>
      </c>
      <c r="H2873" s="254"/>
      <c r="I2873" s="254"/>
      <c r="J2873" s="210" t="str">
        <f>IF(VLOOKUP($I2861&amp;RIGHT($A2873,1),Players!$A$2:$D$132,3)&lt;&gt;0,"("&amp;VLOOKUP($I2861&amp;RIGHT($A2873,1),Players!$A$2:$D$132,4)&amp;")","")</f>
        <v/>
      </c>
    </row>
    <row r="2874" spans="1:10" ht="25.5" customHeight="1">
      <c r="A2874" s="50" t="str">
        <f>CONCATENATE($D2861,"7")</f>
        <v>D7</v>
      </c>
      <c r="B2874" s="255" t="str">
        <f>IF(VLOOKUP($A2874,Players!$A$2:$C$132,3)&lt;&gt;0,VLOOKUP($A2874,Players!$A$2:$C$132,3),"")</f>
        <v/>
      </c>
      <c r="C2874" s="255"/>
      <c r="D2874" s="255"/>
      <c r="E2874" s="255"/>
      <c r="F2874" s="255"/>
      <c r="G2874" s="254" t="str">
        <f>IF(VLOOKUP($I2861&amp;RIGHT($A2874,1),Players!$A$2:$D$132,3)&lt;&gt;0,VLOOKUP($I2861&amp;RIGHT($A2874,1),Players!$A$2:$D$132,3),"")</f>
        <v/>
      </c>
      <c r="H2874" s="254"/>
      <c r="I2874" s="254"/>
      <c r="J2874" s="210" t="str">
        <f>IF(VLOOKUP($I2861&amp;RIGHT($A2874,1),Players!$A$2:$D$132,3)&lt;&gt;0,"("&amp;VLOOKUP($I2861&amp;RIGHT($A2874,1),Players!$A$2:$D$132,4)&amp;")","")</f>
        <v/>
      </c>
    </row>
    <row r="2875" spans="1:10" ht="25.5" customHeight="1">
      <c r="A2875" s="50" t="str">
        <f>CONCATENATE($D2861,"8")</f>
        <v>D8</v>
      </c>
      <c r="B2875" s="255" t="str">
        <f>IF(VLOOKUP($A2875,Players!$A$2:$C$132,3)&lt;&gt;0,VLOOKUP($A2875,Players!$A$2:$C$132,3),"")</f>
        <v/>
      </c>
      <c r="C2875" s="255"/>
      <c r="D2875" s="255"/>
      <c r="E2875" s="255"/>
      <c r="F2875" s="255"/>
      <c r="G2875" s="254" t="str">
        <f>IF(VLOOKUP($I2861&amp;RIGHT($A2875,1),Players!$A$2:$D$132,3)&lt;&gt;0,VLOOKUP($I2861&amp;RIGHT($A2875,1),Players!$A$2:$D$132,3),"")</f>
        <v/>
      </c>
      <c r="H2875" s="254"/>
      <c r="I2875" s="254"/>
      <c r="J2875" s="210" t="str">
        <f>IF(VLOOKUP($I2861&amp;RIGHT($A2875,1),Players!$A$2:$D$132,3)&lt;&gt;0,"("&amp;VLOOKUP($I2861&amp;RIGHT($A2875,1),Players!$A$2:$D$132,4)&amp;")","")</f>
        <v/>
      </c>
    </row>
    <row r="2876" spans="1:10" ht="25.5" customHeight="1">
      <c r="A2876" s="50"/>
      <c r="B2876" s="26"/>
      <c r="C2876" s="26"/>
      <c r="D2876" s="26"/>
      <c r="E2876" s="26"/>
      <c r="F2876" s="27"/>
      <c r="G2876" s="43"/>
      <c r="H2876" s="43"/>
      <c r="I2876" s="43"/>
      <c r="J2876" s="43"/>
    </row>
    <row r="2877" spans="1:10">
      <c r="A2877" s="49" t="s">
        <v>1225</v>
      </c>
      <c r="B2877" s="46"/>
      <c r="C2877" s="46"/>
      <c r="D2877" s="46"/>
      <c r="E2877" s="46"/>
      <c r="F2877" s="46"/>
      <c r="G2877" s="43"/>
      <c r="H2877" s="43"/>
      <c r="I2877" s="43"/>
      <c r="J2877" s="43"/>
    </row>
    <row r="2878" spans="1:10">
      <c r="A2878" s="46" t="s">
        <v>1247</v>
      </c>
      <c r="B2878" s="46"/>
      <c r="C2878" s="46"/>
      <c r="D2878" s="46"/>
      <c r="E2878" s="46"/>
      <c r="F2878" s="46"/>
      <c r="G2878" s="43"/>
      <c r="H2878" s="43"/>
      <c r="I2878" s="43"/>
      <c r="J2878" s="43"/>
    </row>
    <row r="2879" spans="1:10">
      <c r="A2879" s="46" t="s">
        <v>1248</v>
      </c>
      <c r="B2879" s="46"/>
      <c r="C2879" s="46"/>
      <c r="D2879" s="46"/>
      <c r="E2879" s="46"/>
      <c r="F2879" s="46"/>
      <c r="G2879" s="43"/>
      <c r="H2879" s="43"/>
      <c r="I2879" s="43"/>
      <c r="J2879" s="43"/>
    </row>
    <row r="2880" spans="1:10" ht="13.5" thickBot="1">
      <c r="A2880" s="46"/>
      <c r="B2880" s="46"/>
      <c r="C2880" s="46"/>
      <c r="D2880" s="46"/>
      <c r="E2880" s="46"/>
      <c r="F2880" s="46"/>
      <c r="G2880" s="43"/>
      <c r="H2880" s="43"/>
      <c r="I2880" s="43"/>
      <c r="J2880" s="43"/>
    </row>
    <row r="2881" spans="1:10" ht="25.5" customHeight="1" thickBot="1">
      <c r="A2881" s="50"/>
      <c r="B2881" s="257"/>
      <c r="C2881" s="258"/>
      <c r="D2881" s="258"/>
      <c r="E2881" s="258"/>
      <c r="F2881" s="259"/>
      <c r="G2881" s="43"/>
      <c r="H2881" s="43"/>
      <c r="I2881" s="43"/>
      <c r="J2881" s="43"/>
    </row>
    <row r="2882" spans="1:10">
      <c r="A2882" s="43"/>
      <c r="B2882" s="43"/>
      <c r="C2882" s="43"/>
      <c r="D2882" s="43"/>
      <c r="E2882" s="43"/>
      <c r="F2882" s="43"/>
      <c r="G2882" s="43"/>
      <c r="H2882" s="43"/>
      <c r="I2882" s="43"/>
      <c r="J2882" s="43"/>
    </row>
    <row r="2883" spans="1:10">
      <c r="A2883" s="43"/>
      <c r="B2883" s="43"/>
      <c r="C2883" s="43"/>
      <c r="D2883" s="43"/>
      <c r="E2883" s="43"/>
      <c r="F2883" s="43"/>
      <c r="G2883" s="43"/>
      <c r="H2883" s="43"/>
      <c r="I2883" s="43"/>
      <c r="J2883" s="43"/>
    </row>
    <row r="2884" spans="1:10">
      <c r="A2884" s="43"/>
      <c r="B2884" s="43"/>
      <c r="C2884" s="43"/>
      <c r="D2884" s="43"/>
      <c r="E2884" s="43"/>
      <c r="F2884" s="43"/>
      <c r="G2884" s="43"/>
      <c r="H2884" s="43"/>
      <c r="I2884" s="43"/>
      <c r="J2884" s="43"/>
    </row>
    <row r="2885" spans="1:10">
      <c r="A2885" s="43"/>
      <c r="B2885" s="43"/>
      <c r="C2885" s="43"/>
      <c r="D2885" s="43"/>
      <c r="E2885" s="43"/>
      <c r="F2885" s="43"/>
      <c r="G2885" s="43"/>
      <c r="H2885" s="43"/>
      <c r="I2885" s="43"/>
      <c r="J2885" s="43"/>
    </row>
    <row r="2886" spans="1:10">
      <c r="A2886" s="43"/>
      <c r="B2886" s="43"/>
      <c r="C2886" s="43"/>
      <c r="D2886" s="43"/>
      <c r="E2886" s="43"/>
      <c r="F2886" s="43"/>
      <c r="G2886" s="43"/>
      <c r="H2886" s="43"/>
      <c r="I2886" s="43"/>
      <c r="J2886" s="43"/>
    </row>
    <row r="2887" spans="1:10" ht="25.5" customHeight="1">
      <c r="A2887" s="47"/>
      <c r="B2887" s="47"/>
      <c r="C2887" s="47"/>
      <c r="D2887" s="47"/>
      <c r="E2887" s="47"/>
      <c r="F2887" s="43"/>
      <c r="G2887" s="51"/>
      <c r="H2887" s="250" t="s">
        <v>1227</v>
      </c>
      <c r="I2887" s="251"/>
      <c r="J2887" s="43"/>
    </row>
    <row r="2888" spans="1:10">
      <c r="A2888" s="43" t="s">
        <v>1226</v>
      </c>
      <c r="B2888" s="43"/>
      <c r="C2888" s="43"/>
      <c r="D2888" s="43"/>
      <c r="E2888" s="43"/>
      <c r="F2888" s="43"/>
      <c r="G2888" s="43"/>
      <c r="H2888" s="43"/>
      <c r="I2888" s="43"/>
      <c r="J2888" s="43"/>
    </row>
    <row r="2889" spans="1:10">
      <c r="A2889" s="43"/>
      <c r="B2889" s="43"/>
      <c r="C2889" s="43"/>
      <c r="D2889" s="43"/>
      <c r="E2889" s="43"/>
      <c r="F2889" s="43"/>
      <c r="G2889" s="43"/>
      <c r="H2889" s="43"/>
      <c r="I2889" s="43"/>
      <c r="J2889" s="43"/>
    </row>
    <row r="2890" spans="1:10">
      <c r="A2890" s="43"/>
      <c r="B2890" s="43"/>
      <c r="C2890" s="43"/>
      <c r="D2890" s="43"/>
      <c r="E2890" s="256" t="str">
        <f>CONCATENATE("(",$D2861," vs ",$I2861,")")</f>
        <v>(D vs E)</v>
      </c>
      <c r="F2890" s="256"/>
      <c r="G2890" s="43"/>
      <c r="H2890" s="43"/>
      <c r="I2890" s="43"/>
      <c r="J2890" s="43"/>
    </row>
    <row r="2891" spans="1:10" ht="15.75">
      <c r="A2891" s="42" t="s">
        <v>1223</v>
      </c>
      <c r="B2891" s="43"/>
      <c r="C2891" s="43"/>
      <c r="D2891" s="43"/>
      <c r="E2891" s="43"/>
      <c r="F2891" s="43"/>
      <c r="G2891" s="43"/>
      <c r="H2891" s="43"/>
      <c r="I2891" s="43"/>
      <c r="J2891" s="96" t="s">
        <v>4304</v>
      </c>
    </row>
    <row r="2892" spans="1:10" ht="12.75" customHeight="1">
      <c r="A2892" s="42"/>
      <c r="B2892" s="43"/>
      <c r="C2892" s="43"/>
      <c r="D2892" s="43"/>
      <c r="E2892" s="43"/>
      <c r="F2892" s="43"/>
      <c r="G2892" s="43" t="str">
        <f ca="1">Team_Matches!$J$6</f>
        <v>[NCTTA Teams Template (v2.06).xlsx]</v>
      </c>
      <c r="H2892" s="43"/>
      <c r="I2892" s="43"/>
      <c r="J2892" s="160"/>
    </row>
    <row r="2893" spans="1:10" ht="12.75" customHeight="1">
      <c r="A2893" s="42"/>
      <c r="B2893" s="43"/>
      <c r="C2893" s="43"/>
      <c r="D2893" s="43"/>
      <c r="E2893" s="43"/>
      <c r="F2893" s="43"/>
      <c r="G2893" s="247" t="str">
        <f>Team_Matches!$J2149</f>
        <v/>
      </c>
      <c r="H2893" s="247"/>
      <c r="I2893" s="161" t="str">
        <f>Team_Matches!$M2149</f>
        <v/>
      </c>
      <c r="J2893" s="161"/>
    </row>
    <row r="2894" spans="1:10" ht="15.75">
      <c r="A2894" s="42"/>
      <c r="B2894" s="43"/>
      <c r="C2894" s="43"/>
      <c r="D2894" s="43"/>
      <c r="E2894" s="43"/>
      <c r="F2894" s="43"/>
      <c r="G2894" s="43"/>
      <c r="H2894" s="43"/>
      <c r="I2894" s="43"/>
      <c r="J2894" s="43"/>
    </row>
    <row r="2895" spans="1:10">
      <c r="A2895" s="43"/>
      <c r="B2895" s="43"/>
      <c r="C2895" s="9" t="s">
        <v>1228</v>
      </c>
      <c r="D2895" s="52" t="str">
        <f>Team_Matches!$B2151</f>
        <v>D</v>
      </c>
      <c r="E2895" s="43"/>
      <c r="F2895" s="97" t="str">
        <f>CONCATENATE($D2895,"-",$I2895)</f>
        <v>D-E</v>
      </c>
      <c r="G2895" s="43"/>
      <c r="H2895" s="9" t="s">
        <v>1228</v>
      </c>
      <c r="I2895" s="3" t="str">
        <f>Team_Matches!$K2151</f>
        <v>E</v>
      </c>
      <c r="J2895" s="43"/>
    </row>
    <row r="2896" spans="1:10" ht="25.5" customHeight="1">
      <c r="A2896" s="44"/>
      <c r="B2896" s="252" t="str">
        <f>IF(VLOOKUP($D2895,Draw!$A$4:$B$27,2)&lt;&gt;0,VLOOKUP($D2895,Draw!$A$4:$B$27,2),"")</f>
        <v/>
      </c>
      <c r="C2896" s="252"/>
      <c r="D2896" s="252"/>
      <c r="E2896" s="253"/>
      <c r="F2896" s="45"/>
      <c r="G2896" s="248" t="str">
        <f>IF(VLOOKUP($I2895,Draw!$A$4:$B$27,2)&lt;&gt;0,VLOOKUP($I2895,Draw!$A$4:$B$27,2),"")</f>
        <v/>
      </c>
      <c r="H2896" s="248"/>
      <c r="I2896" s="248"/>
      <c r="J2896" s="249"/>
    </row>
    <row r="2897" spans="1:10" ht="25.5" customHeight="1"/>
    <row r="2898" spans="1:10" ht="25.5" customHeight="1"/>
    <row r="2899" spans="1:10" ht="24" customHeight="1">
      <c r="A2899" s="48" t="s">
        <v>1246</v>
      </c>
      <c r="B2899" s="43"/>
      <c r="C2899" s="43"/>
      <c r="D2899" s="43"/>
      <c r="E2899" s="43"/>
      <c r="F2899" s="43"/>
      <c r="G2899" s="43"/>
      <c r="H2899" s="43"/>
      <c r="I2899" s="43"/>
      <c r="J2899" s="43"/>
    </row>
    <row r="2900" spans="1:10" ht="24" customHeight="1">
      <c r="A2900" s="48"/>
      <c r="B2900" s="43"/>
      <c r="C2900" s="43"/>
      <c r="D2900" s="43"/>
      <c r="E2900" s="43"/>
      <c r="F2900" s="43"/>
      <c r="G2900" s="43"/>
      <c r="H2900" s="43"/>
      <c r="I2900" s="43"/>
      <c r="J2900" s="43"/>
    </row>
    <row r="2901" spans="1:10">
      <c r="A2901" s="49" t="s">
        <v>1224</v>
      </c>
      <c r="B2901" s="46"/>
      <c r="C2901" s="46"/>
      <c r="D2901" s="46"/>
      <c r="E2901" s="46"/>
      <c r="F2901" s="46"/>
      <c r="G2901" s="260" t="s">
        <v>10336</v>
      </c>
      <c r="H2901" s="260"/>
      <c r="I2901" s="260"/>
      <c r="J2901" s="260"/>
    </row>
    <row r="2902" spans="1:10" ht="24" customHeight="1">
      <c r="A2902" s="50" t="str">
        <f>CONCATENATE($I2895,"1")</f>
        <v>E1</v>
      </c>
      <c r="B2902" s="255" t="str">
        <f>IF(VLOOKUP($A2902,Players!$A$2:$C$132,3)&lt;&gt;0,VLOOKUP($A2902,Players!$A$2:$C$132,3),"")</f>
        <v/>
      </c>
      <c r="C2902" s="255"/>
      <c r="D2902" s="255"/>
      <c r="E2902" s="255"/>
      <c r="F2902" s="255"/>
      <c r="G2902" s="254" t="str">
        <f>IF(VLOOKUP($D2895&amp;RIGHT($A2902,1),Players!$A$2:$D$132,3)&lt;&gt;0,VLOOKUP($D2895&amp;RIGHT($A2902,1),Players!$A$2:$D$132,3),"")</f>
        <v/>
      </c>
      <c r="H2902" s="254"/>
      <c r="I2902" s="254"/>
      <c r="J2902" s="210" t="str">
        <f>IF(VLOOKUP($D2895&amp;RIGHT($A2902,1),Players!$A$2:$D$132,3)&lt;&gt;0,"("&amp;VLOOKUP($D2895&amp;RIGHT($A2902,1),Players!$A$2:$D$132,4)&amp;")","")</f>
        <v/>
      </c>
    </row>
    <row r="2903" spans="1:10" ht="25.5" customHeight="1">
      <c r="A2903" s="50" t="str">
        <f>CONCATENATE($I2895,"2")</f>
        <v>E2</v>
      </c>
      <c r="B2903" s="255" t="str">
        <f>IF(VLOOKUP($A2903,Players!$A$2:$C$132,3)&lt;&gt;0,VLOOKUP($A2903,Players!$A$2:$C$132,3),"")</f>
        <v/>
      </c>
      <c r="C2903" s="255"/>
      <c r="D2903" s="255"/>
      <c r="E2903" s="255"/>
      <c r="F2903" s="255"/>
      <c r="G2903" s="254" t="str">
        <f>IF(VLOOKUP($D2895&amp;RIGHT($A2903,1),Players!$A$2:$D$132,3)&lt;&gt;0,VLOOKUP($D2895&amp;RIGHT($A2903,1),Players!$A$2:$D$132,3),"")</f>
        <v/>
      </c>
      <c r="H2903" s="254"/>
      <c r="I2903" s="254"/>
      <c r="J2903" s="210" t="str">
        <f>IF(VLOOKUP($D2895&amp;RIGHT($A2903,1),Players!$A$2:$D$132,3)&lt;&gt;0,"("&amp;VLOOKUP($D2895&amp;RIGHT($A2903,1),Players!$A$2:$D$132,4)&amp;")","")</f>
        <v/>
      </c>
    </row>
    <row r="2904" spans="1:10" ht="25.5" customHeight="1">
      <c r="A2904" s="50" t="str">
        <f>CONCATENATE($I2895,"3")</f>
        <v>E3</v>
      </c>
      <c r="B2904" s="255" t="str">
        <f>IF(VLOOKUP($A2904,Players!$A$2:$C$132,3)&lt;&gt;0,VLOOKUP($A2904,Players!$A$2:$C$132,3),"")</f>
        <v/>
      </c>
      <c r="C2904" s="255"/>
      <c r="D2904" s="255"/>
      <c r="E2904" s="255"/>
      <c r="F2904" s="255"/>
      <c r="G2904" s="254" t="str">
        <f>IF(VLOOKUP($D2895&amp;RIGHT($A2904,1),Players!$A$2:$D$132,3)&lt;&gt;0,VLOOKUP($D2895&amp;RIGHT($A2904,1),Players!$A$2:$D$132,3),"")</f>
        <v/>
      </c>
      <c r="H2904" s="254"/>
      <c r="I2904" s="254"/>
      <c r="J2904" s="210" t="str">
        <f>IF(VLOOKUP($D2895&amp;RIGHT($A2904,1),Players!$A$2:$D$132,3)&lt;&gt;0,"("&amp;VLOOKUP($D2895&amp;RIGHT($A2904,1),Players!$A$2:$D$132,4)&amp;")","")</f>
        <v/>
      </c>
    </row>
    <row r="2905" spans="1:10" ht="25.5" customHeight="1">
      <c r="A2905" s="50" t="str">
        <f>CONCATENATE($I2895,"4")</f>
        <v>E4</v>
      </c>
      <c r="B2905" s="255" t="str">
        <f>IF(VLOOKUP($A2905,Players!$A$2:$C$132,3)&lt;&gt;0,VLOOKUP($A2905,Players!$A$2:$C$132,3),"")</f>
        <v/>
      </c>
      <c r="C2905" s="255"/>
      <c r="D2905" s="255"/>
      <c r="E2905" s="255"/>
      <c r="F2905" s="255"/>
      <c r="G2905" s="254" t="str">
        <f>IF(VLOOKUP($D2895&amp;RIGHT($A2905,1),Players!$A$2:$D$132,3)&lt;&gt;0,VLOOKUP($D2895&amp;RIGHT($A2905,1),Players!$A$2:$D$132,3),"")</f>
        <v/>
      </c>
      <c r="H2905" s="254"/>
      <c r="I2905" s="254"/>
      <c r="J2905" s="210" t="str">
        <f>IF(VLOOKUP($D2895&amp;RIGHT($A2905,1),Players!$A$2:$D$132,3)&lt;&gt;0,"("&amp;VLOOKUP($D2895&amp;RIGHT($A2905,1),Players!$A$2:$D$132,4)&amp;")","")</f>
        <v/>
      </c>
    </row>
    <row r="2906" spans="1:10" ht="25.5" customHeight="1">
      <c r="A2906" s="50" t="str">
        <f>CONCATENATE($I2895,"5")</f>
        <v>E5</v>
      </c>
      <c r="B2906" s="255" t="str">
        <f>IF(VLOOKUP($A2906,Players!$A$2:$C$132,3)&lt;&gt;0,VLOOKUP($A2906,Players!$A$2:$C$132,3),"")</f>
        <v/>
      </c>
      <c r="C2906" s="255"/>
      <c r="D2906" s="255"/>
      <c r="E2906" s="255"/>
      <c r="F2906" s="255"/>
      <c r="G2906" s="254" t="str">
        <f>IF(VLOOKUP($D2895&amp;RIGHT($A2906,1),Players!$A$2:$D$132,3)&lt;&gt;0,VLOOKUP($D2895&amp;RIGHT($A2906,1),Players!$A$2:$D$132,3),"")</f>
        <v/>
      </c>
      <c r="H2906" s="254"/>
      <c r="I2906" s="254"/>
      <c r="J2906" s="210" t="str">
        <f>IF(VLOOKUP($D2895&amp;RIGHT($A2906,1),Players!$A$2:$D$132,3)&lt;&gt;0,"("&amp;VLOOKUP($D2895&amp;RIGHT($A2906,1),Players!$A$2:$D$132,4)&amp;")","")</f>
        <v/>
      </c>
    </row>
    <row r="2907" spans="1:10" ht="25.5" customHeight="1">
      <c r="A2907" s="50" t="str">
        <f>CONCATENATE($I2895,"6")</f>
        <v>E6</v>
      </c>
      <c r="B2907" s="255" t="str">
        <f>IF(VLOOKUP($A2907,Players!$A$2:$C$132,3)&lt;&gt;0,VLOOKUP($A2907,Players!$A$2:$C$132,3),"")</f>
        <v/>
      </c>
      <c r="C2907" s="255"/>
      <c r="D2907" s="255"/>
      <c r="E2907" s="255"/>
      <c r="F2907" s="255"/>
      <c r="G2907" s="254" t="str">
        <f>IF(VLOOKUP($D2895&amp;RIGHT($A2907,1),Players!$A$2:$D$132,3)&lt;&gt;0,VLOOKUP($D2895&amp;RIGHT($A2907,1),Players!$A$2:$D$132,3),"")</f>
        <v/>
      </c>
      <c r="H2907" s="254"/>
      <c r="I2907" s="254"/>
      <c r="J2907" s="210" t="str">
        <f>IF(VLOOKUP($D2895&amp;RIGHT($A2907,1),Players!$A$2:$D$132,3)&lt;&gt;0,"("&amp;VLOOKUP($D2895&amp;RIGHT($A2907,1),Players!$A$2:$D$132,4)&amp;")","")</f>
        <v/>
      </c>
    </row>
    <row r="2908" spans="1:10" ht="25.5" customHeight="1">
      <c r="A2908" s="50" t="str">
        <f>CONCATENATE($I2895,"7")</f>
        <v>E7</v>
      </c>
      <c r="B2908" s="255" t="str">
        <f>IF(VLOOKUP($A2908,Players!$A$2:$C$132,3)&lt;&gt;0,VLOOKUP($A2908,Players!$A$2:$C$132,3),"")</f>
        <v/>
      </c>
      <c r="C2908" s="255"/>
      <c r="D2908" s="255"/>
      <c r="E2908" s="255"/>
      <c r="F2908" s="255"/>
      <c r="G2908" s="254" t="str">
        <f>IF(VLOOKUP($D2895&amp;RIGHT($A2908,1),Players!$A$2:$D$132,3)&lt;&gt;0,VLOOKUP($D2895&amp;RIGHT($A2908,1),Players!$A$2:$D$132,3),"")</f>
        <v/>
      </c>
      <c r="H2908" s="254"/>
      <c r="I2908" s="254"/>
      <c r="J2908" s="210" t="str">
        <f>IF(VLOOKUP($D2895&amp;RIGHT($A2908,1),Players!$A$2:$D$132,3)&lt;&gt;0,"("&amp;VLOOKUP($D2895&amp;RIGHT($A2908,1),Players!$A$2:$D$132,4)&amp;")","")</f>
        <v/>
      </c>
    </row>
    <row r="2909" spans="1:10" ht="25.5" customHeight="1">
      <c r="A2909" s="50" t="str">
        <f>CONCATENATE($I2895,"8")</f>
        <v>E8</v>
      </c>
      <c r="B2909" s="255" t="str">
        <f>IF(VLOOKUP($A2909,Players!$A$2:$C$132,3)&lt;&gt;0,VLOOKUP($A2909,Players!$A$2:$C$132,3),"")</f>
        <v/>
      </c>
      <c r="C2909" s="255"/>
      <c r="D2909" s="255"/>
      <c r="E2909" s="255"/>
      <c r="F2909" s="255"/>
      <c r="G2909" s="254" t="str">
        <f>IF(VLOOKUP($D2895&amp;RIGHT($A2909,1),Players!$A$2:$D$132,3)&lt;&gt;0,VLOOKUP($D2895&amp;RIGHT($A2909,1),Players!$A$2:$D$132,3),"")</f>
        <v/>
      </c>
      <c r="H2909" s="254"/>
      <c r="I2909" s="254"/>
      <c r="J2909" s="210" t="str">
        <f>IF(VLOOKUP($D2895&amp;RIGHT($A2909,1),Players!$A$2:$D$132,3)&lt;&gt;0,"("&amp;VLOOKUP($D2895&amp;RIGHT($A2909,1),Players!$A$2:$D$132,4)&amp;")","")</f>
        <v/>
      </c>
    </row>
    <row r="2910" spans="1:10" ht="25.5" customHeight="1">
      <c r="A2910" s="50"/>
      <c r="B2910" s="26"/>
      <c r="C2910" s="26"/>
      <c r="D2910" s="26"/>
      <c r="E2910" s="26"/>
      <c r="F2910" s="27"/>
      <c r="G2910" s="43"/>
      <c r="H2910" s="43"/>
      <c r="I2910" s="43"/>
      <c r="J2910" s="43"/>
    </row>
    <row r="2911" spans="1:10">
      <c r="A2911" s="49" t="s">
        <v>1225</v>
      </c>
      <c r="B2911" s="46"/>
      <c r="C2911" s="46"/>
      <c r="D2911" s="46"/>
      <c r="E2911" s="46"/>
      <c r="F2911" s="46"/>
      <c r="G2911" s="43"/>
      <c r="H2911" s="43"/>
      <c r="I2911" s="43"/>
      <c r="J2911" s="43"/>
    </row>
    <row r="2912" spans="1:10">
      <c r="A2912" s="46" t="s">
        <v>1247</v>
      </c>
      <c r="B2912" s="46"/>
      <c r="C2912" s="46"/>
      <c r="D2912" s="46"/>
      <c r="E2912" s="46"/>
      <c r="F2912" s="46"/>
      <c r="G2912" s="43"/>
      <c r="H2912" s="43"/>
      <c r="I2912" s="43"/>
      <c r="J2912" s="43"/>
    </row>
    <row r="2913" spans="1:10">
      <c r="A2913" s="46" t="s">
        <v>1248</v>
      </c>
      <c r="B2913" s="46"/>
      <c r="C2913" s="46"/>
      <c r="D2913" s="46"/>
      <c r="E2913" s="46"/>
      <c r="F2913" s="46"/>
      <c r="G2913" s="43"/>
      <c r="H2913" s="43"/>
      <c r="I2913" s="43"/>
      <c r="J2913" s="43"/>
    </row>
    <row r="2914" spans="1:10" ht="13.5" thickBot="1">
      <c r="A2914" s="46"/>
      <c r="B2914" s="46"/>
      <c r="C2914" s="46"/>
      <c r="D2914" s="46"/>
      <c r="E2914" s="46"/>
      <c r="F2914" s="46"/>
      <c r="G2914" s="43"/>
      <c r="H2914" s="43"/>
      <c r="I2914" s="43"/>
      <c r="J2914" s="43"/>
    </row>
    <row r="2915" spans="1:10" ht="25.5" customHeight="1" thickBot="1">
      <c r="A2915" s="50"/>
      <c r="B2915" s="257"/>
      <c r="C2915" s="258"/>
      <c r="D2915" s="258"/>
      <c r="E2915" s="258"/>
      <c r="F2915" s="259"/>
      <c r="G2915" s="43"/>
      <c r="H2915" s="43"/>
      <c r="I2915" s="43"/>
      <c r="J2915" s="43"/>
    </row>
    <row r="2916" spans="1:10">
      <c r="A2916" s="43"/>
      <c r="B2916" s="43"/>
      <c r="C2916" s="43"/>
      <c r="D2916" s="43"/>
      <c r="E2916" s="43"/>
      <c r="F2916" s="43"/>
      <c r="G2916" s="43"/>
      <c r="H2916" s="43"/>
      <c r="I2916" s="43"/>
      <c r="J2916" s="43"/>
    </row>
    <row r="2917" spans="1:10">
      <c r="A2917" s="43"/>
      <c r="B2917" s="43"/>
      <c r="C2917" s="43"/>
      <c r="D2917" s="43"/>
      <c r="E2917" s="43"/>
      <c r="F2917" s="43"/>
      <c r="G2917" s="43"/>
      <c r="H2917" s="43"/>
      <c r="I2917" s="43"/>
      <c r="J2917" s="43"/>
    </row>
    <row r="2918" spans="1:10">
      <c r="A2918" s="43"/>
      <c r="B2918" s="43"/>
      <c r="C2918" s="43"/>
      <c r="D2918" s="43"/>
      <c r="E2918" s="43"/>
      <c r="F2918" s="43"/>
      <c r="G2918" s="43"/>
      <c r="H2918" s="43"/>
      <c r="I2918" s="43"/>
      <c r="J2918" s="43"/>
    </row>
    <row r="2919" spans="1:10">
      <c r="A2919" s="43"/>
      <c r="B2919" s="43"/>
      <c r="C2919" s="43"/>
      <c r="D2919" s="43"/>
      <c r="E2919" s="43"/>
      <c r="F2919" s="43"/>
      <c r="G2919" s="43"/>
      <c r="H2919" s="43"/>
      <c r="I2919" s="43"/>
      <c r="J2919" s="43"/>
    </row>
    <row r="2920" spans="1:10">
      <c r="A2920" s="43"/>
      <c r="B2920" s="43"/>
      <c r="C2920" s="43"/>
      <c r="D2920" s="43"/>
      <c r="E2920" s="43"/>
      <c r="F2920" s="43"/>
      <c r="G2920" s="43"/>
      <c r="H2920" s="43"/>
      <c r="I2920" s="43"/>
      <c r="J2920" s="43"/>
    </row>
    <row r="2921" spans="1:10" ht="25.5" customHeight="1">
      <c r="A2921" s="47"/>
      <c r="B2921" s="47"/>
      <c r="C2921" s="47"/>
      <c r="D2921" s="47"/>
      <c r="E2921" s="47"/>
      <c r="F2921" s="43"/>
      <c r="G2921" s="51"/>
      <c r="H2921" s="250" t="s">
        <v>1227</v>
      </c>
      <c r="I2921" s="251"/>
      <c r="J2921" s="43"/>
    </row>
    <row r="2922" spans="1:10">
      <c r="A2922" s="43" t="s">
        <v>1226</v>
      </c>
      <c r="B2922" s="43"/>
      <c r="C2922" s="43"/>
      <c r="D2922" s="43"/>
      <c r="E2922" s="43"/>
      <c r="F2922" s="43"/>
      <c r="G2922" s="43"/>
      <c r="H2922" s="43"/>
      <c r="I2922" s="43"/>
      <c r="J2922" s="43"/>
    </row>
    <row r="2923" spans="1:10">
      <c r="A2923" s="43"/>
      <c r="B2923" s="43"/>
      <c r="C2923" s="43"/>
      <c r="D2923" s="43"/>
      <c r="E2923" s="43"/>
      <c r="F2923" s="43"/>
      <c r="G2923" s="43"/>
      <c r="H2923" s="43"/>
      <c r="I2923" s="43"/>
      <c r="J2923" s="43"/>
    </row>
    <row r="2924" spans="1:10">
      <c r="A2924" s="43"/>
      <c r="B2924" s="43"/>
      <c r="C2924" s="43"/>
      <c r="D2924" s="43"/>
      <c r="E2924" s="256" t="str">
        <f>CONCATENATE("(",$D2895," vs ",$I2895,")")</f>
        <v>(D vs E)</v>
      </c>
      <c r="F2924" s="256"/>
      <c r="G2924" s="43"/>
      <c r="H2924" s="43"/>
      <c r="I2924" s="43"/>
      <c r="J2924" s="43"/>
    </row>
    <row r="2925" spans="1:10" ht="15.75">
      <c r="A2925" s="42" t="s">
        <v>1223</v>
      </c>
      <c r="B2925" s="43"/>
      <c r="C2925" s="43"/>
      <c r="D2925" s="43"/>
      <c r="E2925" s="43"/>
      <c r="F2925" s="43"/>
      <c r="G2925" s="43"/>
      <c r="H2925" s="43"/>
      <c r="I2925" s="43"/>
      <c r="J2925" s="96" t="s">
        <v>4305</v>
      </c>
    </row>
    <row r="2926" spans="1:10" ht="12.75" customHeight="1">
      <c r="A2926" s="42"/>
      <c r="B2926" s="43"/>
      <c r="C2926" s="43"/>
      <c r="D2926" s="43"/>
      <c r="E2926" s="43"/>
      <c r="F2926" s="43"/>
      <c r="G2926" s="43" t="str">
        <f ca="1">Team_Matches!$J$6</f>
        <v>[NCTTA Teams Template (v2.06).xlsx]</v>
      </c>
      <c r="H2926" s="43"/>
      <c r="I2926" s="43"/>
      <c r="J2926" s="160"/>
    </row>
    <row r="2927" spans="1:10" ht="12.75" customHeight="1">
      <c r="A2927" s="42"/>
      <c r="B2927" s="43"/>
      <c r="C2927" s="43"/>
      <c r="D2927" s="43"/>
      <c r="E2927" s="43"/>
      <c r="F2927" s="43"/>
      <c r="G2927" s="247" t="str">
        <f>Team_Matches!$J2200</f>
        <v/>
      </c>
      <c r="H2927" s="247"/>
      <c r="I2927" s="161" t="str">
        <f>Team_Matches!$M2200</f>
        <v/>
      </c>
      <c r="J2927" s="161"/>
    </row>
    <row r="2928" spans="1:10" ht="15.75">
      <c r="A2928" s="42"/>
      <c r="B2928" s="43"/>
      <c r="C2928" s="43"/>
      <c r="D2928" s="43"/>
      <c r="E2928" s="43"/>
      <c r="F2928" s="43"/>
      <c r="G2928" s="43"/>
      <c r="H2928" s="43"/>
      <c r="I2928" s="43"/>
      <c r="J2928" s="43"/>
    </row>
    <row r="2929" spans="1:10">
      <c r="A2929" s="43"/>
      <c r="B2929" s="43"/>
      <c r="C2929" s="9" t="s">
        <v>1228</v>
      </c>
      <c r="D2929" s="52" t="str">
        <f>Team_Matches!$B2202</f>
        <v>D</v>
      </c>
      <c r="E2929" s="43"/>
      <c r="F2929" s="97" t="str">
        <f>CONCATENATE($D2929,"-",$I2929)</f>
        <v>D-F</v>
      </c>
      <c r="G2929" s="43"/>
      <c r="H2929" s="9" t="s">
        <v>1228</v>
      </c>
      <c r="I2929" s="52" t="str">
        <f>Team_Matches!$K2202</f>
        <v>F</v>
      </c>
      <c r="J2929" s="43"/>
    </row>
    <row r="2930" spans="1:10" ht="25.5" customHeight="1">
      <c r="A2930" s="44"/>
      <c r="B2930" s="248" t="str">
        <f>IF(VLOOKUP($D2929,Draw!$A$4:$B$27,2)&lt;&gt;0,VLOOKUP($D2929,Draw!$A$4:$B$27,2),"")</f>
        <v/>
      </c>
      <c r="C2930" s="248"/>
      <c r="D2930" s="248"/>
      <c r="E2930" s="249"/>
      <c r="F2930" s="45"/>
      <c r="G2930" s="252" t="str">
        <f>IF(VLOOKUP($I2929,Draw!$A$4:$B$27,2)&lt;&gt;0,VLOOKUP($I2929,Draw!$A$4:$B$27,2),"")</f>
        <v/>
      </c>
      <c r="H2930" s="252"/>
      <c r="I2930" s="252"/>
      <c r="J2930" s="253"/>
    </row>
    <row r="2931" spans="1:10" ht="25.5" customHeight="1"/>
    <row r="2932" spans="1:10" ht="25.5" customHeight="1"/>
    <row r="2933" spans="1:10" ht="24" customHeight="1">
      <c r="A2933" s="48" t="s">
        <v>1246</v>
      </c>
      <c r="B2933" s="43"/>
      <c r="C2933" s="43"/>
      <c r="D2933" s="43"/>
      <c r="E2933" s="43"/>
      <c r="F2933" s="43"/>
      <c r="G2933" s="43"/>
      <c r="H2933" s="43"/>
      <c r="I2933" s="43"/>
      <c r="J2933" s="43"/>
    </row>
    <row r="2934" spans="1:10" ht="24" customHeight="1">
      <c r="A2934" s="48"/>
      <c r="B2934" s="43"/>
      <c r="C2934" s="43"/>
      <c r="D2934" s="43"/>
      <c r="E2934" s="43"/>
      <c r="F2934" s="43"/>
      <c r="G2934" s="43"/>
      <c r="H2934" s="43"/>
      <c r="I2934" s="43"/>
      <c r="J2934" s="43"/>
    </row>
    <row r="2935" spans="1:10">
      <c r="A2935" s="49" t="s">
        <v>1224</v>
      </c>
      <c r="B2935" s="46"/>
      <c r="C2935" s="46"/>
      <c r="D2935" s="46"/>
      <c r="E2935" s="46"/>
      <c r="F2935" s="46"/>
      <c r="G2935" s="260" t="s">
        <v>10336</v>
      </c>
      <c r="H2935" s="260"/>
      <c r="I2935" s="260"/>
      <c r="J2935" s="260"/>
    </row>
    <row r="2936" spans="1:10" ht="24" customHeight="1">
      <c r="A2936" s="50" t="str">
        <f>CONCATENATE($D2929,"1")</f>
        <v>D1</v>
      </c>
      <c r="B2936" s="255" t="str">
        <f>IF(VLOOKUP($A2936,Players!$A$2:$C$132,3)&lt;&gt;0,VLOOKUP($A2936,Players!$A$2:$C$132,3),"")</f>
        <v/>
      </c>
      <c r="C2936" s="255"/>
      <c r="D2936" s="255"/>
      <c r="E2936" s="255"/>
      <c r="F2936" s="255"/>
      <c r="G2936" s="254" t="str">
        <f>IF(VLOOKUP($I2929&amp;RIGHT($A2936,1),Players!$A$2:$D$132,3)&lt;&gt;0,VLOOKUP($I2929&amp;RIGHT($A2936,1),Players!$A$2:$D$132,3),"")</f>
        <v/>
      </c>
      <c r="H2936" s="254"/>
      <c r="I2936" s="254"/>
      <c r="J2936" s="210" t="str">
        <f>IF(VLOOKUP($I2929&amp;RIGHT($A2936,1),Players!$A$2:$D$132,3)&lt;&gt;0,"("&amp;VLOOKUP($I2929&amp;RIGHT($A2936,1),Players!$A$2:$D$132,4)&amp;")","")</f>
        <v/>
      </c>
    </row>
    <row r="2937" spans="1:10" ht="25.5" customHeight="1">
      <c r="A2937" s="50" t="str">
        <f>CONCATENATE($D2929,"2")</f>
        <v>D2</v>
      </c>
      <c r="B2937" s="255" t="str">
        <f>IF(VLOOKUP($A2937,Players!$A$2:$C$132,3)&lt;&gt;0,VLOOKUP($A2937,Players!$A$2:$C$132,3),"")</f>
        <v/>
      </c>
      <c r="C2937" s="255"/>
      <c r="D2937" s="255"/>
      <c r="E2937" s="255"/>
      <c r="F2937" s="255"/>
      <c r="G2937" s="254" t="str">
        <f>IF(VLOOKUP($I2929&amp;RIGHT($A2937,1),Players!$A$2:$D$132,3)&lt;&gt;0,VLOOKUP($I2929&amp;RIGHT($A2937,1),Players!$A$2:$D$132,3),"")</f>
        <v/>
      </c>
      <c r="H2937" s="254"/>
      <c r="I2937" s="254"/>
      <c r="J2937" s="210" t="str">
        <f>IF(VLOOKUP($I2929&amp;RIGHT($A2937,1),Players!$A$2:$D$132,3)&lt;&gt;0,"("&amp;VLOOKUP($I2929&amp;RIGHT($A2937,1),Players!$A$2:$D$132,4)&amp;")","")</f>
        <v/>
      </c>
    </row>
    <row r="2938" spans="1:10" ht="25.5" customHeight="1">
      <c r="A2938" s="50" t="str">
        <f>CONCATENATE($D2929,"3")</f>
        <v>D3</v>
      </c>
      <c r="B2938" s="255" t="str">
        <f>IF(VLOOKUP($A2938,Players!$A$2:$C$132,3)&lt;&gt;0,VLOOKUP($A2938,Players!$A$2:$C$132,3),"")</f>
        <v/>
      </c>
      <c r="C2938" s="255"/>
      <c r="D2938" s="255"/>
      <c r="E2938" s="255"/>
      <c r="F2938" s="255"/>
      <c r="G2938" s="254" t="str">
        <f>IF(VLOOKUP($I2929&amp;RIGHT($A2938,1),Players!$A$2:$D$132,3)&lt;&gt;0,VLOOKUP($I2929&amp;RIGHT($A2938,1),Players!$A$2:$D$132,3),"")</f>
        <v/>
      </c>
      <c r="H2938" s="254"/>
      <c r="I2938" s="254"/>
      <c r="J2938" s="210" t="str">
        <f>IF(VLOOKUP($I2929&amp;RIGHT($A2938,1),Players!$A$2:$D$132,3)&lt;&gt;0,"("&amp;VLOOKUP($I2929&amp;RIGHT($A2938,1),Players!$A$2:$D$132,4)&amp;")","")</f>
        <v/>
      </c>
    </row>
    <row r="2939" spans="1:10" ht="25.5" customHeight="1">
      <c r="A2939" s="50" t="str">
        <f>CONCATENATE($D2929,"4")</f>
        <v>D4</v>
      </c>
      <c r="B2939" s="255" t="str">
        <f>IF(VLOOKUP($A2939,Players!$A$2:$C$132,3)&lt;&gt;0,VLOOKUP($A2939,Players!$A$2:$C$132,3),"")</f>
        <v/>
      </c>
      <c r="C2939" s="255"/>
      <c r="D2939" s="255"/>
      <c r="E2939" s="255"/>
      <c r="F2939" s="255"/>
      <c r="G2939" s="254" t="str">
        <f>IF(VLOOKUP($I2929&amp;RIGHT($A2939,1),Players!$A$2:$D$132,3)&lt;&gt;0,VLOOKUP($I2929&amp;RIGHT($A2939,1),Players!$A$2:$D$132,3),"")</f>
        <v/>
      </c>
      <c r="H2939" s="254"/>
      <c r="I2939" s="254"/>
      <c r="J2939" s="210" t="str">
        <f>IF(VLOOKUP($I2929&amp;RIGHT($A2939,1),Players!$A$2:$D$132,3)&lt;&gt;0,"("&amp;VLOOKUP($I2929&amp;RIGHT($A2939,1),Players!$A$2:$D$132,4)&amp;")","")</f>
        <v/>
      </c>
    </row>
    <row r="2940" spans="1:10" ht="25.5" customHeight="1">
      <c r="A2940" s="50" t="str">
        <f>CONCATENATE($D2929,"5")</f>
        <v>D5</v>
      </c>
      <c r="B2940" s="255" t="str">
        <f>IF(VLOOKUP($A2940,Players!$A$2:$C$132,3)&lt;&gt;0,VLOOKUP($A2940,Players!$A$2:$C$132,3),"")</f>
        <v/>
      </c>
      <c r="C2940" s="255"/>
      <c r="D2940" s="255"/>
      <c r="E2940" s="255"/>
      <c r="F2940" s="255"/>
      <c r="G2940" s="254" t="str">
        <f>IF(VLOOKUP($I2929&amp;RIGHT($A2940,1),Players!$A$2:$D$132,3)&lt;&gt;0,VLOOKUP($I2929&amp;RIGHT($A2940,1),Players!$A$2:$D$132,3),"")</f>
        <v/>
      </c>
      <c r="H2940" s="254"/>
      <c r="I2940" s="254"/>
      <c r="J2940" s="210" t="str">
        <f>IF(VLOOKUP($I2929&amp;RIGHT($A2940,1),Players!$A$2:$D$132,3)&lt;&gt;0,"("&amp;VLOOKUP($I2929&amp;RIGHT($A2940,1),Players!$A$2:$D$132,4)&amp;")","")</f>
        <v/>
      </c>
    </row>
    <row r="2941" spans="1:10" ht="25.5" customHeight="1">
      <c r="A2941" s="50" t="str">
        <f>CONCATENATE($D2929,"6")</f>
        <v>D6</v>
      </c>
      <c r="B2941" s="255" t="str">
        <f>IF(VLOOKUP($A2941,Players!$A$2:$C$132,3)&lt;&gt;0,VLOOKUP($A2941,Players!$A$2:$C$132,3),"")</f>
        <v/>
      </c>
      <c r="C2941" s="255"/>
      <c r="D2941" s="255"/>
      <c r="E2941" s="255"/>
      <c r="F2941" s="255"/>
      <c r="G2941" s="254" t="str">
        <f>IF(VLOOKUP($I2929&amp;RIGHT($A2941,1),Players!$A$2:$D$132,3)&lt;&gt;0,VLOOKUP($I2929&amp;RIGHT($A2941,1),Players!$A$2:$D$132,3),"")</f>
        <v/>
      </c>
      <c r="H2941" s="254"/>
      <c r="I2941" s="254"/>
      <c r="J2941" s="210" t="str">
        <f>IF(VLOOKUP($I2929&amp;RIGHT($A2941,1),Players!$A$2:$D$132,3)&lt;&gt;0,"("&amp;VLOOKUP($I2929&amp;RIGHT($A2941,1),Players!$A$2:$D$132,4)&amp;")","")</f>
        <v/>
      </c>
    </row>
    <row r="2942" spans="1:10" ht="25.5" customHeight="1">
      <c r="A2942" s="50" t="str">
        <f>CONCATENATE($D2929,"7")</f>
        <v>D7</v>
      </c>
      <c r="B2942" s="255" t="str">
        <f>IF(VLOOKUP($A2942,Players!$A$2:$C$132,3)&lt;&gt;0,VLOOKUP($A2942,Players!$A$2:$C$132,3),"")</f>
        <v/>
      </c>
      <c r="C2942" s="255"/>
      <c r="D2942" s="255"/>
      <c r="E2942" s="255"/>
      <c r="F2942" s="255"/>
      <c r="G2942" s="254" t="str">
        <f>IF(VLOOKUP($I2929&amp;RIGHT($A2942,1),Players!$A$2:$D$132,3)&lt;&gt;0,VLOOKUP($I2929&amp;RIGHT($A2942,1),Players!$A$2:$D$132,3),"")</f>
        <v/>
      </c>
      <c r="H2942" s="254"/>
      <c r="I2942" s="254"/>
      <c r="J2942" s="210" t="str">
        <f>IF(VLOOKUP($I2929&amp;RIGHT($A2942,1),Players!$A$2:$D$132,3)&lt;&gt;0,"("&amp;VLOOKUP($I2929&amp;RIGHT($A2942,1),Players!$A$2:$D$132,4)&amp;")","")</f>
        <v/>
      </c>
    </row>
    <row r="2943" spans="1:10" ht="25.5" customHeight="1">
      <c r="A2943" s="50" t="str">
        <f>CONCATENATE($D2929,"8")</f>
        <v>D8</v>
      </c>
      <c r="B2943" s="255" t="str">
        <f>IF(VLOOKUP($A2943,Players!$A$2:$C$132,3)&lt;&gt;0,VLOOKUP($A2943,Players!$A$2:$C$132,3),"")</f>
        <v/>
      </c>
      <c r="C2943" s="255"/>
      <c r="D2943" s="255"/>
      <c r="E2943" s="255"/>
      <c r="F2943" s="255"/>
      <c r="G2943" s="254" t="str">
        <f>IF(VLOOKUP($I2929&amp;RIGHT($A2943,1),Players!$A$2:$D$132,3)&lt;&gt;0,VLOOKUP($I2929&amp;RIGHT($A2943,1),Players!$A$2:$D$132,3),"")</f>
        <v/>
      </c>
      <c r="H2943" s="254"/>
      <c r="I2943" s="254"/>
      <c r="J2943" s="210" t="str">
        <f>IF(VLOOKUP($I2929&amp;RIGHT($A2943,1),Players!$A$2:$D$132,3)&lt;&gt;0,"("&amp;VLOOKUP($I2929&amp;RIGHT($A2943,1),Players!$A$2:$D$132,4)&amp;")","")</f>
        <v/>
      </c>
    </row>
    <row r="2944" spans="1:10" ht="25.5" customHeight="1">
      <c r="A2944" s="50"/>
      <c r="B2944" s="26"/>
      <c r="C2944" s="26"/>
      <c r="D2944" s="26"/>
      <c r="E2944" s="26"/>
      <c r="F2944" s="27"/>
      <c r="G2944" s="43"/>
      <c r="H2944" s="43"/>
      <c r="I2944" s="43"/>
      <c r="J2944" s="43"/>
    </row>
    <row r="2945" spans="1:10">
      <c r="A2945" s="49" t="s">
        <v>1225</v>
      </c>
      <c r="B2945" s="46"/>
      <c r="C2945" s="46"/>
      <c r="D2945" s="46"/>
      <c r="E2945" s="46"/>
      <c r="F2945" s="46"/>
      <c r="G2945" s="43"/>
      <c r="H2945" s="43"/>
      <c r="I2945" s="43"/>
      <c r="J2945" s="43"/>
    </row>
    <row r="2946" spans="1:10">
      <c r="A2946" s="46" t="s">
        <v>1247</v>
      </c>
      <c r="B2946" s="46"/>
      <c r="C2946" s="46"/>
      <c r="D2946" s="46"/>
      <c r="E2946" s="46"/>
      <c r="F2946" s="46"/>
      <c r="G2946" s="43"/>
      <c r="H2946" s="43"/>
      <c r="I2946" s="43"/>
      <c r="J2946" s="43"/>
    </row>
    <row r="2947" spans="1:10">
      <c r="A2947" s="46" t="s">
        <v>1248</v>
      </c>
      <c r="B2947" s="46"/>
      <c r="C2947" s="46"/>
      <c r="D2947" s="46"/>
      <c r="E2947" s="46"/>
      <c r="F2947" s="46"/>
      <c r="G2947" s="43"/>
      <c r="H2947" s="43"/>
      <c r="I2947" s="43"/>
      <c r="J2947" s="43"/>
    </row>
    <row r="2948" spans="1:10" ht="13.5" thickBot="1">
      <c r="A2948" s="46"/>
      <c r="B2948" s="46"/>
      <c r="C2948" s="46"/>
      <c r="D2948" s="46"/>
      <c r="E2948" s="46"/>
      <c r="F2948" s="46"/>
      <c r="G2948" s="43"/>
      <c r="H2948" s="43"/>
      <c r="I2948" s="43"/>
      <c r="J2948" s="43"/>
    </row>
    <row r="2949" spans="1:10" ht="25.5" customHeight="1" thickBot="1">
      <c r="A2949" s="50"/>
      <c r="B2949" s="257"/>
      <c r="C2949" s="258"/>
      <c r="D2949" s="258"/>
      <c r="E2949" s="258"/>
      <c r="F2949" s="259"/>
      <c r="G2949" s="43"/>
      <c r="H2949" s="43"/>
      <c r="I2949" s="43"/>
      <c r="J2949" s="43"/>
    </row>
    <row r="2950" spans="1:10">
      <c r="A2950" s="43"/>
      <c r="B2950" s="43"/>
      <c r="C2950" s="43"/>
      <c r="D2950" s="43"/>
      <c r="E2950" s="43"/>
      <c r="F2950" s="43"/>
      <c r="G2950" s="43"/>
      <c r="H2950" s="43"/>
      <c r="I2950" s="43"/>
      <c r="J2950" s="43"/>
    </row>
    <row r="2951" spans="1:10">
      <c r="A2951" s="43"/>
      <c r="B2951" s="43"/>
      <c r="C2951" s="43"/>
      <c r="D2951" s="43"/>
      <c r="E2951" s="43"/>
      <c r="F2951" s="43"/>
      <c r="G2951" s="43"/>
      <c r="H2951" s="43"/>
      <c r="I2951" s="43"/>
      <c r="J2951" s="43"/>
    </row>
    <row r="2952" spans="1:10">
      <c r="A2952" s="43"/>
      <c r="B2952" s="43"/>
      <c r="C2952" s="43"/>
      <c r="D2952" s="43"/>
      <c r="E2952" s="43"/>
      <c r="F2952" s="43"/>
      <c r="G2952" s="43"/>
      <c r="H2952" s="43"/>
      <c r="I2952" s="43"/>
      <c r="J2952" s="43"/>
    </row>
    <row r="2953" spans="1:10">
      <c r="A2953" s="43"/>
      <c r="B2953" s="43"/>
      <c r="C2953" s="43"/>
      <c r="D2953" s="43"/>
      <c r="E2953" s="43"/>
      <c r="F2953" s="43"/>
      <c r="G2953" s="43"/>
      <c r="H2953" s="43"/>
      <c r="I2953" s="43"/>
      <c r="J2953" s="43"/>
    </row>
    <row r="2954" spans="1:10">
      <c r="A2954" s="43"/>
      <c r="B2954" s="43"/>
      <c r="C2954" s="43"/>
      <c r="D2954" s="43"/>
      <c r="E2954" s="43"/>
      <c r="F2954" s="43"/>
      <c r="G2954" s="43"/>
      <c r="H2954" s="43"/>
      <c r="I2954" s="43"/>
      <c r="J2954" s="43"/>
    </row>
    <row r="2955" spans="1:10" ht="25.5" customHeight="1">
      <c r="A2955" s="47"/>
      <c r="B2955" s="47"/>
      <c r="C2955" s="47"/>
      <c r="D2955" s="47"/>
      <c r="E2955" s="47"/>
      <c r="F2955" s="43"/>
      <c r="G2955" s="51"/>
      <c r="H2955" s="250" t="s">
        <v>1227</v>
      </c>
      <c r="I2955" s="251"/>
      <c r="J2955" s="43"/>
    </row>
    <row r="2956" spans="1:10">
      <c r="A2956" s="43" t="s">
        <v>1226</v>
      </c>
      <c r="B2956" s="43"/>
      <c r="C2956" s="43"/>
      <c r="D2956" s="43"/>
      <c r="E2956" s="43"/>
      <c r="F2956" s="43"/>
      <c r="G2956" s="43"/>
      <c r="H2956" s="43"/>
      <c r="I2956" s="43"/>
      <c r="J2956" s="43"/>
    </row>
    <row r="2957" spans="1:10">
      <c r="A2957" s="43"/>
      <c r="B2957" s="43"/>
      <c r="C2957" s="43"/>
      <c r="D2957" s="43"/>
      <c r="E2957" s="43"/>
      <c r="F2957" s="43"/>
      <c r="G2957" s="43"/>
      <c r="H2957" s="43"/>
      <c r="I2957" s="43"/>
      <c r="J2957" s="43"/>
    </row>
    <row r="2958" spans="1:10">
      <c r="A2958" s="43"/>
      <c r="B2958" s="43"/>
      <c r="C2958" s="43"/>
      <c r="D2958" s="43"/>
      <c r="E2958" s="256" t="str">
        <f>CONCATENATE("(",$D2929," vs ",$I2929,")")</f>
        <v>(D vs F)</v>
      </c>
      <c r="F2958" s="256"/>
      <c r="G2958" s="43"/>
      <c r="H2958" s="43"/>
      <c r="I2958" s="43"/>
      <c r="J2958" s="43"/>
    </row>
    <row r="2959" spans="1:10" ht="15.75">
      <c r="A2959" s="42" t="s">
        <v>1223</v>
      </c>
      <c r="B2959" s="43"/>
      <c r="C2959" s="43"/>
      <c r="D2959" s="43"/>
      <c r="E2959" s="43"/>
      <c r="F2959" s="43"/>
      <c r="G2959" s="43"/>
      <c r="H2959" s="43"/>
      <c r="I2959" s="43"/>
      <c r="J2959" s="96" t="s">
        <v>4306</v>
      </c>
    </row>
    <row r="2960" spans="1:10" ht="12.75" customHeight="1">
      <c r="A2960" s="42"/>
      <c r="B2960" s="43"/>
      <c r="C2960" s="43"/>
      <c r="D2960" s="43"/>
      <c r="E2960" s="43"/>
      <c r="F2960" s="43"/>
      <c r="G2960" s="43" t="str">
        <f ca="1">Team_Matches!$J$6</f>
        <v>[NCTTA Teams Template (v2.06).xlsx]</v>
      </c>
      <c r="H2960" s="43"/>
      <c r="I2960" s="43"/>
      <c r="J2960" s="160"/>
    </row>
    <row r="2961" spans="1:10" ht="12.75" customHeight="1">
      <c r="A2961" s="42"/>
      <c r="B2961" s="43"/>
      <c r="C2961" s="43"/>
      <c r="D2961" s="43"/>
      <c r="E2961" s="43"/>
      <c r="F2961" s="43"/>
      <c r="G2961" s="247" t="str">
        <f>Team_Matches!$J2200</f>
        <v/>
      </c>
      <c r="H2961" s="247"/>
      <c r="I2961" s="161" t="str">
        <f>Team_Matches!$M2200</f>
        <v/>
      </c>
      <c r="J2961" s="161"/>
    </row>
    <row r="2962" spans="1:10" ht="15.75">
      <c r="A2962" s="42"/>
      <c r="B2962" s="43"/>
      <c r="C2962" s="43"/>
      <c r="D2962" s="43"/>
      <c r="E2962" s="43"/>
      <c r="F2962" s="43"/>
      <c r="G2962" s="43"/>
      <c r="H2962" s="43"/>
      <c r="I2962" s="43"/>
      <c r="J2962" s="43"/>
    </row>
    <row r="2963" spans="1:10">
      <c r="A2963" s="43"/>
      <c r="B2963" s="43"/>
      <c r="C2963" s="9" t="s">
        <v>1228</v>
      </c>
      <c r="D2963" s="52" t="str">
        <f>Team_Matches!$B2202</f>
        <v>D</v>
      </c>
      <c r="E2963" s="43"/>
      <c r="F2963" s="97" t="str">
        <f>CONCATENATE($D2963,"-",$I2963)</f>
        <v>D-F</v>
      </c>
      <c r="G2963" s="43"/>
      <c r="H2963" s="9" t="s">
        <v>1228</v>
      </c>
      <c r="I2963" s="52" t="str">
        <f>Team_Matches!$K2202</f>
        <v>F</v>
      </c>
      <c r="J2963" s="43"/>
    </row>
    <row r="2964" spans="1:10" ht="25.5" customHeight="1">
      <c r="A2964" s="44"/>
      <c r="B2964" s="252" t="str">
        <f>IF(VLOOKUP($D2963,Draw!$A$4:$B$27,2)&lt;&gt;0,VLOOKUP($D2963,Draw!$A$4:$B$27,2),"")</f>
        <v/>
      </c>
      <c r="C2964" s="252"/>
      <c r="D2964" s="252"/>
      <c r="E2964" s="253"/>
      <c r="F2964" s="45"/>
      <c r="G2964" s="248" t="str">
        <f>IF(VLOOKUP($I2963,Draw!$A$4:$B$27,2)&lt;&gt;0,VLOOKUP($I2963,Draw!$A$4:$B$27,2),"")</f>
        <v/>
      </c>
      <c r="H2964" s="248"/>
      <c r="I2964" s="248"/>
      <c r="J2964" s="249"/>
    </row>
    <row r="2965" spans="1:10" ht="25.5" customHeight="1"/>
    <row r="2966" spans="1:10" ht="25.5" customHeight="1"/>
    <row r="2967" spans="1:10" ht="24" customHeight="1">
      <c r="A2967" s="48" t="s">
        <v>1246</v>
      </c>
      <c r="B2967" s="43"/>
      <c r="C2967" s="43"/>
      <c r="D2967" s="43"/>
      <c r="E2967" s="43"/>
      <c r="F2967" s="43"/>
      <c r="G2967" s="43"/>
      <c r="H2967" s="43"/>
      <c r="I2967" s="43"/>
      <c r="J2967" s="43"/>
    </row>
    <row r="2968" spans="1:10" ht="24" customHeight="1">
      <c r="A2968" s="48"/>
      <c r="B2968" s="43"/>
      <c r="C2968" s="43"/>
      <c r="D2968" s="43"/>
      <c r="E2968" s="43"/>
      <c r="F2968" s="43"/>
      <c r="G2968" s="43"/>
      <c r="H2968" s="43"/>
      <c r="I2968" s="43"/>
      <c r="J2968" s="43"/>
    </row>
    <row r="2969" spans="1:10">
      <c r="A2969" s="49" t="s">
        <v>1224</v>
      </c>
      <c r="B2969" s="46"/>
      <c r="C2969" s="46"/>
      <c r="D2969" s="46"/>
      <c r="E2969" s="46"/>
      <c r="F2969" s="46"/>
      <c r="G2969" s="260" t="s">
        <v>10336</v>
      </c>
      <c r="H2969" s="260"/>
      <c r="I2969" s="260"/>
      <c r="J2969" s="260"/>
    </row>
    <row r="2970" spans="1:10" ht="24" customHeight="1">
      <c r="A2970" s="50" t="str">
        <f>CONCATENATE($I2963,"1")</f>
        <v>F1</v>
      </c>
      <c r="B2970" s="255" t="str">
        <f>IF(VLOOKUP($A2970,Players!$A$2:$C$132,3)&lt;&gt;0,VLOOKUP($A2970,Players!$A$2:$C$132,3),"")</f>
        <v/>
      </c>
      <c r="C2970" s="255"/>
      <c r="D2970" s="255"/>
      <c r="E2970" s="255"/>
      <c r="F2970" s="255"/>
      <c r="G2970" s="254" t="str">
        <f>IF(VLOOKUP($D2963&amp;RIGHT($A2970,1),Players!$A$2:$D$132,3)&lt;&gt;0,VLOOKUP($D2963&amp;RIGHT($A2970,1),Players!$A$2:$D$132,3),"")</f>
        <v/>
      </c>
      <c r="H2970" s="254"/>
      <c r="I2970" s="254"/>
      <c r="J2970" s="210" t="str">
        <f>IF(VLOOKUP($D2963&amp;RIGHT($A2970,1),Players!$A$2:$D$132,3)&lt;&gt;0,"("&amp;VLOOKUP($D2963&amp;RIGHT($A2970,1),Players!$A$2:$D$132,4)&amp;")","")</f>
        <v/>
      </c>
    </row>
    <row r="2971" spans="1:10" ht="25.5" customHeight="1">
      <c r="A2971" s="50" t="str">
        <f>CONCATENATE($I2963,"2")</f>
        <v>F2</v>
      </c>
      <c r="B2971" s="255" t="str">
        <f>IF(VLOOKUP($A2971,Players!$A$2:$C$132,3)&lt;&gt;0,VLOOKUP($A2971,Players!$A$2:$C$132,3),"")</f>
        <v/>
      </c>
      <c r="C2971" s="255"/>
      <c r="D2971" s="255"/>
      <c r="E2971" s="255"/>
      <c r="F2971" s="255"/>
      <c r="G2971" s="254" t="str">
        <f>IF(VLOOKUP($D2963&amp;RIGHT($A2971,1),Players!$A$2:$D$132,3)&lt;&gt;0,VLOOKUP($D2963&amp;RIGHT($A2971,1),Players!$A$2:$D$132,3),"")</f>
        <v/>
      </c>
      <c r="H2971" s="254"/>
      <c r="I2971" s="254"/>
      <c r="J2971" s="210" t="str">
        <f>IF(VLOOKUP($D2963&amp;RIGHT($A2971,1),Players!$A$2:$D$132,3)&lt;&gt;0,"("&amp;VLOOKUP($D2963&amp;RIGHT($A2971,1),Players!$A$2:$D$132,4)&amp;")","")</f>
        <v/>
      </c>
    </row>
    <row r="2972" spans="1:10" ht="25.5" customHeight="1">
      <c r="A2972" s="50" t="str">
        <f>CONCATENATE($I2963,"3")</f>
        <v>F3</v>
      </c>
      <c r="B2972" s="255" t="str">
        <f>IF(VLOOKUP($A2972,Players!$A$2:$C$132,3)&lt;&gt;0,VLOOKUP($A2972,Players!$A$2:$C$132,3),"")</f>
        <v/>
      </c>
      <c r="C2972" s="255"/>
      <c r="D2972" s="255"/>
      <c r="E2972" s="255"/>
      <c r="F2972" s="255"/>
      <c r="G2972" s="254" t="str">
        <f>IF(VLOOKUP($D2963&amp;RIGHT($A2972,1),Players!$A$2:$D$132,3)&lt;&gt;0,VLOOKUP($D2963&amp;RIGHT($A2972,1),Players!$A$2:$D$132,3),"")</f>
        <v/>
      </c>
      <c r="H2972" s="254"/>
      <c r="I2972" s="254"/>
      <c r="J2972" s="210" t="str">
        <f>IF(VLOOKUP($D2963&amp;RIGHT($A2972,1),Players!$A$2:$D$132,3)&lt;&gt;0,"("&amp;VLOOKUP($D2963&amp;RIGHT($A2972,1),Players!$A$2:$D$132,4)&amp;")","")</f>
        <v/>
      </c>
    </row>
    <row r="2973" spans="1:10" ht="25.5" customHeight="1">
      <c r="A2973" s="50" t="str">
        <f>CONCATENATE($I2963,"4")</f>
        <v>F4</v>
      </c>
      <c r="B2973" s="255" t="str">
        <f>IF(VLOOKUP($A2973,Players!$A$2:$C$132,3)&lt;&gt;0,VLOOKUP($A2973,Players!$A$2:$C$132,3),"")</f>
        <v/>
      </c>
      <c r="C2973" s="255"/>
      <c r="D2973" s="255"/>
      <c r="E2973" s="255"/>
      <c r="F2973" s="255"/>
      <c r="G2973" s="254" t="str">
        <f>IF(VLOOKUP($D2963&amp;RIGHT($A2973,1),Players!$A$2:$D$132,3)&lt;&gt;0,VLOOKUP($D2963&amp;RIGHT($A2973,1),Players!$A$2:$D$132,3),"")</f>
        <v/>
      </c>
      <c r="H2973" s="254"/>
      <c r="I2973" s="254"/>
      <c r="J2973" s="210" t="str">
        <f>IF(VLOOKUP($D2963&amp;RIGHT($A2973,1),Players!$A$2:$D$132,3)&lt;&gt;0,"("&amp;VLOOKUP($D2963&amp;RIGHT($A2973,1),Players!$A$2:$D$132,4)&amp;")","")</f>
        <v/>
      </c>
    </row>
    <row r="2974" spans="1:10" ht="25.5" customHeight="1">
      <c r="A2974" s="50" t="str">
        <f>CONCATENATE($I2963,"5")</f>
        <v>F5</v>
      </c>
      <c r="B2974" s="255" t="str">
        <f>IF(VLOOKUP($A2974,Players!$A$2:$C$132,3)&lt;&gt;0,VLOOKUP($A2974,Players!$A$2:$C$132,3),"")</f>
        <v/>
      </c>
      <c r="C2974" s="255"/>
      <c r="D2974" s="255"/>
      <c r="E2974" s="255"/>
      <c r="F2974" s="255"/>
      <c r="G2974" s="254" t="str">
        <f>IF(VLOOKUP($D2963&amp;RIGHT($A2974,1),Players!$A$2:$D$132,3)&lt;&gt;0,VLOOKUP($D2963&amp;RIGHT($A2974,1),Players!$A$2:$D$132,3),"")</f>
        <v/>
      </c>
      <c r="H2974" s="254"/>
      <c r="I2974" s="254"/>
      <c r="J2974" s="210" t="str">
        <f>IF(VLOOKUP($D2963&amp;RIGHT($A2974,1),Players!$A$2:$D$132,3)&lt;&gt;0,"("&amp;VLOOKUP($D2963&amp;RIGHT($A2974,1),Players!$A$2:$D$132,4)&amp;")","")</f>
        <v/>
      </c>
    </row>
    <row r="2975" spans="1:10" ht="25.5" customHeight="1">
      <c r="A2975" s="50" t="str">
        <f>CONCATENATE($I2963,"6")</f>
        <v>F6</v>
      </c>
      <c r="B2975" s="255" t="str">
        <f>IF(VLOOKUP($A2975,Players!$A$2:$C$132,3)&lt;&gt;0,VLOOKUP($A2975,Players!$A$2:$C$132,3),"")</f>
        <v/>
      </c>
      <c r="C2975" s="255"/>
      <c r="D2975" s="255"/>
      <c r="E2975" s="255"/>
      <c r="F2975" s="255"/>
      <c r="G2975" s="254" t="str">
        <f>IF(VLOOKUP($D2963&amp;RIGHT($A2975,1),Players!$A$2:$D$132,3)&lt;&gt;0,VLOOKUP($D2963&amp;RIGHT($A2975,1),Players!$A$2:$D$132,3),"")</f>
        <v/>
      </c>
      <c r="H2975" s="254"/>
      <c r="I2975" s="254"/>
      <c r="J2975" s="210" t="str">
        <f>IF(VLOOKUP($D2963&amp;RIGHT($A2975,1),Players!$A$2:$D$132,3)&lt;&gt;0,"("&amp;VLOOKUP($D2963&amp;RIGHT($A2975,1),Players!$A$2:$D$132,4)&amp;")","")</f>
        <v/>
      </c>
    </row>
    <row r="2976" spans="1:10" ht="25.5" customHeight="1">
      <c r="A2976" s="50" t="str">
        <f>CONCATENATE($I2963,"7")</f>
        <v>F7</v>
      </c>
      <c r="B2976" s="255" t="str">
        <f>IF(VLOOKUP($A2976,Players!$A$2:$C$132,3)&lt;&gt;0,VLOOKUP($A2976,Players!$A$2:$C$132,3),"")</f>
        <v/>
      </c>
      <c r="C2976" s="255"/>
      <c r="D2976" s="255"/>
      <c r="E2976" s="255"/>
      <c r="F2976" s="255"/>
      <c r="G2976" s="254" t="str">
        <f>IF(VLOOKUP($D2963&amp;RIGHT($A2976,1),Players!$A$2:$D$132,3)&lt;&gt;0,VLOOKUP($D2963&amp;RIGHT($A2976,1),Players!$A$2:$D$132,3),"")</f>
        <v/>
      </c>
      <c r="H2976" s="254"/>
      <c r="I2976" s="254"/>
      <c r="J2976" s="210" t="str">
        <f>IF(VLOOKUP($D2963&amp;RIGHT($A2976,1),Players!$A$2:$D$132,3)&lt;&gt;0,"("&amp;VLOOKUP($D2963&amp;RIGHT($A2976,1),Players!$A$2:$D$132,4)&amp;")","")</f>
        <v/>
      </c>
    </row>
    <row r="2977" spans="1:10" ht="25.5" customHeight="1">
      <c r="A2977" s="50" t="str">
        <f>CONCATENATE($I2963,"8")</f>
        <v>F8</v>
      </c>
      <c r="B2977" s="255" t="str">
        <f>IF(VLOOKUP($A2977,Players!$A$2:$C$132,3)&lt;&gt;0,VLOOKUP($A2977,Players!$A$2:$C$132,3),"")</f>
        <v/>
      </c>
      <c r="C2977" s="255"/>
      <c r="D2977" s="255"/>
      <c r="E2977" s="255"/>
      <c r="F2977" s="255"/>
      <c r="G2977" s="254" t="str">
        <f>IF(VLOOKUP($D2963&amp;RIGHT($A2977,1),Players!$A$2:$D$132,3)&lt;&gt;0,VLOOKUP($D2963&amp;RIGHT($A2977,1),Players!$A$2:$D$132,3),"")</f>
        <v/>
      </c>
      <c r="H2977" s="254"/>
      <c r="I2977" s="254"/>
      <c r="J2977" s="210" t="str">
        <f>IF(VLOOKUP($D2963&amp;RIGHT($A2977,1),Players!$A$2:$D$132,3)&lt;&gt;0,"("&amp;VLOOKUP($D2963&amp;RIGHT($A2977,1),Players!$A$2:$D$132,4)&amp;")","")</f>
        <v/>
      </c>
    </row>
    <row r="2978" spans="1:10" ht="25.5" customHeight="1">
      <c r="A2978" s="50"/>
      <c r="B2978" s="26"/>
      <c r="C2978" s="26"/>
      <c r="D2978" s="26"/>
      <c r="E2978" s="26"/>
      <c r="F2978" s="27"/>
      <c r="G2978" s="43"/>
      <c r="H2978" s="43"/>
      <c r="I2978" s="43"/>
      <c r="J2978" s="43"/>
    </row>
    <row r="2979" spans="1:10">
      <c r="A2979" s="49" t="s">
        <v>1225</v>
      </c>
      <c r="B2979" s="46"/>
      <c r="C2979" s="46"/>
      <c r="D2979" s="46"/>
      <c r="E2979" s="46"/>
      <c r="F2979" s="46"/>
      <c r="G2979" s="43"/>
      <c r="H2979" s="43"/>
      <c r="I2979" s="43"/>
      <c r="J2979" s="43"/>
    </row>
    <row r="2980" spans="1:10">
      <c r="A2980" s="46" t="s">
        <v>1247</v>
      </c>
      <c r="B2980" s="46"/>
      <c r="C2980" s="46"/>
      <c r="D2980" s="46"/>
      <c r="E2980" s="46"/>
      <c r="F2980" s="46"/>
      <c r="G2980" s="43"/>
      <c r="H2980" s="43"/>
      <c r="I2980" s="43"/>
      <c r="J2980" s="43"/>
    </row>
    <row r="2981" spans="1:10">
      <c r="A2981" s="46" t="s">
        <v>1248</v>
      </c>
      <c r="B2981" s="46"/>
      <c r="C2981" s="46"/>
      <c r="D2981" s="46"/>
      <c r="E2981" s="46"/>
      <c r="F2981" s="46"/>
      <c r="G2981" s="43"/>
      <c r="H2981" s="43"/>
      <c r="I2981" s="43"/>
      <c r="J2981" s="43"/>
    </row>
    <row r="2982" spans="1:10" ht="13.5" thickBot="1">
      <c r="A2982" s="46"/>
      <c r="B2982" s="46"/>
      <c r="C2982" s="46"/>
      <c r="D2982" s="46"/>
      <c r="E2982" s="46"/>
      <c r="F2982" s="46"/>
      <c r="G2982" s="43"/>
      <c r="H2982" s="43"/>
      <c r="I2982" s="43"/>
      <c r="J2982" s="43"/>
    </row>
    <row r="2983" spans="1:10" ht="25.5" customHeight="1" thickBot="1">
      <c r="A2983" s="50"/>
      <c r="B2983" s="257"/>
      <c r="C2983" s="258"/>
      <c r="D2983" s="258"/>
      <c r="E2983" s="258"/>
      <c r="F2983" s="259"/>
      <c r="G2983" s="43"/>
      <c r="H2983" s="43"/>
      <c r="I2983" s="43"/>
      <c r="J2983" s="43"/>
    </row>
    <row r="2984" spans="1:10">
      <c r="A2984" s="43"/>
      <c r="B2984" s="43"/>
      <c r="C2984" s="43"/>
      <c r="D2984" s="43"/>
      <c r="E2984" s="43"/>
      <c r="F2984" s="43"/>
      <c r="G2984" s="43"/>
      <c r="H2984" s="43"/>
      <c r="I2984" s="43"/>
      <c r="J2984" s="43"/>
    </row>
    <row r="2985" spans="1:10">
      <c r="A2985" s="43"/>
      <c r="B2985" s="43"/>
      <c r="C2985" s="43"/>
      <c r="D2985" s="43"/>
      <c r="E2985" s="43"/>
      <c r="F2985" s="43"/>
      <c r="G2985" s="43"/>
      <c r="H2985" s="43"/>
      <c r="I2985" s="43"/>
      <c r="J2985" s="43"/>
    </row>
    <row r="2986" spans="1:10">
      <c r="A2986" s="43"/>
      <c r="B2986" s="43"/>
      <c r="C2986" s="43"/>
      <c r="D2986" s="43"/>
      <c r="E2986" s="43"/>
      <c r="F2986" s="43"/>
      <c r="G2986" s="43"/>
      <c r="H2986" s="43"/>
      <c r="I2986" s="43"/>
      <c r="J2986" s="43"/>
    </row>
    <row r="2987" spans="1:10">
      <c r="A2987" s="43"/>
      <c r="B2987" s="43"/>
      <c r="C2987" s="43"/>
      <c r="D2987" s="43"/>
      <c r="E2987" s="43"/>
      <c r="F2987" s="43"/>
      <c r="G2987" s="43"/>
      <c r="H2987" s="43"/>
      <c r="I2987" s="43"/>
      <c r="J2987" s="43"/>
    </row>
    <row r="2988" spans="1:10">
      <c r="A2988" s="43"/>
      <c r="B2988" s="43"/>
      <c r="C2988" s="43"/>
      <c r="D2988" s="43"/>
      <c r="E2988" s="43"/>
      <c r="F2988" s="43"/>
      <c r="G2988" s="43"/>
      <c r="H2988" s="43"/>
      <c r="I2988" s="43"/>
      <c r="J2988" s="43"/>
    </row>
    <row r="2989" spans="1:10" ht="25.5" customHeight="1">
      <c r="A2989" s="47"/>
      <c r="B2989" s="47"/>
      <c r="C2989" s="47"/>
      <c r="D2989" s="47"/>
      <c r="E2989" s="47"/>
      <c r="F2989" s="43"/>
      <c r="G2989" s="51"/>
      <c r="H2989" s="250" t="s">
        <v>1227</v>
      </c>
      <c r="I2989" s="251"/>
      <c r="J2989" s="43"/>
    </row>
    <row r="2990" spans="1:10">
      <c r="A2990" s="43" t="s">
        <v>1226</v>
      </c>
      <c r="B2990" s="43"/>
      <c r="C2990" s="43"/>
      <c r="D2990" s="43"/>
      <c r="E2990" s="43"/>
      <c r="F2990" s="43"/>
      <c r="G2990" s="43"/>
      <c r="H2990" s="43"/>
      <c r="I2990" s="43"/>
      <c r="J2990" s="43"/>
    </row>
    <row r="2991" spans="1:10">
      <c r="A2991" s="43"/>
      <c r="B2991" s="43"/>
      <c r="C2991" s="43"/>
      <c r="D2991" s="43"/>
      <c r="E2991" s="43"/>
      <c r="F2991" s="43"/>
      <c r="G2991" s="43"/>
      <c r="H2991" s="43"/>
      <c r="I2991" s="43"/>
      <c r="J2991" s="43"/>
    </row>
    <row r="2992" spans="1:10">
      <c r="A2992" s="43"/>
      <c r="B2992" s="43"/>
      <c r="C2992" s="43"/>
      <c r="D2992" s="43"/>
      <c r="E2992" s="256" t="str">
        <f>CONCATENATE("(",$D2963," vs ",$I2963,")")</f>
        <v>(D vs F)</v>
      </c>
      <c r="F2992" s="256"/>
      <c r="G2992" s="43"/>
      <c r="H2992" s="43"/>
      <c r="I2992" s="43"/>
      <c r="J2992" s="43"/>
    </row>
    <row r="2993" spans="1:10" ht="15.75">
      <c r="A2993" s="42" t="s">
        <v>1223</v>
      </c>
      <c r="B2993" s="43"/>
      <c r="C2993" s="43"/>
      <c r="D2993" s="43"/>
      <c r="E2993" s="43"/>
      <c r="F2993" s="43"/>
      <c r="G2993" s="43"/>
      <c r="H2993" s="43"/>
      <c r="I2993" s="43"/>
      <c r="J2993" s="96" t="s">
        <v>4307</v>
      </c>
    </row>
    <row r="2994" spans="1:10" ht="12.75" customHeight="1">
      <c r="A2994" s="42"/>
      <c r="B2994" s="43"/>
      <c r="C2994" s="43"/>
      <c r="D2994" s="43"/>
      <c r="E2994" s="43"/>
      <c r="F2994" s="43"/>
      <c r="G2994" s="43" t="str">
        <f ca="1">Team_Matches!$J$6</f>
        <v>[NCTTA Teams Template (v2.06).xlsx]</v>
      </c>
      <c r="H2994" s="43"/>
      <c r="I2994" s="43"/>
      <c r="J2994" s="160"/>
    </row>
    <row r="2995" spans="1:10" ht="12.75" customHeight="1">
      <c r="A2995" s="42"/>
      <c r="B2995" s="43"/>
      <c r="C2995" s="43"/>
      <c r="D2995" s="43"/>
      <c r="E2995" s="43"/>
      <c r="F2995" s="43"/>
      <c r="G2995" s="247" t="str">
        <f>Team_Matches!$J2251</f>
        <v/>
      </c>
      <c r="H2995" s="247"/>
      <c r="I2995" s="161" t="str">
        <f>Team_Matches!$M2251</f>
        <v/>
      </c>
      <c r="J2995" s="161"/>
    </row>
    <row r="2996" spans="1:10" ht="15.75">
      <c r="A2996" s="42"/>
      <c r="B2996" s="43"/>
      <c r="C2996" s="43"/>
      <c r="D2996" s="43"/>
      <c r="E2996" s="43"/>
      <c r="F2996" s="43"/>
      <c r="G2996" s="43"/>
      <c r="H2996" s="43"/>
      <c r="I2996" s="43"/>
      <c r="J2996" s="43"/>
    </row>
    <row r="2997" spans="1:10">
      <c r="A2997" s="43"/>
      <c r="B2997" s="43"/>
      <c r="C2997" s="9" t="s">
        <v>1228</v>
      </c>
      <c r="D2997" s="52" t="str">
        <f>Team_Matches!$B2253</f>
        <v>D</v>
      </c>
      <c r="E2997" s="43"/>
      <c r="F2997" s="97" t="str">
        <f>CONCATENATE($D2997,"-",$I2997)</f>
        <v>D-G</v>
      </c>
      <c r="G2997" s="43"/>
      <c r="H2997" s="9" t="s">
        <v>1228</v>
      </c>
      <c r="I2997" s="52" t="str">
        <f>Team_Matches!$K2253</f>
        <v>G</v>
      </c>
      <c r="J2997" s="43"/>
    </row>
    <row r="2998" spans="1:10" ht="25.5" customHeight="1">
      <c r="A2998" s="44"/>
      <c r="B2998" s="248" t="str">
        <f>IF(VLOOKUP($D2997,Draw!$A$4:$B$27,2)&lt;&gt;0,VLOOKUP($D2997,Draw!$A$4:$B$27,2),"")</f>
        <v/>
      </c>
      <c r="C2998" s="248"/>
      <c r="D2998" s="248"/>
      <c r="E2998" s="249"/>
      <c r="F2998" s="45"/>
      <c r="G2998" s="252" t="str">
        <f>IF(VLOOKUP($I2997,Draw!$A$4:$B$27,2)&lt;&gt;0,VLOOKUP($I2997,Draw!$A$4:$B$27,2),"")</f>
        <v/>
      </c>
      <c r="H2998" s="252"/>
      <c r="I2998" s="252"/>
      <c r="J2998" s="253"/>
    </row>
    <row r="2999" spans="1:10" ht="25.5" customHeight="1"/>
    <row r="3000" spans="1:10" ht="25.5" customHeight="1"/>
    <row r="3001" spans="1:10" ht="24" customHeight="1">
      <c r="A3001" s="48" t="s">
        <v>1246</v>
      </c>
      <c r="B3001" s="43"/>
      <c r="C3001" s="43"/>
      <c r="D3001" s="43"/>
      <c r="E3001" s="43"/>
      <c r="F3001" s="43"/>
      <c r="G3001" s="43"/>
      <c r="H3001" s="43"/>
      <c r="I3001" s="43"/>
      <c r="J3001" s="43"/>
    </row>
    <row r="3002" spans="1:10" ht="24" customHeight="1">
      <c r="A3002" s="48"/>
      <c r="B3002" s="43"/>
      <c r="C3002" s="43"/>
      <c r="D3002" s="43"/>
      <c r="E3002" s="43"/>
      <c r="F3002" s="43"/>
      <c r="G3002" s="43"/>
      <c r="H3002" s="43"/>
      <c r="I3002" s="43"/>
      <c r="J3002" s="43"/>
    </row>
    <row r="3003" spans="1:10">
      <c r="A3003" s="49" t="s">
        <v>1224</v>
      </c>
      <c r="B3003" s="46"/>
      <c r="C3003" s="46"/>
      <c r="D3003" s="46"/>
      <c r="E3003" s="46"/>
      <c r="F3003" s="46"/>
      <c r="G3003" s="260" t="s">
        <v>10336</v>
      </c>
      <c r="H3003" s="260"/>
      <c r="I3003" s="260"/>
      <c r="J3003" s="260"/>
    </row>
    <row r="3004" spans="1:10" ht="24" customHeight="1">
      <c r="A3004" s="50" t="str">
        <f>CONCATENATE($D2997,"1")</f>
        <v>D1</v>
      </c>
      <c r="B3004" s="255" t="str">
        <f>IF(VLOOKUP($A3004,Players!$A$2:$C$132,3)&lt;&gt;0,VLOOKUP($A3004,Players!$A$2:$C$132,3),"")</f>
        <v/>
      </c>
      <c r="C3004" s="255"/>
      <c r="D3004" s="255"/>
      <c r="E3004" s="255"/>
      <c r="F3004" s="255"/>
      <c r="G3004" s="254" t="str">
        <f>IF(VLOOKUP($I2997&amp;RIGHT($A3004,1),Players!$A$2:$D$132,3)&lt;&gt;0,VLOOKUP($I2997&amp;RIGHT($A3004,1),Players!$A$2:$D$132,3),"")</f>
        <v/>
      </c>
      <c r="H3004" s="254"/>
      <c r="I3004" s="254"/>
      <c r="J3004" s="210" t="str">
        <f>IF(VLOOKUP($I2997&amp;RIGHT($A3004,1),Players!$A$2:$D$132,3)&lt;&gt;0,"("&amp;VLOOKUP($I2997&amp;RIGHT($A3004,1),Players!$A$2:$D$132,4)&amp;")","")</f>
        <v/>
      </c>
    </row>
    <row r="3005" spans="1:10" ht="25.5" customHeight="1">
      <c r="A3005" s="50" t="str">
        <f>CONCATENATE($D2997,"2")</f>
        <v>D2</v>
      </c>
      <c r="B3005" s="255" t="str">
        <f>IF(VLOOKUP($A3005,Players!$A$2:$C$132,3)&lt;&gt;0,VLOOKUP($A3005,Players!$A$2:$C$132,3),"")</f>
        <v/>
      </c>
      <c r="C3005" s="255"/>
      <c r="D3005" s="255"/>
      <c r="E3005" s="255"/>
      <c r="F3005" s="255"/>
      <c r="G3005" s="254" t="str">
        <f>IF(VLOOKUP($I2997&amp;RIGHT($A3005,1),Players!$A$2:$D$132,3)&lt;&gt;0,VLOOKUP($I2997&amp;RIGHT($A3005,1),Players!$A$2:$D$132,3),"")</f>
        <v/>
      </c>
      <c r="H3005" s="254"/>
      <c r="I3005" s="254"/>
      <c r="J3005" s="210" t="str">
        <f>IF(VLOOKUP($I2997&amp;RIGHT($A3005,1),Players!$A$2:$D$132,3)&lt;&gt;0,"("&amp;VLOOKUP($I2997&amp;RIGHT($A3005,1),Players!$A$2:$D$132,4)&amp;")","")</f>
        <v/>
      </c>
    </row>
    <row r="3006" spans="1:10" ht="25.5" customHeight="1">
      <c r="A3006" s="50" t="str">
        <f>CONCATENATE($D2997,"3")</f>
        <v>D3</v>
      </c>
      <c r="B3006" s="255" t="str">
        <f>IF(VLOOKUP($A3006,Players!$A$2:$C$132,3)&lt;&gt;0,VLOOKUP($A3006,Players!$A$2:$C$132,3),"")</f>
        <v/>
      </c>
      <c r="C3006" s="255"/>
      <c r="D3006" s="255"/>
      <c r="E3006" s="255"/>
      <c r="F3006" s="255"/>
      <c r="G3006" s="254" t="str">
        <f>IF(VLOOKUP($I2997&amp;RIGHT($A3006,1),Players!$A$2:$D$132,3)&lt;&gt;0,VLOOKUP($I2997&amp;RIGHT($A3006,1),Players!$A$2:$D$132,3),"")</f>
        <v/>
      </c>
      <c r="H3006" s="254"/>
      <c r="I3006" s="254"/>
      <c r="J3006" s="210" t="str">
        <f>IF(VLOOKUP($I2997&amp;RIGHT($A3006,1),Players!$A$2:$D$132,3)&lt;&gt;0,"("&amp;VLOOKUP($I2997&amp;RIGHT($A3006,1),Players!$A$2:$D$132,4)&amp;")","")</f>
        <v/>
      </c>
    </row>
    <row r="3007" spans="1:10" ht="25.5" customHeight="1">
      <c r="A3007" s="50" t="str">
        <f>CONCATENATE($D2997,"4")</f>
        <v>D4</v>
      </c>
      <c r="B3007" s="255" t="str">
        <f>IF(VLOOKUP($A3007,Players!$A$2:$C$132,3)&lt;&gt;0,VLOOKUP($A3007,Players!$A$2:$C$132,3),"")</f>
        <v/>
      </c>
      <c r="C3007" s="255"/>
      <c r="D3007" s="255"/>
      <c r="E3007" s="255"/>
      <c r="F3007" s="255"/>
      <c r="G3007" s="254" t="str">
        <f>IF(VLOOKUP($I2997&amp;RIGHT($A3007,1),Players!$A$2:$D$132,3)&lt;&gt;0,VLOOKUP($I2997&amp;RIGHT($A3007,1),Players!$A$2:$D$132,3),"")</f>
        <v/>
      </c>
      <c r="H3007" s="254"/>
      <c r="I3007" s="254"/>
      <c r="J3007" s="210" t="str">
        <f>IF(VLOOKUP($I2997&amp;RIGHT($A3007,1),Players!$A$2:$D$132,3)&lt;&gt;0,"("&amp;VLOOKUP($I2997&amp;RIGHT($A3007,1),Players!$A$2:$D$132,4)&amp;")","")</f>
        <v/>
      </c>
    </row>
    <row r="3008" spans="1:10" ht="25.5" customHeight="1">
      <c r="A3008" s="50" t="str">
        <f>CONCATENATE($D2997,"5")</f>
        <v>D5</v>
      </c>
      <c r="B3008" s="255" t="str">
        <f>IF(VLOOKUP($A3008,Players!$A$2:$C$132,3)&lt;&gt;0,VLOOKUP($A3008,Players!$A$2:$C$132,3),"")</f>
        <v/>
      </c>
      <c r="C3008" s="255"/>
      <c r="D3008" s="255"/>
      <c r="E3008" s="255"/>
      <c r="F3008" s="255"/>
      <c r="G3008" s="254" t="str">
        <f>IF(VLOOKUP($I2997&amp;RIGHT($A3008,1),Players!$A$2:$D$132,3)&lt;&gt;0,VLOOKUP($I2997&amp;RIGHT($A3008,1),Players!$A$2:$D$132,3),"")</f>
        <v/>
      </c>
      <c r="H3008" s="254"/>
      <c r="I3008" s="254"/>
      <c r="J3008" s="210" t="str">
        <f>IF(VLOOKUP($I2997&amp;RIGHT($A3008,1),Players!$A$2:$D$132,3)&lt;&gt;0,"("&amp;VLOOKUP($I2997&amp;RIGHT($A3008,1),Players!$A$2:$D$132,4)&amp;")","")</f>
        <v/>
      </c>
    </row>
    <row r="3009" spans="1:10" ht="25.5" customHeight="1">
      <c r="A3009" s="50" t="str">
        <f>CONCATENATE($D2997,"6")</f>
        <v>D6</v>
      </c>
      <c r="B3009" s="255" t="str">
        <f>IF(VLOOKUP($A3009,Players!$A$2:$C$132,3)&lt;&gt;0,VLOOKUP($A3009,Players!$A$2:$C$132,3),"")</f>
        <v/>
      </c>
      <c r="C3009" s="255"/>
      <c r="D3009" s="255"/>
      <c r="E3009" s="255"/>
      <c r="F3009" s="255"/>
      <c r="G3009" s="254" t="str">
        <f>IF(VLOOKUP($I2997&amp;RIGHT($A3009,1),Players!$A$2:$D$132,3)&lt;&gt;0,VLOOKUP($I2997&amp;RIGHT($A3009,1),Players!$A$2:$D$132,3),"")</f>
        <v/>
      </c>
      <c r="H3009" s="254"/>
      <c r="I3009" s="254"/>
      <c r="J3009" s="210" t="str">
        <f>IF(VLOOKUP($I2997&amp;RIGHT($A3009,1),Players!$A$2:$D$132,3)&lt;&gt;0,"("&amp;VLOOKUP($I2997&amp;RIGHT($A3009,1),Players!$A$2:$D$132,4)&amp;")","")</f>
        <v/>
      </c>
    </row>
    <row r="3010" spans="1:10" ht="25.5" customHeight="1">
      <c r="A3010" s="50" t="str">
        <f>CONCATENATE($D2997,"7")</f>
        <v>D7</v>
      </c>
      <c r="B3010" s="255" t="str">
        <f>IF(VLOOKUP($A3010,Players!$A$2:$C$132,3)&lt;&gt;0,VLOOKUP($A3010,Players!$A$2:$C$132,3),"")</f>
        <v/>
      </c>
      <c r="C3010" s="255"/>
      <c r="D3010" s="255"/>
      <c r="E3010" s="255"/>
      <c r="F3010" s="255"/>
      <c r="G3010" s="254" t="str">
        <f>IF(VLOOKUP($I2997&amp;RIGHT($A3010,1),Players!$A$2:$D$132,3)&lt;&gt;0,VLOOKUP($I2997&amp;RIGHT($A3010,1),Players!$A$2:$D$132,3),"")</f>
        <v/>
      </c>
      <c r="H3010" s="254"/>
      <c r="I3010" s="254"/>
      <c r="J3010" s="210" t="str">
        <f>IF(VLOOKUP($I2997&amp;RIGHT($A3010,1),Players!$A$2:$D$132,3)&lt;&gt;0,"("&amp;VLOOKUP($I2997&amp;RIGHT($A3010,1),Players!$A$2:$D$132,4)&amp;")","")</f>
        <v/>
      </c>
    </row>
    <row r="3011" spans="1:10" ht="25.5" customHeight="1">
      <c r="A3011" s="50" t="str">
        <f>CONCATENATE($D2997,"8")</f>
        <v>D8</v>
      </c>
      <c r="B3011" s="255" t="str">
        <f>IF(VLOOKUP($A3011,Players!$A$2:$C$132,3)&lt;&gt;0,VLOOKUP($A3011,Players!$A$2:$C$132,3),"")</f>
        <v/>
      </c>
      <c r="C3011" s="255"/>
      <c r="D3011" s="255"/>
      <c r="E3011" s="255"/>
      <c r="F3011" s="255"/>
      <c r="G3011" s="254" t="str">
        <f>IF(VLOOKUP($I2997&amp;RIGHT($A3011,1),Players!$A$2:$D$132,3)&lt;&gt;0,VLOOKUP($I2997&amp;RIGHT($A3011,1),Players!$A$2:$D$132,3),"")</f>
        <v/>
      </c>
      <c r="H3011" s="254"/>
      <c r="I3011" s="254"/>
      <c r="J3011" s="210" t="str">
        <f>IF(VLOOKUP($I2997&amp;RIGHT($A3011,1),Players!$A$2:$D$132,3)&lt;&gt;0,"("&amp;VLOOKUP($I2997&amp;RIGHT($A3011,1),Players!$A$2:$D$132,4)&amp;")","")</f>
        <v/>
      </c>
    </row>
    <row r="3012" spans="1:10" ht="25.5" customHeight="1">
      <c r="A3012" s="50"/>
      <c r="B3012" s="26"/>
      <c r="C3012" s="26"/>
      <c r="D3012" s="26"/>
      <c r="E3012" s="26"/>
      <c r="F3012" s="27"/>
      <c r="G3012" s="43"/>
      <c r="H3012" s="43"/>
      <c r="I3012" s="43"/>
      <c r="J3012" s="43"/>
    </row>
    <row r="3013" spans="1:10">
      <c r="A3013" s="49" t="s">
        <v>1225</v>
      </c>
      <c r="B3013" s="46"/>
      <c r="C3013" s="46"/>
      <c r="D3013" s="46"/>
      <c r="E3013" s="46"/>
      <c r="F3013" s="46"/>
      <c r="G3013" s="43"/>
      <c r="H3013" s="43"/>
      <c r="I3013" s="43"/>
      <c r="J3013" s="43"/>
    </row>
    <row r="3014" spans="1:10">
      <c r="A3014" s="46" t="s">
        <v>1247</v>
      </c>
      <c r="B3014" s="46"/>
      <c r="C3014" s="46"/>
      <c r="D3014" s="46"/>
      <c r="E3014" s="46"/>
      <c r="F3014" s="46"/>
      <c r="G3014" s="43"/>
      <c r="H3014" s="43"/>
      <c r="I3014" s="43"/>
      <c r="J3014" s="43"/>
    </row>
    <row r="3015" spans="1:10">
      <c r="A3015" s="46" t="s">
        <v>1248</v>
      </c>
      <c r="B3015" s="46"/>
      <c r="C3015" s="46"/>
      <c r="D3015" s="46"/>
      <c r="E3015" s="46"/>
      <c r="F3015" s="46"/>
      <c r="G3015" s="43"/>
      <c r="H3015" s="43"/>
      <c r="I3015" s="43"/>
      <c r="J3015" s="43"/>
    </row>
    <row r="3016" spans="1:10" ht="13.5" thickBot="1">
      <c r="A3016" s="46"/>
      <c r="B3016" s="46"/>
      <c r="C3016" s="46"/>
      <c r="D3016" s="46"/>
      <c r="E3016" s="46"/>
      <c r="F3016" s="46"/>
      <c r="G3016" s="43"/>
      <c r="H3016" s="43"/>
      <c r="I3016" s="43"/>
      <c r="J3016" s="43"/>
    </row>
    <row r="3017" spans="1:10" ht="25.5" customHeight="1" thickBot="1">
      <c r="A3017" s="50"/>
      <c r="B3017" s="257"/>
      <c r="C3017" s="258"/>
      <c r="D3017" s="258"/>
      <c r="E3017" s="258"/>
      <c r="F3017" s="259"/>
      <c r="G3017" s="43"/>
      <c r="H3017" s="43"/>
      <c r="I3017" s="43"/>
      <c r="J3017" s="43"/>
    </row>
    <row r="3018" spans="1:10">
      <c r="A3018" s="43"/>
      <c r="B3018" s="43"/>
      <c r="C3018" s="43"/>
      <c r="D3018" s="43"/>
      <c r="E3018" s="43"/>
      <c r="F3018" s="43"/>
      <c r="G3018" s="43"/>
      <c r="H3018" s="43"/>
      <c r="I3018" s="43"/>
      <c r="J3018" s="43"/>
    </row>
    <row r="3019" spans="1:10">
      <c r="A3019" s="43"/>
      <c r="B3019" s="43"/>
      <c r="C3019" s="43"/>
      <c r="D3019" s="43"/>
      <c r="E3019" s="43"/>
      <c r="F3019" s="43"/>
      <c r="G3019" s="43"/>
      <c r="H3019" s="43"/>
      <c r="I3019" s="43"/>
      <c r="J3019" s="43"/>
    </row>
    <row r="3020" spans="1:10">
      <c r="A3020" s="43"/>
      <c r="B3020" s="43"/>
      <c r="C3020" s="43"/>
      <c r="D3020" s="43"/>
      <c r="E3020" s="43"/>
      <c r="F3020" s="43"/>
      <c r="G3020" s="43"/>
      <c r="H3020" s="43"/>
      <c r="I3020" s="43"/>
      <c r="J3020" s="43"/>
    </row>
    <row r="3021" spans="1:10">
      <c r="A3021" s="43"/>
      <c r="B3021" s="43"/>
      <c r="C3021" s="43"/>
      <c r="D3021" s="43"/>
      <c r="E3021" s="43"/>
      <c r="F3021" s="43"/>
      <c r="G3021" s="43"/>
      <c r="H3021" s="43"/>
      <c r="I3021" s="43"/>
      <c r="J3021" s="43"/>
    </row>
    <row r="3022" spans="1:10">
      <c r="A3022" s="43"/>
      <c r="B3022" s="43"/>
      <c r="C3022" s="43"/>
      <c r="D3022" s="43"/>
      <c r="E3022" s="43"/>
      <c r="F3022" s="43"/>
      <c r="G3022" s="43"/>
      <c r="H3022" s="43"/>
      <c r="I3022" s="43"/>
      <c r="J3022" s="43"/>
    </row>
    <row r="3023" spans="1:10" ht="25.5" customHeight="1">
      <c r="A3023" s="47"/>
      <c r="B3023" s="47"/>
      <c r="C3023" s="47"/>
      <c r="D3023" s="47"/>
      <c r="E3023" s="47"/>
      <c r="F3023" s="43"/>
      <c r="G3023" s="51"/>
      <c r="H3023" s="250" t="s">
        <v>1227</v>
      </c>
      <c r="I3023" s="251"/>
      <c r="J3023" s="43"/>
    </row>
    <row r="3024" spans="1:10">
      <c r="A3024" s="43" t="s">
        <v>1226</v>
      </c>
      <c r="B3024" s="43"/>
      <c r="C3024" s="43"/>
      <c r="D3024" s="43"/>
      <c r="E3024" s="43"/>
      <c r="F3024" s="43"/>
      <c r="G3024" s="43"/>
      <c r="H3024" s="43"/>
      <c r="I3024" s="43"/>
      <c r="J3024" s="43"/>
    </row>
    <row r="3025" spans="1:10">
      <c r="A3025" s="43"/>
      <c r="B3025" s="43"/>
      <c r="C3025" s="43"/>
      <c r="D3025" s="43"/>
      <c r="E3025" s="43"/>
      <c r="F3025" s="43"/>
      <c r="G3025" s="43"/>
      <c r="H3025" s="43"/>
      <c r="I3025" s="43"/>
      <c r="J3025" s="43"/>
    </row>
    <row r="3026" spans="1:10">
      <c r="A3026" s="43"/>
      <c r="B3026" s="43"/>
      <c r="C3026" s="43"/>
      <c r="D3026" s="43"/>
      <c r="E3026" s="256" t="str">
        <f>CONCATENATE("(",$D2997," vs ",$I2997,")")</f>
        <v>(D vs G)</v>
      </c>
      <c r="F3026" s="256"/>
      <c r="G3026" s="43"/>
      <c r="H3026" s="43"/>
      <c r="I3026" s="43"/>
      <c r="J3026" s="43"/>
    </row>
    <row r="3027" spans="1:10" ht="15.75">
      <c r="A3027" s="42" t="s">
        <v>1223</v>
      </c>
      <c r="B3027" s="43"/>
      <c r="C3027" s="43"/>
      <c r="D3027" s="43"/>
      <c r="E3027" s="43"/>
      <c r="F3027" s="43"/>
      <c r="G3027" s="43"/>
      <c r="H3027" s="43"/>
      <c r="I3027" s="43"/>
      <c r="J3027" s="96" t="s">
        <v>4308</v>
      </c>
    </row>
    <row r="3028" spans="1:10" ht="12.75" customHeight="1">
      <c r="A3028" s="42"/>
      <c r="B3028" s="43"/>
      <c r="C3028" s="43"/>
      <c r="D3028" s="43"/>
      <c r="E3028" s="43"/>
      <c r="F3028" s="43"/>
      <c r="G3028" s="43" t="str">
        <f ca="1">Team_Matches!$J$6</f>
        <v>[NCTTA Teams Template (v2.06).xlsx]</v>
      </c>
      <c r="H3028" s="43"/>
      <c r="I3028" s="43"/>
      <c r="J3028" s="160"/>
    </row>
    <row r="3029" spans="1:10" ht="12.75" customHeight="1">
      <c r="A3029" s="42"/>
      <c r="B3029" s="43"/>
      <c r="C3029" s="43"/>
      <c r="D3029" s="43"/>
      <c r="E3029" s="43"/>
      <c r="F3029" s="43"/>
      <c r="G3029" s="247" t="str">
        <f>Team_Matches!$J2251</f>
        <v/>
      </c>
      <c r="H3029" s="247"/>
      <c r="I3029" s="161" t="str">
        <f>Team_Matches!$M2251</f>
        <v/>
      </c>
      <c r="J3029" s="161"/>
    </row>
    <row r="3030" spans="1:10" ht="15.75">
      <c r="A3030" s="42"/>
      <c r="B3030" s="43"/>
      <c r="C3030" s="43"/>
      <c r="D3030" s="43"/>
      <c r="E3030" s="43"/>
      <c r="F3030" s="43"/>
      <c r="G3030" s="43"/>
      <c r="H3030" s="43"/>
      <c r="I3030" s="43"/>
      <c r="J3030" s="43"/>
    </row>
    <row r="3031" spans="1:10">
      <c r="A3031" s="43"/>
      <c r="B3031" s="43"/>
      <c r="C3031" s="9" t="s">
        <v>1228</v>
      </c>
      <c r="D3031" s="52" t="str">
        <f>Team_Matches!$B2253</f>
        <v>D</v>
      </c>
      <c r="E3031" s="43"/>
      <c r="F3031" s="97" t="str">
        <f>CONCATENATE($D3031,"-",$I3031)</f>
        <v>D-G</v>
      </c>
      <c r="G3031" s="43"/>
      <c r="H3031" s="9" t="s">
        <v>1228</v>
      </c>
      <c r="I3031" s="52" t="str">
        <f>Team_Matches!$K2253</f>
        <v>G</v>
      </c>
      <c r="J3031" s="43"/>
    </row>
    <row r="3032" spans="1:10" ht="25.5" customHeight="1">
      <c r="A3032" s="44"/>
      <c r="B3032" s="252" t="str">
        <f>IF(VLOOKUP($D3031,Draw!$A$4:$B$27,2)&lt;&gt;0,VLOOKUP($D3031,Draw!$A$4:$B$27,2),"")</f>
        <v/>
      </c>
      <c r="C3032" s="252"/>
      <c r="D3032" s="252"/>
      <c r="E3032" s="253"/>
      <c r="F3032" s="45"/>
      <c r="G3032" s="248" t="str">
        <f>IF(VLOOKUP($I3031,Draw!$A$4:$B$27,2)&lt;&gt;0,VLOOKUP($I3031,Draw!$A$4:$B$27,2),"")</f>
        <v/>
      </c>
      <c r="H3032" s="248"/>
      <c r="I3032" s="248"/>
      <c r="J3032" s="249"/>
    </row>
    <row r="3033" spans="1:10" ht="25.5" customHeight="1"/>
    <row r="3034" spans="1:10" ht="25.5" customHeight="1"/>
    <row r="3035" spans="1:10" ht="24" customHeight="1">
      <c r="A3035" s="48" t="s">
        <v>1246</v>
      </c>
      <c r="B3035" s="43"/>
      <c r="C3035" s="43"/>
      <c r="D3035" s="43"/>
      <c r="E3035" s="43"/>
      <c r="F3035" s="43"/>
      <c r="G3035" s="43"/>
      <c r="H3035" s="43"/>
      <c r="I3035" s="43"/>
      <c r="J3035" s="43"/>
    </row>
    <row r="3036" spans="1:10" ht="24" customHeight="1">
      <c r="A3036" s="48"/>
      <c r="B3036" s="43"/>
      <c r="C3036" s="43"/>
      <c r="D3036" s="43"/>
      <c r="E3036" s="43"/>
      <c r="F3036" s="43"/>
      <c r="G3036" s="43"/>
      <c r="H3036" s="43"/>
      <c r="I3036" s="43"/>
      <c r="J3036" s="43"/>
    </row>
    <row r="3037" spans="1:10">
      <c r="A3037" s="49" t="s">
        <v>1224</v>
      </c>
      <c r="B3037" s="46"/>
      <c r="C3037" s="46"/>
      <c r="D3037" s="46"/>
      <c r="E3037" s="46"/>
      <c r="F3037" s="46"/>
      <c r="G3037" s="260" t="s">
        <v>10336</v>
      </c>
      <c r="H3037" s="260"/>
      <c r="I3037" s="260"/>
      <c r="J3037" s="260"/>
    </row>
    <row r="3038" spans="1:10" ht="24" customHeight="1">
      <c r="A3038" s="50" t="str">
        <f>CONCATENATE($I3031,"1")</f>
        <v>G1</v>
      </c>
      <c r="B3038" s="255" t="str">
        <f>IF(VLOOKUP($A3038,Players!$A$2:$C$132,3)&lt;&gt;0,VLOOKUP($A3038,Players!$A$2:$C$132,3),"")</f>
        <v/>
      </c>
      <c r="C3038" s="255"/>
      <c r="D3038" s="255"/>
      <c r="E3038" s="255"/>
      <c r="F3038" s="255"/>
      <c r="G3038" s="254" t="str">
        <f>IF(VLOOKUP($D3031&amp;RIGHT($A3038,1),Players!$A$2:$D$132,3)&lt;&gt;0,VLOOKUP($D3031&amp;RIGHT($A3038,1),Players!$A$2:$D$132,3),"")</f>
        <v/>
      </c>
      <c r="H3038" s="254"/>
      <c r="I3038" s="254"/>
      <c r="J3038" s="210" t="str">
        <f>IF(VLOOKUP($D3031&amp;RIGHT($A3038,1),Players!$A$2:$D$132,3)&lt;&gt;0,"("&amp;VLOOKUP($D3031&amp;RIGHT($A3038,1),Players!$A$2:$D$132,4)&amp;")","")</f>
        <v/>
      </c>
    </row>
    <row r="3039" spans="1:10" ht="25.5" customHeight="1">
      <c r="A3039" s="50" t="str">
        <f>CONCATENATE($I3031,"2")</f>
        <v>G2</v>
      </c>
      <c r="B3039" s="255" t="str">
        <f>IF(VLOOKUP($A3039,Players!$A$2:$C$132,3)&lt;&gt;0,VLOOKUP($A3039,Players!$A$2:$C$132,3),"")</f>
        <v/>
      </c>
      <c r="C3039" s="255"/>
      <c r="D3039" s="255"/>
      <c r="E3039" s="255"/>
      <c r="F3039" s="255"/>
      <c r="G3039" s="254" t="str">
        <f>IF(VLOOKUP($D3031&amp;RIGHT($A3039,1),Players!$A$2:$D$132,3)&lt;&gt;0,VLOOKUP($D3031&amp;RIGHT($A3039,1),Players!$A$2:$D$132,3),"")</f>
        <v/>
      </c>
      <c r="H3039" s="254"/>
      <c r="I3039" s="254"/>
      <c r="J3039" s="210" t="str">
        <f>IF(VLOOKUP($D3031&amp;RIGHT($A3039,1),Players!$A$2:$D$132,3)&lt;&gt;0,"("&amp;VLOOKUP($D3031&amp;RIGHT($A3039,1),Players!$A$2:$D$132,4)&amp;")","")</f>
        <v/>
      </c>
    </row>
    <row r="3040" spans="1:10" ht="25.5" customHeight="1">
      <c r="A3040" s="50" t="str">
        <f>CONCATENATE($I3031,"3")</f>
        <v>G3</v>
      </c>
      <c r="B3040" s="255" t="str">
        <f>IF(VLOOKUP($A3040,Players!$A$2:$C$132,3)&lt;&gt;0,VLOOKUP($A3040,Players!$A$2:$C$132,3),"")</f>
        <v/>
      </c>
      <c r="C3040" s="255"/>
      <c r="D3040" s="255"/>
      <c r="E3040" s="255"/>
      <c r="F3040" s="255"/>
      <c r="G3040" s="254" t="str">
        <f>IF(VLOOKUP($D3031&amp;RIGHT($A3040,1),Players!$A$2:$D$132,3)&lt;&gt;0,VLOOKUP($D3031&amp;RIGHT($A3040,1),Players!$A$2:$D$132,3),"")</f>
        <v/>
      </c>
      <c r="H3040" s="254"/>
      <c r="I3040" s="254"/>
      <c r="J3040" s="210" t="str">
        <f>IF(VLOOKUP($D3031&amp;RIGHT($A3040,1),Players!$A$2:$D$132,3)&lt;&gt;0,"("&amp;VLOOKUP($D3031&amp;RIGHT($A3040,1),Players!$A$2:$D$132,4)&amp;")","")</f>
        <v/>
      </c>
    </row>
    <row r="3041" spans="1:10" ht="25.5" customHeight="1">
      <c r="A3041" s="50" t="str">
        <f>CONCATENATE($I3031,"4")</f>
        <v>G4</v>
      </c>
      <c r="B3041" s="255" t="str">
        <f>IF(VLOOKUP($A3041,Players!$A$2:$C$132,3)&lt;&gt;0,VLOOKUP($A3041,Players!$A$2:$C$132,3),"")</f>
        <v/>
      </c>
      <c r="C3041" s="255"/>
      <c r="D3041" s="255"/>
      <c r="E3041" s="255"/>
      <c r="F3041" s="255"/>
      <c r="G3041" s="254" t="str">
        <f>IF(VLOOKUP($D3031&amp;RIGHT($A3041,1),Players!$A$2:$D$132,3)&lt;&gt;0,VLOOKUP($D3031&amp;RIGHT($A3041,1),Players!$A$2:$D$132,3),"")</f>
        <v/>
      </c>
      <c r="H3041" s="254"/>
      <c r="I3041" s="254"/>
      <c r="J3041" s="210" t="str">
        <f>IF(VLOOKUP($D3031&amp;RIGHT($A3041,1),Players!$A$2:$D$132,3)&lt;&gt;0,"("&amp;VLOOKUP($D3031&amp;RIGHT($A3041,1),Players!$A$2:$D$132,4)&amp;")","")</f>
        <v/>
      </c>
    </row>
    <row r="3042" spans="1:10" ht="25.5" customHeight="1">
      <c r="A3042" s="50" t="str">
        <f>CONCATENATE($I3031,"5")</f>
        <v>G5</v>
      </c>
      <c r="B3042" s="255" t="str">
        <f>IF(VLOOKUP($A3042,Players!$A$2:$C$132,3)&lt;&gt;0,VLOOKUP($A3042,Players!$A$2:$C$132,3),"")</f>
        <v/>
      </c>
      <c r="C3042" s="255"/>
      <c r="D3042" s="255"/>
      <c r="E3042" s="255"/>
      <c r="F3042" s="255"/>
      <c r="G3042" s="254" t="str">
        <f>IF(VLOOKUP($D3031&amp;RIGHT($A3042,1),Players!$A$2:$D$132,3)&lt;&gt;0,VLOOKUP($D3031&amp;RIGHT($A3042,1),Players!$A$2:$D$132,3),"")</f>
        <v/>
      </c>
      <c r="H3042" s="254"/>
      <c r="I3042" s="254"/>
      <c r="J3042" s="210" t="str">
        <f>IF(VLOOKUP($D3031&amp;RIGHT($A3042,1),Players!$A$2:$D$132,3)&lt;&gt;0,"("&amp;VLOOKUP($D3031&amp;RIGHT($A3042,1),Players!$A$2:$D$132,4)&amp;")","")</f>
        <v/>
      </c>
    </row>
    <row r="3043" spans="1:10" ht="25.5" customHeight="1">
      <c r="A3043" s="50" t="str">
        <f>CONCATENATE($I3031,"6")</f>
        <v>G6</v>
      </c>
      <c r="B3043" s="255" t="str">
        <f>IF(VLOOKUP($A3043,Players!$A$2:$C$132,3)&lt;&gt;0,VLOOKUP($A3043,Players!$A$2:$C$132,3),"")</f>
        <v/>
      </c>
      <c r="C3043" s="255"/>
      <c r="D3043" s="255"/>
      <c r="E3043" s="255"/>
      <c r="F3043" s="255"/>
      <c r="G3043" s="254" t="str">
        <f>IF(VLOOKUP($D3031&amp;RIGHT($A3043,1),Players!$A$2:$D$132,3)&lt;&gt;0,VLOOKUP($D3031&amp;RIGHT($A3043,1),Players!$A$2:$D$132,3),"")</f>
        <v/>
      </c>
      <c r="H3043" s="254"/>
      <c r="I3043" s="254"/>
      <c r="J3043" s="210" t="str">
        <f>IF(VLOOKUP($D3031&amp;RIGHT($A3043,1),Players!$A$2:$D$132,3)&lt;&gt;0,"("&amp;VLOOKUP($D3031&amp;RIGHT($A3043,1),Players!$A$2:$D$132,4)&amp;")","")</f>
        <v/>
      </c>
    </row>
    <row r="3044" spans="1:10" ht="25.5" customHeight="1">
      <c r="A3044" s="50" t="str">
        <f>CONCATENATE($I3031,"7")</f>
        <v>G7</v>
      </c>
      <c r="B3044" s="255" t="str">
        <f>IF(VLOOKUP($A3044,Players!$A$2:$C$132,3)&lt;&gt;0,VLOOKUP($A3044,Players!$A$2:$C$132,3),"")</f>
        <v/>
      </c>
      <c r="C3044" s="255"/>
      <c r="D3044" s="255"/>
      <c r="E3044" s="255"/>
      <c r="F3044" s="255"/>
      <c r="G3044" s="254" t="str">
        <f>IF(VLOOKUP($D3031&amp;RIGHT($A3044,1),Players!$A$2:$D$132,3)&lt;&gt;0,VLOOKUP($D3031&amp;RIGHT($A3044,1),Players!$A$2:$D$132,3),"")</f>
        <v/>
      </c>
      <c r="H3044" s="254"/>
      <c r="I3044" s="254"/>
      <c r="J3044" s="210" t="str">
        <f>IF(VLOOKUP($D3031&amp;RIGHT($A3044,1),Players!$A$2:$D$132,3)&lt;&gt;0,"("&amp;VLOOKUP($D3031&amp;RIGHT($A3044,1),Players!$A$2:$D$132,4)&amp;")","")</f>
        <v/>
      </c>
    </row>
    <row r="3045" spans="1:10" ht="25.5" customHeight="1">
      <c r="A3045" s="50" t="str">
        <f>CONCATENATE($I3031,"8")</f>
        <v>G8</v>
      </c>
      <c r="B3045" s="255" t="str">
        <f>IF(VLOOKUP($A3045,Players!$A$2:$C$132,3)&lt;&gt;0,VLOOKUP($A3045,Players!$A$2:$C$132,3),"")</f>
        <v/>
      </c>
      <c r="C3045" s="255"/>
      <c r="D3045" s="255"/>
      <c r="E3045" s="255"/>
      <c r="F3045" s="255"/>
      <c r="G3045" s="254" t="str">
        <f>IF(VLOOKUP($D3031&amp;RIGHT($A3045,1),Players!$A$2:$D$132,3)&lt;&gt;0,VLOOKUP($D3031&amp;RIGHT($A3045,1),Players!$A$2:$D$132,3),"")</f>
        <v/>
      </c>
      <c r="H3045" s="254"/>
      <c r="I3045" s="254"/>
      <c r="J3045" s="210" t="str">
        <f>IF(VLOOKUP($D3031&amp;RIGHT($A3045,1),Players!$A$2:$D$132,3)&lt;&gt;0,"("&amp;VLOOKUP($D3031&amp;RIGHT($A3045,1),Players!$A$2:$D$132,4)&amp;")","")</f>
        <v/>
      </c>
    </row>
    <row r="3046" spans="1:10" ht="25.5" customHeight="1">
      <c r="A3046" s="50"/>
      <c r="B3046" s="26"/>
      <c r="C3046" s="26"/>
      <c r="D3046" s="26"/>
      <c r="E3046" s="26"/>
      <c r="F3046" s="27"/>
      <c r="G3046" s="43"/>
      <c r="H3046" s="43"/>
      <c r="I3046" s="43"/>
      <c r="J3046" s="43"/>
    </row>
    <row r="3047" spans="1:10">
      <c r="A3047" s="49" t="s">
        <v>1225</v>
      </c>
      <c r="B3047" s="46"/>
      <c r="C3047" s="46"/>
      <c r="D3047" s="46"/>
      <c r="E3047" s="46"/>
      <c r="F3047" s="46"/>
      <c r="G3047" s="43"/>
      <c r="H3047" s="43"/>
      <c r="I3047" s="43"/>
      <c r="J3047" s="43"/>
    </row>
    <row r="3048" spans="1:10">
      <c r="A3048" s="46" t="s">
        <v>1247</v>
      </c>
      <c r="B3048" s="46"/>
      <c r="C3048" s="46"/>
      <c r="D3048" s="46"/>
      <c r="E3048" s="46"/>
      <c r="F3048" s="46"/>
      <c r="G3048" s="43"/>
      <c r="H3048" s="43"/>
      <c r="I3048" s="43"/>
      <c r="J3048" s="43"/>
    </row>
    <row r="3049" spans="1:10">
      <c r="A3049" s="46" t="s">
        <v>1248</v>
      </c>
      <c r="B3049" s="46"/>
      <c r="C3049" s="46"/>
      <c r="D3049" s="46"/>
      <c r="E3049" s="46"/>
      <c r="F3049" s="46"/>
      <c r="G3049" s="43"/>
      <c r="H3049" s="43"/>
      <c r="I3049" s="43"/>
      <c r="J3049" s="43"/>
    </row>
    <row r="3050" spans="1:10" ht="13.5" thickBot="1">
      <c r="A3050" s="46"/>
      <c r="B3050" s="46"/>
      <c r="C3050" s="46"/>
      <c r="D3050" s="46"/>
      <c r="E3050" s="46"/>
      <c r="F3050" s="46"/>
      <c r="G3050" s="43"/>
      <c r="H3050" s="43"/>
      <c r="I3050" s="43"/>
      <c r="J3050" s="43"/>
    </row>
    <row r="3051" spans="1:10" ht="25.5" customHeight="1" thickBot="1">
      <c r="A3051" s="50"/>
      <c r="B3051" s="257"/>
      <c r="C3051" s="258"/>
      <c r="D3051" s="258"/>
      <c r="E3051" s="258"/>
      <c r="F3051" s="259"/>
      <c r="G3051" s="43"/>
      <c r="H3051" s="43"/>
      <c r="I3051" s="43"/>
      <c r="J3051" s="43"/>
    </row>
    <row r="3052" spans="1:10">
      <c r="A3052" s="43"/>
      <c r="B3052" s="43"/>
      <c r="C3052" s="43"/>
      <c r="D3052" s="43"/>
      <c r="E3052" s="43"/>
      <c r="F3052" s="43"/>
      <c r="G3052" s="43"/>
      <c r="H3052" s="43"/>
      <c r="I3052" s="43"/>
      <c r="J3052" s="43"/>
    </row>
    <row r="3053" spans="1:10">
      <c r="A3053" s="43"/>
      <c r="B3053" s="43"/>
      <c r="C3053" s="43"/>
      <c r="D3053" s="43"/>
      <c r="E3053" s="43"/>
      <c r="F3053" s="43"/>
      <c r="G3053" s="43"/>
      <c r="H3053" s="43"/>
      <c r="I3053" s="43"/>
      <c r="J3053" s="43"/>
    </row>
    <row r="3054" spans="1:10">
      <c r="A3054" s="43"/>
      <c r="B3054" s="43"/>
      <c r="C3054" s="43"/>
      <c r="D3054" s="43"/>
      <c r="E3054" s="43"/>
      <c r="F3054" s="43"/>
      <c r="G3054" s="43"/>
      <c r="H3054" s="43"/>
      <c r="I3054" s="43"/>
      <c r="J3054" s="43"/>
    </row>
    <row r="3055" spans="1:10">
      <c r="A3055" s="43"/>
      <c r="B3055" s="43"/>
      <c r="C3055" s="43"/>
      <c r="D3055" s="43"/>
      <c r="E3055" s="43"/>
      <c r="F3055" s="43"/>
      <c r="G3055" s="43"/>
      <c r="H3055" s="43"/>
      <c r="I3055" s="43"/>
      <c r="J3055" s="43"/>
    </row>
    <row r="3056" spans="1:10">
      <c r="A3056" s="43"/>
      <c r="B3056" s="43"/>
      <c r="C3056" s="43"/>
      <c r="D3056" s="43"/>
      <c r="E3056" s="43"/>
      <c r="F3056" s="43"/>
      <c r="G3056" s="43"/>
      <c r="H3056" s="43"/>
      <c r="I3056" s="43"/>
      <c r="J3056" s="43"/>
    </row>
    <row r="3057" spans="1:10" ht="25.5" customHeight="1">
      <c r="A3057" s="47"/>
      <c r="B3057" s="47"/>
      <c r="C3057" s="47"/>
      <c r="D3057" s="47"/>
      <c r="E3057" s="47"/>
      <c r="F3057" s="43"/>
      <c r="G3057" s="51"/>
      <c r="H3057" s="250" t="s">
        <v>1227</v>
      </c>
      <c r="I3057" s="251"/>
      <c r="J3057" s="43"/>
    </row>
    <row r="3058" spans="1:10">
      <c r="A3058" s="43" t="s">
        <v>1226</v>
      </c>
      <c r="B3058" s="43"/>
      <c r="C3058" s="43"/>
      <c r="D3058" s="43"/>
      <c r="E3058" s="43"/>
      <c r="F3058" s="43"/>
      <c r="G3058" s="43"/>
      <c r="H3058" s="43"/>
      <c r="I3058" s="43"/>
      <c r="J3058" s="43"/>
    </row>
    <row r="3059" spans="1:10">
      <c r="A3059" s="43"/>
      <c r="B3059" s="43"/>
      <c r="C3059" s="43"/>
      <c r="D3059" s="43"/>
      <c r="E3059" s="43"/>
      <c r="F3059" s="43"/>
      <c r="G3059" s="43"/>
      <c r="H3059" s="43"/>
      <c r="I3059" s="43"/>
      <c r="J3059" s="43"/>
    </row>
    <row r="3060" spans="1:10">
      <c r="A3060" s="43"/>
      <c r="B3060" s="43"/>
      <c r="C3060" s="43"/>
      <c r="D3060" s="43"/>
      <c r="E3060" s="256" t="str">
        <f>CONCATENATE("(",$D3031," vs ",$I3031,")")</f>
        <v>(D vs G)</v>
      </c>
      <c r="F3060" s="256"/>
      <c r="G3060" s="43"/>
      <c r="H3060" s="43"/>
      <c r="I3060" s="43"/>
      <c r="J3060" s="43"/>
    </row>
    <row r="3061" spans="1:10" ht="15.75">
      <c r="A3061" s="42" t="s">
        <v>1223</v>
      </c>
      <c r="B3061" s="43"/>
      <c r="C3061" s="43"/>
      <c r="D3061" s="43"/>
      <c r="E3061" s="43"/>
      <c r="F3061" s="43"/>
      <c r="G3061" s="43"/>
      <c r="H3061" s="43"/>
      <c r="I3061" s="43"/>
      <c r="J3061" s="96" t="s">
        <v>4309</v>
      </c>
    </row>
    <row r="3062" spans="1:10" ht="12.75" customHeight="1">
      <c r="A3062" s="42"/>
      <c r="B3062" s="43"/>
      <c r="C3062" s="43"/>
      <c r="D3062" s="43"/>
      <c r="E3062" s="43"/>
      <c r="F3062" s="43"/>
      <c r="G3062" s="43" t="str">
        <f ca="1">Team_Matches!$J$6</f>
        <v>[NCTTA Teams Template (v2.06).xlsx]</v>
      </c>
      <c r="H3062" s="43"/>
      <c r="I3062" s="43"/>
      <c r="J3062" s="160"/>
    </row>
    <row r="3063" spans="1:10" ht="12.75" customHeight="1">
      <c r="A3063" s="42"/>
      <c r="B3063" s="43"/>
      <c r="C3063" s="43"/>
      <c r="D3063" s="43"/>
      <c r="E3063" s="43"/>
      <c r="F3063" s="43"/>
      <c r="G3063" s="247" t="str">
        <f>Team_Matches!$J2302</f>
        <v/>
      </c>
      <c r="H3063" s="247"/>
      <c r="I3063" s="161" t="str">
        <f>Team_Matches!$M2302</f>
        <v/>
      </c>
      <c r="J3063" s="161"/>
    </row>
    <row r="3064" spans="1:10" ht="15.75">
      <c r="A3064" s="42"/>
      <c r="B3064" s="43"/>
      <c r="C3064" s="43"/>
      <c r="D3064" s="43"/>
      <c r="E3064" s="43"/>
      <c r="F3064" s="43"/>
      <c r="G3064" s="43"/>
      <c r="H3064" s="43"/>
      <c r="I3064" s="43"/>
      <c r="J3064" s="43"/>
    </row>
    <row r="3065" spans="1:10">
      <c r="A3065" s="43"/>
      <c r="B3065" s="43"/>
      <c r="C3065" s="9" t="s">
        <v>1228</v>
      </c>
      <c r="D3065" s="52" t="str">
        <f>Team_Matches!$B2304</f>
        <v>D</v>
      </c>
      <c r="E3065" s="43"/>
      <c r="F3065" s="97" t="str">
        <f>CONCATENATE($D3065,"-",$I3065)</f>
        <v>D-H</v>
      </c>
      <c r="G3065" s="43"/>
      <c r="H3065" s="9" t="s">
        <v>1228</v>
      </c>
      <c r="I3065" s="52" t="str">
        <f>Team_Matches!$K2304</f>
        <v>H</v>
      </c>
      <c r="J3065" s="43"/>
    </row>
    <row r="3066" spans="1:10" ht="25.5" customHeight="1">
      <c r="A3066" s="44"/>
      <c r="B3066" s="248" t="str">
        <f>IF(VLOOKUP($D3065,Draw!$A$4:$B$27,2)&lt;&gt;0,VLOOKUP($D3065,Draw!$A$4:$B$27,2),"")</f>
        <v/>
      </c>
      <c r="C3066" s="248"/>
      <c r="D3066" s="248"/>
      <c r="E3066" s="249"/>
      <c r="F3066" s="45"/>
      <c r="G3066" s="252" t="str">
        <f>IF(VLOOKUP($I3065,Draw!$A$4:$B$27,2)&lt;&gt;0,VLOOKUP($I3065,Draw!$A$4:$B$27,2),"")</f>
        <v/>
      </c>
      <c r="H3066" s="252"/>
      <c r="I3066" s="252"/>
      <c r="J3066" s="253"/>
    </row>
    <row r="3067" spans="1:10" ht="25.5" customHeight="1"/>
    <row r="3068" spans="1:10" ht="25.5" customHeight="1"/>
    <row r="3069" spans="1:10" ht="24" customHeight="1">
      <c r="A3069" s="48" t="s">
        <v>1246</v>
      </c>
      <c r="B3069" s="43"/>
      <c r="C3069" s="43"/>
      <c r="D3069" s="43"/>
      <c r="E3069" s="43"/>
      <c r="F3069" s="43"/>
      <c r="G3069" s="43"/>
      <c r="H3069" s="43"/>
      <c r="I3069" s="43"/>
      <c r="J3069" s="43"/>
    </row>
    <row r="3070" spans="1:10" ht="24" customHeight="1">
      <c r="A3070" s="48"/>
      <c r="B3070" s="43"/>
      <c r="C3070" s="43"/>
      <c r="D3070" s="43"/>
      <c r="E3070" s="43"/>
      <c r="F3070" s="43"/>
      <c r="G3070" s="43"/>
      <c r="H3070" s="43"/>
      <c r="I3070" s="43"/>
      <c r="J3070" s="43"/>
    </row>
    <row r="3071" spans="1:10">
      <c r="A3071" s="49" t="s">
        <v>1224</v>
      </c>
      <c r="B3071" s="46"/>
      <c r="C3071" s="46"/>
      <c r="D3071" s="46"/>
      <c r="E3071" s="46"/>
      <c r="F3071" s="46"/>
      <c r="G3071" s="260" t="s">
        <v>10336</v>
      </c>
      <c r="H3071" s="260"/>
      <c r="I3071" s="260"/>
      <c r="J3071" s="260"/>
    </row>
    <row r="3072" spans="1:10" ht="24" customHeight="1">
      <c r="A3072" s="50" t="str">
        <f>CONCATENATE($D3065,"1")</f>
        <v>D1</v>
      </c>
      <c r="B3072" s="255" t="str">
        <f>IF(VLOOKUP($A3072,Players!$A$2:$C$132,3)&lt;&gt;0,VLOOKUP($A3072,Players!$A$2:$C$132,3),"")</f>
        <v/>
      </c>
      <c r="C3072" s="255"/>
      <c r="D3072" s="255"/>
      <c r="E3072" s="255"/>
      <c r="F3072" s="255"/>
      <c r="G3072" s="254" t="str">
        <f>IF(VLOOKUP($I3065&amp;RIGHT($A3072,1),Players!$A$2:$D$132,3)&lt;&gt;0,VLOOKUP($I3065&amp;RIGHT($A3072,1),Players!$A$2:$D$132,3),"")</f>
        <v/>
      </c>
      <c r="H3072" s="254"/>
      <c r="I3072" s="254"/>
      <c r="J3072" s="210" t="str">
        <f>IF(VLOOKUP($I3065&amp;RIGHT($A3072,1),Players!$A$2:$D$132,3)&lt;&gt;0,"("&amp;VLOOKUP($I3065&amp;RIGHT($A3072,1),Players!$A$2:$D$132,4)&amp;")","")</f>
        <v/>
      </c>
    </row>
    <row r="3073" spans="1:10" ht="25.5" customHeight="1">
      <c r="A3073" s="50" t="str">
        <f>CONCATENATE($D3065,"2")</f>
        <v>D2</v>
      </c>
      <c r="B3073" s="255" t="str">
        <f>IF(VLOOKUP($A3073,Players!$A$2:$C$132,3)&lt;&gt;0,VLOOKUP($A3073,Players!$A$2:$C$132,3),"")</f>
        <v/>
      </c>
      <c r="C3073" s="255"/>
      <c r="D3073" s="255"/>
      <c r="E3073" s="255"/>
      <c r="F3073" s="255"/>
      <c r="G3073" s="254" t="str">
        <f>IF(VLOOKUP($I3065&amp;RIGHT($A3073,1),Players!$A$2:$D$132,3)&lt;&gt;0,VLOOKUP($I3065&amp;RIGHT($A3073,1),Players!$A$2:$D$132,3),"")</f>
        <v/>
      </c>
      <c r="H3073" s="254"/>
      <c r="I3073" s="254"/>
      <c r="J3073" s="210" t="str">
        <f>IF(VLOOKUP($I3065&amp;RIGHT($A3073,1),Players!$A$2:$D$132,3)&lt;&gt;0,"("&amp;VLOOKUP($I3065&amp;RIGHT($A3073,1),Players!$A$2:$D$132,4)&amp;")","")</f>
        <v/>
      </c>
    </row>
    <row r="3074" spans="1:10" ht="25.5" customHeight="1">
      <c r="A3074" s="50" t="str">
        <f>CONCATENATE($D3065,"3")</f>
        <v>D3</v>
      </c>
      <c r="B3074" s="255" t="str">
        <f>IF(VLOOKUP($A3074,Players!$A$2:$C$132,3)&lt;&gt;0,VLOOKUP($A3074,Players!$A$2:$C$132,3),"")</f>
        <v/>
      </c>
      <c r="C3074" s="255"/>
      <c r="D3074" s="255"/>
      <c r="E3074" s="255"/>
      <c r="F3074" s="255"/>
      <c r="G3074" s="254" t="str">
        <f>IF(VLOOKUP($I3065&amp;RIGHT($A3074,1),Players!$A$2:$D$132,3)&lt;&gt;0,VLOOKUP($I3065&amp;RIGHT($A3074,1),Players!$A$2:$D$132,3),"")</f>
        <v/>
      </c>
      <c r="H3074" s="254"/>
      <c r="I3074" s="254"/>
      <c r="J3074" s="210" t="str">
        <f>IF(VLOOKUP($I3065&amp;RIGHT($A3074,1),Players!$A$2:$D$132,3)&lt;&gt;0,"("&amp;VLOOKUP($I3065&amp;RIGHT($A3074,1),Players!$A$2:$D$132,4)&amp;")","")</f>
        <v/>
      </c>
    </row>
    <row r="3075" spans="1:10" ht="25.5" customHeight="1">
      <c r="A3075" s="50" t="str">
        <f>CONCATENATE($D3065,"4")</f>
        <v>D4</v>
      </c>
      <c r="B3075" s="255" t="str">
        <f>IF(VLOOKUP($A3075,Players!$A$2:$C$132,3)&lt;&gt;0,VLOOKUP($A3075,Players!$A$2:$C$132,3),"")</f>
        <v/>
      </c>
      <c r="C3075" s="255"/>
      <c r="D3075" s="255"/>
      <c r="E3075" s="255"/>
      <c r="F3075" s="255"/>
      <c r="G3075" s="254" t="str">
        <f>IF(VLOOKUP($I3065&amp;RIGHT($A3075,1),Players!$A$2:$D$132,3)&lt;&gt;0,VLOOKUP($I3065&amp;RIGHT($A3075,1),Players!$A$2:$D$132,3),"")</f>
        <v/>
      </c>
      <c r="H3075" s="254"/>
      <c r="I3075" s="254"/>
      <c r="J3075" s="210" t="str">
        <f>IF(VLOOKUP($I3065&amp;RIGHT($A3075,1),Players!$A$2:$D$132,3)&lt;&gt;0,"("&amp;VLOOKUP($I3065&amp;RIGHT($A3075,1),Players!$A$2:$D$132,4)&amp;")","")</f>
        <v/>
      </c>
    </row>
    <row r="3076" spans="1:10" ht="25.5" customHeight="1">
      <c r="A3076" s="50" t="str">
        <f>CONCATENATE($D3065,"5")</f>
        <v>D5</v>
      </c>
      <c r="B3076" s="255" t="str">
        <f>IF(VLOOKUP($A3076,Players!$A$2:$C$132,3)&lt;&gt;0,VLOOKUP($A3076,Players!$A$2:$C$132,3),"")</f>
        <v/>
      </c>
      <c r="C3076" s="255"/>
      <c r="D3076" s="255"/>
      <c r="E3076" s="255"/>
      <c r="F3076" s="255"/>
      <c r="G3076" s="254" t="str">
        <f>IF(VLOOKUP($I3065&amp;RIGHT($A3076,1),Players!$A$2:$D$132,3)&lt;&gt;0,VLOOKUP($I3065&amp;RIGHT($A3076,1),Players!$A$2:$D$132,3),"")</f>
        <v/>
      </c>
      <c r="H3076" s="254"/>
      <c r="I3076" s="254"/>
      <c r="J3076" s="210" t="str">
        <f>IF(VLOOKUP($I3065&amp;RIGHT($A3076,1),Players!$A$2:$D$132,3)&lt;&gt;0,"("&amp;VLOOKUP($I3065&amp;RIGHT($A3076,1),Players!$A$2:$D$132,4)&amp;")","")</f>
        <v/>
      </c>
    </row>
    <row r="3077" spans="1:10" ht="25.5" customHeight="1">
      <c r="A3077" s="50" t="str">
        <f>CONCATENATE($D3065,"6")</f>
        <v>D6</v>
      </c>
      <c r="B3077" s="255" t="str">
        <f>IF(VLOOKUP($A3077,Players!$A$2:$C$132,3)&lt;&gt;0,VLOOKUP($A3077,Players!$A$2:$C$132,3),"")</f>
        <v/>
      </c>
      <c r="C3077" s="255"/>
      <c r="D3077" s="255"/>
      <c r="E3077" s="255"/>
      <c r="F3077" s="255"/>
      <c r="G3077" s="254" t="str">
        <f>IF(VLOOKUP($I3065&amp;RIGHT($A3077,1),Players!$A$2:$D$132,3)&lt;&gt;0,VLOOKUP($I3065&amp;RIGHT($A3077,1),Players!$A$2:$D$132,3),"")</f>
        <v/>
      </c>
      <c r="H3077" s="254"/>
      <c r="I3077" s="254"/>
      <c r="J3077" s="210" t="str">
        <f>IF(VLOOKUP($I3065&amp;RIGHT($A3077,1),Players!$A$2:$D$132,3)&lt;&gt;0,"("&amp;VLOOKUP($I3065&amp;RIGHT($A3077,1),Players!$A$2:$D$132,4)&amp;")","")</f>
        <v/>
      </c>
    </row>
    <row r="3078" spans="1:10" ht="25.5" customHeight="1">
      <c r="A3078" s="50" t="str">
        <f>CONCATENATE($D3065,"7")</f>
        <v>D7</v>
      </c>
      <c r="B3078" s="255" t="str">
        <f>IF(VLOOKUP($A3078,Players!$A$2:$C$132,3)&lt;&gt;0,VLOOKUP($A3078,Players!$A$2:$C$132,3),"")</f>
        <v/>
      </c>
      <c r="C3078" s="255"/>
      <c r="D3078" s="255"/>
      <c r="E3078" s="255"/>
      <c r="F3078" s="255"/>
      <c r="G3078" s="254" t="str">
        <f>IF(VLOOKUP($I3065&amp;RIGHT($A3078,1),Players!$A$2:$D$132,3)&lt;&gt;0,VLOOKUP($I3065&amp;RIGHT($A3078,1),Players!$A$2:$D$132,3),"")</f>
        <v/>
      </c>
      <c r="H3078" s="254"/>
      <c r="I3078" s="254"/>
      <c r="J3078" s="210" t="str">
        <f>IF(VLOOKUP($I3065&amp;RIGHT($A3078,1),Players!$A$2:$D$132,3)&lt;&gt;0,"("&amp;VLOOKUP($I3065&amp;RIGHT($A3078,1),Players!$A$2:$D$132,4)&amp;")","")</f>
        <v/>
      </c>
    </row>
    <row r="3079" spans="1:10" ht="25.5" customHeight="1">
      <c r="A3079" s="50" t="str">
        <f>CONCATENATE($D3065,"8")</f>
        <v>D8</v>
      </c>
      <c r="B3079" s="255" t="str">
        <f>IF(VLOOKUP($A3079,Players!$A$2:$C$132,3)&lt;&gt;0,VLOOKUP($A3079,Players!$A$2:$C$132,3),"")</f>
        <v/>
      </c>
      <c r="C3079" s="255"/>
      <c r="D3079" s="255"/>
      <c r="E3079" s="255"/>
      <c r="F3079" s="255"/>
      <c r="G3079" s="254" t="str">
        <f>IF(VLOOKUP($I3065&amp;RIGHT($A3079,1),Players!$A$2:$D$132,3)&lt;&gt;0,VLOOKUP($I3065&amp;RIGHT($A3079,1),Players!$A$2:$D$132,3),"")</f>
        <v/>
      </c>
      <c r="H3079" s="254"/>
      <c r="I3079" s="254"/>
      <c r="J3079" s="210" t="str">
        <f>IF(VLOOKUP($I3065&amp;RIGHT($A3079,1),Players!$A$2:$D$132,3)&lt;&gt;0,"("&amp;VLOOKUP($I3065&amp;RIGHT($A3079,1),Players!$A$2:$D$132,4)&amp;")","")</f>
        <v/>
      </c>
    </row>
    <row r="3080" spans="1:10" ht="25.5" customHeight="1">
      <c r="A3080" s="50"/>
      <c r="B3080" s="26"/>
      <c r="C3080" s="26"/>
      <c r="D3080" s="26"/>
      <c r="E3080" s="26"/>
      <c r="F3080" s="27"/>
      <c r="G3080" s="43"/>
      <c r="H3080" s="43"/>
      <c r="I3080" s="43"/>
      <c r="J3080" s="43"/>
    </row>
    <row r="3081" spans="1:10">
      <c r="A3081" s="49" t="s">
        <v>1225</v>
      </c>
      <c r="B3081" s="46"/>
      <c r="C3081" s="46"/>
      <c r="D3081" s="46"/>
      <c r="E3081" s="46"/>
      <c r="F3081" s="46"/>
      <c r="G3081" s="43"/>
      <c r="H3081" s="43"/>
      <c r="I3081" s="43"/>
      <c r="J3081" s="43"/>
    </row>
    <row r="3082" spans="1:10">
      <c r="A3082" s="46" t="s">
        <v>1247</v>
      </c>
      <c r="B3082" s="46"/>
      <c r="C3082" s="46"/>
      <c r="D3082" s="46"/>
      <c r="E3082" s="46"/>
      <c r="F3082" s="46"/>
      <c r="G3082" s="43"/>
      <c r="H3082" s="43"/>
      <c r="I3082" s="43"/>
      <c r="J3082" s="43"/>
    </row>
    <row r="3083" spans="1:10">
      <c r="A3083" s="46" t="s">
        <v>1248</v>
      </c>
      <c r="B3083" s="46"/>
      <c r="C3083" s="46"/>
      <c r="D3083" s="46"/>
      <c r="E3083" s="46"/>
      <c r="F3083" s="46"/>
      <c r="G3083" s="43"/>
      <c r="H3083" s="43"/>
      <c r="I3083" s="43"/>
      <c r="J3083" s="43"/>
    </row>
    <row r="3084" spans="1:10" ht="13.5" thickBot="1">
      <c r="A3084" s="46"/>
      <c r="B3084" s="46"/>
      <c r="C3084" s="46"/>
      <c r="D3084" s="46"/>
      <c r="E3084" s="46"/>
      <c r="F3084" s="46"/>
      <c r="G3084" s="43"/>
      <c r="H3084" s="43"/>
      <c r="I3084" s="43"/>
      <c r="J3084" s="43"/>
    </row>
    <row r="3085" spans="1:10" ht="25.5" customHeight="1" thickBot="1">
      <c r="A3085" s="50"/>
      <c r="B3085" s="257"/>
      <c r="C3085" s="258"/>
      <c r="D3085" s="258"/>
      <c r="E3085" s="258"/>
      <c r="F3085" s="259"/>
      <c r="G3085" s="43"/>
      <c r="H3085" s="43"/>
      <c r="I3085" s="43"/>
      <c r="J3085" s="43"/>
    </row>
    <row r="3086" spans="1:10">
      <c r="A3086" s="43"/>
      <c r="B3086" s="43"/>
      <c r="C3086" s="43"/>
      <c r="D3086" s="43"/>
      <c r="E3086" s="43"/>
      <c r="F3086" s="43"/>
      <c r="G3086" s="43"/>
      <c r="H3086" s="43"/>
      <c r="I3086" s="43"/>
      <c r="J3086" s="43"/>
    </row>
    <row r="3087" spans="1:10">
      <c r="A3087" s="43"/>
      <c r="B3087" s="43"/>
      <c r="C3087" s="43"/>
      <c r="D3087" s="43"/>
      <c r="E3087" s="43"/>
      <c r="F3087" s="43"/>
      <c r="G3087" s="43"/>
      <c r="H3087" s="43"/>
      <c r="I3087" s="43"/>
      <c r="J3087" s="43"/>
    </row>
    <row r="3088" spans="1:10">
      <c r="A3088" s="43"/>
      <c r="B3088" s="43"/>
      <c r="C3088" s="43"/>
      <c r="D3088" s="43"/>
      <c r="E3088" s="43"/>
      <c r="F3088" s="43"/>
      <c r="G3088" s="43"/>
      <c r="H3088" s="43"/>
      <c r="I3088" s="43"/>
      <c r="J3088" s="43"/>
    </row>
    <row r="3089" spans="1:10">
      <c r="A3089" s="43"/>
      <c r="B3089" s="43"/>
      <c r="C3089" s="43"/>
      <c r="D3089" s="43"/>
      <c r="E3089" s="43"/>
      <c r="F3089" s="43"/>
      <c r="G3089" s="43"/>
      <c r="H3089" s="43"/>
      <c r="I3089" s="43"/>
      <c r="J3089" s="43"/>
    </row>
    <row r="3090" spans="1:10">
      <c r="A3090" s="43"/>
      <c r="B3090" s="43"/>
      <c r="C3090" s="43"/>
      <c r="D3090" s="43"/>
      <c r="E3090" s="43"/>
      <c r="F3090" s="43"/>
      <c r="G3090" s="43"/>
      <c r="H3090" s="43"/>
      <c r="I3090" s="43"/>
      <c r="J3090" s="43"/>
    </row>
    <row r="3091" spans="1:10" ht="25.5" customHeight="1">
      <c r="A3091" s="47"/>
      <c r="B3091" s="47"/>
      <c r="C3091" s="47"/>
      <c r="D3091" s="47"/>
      <c r="E3091" s="47"/>
      <c r="F3091" s="43"/>
      <c r="G3091" s="51"/>
      <c r="H3091" s="250" t="s">
        <v>1227</v>
      </c>
      <c r="I3091" s="251"/>
      <c r="J3091" s="43"/>
    </row>
    <row r="3092" spans="1:10">
      <c r="A3092" s="43" t="s">
        <v>1226</v>
      </c>
      <c r="B3092" s="43"/>
      <c r="C3092" s="43"/>
      <c r="D3092" s="43"/>
      <c r="E3092" s="43"/>
      <c r="F3092" s="43"/>
      <c r="G3092" s="43"/>
      <c r="H3092" s="43"/>
      <c r="I3092" s="43"/>
      <c r="J3092" s="43"/>
    </row>
    <row r="3093" spans="1:10">
      <c r="A3093" s="43"/>
      <c r="B3093" s="43"/>
      <c r="C3093" s="43"/>
      <c r="D3093" s="43"/>
      <c r="E3093" s="43"/>
      <c r="F3093" s="43"/>
      <c r="G3093" s="43"/>
      <c r="H3093" s="43"/>
      <c r="I3093" s="43"/>
      <c r="J3093" s="43"/>
    </row>
    <row r="3094" spans="1:10">
      <c r="A3094" s="43"/>
      <c r="B3094" s="43"/>
      <c r="C3094" s="43"/>
      <c r="D3094" s="43"/>
      <c r="E3094" s="256" t="str">
        <f>CONCATENATE("(",$D3065," vs ",$I3065,")")</f>
        <v>(D vs H)</v>
      </c>
      <c r="F3094" s="256"/>
      <c r="G3094" s="43"/>
      <c r="H3094" s="43"/>
      <c r="I3094" s="43"/>
      <c r="J3094" s="43"/>
    </row>
    <row r="3095" spans="1:10" ht="15.75">
      <c r="A3095" s="42" t="s">
        <v>1223</v>
      </c>
      <c r="B3095" s="43"/>
      <c r="C3095" s="43"/>
      <c r="D3095" s="43"/>
      <c r="E3095" s="43"/>
      <c r="F3095" s="43"/>
      <c r="G3095" s="43"/>
      <c r="H3095" s="43"/>
      <c r="I3095" s="43"/>
      <c r="J3095" s="96" t="s">
        <v>4310</v>
      </c>
    </row>
    <row r="3096" spans="1:10" ht="12.75" customHeight="1">
      <c r="A3096" s="42"/>
      <c r="B3096" s="43"/>
      <c r="C3096" s="43"/>
      <c r="D3096" s="43"/>
      <c r="E3096" s="43"/>
      <c r="F3096" s="43"/>
      <c r="G3096" s="43" t="str">
        <f ca="1">Team_Matches!$J$6</f>
        <v>[NCTTA Teams Template (v2.06).xlsx]</v>
      </c>
      <c r="H3096" s="43"/>
      <c r="I3096" s="43"/>
      <c r="J3096" s="160"/>
    </row>
    <row r="3097" spans="1:10" ht="12.75" customHeight="1">
      <c r="A3097" s="42"/>
      <c r="B3097" s="43"/>
      <c r="C3097" s="43"/>
      <c r="D3097" s="43"/>
      <c r="E3097" s="43"/>
      <c r="F3097" s="43"/>
      <c r="G3097" s="247" t="str">
        <f>Team_Matches!$J2302</f>
        <v/>
      </c>
      <c r="H3097" s="247"/>
      <c r="I3097" s="161" t="str">
        <f>Team_Matches!$M2302</f>
        <v/>
      </c>
      <c r="J3097" s="161"/>
    </row>
    <row r="3098" spans="1:10" ht="15.75">
      <c r="A3098" s="42"/>
      <c r="B3098" s="43"/>
      <c r="C3098" s="43"/>
      <c r="D3098" s="43"/>
      <c r="E3098" s="43"/>
      <c r="F3098" s="43"/>
      <c r="G3098" s="43"/>
      <c r="H3098" s="43"/>
      <c r="I3098" s="43"/>
      <c r="J3098" s="43"/>
    </row>
    <row r="3099" spans="1:10">
      <c r="A3099" s="43"/>
      <c r="B3099" s="43"/>
      <c r="C3099" s="9" t="s">
        <v>1228</v>
      </c>
      <c r="D3099" s="52" t="str">
        <f>Team_Matches!$B2304</f>
        <v>D</v>
      </c>
      <c r="E3099" s="43"/>
      <c r="F3099" s="97" t="str">
        <f>CONCATENATE($D3099,"-",$I3099)</f>
        <v>D-H</v>
      </c>
      <c r="G3099" s="43"/>
      <c r="H3099" s="9" t="s">
        <v>1228</v>
      </c>
      <c r="I3099" s="52" t="str">
        <f>Team_Matches!$K2304</f>
        <v>H</v>
      </c>
      <c r="J3099" s="43"/>
    </row>
    <row r="3100" spans="1:10" ht="25.5" customHeight="1">
      <c r="A3100" s="44"/>
      <c r="B3100" s="252" t="str">
        <f>IF(VLOOKUP($D3099,Draw!$A$4:$B$27,2)&lt;&gt;0,VLOOKUP($D3099,Draw!$A$4:$B$27,2),"")</f>
        <v/>
      </c>
      <c r="C3100" s="252"/>
      <c r="D3100" s="252"/>
      <c r="E3100" s="253"/>
      <c r="F3100" s="45"/>
      <c r="G3100" s="248" t="str">
        <f>IF(VLOOKUP($I3099,Draw!$A$4:$B$27,2)&lt;&gt;0,VLOOKUP($I3099,Draw!$A$4:$B$27,2),"")</f>
        <v/>
      </c>
      <c r="H3100" s="248"/>
      <c r="I3100" s="248"/>
      <c r="J3100" s="249"/>
    </row>
    <row r="3101" spans="1:10" ht="25.5" customHeight="1"/>
    <row r="3102" spans="1:10" ht="25.5" customHeight="1"/>
    <row r="3103" spans="1:10" ht="24" customHeight="1">
      <c r="A3103" s="48" t="s">
        <v>1246</v>
      </c>
      <c r="B3103" s="43"/>
      <c r="C3103" s="43"/>
      <c r="D3103" s="43"/>
      <c r="E3103" s="43"/>
      <c r="F3103" s="43"/>
      <c r="G3103" s="43"/>
      <c r="H3103" s="43"/>
      <c r="I3103" s="43"/>
      <c r="J3103" s="43"/>
    </row>
    <row r="3104" spans="1:10" ht="24" customHeight="1">
      <c r="A3104" s="48"/>
      <c r="B3104" s="43"/>
      <c r="C3104" s="43"/>
      <c r="D3104" s="43"/>
      <c r="E3104" s="43"/>
      <c r="F3104" s="43"/>
      <c r="G3104" s="43"/>
      <c r="H3104" s="43"/>
      <c r="I3104" s="43"/>
      <c r="J3104" s="43"/>
    </row>
    <row r="3105" spans="1:10">
      <c r="A3105" s="49" t="s">
        <v>1224</v>
      </c>
      <c r="B3105" s="46"/>
      <c r="C3105" s="46"/>
      <c r="D3105" s="46"/>
      <c r="E3105" s="46"/>
      <c r="F3105" s="46"/>
      <c r="G3105" s="260" t="s">
        <v>10336</v>
      </c>
      <c r="H3105" s="260"/>
      <c r="I3105" s="260"/>
      <c r="J3105" s="260"/>
    </row>
    <row r="3106" spans="1:10" ht="24" customHeight="1">
      <c r="A3106" s="50" t="str">
        <f>CONCATENATE($I3099,"1")</f>
        <v>H1</v>
      </c>
      <c r="B3106" s="255" t="str">
        <f>IF(VLOOKUP($A3106,Players!$A$2:$C$132,3)&lt;&gt;0,VLOOKUP($A3106,Players!$A$2:$C$132,3),"")</f>
        <v/>
      </c>
      <c r="C3106" s="255"/>
      <c r="D3106" s="255"/>
      <c r="E3106" s="255"/>
      <c r="F3106" s="255"/>
      <c r="G3106" s="254" t="str">
        <f>IF(VLOOKUP($D3099&amp;RIGHT($A3106,1),Players!$A$2:$D$132,3)&lt;&gt;0,VLOOKUP($D3099&amp;RIGHT($A3106,1),Players!$A$2:$D$132,3),"")</f>
        <v/>
      </c>
      <c r="H3106" s="254"/>
      <c r="I3106" s="254"/>
      <c r="J3106" s="210" t="str">
        <f>IF(VLOOKUP($D3099&amp;RIGHT($A3106,1),Players!$A$2:$D$132,3)&lt;&gt;0,"("&amp;VLOOKUP($D3099&amp;RIGHT($A3106,1),Players!$A$2:$D$132,4)&amp;")","")</f>
        <v/>
      </c>
    </row>
    <row r="3107" spans="1:10" ht="25.5" customHeight="1">
      <c r="A3107" s="50" t="str">
        <f>CONCATENATE($I3099,"2")</f>
        <v>H2</v>
      </c>
      <c r="B3107" s="255" t="str">
        <f>IF(VLOOKUP($A3107,Players!$A$2:$C$132,3)&lt;&gt;0,VLOOKUP($A3107,Players!$A$2:$C$132,3),"")</f>
        <v/>
      </c>
      <c r="C3107" s="255"/>
      <c r="D3107" s="255"/>
      <c r="E3107" s="255"/>
      <c r="F3107" s="255"/>
      <c r="G3107" s="254" t="str">
        <f>IF(VLOOKUP($D3099&amp;RIGHT($A3107,1),Players!$A$2:$D$132,3)&lt;&gt;0,VLOOKUP($D3099&amp;RIGHT($A3107,1),Players!$A$2:$D$132,3),"")</f>
        <v/>
      </c>
      <c r="H3107" s="254"/>
      <c r="I3107" s="254"/>
      <c r="J3107" s="210" t="str">
        <f>IF(VLOOKUP($D3099&amp;RIGHT($A3107,1),Players!$A$2:$D$132,3)&lt;&gt;0,"("&amp;VLOOKUP($D3099&amp;RIGHT($A3107,1),Players!$A$2:$D$132,4)&amp;")","")</f>
        <v/>
      </c>
    </row>
    <row r="3108" spans="1:10" ht="25.5" customHeight="1">
      <c r="A3108" s="50" t="str">
        <f>CONCATENATE($I3099,"3")</f>
        <v>H3</v>
      </c>
      <c r="B3108" s="255" t="str">
        <f>IF(VLOOKUP($A3108,Players!$A$2:$C$132,3)&lt;&gt;0,VLOOKUP($A3108,Players!$A$2:$C$132,3),"")</f>
        <v/>
      </c>
      <c r="C3108" s="255"/>
      <c r="D3108" s="255"/>
      <c r="E3108" s="255"/>
      <c r="F3108" s="255"/>
      <c r="G3108" s="254" t="str">
        <f>IF(VLOOKUP($D3099&amp;RIGHT($A3108,1),Players!$A$2:$D$132,3)&lt;&gt;0,VLOOKUP($D3099&amp;RIGHT($A3108,1),Players!$A$2:$D$132,3),"")</f>
        <v/>
      </c>
      <c r="H3108" s="254"/>
      <c r="I3108" s="254"/>
      <c r="J3108" s="210" t="str">
        <f>IF(VLOOKUP($D3099&amp;RIGHT($A3108,1),Players!$A$2:$D$132,3)&lt;&gt;0,"("&amp;VLOOKUP($D3099&amp;RIGHT($A3108,1),Players!$A$2:$D$132,4)&amp;")","")</f>
        <v/>
      </c>
    </row>
    <row r="3109" spans="1:10" ht="25.5" customHeight="1">
      <c r="A3109" s="50" t="str">
        <f>CONCATENATE($I3099,"4")</f>
        <v>H4</v>
      </c>
      <c r="B3109" s="255" t="str">
        <f>IF(VLOOKUP($A3109,Players!$A$2:$C$132,3)&lt;&gt;0,VLOOKUP($A3109,Players!$A$2:$C$132,3),"")</f>
        <v/>
      </c>
      <c r="C3109" s="255"/>
      <c r="D3109" s="255"/>
      <c r="E3109" s="255"/>
      <c r="F3109" s="255"/>
      <c r="G3109" s="254" t="str">
        <f>IF(VLOOKUP($D3099&amp;RIGHT($A3109,1),Players!$A$2:$D$132,3)&lt;&gt;0,VLOOKUP($D3099&amp;RIGHT($A3109,1),Players!$A$2:$D$132,3),"")</f>
        <v/>
      </c>
      <c r="H3109" s="254"/>
      <c r="I3109" s="254"/>
      <c r="J3109" s="210" t="str">
        <f>IF(VLOOKUP($D3099&amp;RIGHT($A3109,1),Players!$A$2:$D$132,3)&lt;&gt;0,"("&amp;VLOOKUP($D3099&amp;RIGHT($A3109,1),Players!$A$2:$D$132,4)&amp;")","")</f>
        <v/>
      </c>
    </row>
    <row r="3110" spans="1:10" ht="25.5" customHeight="1">
      <c r="A3110" s="50" t="str">
        <f>CONCATENATE($I3099,"5")</f>
        <v>H5</v>
      </c>
      <c r="B3110" s="255" t="str">
        <f>IF(VLOOKUP($A3110,Players!$A$2:$C$132,3)&lt;&gt;0,VLOOKUP($A3110,Players!$A$2:$C$132,3),"")</f>
        <v/>
      </c>
      <c r="C3110" s="255"/>
      <c r="D3110" s="255"/>
      <c r="E3110" s="255"/>
      <c r="F3110" s="255"/>
      <c r="G3110" s="254" t="str">
        <f>IF(VLOOKUP($D3099&amp;RIGHT($A3110,1),Players!$A$2:$D$132,3)&lt;&gt;0,VLOOKUP($D3099&amp;RIGHT($A3110,1),Players!$A$2:$D$132,3),"")</f>
        <v/>
      </c>
      <c r="H3110" s="254"/>
      <c r="I3110" s="254"/>
      <c r="J3110" s="210" t="str">
        <f>IF(VLOOKUP($D3099&amp;RIGHT($A3110,1),Players!$A$2:$D$132,3)&lt;&gt;0,"("&amp;VLOOKUP($D3099&amp;RIGHT($A3110,1),Players!$A$2:$D$132,4)&amp;")","")</f>
        <v/>
      </c>
    </row>
    <row r="3111" spans="1:10" ht="25.5" customHeight="1">
      <c r="A3111" s="50" t="str">
        <f>CONCATENATE($I3099,"6")</f>
        <v>H6</v>
      </c>
      <c r="B3111" s="255" t="str">
        <f>IF(VLOOKUP($A3111,Players!$A$2:$C$132,3)&lt;&gt;0,VLOOKUP($A3111,Players!$A$2:$C$132,3),"")</f>
        <v/>
      </c>
      <c r="C3111" s="255"/>
      <c r="D3111" s="255"/>
      <c r="E3111" s="255"/>
      <c r="F3111" s="255"/>
      <c r="G3111" s="254" t="str">
        <f>IF(VLOOKUP($D3099&amp;RIGHT($A3111,1),Players!$A$2:$D$132,3)&lt;&gt;0,VLOOKUP($D3099&amp;RIGHT($A3111,1),Players!$A$2:$D$132,3),"")</f>
        <v/>
      </c>
      <c r="H3111" s="254"/>
      <c r="I3111" s="254"/>
      <c r="J3111" s="210" t="str">
        <f>IF(VLOOKUP($D3099&amp;RIGHT($A3111,1),Players!$A$2:$D$132,3)&lt;&gt;0,"("&amp;VLOOKUP($D3099&amp;RIGHT($A3111,1),Players!$A$2:$D$132,4)&amp;")","")</f>
        <v/>
      </c>
    </row>
    <row r="3112" spans="1:10" ht="25.5" customHeight="1">
      <c r="A3112" s="50" t="str">
        <f>CONCATENATE($I3099,"7")</f>
        <v>H7</v>
      </c>
      <c r="B3112" s="255" t="str">
        <f>IF(VLOOKUP($A3112,Players!$A$2:$C$132,3)&lt;&gt;0,VLOOKUP($A3112,Players!$A$2:$C$132,3),"")</f>
        <v/>
      </c>
      <c r="C3112" s="255"/>
      <c r="D3112" s="255"/>
      <c r="E3112" s="255"/>
      <c r="F3112" s="255"/>
      <c r="G3112" s="254" t="str">
        <f>IF(VLOOKUP($D3099&amp;RIGHT($A3112,1),Players!$A$2:$D$132,3)&lt;&gt;0,VLOOKUP($D3099&amp;RIGHT($A3112,1),Players!$A$2:$D$132,3),"")</f>
        <v/>
      </c>
      <c r="H3112" s="254"/>
      <c r="I3112" s="254"/>
      <c r="J3112" s="210" t="str">
        <f>IF(VLOOKUP($D3099&amp;RIGHT($A3112,1),Players!$A$2:$D$132,3)&lt;&gt;0,"("&amp;VLOOKUP($D3099&amp;RIGHT($A3112,1),Players!$A$2:$D$132,4)&amp;")","")</f>
        <v/>
      </c>
    </row>
    <row r="3113" spans="1:10" ht="25.5" customHeight="1">
      <c r="A3113" s="50" t="str">
        <f>CONCATENATE($I3099,"8")</f>
        <v>H8</v>
      </c>
      <c r="B3113" s="255" t="str">
        <f>IF(VLOOKUP($A3113,Players!$A$2:$C$132,3)&lt;&gt;0,VLOOKUP($A3113,Players!$A$2:$C$132,3),"")</f>
        <v/>
      </c>
      <c r="C3113" s="255"/>
      <c r="D3113" s="255"/>
      <c r="E3113" s="255"/>
      <c r="F3113" s="255"/>
      <c r="G3113" s="254" t="str">
        <f>IF(VLOOKUP($D3099&amp;RIGHT($A3113,1),Players!$A$2:$D$132,3)&lt;&gt;0,VLOOKUP($D3099&amp;RIGHT($A3113,1),Players!$A$2:$D$132,3),"")</f>
        <v/>
      </c>
      <c r="H3113" s="254"/>
      <c r="I3113" s="254"/>
      <c r="J3113" s="210" t="str">
        <f>IF(VLOOKUP($D3099&amp;RIGHT($A3113,1),Players!$A$2:$D$132,3)&lt;&gt;0,"("&amp;VLOOKUP($D3099&amp;RIGHT($A3113,1),Players!$A$2:$D$132,4)&amp;")","")</f>
        <v/>
      </c>
    </row>
    <row r="3114" spans="1:10" ht="25.5" customHeight="1">
      <c r="A3114" s="50"/>
      <c r="B3114" s="26"/>
      <c r="C3114" s="26"/>
      <c r="D3114" s="26"/>
      <c r="E3114" s="26"/>
      <c r="F3114" s="27"/>
      <c r="G3114" s="43"/>
      <c r="H3114" s="43"/>
      <c r="I3114" s="43"/>
      <c r="J3114" s="43"/>
    </row>
    <row r="3115" spans="1:10">
      <c r="A3115" s="49" t="s">
        <v>1225</v>
      </c>
      <c r="B3115" s="46"/>
      <c r="C3115" s="46"/>
      <c r="D3115" s="46"/>
      <c r="E3115" s="46"/>
      <c r="F3115" s="46"/>
      <c r="G3115" s="43"/>
      <c r="H3115" s="43"/>
      <c r="I3115" s="43"/>
      <c r="J3115" s="43"/>
    </row>
    <row r="3116" spans="1:10">
      <c r="A3116" s="46" t="s">
        <v>1247</v>
      </c>
      <c r="B3116" s="46"/>
      <c r="C3116" s="46"/>
      <c r="D3116" s="46"/>
      <c r="E3116" s="46"/>
      <c r="F3116" s="46"/>
      <c r="G3116" s="43"/>
      <c r="H3116" s="43"/>
      <c r="I3116" s="43"/>
      <c r="J3116" s="43"/>
    </row>
    <row r="3117" spans="1:10">
      <c r="A3117" s="46" t="s">
        <v>1248</v>
      </c>
      <c r="B3117" s="46"/>
      <c r="C3117" s="46"/>
      <c r="D3117" s="46"/>
      <c r="E3117" s="46"/>
      <c r="F3117" s="46"/>
      <c r="G3117" s="43"/>
      <c r="H3117" s="43"/>
      <c r="I3117" s="43"/>
      <c r="J3117" s="43"/>
    </row>
    <row r="3118" spans="1:10" ht="13.5" thickBot="1">
      <c r="A3118" s="46"/>
      <c r="B3118" s="46"/>
      <c r="C3118" s="46"/>
      <c r="D3118" s="46"/>
      <c r="E3118" s="46"/>
      <c r="F3118" s="46"/>
      <c r="G3118" s="43"/>
      <c r="H3118" s="43"/>
      <c r="I3118" s="43"/>
      <c r="J3118" s="43"/>
    </row>
    <row r="3119" spans="1:10" ht="25.5" customHeight="1" thickBot="1">
      <c r="A3119" s="50"/>
      <c r="B3119" s="257"/>
      <c r="C3119" s="258"/>
      <c r="D3119" s="258"/>
      <c r="E3119" s="258"/>
      <c r="F3119" s="259"/>
      <c r="G3119" s="43"/>
      <c r="H3119" s="43"/>
      <c r="I3119" s="43"/>
      <c r="J3119" s="43"/>
    </row>
    <row r="3120" spans="1:10">
      <c r="A3120" s="43"/>
      <c r="B3120" s="43"/>
      <c r="C3120" s="43"/>
      <c r="D3120" s="43"/>
      <c r="E3120" s="43"/>
      <c r="F3120" s="43"/>
      <c r="G3120" s="43"/>
      <c r="H3120" s="43"/>
      <c r="I3120" s="43"/>
      <c r="J3120" s="43"/>
    </row>
    <row r="3121" spans="1:10">
      <c r="A3121" s="43"/>
      <c r="B3121" s="43"/>
      <c r="C3121" s="43"/>
      <c r="D3121" s="43"/>
      <c r="E3121" s="43"/>
      <c r="F3121" s="43"/>
      <c r="G3121" s="43"/>
      <c r="H3121" s="43"/>
      <c r="I3121" s="43"/>
      <c r="J3121" s="43"/>
    </row>
    <row r="3122" spans="1:10">
      <c r="A3122" s="43"/>
      <c r="B3122" s="43"/>
      <c r="C3122" s="43"/>
      <c r="D3122" s="43"/>
      <c r="E3122" s="43"/>
      <c r="F3122" s="43"/>
      <c r="G3122" s="43"/>
      <c r="H3122" s="43"/>
      <c r="I3122" s="43"/>
      <c r="J3122" s="43"/>
    </row>
    <row r="3123" spans="1:10">
      <c r="A3123" s="43"/>
      <c r="B3123" s="43"/>
      <c r="C3123" s="43"/>
      <c r="D3123" s="43"/>
      <c r="E3123" s="43"/>
      <c r="F3123" s="43"/>
      <c r="G3123" s="43"/>
      <c r="H3123" s="43"/>
      <c r="I3123" s="43"/>
      <c r="J3123" s="43"/>
    </row>
    <row r="3124" spans="1:10">
      <c r="A3124" s="43"/>
      <c r="B3124" s="43"/>
      <c r="C3124" s="43"/>
      <c r="D3124" s="43"/>
      <c r="E3124" s="43"/>
      <c r="F3124" s="43"/>
      <c r="G3124" s="43"/>
      <c r="H3124" s="43"/>
      <c r="I3124" s="43"/>
      <c r="J3124" s="43"/>
    </row>
    <row r="3125" spans="1:10" ht="25.5" customHeight="1">
      <c r="A3125" s="47"/>
      <c r="B3125" s="47"/>
      <c r="C3125" s="47"/>
      <c r="D3125" s="47"/>
      <c r="E3125" s="47"/>
      <c r="F3125" s="43"/>
      <c r="G3125" s="51"/>
      <c r="H3125" s="250" t="s">
        <v>1227</v>
      </c>
      <c r="I3125" s="251"/>
      <c r="J3125" s="43"/>
    </row>
    <row r="3126" spans="1:10">
      <c r="A3126" s="43" t="s">
        <v>1226</v>
      </c>
      <c r="B3126" s="43"/>
      <c r="C3126" s="43"/>
      <c r="D3126" s="43"/>
      <c r="E3126" s="43"/>
      <c r="F3126" s="43"/>
      <c r="G3126" s="43"/>
      <c r="H3126" s="43"/>
      <c r="I3126" s="43"/>
      <c r="J3126" s="43"/>
    </row>
    <row r="3127" spans="1:10">
      <c r="A3127" s="43"/>
      <c r="B3127" s="43"/>
      <c r="C3127" s="43"/>
      <c r="D3127" s="43"/>
      <c r="E3127" s="43"/>
      <c r="F3127" s="43"/>
      <c r="G3127" s="43"/>
      <c r="H3127" s="43"/>
      <c r="I3127" s="43"/>
      <c r="J3127" s="43"/>
    </row>
    <row r="3128" spans="1:10">
      <c r="A3128" s="43"/>
      <c r="B3128" s="43"/>
      <c r="C3128" s="43"/>
      <c r="D3128" s="43"/>
      <c r="E3128" s="256" t="str">
        <f>CONCATENATE("(",$D3099," vs ",$I3099,")")</f>
        <v>(D vs H)</v>
      </c>
      <c r="F3128" s="256"/>
      <c r="G3128" s="43"/>
      <c r="H3128" s="43"/>
      <c r="I3128" s="43"/>
      <c r="J3128" s="43"/>
    </row>
    <row r="3129" spans="1:10" ht="15.75">
      <c r="A3129" s="42" t="s">
        <v>1223</v>
      </c>
      <c r="B3129" s="43"/>
      <c r="C3129" s="43"/>
      <c r="D3129" s="43"/>
      <c r="E3129" s="43"/>
      <c r="F3129" s="43"/>
      <c r="G3129" s="43"/>
      <c r="H3129" s="43"/>
      <c r="I3129" s="43"/>
      <c r="J3129" s="96" t="s">
        <v>4311</v>
      </c>
    </row>
    <row r="3130" spans="1:10" ht="12.75" customHeight="1">
      <c r="A3130" s="42"/>
      <c r="B3130" s="43"/>
      <c r="C3130" s="43"/>
      <c r="D3130" s="43"/>
      <c r="E3130" s="43"/>
      <c r="F3130" s="43"/>
      <c r="G3130" s="43" t="str">
        <f ca="1">Team_Matches!$J$6</f>
        <v>[NCTTA Teams Template (v2.06).xlsx]</v>
      </c>
      <c r="H3130" s="43"/>
      <c r="I3130" s="43"/>
      <c r="J3130" s="160"/>
    </row>
    <row r="3131" spans="1:10" ht="12.75" customHeight="1">
      <c r="A3131" s="42"/>
      <c r="B3131" s="43"/>
      <c r="C3131" s="43"/>
      <c r="D3131" s="43"/>
      <c r="E3131" s="43"/>
      <c r="F3131" s="43"/>
      <c r="G3131" s="247" t="str">
        <f>Team_Matches!$J2353</f>
        <v/>
      </c>
      <c r="H3131" s="247"/>
      <c r="I3131" s="161" t="str">
        <f>Team_Matches!$M2353</f>
        <v/>
      </c>
      <c r="J3131" s="161"/>
    </row>
    <row r="3132" spans="1:10" ht="15.75">
      <c r="A3132" s="42"/>
      <c r="B3132" s="43"/>
      <c r="C3132" s="43"/>
      <c r="D3132" s="43"/>
      <c r="E3132" s="43"/>
      <c r="F3132" s="43"/>
      <c r="G3132" s="43"/>
      <c r="H3132" s="43"/>
      <c r="I3132" s="43"/>
      <c r="J3132" s="43"/>
    </row>
    <row r="3133" spans="1:10">
      <c r="A3133" s="43"/>
      <c r="B3133" s="43"/>
      <c r="C3133" s="9" t="s">
        <v>1228</v>
      </c>
      <c r="D3133" s="52" t="str">
        <f>Team_Matches!$B2355</f>
        <v>D</v>
      </c>
      <c r="E3133" s="43"/>
      <c r="F3133" s="97" t="str">
        <f>CONCATENATE($D3133,"-",$I3133)</f>
        <v>D-I</v>
      </c>
      <c r="G3133" s="43"/>
      <c r="H3133" s="9" t="s">
        <v>1228</v>
      </c>
      <c r="I3133" s="52" t="str">
        <f>Team_Matches!$K2355</f>
        <v>I</v>
      </c>
      <c r="J3133" s="43"/>
    </row>
    <row r="3134" spans="1:10" ht="25.5" customHeight="1">
      <c r="A3134" s="44"/>
      <c r="B3134" s="248" t="str">
        <f>IF(VLOOKUP($D3133,Draw!$A$4:$B$27,2)&lt;&gt;0,VLOOKUP($D3133,Draw!$A$4:$B$27,2),"")</f>
        <v/>
      </c>
      <c r="C3134" s="248"/>
      <c r="D3134" s="248"/>
      <c r="E3134" s="249"/>
      <c r="F3134" s="45"/>
      <c r="G3134" s="252" t="str">
        <f>IF(VLOOKUP($I3133,Draw!$A$4:$B$27,2)&lt;&gt;0,VLOOKUP($I3133,Draw!$A$4:$B$27,2),"")</f>
        <v/>
      </c>
      <c r="H3134" s="252"/>
      <c r="I3134" s="252"/>
      <c r="J3134" s="253"/>
    </row>
    <row r="3135" spans="1:10" ht="25.5" customHeight="1"/>
    <row r="3136" spans="1:10" ht="25.5" customHeight="1"/>
    <row r="3137" spans="1:10" ht="24" customHeight="1">
      <c r="A3137" s="48" t="s">
        <v>1246</v>
      </c>
      <c r="B3137" s="43"/>
      <c r="C3137" s="43"/>
      <c r="D3137" s="43"/>
      <c r="E3137" s="43"/>
      <c r="F3137" s="43"/>
      <c r="G3137" s="43"/>
      <c r="H3137" s="43"/>
      <c r="I3137" s="43"/>
      <c r="J3137" s="43"/>
    </row>
    <row r="3138" spans="1:10" ht="24" customHeight="1">
      <c r="A3138" s="48"/>
      <c r="B3138" s="43"/>
      <c r="C3138" s="43"/>
      <c r="D3138" s="43"/>
      <c r="E3138" s="43"/>
      <c r="F3138" s="43"/>
      <c r="G3138" s="43"/>
      <c r="H3138" s="43"/>
      <c r="I3138" s="43"/>
      <c r="J3138" s="43"/>
    </row>
    <row r="3139" spans="1:10">
      <c r="A3139" s="49" t="s">
        <v>1224</v>
      </c>
      <c r="B3139" s="46"/>
      <c r="C3139" s="46"/>
      <c r="D3139" s="46"/>
      <c r="E3139" s="46"/>
      <c r="F3139" s="46"/>
      <c r="G3139" s="260" t="s">
        <v>10336</v>
      </c>
      <c r="H3139" s="260"/>
      <c r="I3139" s="260"/>
      <c r="J3139" s="260"/>
    </row>
    <row r="3140" spans="1:10" ht="24" customHeight="1">
      <c r="A3140" s="50" t="str">
        <f>CONCATENATE($D3133,"1")</f>
        <v>D1</v>
      </c>
      <c r="B3140" s="255" t="str">
        <f>IF(VLOOKUP($A3140,Players!$A$2:$C$132,3)&lt;&gt;0,VLOOKUP($A3140,Players!$A$2:$C$132,3),"")</f>
        <v/>
      </c>
      <c r="C3140" s="255"/>
      <c r="D3140" s="255"/>
      <c r="E3140" s="255"/>
      <c r="F3140" s="255"/>
      <c r="G3140" s="254" t="str">
        <f>IF(VLOOKUP($I3133&amp;RIGHT($A3140,1),Players!$A$2:$D$132,3)&lt;&gt;0,VLOOKUP($I3133&amp;RIGHT($A3140,1),Players!$A$2:$D$132,3),"")</f>
        <v/>
      </c>
      <c r="H3140" s="254"/>
      <c r="I3140" s="254"/>
      <c r="J3140" s="210" t="str">
        <f>IF(VLOOKUP($I3133&amp;RIGHT($A3140,1),Players!$A$2:$D$132,3)&lt;&gt;0,"("&amp;VLOOKUP($I3133&amp;RIGHT($A3140,1),Players!$A$2:$D$132,4)&amp;")","")</f>
        <v/>
      </c>
    </row>
    <row r="3141" spans="1:10" ht="25.5" customHeight="1">
      <c r="A3141" s="50" t="str">
        <f>CONCATENATE($D3133,"2")</f>
        <v>D2</v>
      </c>
      <c r="B3141" s="255" t="str">
        <f>IF(VLOOKUP($A3141,Players!$A$2:$C$132,3)&lt;&gt;0,VLOOKUP($A3141,Players!$A$2:$C$132,3),"")</f>
        <v/>
      </c>
      <c r="C3141" s="255"/>
      <c r="D3141" s="255"/>
      <c r="E3141" s="255"/>
      <c r="F3141" s="255"/>
      <c r="G3141" s="254" t="str">
        <f>IF(VLOOKUP($I3133&amp;RIGHT($A3141,1),Players!$A$2:$D$132,3)&lt;&gt;0,VLOOKUP($I3133&amp;RIGHT($A3141,1),Players!$A$2:$D$132,3),"")</f>
        <v/>
      </c>
      <c r="H3141" s="254"/>
      <c r="I3141" s="254"/>
      <c r="J3141" s="210" t="str">
        <f>IF(VLOOKUP($I3133&amp;RIGHT($A3141,1),Players!$A$2:$D$132,3)&lt;&gt;0,"("&amp;VLOOKUP($I3133&amp;RIGHT($A3141,1),Players!$A$2:$D$132,4)&amp;")","")</f>
        <v/>
      </c>
    </row>
    <row r="3142" spans="1:10" ht="25.5" customHeight="1">
      <c r="A3142" s="50" t="str">
        <f>CONCATENATE($D3133,"3")</f>
        <v>D3</v>
      </c>
      <c r="B3142" s="255" t="str">
        <f>IF(VLOOKUP($A3142,Players!$A$2:$C$132,3)&lt;&gt;0,VLOOKUP($A3142,Players!$A$2:$C$132,3),"")</f>
        <v/>
      </c>
      <c r="C3142" s="255"/>
      <c r="D3142" s="255"/>
      <c r="E3142" s="255"/>
      <c r="F3142" s="255"/>
      <c r="G3142" s="254" t="str">
        <f>IF(VLOOKUP($I3133&amp;RIGHT($A3142,1),Players!$A$2:$D$132,3)&lt;&gt;0,VLOOKUP($I3133&amp;RIGHT($A3142,1),Players!$A$2:$D$132,3),"")</f>
        <v/>
      </c>
      <c r="H3142" s="254"/>
      <c r="I3142" s="254"/>
      <c r="J3142" s="210" t="str">
        <f>IF(VLOOKUP($I3133&amp;RIGHT($A3142,1),Players!$A$2:$D$132,3)&lt;&gt;0,"("&amp;VLOOKUP($I3133&amp;RIGHT($A3142,1),Players!$A$2:$D$132,4)&amp;")","")</f>
        <v/>
      </c>
    </row>
    <row r="3143" spans="1:10" ht="25.5" customHeight="1">
      <c r="A3143" s="50" t="str">
        <f>CONCATENATE($D3133,"4")</f>
        <v>D4</v>
      </c>
      <c r="B3143" s="255" t="str">
        <f>IF(VLOOKUP($A3143,Players!$A$2:$C$132,3)&lt;&gt;0,VLOOKUP($A3143,Players!$A$2:$C$132,3),"")</f>
        <v/>
      </c>
      <c r="C3143" s="255"/>
      <c r="D3143" s="255"/>
      <c r="E3143" s="255"/>
      <c r="F3143" s="255"/>
      <c r="G3143" s="254" t="str">
        <f>IF(VLOOKUP($I3133&amp;RIGHT($A3143,1),Players!$A$2:$D$132,3)&lt;&gt;0,VLOOKUP($I3133&amp;RIGHT($A3143,1),Players!$A$2:$D$132,3),"")</f>
        <v/>
      </c>
      <c r="H3143" s="254"/>
      <c r="I3143" s="254"/>
      <c r="J3143" s="210" t="str">
        <f>IF(VLOOKUP($I3133&amp;RIGHT($A3143,1),Players!$A$2:$D$132,3)&lt;&gt;0,"("&amp;VLOOKUP($I3133&amp;RIGHT($A3143,1),Players!$A$2:$D$132,4)&amp;")","")</f>
        <v/>
      </c>
    </row>
    <row r="3144" spans="1:10" ht="25.5" customHeight="1">
      <c r="A3144" s="50" t="str">
        <f>CONCATENATE($D3133,"5")</f>
        <v>D5</v>
      </c>
      <c r="B3144" s="255" t="str">
        <f>IF(VLOOKUP($A3144,Players!$A$2:$C$132,3)&lt;&gt;0,VLOOKUP($A3144,Players!$A$2:$C$132,3),"")</f>
        <v/>
      </c>
      <c r="C3144" s="255"/>
      <c r="D3144" s="255"/>
      <c r="E3144" s="255"/>
      <c r="F3144" s="255"/>
      <c r="G3144" s="254" t="str">
        <f>IF(VLOOKUP($I3133&amp;RIGHT($A3144,1),Players!$A$2:$D$132,3)&lt;&gt;0,VLOOKUP($I3133&amp;RIGHT($A3144,1),Players!$A$2:$D$132,3),"")</f>
        <v/>
      </c>
      <c r="H3144" s="254"/>
      <c r="I3144" s="254"/>
      <c r="J3144" s="210" t="str">
        <f>IF(VLOOKUP($I3133&amp;RIGHT($A3144,1),Players!$A$2:$D$132,3)&lt;&gt;0,"("&amp;VLOOKUP($I3133&amp;RIGHT($A3144,1),Players!$A$2:$D$132,4)&amp;")","")</f>
        <v/>
      </c>
    </row>
    <row r="3145" spans="1:10" ht="25.5" customHeight="1">
      <c r="A3145" s="50" t="str">
        <f>CONCATENATE($D3133,"6")</f>
        <v>D6</v>
      </c>
      <c r="B3145" s="255" t="str">
        <f>IF(VLOOKUP($A3145,Players!$A$2:$C$132,3)&lt;&gt;0,VLOOKUP($A3145,Players!$A$2:$C$132,3),"")</f>
        <v/>
      </c>
      <c r="C3145" s="255"/>
      <c r="D3145" s="255"/>
      <c r="E3145" s="255"/>
      <c r="F3145" s="255"/>
      <c r="G3145" s="254" t="str">
        <f>IF(VLOOKUP($I3133&amp;RIGHT($A3145,1),Players!$A$2:$D$132,3)&lt;&gt;0,VLOOKUP($I3133&amp;RIGHT($A3145,1),Players!$A$2:$D$132,3),"")</f>
        <v/>
      </c>
      <c r="H3145" s="254"/>
      <c r="I3145" s="254"/>
      <c r="J3145" s="210" t="str">
        <f>IF(VLOOKUP($I3133&amp;RIGHT($A3145,1),Players!$A$2:$D$132,3)&lt;&gt;0,"("&amp;VLOOKUP($I3133&amp;RIGHT($A3145,1),Players!$A$2:$D$132,4)&amp;")","")</f>
        <v/>
      </c>
    </row>
    <row r="3146" spans="1:10" ht="25.5" customHeight="1">
      <c r="A3146" s="50" t="str">
        <f>CONCATENATE($D3133,"7")</f>
        <v>D7</v>
      </c>
      <c r="B3146" s="255" t="str">
        <f>IF(VLOOKUP($A3146,Players!$A$2:$C$132,3)&lt;&gt;0,VLOOKUP($A3146,Players!$A$2:$C$132,3),"")</f>
        <v/>
      </c>
      <c r="C3146" s="255"/>
      <c r="D3146" s="255"/>
      <c r="E3146" s="255"/>
      <c r="F3146" s="255"/>
      <c r="G3146" s="254" t="str">
        <f>IF(VLOOKUP($I3133&amp;RIGHT($A3146,1),Players!$A$2:$D$132,3)&lt;&gt;0,VLOOKUP($I3133&amp;RIGHT($A3146,1),Players!$A$2:$D$132,3),"")</f>
        <v/>
      </c>
      <c r="H3146" s="254"/>
      <c r="I3146" s="254"/>
      <c r="J3146" s="210" t="str">
        <f>IF(VLOOKUP($I3133&amp;RIGHT($A3146,1),Players!$A$2:$D$132,3)&lt;&gt;0,"("&amp;VLOOKUP($I3133&amp;RIGHT($A3146,1),Players!$A$2:$D$132,4)&amp;")","")</f>
        <v/>
      </c>
    </row>
    <row r="3147" spans="1:10" ht="25.5" customHeight="1">
      <c r="A3147" s="50" t="str">
        <f>CONCATENATE($D3133,"8")</f>
        <v>D8</v>
      </c>
      <c r="B3147" s="255" t="str">
        <f>IF(VLOOKUP($A3147,Players!$A$2:$C$132,3)&lt;&gt;0,VLOOKUP($A3147,Players!$A$2:$C$132,3),"")</f>
        <v/>
      </c>
      <c r="C3147" s="255"/>
      <c r="D3147" s="255"/>
      <c r="E3147" s="255"/>
      <c r="F3147" s="255"/>
      <c r="G3147" s="254" t="str">
        <f>IF(VLOOKUP($I3133&amp;RIGHT($A3147,1),Players!$A$2:$D$132,3)&lt;&gt;0,VLOOKUP($I3133&amp;RIGHT($A3147,1),Players!$A$2:$D$132,3),"")</f>
        <v/>
      </c>
      <c r="H3147" s="254"/>
      <c r="I3147" s="254"/>
      <c r="J3147" s="210" t="str">
        <f>IF(VLOOKUP($I3133&amp;RIGHT($A3147,1),Players!$A$2:$D$132,3)&lt;&gt;0,"("&amp;VLOOKUP($I3133&amp;RIGHT($A3147,1),Players!$A$2:$D$132,4)&amp;")","")</f>
        <v/>
      </c>
    </row>
    <row r="3148" spans="1:10" ht="25.5" customHeight="1">
      <c r="A3148" s="50"/>
      <c r="B3148" s="26"/>
      <c r="C3148" s="26"/>
      <c r="D3148" s="26"/>
      <c r="E3148" s="26"/>
      <c r="F3148" s="27"/>
      <c r="G3148" s="43"/>
      <c r="H3148" s="43"/>
      <c r="I3148" s="43"/>
      <c r="J3148" s="43"/>
    </row>
    <row r="3149" spans="1:10">
      <c r="A3149" s="49" t="s">
        <v>1225</v>
      </c>
      <c r="B3149" s="46"/>
      <c r="C3149" s="46"/>
      <c r="D3149" s="46"/>
      <c r="E3149" s="46"/>
      <c r="F3149" s="46"/>
      <c r="G3149" s="43"/>
      <c r="H3149" s="43"/>
      <c r="I3149" s="43"/>
      <c r="J3149" s="43"/>
    </row>
    <row r="3150" spans="1:10">
      <c r="A3150" s="46" t="s">
        <v>1247</v>
      </c>
      <c r="B3150" s="46"/>
      <c r="C3150" s="46"/>
      <c r="D3150" s="46"/>
      <c r="E3150" s="46"/>
      <c r="F3150" s="46"/>
      <c r="G3150" s="43"/>
      <c r="H3150" s="43"/>
      <c r="I3150" s="43"/>
      <c r="J3150" s="43"/>
    </row>
    <row r="3151" spans="1:10">
      <c r="A3151" s="46" t="s">
        <v>1248</v>
      </c>
      <c r="B3151" s="46"/>
      <c r="C3151" s="46"/>
      <c r="D3151" s="46"/>
      <c r="E3151" s="46"/>
      <c r="F3151" s="46"/>
      <c r="G3151" s="43"/>
      <c r="H3151" s="43"/>
      <c r="I3151" s="43"/>
      <c r="J3151" s="43"/>
    </row>
    <row r="3152" spans="1:10" ht="13.5" thickBot="1">
      <c r="A3152" s="46"/>
      <c r="B3152" s="46"/>
      <c r="C3152" s="46"/>
      <c r="D3152" s="46"/>
      <c r="E3152" s="46"/>
      <c r="F3152" s="46"/>
      <c r="G3152" s="43"/>
      <c r="H3152" s="43"/>
      <c r="I3152" s="43"/>
      <c r="J3152" s="43"/>
    </row>
    <row r="3153" spans="1:10" ht="25.5" customHeight="1" thickBot="1">
      <c r="A3153" s="50"/>
      <c r="B3153" s="257"/>
      <c r="C3153" s="258"/>
      <c r="D3153" s="258"/>
      <c r="E3153" s="258"/>
      <c r="F3153" s="259"/>
      <c r="G3153" s="43"/>
      <c r="H3153" s="43"/>
      <c r="I3153" s="43"/>
      <c r="J3153" s="43"/>
    </row>
    <row r="3154" spans="1:10">
      <c r="A3154" s="43"/>
      <c r="B3154" s="43"/>
      <c r="C3154" s="43"/>
      <c r="D3154" s="43"/>
      <c r="E3154" s="43"/>
      <c r="F3154" s="43"/>
      <c r="G3154" s="43"/>
      <c r="H3154" s="43"/>
      <c r="I3154" s="43"/>
      <c r="J3154" s="43"/>
    </row>
    <row r="3155" spans="1:10">
      <c r="A3155" s="43"/>
      <c r="B3155" s="43"/>
      <c r="C3155" s="43"/>
      <c r="D3155" s="43"/>
      <c r="E3155" s="43"/>
      <c r="F3155" s="43"/>
      <c r="G3155" s="43"/>
      <c r="H3155" s="43"/>
      <c r="I3155" s="43"/>
      <c r="J3155" s="43"/>
    </row>
    <row r="3156" spans="1:10">
      <c r="A3156" s="43"/>
      <c r="B3156" s="43"/>
      <c r="C3156" s="43"/>
      <c r="D3156" s="43"/>
      <c r="E3156" s="43"/>
      <c r="F3156" s="43"/>
      <c r="G3156" s="43"/>
      <c r="H3156" s="43"/>
      <c r="I3156" s="43"/>
      <c r="J3156" s="43"/>
    </row>
    <row r="3157" spans="1:10">
      <c r="A3157" s="43"/>
      <c r="B3157" s="43"/>
      <c r="C3157" s="43"/>
      <c r="D3157" s="43"/>
      <c r="E3157" s="43"/>
      <c r="F3157" s="43"/>
      <c r="G3157" s="43"/>
      <c r="H3157" s="43"/>
      <c r="I3157" s="43"/>
      <c r="J3157" s="43"/>
    </row>
    <row r="3158" spans="1:10">
      <c r="A3158" s="43"/>
      <c r="B3158" s="43"/>
      <c r="C3158" s="43"/>
      <c r="D3158" s="43"/>
      <c r="E3158" s="43"/>
      <c r="F3158" s="43"/>
      <c r="G3158" s="43"/>
      <c r="H3158" s="43"/>
      <c r="I3158" s="43"/>
      <c r="J3158" s="43"/>
    </row>
    <row r="3159" spans="1:10" ht="25.5" customHeight="1">
      <c r="A3159" s="47"/>
      <c r="B3159" s="47"/>
      <c r="C3159" s="47"/>
      <c r="D3159" s="47"/>
      <c r="E3159" s="47"/>
      <c r="F3159" s="43"/>
      <c r="G3159" s="51"/>
      <c r="H3159" s="250" t="s">
        <v>1227</v>
      </c>
      <c r="I3159" s="251"/>
      <c r="J3159" s="43"/>
    </row>
    <row r="3160" spans="1:10">
      <c r="A3160" s="43" t="s">
        <v>1226</v>
      </c>
      <c r="B3160" s="43"/>
      <c r="C3160" s="43"/>
      <c r="D3160" s="43"/>
      <c r="E3160" s="43"/>
      <c r="F3160" s="43"/>
      <c r="G3160" s="43"/>
      <c r="H3160" s="43"/>
      <c r="I3160" s="43"/>
      <c r="J3160" s="43"/>
    </row>
    <row r="3161" spans="1:10">
      <c r="A3161" s="43"/>
      <c r="B3161" s="43"/>
      <c r="C3161" s="43"/>
      <c r="D3161" s="43"/>
      <c r="E3161" s="43"/>
      <c r="F3161" s="43"/>
      <c r="G3161" s="43"/>
      <c r="H3161" s="43"/>
      <c r="I3161" s="43"/>
      <c r="J3161" s="43"/>
    </row>
    <row r="3162" spans="1:10">
      <c r="A3162" s="43"/>
      <c r="B3162" s="43"/>
      <c r="C3162" s="43"/>
      <c r="D3162" s="43"/>
      <c r="E3162" s="256" t="str">
        <f>CONCATENATE("(",$D3133," vs ",$I3133,")")</f>
        <v>(D vs I)</v>
      </c>
      <c r="F3162" s="256"/>
      <c r="G3162" s="43"/>
      <c r="H3162" s="43"/>
      <c r="I3162" s="43"/>
      <c r="J3162" s="43"/>
    </row>
    <row r="3163" spans="1:10" ht="15.75">
      <c r="A3163" s="42" t="s">
        <v>1223</v>
      </c>
      <c r="B3163" s="43"/>
      <c r="C3163" s="43"/>
      <c r="D3163" s="43"/>
      <c r="E3163" s="43"/>
      <c r="F3163" s="43"/>
      <c r="G3163" s="43"/>
      <c r="H3163" s="43"/>
      <c r="I3163" s="43"/>
      <c r="J3163" s="96" t="s">
        <v>4312</v>
      </c>
    </row>
    <row r="3164" spans="1:10" ht="12.75" customHeight="1">
      <c r="A3164" s="42"/>
      <c r="B3164" s="43"/>
      <c r="C3164" s="43"/>
      <c r="D3164" s="43"/>
      <c r="E3164" s="43"/>
      <c r="F3164" s="43"/>
      <c r="G3164" s="43" t="str">
        <f ca="1">Team_Matches!$J$6</f>
        <v>[NCTTA Teams Template (v2.06).xlsx]</v>
      </c>
      <c r="H3164" s="43"/>
      <c r="I3164" s="43"/>
      <c r="J3164" s="160"/>
    </row>
    <row r="3165" spans="1:10" ht="12.75" customHeight="1">
      <c r="A3165" s="42"/>
      <c r="B3165" s="43"/>
      <c r="C3165" s="43"/>
      <c r="D3165" s="43"/>
      <c r="E3165" s="43"/>
      <c r="F3165" s="43"/>
      <c r="G3165" s="247" t="str">
        <f>Team_Matches!$J2353</f>
        <v/>
      </c>
      <c r="H3165" s="247"/>
      <c r="I3165" s="161" t="str">
        <f>Team_Matches!$M2353</f>
        <v/>
      </c>
      <c r="J3165" s="161"/>
    </row>
    <row r="3166" spans="1:10" ht="15.75">
      <c r="A3166" s="42"/>
      <c r="B3166" s="43"/>
      <c r="C3166" s="43"/>
      <c r="D3166" s="43"/>
      <c r="E3166" s="43"/>
      <c r="F3166" s="43"/>
      <c r="G3166" s="43"/>
      <c r="H3166" s="43"/>
      <c r="I3166" s="43"/>
      <c r="J3166" s="43"/>
    </row>
    <row r="3167" spans="1:10">
      <c r="A3167" s="43"/>
      <c r="B3167" s="43"/>
      <c r="C3167" s="9" t="s">
        <v>1228</v>
      </c>
      <c r="D3167" s="52" t="str">
        <f>Team_Matches!$B2355</f>
        <v>D</v>
      </c>
      <c r="E3167" s="43"/>
      <c r="F3167" s="97" t="str">
        <f>CONCATENATE($D3167,"-",$I3167)</f>
        <v>D-I</v>
      </c>
      <c r="G3167" s="43"/>
      <c r="H3167" s="9" t="s">
        <v>1228</v>
      </c>
      <c r="I3167" s="52" t="str">
        <f>Team_Matches!$K2355</f>
        <v>I</v>
      </c>
      <c r="J3167" s="43"/>
    </row>
    <row r="3168" spans="1:10" ht="25.5" customHeight="1">
      <c r="A3168" s="44"/>
      <c r="B3168" s="252" t="str">
        <f>IF(VLOOKUP($D3167,Draw!$A$4:$B$27,2)&lt;&gt;0,VLOOKUP($D3167,Draw!$A$4:$B$27,2),"")</f>
        <v/>
      </c>
      <c r="C3168" s="252"/>
      <c r="D3168" s="252"/>
      <c r="E3168" s="253"/>
      <c r="F3168" s="45"/>
      <c r="G3168" s="248" t="str">
        <f>IF(VLOOKUP($I3167,Draw!$A$4:$B$27,2)&lt;&gt;0,VLOOKUP($I3167,Draw!$A$4:$B$27,2),"")</f>
        <v/>
      </c>
      <c r="H3168" s="248"/>
      <c r="I3168" s="248"/>
      <c r="J3168" s="249"/>
    </row>
    <row r="3169" spans="1:10" ht="25.5" customHeight="1"/>
    <row r="3170" spans="1:10" ht="25.5" customHeight="1"/>
    <row r="3171" spans="1:10" ht="24" customHeight="1">
      <c r="A3171" s="48" t="s">
        <v>1246</v>
      </c>
      <c r="B3171" s="43"/>
      <c r="C3171" s="43"/>
      <c r="D3171" s="43"/>
      <c r="E3171" s="43"/>
      <c r="F3171" s="43"/>
      <c r="G3171" s="43"/>
      <c r="H3171" s="43"/>
      <c r="I3171" s="43"/>
      <c r="J3171" s="43"/>
    </row>
    <row r="3172" spans="1:10" ht="24" customHeight="1">
      <c r="A3172" s="48"/>
      <c r="B3172" s="43"/>
      <c r="C3172" s="43"/>
      <c r="D3172" s="43"/>
      <c r="E3172" s="43"/>
      <c r="F3172" s="43"/>
      <c r="G3172" s="43"/>
      <c r="H3172" s="43"/>
      <c r="I3172" s="43"/>
      <c r="J3172" s="43"/>
    </row>
    <row r="3173" spans="1:10">
      <c r="A3173" s="49" t="s">
        <v>1224</v>
      </c>
      <c r="B3173" s="46"/>
      <c r="C3173" s="46"/>
      <c r="D3173" s="46"/>
      <c r="E3173" s="46"/>
      <c r="F3173" s="46"/>
      <c r="G3173" s="260" t="s">
        <v>10336</v>
      </c>
      <c r="H3173" s="260"/>
      <c r="I3173" s="260"/>
      <c r="J3173" s="260"/>
    </row>
    <row r="3174" spans="1:10" ht="24" customHeight="1">
      <c r="A3174" s="50" t="str">
        <f>CONCATENATE($I3167,"1")</f>
        <v>I1</v>
      </c>
      <c r="B3174" s="255" t="str">
        <f>IF(VLOOKUP($A3174,Players!$A$2:$C$132,3)&lt;&gt;0,VLOOKUP($A3174,Players!$A$2:$C$132,3),"")</f>
        <v/>
      </c>
      <c r="C3174" s="255"/>
      <c r="D3174" s="255"/>
      <c r="E3174" s="255"/>
      <c r="F3174" s="255"/>
      <c r="G3174" s="254" t="str">
        <f>IF(VLOOKUP($D3167&amp;RIGHT($A3174,1),Players!$A$2:$D$132,3)&lt;&gt;0,VLOOKUP($D3167&amp;RIGHT($A3174,1),Players!$A$2:$D$132,3),"")</f>
        <v/>
      </c>
      <c r="H3174" s="254"/>
      <c r="I3174" s="254"/>
      <c r="J3174" s="210" t="str">
        <f>IF(VLOOKUP($D3167&amp;RIGHT($A3174,1),Players!$A$2:$D$132,3)&lt;&gt;0,"("&amp;VLOOKUP($D3167&amp;RIGHT($A3174,1),Players!$A$2:$D$132,4)&amp;")","")</f>
        <v/>
      </c>
    </row>
    <row r="3175" spans="1:10" ht="25.5" customHeight="1">
      <c r="A3175" s="50" t="str">
        <f>CONCATENATE($I3167,"2")</f>
        <v>I2</v>
      </c>
      <c r="B3175" s="255" t="str">
        <f>IF(VLOOKUP($A3175,Players!$A$2:$C$132,3)&lt;&gt;0,VLOOKUP($A3175,Players!$A$2:$C$132,3),"")</f>
        <v/>
      </c>
      <c r="C3175" s="255"/>
      <c r="D3175" s="255"/>
      <c r="E3175" s="255"/>
      <c r="F3175" s="255"/>
      <c r="G3175" s="254" t="str">
        <f>IF(VLOOKUP($D3167&amp;RIGHT($A3175,1),Players!$A$2:$D$132,3)&lt;&gt;0,VLOOKUP($D3167&amp;RIGHT($A3175,1),Players!$A$2:$D$132,3),"")</f>
        <v/>
      </c>
      <c r="H3175" s="254"/>
      <c r="I3175" s="254"/>
      <c r="J3175" s="210" t="str">
        <f>IF(VLOOKUP($D3167&amp;RIGHT($A3175,1),Players!$A$2:$D$132,3)&lt;&gt;0,"("&amp;VLOOKUP($D3167&amp;RIGHT($A3175,1),Players!$A$2:$D$132,4)&amp;")","")</f>
        <v/>
      </c>
    </row>
    <row r="3176" spans="1:10" ht="25.5" customHeight="1">
      <c r="A3176" s="50" t="str">
        <f>CONCATENATE($I3167,"3")</f>
        <v>I3</v>
      </c>
      <c r="B3176" s="255" t="str">
        <f>IF(VLOOKUP($A3176,Players!$A$2:$C$132,3)&lt;&gt;0,VLOOKUP($A3176,Players!$A$2:$C$132,3),"")</f>
        <v/>
      </c>
      <c r="C3176" s="255"/>
      <c r="D3176" s="255"/>
      <c r="E3176" s="255"/>
      <c r="F3176" s="255"/>
      <c r="G3176" s="254" t="str">
        <f>IF(VLOOKUP($D3167&amp;RIGHT($A3176,1),Players!$A$2:$D$132,3)&lt;&gt;0,VLOOKUP($D3167&amp;RIGHT($A3176,1),Players!$A$2:$D$132,3),"")</f>
        <v/>
      </c>
      <c r="H3176" s="254"/>
      <c r="I3176" s="254"/>
      <c r="J3176" s="210" t="str">
        <f>IF(VLOOKUP($D3167&amp;RIGHT($A3176,1),Players!$A$2:$D$132,3)&lt;&gt;0,"("&amp;VLOOKUP($D3167&amp;RIGHT($A3176,1),Players!$A$2:$D$132,4)&amp;")","")</f>
        <v/>
      </c>
    </row>
    <row r="3177" spans="1:10" ht="25.5" customHeight="1">
      <c r="A3177" s="50" t="str">
        <f>CONCATENATE($I3167,"4")</f>
        <v>I4</v>
      </c>
      <c r="B3177" s="255" t="str">
        <f>IF(VLOOKUP($A3177,Players!$A$2:$C$132,3)&lt;&gt;0,VLOOKUP($A3177,Players!$A$2:$C$132,3),"")</f>
        <v/>
      </c>
      <c r="C3177" s="255"/>
      <c r="D3177" s="255"/>
      <c r="E3177" s="255"/>
      <c r="F3177" s="255"/>
      <c r="G3177" s="254" t="str">
        <f>IF(VLOOKUP($D3167&amp;RIGHT($A3177,1),Players!$A$2:$D$132,3)&lt;&gt;0,VLOOKUP($D3167&amp;RIGHT($A3177,1),Players!$A$2:$D$132,3),"")</f>
        <v/>
      </c>
      <c r="H3177" s="254"/>
      <c r="I3177" s="254"/>
      <c r="J3177" s="210" t="str">
        <f>IF(VLOOKUP($D3167&amp;RIGHT($A3177,1),Players!$A$2:$D$132,3)&lt;&gt;0,"("&amp;VLOOKUP($D3167&amp;RIGHT($A3177,1),Players!$A$2:$D$132,4)&amp;")","")</f>
        <v/>
      </c>
    </row>
    <row r="3178" spans="1:10" ht="25.5" customHeight="1">
      <c r="A3178" s="50" t="str">
        <f>CONCATENATE($I3167,"5")</f>
        <v>I5</v>
      </c>
      <c r="B3178" s="255" t="str">
        <f>IF(VLOOKUP($A3178,Players!$A$2:$C$132,3)&lt;&gt;0,VLOOKUP($A3178,Players!$A$2:$C$132,3),"")</f>
        <v/>
      </c>
      <c r="C3178" s="255"/>
      <c r="D3178" s="255"/>
      <c r="E3178" s="255"/>
      <c r="F3178" s="255"/>
      <c r="G3178" s="254" t="str">
        <f>IF(VLOOKUP($D3167&amp;RIGHT($A3178,1),Players!$A$2:$D$132,3)&lt;&gt;0,VLOOKUP($D3167&amp;RIGHT($A3178,1),Players!$A$2:$D$132,3),"")</f>
        <v/>
      </c>
      <c r="H3178" s="254"/>
      <c r="I3178" s="254"/>
      <c r="J3178" s="210" t="str">
        <f>IF(VLOOKUP($D3167&amp;RIGHT($A3178,1),Players!$A$2:$D$132,3)&lt;&gt;0,"("&amp;VLOOKUP($D3167&amp;RIGHT($A3178,1),Players!$A$2:$D$132,4)&amp;")","")</f>
        <v/>
      </c>
    </row>
    <row r="3179" spans="1:10" ht="25.5" customHeight="1">
      <c r="A3179" s="50" t="str">
        <f>CONCATENATE($I3167,"6")</f>
        <v>I6</v>
      </c>
      <c r="B3179" s="255" t="str">
        <f>IF(VLOOKUP($A3179,Players!$A$2:$C$132,3)&lt;&gt;0,VLOOKUP($A3179,Players!$A$2:$C$132,3),"")</f>
        <v/>
      </c>
      <c r="C3179" s="255"/>
      <c r="D3179" s="255"/>
      <c r="E3179" s="255"/>
      <c r="F3179" s="255"/>
      <c r="G3179" s="254" t="str">
        <f>IF(VLOOKUP($D3167&amp;RIGHT($A3179,1),Players!$A$2:$D$132,3)&lt;&gt;0,VLOOKUP($D3167&amp;RIGHT($A3179,1),Players!$A$2:$D$132,3),"")</f>
        <v/>
      </c>
      <c r="H3179" s="254"/>
      <c r="I3179" s="254"/>
      <c r="J3179" s="210" t="str">
        <f>IF(VLOOKUP($D3167&amp;RIGHT($A3179,1),Players!$A$2:$D$132,3)&lt;&gt;0,"("&amp;VLOOKUP($D3167&amp;RIGHT($A3179,1),Players!$A$2:$D$132,4)&amp;")","")</f>
        <v/>
      </c>
    </row>
    <row r="3180" spans="1:10" ht="25.5" customHeight="1">
      <c r="A3180" s="50" t="str">
        <f>CONCATENATE($I3167,"7")</f>
        <v>I7</v>
      </c>
      <c r="B3180" s="255" t="str">
        <f>IF(VLOOKUP($A3180,Players!$A$2:$C$132,3)&lt;&gt;0,VLOOKUP($A3180,Players!$A$2:$C$132,3),"")</f>
        <v/>
      </c>
      <c r="C3180" s="255"/>
      <c r="D3180" s="255"/>
      <c r="E3180" s="255"/>
      <c r="F3180" s="255"/>
      <c r="G3180" s="254" t="str">
        <f>IF(VLOOKUP($D3167&amp;RIGHT($A3180,1),Players!$A$2:$D$132,3)&lt;&gt;0,VLOOKUP($D3167&amp;RIGHT($A3180,1),Players!$A$2:$D$132,3),"")</f>
        <v/>
      </c>
      <c r="H3180" s="254"/>
      <c r="I3180" s="254"/>
      <c r="J3180" s="210" t="str">
        <f>IF(VLOOKUP($D3167&amp;RIGHT($A3180,1),Players!$A$2:$D$132,3)&lt;&gt;0,"("&amp;VLOOKUP($D3167&amp;RIGHT($A3180,1),Players!$A$2:$D$132,4)&amp;")","")</f>
        <v/>
      </c>
    </row>
    <row r="3181" spans="1:10" ht="25.5" customHeight="1">
      <c r="A3181" s="50" t="str">
        <f>CONCATENATE($I3167,"8")</f>
        <v>I8</v>
      </c>
      <c r="B3181" s="255" t="str">
        <f>IF(VLOOKUP($A3181,Players!$A$2:$C$132,3)&lt;&gt;0,VLOOKUP($A3181,Players!$A$2:$C$132,3),"")</f>
        <v/>
      </c>
      <c r="C3181" s="255"/>
      <c r="D3181" s="255"/>
      <c r="E3181" s="255"/>
      <c r="F3181" s="255"/>
      <c r="G3181" s="254" t="str">
        <f>IF(VLOOKUP($D3167&amp;RIGHT($A3181,1),Players!$A$2:$D$132,3)&lt;&gt;0,VLOOKUP($D3167&amp;RIGHT($A3181,1),Players!$A$2:$D$132,3),"")</f>
        <v/>
      </c>
      <c r="H3181" s="254"/>
      <c r="I3181" s="254"/>
      <c r="J3181" s="210" t="str">
        <f>IF(VLOOKUP($D3167&amp;RIGHT($A3181,1),Players!$A$2:$D$132,3)&lt;&gt;0,"("&amp;VLOOKUP($D3167&amp;RIGHT($A3181,1),Players!$A$2:$D$132,4)&amp;")","")</f>
        <v/>
      </c>
    </row>
    <row r="3182" spans="1:10" ht="25.5" customHeight="1">
      <c r="A3182" s="50"/>
      <c r="B3182" s="26"/>
      <c r="C3182" s="26"/>
      <c r="D3182" s="26"/>
      <c r="E3182" s="26"/>
      <c r="F3182" s="27"/>
      <c r="G3182" s="43"/>
      <c r="H3182" s="43"/>
      <c r="I3182" s="43"/>
      <c r="J3182" s="43"/>
    </row>
    <row r="3183" spans="1:10">
      <c r="A3183" s="49" t="s">
        <v>1225</v>
      </c>
      <c r="B3183" s="46"/>
      <c r="C3183" s="46"/>
      <c r="D3183" s="46"/>
      <c r="E3183" s="46"/>
      <c r="F3183" s="46"/>
      <c r="G3183" s="43"/>
      <c r="H3183" s="43"/>
      <c r="I3183" s="43"/>
      <c r="J3183" s="43"/>
    </row>
    <row r="3184" spans="1:10">
      <c r="A3184" s="46" t="s">
        <v>1247</v>
      </c>
      <c r="B3184" s="46"/>
      <c r="C3184" s="46"/>
      <c r="D3184" s="46"/>
      <c r="E3184" s="46"/>
      <c r="F3184" s="46"/>
      <c r="G3184" s="43"/>
      <c r="H3184" s="43"/>
      <c r="I3184" s="43"/>
      <c r="J3184" s="43"/>
    </row>
    <row r="3185" spans="1:10">
      <c r="A3185" s="46" t="s">
        <v>1248</v>
      </c>
      <c r="B3185" s="46"/>
      <c r="C3185" s="46"/>
      <c r="D3185" s="46"/>
      <c r="E3185" s="46"/>
      <c r="F3185" s="46"/>
      <c r="G3185" s="43"/>
      <c r="H3185" s="43"/>
      <c r="I3185" s="43"/>
      <c r="J3185" s="43"/>
    </row>
    <row r="3186" spans="1:10" ht="13.5" thickBot="1">
      <c r="A3186" s="46"/>
      <c r="B3186" s="46"/>
      <c r="C3186" s="46"/>
      <c r="D3186" s="46"/>
      <c r="E3186" s="46"/>
      <c r="F3186" s="46"/>
      <c r="G3186" s="43"/>
      <c r="H3186" s="43"/>
      <c r="I3186" s="43"/>
      <c r="J3186" s="43"/>
    </row>
    <row r="3187" spans="1:10" ht="25.5" customHeight="1" thickBot="1">
      <c r="A3187" s="50"/>
      <c r="B3187" s="257"/>
      <c r="C3187" s="258"/>
      <c r="D3187" s="258"/>
      <c r="E3187" s="258"/>
      <c r="F3187" s="259"/>
      <c r="G3187" s="43"/>
      <c r="H3187" s="43"/>
      <c r="I3187" s="43"/>
      <c r="J3187" s="43"/>
    </row>
    <row r="3188" spans="1:10">
      <c r="A3188" s="43"/>
      <c r="B3188" s="43"/>
      <c r="C3188" s="43"/>
      <c r="D3188" s="43"/>
      <c r="E3188" s="43"/>
      <c r="F3188" s="43"/>
      <c r="G3188" s="43"/>
      <c r="H3188" s="43"/>
      <c r="I3188" s="43"/>
      <c r="J3188" s="43"/>
    </row>
    <row r="3189" spans="1:10">
      <c r="A3189" s="43"/>
      <c r="B3189" s="43"/>
      <c r="C3189" s="43"/>
      <c r="D3189" s="43"/>
      <c r="E3189" s="43"/>
      <c r="F3189" s="43"/>
      <c r="G3189" s="43"/>
      <c r="H3189" s="43"/>
      <c r="I3189" s="43"/>
      <c r="J3189" s="43"/>
    </row>
    <row r="3190" spans="1:10">
      <c r="A3190" s="43"/>
      <c r="B3190" s="43"/>
      <c r="C3190" s="43"/>
      <c r="D3190" s="43"/>
      <c r="E3190" s="43"/>
      <c r="F3190" s="43"/>
      <c r="G3190" s="43"/>
      <c r="H3190" s="43"/>
      <c r="I3190" s="43"/>
      <c r="J3190" s="43"/>
    </row>
    <row r="3191" spans="1:10">
      <c r="A3191" s="43"/>
      <c r="B3191" s="43"/>
      <c r="C3191" s="43"/>
      <c r="D3191" s="43"/>
      <c r="E3191" s="43"/>
      <c r="F3191" s="43"/>
      <c r="G3191" s="43"/>
      <c r="H3191" s="43"/>
      <c r="I3191" s="43"/>
      <c r="J3191" s="43"/>
    </row>
    <row r="3192" spans="1:10">
      <c r="A3192" s="43"/>
      <c r="B3192" s="43"/>
      <c r="C3192" s="43"/>
      <c r="D3192" s="43"/>
      <c r="E3192" s="43"/>
      <c r="F3192" s="43"/>
      <c r="G3192" s="43"/>
      <c r="H3192" s="43"/>
      <c r="I3192" s="43"/>
      <c r="J3192" s="43"/>
    </row>
    <row r="3193" spans="1:10" ht="25.5" customHeight="1">
      <c r="A3193" s="47"/>
      <c r="B3193" s="47"/>
      <c r="C3193" s="47"/>
      <c r="D3193" s="47"/>
      <c r="E3193" s="47"/>
      <c r="F3193" s="43"/>
      <c r="G3193" s="51"/>
      <c r="H3193" s="250" t="s">
        <v>1227</v>
      </c>
      <c r="I3193" s="251"/>
      <c r="J3193" s="43"/>
    </row>
    <row r="3194" spans="1:10">
      <c r="A3194" s="43" t="s">
        <v>1226</v>
      </c>
      <c r="B3194" s="43"/>
      <c r="C3194" s="43"/>
      <c r="D3194" s="43"/>
      <c r="E3194" s="43"/>
      <c r="F3194" s="43"/>
      <c r="G3194" s="43"/>
      <c r="H3194" s="43"/>
      <c r="I3194" s="43"/>
      <c r="J3194" s="43"/>
    </row>
    <row r="3195" spans="1:10">
      <c r="A3195" s="43"/>
      <c r="B3195" s="43"/>
      <c r="C3195" s="43"/>
      <c r="D3195" s="43"/>
      <c r="E3195" s="43"/>
      <c r="F3195" s="43"/>
      <c r="G3195" s="43"/>
      <c r="H3195" s="43"/>
      <c r="I3195" s="43"/>
      <c r="J3195" s="43"/>
    </row>
    <row r="3196" spans="1:10">
      <c r="A3196" s="43"/>
      <c r="B3196" s="43"/>
      <c r="C3196" s="43"/>
      <c r="D3196" s="43"/>
      <c r="E3196" s="256" t="str">
        <f>CONCATENATE("(",$D3167," vs ",$I3167,")")</f>
        <v>(D vs I)</v>
      </c>
      <c r="F3196" s="256"/>
      <c r="G3196" s="43"/>
      <c r="H3196" s="43"/>
      <c r="I3196" s="43"/>
      <c r="J3196" s="43"/>
    </row>
    <row r="3197" spans="1:10" ht="15.75">
      <c r="A3197" s="42" t="s">
        <v>1223</v>
      </c>
      <c r="B3197" s="43"/>
      <c r="C3197" s="43"/>
      <c r="D3197" s="43"/>
      <c r="E3197" s="43"/>
      <c r="F3197" s="43"/>
      <c r="G3197" s="43"/>
      <c r="H3197" s="43"/>
      <c r="I3197" s="43"/>
      <c r="J3197" s="96" t="s">
        <v>4313</v>
      </c>
    </row>
    <row r="3198" spans="1:10" ht="12.75" customHeight="1">
      <c r="A3198" s="42"/>
      <c r="B3198" s="43"/>
      <c r="C3198" s="43"/>
      <c r="D3198" s="43"/>
      <c r="E3198" s="43"/>
      <c r="F3198" s="43"/>
      <c r="G3198" s="43" t="str">
        <f ca="1">Team_Matches!$J$6</f>
        <v>[NCTTA Teams Template (v2.06).xlsx]</v>
      </c>
      <c r="H3198" s="43"/>
      <c r="I3198" s="43"/>
      <c r="J3198" s="160"/>
    </row>
    <row r="3199" spans="1:10" ht="12.75" customHeight="1">
      <c r="A3199" s="42"/>
      <c r="B3199" s="43"/>
      <c r="C3199" s="43"/>
      <c r="D3199" s="43"/>
      <c r="E3199" s="43"/>
      <c r="F3199" s="43"/>
      <c r="G3199" s="247" t="str">
        <f>Team_Matches!$J2404</f>
        <v/>
      </c>
      <c r="H3199" s="247"/>
      <c r="I3199" s="161" t="str">
        <f>Team_Matches!$M2404</f>
        <v/>
      </c>
      <c r="J3199" s="161"/>
    </row>
    <row r="3200" spans="1:10" ht="15.75">
      <c r="A3200" s="42"/>
      <c r="B3200" s="43"/>
      <c r="C3200" s="43"/>
      <c r="D3200" s="43"/>
      <c r="E3200" s="43"/>
      <c r="F3200" s="43"/>
      <c r="G3200" s="43"/>
      <c r="H3200" s="43"/>
      <c r="I3200" s="43"/>
      <c r="J3200" s="43"/>
    </row>
    <row r="3201" spans="1:10">
      <c r="A3201" s="43"/>
      <c r="B3201" s="43"/>
      <c r="C3201" s="9" t="s">
        <v>1228</v>
      </c>
      <c r="D3201" s="52" t="str">
        <f>Team_Matches!$B2406</f>
        <v>D</v>
      </c>
      <c r="E3201" s="43"/>
      <c r="F3201" s="97" t="str">
        <f>CONCATENATE($D3201,"-",$I3201)</f>
        <v>D-J</v>
      </c>
      <c r="G3201" s="43"/>
      <c r="H3201" s="9" t="s">
        <v>1228</v>
      </c>
      <c r="I3201" s="52" t="str">
        <f>Team_Matches!$K2406</f>
        <v>J</v>
      </c>
      <c r="J3201" s="43"/>
    </row>
    <row r="3202" spans="1:10" ht="25.5" customHeight="1">
      <c r="A3202" s="44"/>
      <c r="B3202" s="248" t="str">
        <f>IF(VLOOKUP($D3201,Draw!$A$4:$B$27,2)&lt;&gt;0,VLOOKUP($D3201,Draw!$A$4:$B$27,2),"")</f>
        <v/>
      </c>
      <c r="C3202" s="248"/>
      <c r="D3202" s="248"/>
      <c r="E3202" s="249"/>
      <c r="F3202" s="45"/>
      <c r="G3202" s="252" t="str">
        <f>IF(VLOOKUP($I3201,Draw!$A$4:$B$27,2)&lt;&gt;0,VLOOKUP($I3201,Draw!$A$4:$B$27,2),"")</f>
        <v/>
      </c>
      <c r="H3202" s="252"/>
      <c r="I3202" s="252"/>
      <c r="J3202" s="253"/>
    </row>
    <row r="3203" spans="1:10" ht="25.5" customHeight="1"/>
    <row r="3204" spans="1:10" ht="25.5" customHeight="1"/>
    <row r="3205" spans="1:10" ht="24" customHeight="1">
      <c r="A3205" s="48" t="s">
        <v>1246</v>
      </c>
      <c r="B3205" s="43"/>
      <c r="C3205" s="43"/>
      <c r="D3205" s="43"/>
      <c r="E3205" s="43"/>
      <c r="F3205" s="43"/>
      <c r="G3205" s="43"/>
      <c r="H3205" s="43"/>
      <c r="I3205" s="43"/>
      <c r="J3205" s="43"/>
    </row>
    <row r="3206" spans="1:10" ht="24" customHeight="1">
      <c r="A3206" s="48"/>
      <c r="B3206" s="43"/>
      <c r="C3206" s="43"/>
      <c r="D3206" s="43"/>
      <c r="E3206" s="43"/>
      <c r="F3206" s="43"/>
      <c r="G3206" s="43"/>
      <c r="H3206" s="43"/>
      <c r="I3206" s="43"/>
      <c r="J3206" s="43"/>
    </row>
    <row r="3207" spans="1:10">
      <c r="A3207" s="49" t="s">
        <v>1224</v>
      </c>
      <c r="B3207" s="46"/>
      <c r="C3207" s="46"/>
      <c r="D3207" s="46"/>
      <c r="E3207" s="46"/>
      <c r="F3207" s="46"/>
      <c r="G3207" s="260" t="s">
        <v>10336</v>
      </c>
      <c r="H3207" s="260"/>
      <c r="I3207" s="260"/>
      <c r="J3207" s="260"/>
    </row>
    <row r="3208" spans="1:10" ht="24" customHeight="1">
      <c r="A3208" s="50" t="str">
        <f>CONCATENATE($D3201,"1")</f>
        <v>D1</v>
      </c>
      <c r="B3208" s="255" t="str">
        <f>IF(VLOOKUP($A3208,Players!$A$2:$C$132,3)&lt;&gt;0,VLOOKUP($A3208,Players!$A$2:$C$132,3),"")</f>
        <v/>
      </c>
      <c r="C3208" s="255"/>
      <c r="D3208" s="255"/>
      <c r="E3208" s="255"/>
      <c r="F3208" s="255"/>
      <c r="G3208" s="254" t="str">
        <f>IF(VLOOKUP($I3201&amp;RIGHT($A3208,1),Players!$A$2:$D$132,3)&lt;&gt;0,VLOOKUP($I3201&amp;RIGHT($A3208,1),Players!$A$2:$D$132,3),"")</f>
        <v/>
      </c>
      <c r="H3208" s="254"/>
      <c r="I3208" s="254"/>
      <c r="J3208" s="210" t="str">
        <f>IF(VLOOKUP($I3201&amp;RIGHT($A3208,1),Players!$A$2:$D$132,3)&lt;&gt;0,"("&amp;VLOOKUP($I3201&amp;RIGHT($A3208,1),Players!$A$2:$D$132,4)&amp;")","")</f>
        <v/>
      </c>
    </row>
    <row r="3209" spans="1:10" ht="25.5" customHeight="1">
      <c r="A3209" s="50" t="str">
        <f>CONCATENATE($D3201,"2")</f>
        <v>D2</v>
      </c>
      <c r="B3209" s="255" t="str">
        <f>IF(VLOOKUP($A3209,Players!$A$2:$C$132,3)&lt;&gt;0,VLOOKUP($A3209,Players!$A$2:$C$132,3),"")</f>
        <v/>
      </c>
      <c r="C3209" s="255"/>
      <c r="D3209" s="255"/>
      <c r="E3209" s="255"/>
      <c r="F3209" s="255"/>
      <c r="G3209" s="254" t="str">
        <f>IF(VLOOKUP($I3201&amp;RIGHT($A3209,1),Players!$A$2:$D$132,3)&lt;&gt;0,VLOOKUP($I3201&amp;RIGHT($A3209,1),Players!$A$2:$D$132,3),"")</f>
        <v/>
      </c>
      <c r="H3209" s="254"/>
      <c r="I3209" s="254"/>
      <c r="J3209" s="210" t="str">
        <f>IF(VLOOKUP($I3201&amp;RIGHT($A3209,1),Players!$A$2:$D$132,3)&lt;&gt;0,"("&amp;VLOOKUP($I3201&amp;RIGHT($A3209,1),Players!$A$2:$D$132,4)&amp;")","")</f>
        <v/>
      </c>
    </row>
    <row r="3210" spans="1:10" ht="25.5" customHeight="1">
      <c r="A3210" s="50" t="str">
        <f>CONCATENATE($D3201,"3")</f>
        <v>D3</v>
      </c>
      <c r="B3210" s="255" t="str">
        <f>IF(VLOOKUP($A3210,Players!$A$2:$C$132,3)&lt;&gt;0,VLOOKUP($A3210,Players!$A$2:$C$132,3),"")</f>
        <v/>
      </c>
      <c r="C3210" s="255"/>
      <c r="D3210" s="255"/>
      <c r="E3210" s="255"/>
      <c r="F3210" s="255"/>
      <c r="G3210" s="254" t="str">
        <f>IF(VLOOKUP($I3201&amp;RIGHT($A3210,1),Players!$A$2:$D$132,3)&lt;&gt;0,VLOOKUP($I3201&amp;RIGHT($A3210,1),Players!$A$2:$D$132,3),"")</f>
        <v/>
      </c>
      <c r="H3210" s="254"/>
      <c r="I3210" s="254"/>
      <c r="J3210" s="210" t="str">
        <f>IF(VLOOKUP($I3201&amp;RIGHT($A3210,1),Players!$A$2:$D$132,3)&lt;&gt;0,"("&amp;VLOOKUP($I3201&amp;RIGHT($A3210,1),Players!$A$2:$D$132,4)&amp;")","")</f>
        <v/>
      </c>
    </row>
    <row r="3211" spans="1:10" ht="25.5" customHeight="1">
      <c r="A3211" s="50" t="str">
        <f>CONCATENATE($D3201,"4")</f>
        <v>D4</v>
      </c>
      <c r="B3211" s="255" t="str">
        <f>IF(VLOOKUP($A3211,Players!$A$2:$C$132,3)&lt;&gt;0,VLOOKUP($A3211,Players!$A$2:$C$132,3),"")</f>
        <v/>
      </c>
      <c r="C3211" s="255"/>
      <c r="D3211" s="255"/>
      <c r="E3211" s="255"/>
      <c r="F3211" s="255"/>
      <c r="G3211" s="254" t="str">
        <f>IF(VLOOKUP($I3201&amp;RIGHT($A3211,1),Players!$A$2:$D$132,3)&lt;&gt;0,VLOOKUP($I3201&amp;RIGHT($A3211,1),Players!$A$2:$D$132,3),"")</f>
        <v/>
      </c>
      <c r="H3211" s="254"/>
      <c r="I3211" s="254"/>
      <c r="J3211" s="210" t="str">
        <f>IF(VLOOKUP($I3201&amp;RIGHT($A3211,1),Players!$A$2:$D$132,3)&lt;&gt;0,"("&amp;VLOOKUP($I3201&amp;RIGHT($A3211,1),Players!$A$2:$D$132,4)&amp;")","")</f>
        <v/>
      </c>
    </row>
    <row r="3212" spans="1:10" ht="25.5" customHeight="1">
      <c r="A3212" s="50" t="str">
        <f>CONCATENATE($D3201,"5")</f>
        <v>D5</v>
      </c>
      <c r="B3212" s="255" t="str">
        <f>IF(VLOOKUP($A3212,Players!$A$2:$C$132,3)&lt;&gt;0,VLOOKUP($A3212,Players!$A$2:$C$132,3),"")</f>
        <v/>
      </c>
      <c r="C3212" s="255"/>
      <c r="D3212" s="255"/>
      <c r="E3212" s="255"/>
      <c r="F3212" s="255"/>
      <c r="G3212" s="254" t="str">
        <f>IF(VLOOKUP($I3201&amp;RIGHT($A3212,1),Players!$A$2:$D$132,3)&lt;&gt;0,VLOOKUP($I3201&amp;RIGHT($A3212,1),Players!$A$2:$D$132,3),"")</f>
        <v/>
      </c>
      <c r="H3212" s="254"/>
      <c r="I3212" s="254"/>
      <c r="J3212" s="210" t="str">
        <f>IF(VLOOKUP($I3201&amp;RIGHT($A3212,1),Players!$A$2:$D$132,3)&lt;&gt;0,"("&amp;VLOOKUP($I3201&amp;RIGHT($A3212,1),Players!$A$2:$D$132,4)&amp;")","")</f>
        <v/>
      </c>
    </row>
    <row r="3213" spans="1:10" ht="25.5" customHeight="1">
      <c r="A3213" s="50" t="str">
        <f>CONCATENATE($D3201,"6")</f>
        <v>D6</v>
      </c>
      <c r="B3213" s="255" t="str">
        <f>IF(VLOOKUP($A3213,Players!$A$2:$C$132,3)&lt;&gt;0,VLOOKUP($A3213,Players!$A$2:$C$132,3),"")</f>
        <v/>
      </c>
      <c r="C3213" s="255"/>
      <c r="D3213" s="255"/>
      <c r="E3213" s="255"/>
      <c r="F3213" s="255"/>
      <c r="G3213" s="254" t="str">
        <f>IF(VLOOKUP($I3201&amp;RIGHT($A3213,1),Players!$A$2:$D$132,3)&lt;&gt;0,VLOOKUP($I3201&amp;RIGHT($A3213,1),Players!$A$2:$D$132,3),"")</f>
        <v/>
      </c>
      <c r="H3213" s="254"/>
      <c r="I3213" s="254"/>
      <c r="J3213" s="210" t="str">
        <f>IF(VLOOKUP($I3201&amp;RIGHT($A3213,1),Players!$A$2:$D$132,3)&lt;&gt;0,"("&amp;VLOOKUP($I3201&amp;RIGHT($A3213,1),Players!$A$2:$D$132,4)&amp;")","")</f>
        <v/>
      </c>
    </row>
    <row r="3214" spans="1:10" ht="25.5" customHeight="1">
      <c r="A3214" s="50" t="str">
        <f>CONCATENATE($D3201,"7")</f>
        <v>D7</v>
      </c>
      <c r="B3214" s="255" t="str">
        <f>IF(VLOOKUP($A3214,Players!$A$2:$C$132,3)&lt;&gt;0,VLOOKUP($A3214,Players!$A$2:$C$132,3),"")</f>
        <v/>
      </c>
      <c r="C3214" s="255"/>
      <c r="D3214" s="255"/>
      <c r="E3214" s="255"/>
      <c r="F3214" s="255"/>
      <c r="G3214" s="254" t="str">
        <f>IF(VLOOKUP($I3201&amp;RIGHT($A3214,1),Players!$A$2:$D$132,3)&lt;&gt;0,VLOOKUP($I3201&amp;RIGHT($A3214,1),Players!$A$2:$D$132,3),"")</f>
        <v/>
      </c>
      <c r="H3214" s="254"/>
      <c r="I3214" s="254"/>
      <c r="J3214" s="210" t="str">
        <f>IF(VLOOKUP($I3201&amp;RIGHT($A3214,1),Players!$A$2:$D$132,3)&lt;&gt;0,"("&amp;VLOOKUP($I3201&amp;RIGHT($A3214,1),Players!$A$2:$D$132,4)&amp;")","")</f>
        <v/>
      </c>
    </row>
    <row r="3215" spans="1:10" ht="25.5" customHeight="1">
      <c r="A3215" s="50" t="str">
        <f>CONCATENATE($D3201,"8")</f>
        <v>D8</v>
      </c>
      <c r="B3215" s="255" t="str">
        <f>IF(VLOOKUP($A3215,Players!$A$2:$C$132,3)&lt;&gt;0,VLOOKUP($A3215,Players!$A$2:$C$132,3),"")</f>
        <v/>
      </c>
      <c r="C3215" s="255"/>
      <c r="D3215" s="255"/>
      <c r="E3215" s="255"/>
      <c r="F3215" s="255"/>
      <c r="G3215" s="254" t="str">
        <f>IF(VLOOKUP($I3201&amp;RIGHT($A3215,1),Players!$A$2:$D$132,3)&lt;&gt;0,VLOOKUP($I3201&amp;RIGHT($A3215,1),Players!$A$2:$D$132,3),"")</f>
        <v/>
      </c>
      <c r="H3215" s="254"/>
      <c r="I3215" s="254"/>
      <c r="J3215" s="210" t="str">
        <f>IF(VLOOKUP($I3201&amp;RIGHT($A3215,1),Players!$A$2:$D$132,3)&lt;&gt;0,"("&amp;VLOOKUP($I3201&amp;RIGHT($A3215,1),Players!$A$2:$D$132,4)&amp;")","")</f>
        <v/>
      </c>
    </row>
    <row r="3216" spans="1:10" ht="25.5" customHeight="1">
      <c r="A3216" s="50"/>
      <c r="B3216" s="26"/>
      <c r="C3216" s="26"/>
      <c r="D3216" s="26"/>
      <c r="E3216" s="26"/>
      <c r="F3216" s="27"/>
      <c r="G3216" s="43"/>
      <c r="H3216" s="43"/>
      <c r="I3216" s="43"/>
      <c r="J3216" s="43"/>
    </row>
    <row r="3217" spans="1:10">
      <c r="A3217" s="49" t="s">
        <v>1225</v>
      </c>
      <c r="B3217" s="46"/>
      <c r="C3217" s="46"/>
      <c r="D3217" s="46"/>
      <c r="E3217" s="46"/>
      <c r="F3217" s="46"/>
      <c r="G3217" s="43"/>
      <c r="H3217" s="43"/>
      <c r="I3217" s="43"/>
      <c r="J3217" s="43"/>
    </row>
    <row r="3218" spans="1:10">
      <c r="A3218" s="46" t="s">
        <v>1247</v>
      </c>
      <c r="B3218" s="46"/>
      <c r="C3218" s="46"/>
      <c r="D3218" s="46"/>
      <c r="E3218" s="46"/>
      <c r="F3218" s="46"/>
      <c r="G3218" s="43"/>
      <c r="H3218" s="43"/>
      <c r="I3218" s="43"/>
      <c r="J3218" s="43"/>
    </row>
    <row r="3219" spans="1:10">
      <c r="A3219" s="46" t="s">
        <v>1248</v>
      </c>
      <c r="B3219" s="46"/>
      <c r="C3219" s="46"/>
      <c r="D3219" s="46"/>
      <c r="E3219" s="46"/>
      <c r="F3219" s="46"/>
      <c r="G3219" s="43"/>
      <c r="H3219" s="43"/>
      <c r="I3219" s="43"/>
      <c r="J3219" s="43"/>
    </row>
    <row r="3220" spans="1:10" ht="13.5" thickBot="1">
      <c r="A3220" s="46"/>
      <c r="B3220" s="46"/>
      <c r="C3220" s="46"/>
      <c r="D3220" s="46"/>
      <c r="E3220" s="46"/>
      <c r="F3220" s="46"/>
      <c r="G3220" s="43"/>
      <c r="H3220" s="43"/>
      <c r="I3220" s="43"/>
      <c r="J3220" s="43"/>
    </row>
    <row r="3221" spans="1:10" ht="25.5" customHeight="1" thickBot="1">
      <c r="A3221" s="50"/>
      <c r="B3221" s="257"/>
      <c r="C3221" s="258"/>
      <c r="D3221" s="258"/>
      <c r="E3221" s="258"/>
      <c r="F3221" s="259"/>
      <c r="G3221" s="43"/>
      <c r="H3221" s="43"/>
      <c r="I3221" s="43"/>
      <c r="J3221" s="43"/>
    </row>
    <row r="3222" spans="1:10">
      <c r="A3222" s="43"/>
      <c r="B3222" s="43"/>
      <c r="C3222" s="43"/>
      <c r="D3222" s="43"/>
      <c r="E3222" s="43"/>
      <c r="F3222" s="43"/>
      <c r="G3222" s="43"/>
      <c r="H3222" s="43"/>
      <c r="I3222" s="43"/>
      <c r="J3222" s="43"/>
    </row>
    <row r="3223" spans="1:10">
      <c r="A3223" s="43"/>
      <c r="B3223" s="43"/>
      <c r="C3223" s="43"/>
      <c r="D3223" s="43"/>
      <c r="E3223" s="43"/>
      <c r="F3223" s="43"/>
      <c r="G3223" s="43"/>
      <c r="H3223" s="43"/>
      <c r="I3223" s="43"/>
      <c r="J3223" s="43"/>
    </row>
    <row r="3224" spans="1:10">
      <c r="A3224" s="43"/>
      <c r="B3224" s="43"/>
      <c r="C3224" s="43"/>
      <c r="D3224" s="43"/>
      <c r="E3224" s="43"/>
      <c r="F3224" s="43"/>
      <c r="G3224" s="43"/>
      <c r="H3224" s="43"/>
      <c r="I3224" s="43"/>
      <c r="J3224" s="43"/>
    </row>
    <row r="3225" spans="1:10">
      <c r="A3225" s="43"/>
      <c r="B3225" s="43"/>
      <c r="C3225" s="43"/>
      <c r="D3225" s="43"/>
      <c r="E3225" s="43"/>
      <c r="F3225" s="43"/>
      <c r="G3225" s="43"/>
      <c r="H3225" s="43"/>
      <c r="I3225" s="43"/>
      <c r="J3225" s="43"/>
    </row>
    <row r="3226" spans="1:10">
      <c r="A3226" s="43"/>
      <c r="B3226" s="43"/>
      <c r="C3226" s="43"/>
      <c r="D3226" s="43"/>
      <c r="E3226" s="43"/>
      <c r="F3226" s="43"/>
      <c r="G3226" s="43"/>
      <c r="H3226" s="43"/>
      <c r="I3226" s="43"/>
      <c r="J3226" s="43"/>
    </row>
    <row r="3227" spans="1:10" ht="25.5" customHeight="1">
      <c r="A3227" s="47"/>
      <c r="B3227" s="47"/>
      <c r="C3227" s="47"/>
      <c r="D3227" s="47"/>
      <c r="E3227" s="47"/>
      <c r="F3227" s="43"/>
      <c r="G3227" s="51"/>
      <c r="H3227" s="250" t="s">
        <v>1227</v>
      </c>
      <c r="I3227" s="251"/>
      <c r="J3227" s="43"/>
    </row>
    <row r="3228" spans="1:10">
      <c r="A3228" s="43" t="s">
        <v>1226</v>
      </c>
      <c r="B3228" s="43"/>
      <c r="C3228" s="43"/>
      <c r="D3228" s="43"/>
      <c r="E3228" s="43"/>
      <c r="F3228" s="43"/>
      <c r="G3228" s="43"/>
      <c r="H3228" s="43"/>
      <c r="I3228" s="43"/>
      <c r="J3228" s="43"/>
    </row>
    <row r="3229" spans="1:10">
      <c r="A3229" s="43"/>
      <c r="B3229" s="43"/>
      <c r="C3229" s="43"/>
      <c r="D3229" s="43"/>
      <c r="E3229" s="43"/>
      <c r="F3229" s="43"/>
      <c r="G3229" s="43"/>
      <c r="H3229" s="43"/>
      <c r="I3229" s="43"/>
      <c r="J3229" s="43"/>
    </row>
    <row r="3230" spans="1:10">
      <c r="A3230" s="43"/>
      <c r="B3230" s="43"/>
      <c r="C3230" s="43"/>
      <c r="D3230" s="43"/>
      <c r="E3230" s="256" t="str">
        <f>CONCATENATE("(",$D3201," vs ",$I3201,")")</f>
        <v>(D vs J)</v>
      </c>
      <c r="F3230" s="256"/>
      <c r="G3230" s="43"/>
      <c r="H3230" s="43"/>
      <c r="I3230" s="43"/>
      <c r="J3230" s="43"/>
    </row>
    <row r="3231" spans="1:10" ht="15.75">
      <c r="A3231" s="42" t="s">
        <v>1223</v>
      </c>
      <c r="B3231" s="43"/>
      <c r="C3231" s="43"/>
      <c r="D3231" s="43"/>
      <c r="E3231" s="43"/>
      <c r="F3231" s="43"/>
      <c r="G3231" s="43"/>
      <c r="H3231" s="43"/>
      <c r="I3231" s="43"/>
      <c r="J3231" s="96" t="s">
        <v>4314</v>
      </c>
    </row>
    <row r="3232" spans="1:10" ht="12.75" customHeight="1">
      <c r="A3232" s="42"/>
      <c r="B3232" s="43"/>
      <c r="C3232" s="43"/>
      <c r="D3232" s="43"/>
      <c r="E3232" s="43"/>
      <c r="F3232" s="43"/>
      <c r="G3232" s="43" t="str">
        <f ca="1">Team_Matches!$J$6</f>
        <v>[NCTTA Teams Template (v2.06).xlsx]</v>
      </c>
      <c r="H3232" s="43"/>
      <c r="I3232" s="43"/>
      <c r="J3232" s="160"/>
    </row>
    <row r="3233" spans="1:10" ht="12.75" customHeight="1">
      <c r="A3233" s="42"/>
      <c r="B3233" s="43"/>
      <c r="C3233" s="43"/>
      <c r="D3233" s="43"/>
      <c r="E3233" s="43"/>
      <c r="F3233" s="43"/>
      <c r="G3233" s="247" t="str">
        <f>Team_Matches!$J2404</f>
        <v/>
      </c>
      <c r="H3233" s="247"/>
      <c r="I3233" s="161" t="str">
        <f>Team_Matches!$M2404</f>
        <v/>
      </c>
      <c r="J3233" s="161"/>
    </row>
    <row r="3234" spans="1:10" ht="15.75">
      <c r="A3234" s="42"/>
      <c r="B3234" s="43"/>
      <c r="C3234" s="43"/>
      <c r="D3234" s="43"/>
      <c r="E3234" s="43"/>
      <c r="F3234" s="43"/>
      <c r="G3234" s="43"/>
      <c r="H3234" s="43"/>
      <c r="I3234" s="43"/>
      <c r="J3234" s="43"/>
    </row>
    <row r="3235" spans="1:10">
      <c r="A3235" s="43"/>
      <c r="B3235" s="43"/>
      <c r="C3235" s="9" t="s">
        <v>1228</v>
      </c>
      <c r="D3235" s="52" t="str">
        <f>Team_Matches!$B2406</f>
        <v>D</v>
      </c>
      <c r="E3235" s="43"/>
      <c r="F3235" s="97" t="str">
        <f>CONCATENATE($D3235,"-",$I3235)</f>
        <v>D-J</v>
      </c>
      <c r="G3235" s="43"/>
      <c r="H3235" s="9" t="s">
        <v>1228</v>
      </c>
      <c r="I3235" s="52" t="str">
        <f>Team_Matches!$K2406</f>
        <v>J</v>
      </c>
      <c r="J3235" s="43"/>
    </row>
    <row r="3236" spans="1:10" ht="25.5" customHeight="1">
      <c r="A3236" s="44"/>
      <c r="B3236" s="252" t="str">
        <f>IF(VLOOKUP($D3235,Draw!$A$4:$B$27,2)&lt;&gt;0,VLOOKUP($D3235,Draw!$A$4:$B$27,2),"")</f>
        <v/>
      </c>
      <c r="C3236" s="252"/>
      <c r="D3236" s="252"/>
      <c r="E3236" s="253"/>
      <c r="F3236" s="45"/>
      <c r="G3236" s="248" t="str">
        <f>IF(VLOOKUP($I3235,Draw!$A$4:$B$27,2)&lt;&gt;0,VLOOKUP($I3235,Draw!$A$4:$B$27,2),"")</f>
        <v/>
      </c>
      <c r="H3236" s="248"/>
      <c r="I3236" s="248"/>
      <c r="J3236" s="249"/>
    </row>
    <row r="3237" spans="1:10" ht="25.5" customHeight="1"/>
    <row r="3238" spans="1:10" ht="25.5" customHeight="1"/>
    <row r="3239" spans="1:10" ht="24" customHeight="1">
      <c r="A3239" s="48" t="s">
        <v>1246</v>
      </c>
      <c r="B3239" s="43"/>
      <c r="C3239" s="43"/>
      <c r="D3239" s="43"/>
      <c r="E3239" s="43"/>
      <c r="F3239" s="43"/>
      <c r="G3239" s="43"/>
      <c r="H3239" s="43"/>
      <c r="I3239" s="43"/>
      <c r="J3239" s="43"/>
    </row>
    <row r="3240" spans="1:10" ht="24" customHeight="1">
      <c r="A3240" s="48"/>
      <c r="B3240" s="43"/>
      <c r="C3240" s="43"/>
      <c r="D3240" s="43"/>
      <c r="E3240" s="43"/>
      <c r="F3240" s="43"/>
      <c r="G3240" s="43"/>
      <c r="H3240" s="43"/>
      <c r="I3240" s="43"/>
      <c r="J3240" s="43"/>
    </row>
    <row r="3241" spans="1:10">
      <c r="A3241" s="49" t="s">
        <v>1224</v>
      </c>
      <c r="B3241" s="46"/>
      <c r="C3241" s="46"/>
      <c r="D3241" s="46"/>
      <c r="E3241" s="46"/>
      <c r="F3241" s="46"/>
      <c r="G3241" s="260" t="s">
        <v>10336</v>
      </c>
      <c r="H3241" s="260"/>
      <c r="I3241" s="260"/>
      <c r="J3241" s="260"/>
    </row>
    <row r="3242" spans="1:10" ht="24" customHeight="1">
      <c r="A3242" s="50" t="str">
        <f>CONCATENATE($I3235,"1")</f>
        <v>J1</v>
      </c>
      <c r="B3242" s="255" t="str">
        <f>IF(VLOOKUP($A3242,Players!$A$2:$C$132,3)&lt;&gt;0,VLOOKUP($A3242,Players!$A$2:$C$132,3),"")</f>
        <v/>
      </c>
      <c r="C3242" s="255"/>
      <c r="D3242" s="255"/>
      <c r="E3242" s="255"/>
      <c r="F3242" s="255"/>
      <c r="G3242" s="254" t="str">
        <f>IF(VLOOKUP($D3235&amp;RIGHT($A3242,1),Players!$A$2:$D$132,3)&lt;&gt;0,VLOOKUP($D3235&amp;RIGHT($A3242,1),Players!$A$2:$D$132,3),"")</f>
        <v/>
      </c>
      <c r="H3242" s="254"/>
      <c r="I3242" s="254"/>
      <c r="J3242" s="210" t="str">
        <f>IF(VLOOKUP($D3235&amp;RIGHT($A3242,1),Players!$A$2:$D$132,3)&lt;&gt;0,"("&amp;VLOOKUP($D3235&amp;RIGHT($A3242,1),Players!$A$2:$D$132,4)&amp;")","")</f>
        <v/>
      </c>
    </row>
    <row r="3243" spans="1:10" ht="25.5" customHeight="1">
      <c r="A3243" s="50" t="str">
        <f>CONCATENATE($I3235,"2")</f>
        <v>J2</v>
      </c>
      <c r="B3243" s="255" t="str">
        <f>IF(VLOOKUP($A3243,Players!$A$2:$C$132,3)&lt;&gt;0,VLOOKUP($A3243,Players!$A$2:$C$132,3),"")</f>
        <v/>
      </c>
      <c r="C3243" s="255"/>
      <c r="D3243" s="255"/>
      <c r="E3243" s="255"/>
      <c r="F3243" s="255"/>
      <c r="G3243" s="254" t="str">
        <f>IF(VLOOKUP($D3235&amp;RIGHT($A3243,1),Players!$A$2:$D$132,3)&lt;&gt;0,VLOOKUP($D3235&amp;RIGHT($A3243,1),Players!$A$2:$D$132,3),"")</f>
        <v/>
      </c>
      <c r="H3243" s="254"/>
      <c r="I3243" s="254"/>
      <c r="J3243" s="210" t="str">
        <f>IF(VLOOKUP($D3235&amp;RIGHT($A3243,1),Players!$A$2:$D$132,3)&lt;&gt;0,"("&amp;VLOOKUP($D3235&amp;RIGHT($A3243,1),Players!$A$2:$D$132,4)&amp;")","")</f>
        <v/>
      </c>
    </row>
    <row r="3244" spans="1:10" ht="25.5" customHeight="1">
      <c r="A3244" s="50" t="str">
        <f>CONCATENATE($I3235,"3")</f>
        <v>J3</v>
      </c>
      <c r="B3244" s="255" t="str">
        <f>IF(VLOOKUP($A3244,Players!$A$2:$C$132,3)&lt;&gt;0,VLOOKUP($A3244,Players!$A$2:$C$132,3),"")</f>
        <v/>
      </c>
      <c r="C3244" s="255"/>
      <c r="D3244" s="255"/>
      <c r="E3244" s="255"/>
      <c r="F3244" s="255"/>
      <c r="G3244" s="254" t="str">
        <f>IF(VLOOKUP($D3235&amp;RIGHT($A3244,1),Players!$A$2:$D$132,3)&lt;&gt;0,VLOOKUP($D3235&amp;RIGHT($A3244,1),Players!$A$2:$D$132,3),"")</f>
        <v/>
      </c>
      <c r="H3244" s="254"/>
      <c r="I3244" s="254"/>
      <c r="J3244" s="210" t="str">
        <f>IF(VLOOKUP($D3235&amp;RIGHT($A3244,1),Players!$A$2:$D$132,3)&lt;&gt;0,"("&amp;VLOOKUP($D3235&amp;RIGHT($A3244,1),Players!$A$2:$D$132,4)&amp;")","")</f>
        <v/>
      </c>
    </row>
    <row r="3245" spans="1:10" ht="25.5" customHeight="1">
      <c r="A3245" s="50" t="str">
        <f>CONCATENATE($I3235,"4")</f>
        <v>J4</v>
      </c>
      <c r="B3245" s="255" t="str">
        <f>IF(VLOOKUP($A3245,Players!$A$2:$C$132,3)&lt;&gt;0,VLOOKUP($A3245,Players!$A$2:$C$132,3),"")</f>
        <v/>
      </c>
      <c r="C3245" s="255"/>
      <c r="D3245" s="255"/>
      <c r="E3245" s="255"/>
      <c r="F3245" s="255"/>
      <c r="G3245" s="254" t="str">
        <f>IF(VLOOKUP($D3235&amp;RIGHT($A3245,1),Players!$A$2:$D$132,3)&lt;&gt;0,VLOOKUP($D3235&amp;RIGHT($A3245,1),Players!$A$2:$D$132,3),"")</f>
        <v/>
      </c>
      <c r="H3245" s="254"/>
      <c r="I3245" s="254"/>
      <c r="J3245" s="210" t="str">
        <f>IF(VLOOKUP($D3235&amp;RIGHT($A3245,1),Players!$A$2:$D$132,3)&lt;&gt;0,"("&amp;VLOOKUP($D3235&amp;RIGHT($A3245,1),Players!$A$2:$D$132,4)&amp;")","")</f>
        <v/>
      </c>
    </row>
    <row r="3246" spans="1:10" ht="25.5" customHeight="1">
      <c r="A3246" s="50" t="str">
        <f>CONCATENATE($I3235,"5")</f>
        <v>J5</v>
      </c>
      <c r="B3246" s="255" t="str">
        <f>IF(VLOOKUP($A3246,Players!$A$2:$C$132,3)&lt;&gt;0,VLOOKUP($A3246,Players!$A$2:$C$132,3),"")</f>
        <v/>
      </c>
      <c r="C3246" s="255"/>
      <c r="D3246" s="255"/>
      <c r="E3246" s="255"/>
      <c r="F3246" s="255"/>
      <c r="G3246" s="254" t="str">
        <f>IF(VLOOKUP($D3235&amp;RIGHT($A3246,1),Players!$A$2:$D$132,3)&lt;&gt;0,VLOOKUP($D3235&amp;RIGHT($A3246,1),Players!$A$2:$D$132,3),"")</f>
        <v/>
      </c>
      <c r="H3246" s="254"/>
      <c r="I3246" s="254"/>
      <c r="J3246" s="210" t="str">
        <f>IF(VLOOKUP($D3235&amp;RIGHT($A3246,1),Players!$A$2:$D$132,3)&lt;&gt;0,"("&amp;VLOOKUP($D3235&amp;RIGHT($A3246,1),Players!$A$2:$D$132,4)&amp;")","")</f>
        <v/>
      </c>
    </row>
    <row r="3247" spans="1:10" ht="25.5" customHeight="1">
      <c r="A3247" s="50" t="str">
        <f>CONCATENATE($I3235,"6")</f>
        <v>J6</v>
      </c>
      <c r="B3247" s="255" t="str">
        <f>IF(VLOOKUP($A3247,Players!$A$2:$C$132,3)&lt;&gt;0,VLOOKUP($A3247,Players!$A$2:$C$132,3),"")</f>
        <v/>
      </c>
      <c r="C3247" s="255"/>
      <c r="D3247" s="255"/>
      <c r="E3247" s="255"/>
      <c r="F3247" s="255"/>
      <c r="G3247" s="254" t="str">
        <f>IF(VLOOKUP($D3235&amp;RIGHT($A3247,1),Players!$A$2:$D$132,3)&lt;&gt;0,VLOOKUP($D3235&amp;RIGHT($A3247,1),Players!$A$2:$D$132,3),"")</f>
        <v/>
      </c>
      <c r="H3247" s="254"/>
      <c r="I3247" s="254"/>
      <c r="J3247" s="210" t="str">
        <f>IF(VLOOKUP($D3235&amp;RIGHT($A3247,1),Players!$A$2:$D$132,3)&lt;&gt;0,"("&amp;VLOOKUP($D3235&amp;RIGHT($A3247,1),Players!$A$2:$D$132,4)&amp;")","")</f>
        <v/>
      </c>
    </row>
    <row r="3248" spans="1:10" ht="25.5" customHeight="1">
      <c r="A3248" s="50" t="str">
        <f>CONCATENATE($I3235,"7")</f>
        <v>J7</v>
      </c>
      <c r="B3248" s="255" t="str">
        <f>IF(VLOOKUP($A3248,Players!$A$2:$C$132,3)&lt;&gt;0,VLOOKUP($A3248,Players!$A$2:$C$132,3),"")</f>
        <v/>
      </c>
      <c r="C3248" s="255"/>
      <c r="D3248" s="255"/>
      <c r="E3248" s="255"/>
      <c r="F3248" s="255"/>
      <c r="G3248" s="254" t="str">
        <f>IF(VLOOKUP($D3235&amp;RIGHT($A3248,1),Players!$A$2:$D$132,3)&lt;&gt;0,VLOOKUP($D3235&amp;RIGHT($A3248,1),Players!$A$2:$D$132,3),"")</f>
        <v/>
      </c>
      <c r="H3248" s="254"/>
      <c r="I3248" s="254"/>
      <c r="J3248" s="210" t="str">
        <f>IF(VLOOKUP($D3235&amp;RIGHT($A3248,1),Players!$A$2:$D$132,3)&lt;&gt;0,"("&amp;VLOOKUP($D3235&amp;RIGHT($A3248,1),Players!$A$2:$D$132,4)&amp;")","")</f>
        <v/>
      </c>
    </row>
    <row r="3249" spans="1:10" ht="25.5" customHeight="1">
      <c r="A3249" s="50" t="str">
        <f>CONCATENATE($I3235,"8")</f>
        <v>J8</v>
      </c>
      <c r="B3249" s="255" t="str">
        <f>IF(VLOOKUP($A3249,Players!$A$2:$C$132,3)&lt;&gt;0,VLOOKUP($A3249,Players!$A$2:$C$132,3),"")</f>
        <v/>
      </c>
      <c r="C3249" s="255"/>
      <c r="D3249" s="255"/>
      <c r="E3249" s="255"/>
      <c r="F3249" s="255"/>
      <c r="G3249" s="254" t="str">
        <f>IF(VLOOKUP($D3235&amp;RIGHT($A3249,1),Players!$A$2:$D$132,3)&lt;&gt;0,VLOOKUP($D3235&amp;RIGHT($A3249,1),Players!$A$2:$D$132,3),"")</f>
        <v/>
      </c>
      <c r="H3249" s="254"/>
      <c r="I3249" s="254"/>
      <c r="J3249" s="210" t="str">
        <f>IF(VLOOKUP($D3235&amp;RIGHT($A3249,1),Players!$A$2:$D$132,3)&lt;&gt;0,"("&amp;VLOOKUP($D3235&amp;RIGHT($A3249,1),Players!$A$2:$D$132,4)&amp;")","")</f>
        <v/>
      </c>
    </row>
    <row r="3250" spans="1:10" ht="25.5" customHeight="1">
      <c r="A3250" s="50"/>
      <c r="B3250" s="26"/>
      <c r="C3250" s="26"/>
      <c r="D3250" s="26"/>
      <c r="E3250" s="26"/>
      <c r="F3250" s="27"/>
      <c r="G3250" s="43"/>
      <c r="H3250" s="43"/>
      <c r="I3250" s="43"/>
      <c r="J3250" s="43"/>
    </row>
    <row r="3251" spans="1:10">
      <c r="A3251" s="49" t="s">
        <v>1225</v>
      </c>
      <c r="B3251" s="46"/>
      <c r="C3251" s="46"/>
      <c r="D3251" s="46"/>
      <c r="E3251" s="46"/>
      <c r="F3251" s="46"/>
      <c r="G3251" s="43"/>
      <c r="H3251" s="43"/>
      <c r="I3251" s="43"/>
      <c r="J3251" s="43"/>
    </row>
    <row r="3252" spans="1:10">
      <c r="A3252" s="46" t="s">
        <v>1247</v>
      </c>
      <c r="B3252" s="46"/>
      <c r="C3252" s="46"/>
      <c r="D3252" s="46"/>
      <c r="E3252" s="46"/>
      <c r="F3252" s="46"/>
      <c r="G3252" s="43"/>
      <c r="H3252" s="43"/>
      <c r="I3252" s="43"/>
      <c r="J3252" s="43"/>
    </row>
    <row r="3253" spans="1:10">
      <c r="A3253" s="46" t="s">
        <v>1248</v>
      </c>
      <c r="B3253" s="46"/>
      <c r="C3253" s="46"/>
      <c r="D3253" s="46"/>
      <c r="E3253" s="46"/>
      <c r="F3253" s="46"/>
      <c r="G3253" s="43"/>
      <c r="H3253" s="43"/>
      <c r="I3253" s="43"/>
      <c r="J3253" s="43"/>
    </row>
    <row r="3254" spans="1:10" ht="13.5" thickBot="1">
      <c r="A3254" s="46"/>
      <c r="B3254" s="46"/>
      <c r="C3254" s="46"/>
      <c r="D3254" s="46"/>
      <c r="E3254" s="46"/>
      <c r="F3254" s="46"/>
      <c r="G3254" s="43"/>
      <c r="H3254" s="43"/>
      <c r="I3254" s="43"/>
      <c r="J3254" s="43"/>
    </row>
    <row r="3255" spans="1:10" ht="25.5" customHeight="1" thickBot="1">
      <c r="A3255" s="50"/>
      <c r="B3255" s="257"/>
      <c r="C3255" s="258"/>
      <c r="D3255" s="258"/>
      <c r="E3255" s="258"/>
      <c r="F3255" s="259"/>
      <c r="G3255" s="43"/>
      <c r="H3255" s="43"/>
      <c r="I3255" s="43"/>
      <c r="J3255" s="43"/>
    </row>
    <row r="3256" spans="1:10">
      <c r="A3256" s="43"/>
      <c r="B3256" s="43"/>
      <c r="C3256" s="43"/>
      <c r="D3256" s="43"/>
      <c r="E3256" s="43"/>
      <c r="F3256" s="43"/>
      <c r="G3256" s="43"/>
      <c r="H3256" s="43"/>
      <c r="I3256" s="43"/>
      <c r="J3256" s="43"/>
    </row>
    <row r="3257" spans="1:10">
      <c r="A3257" s="43"/>
      <c r="B3257" s="43"/>
      <c r="C3257" s="43"/>
      <c r="D3257" s="43"/>
      <c r="E3257" s="43"/>
      <c r="F3257" s="43"/>
      <c r="G3257" s="43"/>
      <c r="H3257" s="43"/>
      <c r="I3257" s="43"/>
      <c r="J3257" s="43"/>
    </row>
    <row r="3258" spans="1:10">
      <c r="A3258" s="43"/>
      <c r="B3258" s="43"/>
      <c r="C3258" s="43"/>
      <c r="D3258" s="43"/>
      <c r="E3258" s="43"/>
      <c r="F3258" s="43"/>
      <c r="G3258" s="43"/>
      <c r="H3258" s="43"/>
      <c r="I3258" s="43"/>
      <c r="J3258" s="43"/>
    </row>
    <row r="3259" spans="1:10">
      <c r="A3259" s="43"/>
      <c r="B3259" s="43"/>
      <c r="C3259" s="43"/>
      <c r="D3259" s="43"/>
      <c r="E3259" s="43"/>
      <c r="F3259" s="43"/>
      <c r="G3259" s="43"/>
      <c r="H3259" s="43"/>
      <c r="I3259" s="43"/>
      <c r="J3259" s="43"/>
    </row>
    <row r="3260" spans="1:10">
      <c r="A3260" s="43"/>
      <c r="B3260" s="43"/>
      <c r="C3260" s="43"/>
      <c r="D3260" s="43"/>
      <c r="E3260" s="43"/>
      <c r="F3260" s="43"/>
      <c r="G3260" s="43"/>
      <c r="H3260" s="43"/>
      <c r="I3260" s="43"/>
      <c r="J3260" s="43"/>
    </row>
    <row r="3261" spans="1:10" ht="25.5" customHeight="1">
      <c r="A3261" s="47"/>
      <c r="B3261" s="47"/>
      <c r="C3261" s="47"/>
      <c r="D3261" s="47"/>
      <c r="E3261" s="47"/>
      <c r="F3261" s="43"/>
      <c r="G3261" s="51"/>
      <c r="H3261" s="250" t="s">
        <v>1227</v>
      </c>
      <c r="I3261" s="251"/>
      <c r="J3261" s="43"/>
    </row>
    <row r="3262" spans="1:10">
      <c r="A3262" s="43" t="s">
        <v>1226</v>
      </c>
      <c r="B3262" s="43"/>
      <c r="C3262" s="43"/>
      <c r="D3262" s="43"/>
      <c r="E3262" s="43"/>
      <c r="F3262" s="43"/>
      <c r="G3262" s="43"/>
      <c r="H3262" s="43"/>
      <c r="I3262" s="43"/>
      <c r="J3262" s="43"/>
    </row>
    <row r="3263" spans="1:10">
      <c r="A3263" s="43"/>
      <c r="B3263" s="43"/>
      <c r="C3263" s="43"/>
      <c r="D3263" s="43"/>
      <c r="E3263" s="43"/>
      <c r="F3263" s="43"/>
      <c r="G3263" s="43"/>
      <c r="H3263" s="43"/>
      <c r="I3263" s="43"/>
      <c r="J3263" s="43"/>
    </row>
    <row r="3264" spans="1:10">
      <c r="A3264" s="43"/>
      <c r="B3264" s="43"/>
      <c r="C3264" s="43"/>
      <c r="D3264" s="43"/>
      <c r="E3264" s="256" t="str">
        <f>CONCATENATE("(",$D3235," vs ",$I3235,")")</f>
        <v>(D vs J)</v>
      </c>
      <c r="F3264" s="256"/>
      <c r="G3264" s="43"/>
      <c r="H3264" s="43"/>
      <c r="I3264" s="43"/>
      <c r="J3264" s="43"/>
    </row>
    <row r="3265" spans="1:10" ht="15.75">
      <c r="A3265" s="42" t="s">
        <v>1223</v>
      </c>
      <c r="B3265" s="43"/>
      <c r="C3265" s="43"/>
      <c r="D3265" s="43"/>
      <c r="E3265" s="43"/>
      <c r="F3265" s="43"/>
      <c r="G3265" s="43"/>
      <c r="H3265" s="43"/>
      <c r="I3265" s="43"/>
      <c r="J3265" s="96" t="s">
        <v>4315</v>
      </c>
    </row>
    <row r="3266" spans="1:10" ht="12.75" customHeight="1">
      <c r="A3266" s="42"/>
      <c r="B3266" s="43"/>
      <c r="C3266" s="43"/>
      <c r="D3266" s="43"/>
      <c r="E3266" s="43"/>
      <c r="F3266" s="43"/>
      <c r="G3266" s="43" t="str">
        <f ca="1">Team_Matches!$J$6</f>
        <v>[NCTTA Teams Template (v2.06).xlsx]</v>
      </c>
      <c r="H3266" s="43"/>
      <c r="I3266" s="43"/>
      <c r="J3266" s="160"/>
    </row>
    <row r="3267" spans="1:10" ht="12.75" customHeight="1">
      <c r="A3267" s="42"/>
      <c r="B3267" s="43"/>
      <c r="C3267" s="43"/>
      <c r="D3267" s="43"/>
      <c r="E3267" s="43"/>
      <c r="F3267" s="43"/>
      <c r="G3267" s="247" t="str">
        <f>Team_Matches!$J2455</f>
        <v/>
      </c>
      <c r="H3267" s="247"/>
      <c r="I3267" s="161" t="str">
        <f>Team_Matches!$M2455</f>
        <v/>
      </c>
      <c r="J3267" s="161"/>
    </row>
    <row r="3268" spans="1:10" ht="15.75">
      <c r="A3268" s="42"/>
      <c r="B3268" s="43"/>
      <c r="C3268" s="43"/>
      <c r="D3268" s="43"/>
      <c r="E3268" s="43"/>
      <c r="F3268" s="43"/>
      <c r="G3268" s="43"/>
      <c r="H3268" s="43"/>
      <c r="I3268" s="43"/>
      <c r="J3268" s="43"/>
    </row>
    <row r="3269" spans="1:10">
      <c r="A3269" s="43"/>
      <c r="B3269" s="43"/>
      <c r="C3269" s="9" t="s">
        <v>1228</v>
      </c>
      <c r="D3269" s="52" t="str">
        <f>Team_Matches!$B2457</f>
        <v>D</v>
      </c>
      <c r="E3269" s="43"/>
      <c r="F3269" s="97" t="str">
        <f>CONCATENATE($D3269,"-",$I3269)</f>
        <v>D-K</v>
      </c>
      <c r="G3269" s="43"/>
      <c r="H3269" s="9" t="s">
        <v>1228</v>
      </c>
      <c r="I3269" s="52" t="str">
        <f>Team_Matches!$K2457</f>
        <v>K</v>
      </c>
      <c r="J3269" s="43"/>
    </row>
    <row r="3270" spans="1:10" ht="25.5" customHeight="1">
      <c r="A3270" s="44"/>
      <c r="B3270" s="248" t="str">
        <f>IF(VLOOKUP($D3269,Draw!$A$4:$B$27,2)&lt;&gt;0,VLOOKUP($D3269,Draw!$A$4:$B$27,2),"")</f>
        <v/>
      </c>
      <c r="C3270" s="248"/>
      <c r="D3270" s="248"/>
      <c r="E3270" s="249"/>
      <c r="F3270" s="45"/>
      <c r="G3270" s="252" t="str">
        <f>IF(VLOOKUP($I3269,Draw!$A$4:$B$27,2)&lt;&gt;0,VLOOKUP($I3269,Draw!$A$4:$B$27,2),"")</f>
        <v/>
      </c>
      <c r="H3270" s="252"/>
      <c r="I3270" s="252"/>
      <c r="J3270" s="253"/>
    </row>
    <row r="3271" spans="1:10" ht="25.5" customHeight="1"/>
    <row r="3272" spans="1:10" ht="25.5" customHeight="1"/>
    <row r="3273" spans="1:10" ht="24" customHeight="1">
      <c r="A3273" s="48" t="s">
        <v>1246</v>
      </c>
      <c r="B3273" s="43"/>
      <c r="C3273" s="43"/>
      <c r="D3273" s="43"/>
      <c r="E3273" s="43"/>
      <c r="F3273" s="43"/>
      <c r="G3273" s="43"/>
      <c r="H3273" s="43"/>
      <c r="I3273" s="43"/>
      <c r="J3273" s="43"/>
    </row>
    <row r="3274" spans="1:10" ht="24" customHeight="1">
      <c r="A3274" s="48"/>
      <c r="B3274" s="43"/>
      <c r="C3274" s="43"/>
      <c r="D3274" s="43"/>
      <c r="E3274" s="43"/>
      <c r="F3274" s="43"/>
      <c r="G3274" s="43"/>
      <c r="H3274" s="43"/>
      <c r="I3274" s="43"/>
      <c r="J3274" s="43"/>
    </row>
    <row r="3275" spans="1:10">
      <c r="A3275" s="49" t="s">
        <v>1224</v>
      </c>
      <c r="B3275" s="46"/>
      <c r="C3275" s="46"/>
      <c r="D3275" s="46"/>
      <c r="E3275" s="46"/>
      <c r="F3275" s="46"/>
      <c r="G3275" s="260" t="s">
        <v>10336</v>
      </c>
      <c r="H3275" s="260"/>
      <c r="I3275" s="260"/>
      <c r="J3275" s="260"/>
    </row>
    <row r="3276" spans="1:10" ht="24" customHeight="1">
      <c r="A3276" s="50" t="str">
        <f>CONCATENATE($D3269,"1")</f>
        <v>D1</v>
      </c>
      <c r="B3276" s="255" t="str">
        <f>IF(VLOOKUP($A3276,Players!$A$2:$C$132,3)&lt;&gt;0,VLOOKUP($A3276,Players!$A$2:$C$132,3),"")</f>
        <v/>
      </c>
      <c r="C3276" s="255"/>
      <c r="D3276" s="255"/>
      <c r="E3276" s="255"/>
      <c r="F3276" s="255"/>
      <c r="G3276" s="254" t="str">
        <f>IF(VLOOKUP($I3269&amp;RIGHT($A3276,1),Players!$A$2:$D$132,3)&lt;&gt;0,VLOOKUP($I3269&amp;RIGHT($A3276,1),Players!$A$2:$D$132,3),"")</f>
        <v/>
      </c>
      <c r="H3276" s="254"/>
      <c r="I3276" s="254"/>
      <c r="J3276" s="210" t="str">
        <f>IF(VLOOKUP($I3269&amp;RIGHT($A3276,1),Players!$A$2:$D$132,3)&lt;&gt;0,"("&amp;VLOOKUP($I3269&amp;RIGHT($A3276,1),Players!$A$2:$D$132,4)&amp;")","")</f>
        <v/>
      </c>
    </row>
    <row r="3277" spans="1:10" ht="25.5" customHeight="1">
      <c r="A3277" s="50" t="str">
        <f>CONCATENATE($D3269,"2")</f>
        <v>D2</v>
      </c>
      <c r="B3277" s="255" t="str">
        <f>IF(VLOOKUP($A3277,Players!$A$2:$C$132,3)&lt;&gt;0,VLOOKUP($A3277,Players!$A$2:$C$132,3),"")</f>
        <v/>
      </c>
      <c r="C3277" s="255"/>
      <c r="D3277" s="255"/>
      <c r="E3277" s="255"/>
      <c r="F3277" s="255"/>
      <c r="G3277" s="254" t="str">
        <f>IF(VLOOKUP($I3269&amp;RIGHT($A3277,1),Players!$A$2:$D$132,3)&lt;&gt;0,VLOOKUP($I3269&amp;RIGHT($A3277,1),Players!$A$2:$D$132,3),"")</f>
        <v/>
      </c>
      <c r="H3277" s="254"/>
      <c r="I3277" s="254"/>
      <c r="J3277" s="210" t="str">
        <f>IF(VLOOKUP($I3269&amp;RIGHT($A3277,1),Players!$A$2:$D$132,3)&lt;&gt;0,"("&amp;VLOOKUP($I3269&amp;RIGHT($A3277,1),Players!$A$2:$D$132,4)&amp;")","")</f>
        <v/>
      </c>
    </row>
    <row r="3278" spans="1:10" ht="25.5" customHeight="1">
      <c r="A3278" s="50" t="str">
        <f>CONCATENATE($D3269,"3")</f>
        <v>D3</v>
      </c>
      <c r="B3278" s="255" t="str">
        <f>IF(VLOOKUP($A3278,Players!$A$2:$C$132,3)&lt;&gt;0,VLOOKUP($A3278,Players!$A$2:$C$132,3),"")</f>
        <v/>
      </c>
      <c r="C3278" s="255"/>
      <c r="D3278" s="255"/>
      <c r="E3278" s="255"/>
      <c r="F3278" s="255"/>
      <c r="G3278" s="254" t="str">
        <f>IF(VLOOKUP($I3269&amp;RIGHT($A3278,1),Players!$A$2:$D$132,3)&lt;&gt;0,VLOOKUP($I3269&amp;RIGHT($A3278,1),Players!$A$2:$D$132,3),"")</f>
        <v/>
      </c>
      <c r="H3278" s="254"/>
      <c r="I3278" s="254"/>
      <c r="J3278" s="210" t="str">
        <f>IF(VLOOKUP($I3269&amp;RIGHT($A3278,1),Players!$A$2:$D$132,3)&lt;&gt;0,"("&amp;VLOOKUP($I3269&amp;RIGHT($A3278,1),Players!$A$2:$D$132,4)&amp;")","")</f>
        <v/>
      </c>
    </row>
    <row r="3279" spans="1:10" ht="25.5" customHeight="1">
      <c r="A3279" s="50" t="str">
        <f>CONCATENATE($D3269,"4")</f>
        <v>D4</v>
      </c>
      <c r="B3279" s="255" t="str">
        <f>IF(VLOOKUP($A3279,Players!$A$2:$C$132,3)&lt;&gt;0,VLOOKUP($A3279,Players!$A$2:$C$132,3),"")</f>
        <v/>
      </c>
      <c r="C3279" s="255"/>
      <c r="D3279" s="255"/>
      <c r="E3279" s="255"/>
      <c r="F3279" s="255"/>
      <c r="G3279" s="254" t="str">
        <f>IF(VLOOKUP($I3269&amp;RIGHT($A3279,1),Players!$A$2:$D$132,3)&lt;&gt;0,VLOOKUP($I3269&amp;RIGHT($A3279,1),Players!$A$2:$D$132,3),"")</f>
        <v/>
      </c>
      <c r="H3279" s="254"/>
      <c r="I3279" s="254"/>
      <c r="J3279" s="210" t="str">
        <f>IF(VLOOKUP($I3269&amp;RIGHT($A3279,1),Players!$A$2:$D$132,3)&lt;&gt;0,"("&amp;VLOOKUP($I3269&amp;RIGHT($A3279,1),Players!$A$2:$D$132,4)&amp;")","")</f>
        <v/>
      </c>
    </row>
    <row r="3280" spans="1:10" ht="25.5" customHeight="1">
      <c r="A3280" s="50" t="str">
        <f>CONCATENATE($D3269,"5")</f>
        <v>D5</v>
      </c>
      <c r="B3280" s="255" t="str">
        <f>IF(VLOOKUP($A3280,Players!$A$2:$C$132,3)&lt;&gt;0,VLOOKUP($A3280,Players!$A$2:$C$132,3),"")</f>
        <v/>
      </c>
      <c r="C3280" s="255"/>
      <c r="D3280" s="255"/>
      <c r="E3280" s="255"/>
      <c r="F3280" s="255"/>
      <c r="G3280" s="254" t="str">
        <f>IF(VLOOKUP($I3269&amp;RIGHT($A3280,1),Players!$A$2:$D$132,3)&lt;&gt;0,VLOOKUP($I3269&amp;RIGHT($A3280,1),Players!$A$2:$D$132,3),"")</f>
        <v/>
      </c>
      <c r="H3280" s="254"/>
      <c r="I3280" s="254"/>
      <c r="J3280" s="210" t="str">
        <f>IF(VLOOKUP($I3269&amp;RIGHT($A3280,1),Players!$A$2:$D$132,3)&lt;&gt;0,"("&amp;VLOOKUP($I3269&amp;RIGHT($A3280,1),Players!$A$2:$D$132,4)&amp;")","")</f>
        <v/>
      </c>
    </row>
    <row r="3281" spans="1:10" ht="25.5" customHeight="1">
      <c r="A3281" s="50" t="str">
        <f>CONCATENATE($D3269,"6")</f>
        <v>D6</v>
      </c>
      <c r="B3281" s="255" t="str">
        <f>IF(VLOOKUP($A3281,Players!$A$2:$C$132,3)&lt;&gt;0,VLOOKUP($A3281,Players!$A$2:$C$132,3),"")</f>
        <v/>
      </c>
      <c r="C3281" s="255"/>
      <c r="D3281" s="255"/>
      <c r="E3281" s="255"/>
      <c r="F3281" s="255"/>
      <c r="G3281" s="254" t="str">
        <f>IF(VLOOKUP($I3269&amp;RIGHT($A3281,1),Players!$A$2:$D$132,3)&lt;&gt;0,VLOOKUP($I3269&amp;RIGHT($A3281,1),Players!$A$2:$D$132,3),"")</f>
        <v/>
      </c>
      <c r="H3281" s="254"/>
      <c r="I3281" s="254"/>
      <c r="J3281" s="210" t="str">
        <f>IF(VLOOKUP($I3269&amp;RIGHT($A3281,1),Players!$A$2:$D$132,3)&lt;&gt;0,"("&amp;VLOOKUP($I3269&amp;RIGHT($A3281,1),Players!$A$2:$D$132,4)&amp;")","")</f>
        <v/>
      </c>
    </row>
    <row r="3282" spans="1:10" ht="25.5" customHeight="1">
      <c r="A3282" s="50" t="str">
        <f>CONCATENATE($D3269,"7")</f>
        <v>D7</v>
      </c>
      <c r="B3282" s="255" t="str">
        <f>IF(VLOOKUP($A3282,Players!$A$2:$C$132,3)&lt;&gt;0,VLOOKUP($A3282,Players!$A$2:$C$132,3),"")</f>
        <v/>
      </c>
      <c r="C3282" s="255"/>
      <c r="D3282" s="255"/>
      <c r="E3282" s="255"/>
      <c r="F3282" s="255"/>
      <c r="G3282" s="254" t="str">
        <f>IF(VLOOKUP($I3269&amp;RIGHT($A3282,1),Players!$A$2:$D$132,3)&lt;&gt;0,VLOOKUP($I3269&amp;RIGHT($A3282,1),Players!$A$2:$D$132,3),"")</f>
        <v/>
      </c>
      <c r="H3282" s="254"/>
      <c r="I3282" s="254"/>
      <c r="J3282" s="210" t="str">
        <f>IF(VLOOKUP($I3269&amp;RIGHT($A3282,1),Players!$A$2:$D$132,3)&lt;&gt;0,"("&amp;VLOOKUP($I3269&amp;RIGHT($A3282,1),Players!$A$2:$D$132,4)&amp;")","")</f>
        <v/>
      </c>
    </row>
    <row r="3283" spans="1:10" ht="25.5" customHeight="1">
      <c r="A3283" s="50" t="str">
        <f>CONCATENATE($D3269,"8")</f>
        <v>D8</v>
      </c>
      <c r="B3283" s="255" t="str">
        <f>IF(VLOOKUP($A3283,Players!$A$2:$C$132,3)&lt;&gt;0,VLOOKUP($A3283,Players!$A$2:$C$132,3),"")</f>
        <v/>
      </c>
      <c r="C3283" s="255"/>
      <c r="D3283" s="255"/>
      <c r="E3283" s="255"/>
      <c r="F3283" s="255"/>
      <c r="G3283" s="254" t="str">
        <f>IF(VLOOKUP($I3269&amp;RIGHT($A3283,1),Players!$A$2:$D$132,3)&lt;&gt;0,VLOOKUP($I3269&amp;RIGHT($A3283,1),Players!$A$2:$D$132,3),"")</f>
        <v/>
      </c>
      <c r="H3283" s="254"/>
      <c r="I3283" s="254"/>
      <c r="J3283" s="210" t="str">
        <f>IF(VLOOKUP($I3269&amp;RIGHT($A3283,1),Players!$A$2:$D$132,3)&lt;&gt;0,"("&amp;VLOOKUP($I3269&amp;RIGHT($A3283,1),Players!$A$2:$D$132,4)&amp;")","")</f>
        <v/>
      </c>
    </row>
    <row r="3284" spans="1:10" ht="25.5" customHeight="1">
      <c r="A3284" s="50"/>
      <c r="B3284" s="26"/>
      <c r="C3284" s="26"/>
      <c r="D3284" s="26"/>
      <c r="E3284" s="26"/>
      <c r="F3284" s="27"/>
      <c r="G3284" s="43"/>
      <c r="H3284" s="43"/>
      <c r="I3284" s="43"/>
      <c r="J3284" s="43"/>
    </row>
    <row r="3285" spans="1:10">
      <c r="A3285" s="49" t="s">
        <v>1225</v>
      </c>
      <c r="B3285" s="46"/>
      <c r="C3285" s="46"/>
      <c r="D3285" s="46"/>
      <c r="E3285" s="46"/>
      <c r="F3285" s="46"/>
      <c r="G3285" s="43"/>
      <c r="H3285" s="43"/>
      <c r="I3285" s="43"/>
      <c r="J3285" s="43"/>
    </row>
    <row r="3286" spans="1:10">
      <c r="A3286" s="46" t="s">
        <v>1247</v>
      </c>
      <c r="B3286" s="46"/>
      <c r="C3286" s="46"/>
      <c r="D3286" s="46"/>
      <c r="E3286" s="46"/>
      <c r="F3286" s="46"/>
      <c r="G3286" s="43"/>
      <c r="H3286" s="43"/>
      <c r="I3286" s="43"/>
      <c r="J3286" s="43"/>
    </row>
    <row r="3287" spans="1:10">
      <c r="A3287" s="46" t="s">
        <v>1248</v>
      </c>
      <c r="B3287" s="46"/>
      <c r="C3287" s="46"/>
      <c r="D3287" s="46"/>
      <c r="E3287" s="46"/>
      <c r="F3287" s="46"/>
      <c r="G3287" s="43"/>
      <c r="H3287" s="43"/>
      <c r="I3287" s="43"/>
      <c r="J3287" s="43"/>
    </row>
    <row r="3288" spans="1:10" ht="13.5" thickBot="1">
      <c r="A3288" s="46"/>
      <c r="B3288" s="46"/>
      <c r="C3288" s="46"/>
      <c r="D3288" s="46"/>
      <c r="E3288" s="46"/>
      <c r="F3288" s="46"/>
      <c r="G3288" s="43"/>
      <c r="H3288" s="43"/>
      <c r="I3288" s="43"/>
      <c r="J3288" s="43"/>
    </row>
    <row r="3289" spans="1:10" ht="25.5" customHeight="1" thickBot="1">
      <c r="A3289" s="50"/>
      <c r="B3289" s="257"/>
      <c r="C3289" s="258"/>
      <c r="D3289" s="258"/>
      <c r="E3289" s="258"/>
      <c r="F3289" s="259"/>
      <c r="G3289" s="43"/>
      <c r="H3289" s="43"/>
      <c r="I3289" s="43"/>
      <c r="J3289" s="43"/>
    </row>
    <row r="3290" spans="1:10">
      <c r="A3290" s="43"/>
      <c r="B3290" s="43"/>
      <c r="C3290" s="43"/>
      <c r="D3290" s="43"/>
      <c r="E3290" s="43"/>
      <c r="F3290" s="43"/>
      <c r="G3290" s="43"/>
      <c r="H3290" s="43"/>
      <c r="I3290" s="43"/>
      <c r="J3290" s="43"/>
    </row>
    <row r="3291" spans="1:10">
      <c r="A3291" s="43"/>
      <c r="B3291" s="43"/>
      <c r="C3291" s="43"/>
      <c r="D3291" s="43"/>
      <c r="E3291" s="43"/>
      <c r="F3291" s="43"/>
      <c r="G3291" s="43"/>
      <c r="H3291" s="43"/>
      <c r="I3291" s="43"/>
      <c r="J3291" s="43"/>
    </row>
    <row r="3292" spans="1:10">
      <c r="A3292" s="43"/>
      <c r="B3292" s="43"/>
      <c r="C3292" s="43"/>
      <c r="D3292" s="43"/>
      <c r="E3292" s="43"/>
      <c r="F3292" s="43"/>
      <c r="G3292" s="43"/>
      <c r="H3292" s="43"/>
      <c r="I3292" s="43"/>
      <c r="J3292" s="43"/>
    </row>
    <row r="3293" spans="1:10">
      <c r="A3293" s="43"/>
      <c r="B3293" s="43"/>
      <c r="C3293" s="43"/>
      <c r="D3293" s="43"/>
      <c r="E3293" s="43"/>
      <c r="F3293" s="43"/>
      <c r="G3293" s="43"/>
      <c r="H3293" s="43"/>
      <c r="I3293" s="43"/>
      <c r="J3293" s="43"/>
    </row>
    <row r="3294" spans="1:10">
      <c r="A3294" s="43"/>
      <c r="B3294" s="43"/>
      <c r="C3294" s="43"/>
      <c r="D3294" s="43"/>
      <c r="E3294" s="43"/>
      <c r="F3294" s="43"/>
      <c r="G3294" s="43"/>
      <c r="H3294" s="43"/>
      <c r="I3294" s="43"/>
      <c r="J3294" s="43"/>
    </row>
    <row r="3295" spans="1:10" ht="25.5" customHeight="1">
      <c r="A3295" s="47"/>
      <c r="B3295" s="47"/>
      <c r="C3295" s="47"/>
      <c r="D3295" s="47"/>
      <c r="E3295" s="47"/>
      <c r="F3295" s="43"/>
      <c r="G3295" s="51"/>
      <c r="H3295" s="250" t="s">
        <v>1227</v>
      </c>
      <c r="I3295" s="251"/>
      <c r="J3295" s="43"/>
    </row>
    <row r="3296" spans="1:10">
      <c r="A3296" s="43" t="s">
        <v>1226</v>
      </c>
      <c r="B3296" s="43"/>
      <c r="C3296" s="43"/>
      <c r="D3296" s="43"/>
      <c r="E3296" s="43"/>
      <c r="F3296" s="43"/>
      <c r="G3296" s="43"/>
      <c r="H3296" s="43"/>
      <c r="I3296" s="43"/>
      <c r="J3296" s="43"/>
    </row>
    <row r="3297" spans="1:10">
      <c r="A3297" s="43"/>
      <c r="B3297" s="43"/>
      <c r="C3297" s="43"/>
      <c r="D3297" s="43"/>
      <c r="E3297" s="43"/>
      <c r="F3297" s="43"/>
      <c r="G3297" s="43"/>
      <c r="H3297" s="43"/>
      <c r="I3297" s="43"/>
      <c r="J3297" s="43"/>
    </row>
    <row r="3298" spans="1:10">
      <c r="A3298" s="43"/>
      <c r="B3298" s="43"/>
      <c r="C3298" s="43"/>
      <c r="D3298" s="43"/>
      <c r="E3298" s="256" t="str">
        <f>CONCATENATE("(",$D3269," vs ",$I3269,")")</f>
        <v>(D vs K)</v>
      </c>
      <c r="F3298" s="256"/>
      <c r="G3298" s="43"/>
      <c r="H3298" s="43"/>
      <c r="I3298" s="43"/>
      <c r="J3298" s="43"/>
    </row>
    <row r="3299" spans="1:10" ht="15.75">
      <c r="A3299" s="42" t="s">
        <v>1223</v>
      </c>
      <c r="B3299" s="43"/>
      <c r="C3299" s="43"/>
      <c r="D3299" s="43"/>
      <c r="E3299" s="43"/>
      <c r="F3299" s="43"/>
      <c r="G3299" s="43"/>
      <c r="H3299" s="43"/>
      <c r="I3299" s="43"/>
      <c r="J3299" s="96" t="s">
        <v>4316</v>
      </c>
    </row>
    <row r="3300" spans="1:10" ht="12.75" customHeight="1">
      <c r="A3300" s="42"/>
      <c r="B3300" s="43"/>
      <c r="C3300" s="43"/>
      <c r="D3300" s="43"/>
      <c r="E3300" s="43"/>
      <c r="F3300" s="43"/>
      <c r="G3300" s="43" t="str">
        <f ca="1">Team_Matches!$J$6</f>
        <v>[NCTTA Teams Template (v2.06).xlsx]</v>
      </c>
      <c r="H3300" s="43"/>
      <c r="I3300" s="43"/>
      <c r="J3300" s="160"/>
    </row>
    <row r="3301" spans="1:10" ht="12.75" customHeight="1">
      <c r="A3301" s="42"/>
      <c r="B3301" s="43"/>
      <c r="C3301" s="43"/>
      <c r="D3301" s="43"/>
      <c r="E3301" s="43"/>
      <c r="F3301" s="43"/>
      <c r="G3301" s="247" t="str">
        <f>Team_Matches!$J2455</f>
        <v/>
      </c>
      <c r="H3301" s="247"/>
      <c r="I3301" s="161" t="str">
        <f>Team_Matches!$M2455</f>
        <v/>
      </c>
      <c r="J3301" s="161"/>
    </row>
    <row r="3302" spans="1:10" ht="15.75">
      <c r="A3302" s="42"/>
      <c r="B3302" s="43"/>
      <c r="C3302" s="43"/>
      <c r="D3302" s="43"/>
      <c r="E3302" s="43"/>
      <c r="F3302" s="43"/>
      <c r="G3302" s="43"/>
      <c r="H3302" s="43"/>
      <c r="I3302" s="43"/>
      <c r="J3302" s="43"/>
    </row>
    <row r="3303" spans="1:10">
      <c r="A3303" s="43"/>
      <c r="B3303" s="43"/>
      <c r="C3303" s="9" t="s">
        <v>1228</v>
      </c>
      <c r="D3303" s="52" t="str">
        <f>Team_Matches!$B2457</f>
        <v>D</v>
      </c>
      <c r="E3303" s="43"/>
      <c r="F3303" s="97" t="str">
        <f>CONCATENATE($D3303,"-",$I3303)</f>
        <v>D-K</v>
      </c>
      <c r="G3303" s="43"/>
      <c r="H3303" s="9" t="s">
        <v>1228</v>
      </c>
      <c r="I3303" s="52" t="str">
        <f>Team_Matches!$K2457</f>
        <v>K</v>
      </c>
      <c r="J3303" s="43"/>
    </row>
    <row r="3304" spans="1:10" ht="25.5" customHeight="1">
      <c r="A3304" s="44"/>
      <c r="B3304" s="252" t="str">
        <f>IF(VLOOKUP($D3303,Draw!$A$4:$B$27,2)&lt;&gt;0,VLOOKUP($D3303,Draw!$A$4:$B$27,2),"")</f>
        <v/>
      </c>
      <c r="C3304" s="252"/>
      <c r="D3304" s="252"/>
      <c r="E3304" s="253"/>
      <c r="F3304" s="45"/>
      <c r="G3304" s="248" t="str">
        <f>IF(VLOOKUP($I3303,Draw!$A$4:$B$27,2)&lt;&gt;0,VLOOKUP($I3303,Draw!$A$4:$B$27,2),"")</f>
        <v/>
      </c>
      <c r="H3304" s="248"/>
      <c r="I3304" s="248"/>
      <c r="J3304" s="249"/>
    </row>
    <row r="3305" spans="1:10" ht="25.5" customHeight="1"/>
    <row r="3306" spans="1:10" ht="25.5" customHeight="1"/>
    <row r="3307" spans="1:10" ht="24" customHeight="1">
      <c r="A3307" s="48" t="s">
        <v>1246</v>
      </c>
      <c r="B3307" s="43"/>
      <c r="C3307" s="43"/>
      <c r="D3307" s="43"/>
      <c r="E3307" s="43"/>
      <c r="F3307" s="43"/>
      <c r="G3307" s="43"/>
      <c r="H3307" s="43"/>
      <c r="I3307" s="43"/>
      <c r="J3307" s="43"/>
    </row>
    <row r="3308" spans="1:10" ht="24" customHeight="1">
      <c r="A3308" s="48"/>
      <c r="B3308" s="43"/>
      <c r="C3308" s="43"/>
      <c r="D3308" s="43"/>
      <c r="E3308" s="43"/>
      <c r="F3308" s="43"/>
      <c r="G3308" s="43"/>
      <c r="H3308" s="43"/>
      <c r="I3308" s="43"/>
      <c r="J3308" s="43"/>
    </row>
    <row r="3309" spans="1:10">
      <c r="A3309" s="49" t="s">
        <v>1224</v>
      </c>
      <c r="B3309" s="46"/>
      <c r="C3309" s="46"/>
      <c r="D3309" s="46"/>
      <c r="E3309" s="46"/>
      <c r="F3309" s="46"/>
      <c r="G3309" s="260" t="s">
        <v>10336</v>
      </c>
      <c r="H3309" s="260"/>
      <c r="I3309" s="260"/>
      <c r="J3309" s="260"/>
    </row>
    <row r="3310" spans="1:10" ht="24" customHeight="1">
      <c r="A3310" s="50" t="str">
        <f>CONCATENATE($I3303,"1")</f>
        <v>K1</v>
      </c>
      <c r="B3310" s="255" t="str">
        <f>IF(VLOOKUP($A3310,Players!$A$2:$C$132,3)&lt;&gt;0,VLOOKUP($A3310,Players!$A$2:$C$132,3),"")</f>
        <v/>
      </c>
      <c r="C3310" s="255"/>
      <c r="D3310" s="255"/>
      <c r="E3310" s="255"/>
      <c r="F3310" s="255"/>
      <c r="G3310" s="254" t="str">
        <f>IF(VLOOKUP($D3303&amp;RIGHT($A3310,1),Players!$A$2:$D$132,3)&lt;&gt;0,VLOOKUP($D3303&amp;RIGHT($A3310,1),Players!$A$2:$D$132,3),"")</f>
        <v/>
      </c>
      <c r="H3310" s="254"/>
      <c r="I3310" s="254"/>
      <c r="J3310" s="210" t="str">
        <f>IF(VLOOKUP($D3303&amp;RIGHT($A3310,1),Players!$A$2:$D$132,3)&lt;&gt;0,"("&amp;VLOOKUP($D3303&amp;RIGHT($A3310,1),Players!$A$2:$D$132,4)&amp;")","")</f>
        <v/>
      </c>
    </row>
    <row r="3311" spans="1:10" ht="25.5" customHeight="1">
      <c r="A3311" s="50" t="str">
        <f>CONCATENATE($I3303,"2")</f>
        <v>K2</v>
      </c>
      <c r="B3311" s="255" t="str">
        <f>IF(VLOOKUP($A3311,Players!$A$2:$C$132,3)&lt;&gt;0,VLOOKUP($A3311,Players!$A$2:$C$132,3),"")</f>
        <v/>
      </c>
      <c r="C3311" s="255"/>
      <c r="D3311" s="255"/>
      <c r="E3311" s="255"/>
      <c r="F3311" s="255"/>
      <c r="G3311" s="254" t="str">
        <f>IF(VLOOKUP($D3303&amp;RIGHT($A3311,1),Players!$A$2:$D$132,3)&lt;&gt;0,VLOOKUP($D3303&amp;RIGHT($A3311,1),Players!$A$2:$D$132,3),"")</f>
        <v/>
      </c>
      <c r="H3311" s="254"/>
      <c r="I3311" s="254"/>
      <c r="J3311" s="210" t="str">
        <f>IF(VLOOKUP($D3303&amp;RIGHT($A3311,1),Players!$A$2:$D$132,3)&lt;&gt;0,"("&amp;VLOOKUP($D3303&amp;RIGHT($A3311,1),Players!$A$2:$D$132,4)&amp;")","")</f>
        <v/>
      </c>
    </row>
    <row r="3312" spans="1:10" ht="25.5" customHeight="1">
      <c r="A3312" s="50" t="str">
        <f>CONCATENATE($I3303,"3")</f>
        <v>K3</v>
      </c>
      <c r="B3312" s="255" t="str">
        <f>IF(VLOOKUP($A3312,Players!$A$2:$C$132,3)&lt;&gt;0,VLOOKUP($A3312,Players!$A$2:$C$132,3),"")</f>
        <v/>
      </c>
      <c r="C3312" s="255"/>
      <c r="D3312" s="255"/>
      <c r="E3312" s="255"/>
      <c r="F3312" s="255"/>
      <c r="G3312" s="254" t="str">
        <f>IF(VLOOKUP($D3303&amp;RIGHT($A3312,1),Players!$A$2:$D$132,3)&lt;&gt;0,VLOOKUP($D3303&amp;RIGHT($A3312,1),Players!$A$2:$D$132,3),"")</f>
        <v/>
      </c>
      <c r="H3312" s="254"/>
      <c r="I3312" s="254"/>
      <c r="J3312" s="210" t="str">
        <f>IF(VLOOKUP($D3303&amp;RIGHT($A3312,1),Players!$A$2:$D$132,3)&lt;&gt;0,"("&amp;VLOOKUP($D3303&amp;RIGHT($A3312,1),Players!$A$2:$D$132,4)&amp;")","")</f>
        <v/>
      </c>
    </row>
    <row r="3313" spans="1:10" ht="25.5" customHeight="1">
      <c r="A3313" s="50" t="str">
        <f>CONCATENATE($I3303,"4")</f>
        <v>K4</v>
      </c>
      <c r="B3313" s="255" t="str">
        <f>IF(VLOOKUP($A3313,Players!$A$2:$C$132,3)&lt;&gt;0,VLOOKUP($A3313,Players!$A$2:$C$132,3),"")</f>
        <v/>
      </c>
      <c r="C3313" s="255"/>
      <c r="D3313" s="255"/>
      <c r="E3313" s="255"/>
      <c r="F3313" s="255"/>
      <c r="G3313" s="254" t="str">
        <f>IF(VLOOKUP($D3303&amp;RIGHT($A3313,1),Players!$A$2:$D$132,3)&lt;&gt;0,VLOOKUP($D3303&amp;RIGHT($A3313,1),Players!$A$2:$D$132,3),"")</f>
        <v/>
      </c>
      <c r="H3313" s="254"/>
      <c r="I3313" s="254"/>
      <c r="J3313" s="210" t="str">
        <f>IF(VLOOKUP($D3303&amp;RIGHT($A3313,1),Players!$A$2:$D$132,3)&lt;&gt;0,"("&amp;VLOOKUP($D3303&amp;RIGHT($A3313,1),Players!$A$2:$D$132,4)&amp;")","")</f>
        <v/>
      </c>
    </row>
    <row r="3314" spans="1:10" ht="25.5" customHeight="1">
      <c r="A3314" s="50" t="str">
        <f>CONCATENATE($I3303,"5")</f>
        <v>K5</v>
      </c>
      <c r="B3314" s="255" t="str">
        <f>IF(VLOOKUP($A3314,Players!$A$2:$C$132,3)&lt;&gt;0,VLOOKUP($A3314,Players!$A$2:$C$132,3),"")</f>
        <v/>
      </c>
      <c r="C3314" s="255"/>
      <c r="D3314" s="255"/>
      <c r="E3314" s="255"/>
      <c r="F3314" s="255"/>
      <c r="G3314" s="254" t="str">
        <f>IF(VLOOKUP($D3303&amp;RIGHT($A3314,1),Players!$A$2:$D$132,3)&lt;&gt;0,VLOOKUP($D3303&amp;RIGHT($A3314,1),Players!$A$2:$D$132,3),"")</f>
        <v/>
      </c>
      <c r="H3314" s="254"/>
      <c r="I3314" s="254"/>
      <c r="J3314" s="210" t="str">
        <f>IF(VLOOKUP($D3303&amp;RIGHT($A3314,1),Players!$A$2:$D$132,3)&lt;&gt;0,"("&amp;VLOOKUP($D3303&amp;RIGHT($A3314,1),Players!$A$2:$D$132,4)&amp;")","")</f>
        <v/>
      </c>
    </row>
    <row r="3315" spans="1:10" ht="25.5" customHeight="1">
      <c r="A3315" s="50" t="str">
        <f>CONCATENATE($I3303,"6")</f>
        <v>K6</v>
      </c>
      <c r="B3315" s="255" t="str">
        <f>IF(VLOOKUP($A3315,Players!$A$2:$C$132,3)&lt;&gt;0,VLOOKUP($A3315,Players!$A$2:$C$132,3),"")</f>
        <v/>
      </c>
      <c r="C3315" s="255"/>
      <c r="D3315" s="255"/>
      <c r="E3315" s="255"/>
      <c r="F3315" s="255"/>
      <c r="G3315" s="254" t="str">
        <f>IF(VLOOKUP($D3303&amp;RIGHT($A3315,1),Players!$A$2:$D$132,3)&lt;&gt;0,VLOOKUP($D3303&amp;RIGHT($A3315,1),Players!$A$2:$D$132,3),"")</f>
        <v/>
      </c>
      <c r="H3315" s="254"/>
      <c r="I3315" s="254"/>
      <c r="J3315" s="210" t="str">
        <f>IF(VLOOKUP($D3303&amp;RIGHT($A3315,1),Players!$A$2:$D$132,3)&lt;&gt;0,"("&amp;VLOOKUP($D3303&amp;RIGHT($A3315,1),Players!$A$2:$D$132,4)&amp;")","")</f>
        <v/>
      </c>
    </row>
    <row r="3316" spans="1:10" ht="25.5" customHeight="1">
      <c r="A3316" s="50" t="str">
        <f>CONCATENATE($I3303,"7")</f>
        <v>K7</v>
      </c>
      <c r="B3316" s="255" t="str">
        <f>IF(VLOOKUP($A3316,Players!$A$2:$C$132,3)&lt;&gt;0,VLOOKUP($A3316,Players!$A$2:$C$132,3),"")</f>
        <v/>
      </c>
      <c r="C3316" s="255"/>
      <c r="D3316" s="255"/>
      <c r="E3316" s="255"/>
      <c r="F3316" s="255"/>
      <c r="G3316" s="254" t="str">
        <f>IF(VLOOKUP($D3303&amp;RIGHT($A3316,1),Players!$A$2:$D$132,3)&lt;&gt;0,VLOOKUP($D3303&amp;RIGHT($A3316,1),Players!$A$2:$D$132,3),"")</f>
        <v/>
      </c>
      <c r="H3316" s="254"/>
      <c r="I3316" s="254"/>
      <c r="J3316" s="210" t="str">
        <f>IF(VLOOKUP($D3303&amp;RIGHT($A3316,1),Players!$A$2:$D$132,3)&lt;&gt;0,"("&amp;VLOOKUP($D3303&amp;RIGHT($A3316,1),Players!$A$2:$D$132,4)&amp;")","")</f>
        <v/>
      </c>
    </row>
    <row r="3317" spans="1:10" ht="25.5" customHeight="1">
      <c r="A3317" s="50" t="str">
        <f>CONCATENATE($I3303,"8")</f>
        <v>K8</v>
      </c>
      <c r="B3317" s="255" t="str">
        <f>IF(VLOOKUP($A3317,Players!$A$2:$C$132,3)&lt;&gt;0,VLOOKUP($A3317,Players!$A$2:$C$132,3),"")</f>
        <v/>
      </c>
      <c r="C3317" s="255"/>
      <c r="D3317" s="255"/>
      <c r="E3317" s="255"/>
      <c r="F3317" s="255"/>
      <c r="G3317" s="254" t="str">
        <f>IF(VLOOKUP($D3303&amp;RIGHT($A3317,1),Players!$A$2:$D$132,3)&lt;&gt;0,VLOOKUP($D3303&amp;RIGHT($A3317,1),Players!$A$2:$D$132,3),"")</f>
        <v/>
      </c>
      <c r="H3317" s="254"/>
      <c r="I3317" s="254"/>
      <c r="J3317" s="210" t="str">
        <f>IF(VLOOKUP($D3303&amp;RIGHT($A3317,1),Players!$A$2:$D$132,3)&lt;&gt;0,"("&amp;VLOOKUP($D3303&amp;RIGHT($A3317,1),Players!$A$2:$D$132,4)&amp;")","")</f>
        <v/>
      </c>
    </row>
    <row r="3318" spans="1:10" ht="25.5" customHeight="1">
      <c r="A3318" s="50"/>
      <c r="B3318" s="26"/>
      <c r="C3318" s="26"/>
      <c r="D3318" s="26"/>
      <c r="E3318" s="26"/>
      <c r="F3318" s="27"/>
      <c r="G3318" s="43"/>
      <c r="H3318" s="43"/>
      <c r="I3318" s="43"/>
      <c r="J3318" s="43"/>
    </row>
    <row r="3319" spans="1:10">
      <c r="A3319" s="49" t="s">
        <v>1225</v>
      </c>
      <c r="B3319" s="46"/>
      <c r="C3319" s="46"/>
      <c r="D3319" s="46"/>
      <c r="E3319" s="46"/>
      <c r="F3319" s="46"/>
      <c r="G3319" s="43"/>
      <c r="H3319" s="43"/>
      <c r="I3319" s="43"/>
      <c r="J3319" s="43"/>
    </row>
    <row r="3320" spans="1:10">
      <c r="A3320" s="46" t="s">
        <v>1247</v>
      </c>
      <c r="B3320" s="46"/>
      <c r="C3320" s="46"/>
      <c r="D3320" s="46"/>
      <c r="E3320" s="46"/>
      <c r="F3320" s="46"/>
      <c r="G3320" s="43"/>
      <c r="H3320" s="43"/>
      <c r="I3320" s="43"/>
      <c r="J3320" s="43"/>
    </row>
    <row r="3321" spans="1:10">
      <c r="A3321" s="46" t="s">
        <v>1248</v>
      </c>
      <c r="B3321" s="46"/>
      <c r="C3321" s="46"/>
      <c r="D3321" s="46"/>
      <c r="E3321" s="46"/>
      <c r="F3321" s="46"/>
      <c r="G3321" s="43"/>
      <c r="H3321" s="43"/>
      <c r="I3321" s="43"/>
      <c r="J3321" s="43"/>
    </row>
    <row r="3322" spans="1:10" ht="13.5" thickBot="1">
      <c r="A3322" s="46"/>
      <c r="B3322" s="46"/>
      <c r="C3322" s="46"/>
      <c r="D3322" s="46"/>
      <c r="E3322" s="46"/>
      <c r="F3322" s="46"/>
      <c r="G3322" s="43"/>
      <c r="H3322" s="43"/>
      <c r="I3322" s="43"/>
      <c r="J3322" s="43"/>
    </row>
    <row r="3323" spans="1:10" ht="25.5" customHeight="1" thickBot="1">
      <c r="A3323" s="50"/>
      <c r="B3323" s="257"/>
      <c r="C3323" s="258"/>
      <c r="D3323" s="258"/>
      <c r="E3323" s="258"/>
      <c r="F3323" s="259"/>
      <c r="G3323" s="43"/>
      <c r="H3323" s="43"/>
      <c r="I3323" s="43"/>
      <c r="J3323" s="43"/>
    </row>
    <row r="3324" spans="1:10">
      <c r="A3324" s="43"/>
      <c r="B3324" s="43"/>
      <c r="C3324" s="43"/>
      <c r="D3324" s="43"/>
      <c r="E3324" s="43"/>
      <c r="F3324" s="43"/>
      <c r="G3324" s="43"/>
      <c r="H3324" s="43"/>
      <c r="I3324" s="43"/>
      <c r="J3324" s="43"/>
    </row>
    <row r="3325" spans="1:10">
      <c r="A3325" s="43"/>
      <c r="B3325" s="43"/>
      <c r="C3325" s="43"/>
      <c r="D3325" s="43"/>
      <c r="E3325" s="43"/>
      <c r="F3325" s="43"/>
      <c r="G3325" s="43"/>
      <c r="H3325" s="43"/>
      <c r="I3325" s="43"/>
      <c r="J3325" s="43"/>
    </row>
    <row r="3326" spans="1:10">
      <c r="A3326" s="43"/>
      <c r="B3326" s="43"/>
      <c r="C3326" s="43"/>
      <c r="D3326" s="43"/>
      <c r="E3326" s="43"/>
      <c r="F3326" s="43"/>
      <c r="G3326" s="43"/>
      <c r="H3326" s="43"/>
      <c r="I3326" s="43"/>
      <c r="J3326" s="43"/>
    </row>
    <row r="3327" spans="1:10">
      <c r="A3327" s="43"/>
      <c r="B3327" s="43"/>
      <c r="C3327" s="43"/>
      <c r="D3327" s="43"/>
      <c r="E3327" s="43"/>
      <c r="F3327" s="43"/>
      <c r="G3327" s="43"/>
      <c r="H3327" s="43"/>
      <c r="I3327" s="43"/>
      <c r="J3327" s="43"/>
    </row>
    <row r="3328" spans="1:10">
      <c r="A3328" s="43"/>
      <c r="B3328" s="43"/>
      <c r="C3328" s="43"/>
      <c r="D3328" s="43"/>
      <c r="E3328" s="43"/>
      <c r="F3328" s="43"/>
      <c r="G3328" s="43"/>
      <c r="H3328" s="43"/>
      <c r="I3328" s="43"/>
      <c r="J3328" s="43"/>
    </row>
    <row r="3329" spans="1:10" ht="25.5" customHeight="1">
      <c r="A3329" s="47"/>
      <c r="B3329" s="47"/>
      <c r="C3329" s="47"/>
      <c r="D3329" s="47"/>
      <c r="E3329" s="47"/>
      <c r="F3329" s="43"/>
      <c r="G3329" s="51"/>
      <c r="H3329" s="250" t="s">
        <v>1227</v>
      </c>
      <c r="I3329" s="251"/>
      <c r="J3329" s="43"/>
    </row>
    <row r="3330" spans="1:10">
      <c r="A3330" s="43" t="s">
        <v>1226</v>
      </c>
      <c r="B3330" s="43"/>
      <c r="C3330" s="43"/>
      <c r="D3330" s="43"/>
      <c r="E3330" s="43"/>
      <c r="F3330" s="43"/>
      <c r="G3330" s="43"/>
      <c r="H3330" s="43"/>
      <c r="I3330" s="43"/>
      <c r="J3330" s="43"/>
    </row>
    <row r="3331" spans="1:10">
      <c r="A3331" s="43"/>
      <c r="B3331" s="43"/>
      <c r="C3331" s="43"/>
      <c r="D3331" s="43"/>
      <c r="E3331" s="43"/>
      <c r="F3331" s="43"/>
      <c r="G3331" s="43"/>
      <c r="H3331" s="43"/>
      <c r="I3331" s="43"/>
      <c r="J3331" s="43"/>
    </row>
    <row r="3332" spans="1:10">
      <c r="A3332" s="43"/>
      <c r="B3332" s="43"/>
      <c r="C3332" s="43"/>
      <c r="D3332" s="43"/>
      <c r="E3332" s="256" t="str">
        <f>CONCATENATE("(",$D3303," vs ",$I3303,")")</f>
        <v>(D vs K)</v>
      </c>
      <c r="F3332" s="256"/>
      <c r="G3332" s="43"/>
      <c r="H3332" s="43"/>
      <c r="I3332" s="43"/>
      <c r="J3332" s="43"/>
    </row>
    <row r="3333" spans="1:10" ht="15.75">
      <c r="A3333" s="42" t="s">
        <v>1223</v>
      </c>
      <c r="B3333" s="43"/>
      <c r="C3333" s="43"/>
      <c r="D3333" s="43"/>
      <c r="E3333" s="43"/>
      <c r="F3333" s="43"/>
      <c r="G3333" s="43"/>
      <c r="H3333" s="43"/>
      <c r="I3333" s="43"/>
      <c r="J3333" s="96" t="s">
        <v>4317</v>
      </c>
    </row>
    <row r="3334" spans="1:10" ht="12.75" customHeight="1">
      <c r="A3334" s="42"/>
      <c r="B3334" s="43"/>
      <c r="C3334" s="43"/>
      <c r="D3334" s="43"/>
      <c r="E3334" s="43"/>
      <c r="F3334" s="43"/>
      <c r="G3334" s="43" t="str">
        <f ca="1">Team_Matches!$J$6</f>
        <v>[NCTTA Teams Template (v2.06).xlsx]</v>
      </c>
      <c r="H3334" s="43"/>
      <c r="I3334" s="43"/>
      <c r="J3334" s="160"/>
    </row>
    <row r="3335" spans="1:10" ht="12.75" customHeight="1">
      <c r="A3335" s="42"/>
      <c r="B3335" s="43"/>
      <c r="C3335" s="43"/>
      <c r="D3335" s="43"/>
      <c r="E3335" s="43"/>
      <c r="F3335" s="43"/>
      <c r="G3335" s="247" t="str">
        <f>Team_Matches!$J2506</f>
        <v/>
      </c>
      <c r="H3335" s="247"/>
      <c r="I3335" s="161" t="str">
        <f>Team_Matches!$M2506</f>
        <v/>
      </c>
      <c r="J3335" s="161"/>
    </row>
    <row r="3336" spans="1:10" ht="15.75">
      <c r="A3336" s="42"/>
      <c r="B3336" s="43"/>
      <c r="C3336" s="43"/>
      <c r="D3336" s="43"/>
      <c r="E3336" s="43"/>
      <c r="F3336" s="43"/>
      <c r="G3336" s="43"/>
      <c r="H3336" s="43"/>
      <c r="I3336" s="43"/>
      <c r="J3336" s="43"/>
    </row>
    <row r="3337" spans="1:10">
      <c r="A3337" s="43"/>
      <c r="B3337" s="43"/>
      <c r="C3337" s="9" t="s">
        <v>1228</v>
      </c>
      <c r="D3337" s="52" t="str">
        <f>Team_Matches!$B2508</f>
        <v>D</v>
      </c>
      <c r="E3337" s="43"/>
      <c r="F3337" s="97" t="str">
        <f>CONCATENATE($D3337,"-",$I3337)</f>
        <v>D-L</v>
      </c>
      <c r="G3337" s="43"/>
      <c r="H3337" s="9" t="s">
        <v>1228</v>
      </c>
      <c r="I3337" s="3" t="str">
        <f>Team_Matches!$K2508</f>
        <v>L</v>
      </c>
      <c r="J3337" s="43"/>
    </row>
    <row r="3338" spans="1:10" ht="25.5" customHeight="1">
      <c r="A3338" s="44"/>
      <c r="B3338" s="248" t="str">
        <f>IF(VLOOKUP($D3337,Draw!$A$4:$B$27,2)&lt;&gt;0,VLOOKUP($D3337,Draw!$A$4:$B$27,2),"")</f>
        <v/>
      </c>
      <c r="C3338" s="248"/>
      <c r="D3338" s="248"/>
      <c r="E3338" s="249"/>
      <c r="F3338" s="45"/>
      <c r="G3338" s="252" t="str">
        <f>IF(VLOOKUP($I3337,Draw!$A$4:$B$27,2)&lt;&gt;0,VLOOKUP($I3337,Draw!$A$4:$B$27,2),"")</f>
        <v/>
      </c>
      <c r="H3338" s="252"/>
      <c r="I3338" s="252"/>
      <c r="J3338" s="253"/>
    </row>
    <row r="3339" spans="1:10" ht="25.5" customHeight="1"/>
    <row r="3340" spans="1:10" ht="25.5" customHeight="1"/>
    <row r="3341" spans="1:10" ht="24" customHeight="1">
      <c r="A3341" s="48" t="s">
        <v>1246</v>
      </c>
      <c r="B3341" s="43"/>
      <c r="C3341" s="43"/>
      <c r="D3341" s="43"/>
      <c r="E3341" s="43"/>
      <c r="F3341" s="43"/>
      <c r="G3341" s="43"/>
      <c r="H3341" s="43"/>
      <c r="I3341" s="43"/>
      <c r="J3341" s="43"/>
    </row>
    <row r="3342" spans="1:10" ht="24" customHeight="1">
      <c r="A3342" s="48"/>
      <c r="B3342" s="43"/>
      <c r="C3342" s="43"/>
      <c r="D3342" s="43"/>
      <c r="E3342" s="43"/>
      <c r="F3342" s="43"/>
      <c r="G3342" s="43"/>
      <c r="H3342" s="43"/>
      <c r="I3342" s="43"/>
      <c r="J3342" s="43"/>
    </row>
    <row r="3343" spans="1:10">
      <c r="A3343" s="49" t="s">
        <v>1224</v>
      </c>
      <c r="B3343" s="46"/>
      <c r="C3343" s="46"/>
      <c r="D3343" s="46"/>
      <c r="E3343" s="46"/>
      <c r="F3343" s="46"/>
      <c r="G3343" s="260" t="s">
        <v>10336</v>
      </c>
      <c r="H3343" s="260"/>
      <c r="I3343" s="260"/>
      <c r="J3343" s="260"/>
    </row>
    <row r="3344" spans="1:10" ht="24" customHeight="1">
      <c r="A3344" s="50" t="str">
        <f>CONCATENATE($D3337,"1")</f>
        <v>D1</v>
      </c>
      <c r="B3344" s="255" t="str">
        <f>IF(VLOOKUP($A3344,Players!$A$2:$C$132,3)&lt;&gt;0,VLOOKUP($A3344,Players!$A$2:$C$132,3),"")</f>
        <v/>
      </c>
      <c r="C3344" s="255"/>
      <c r="D3344" s="255"/>
      <c r="E3344" s="255"/>
      <c r="F3344" s="255"/>
      <c r="G3344" s="254" t="str">
        <f>IF(VLOOKUP($I3337&amp;RIGHT($A3344,1),Players!$A$2:$D$132,3)&lt;&gt;0,VLOOKUP($I3337&amp;RIGHT($A3344,1),Players!$A$2:$D$132,3),"")</f>
        <v/>
      </c>
      <c r="H3344" s="254"/>
      <c r="I3344" s="254"/>
      <c r="J3344" s="210" t="str">
        <f>IF(VLOOKUP($I3337&amp;RIGHT($A3344,1),Players!$A$2:$D$132,3)&lt;&gt;0,"("&amp;VLOOKUP($I3337&amp;RIGHT($A3344,1),Players!$A$2:$D$132,4)&amp;")","")</f>
        <v/>
      </c>
    </row>
    <row r="3345" spans="1:10" ht="25.5" customHeight="1">
      <c r="A3345" s="50" t="str">
        <f>CONCATENATE($D3337,"2")</f>
        <v>D2</v>
      </c>
      <c r="B3345" s="255" t="str">
        <f>IF(VLOOKUP($A3345,Players!$A$2:$C$132,3)&lt;&gt;0,VLOOKUP($A3345,Players!$A$2:$C$132,3),"")</f>
        <v/>
      </c>
      <c r="C3345" s="255"/>
      <c r="D3345" s="255"/>
      <c r="E3345" s="255"/>
      <c r="F3345" s="255"/>
      <c r="G3345" s="254" t="str">
        <f>IF(VLOOKUP($I3337&amp;RIGHT($A3345,1),Players!$A$2:$D$132,3)&lt;&gt;0,VLOOKUP($I3337&amp;RIGHT($A3345,1),Players!$A$2:$D$132,3),"")</f>
        <v/>
      </c>
      <c r="H3345" s="254"/>
      <c r="I3345" s="254"/>
      <c r="J3345" s="210" t="str">
        <f>IF(VLOOKUP($I3337&amp;RIGHT($A3345,1),Players!$A$2:$D$132,3)&lt;&gt;0,"("&amp;VLOOKUP($I3337&amp;RIGHT($A3345,1),Players!$A$2:$D$132,4)&amp;")","")</f>
        <v/>
      </c>
    </row>
    <row r="3346" spans="1:10" ht="25.5" customHeight="1">
      <c r="A3346" s="50" t="str">
        <f>CONCATENATE($D3337,"3")</f>
        <v>D3</v>
      </c>
      <c r="B3346" s="255" t="str">
        <f>IF(VLOOKUP($A3346,Players!$A$2:$C$132,3)&lt;&gt;0,VLOOKUP($A3346,Players!$A$2:$C$132,3),"")</f>
        <v/>
      </c>
      <c r="C3346" s="255"/>
      <c r="D3346" s="255"/>
      <c r="E3346" s="255"/>
      <c r="F3346" s="255"/>
      <c r="G3346" s="254" t="str">
        <f>IF(VLOOKUP($I3337&amp;RIGHT($A3346,1),Players!$A$2:$D$132,3)&lt;&gt;0,VLOOKUP($I3337&amp;RIGHT($A3346,1),Players!$A$2:$D$132,3),"")</f>
        <v/>
      </c>
      <c r="H3346" s="254"/>
      <c r="I3346" s="254"/>
      <c r="J3346" s="210" t="str">
        <f>IF(VLOOKUP($I3337&amp;RIGHT($A3346,1),Players!$A$2:$D$132,3)&lt;&gt;0,"("&amp;VLOOKUP($I3337&amp;RIGHT($A3346,1),Players!$A$2:$D$132,4)&amp;")","")</f>
        <v/>
      </c>
    </row>
    <row r="3347" spans="1:10" ht="25.5" customHeight="1">
      <c r="A3347" s="50" t="str">
        <f>CONCATENATE($D3337,"4")</f>
        <v>D4</v>
      </c>
      <c r="B3347" s="255" t="str">
        <f>IF(VLOOKUP($A3347,Players!$A$2:$C$132,3)&lt;&gt;0,VLOOKUP($A3347,Players!$A$2:$C$132,3),"")</f>
        <v/>
      </c>
      <c r="C3347" s="255"/>
      <c r="D3347" s="255"/>
      <c r="E3347" s="255"/>
      <c r="F3347" s="255"/>
      <c r="G3347" s="254" t="str">
        <f>IF(VLOOKUP($I3337&amp;RIGHT($A3347,1),Players!$A$2:$D$132,3)&lt;&gt;0,VLOOKUP($I3337&amp;RIGHT($A3347,1),Players!$A$2:$D$132,3),"")</f>
        <v/>
      </c>
      <c r="H3347" s="254"/>
      <c r="I3347" s="254"/>
      <c r="J3347" s="210" t="str">
        <f>IF(VLOOKUP($I3337&amp;RIGHT($A3347,1),Players!$A$2:$D$132,3)&lt;&gt;0,"("&amp;VLOOKUP($I3337&amp;RIGHT($A3347,1),Players!$A$2:$D$132,4)&amp;")","")</f>
        <v/>
      </c>
    </row>
    <row r="3348" spans="1:10" ht="25.5" customHeight="1">
      <c r="A3348" s="50" t="str">
        <f>CONCATENATE($D3337,"5")</f>
        <v>D5</v>
      </c>
      <c r="B3348" s="255" t="str">
        <f>IF(VLOOKUP($A3348,Players!$A$2:$C$132,3)&lt;&gt;0,VLOOKUP($A3348,Players!$A$2:$C$132,3),"")</f>
        <v/>
      </c>
      <c r="C3348" s="255"/>
      <c r="D3348" s="255"/>
      <c r="E3348" s="255"/>
      <c r="F3348" s="255"/>
      <c r="G3348" s="254" t="str">
        <f>IF(VLOOKUP($I3337&amp;RIGHT($A3348,1),Players!$A$2:$D$132,3)&lt;&gt;0,VLOOKUP($I3337&amp;RIGHT($A3348,1),Players!$A$2:$D$132,3),"")</f>
        <v/>
      </c>
      <c r="H3348" s="254"/>
      <c r="I3348" s="254"/>
      <c r="J3348" s="210" t="str">
        <f>IF(VLOOKUP($I3337&amp;RIGHT($A3348,1),Players!$A$2:$D$132,3)&lt;&gt;0,"("&amp;VLOOKUP($I3337&amp;RIGHT($A3348,1),Players!$A$2:$D$132,4)&amp;")","")</f>
        <v/>
      </c>
    </row>
    <row r="3349" spans="1:10" ht="25.5" customHeight="1">
      <c r="A3349" s="50" t="str">
        <f>CONCATENATE($D3337,"6")</f>
        <v>D6</v>
      </c>
      <c r="B3349" s="255" t="str">
        <f>IF(VLOOKUP($A3349,Players!$A$2:$C$132,3)&lt;&gt;0,VLOOKUP($A3349,Players!$A$2:$C$132,3),"")</f>
        <v/>
      </c>
      <c r="C3349" s="255"/>
      <c r="D3349" s="255"/>
      <c r="E3349" s="255"/>
      <c r="F3349" s="255"/>
      <c r="G3349" s="254" t="str">
        <f>IF(VLOOKUP($I3337&amp;RIGHT($A3349,1),Players!$A$2:$D$132,3)&lt;&gt;0,VLOOKUP($I3337&amp;RIGHT($A3349,1),Players!$A$2:$D$132,3),"")</f>
        <v/>
      </c>
      <c r="H3349" s="254"/>
      <c r="I3349" s="254"/>
      <c r="J3349" s="210" t="str">
        <f>IF(VLOOKUP($I3337&amp;RIGHT($A3349,1),Players!$A$2:$D$132,3)&lt;&gt;0,"("&amp;VLOOKUP($I3337&amp;RIGHT($A3349,1),Players!$A$2:$D$132,4)&amp;")","")</f>
        <v/>
      </c>
    </row>
    <row r="3350" spans="1:10" ht="25.5" customHeight="1">
      <c r="A3350" s="50" t="str">
        <f>CONCATENATE($D3337,"7")</f>
        <v>D7</v>
      </c>
      <c r="B3350" s="255" t="str">
        <f>IF(VLOOKUP($A3350,Players!$A$2:$C$132,3)&lt;&gt;0,VLOOKUP($A3350,Players!$A$2:$C$132,3),"")</f>
        <v/>
      </c>
      <c r="C3350" s="255"/>
      <c r="D3350" s="255"/>
      <c r="E3350" s="255"/>
      <c r="F3350" s="255"/>
      <c r="G3350" s="254" t="str">
        <f>IF(VLOOKUP($I3337&amp;RIGHT($A3350,1),Players!$A$2:$D$132,3)&lt;&gt;0,VLOOKUP($I3337&amp;RIGHT($A3350,1),Players!$A$2:$D$132,3),"")</f>
        <v/>
      </c>
      <c r="H3350" s="254"/>
      <c r="I3350" s="254"/>
      <c r="J3350" s="210" t="str">
        <f>IF(VLOOKUP($I3337&amp;RIGHT($A3350,1),Players!$A$2:$D$132,3)&lt;&gt;0,"("&amp;VLOOKUP($I3337&amp;RIGHT($A3350,1),Players!$A$2:$D$132,4)&amp;")","")</f>
        <v/>
      </c>
    </row>
    <row r="3351" spans="1:10" ht="25.5" customHeight="1">
      <c r="A3351" s="50" t="str">
        <f>CONCATENATE($D3337,"8")</f>
        <v>D8</v>
      </c>
      <c r="B3351" s="255" t="str">
        <f>IF(VLOOKUP($A3351,Players!$A$2:$C$132,3)&lt;&gt;0,VLOOKUP($A3351,Players!$A$2:$C$132,3),"")</f>
        <v/>
      </c>
      <c r="C3351" s="255"/>
      <c r="D3351" s="255"/>
      <c r="E3351" s="255"/>
      <c r="F3351" s="255"/>
      <c r="G3351" s="254" t="str">
        <f>IF(VLOOKUP($I3337&amp;RIGHT($A3351,1),Players!$A$2:$D$132,3)&lt;&gt;0,VLOOKUP($I3337&amp;RIGHT($A3351,1),Players!$A$2:$D$132,3),"")</f>
        <v/>
      </c>
      <c r="H3351" s="254"/>
      <c r="I3351" s="254"/>
      <c r="J3351" s="210" t="str">
        <f>IF(VLOOKUP($I3337&amp;RIGHT($A3351,1),Players!$A$2:$D$132,3)&lt;&gt;0,"("&amp;VLOOKUP($I3337&amp;RIGHT($A3351,1),Players!$A$2:$D$132,4)&amp;")","")</f>
        <v/>
      </c>
    </row>
    <row r="3352" spans="1:10" ht="25.5" customHeight="1">
      <c r="A3352" s="50"/>
      <c r="B3352" s="26"/>
      <c r="C3352" s="26"/>
      <c r="D3352" s="26"/>
      <c r="E3352" s="26"/>
      <c r="F3352" s="27"/>
      <c r="G3352" s="43"/>
      <c r="H3352" s="43"/>
      <c r="I3352" s="43"/>
      <c r="J3352" s="43"/>
    </row>
    <row r="3353" spans="1:10">
      <c r="A3353" s="49" t="s">
        <v>1225</v>
      </c>
      <c r="B3353" s="46"/>
      <c r="C3353" s="46"/>
      <c r="D3353" s="46"/>
      <c r="E3353" s="46"/>
      <c r="F3353" s="46"/>
      <c r="G3353" s="43"/>
      <c r="H3353" s="43"/>
      <c r="I3353" s="43"/>
      <c r="J3353" s="43"/>
    </row>
    <row r="3354" spans="1:10">
      <c r="A3354" s="46" t="s">
        <v>1247</v>
      </c>
      <c r="B3354" s="46"/>
      <c r="C3354" s="46"/>
      <c r="D3354" s="46"/>
      <c r="E3354" s="46"/>
      <c r="F3354" s="46"/>
      <c r="G3354" s="43"/>
      <c r="H3354" s="43"/>
      <c r="I3354" s="43"/>
      <c r="J3354" s="43"/>
    </row>
    <row r="3355" spans="1:10">
      <c r="A3355" s="46" t="s">
        <v>1248</v>
      </c>
      <c r="B3355" s="46"/>
      <c r="C3355" s="46"/>
      <c r="D3355" s="46"/>
      <c r="E3355" s="46"/>
      <c r="F3355" s="46"/>
      <c r="G3355" s="43"/>
      <c r="H3355" s="43"/>
      <c r="I3355" s="43"/>
      <c r="J3355" s="43"/>
    </row>
    <row r="3356" spans="1:10" ht="13.5" thickBot="1">
      <c r="A3356" s="46"/>
      <c r="B3356" s="46"/>
      <c r="C3356" s="46"/>
      <c r="D3356" s="46"/>
      <c r="E3356" s="46"/>
      <c r="F3356" s="46"/>
      <c r="G3356" s="43"/>
      <c r="H3356" s="43"/>
      <c r="I3356" s="43"/>
      <c r="J3356" s="43"/>
    </row>
    <row r="3357" spans="1:10" ht="25.5" customHeight="1" thickBot="1">
      <c r="A3357" s="50"/>
      <c r="B3357" s="257"/>
      <c r="C3357" s="258"/>
      <c r="D3357" s="258"/>
      <c r="E3357" s="258"/>
      <c r="F3357" s="259"/>
      <c r="G3357" s="43"/>
      <c r="H3357" s="43"/>
      <c r="I3357" s="43"/>
      <c r="J3357" s="43"/>
    </row>
    <row r="3358" spans="1:10">
      <c r="A3358" s="43"/>
      <c r="B3358" s="43"/>
      <c r="C3358" s="43"/>
      <c r="D3358" s="43"/>
      <c r="E3358" s="43"/>
      <c r="F3358" s="43"/>
      <c r="G3358" s="43"/>
      <c r="H3358" s="43"/>
      <c r="I3358" s="43"/>
      <c r="J3358" s="43"/>
    </row>
    <row r="3359" spans="1:10">
      <c r="A3359" s="43"/>
      <c r="B3359" s="43"/>
      <c r="C3359" s="43"/>
      <c r="D3359" s="43"/>
      <c r="E3359" s="43"/>
      <c r="F3359" s="43"/>
      <c r="G3359" s="43"/>
      <c r="H3359" s="43"/>
      <c r="I3359" s="43"/>
      <c r="J3359" s="43"/>
    </row>
    <row r="3360" spans="1:10">
      <c r="A3360" s="43"/>
      <c r="B3360" s="43"/>
      <c r="C3360" s="43"/>
      <c r="D3360" s="43"/>
      <c r="E3360" s="43"/>
      <c r="F3360" s="43"/>
      <c r="G3360" s="43"/>
      <c r="H3360" s="43"/>
      <c r="I3360" s="43"/>
      <c r="J3360" s="43"/>
    </row>
    <row r="3361" spans="1:10">
      <c r="A3361" s="43"/>
      <c r="B3361" s="43"/>
      <c r="C3361" s="43"/>
      <c r="D3361" s="43"/>
      <c r="E3361" s="43"/>
      <c r="F3361" s="43"/>
      <c r="G3361" s="43"/>
      <c r="H3361" s="43"/>
      <c r="I3361" s="43"/>
      <c r="J3361" s="43"/>
    </row>
    <row r="3362" spans="1:10">
      <c r="A3362" s="43"/>
      <c r="B3362" s="43"/>
      <c r="C3362" s="43"/>
      <c r="D3362" s="43"/>
      <c r="E3362" s="43"/>
      <c r="F3362" s="43"/>
      <c r="G3362" s="43"/>
      <c r="H3362" s="43"/>
      <c r="I3362" s="43"/>
      <c r="J3362" s="43"/>
    </row>
    <row r="3363" spans="1:10" ht="25.5" customHeight="1">
      <c r="A3363" s="47"/>
      <c r="B3363" s="47"/>
      <c r="C3363" s="47"/>
      <c r="D3363" s="47"/>
      <c r="E3363" s="47"/>
      <c r="F3363" s="43"/>
      <c r="G3363" s="51"/>
      <c r="H3363" s="250" t="s">
        <v>1227</v>
      </c>
      <c r="I3363" s="251"/>
      <c r="J3363" s="43"/>
    </row>
    <row r="3364" spans="1:10">
      <c r="A3364" s="43" t="s">
        <v>1226</v>
      </c>
      <c r="B3364" s="43"/>
      <c r="C3364" s="43"/>
      <c r="D3364" s="43"/>
      <c r="E3364" s="43"/>
      <c r="F3364" s="43"/>
      <c r="G3364" s="43"/>
      <c r="H3364" s="43"/>
      <c r="I3364" s="43"/>
      <c r="J3364" s="43"/>
    </row>
    <row r="3365" spans="1:10">
      <c r="A3365" s="43"/>
      <c r="B3365" s="43"/>
      <c r="C3365" s="43"/>
      <c r="D3365" s="43"/>
      <c r="E3365" s="43"/>
      <c r="F3365" s="43"/>
      <c r="G3365" s="43"/>
      <c r="H3365" s="43"/>
      <c r="I3365" s="43"/>
      <c r="J3365" s="43"/>
    </row>
    <row r="3366" spans="1:10">
      <c r="A3366" s="43"/>
      <c r="B3366" s="43"/>
      <c r="C3366" s="43"/>
      <c r="D3366" s="43"/>
      <c r="E3366" s="256" t="str">
        <f>CONCATENATE("(",$D3337," vs ",$I3337,")")</f>
        <v>(D vs L)</v>
      </c>
      <c r="F3366" s="256"/>
      <c r="G3366" s="43"/>
      <c r="H3366" s="43"/>
      <c r="I3366" s="43"/>
      <c r="J3366" s="43"/>
    </row>
    <row r="3367" spans="1:10" ht="15.75">
      <c r="A3367" s="42" t="s">
        <v>1223</v>
      </c>
      <c r="B3367" s="43"/>
      <c r="C3367" s="43"/>
      <c r="D3367" s="43"/>
      <c r="E3367" s="43"/>
      <c r="F3367" s="43"/>
      <c r="G3367" s="43"/>
      <c r="H3367" s="43"/>
      <c r="I3367" s="43"/>
      <c r="J3367" s="96" t="s">
        <v>4318</v>
      </c>
    </row>
    <row r="3368" spans="1:10" ht="12.75" customHeight="1">
      <c r="A3368" s="42"/>
      <c r="B3368" s="43"/>
      <c r="C3368" s="43"/>
      <c r="D3368" s="43"/>
      <c r="E3368" s="43"/>
      <c r="F3368" s="43"/>
      <c r="G3368" s="43" t="str">
        <f ca="1">Team_Matches!$J$6</f>
        <v>[NCTTA Teams Template (v2.06).xlsx]</v>
      </c>
      <c r="H3368" s="43"/>
      <c r="I3368" s="43"/>
      <c r="J3368" s="160"/>
    </row>
    <row r="3369" spans="1:10" ht="12.75" customHeight="1">
      <c r="A3369" s="42"/>
      <c r="B3369" s="43"/>
      <c r="C3369" s="43"/>
      <c r="D3369" s="43"/>
      <c r="E3369" s="43"/>
      <c r="F3369" s="43"/>
      <c r="G3369" s="247" t="str">
        <f>Team_Matches!$J2506</f>
        <v/>
      </c>
      <c r="H3369" s="247"/>
      <c r="I3369" s="161" t="str">
        <f>Team_Matches!$M2506</f>
        <v/>
      </c>
      <c r="J3369" s="161"/>
    </row>
    <row r="3370" spans="1:10" ht="15.75">
      <c r="A3370" s="42"/>
      <c r="B3370" s="43"/>
      <c r="C3370" s="43"/>
      <c r="D3370" s="43"/>
      <c r="E3370" s="43"/>
      <c r="F3370" s="43"/>
      <c r="G3370" s="43"/>
      <c r="H3370" s="43"/>
      <c r="I3370" s="43"/>
      <c r="J3370" s="43"/>
    </row>
    <row r="3371" spans="1:10">
      <c r="A3371" s="43"/>
      <c r="B3371" s="43"/>
      <c r="C3371" s="9" t="s">
        <v>1228</v>
      </c>
      <c r="D3371" s="52" t="str">
        <f>Team_Matches!$B2508</f>
        <v>D</v>
      </c>
      <c r="E3371" s="43"/>
      <c r="F3371" s="97" t="str">
        <f>CONCATENATE($D3371,"-",$I3371)</f>
        <v>D-L</v>
      </c>
      <c r="G3371" s="43"/>
      <c r="H3371" s="9" t="s">
        <v>1228</v>
      </c>
      <c r="I3371" s="3" t="str">
        <f>Team_Matches!$K2508</f>
        <v>L</v>
      </c>
      <c r="J3371" s="43"/>
    </row>
    <row r="3372" spans="1:10" ht="25.5" customHeight="1">
      <c r="A3372" s="44"/>
      <c r="B3372" s="252" t="str">
        <f>IF(VLOOKUP($D3371,Draw!$A$4:$B$27,2)&lt;&gt;0,VLOOKUP($D3371,Draw!$A$4:$B$27,2),"")</f>
        <v/>
      </c>
      <c r="C3372" s="252"/>
      <c r="D3372" s="252"/>
      <c r="E3372" s="253"/>
      <c r="F3372" s="45"/>
      <c r="G3372" s="248" t="str">
        <f>IF(VLOOKUP($I3371,Draw!$A$4:$B$27,2)&lt;&gt;0,VLOOKUP($I3371,Draw!$A$4:$B$27,2),"")</f>
        <v/>
      </c>
      <c r="H3372" s="248"/>
      <c r="I3372" s="248"/>
      <c r="J3372" s="249"/>
    </row>
    <row r="3373" spans="1:10" ht="25.5" customHeight="1"/>
    <row r="3374" spans="1:10" ht="25.5" customHeight="1"/>
    <row r="3375" spans="1:10" ht="24" customHeight="1">
      <c r="A3375" s="48" t="s">
        <v>1246</v>
      </c>
      <c r="B3375" s="43"/>
      <c r="C3375" s="43"/>
      <c r="D3375" s="43"/>
      <c r="E3375" s="43"/>
      <c r="F3375" s="43"/>
      <c r="G3375" s="43"/>
      <c r="H3375" s="43"/>
      <c r="I3375" s="43"/>
      <c r="J3375" s="43"/>
    </row>
    <row r="3376" spans="1:10" ht="24" customHeight="1">
      <c r="A3376" s="48"/>
      <c r="B3376" s="43"/>
      <c r="C3376" s="43"/>
      <c r="D3376" s="43"/>
      <c r="E3376" s="43"/>
      <c r="F3376" s="43"/>
      <c r="G3376" s="43"/>
      <c r="H3376" s="43"/>
      <c r="I3376" s="43"/>
      <c r="J3376" s="43"/>
    </row>
    <row r="3377" spans="1:10">
      <c r="A3377" s="49" t="s">
        <v>1224</v>
      </c>
      <c r="B3377" s="46"/>
      <c r="C3377" s="46"/>
      <c r="D3377" s="46"/>
      <c r="E3377" s="46"/>
      <c r="F3377" s="46"/>
      <c r="G3377" s="260" t="s">
        <v>10336</v>
      </c>
      <c r="H3377" s="260"/>
      <c r="I3377" s="260"/>
      <c r="J3377" s="260"/>
    </row>
    <row r="3378" spans="1:10" ht="24" customHeight="1">
      <c r="A3378" s="50" t="str">
        <f>CONCATENATE($I3371,"1")</f>
        <v>L1</v>
      </c>
      <c r="B3378" s="255" t="str">
        <f>IF(VLOOKUP($A3378,Players!$A$2:$C$132,3)&lt;&gt;0,VLOOKUP($A3378,Players!$A$2:$C$132,3),"")</f>
        <v/>
      </c>
      <c r="C3378" s="255"/>
      <c r="D3378" s="255"/>
      <c r="E3378" s="255"/>
      <c r="F3378" s="255"/>
      <c r="G3378" s="254" t="str">
        <f>IF(VLOOKUP($D3371&amp;RIGHT($A3378,1),Players!$A$2:$D$132,3)&lt;&gt;0,VLOOKUP($D3371&amp;RIGHT($A3378,1),Players!$A$2:$D$132,3),"")</f>
        <v/>
      </c>
      <c r="H3378" s="254"/>
      <c r="I3378" s="254"/>
      <c r="J3378" s="210" t="str">
        <f>IF(VLOOKUP($D3371&amp;RIGHT($A3378,1),Players!$A$2:$D$132,3)&lt;&gt;0,"("&amp;VLOOKUP($D3371&amp;RIGHT($A3378,1),Players!$A$2:$D$132,4)&amp;")","")</f>
        <v/>
      </c>
    </row>
    <row r="3379" spans="1:10" ht="25.5" customHeight="1">
      <c r="A3379" s="50" t="str">
        <f>CONCATENATE($I3371,"2")</f>
        <v>L2</v>
      </c>
      <c r="B3379" s="255" t="str">
        <f>IF(VLOOKUP($A3379,Players!$A$2:$C$132,3)&lt;&gt;0,VLOOKUP($A3379,Players!$A$2:$C$132,3),"")</f>
        <v/>
      </c>
      <c r="C3379" s="255"/>
      <c r="D3379" s="255"/>
      <c r="E3379" s="255"/>
      <c r="F3379" s="255"/>
      <c r="G3379" s="254" t="str">
        <f>IF(VLOOKUP($D3371&amp;RIGHT($A3379,1),Players!$A$2:$D$132,3)&lt;&gt;0,VLOOKUP($D3371&amp;RIGHT($A3379,1),Players!$A$2:$D$132,3),"")</f>
        <v/>
      </c>
      <c r="H3379" s="254"/>
      <c r="I3379" s="254"/>
      <c r="J3379" s="210" t="str">
        <f>IF(VLOOKUP($D3371&amp;RIGHT($A3379,1),Players!$A$2:$D$132,3)&lt;&gt;0,"("&amp;VLOOKUP($D3371&amp;RIGHT($A3379,1),Players!$A$2:$D$132,4)&amp;")","")</f>
        <v/>
      </c>
    </row>
    <row r="3380" spans="1:10" ht="25.5" customHeight="1">
      <c r="A3380" s="50" t="str">
        <f>CONCATENATE($I3371,"3")</f>
        <v>L3</v>
      </c>
      <c r="B3380" s="255" t="str">
        <f>IF(VLOOKUP($A3380,Players!$A$2:$C$132,3)&lt;&gt;0,VLOOKUP($A3380,Players!$A$2:$C$132,3),"")</f>
        <v/>
      </c>
      <c r="C3380" s="255"/>
      <c r="D3380" s="255"/>
      <c r="E3380" s="255"/>
      <c r="F3380" s="255"/>
      <c r="G3380" s="254" t="str">
        <f>IF(VLOOKUP($D3371&amp;RIGHT($A3380,1),Players!$A$2:$D$132,3)&lt;&gt;0,VLOOKUP($D3371&amp;RIGHT($A3380,1),Players!$A$2:$D$132,3),"")</f>
        <v/>
      </c>
      <c r="H3380" s="254"/>
      <c r="I3380" s="254"/>
      <c r="J3380" s="210" t="str">
        <f>IF(VLOOKUP($D3371&amp;RIGHT($A3380,1),Players!$A$2:$D$132,3)&lt;&gt;0,"("&amp;VLOOKUP($D3371&amp;RIGHT($A3380,1),Players!$A$2:$D$132,4)&amp;")","")</f>
        <v/>
      </c>
    </row>
    <row r="3381" spans="1:10" ht="25.5" customHeight="1">
      <c r="A3381" s="50" t="str">
        <f>CONCATENATE($I3371,"4")</f>
        <v>L4</v>
      </c>
      <c r="B3381" s="255" t="str">
        <f>IF(VLOOKUP($A3381,Players!$A$2:$C$132,3)&lt;&gt;0,VLOOKUP($A3381,Players!$A$2:$C$132,3),"")</f>
        <v/>
      </c>
      <c r="C3381" s="255"/>
      <c r="D3381" s="255"/>
      <c r="E3381" s="255"/>
      <c r="F3381" s="255"/>
      <c r="G3381" s="254" t="str">
        <f>IF(VLOOKUP($D3371&amp;RIGHT($A3381,1),Players!$A$2:$D$132,3)&lt;&gt;0,VLOOKUP($D3371&amp;RIGHT($A3381,1),Players!$A$2:$D$132,3),"")</f>
        <v/>
      </c>
      <c r="H3381" s="254"/>
      <c r="I3381" s="254"/>
      <c r="J3381" s="210" t="str">
        <f>IF(VLOOKUP($D3371&amp;RIGHT($A3381,1),Players!$A$2:$D$132,3)&lt;&gt;0,"("&amp;VLOOKUP($D3371&amp;RIGHT($A3381,1),Players!$A$2:$D$132,4)&amp;")","")</f>
        <v/>
      </c>
    </row>
    <row r="3382" spans="1:10" ht="25.5" customHeight="1">
      <c r="A3382" s="50" t="str">
        <f>CONCATENATE($I3371,"5")</f>
        <v>L5</v>
      </c>
      <c r="B3382" s="255" t="str">
        <f>IF(VLOOKUP($A3382,Players!$A$2:$C$132,3)&lt;&gt;0,VLOOKUP($A3382,Players!$A$2:$C$132,3),"")</f>
        <v/>
      </c>
      <c r="C3382" s="255"/>
      <c r="D3382" s="255"/>
      <c r="E3382" s="255"/>
      <c r="F3382" s="255"/>
      <c r="G3382" s="254" t="str">
        <f>IF(VLOOKUP($D3371&amp;RIGHT($A3382,1),Players!$A$2:$D$132,3)&lt;&gt;0,VLOOKUP($D3371&amp;RIGHT($A3382,1),Players!$A$2:$D$132,3),"")</f>
        <v/>
      </c>
      <c r="H3382" s="254"/>
      <c r="I3382" s="254"/>
      <c r="J3382" s="210" t="str">
        <f>IF(VLOOKUP($D3371&amp;RIGHT($A3382,1),Players!$A$2:$D$132,3)&lt;&gt;0,"("&amp;VLOOKUP($D3371&amp;RIGHT($A3382,1),Players!$A$2:$D$132,4)&amp;")","")</f>
        <v/>
      </c>
    </row>
    <row r="3383" spans="1:10" ht="25.5" customHeight="1">
      <c r="A3383" s="50" t="str">
        <f>CONCATENATE($I3371,"6")</f>
        <v>L6</v>
      </c>
      <c r="B3383" s="255" t="str">
        <f>IF(VLOOKUP($A3383,Players!$A$2:$C$132,3)&lt;&gt;0,VLOOKUP($A3383,Players!$A$2:$C$132,3),"")</f>
        <v/>
      </c>
      <c r="C3383" s="255"/>
      <c r="D3383" s="255"/>
      <c r="E3383" s="255"/>
      <c r="F3383" s="255"/>
      <c r="G3383" s="254" t="str">
        <f>IF(VLOOKUP($D3371&amp;RIGHT($A3383,1),Players!$A$2:$D$132,3)&lt;&gt;0,VLOOKUP($D3371&amp;RIGHT($A3383,1),Players!$A$2:$D$132,3),"")</f>
        <v/>
      </c>
      <c r="H3383" s="254"/>
      <c r="I3383" s="254"/>
      <c r="J3383" s="210" t="str">
        <f>IF(VLOOKUP($D3371&amp;RIGHT($A3383,1),Players!$A$2:$D$132,3)&lt;&gt;0,"("&amp;VLOOKUP($D3371&amp;RIGHT($A3383,1),Players!$A$2:$D$132,4)&amp;")","")</f>
        <v/>
      </c>
    </row>
    <row r="3384" spans="1:10" ht="25.5" customHeight="1">
      <c r="A3384" s="50" t="str">
        <f>CONCATENATE($I3371,"7")</f>
        <v>L7</v>
      </c>
      <c r="B3384" s="255" t="str">
        <f>IF(VLOOKUP($A3384,Players!$A$2:$C$132,3)&lt;&gt;0,VLOOKUP($A3384,Players!$A$2:$C$132,3),"")</f>
        <v/>
      </c>
      <c r="C3384" s="255"/>
      <c r="D3384" s="255"/>
      <c r="E3384" s="255"/>
      <c r="F3384" s="255"/>
      <c r="G3384" s="254" t="str">
        <f>IF(VLOOKUP($D3371&amp;RIGHT($A3384,1),Players!$A$2:$D$132,3)&lt;&gt;0,VLOOKUP($D3371&amp;RIGHT($A3384,1),Players!$A$2:$D$132,3),"")</f>
        <v/>
      </c>
      <c r="H3384" s="254"/>
      <c r="I3384" s="254"/>
      <c r="J3384" s="210" t="str">
        <f>IF(VLOOKUP($D3371&amp;RIGHT($A3384,1),Players!$A$2:$D$132,3)&lt;&gt;0,"("&amp;VLOOKUP($D3371&amp;RIGHT($A3384,1),Players!$A$2:$D$132,4)&amp;")","")</f>
        <v/>
      </c>
    </row>
    <row r="3385" spans="1:10" ht="25.5" customHeight="1">
      <c r="A3385" s="50" t="str">
        <f>CONCATENATE($I3371,"8")</f>
        <v>L8</v>
      </c>
      <c r="B3385" s="255" t="str">
        <f>IF(VLOOKUP($A3385,Players!$A$2:$C$132,3)&lt;&gt;0,VLOOKUP($A3385,Players!$A$2:$C$132,3),"")</f>
        <v/>
      </c>
      <c r="C3385" s="255"/>
      <c r="D3385" s="255"/>
      <c r="E3385" s="255"/>
      <c r="F3385" s="255"/>
      <c r="G3385" s="254" t="str">
        <f>IF(VLOOKUP($D3371&amp;RIGHT($A3385,1),Players!$A$2:$D$132,3)&lt;&gt;0,VLOOKUP($D3371&amp;RIGHT($A3385,1),Players!$A$2:$D$132,3),"")</f>
        <v/>
      </c>
      <c r="H3385" s="254"/>
      <c r="I3385" s="254"/>
      <c r="J3385" s="210" t="str">
        <f>IF(VLOOKUP($D3371&amp;RIGHT($A3385,1),Players!$A$2:$D$132,3)&lt;&gt;0,"("&amp;VLOOKUP($D3371&amp;RIGHT($A3385,1),Players!$A$2:$D$132,4)&amp;")","")</f>
        <v/>
      </c>
    </row>
    <row r="3386" spans="1:10" ht="25.5" customHeight="1">
      <c r="A3386" s="50"/>
      <c r="B3386" s="26"/>
      <c r="C3386" s="26"/>
      <c r="D3386" s="26"/>
      <c r="E3386" s="26"/>
      <c r="F3386" s="27"/>
      <c r="G3386" s="43"/>
      <c r="H3386" s="43"/>
      <c r="I3386" s="43"/>
      <c r="J3386" s="43"/>
    </row>
    <row r="3387" spans="1:10">
      <c r="A3387" s="49" t="s">
        <v>1225</v>
      </c>
      <c r="B3387" s="46"/>
      <c r="C3387" s="46"/>
      <c r="D3387" s="46"/>
      <c r="E3387" s="46"/>
      <c r="F3387" s="46"/>
      <c r="G3387" s="43"/>
      <c r="H3387" s="43"/>
      <c r="I3387" s="43"/>
      <c r="J3387" s="43"/>
    </row>
    <row r="3388" spans="1:10">
      <c r="A3388" s="46" t="s">
        <v>1247</v>
      </c>
      <c r="B3388" s="46"/>
      <c r="C3388" s="46"/>
      <c r="D3388" s="46"/>
      <c r="E3388" s="46"/>
      <c r="F3388" s="46"/>
      <c r="G3388" s="43"/>
      <c r="H3388" s="43"/>
      <c r="I3388" s="43"/>
      <c r="J3388" s="43"/>
    </row>
    <row r="3389" spans="1:10">
      <c r="A3389" s="46" t="s">
        <v>1248</v>
      </c>
      <c r="B3389" s="46"/>
      <c r="C3389" s="46"/>
      <c r="D3389" s="46"/>
      <c r="E3389" s="46"/>
      <c r="F3389" s="46"/>
      <c r="G3389" s="43"/>
      <c r="H3389" s="43"/>
      <c r="I3389" s="43"/>
      <c r="J3389" s="43"/>
    </row>
    <row r="3390" spans="1:10" ht="13.5" thickBot="1">
      <c r="A3390" s="46"/>
      <c r="B3390" s="46"/>
      <c r="C3390" s="46"/>
      <c r="D3390" s="46"/>
      <c r="E3390" s="46"/>
      <c r="F3390" s="46"/>
      <c r="G3390" s="43"/>
      <c r="H3390" s="43"/>
      <c r="I3390" s="43"/>
      <c r="J3390" s="43"/>
    </row>
    <row r="3391" spans="1:10" ht="25.5" customHeight="1" thickBot="1">
      <c r="A3391" s="50"/>
      <c r="B3391" s="257"/>
      <c r="C3391" s="258"/>
      <c r="D3391" s="258"/>
      <c r="E3391" s="258"/>
      <c r="F3391" s="259"/>
      <c r="G3391" s="43"/>
      <c r="H3391" s="43"/>
      <c r="I3391" s="43"/>
      <c r="J3391" s="43"/>
    </row>
    <row r="3392" spans="1:10">
      <c r="A3392" s="43"/>
      <c r="B3392" s="43"/>
      <c r="C3392" s="43"/>
      <c r="D3392" s="43"/>
      <c r="E3392" s="43"/>
      <c r="F3392" s="43"/>
      <c r="G3392" s="43"/>
      <c r="H3392" s="43"/>
      <c r="I3392" s="43"/>
      <c r="J3392" s="43"/>
    </row>
    <row r="3393" spans="1:10">
      <c r="A3393" s="43"/>
      <c r="B3393" s="43"/>
      <c r="C3393" s="43"/>
      <c r="D3393" s="43"/>
      <c r="E3393" s="43"/>
      <c r="F3393" s="43"/>
      <c r="G3393" s="43"/>
      <c r="H3393" s="43"/>
      <c r="I3393" s="43"/>
      <c r="J3393" s="43"/>
    </row>
    <row r="3394" spans="1:10">
      <c r="A3394" s="43"/>
      <c r="B3394" s="43"/>
      <c r="C3394" s="43"/>
      <c r="D3394" s="43"/>
      <c r="E3394" s="43"/>
      <c r="F3394" s="43"/>
      <c r="G3394" s="43"/>
      <c r="H3394" s="43"/>
      <c r="I3394" s="43"/>
      <c r="J3394" s="43"/>
    </row>
    <row r="3395" spans="1:10">
      <c r="A3395" s="43"/>
      <c r="B3395" s="43"/>
      <c r="C3395" s="43"/>
      <c r="D3395" s="43"/>
      <c r="E3395" s="43"/>
      <c r="F3395" s="43"/>
      <c r="G3395" s="43"/>
      <c r="H3395" s="43"/>
      <c r="I3395" s="43"/>
      <c r="J3395" s="43"/>
    </row>
    <row r="3396" spans="1:10">
      <c r="A3396" s="43"/>
      <c r="B3396" s="43"/>
      <c r="C3396" s="43"/>
      <c r="D3396" s="43"/>
      <c r="E3396" s="43"/>
      <c r="F3396" s="43"/>
      <c r="G3396" s="43"/>
      <c r="H3396" s="43"/>
      <c r="I3396" s="43"/>
      <c r="J3396" s="43"/>
    </row>
    <row r="3397" spans="1:10" ht="25.5" customHeight="1">
      <c r="A3397" s="47"/>
      <c r="B3397" s="47"/>
      <c r="C3397" s="47"/>
      <c r="D3397" s="47"/>
      <c r="E3397" s="47"/>
      <c r="F3397" s="43"/>
      <c r="G3397" s="51"/>
      <c r="H3397" s="250" t="s">
        <v>1227</v>
      </c>
      <c r="I3397" s="251"/>
      <c r="J3397" s="43"/>
    </row>
    <row r="3398" spans="1:10">
      <c r="A3398" s="43" t="s">
        <v>1226</v>
      </c>
      <c r="B3398" s="43"/>
      <c r="C3398" s="43"/>
      <c r="D3398" s="43"/>
      <c r="E3398" s="43"/>
      <c r="F3398" s="43"/>
      <c r="G3398" s="43"/>
      <c r="H3398" s="43"/>
      <c r="I3398" s="43"/>
      <c r="J3398" s="43"/>
    </row>
    <row r="3399" spans="1:10">
      <c r="A3399" s="43"/>
      <c r="B3399" s="43"/>
      <c r="C3399" s="43"/>
      <c r="D3399" s="43"/>
      <c r="E3399" s="43"/>
      <c r="F3399" s="43"/>
      <c r="G3399" s="43"/>
      <c r="H3399" s="43"/>
      <c r="I3399" s="43"/>
      <c r="J3399" s="43"/>
    </row>
    <row r="3400" spans="1:10">
      <c r="A3400" s="43"/>
      <c r="B3400" s="43"/>
      <c r="C3400" s="43"/>
      <c r="D3400" s="43"/>
      <c r="E3400" s="256" t="str">
        <f>CONCATENATE("(",$D3371," vs ",$I3371,")")</f>
        <v>(D vs L)</v>
      </c>
      <c r="F3400" s="256"/>
      <c r="G3400" s="43"/>
      <c r="H3400" s="43"/>
      <c r="I3400" s="43"/>
      <c r="J3400" s="43"/>
    </row>
    <row r="3401" spans="1:10" ht="15.75">
      <c r="A3401" s="42" t="s">
        <v>1223</v>
      </c>
      <c r="B3401" s="43"/>
      <c r="C3401" s="43"/>
      <c r="D3401" s="43"/>
      <c r="E3401" s="43"/>
      <c r="F3401" s="43"/>
      <c r="G3401" s="43"/>
      <c r="H3401" s="43"/>
      <c r="I3401" s="43"/>
      <c r="J3401" s="96" t="s">
        <v>4319</v>
      </c>
    </row>
    <row r="3402" spans="1:10" ht="12.75" customHeight="1">
      <c r="A3402" s="42"/>
      <c r="B3402" s="43"/>
      <c r="C3402" s="43"/>
      <c r="D3402" s="43"/>
      <c r="E3402" s="43"/>
      <c r="F3402" s="43"/>
      <c r="G3402" s="43" t="str">
        <f ca="1">Team_Matches!$J$6</f>
        <v>[NCTTA Teams Template (v2.06).xlsx]</v>
      </c>
      <c r="H3402" s="43"/>
      <c r="I3402" s="43"/>
      <c r="J3402" s="160"/>
    </row>
    <row r="3403" spans="1:10" ht="12.75" customHeight="1">
      <c r="A3403" s="42"/>
      <c r="B3403" s="43"/>
      <c r="C3403" s="43"/>
      <c r="D3403" s="43"/>
      <c r="E3403" s="43"/>
      <c r="F3403" s="43"/>
      <c r="G3403" s="247" t="str">
        <f>Team_Matches!$J2557</f>
        <v/>
      </c>
      <c r="H3403" s="247"/>
      <c r="I3403" s="161" t="str">
        <f>Team_Matches!$M2557</f>
        <v/>
      </c>
      <c r="J3403" s="161"/>
    </row>
    <row r="3404" spans="1:10" ht="15.75">
      <c r="A3404" s="42"/>
      <c r="B3404" s="43"/>
      <c r="C3404" s="43"/>
      <c r="D3404" s="43"/>
      <c r="E3404" s="43"/>
      <c r="F3404" s="43"/>
      <c r="G3404" s="43"/>
      <c r="H3404" s="43"/>
      <c r="I3404" s="43"/>
      <c r="J3404" s="43"/>
    </row>
    <row r="3405" spans="1:10">
      <c r="A3405" s="43"/>
      <c r="B3405" s="43"/>
      <c r="C3405" s="9" t="s">
        <v>1228</v>
      </c>
      <c r="D3405" s="3" t="str">
        <f>Team_Matches!$B2559</f>
        <v>E</v>
      </c>
      <c r="E3405" s="43"/>
      <c r="F3405" s="97" t="str">
        <f>CONCATENATE($D3405,"-",$I3405)</f>
        <v>E-I</v>
      </c>
      <c r="G3405" s="43"/>
      <c r="H3405" s="9" t="s">
        <v>1228</v>
      </c>
      <c r="I3405" s="52" t="str">
        <f>Team_Matches!$K2559</f>
        <v>I</v>
      </c>
      <c r="J3405" s="43"/>
    </row>
    <row r="3406" spans="1:10" ht="25.5" customHeight="1">
      <c r="A3406" s="44"/>
      <c r="B3406" s="248" t="str">
        <f>IF(VLOOKUP($D3405,Draw!$A$4:$B$27,2)&lt;&gt;0,VLOOKUP($D3405,Draw!$A$4:$B$27,2),"")</f>
        <v/>
      </c>
      <c r="C3406" s="248"/>
      <c r="D3406" s="248"/>
      <c r="E3406" s="249"/>
      <c r="F3406" s="45"/>
      <c r="G3406" s="252" t="str">
        <f>IF(VLOOKUP($I3405,Draw!$A$4:$B$27,2)&lt;&gt;0,VLOOKUP($I3405,Draw!$A$4:$B$27,2),"")</f>
        <v/>
      </c>
      <c r="H3406" s="252"/>
      <c r="I3406" s="252"/>
      <c r="J3406" s="253"/>
    </row>
    <row r="3407" spans="1:10" ht="25.5" customHeight="1"/>
    <row r="3408" spans="1:10" ht="25.5" customHeight="1"/>
    <row r="3409" spans="1:10" ht="24" customHeight="1">
      <c r="A3409" s="48" t="s">
        <v>1246</v>
      </c>
      <c r="B3409" s="43"/>
      <c r="C3409" s="43"/>
      <c r="D3409" s="43"/>
      <c r="E3409" s="43"/>
      <c r="F3409" s="43"/>
      <c r="G3409" s="43"/>
      <c r="H3409" s="43"/>
      <c r="I3409" s="43"/>
      <c r="J3409" s="43"/>
    </row>
    <row r="3410" spans="1:10" ht="24" customHeight="1">
      <c r="A3410" s="48"/>
      <c r="B3410" s="43"/>
      <c r="C3410" s="43"/>
      <c r="D3410" s="43"/>
      <c r="E3410" s="43"/>
      <c r="F3410" s="43"/>
      <c r="G3410" s="43"/>
      <c r="H3410" s="43"/>
      <c r="I3410" s="43"/>
      <c r="J3410" s="43"/>
    </row>
    <row r="3411" spans="1:10">
      <c r="A3411" s="49" t="s">
        <v>1224</v>
      </c>
      <c r="B3411" s="46"/>
      <c r="C3411" s="46"/>
      <c r="D3411" s="46"/>
      <c r="E3411" s="46"/>
      <c r="F3411" s="46"/>
      <c r="G3411" s="260" t="s">
        <v>10336</v>
      </c>
      <c r="H3411" s="260"/>
      <c r="I3411" s="260"/>
      <c r="J3411" s="260"/>
    </row>
    <row r="3412" spans="1:10" ht="24" customHeight="1">
      <c r="A3412" s="50" t="str">
        <f>CONCATENATE($D3405,"1")</f>
        <v>E1</v>
      </c>
      <c r="B3412" s="255" t="str">
        <f>IF(VLOOKUP($A3412,Players!$A$2:$C$132,3)&lt;&gt;0,VLOOKUP($A3412,Players!$A$2:$C$132,3),"")</f>
        <v/>
      </c>
      <c r="C3412" s="255"/>
      <c r="D3412" s="255"/>
      <c r="E3412" s="255"/>
      <c r="F3412" s="255"/>
      <c r="G3412" s="254" t="str">
        <f>IF(VLOOKUP($I3405&amp;RIGHT($A3412,1),Players!$A$2:$D$132,3)&lt;&gt;0,VLOOKUP($I3405&amp;RIGHT($A3412,1),Players!$A$2:$D$132,3),"")</f>
        <v/>
      </c>
      <c r="H3412" s="254"/>
      <c r="I3412" s="254"/>
      <c r="J3412" s="210" t="str">
        <f>IF(VLOOKUP($I3405&amp;RIGHT($A3412,1),Players!$A$2:$D$132,3)&lt;&gt;0,"("&amp;VLOOKUP($I3405&amp;RIGHT($A3412,1),Players!$A$2:$D$132,4)&amp;")","")</f>
        <v/>
      </c>
    </row>
    <row r="3413" spans="1:10" ht="25.5" customHeight="1">
      <c r="A3413" s="50" t="str">
        <f>CONCATENATE($D3405,"2")</f>
        <v>E2</v>
      </c>
      <c r="B3413" s="255" t="str">
        <f>IF(VLOOKUP($A3413,Players!$A$2:$C$132,3)&lt;&gt;0,VLOOKUP($A3413,Players!$A$2:$C$132,3),"")</f>
        <v/>
      </c>
      <c r="C3413" s="255"/>
      <c r="D3413" s="255"/>
      <c r="E3413" s="255"/>
      <c r="F3413" s="255"/>
      <c r="G3413" s="254" t="str">
        <f>IF(VLOOKUP($I3405&amp;RIGHT($A3413,1),Players!$A$2:$D$132,3)&lt;&gt;0,VLOOKUP($I3405&amp;RIGHT($A3413,1),Players!$A$2:$D$132,3),"")</f>
        <v/>
      </c>
      <c r="H3413" s="254"/>
      <c r="I3413" s="254"/>
      <c r="J3413" s="210" t="str">
        <f>IF(VLOOKUP($I3405&amp;RIGHT($A3413,1),Players!$A$2:$D$132,3)&lt;&gt;0,"("&amp;VLOOKUP($I3405&amp;RIGHT($A3413,1),Players!$A$2:$D$132,4)&amp;")","")</f>
        <v/>
      </c>
    </row>
    <row r="3414" spans="1:10" ht="25.5" customHeight="1">
      <c r="A3414" s="50" t="str">
        <f>CONCATENATE($D3405,"3")</f>
        <v>E3</v>
      </c>
      <c r="B3414" s="255" t="str">
        <f>IF(VLOOKUP($A3414,Players!$A$2:$C$132,3)&lt;&gt;0,VLOOKUP($A3414,Players!$A$2:$C$132,3),"")</f>
        <v/>
      </c>
      <c r="C3414" s="255"/>
      <c r="D3414" s="255"/>
      <c r="E3414" s="255"/>
      <c r="F3414" s="255"/>
      <c r="G3414" s="254" t="str">
        <f>IF(VLOOKUP($I3405&amp;RIGHT($A3414,1),Players!$A$2:$D$132,3)&lt;&gt;0,VLOOKUP($I3405&amp;RIGHT($A3414,1),Players!$A$2:$D$132,3),"")</f>
        <v/>
      </c>
      <c r="H3414" s="254"/>
      <c r="I3414" s="254"/>
      <c r="J3414" s="210" t="str">
        <f>IF(VLOOKUP($I3405&amp;RIGHT($A3414,1),Players!$A$2:$D$132,3)&lt;&gt;0,"("&amp;VLOOKUP($I3405&amp;RIGHT($A3414,1),Players!$A$2:$D$132,4)&amp;")","")</f>
        <v/>
      </c>
    </row>
    <row r="3415" spans="1:10" ht="25.5" customHeight="1">
      <c r="A3415" s="50" t="str">
        <f>CONCATENATE($D3405,"4")</f>
        <v>E4</v>
      </c>
      <c r="B3415" s="255" t="str">
        <f>IF(VLOOKUP($A3415,Players!$A$2:$C$132,3)&lt;&gt;0,VLOOKUP($A3415,Players!$A$2:$C$132,3),"")</f>
        <v/>
      </c>
      <c r="C3415" s="255"/>
      <c r="D3415" s="255"/>
      <c r="E3415" s="255"/>
      <c r="F3415" s="255"/>
      <c r="G3415" s="254" t="str">
        <f>IF(VLOOKUP($I3405&amp;RIGHT($A3415,1),Players!$A$2:$D$132,3)&lt;&gt;0,VLOOKUP($I3405&amp;RIGHT($A3415,1),Players!$A$2:$D$132,3),"")</f>
        <v/>
      </c>
      <c r="H3415" s="254"/>
      <c r="I3415" s="254"/>
      <c r="J3415" s="210" t="str">
        <f>IF(VLOOKUP($I3405&amp;RIGHT($A3415,1),Players!$A$2:$D$132,3)&lt;&gt;0,"("&amp;VLOOKUP($I3405&amp;RIGHT($A3415,1),Players!$A$2:$D$132,4)&amp;")","")</f>
        <v/>
      </c>
    </row>
    <row r="3416" spans="1:10" ht="25.5" customHeight="1">
      <c r="A3416" s="50" t="str">
        <f>CONCATENATE($D3405,"5")</f>
        <v>E5</v>
      </c>
      <c r="B3416" s="255" t="str">
        <f>IF(VLOOKUP($A3416,Players!$A$2:$C$132,3)&lt;&gt;0,VLOOKUP($A3416,Players!$A$2:$C$132,3),"")</f>
        <v/>
      </c>
      <c r="C3416" s="255"/>
      <c r="D3416" s="255"/>
      <c r="E3416" s="255"/>
      <c r="F3416" s="255"/>
      <c r="G3416" s="254" t="str">
        <f>IF(VLOOKUP($I3405&amp;RIGHT($A3416,1),Players!$A$2:$D$132,3)&lt;&gt;0,VLOOKUP($I3405&amp;RIGHT($A3416,1),Players!$A$2:$D$132,3),"")</f>
        <v/>
      </c>
      <c r="H3416" s="254"/>
      <c r="I3416" s="254"/>
      <c r="J3416" s="210" t="str">
        <f>IF(VLOOKUP($I3405&amp;RIGHT($A3416,1),Players!$A$2:$D$132,3)&lt;&gt;0,"("&amp;VLOOKUP($I3405&amp;RIGHT($A3416,1),Players!$A$2:$D$132,4)&amp;")","")</f>
        <v/>
      </c>
    </row>
    <row r="3417" spans="1:10" ht="25.5" customHeight="1">
      <c r="A3417" s="50" t="str">
        <f>CONCATENATE($D3405,"6")</f>
        <v>E6</v>
      </c>
      <c r="B3417" s="255" t="str">
        <f>IF(VLOOKUP($A3417,Players!$A$2:$C$132,3)&lt;&gt;0,VLOOKUP($A3417,Players!$A$2:$C$132,3),"")</f>
        <v/>
      </c>
      <c r="C3417" s="255"/>
      <c r="D3417" s="255"/>
      <c r="E3417" s="255"/>
      <c r="F3417" s="255"/>
      <c r="G3417" s="254" t="str">
        <f>IF(VLOOKUP($I3405&amp;RIGHT($A3417,1),Players!$A$2:$D$132,3)&lt;&gt;0,VLOOKUP($I3405&amp;RIGHT($A3417,1),Players!$A$2:$D$132,3),"")</f>
        <v/>
      </c>
      <c r="H3417" s="254"/>
      <c r="I3417" s="254"/>
      <c r="J3417" s="210" t="str">
        <f>IF(VLOOKUP($I3405&amp;RIGHT($A3417,1),Players!$A$2:$D$132,3)&lt;&gt;0,"("&amp;VLOOKUP($I3405&amp;RIGHT($A3417,1),Players!$A$2:$D$132,4)&amp;")","")</f>
        <v/>
      </c>
    </row>
    <row r="3418" spans="1:10" ht="25.5" customHeight="1">
      <c r="A3418" s="50" t="str">
        <f>CONCATENATE($D3405,"7")</f>
        <v>E7</v>
      </c>
      <c r="B3418" s="255" t="str">
        <f>IF(VLOOKUP($A3418,Players!$A$2:$C$132,3)&lt;&gt;0,VLOOKUP($A3418,Players!$A$2:$C$132,3),"")</f>
        <v/>
      </c>
      <c r="C3418" s="255"/>
      <c r="D3418" s="255"/>
      <c r="E3418" s="255"/>
      <c r="F3418" s="255"/>
      <c r="G3418" s="254" t="str">
        <f>IF(VLOOKUP($I3405&amp;RIGHT($A3418,1),Players!$A$2:$D$132,3)&lt;&gt;0,VLOOKUP($I3405&amp;RIGHT($A3418,1),Players!$A$2:$D$132,3),"")</f>
        <v/>
      </c>
      <c r="H3418" s="254"/>
      <c r="I3418" s="254"/>
      <c r="J3418" s="210" t="str">
        <f>IF(VLOOKUP($I3405&amp;RIGHT($A3418,1),Players!$A$2:$D$132,3)&lt;&gt;0,"("&amp;VLOOKUP($I3405&amp;RIGHT($A3418,1),Players!$A$2:$D$132,4)&amp;")","")</f>
        <v/>
      </c>
    </row>
    <row r="3419" spans="1:10" ht="25.5" customHeight="1">
      <c r="A3419" s="50" t="str">
        <f>CONCATENATE($D3405,"8")</f>
        <v>E8</v>
      </c>
      <c r="B3419" s="255" t="str">
        <f>IF(VLOOKUP($A3419,Players!$A$2:$C$132,3)&lt;&gt;0,VLOOKUP($A3419,Players!$A$2:$C$132,3),"")</f>
        <v/>
      </c>
      <c r="C3419" s="255"/>
      <c r="D3419" s="255"/>
      <c r="E3419" s="255"/>
      <c r="F3419" s="255"/>
      <c r="G3419" s="254" t="str">
        <f>IF(VLOOKUP($I3405&amp;RIGHT($A3419,1),Players!$A$2:$D$132,3)&lt;&gt;0,VLOOKUP($I3405&amp;RIGHT($A3419,1),Players!$A$2:$D$132,3),"")</f>
        <v/>
      </c>
      <c r="H3419" s="254"/>
      <c r="I3419" s="254"/>
      <c r="J3419" s="210" t="str">
        <f>IF(VLOOKUP($I3405&amp;RIGHT($A3419,1),Players!$A$2:$D$132,3)&lt;&gt;0,"("&amp;VLOOKUP($I3405&amp;RIGHT($A3419,1),Players!$A$2:$D$132,4)&amp;")","")</f>
        <v/>
      </c>
    </row>
    <row r="3420" spans="1:10" ht="25.5" customHeight="1">
      <c r="A3420" s="50"/>
      <c r="B3420" s="26"/>
      <c r="C3420" s="26"/>
      <c r="D3420" s="26"/>
      <c r="E3420" s="26"/>
      <c r="F3420" s="27"/>
      <c r="G3420" s="43"/>
      <c r="H3420" s="43"/>
      <c r="I3420" s="43"/>
      <c r="J3420" s="43"/>
    </row>
    <row r="3421" spans="1:10">
      <c r="A3421" s="49" t="s">
        <v>1225</v>
      </c>
      <c r="B3421" s="46"/>
      <c r="C3421" s="46"/>
      <c r="D3421" s="46"/>
      <c r="E3421" s="46"/>
      <c r="F3421" s="46"/>
      <c r="G3421" s="43"/>
      <c r="H3421" s="43"/>
      <c r="I3421" s="43"/>
      <c r="J3421" s="43"/>
    </row>
    <row r="3422" spans="1:10">
      <c r="A3422" s="46" t="s">
        <v>1247</v>
      </c>
      <c r="B3422" s="46"/>
      <c r="C3422" s="46"/>
      <c r="D3422" s="46"/>
      <c r="E3422" s="46"/>
      <c r="F3422" s="46"/>
      <c r="G3422" s="43"/>
      <c r="H3422" s="43"/>
      <c r="I3422" s="43"/>
      <c r="J3422" s="43"/>
    </row>
    <row r="3423" spans="1:10">
      <c r="A3423" s="46" t="s">
        <v>1248</v>
      </c>
      <c r="B3423" s="46"/>
      <c r="C3423" s="46"/>
      <c r="D3423" s="46"/>
      <c r="E3423" s="46"/>
      <c r="F3423" s="46"/>
      <c r="G3423" s="43"/>
      <c r="H3423" s="43"/>
      <c r="I3423" s="43"/>
      <c r="J3423" s="43"/>
    </row>
    <row r="3424" spans="1:10" ht="13.5" thickBot="1">
      <c r="A3424" s="46"/>
      <c r="B3424" s="46"/>
      <c r="C3424" s="46"/>
      <c r="D3424" s="46"/>
      <c r="E3424" s="46"/>
      <c r="F3424" s="46"/>
      <c r="G3424" s="43"/>
      <c r="H3424" s="43"/>
      <c r="I3424" s="43"/>
      <c r="J3424" s="43"/>
    </row>
    <row r="3425" spans="1:10" ht="25.5" customHeight="1" thickBot="1">
      <c r="A3425" s="50"/>
      <c r="B3425" s="257"/>
      <c r="C3425" s="258"/>
      <c r="D3425" s="258"/>
      <c r="E3425" s="258"/>
      <c r="F3425" s="259"/>
      <c r="G3425" s="43"/>
      <c r="H3425" s="43"/>
      <c r="I3425" s="43"/>
      <c r="J3425" s="43"/>
    </row>
    <row r="3426" spans="1:10">
      <c r="A3426" s="43"/>
      <c r="B3426" s="43"/>
      <c r="C3426" s="43"/>
      <c r="D3426" s="43"/>
      <c r="E3426" s="43"/>
      <c r="F3426" s="43"/>
      <c r="G3426" s="43"/>
      <c r="H3426" s="43"/>
      <c r="I3426" s="43"/>
      <c r="J3426" s="43"/>
    </row>
    <row r="3427" spans="1:10">
      <c r="A3427" s="43"/>
      <c r="B3427" s="43"/>
      <c r="C3427" s="43"/>
      <c r="D3427" s="43"/>
      <c r="E3427" s="43"/>
      <c r="F3427" s="43"/>
      <c r="G3427" s="43"/>
      <c r="H3427" s="43"/>
      <c r="I3427" s="43"/>
      <c r="J3427" s="43"/>
    </row>
    <row r="3428" spans="1:10">
      <c r="A3428" s="43"/>
      <c r="B3428" s="43"/>
      <c r="C3428" s="43"/>
      <c r="D3428" s="43"/>
      <c r="E3428" s="43"/>
      <c r="F3428" s="43"/>
      <c r="G3428" s="43"/>
      <c r="H3428" s="43"/>
      <c r="I3428" s="43"/>
      <c r="J3428" s="43"/>
    </row>
    <row r="3429" spans="1:10">
      <c r="A3429" s="43"/>
      <c r="B3429" s="43"/>
      <c r="C3429" s="43"/>
      <c r="D3429" s="43"/>
      <c r="E3429" s="43"/>
      <c r="F3429" s="43"/>
      <c r="G3429" s="43"/>
      <c r="H3429" s="43"/>
      <c r="I3429" s="43"/>
      <c r="J3429" s="43"/>
    </row>
    <row r="3430" spans="1:10">
      <c r="A3430" s="43"/>
      <c r="B3430" s="43"/>
      <c r="C3430" s="43"/>
      <c r="D3430" s="43"/>
      <c r="E3430" s="43"/>
      <c r="F3430" s="43"/>
      <c r="G3430" s="43"/>
      <c r="H3430" s="43"/>
      <c r="I3430" s="43"/>
      <c r="J3430" s="43"/>
    </row>
    <row r="3431" spans="1:10" ht="25.5" customHeight="1">
      <c r="A3431" s="47"/>
      <c r="B3431" s="47"/>
      <c r="C3431" s="47"/>
      <c r="D3431" s="47"/>
      <c r="E3431" s="47"/>
      <c r="F3431" s="43"/>
      <c r="G3431" s="51"/>
      <c r="H3431" s="250" t="s">
        <v>1227</v>
      </c>
      <c r="I3431" s="251"/>
      <c r="J3431" s="43"/>
    </row>
    <row r="3432" spans="1:10">
      <c r="A3432" s="43" t="s">
        <v>1226</v>
      </c>
      <c r="B3432" s="43"/>
      <c r="C3432" s="43"/>
      <c r="D3432" s="43"/>
      <c r="E3432" s="43"/>
      <c r="F3432" s="43"/>
      <c r="G3432" s="43"/>
      <c r="H3432" s="43"/>
      <c r="I3432" s="43"/>
      <c r="J3432" s="43"/>
    </row>
    <row r="3433" spans="1:10">
      <c r="A3433" s="43"/>
      <c r="B3433" s="43"/>
      <c r="C3433" s="43"/>
      <c r="D3433" s="43"/>
      <c r="E3433" s="43"/>
      <c r="F3433" s="43"/>
      <c r="G3433" s="43"/>
      <c r="H3433" s="43"/>
      <c r="I3433" s="43"/>
      <c r="J3433" s="43"/>
    </row>
    <row r="3434" spans="1:10">
      <c r="A3434" s="43"/>
      <c r="B3434" s="43"/>
      <c r="C3434" s="43"/>
      <c r="D3434" s="43"/>
      <c r="E3434" s="256" t="str">
        <f>CONCATENATE("(",$D3405," vs ",$I3405,")")</f>
        <v>(E vs I)</v>
      </c>
      <c r="F3434" s="256"/>
      <c r="G3434" s="43"/>
      <c r="H3434" s="43"/>
      <c r="I3434" s="43"/>
      <c r="J3434" s="43"/>
    </row>
    <row r="3435" spans="1:10" ht="15.75">
      <c r="A3435" s="42" t="s">
        <v>1223</v>
      </c>
      <c r="B3435" s="43"/>
      <c r="C3435" s="43"/>
      <c r="D3435" s="43"/>
      <c r="E3435" s="43"/>
      <c r="F3435" s="43"/>
      <c r="G3435" s="43"/>
      <c r="H3435" s="43"/>
      <c r="I3435" s="43"/>
      <c r="J3435" s="96" t="s">
        <v>4320</v>
      </c>
    </row>
    <row r="3436" spans="1:10" ht="12.75" customHeight="1">
      <c r="A3436" s="42"/>
      <c r="B3436" s="43"/>
      <c r="C3436" s="43"/>
      <c r="D3436" s="43"/>
      <c r="E3436" s="43"/>
      <c r="F3436" s="43"/>
      <c r="G3436" s="43" t="str">
        <f ca="1">Team_Matches!$J$6</f>
        <v>[NCTTA Teams Template (v2.06).xlsx]</v>
      </c>
      <c r="H3436" s="43"/>
      <c r="I3436" s="43"/>
      <c r="J3436" s="160"/>
    </row>
    <row r="3437" spans="1:10" ht="12.75" customHeight="1">
      <c r="A3437" s="42"/>
      <c r="B3437" s="43"/>
      <c r="C3437" s="43"/>
      <c r="D3437" s="43"/>
      <c r="E3437" s="43"/>
      <c r="F3437" s="43"/>
      <c r="G3437" s="247" t="str">
        <f>Team_Matches!$J2557</f>
        <v/>
      </c>
      <c r="H3437" s="247"/>
      <c r="I3437" s="161" t="str">
        <f>Team_Matches!$M2557</f>
        <v/>
      </c>
      <c r="J3437" s="161"/>
    </row>
    <row r="3438" spans="1:10" ht="15.75">
      <c r="A3438" s="42"/>
      <c r="B3438" s="43"/>
      <c r="C3438" s="43"/>
      <c r="D3438" s="43"/>
      <c r="E3438" s="43"/>
      <c r="F3438" s="43"/>
      <c r="G3438" s="43"/>
      <c r="H3438" s="43"/>
      <c r="I3438" s="43"/>
      <c r="J3438" s="43"/>
    </row>
    <row r="3439" spans="1:10">
      <c r="A3439" s="43"/>
      <c r="B3439" s="43"/>
      <c r="C3439" s="9" t="s">
        <v>1228</v>
      </c>
      <c r="D3439" s="3" t="str">
        <f>Team_Matches!$B2559</f>
        <v>E</v>
      </c>
      <c r="E3439" s="43"/>
      <c r="F3439" s="97" t="str">
        <f>CONCATENATE($D3439,"-",$I3439)</f>
        <v>E-I</v>
      </c>
      <c r="G3439" s="43"/>
      <c r="H3439" s="9" t="s">
        <v>1228</v>
      </c>
      <c r="I3439" s="52" t="str">
        <f>Team_Matches!$K2559</f>
        <v>I</v>
      </c>
      <c r="J3439" s="43"/>
    </row>
    <row r="3440" spans="1:10" ht="25.5" customHeight="1">
      <c r="A3440" s="44"/>
      <c r="B3440" s="252" t="str">
        <f>IF(VLOOKUP($D3439,Draw!$A$4:$B$27,2)&lt;&gt;0,VLOOKUP($D3439,Draw!$A$4:$B$27,2),"")</f>
        <v/>
      </c>
      <c r="C3440" s="252"/>
      <c r="D3440" s="252"/>
      <c r="E3440" s="253"/>
      <c r="F3440" s="45"/>
      <c r="G3440" s="248" t="str">
        <f>IF(VLOOKUP($I3439,Draw!$A$4:$B$27,2)&lt;&gt;0,VLOOKUP($I3439,Draw!$A$4:$B$27,2),"")</f>
        <v/>
      </c>
      <c r="H3440" s="248"/>
      <c r="I3440" s="248"/>
      <c r="J3440" s="249"/>
    </row>
    <row r="3441" spans="1:10" ht="25.5" customHeight="1"/>
    <row r="3442" spans="1:10" ht="25.5" customHeight="1"/>
    <row r="3443" spans="1:10" ht="24" customHeight="1">
      <c r="A3443" s="48" t="s">
        <v>1246</v>
      </c>
      <c r="B3443" s="43"/>
      <c r="C3443" s="43"/>
      <c r="D3443" s="43"/>
      <c r="E3443" s="43"/>
      <c r="F3443" s="43"/>
      <c r="G3443" s="43"/>
      <c r="H3443" s="43"/>
      <c r="I3443" s="43"/>
      <c r="J3443" s="43"/>
    </row>
    <row r="3444" spans="1:10" ht="24" customHeight="1">
      <c r="A3444" s="48"/>
      <c r="B3444" s="43"/>
      <c r="C3444" s="43"/>
      <c r="D3444" s="43"/>
      <c r="E3444" s="43"/>
      <c r="F3444" s="43"/>
      <c r="G3444" s="43"/>
      <c r="H3444" s="43"/>
      <c r="I3444" s="43"/>
      <c r="J3444" s="43"/>
    </row>
    <row r="3445" spans="1:10">
      <c r="A3445" s="49" t="s">
        <v>1224</v>
      </c>
      <c r="B3445" s="46"/>
      <c r="C3445" s="46"/>
      <c r="D3445" s="46"/>
      <c r="E3445" s="46"/>
      <c r="F3445" s="46"/>
      <c r="G3445" s="260" t="s">
        <v>10336</v>
      </c>
      <c r="H3445" s="260"/>
      <c r="I3445" s="260"/>
      <c r="J3445" s="260"/>
    </row>
    <row r="3446" spans="1:10" ht="24" customHeight="1">
      <c r="A3446" s="50" t="str">
        <f>CONCATENATE($I3439,"1")</f>
        <v>I1</v>
      </c>
      <c r="B3446" s="255" t="str">
        <f>IF(VLOOKUP($A3446,Players!$A$2:$C$132,3)&lt;&gt;0,VLOOKUP($A3446,Players!$A$2:$C$132,3),"")</f>
        <v/>
      </c>
      <c r="C3446" s="255"/>
      <c r="D3446" s="255"/>
      <c r="E3446" s="255"/>
      <c r="F3446" s="255"/>
      <c r="G3446" s="254" t="str">
        <f>IF(VLOOKUP($D3439&amp;RIGHT($A3446,1),Players!$A$2:$D$132,3)&lt;&gt;0,VLOOKUP($D3439&amp;RIGHT($A3446,1),Players!$A$2:$D$132,3),"")</f>
        <v/>
      </c>
      <c r="H3446" s="254"/>
      <c r="I3446" s="254"/>
      <c r="J3446" s="210" t="str">
        <f>IF(VLOOKUP($D3439&amp;RIGHT($A3446,1),Players!$A$2:$D$132,3)&lt;&gt;0,"("&amp;VLOOKUP($D3439&amp;RIGHT($A3446,1),Players!$A$2:$D$132,4)&amp;")","")</f>
        <v/>
      </c>
    </row>
    <row r="3447" spans="1:10" ht="25.5" customHeight="1">
      <c r="A3447" s="50" t="str">
        <f>CONCATENATE($I3439,"2")</f>
        <v>I2</v>
      </c>
      <c r="B3447" s="255" t="str">
        <f>IF(VLOOKUP($A3447,Players!$A$2:$C$132,3)&lt;&gt;0,VLOOKUP($A3447,Players!$A$2:$C$132,3),"")</f>
        <v/>
      </c>
      <c r="C3447" s="255"/>
      <c r="D3447" s="255"/>
      <c r="E3447" s="255"/>
      <c r="F3447" s="255"/>
      <c r="G3447" s="254" t="str">
        <f>IF(VLOOKUP($D3439&amp;RIGHT($A3447,1),Players!$A$2:$D$132,3)&lt;&gt;0,VLOOKUP($D3439&amp;RIGHT($A3447,1),Players!$A$2:$D$132,3),"")</f>
        <v/>
      </c>
      <c r="H3447" s="254"/>
      <c r="I3447" s="254"/>
      <c r="J3447" s="210" t="str">
        <f>IF(VLOOKUP($D3439&amp;RIGHT($A3447,1),Players!$A$2:$D$132,3)&lt;&gt;0,"("&amp;VLOOKUP($D3439&amp;RIGHT($A3447,1),Players!$A$2:$D$132,4)&amp;")","")</f>
        <v/>
      </c>
    </row>
    <row r="3448" spans="1:10" ht="25.5" customHeight="1">
      <c r="A3448" s="50" t="str">
        <f>CONCATENATE($I3439,"3")</f>
        <v>I3</v>
      </c>
      <c r="B3448" s="255" t="str">
        <f>IF(VLOOKUP($A3448,Players!$A$2:$C$132,3)&lt;&gt;0,VLOOKUP($A3448,Players!$A$2:$C$132,3),"")</f>
        <v/>
      </c>
      <c r="C3448" s="255"/>
      <c r="D3448" s="255"/>
      <c r="E3448" s="255"/>
      <c r="F3448" s="255"/>
      <c r="G3448" s="254" t="str">
        <f>IF(VLOOKUP($D3439&amp;RIGHT($A3448,1),Players!$A$2:$D$132,3)&lt;&gt;0,VLOOKUP($D3439&amp;RIGHT($A3448,1),Players!$A$2:$D$132,3),"")</f>
        <v/>
      </c>
      <c r="H3448" s="254"/>
      <c r="I3448" s="254"/>
      <c r="J3448" s="210" t="str">
        <f>IF(VLOOKUP($D3439&amp;RIGHT($A3448,1),Players!$A$2:$D$132,3)&lt;&gt;0,"("&amp;VLOOKUP($D3439&amp;RIGHT($A3448,1),Players!$A$2:$D$132,4)&amp;")","")</f>
        <v/>
      </c>
    </row>
    <row r="3449" spans="1:10" ht="25.5" customHeight="1">
      <c r="A3449" s="50" t="str">
        <f>CONCATENATE($I3439,"4")</f>
        <v>I4</v>
      </c>
      <c r="B3449" s="255" t="str">
        <f>IF(VLOOKUP($A3449,Players!$A$2:$C$132,3)&lt;&gt;0,VLOOKUP($A3449,Players!$A$2:$C$132,3),"")</f>
        <v/>
      </c>
      <c r="C3449" s="255"/>
      <c r="D3449" s="255"/>
      <c r="E3449" s="255"/>
      <c r="F3449" s="255"/>
      <c r="G3449" s="254" t="str">
        <f>IF(VLOOKUP($D3439&amp;RIGHT($A3449,1),Players!$A$2:$D$132,3)&lt;&gt;0,VLOOKUP($D3439&amp;RIGHT($A3449,1),Players!$A$2:$D$132,3),"")</f>
        <v/>
      </c>
      <c r="H3449" s="254"/>
      <c r="I3449" s="254"/>
      <c r="J3449" s="210" t="str">
        <f>IF(VLOOKUP($D3439&amp;RIGHT($A3449,1),Players!$A$2:$D$132,3)&lt;&gt;0,"("&amp;VLOOKUP($D3439&amp;RIGHT($A3449,1),Players!$A$2:$D$132,4)&amp;")","")</f>
        <v/>
      </c>
    </row>
    <row r="3450" spans="1:10" ht="25.5" customHeight="1">
      <c r="A3450" s="50" t="str">
        <f>CONCATENATE($I3439,"5")</f>
        <v>I5</v>
      </c>
      <c r="B3450" s="255" t="str">
        <f>IF(VLOOKUP($A3450,Players!$A$2:$C$132,3)&lt;&gt;0,VLOOKUP($A3450,Players!$A$2:$C$132,3),"")</f>
        <v/>
      </c>
      <c r="C3450" s="255"/>
      <c r="D3450" s="255"/>
      <c r="E3450" s="255"/>
      <c r="F3450" s="255"/>
      <c r="G3450" s="254" t="str">
        <f>IF(VLOOKUP($D3439&amp;RIGHT($A3450,1),Players!$A$2:$D$132,3)&lt;&gt;0,VLOOKUP($D3439&amp;RIGHT($A3450,1),Players!$A$2:$D$132,3),"")</f>
        <v/>
      </c>
      <c r="H3450" s="254"/>
      <c r="I3450" s="254"/>
      <c r="J3450" s="210" t="str">
        <f>IF(VLOOKUP($D3439&amp;RIGHT($A3450,1),Players!$A$2:$D$132,3)&lt;&gt;0,"("&amp;VLOOKUP($D3439&amp;RIGHT($A3450,1),Players!$A$2:$D$132,4)&amp;")","")</f>
        <v/>
      </c>
    </row>
    <row r="3451" spans="1:10" ht="25.5" customHeight="1">
      <c r="A3451" s="50" t="str">
        <f>CONCATENATE($I3439,"6")</f>
        <v>I6</v>
      </c>
      <c r="B3451" s="255" t="str">
        <f>IF(VLOOKUP($A3451,Players!$A$2:$C$132,3)&lt;&gt;0,VLOOKUP($A3451,Players!$A$2:$C$132,3),"")</f>
        <v/>
      </c>
      <c r="C3451" s="255"/>
      <c r="D3451" s="255"/>
      <c r="E3451" s="255"/>
      <c r="F3451" s="255"/>
      <c r="G3451" s="254" t="str">
        <f>IF(VLOOKUP($D3439&amp;RIGHT($A3451,1),Players!$A$2:$D$132,3)&lt;&gt;0,VLOOKUP($D3439&amp;RIGHT($A3451,1),Players!$A$2:$D$132,3),"")</f>
        <v/>
      </c>
      <c r="H3451" s="254"/>
      <c r="I3451" s="254"/>
      <c r="J3451" s="210" t="str">
        <f>IF(VLOOKUP($D3439&amp;RIGHT($A3451,1),Players!$A$2:$D$132,3)&lt;&gt;0,"("&amp;VLOOKUP($D3439&amp;RIGHT($A3451,1),Players!$A$2:$D$132,4)&amp;")","")</f>
        <v/>
      </c>
    </row>
    <row r="3452" spans="1:10" ht="25.5" customHeight="1">
      <c r="A3452" s="50" t="str">
        <f>CONCATENATE($I3439,"7")</f>
        <v>I7</v>
      </c>
      <c r="B3452" s="255" t="str">
        <f>IF(VLOOKUP($A3452,Players!$A$2:$C$132,3)&lt;&gt;0,VLOOKUP($A3452,Players!$A$2:$C$132,3),"")</f>
        <v/>
      </c>
      <c r="C3452" s="255"/>
      <c r="D3452" s="255"/>
      <c r="E3452" s="255"/>
      <c r="F3452" s="255"/>
      <c r="G3452" s="254" t="str">
        <f>IF(VLOOKUP($D3439&amp;RIGHT($A3452,1),Players!$A$2:$D$132,3)&lt;&gt;0,VLOOKUP($D3439&amp;RIGHT($A3452,1),Players!$A$2:$D$132,3),"")</f>
        <v/>
      </c>
      <c r="H3452" s="254"/>
      <c r="I3452" s="254"/>
      <c r="J3452" s="210" t="str">
        <f>IF(VLOOKUP($D3439&amp;RIGHT($A3452,1),Players!$A$2:$D$132,3)&lt;&gt;0,"("&amp;VLOOKUP($D3439&amp;RIGHT($A3452,1),Players!$A$2:$D$132,4)&amp;")","")</f>
        <v/>
      </c>
    </row>
    <row r="3453" spans="1:10" ht="25.5" customHeight="1">
      <c r="A3453" s="50" t="str">
        <f>CONCATENATE($I3439,"8")</f>
        <v>I8</v>
      </c>
      <c r="B3453" s="255" t="str">
        <f>IF(VLOOKUP($A3453,Players!$A$2:$C$132,3)&lt;&gt;0,VLOOKUP($A3453,Players!$A$2:$C$132,3),"")</f>
        <v/>
      </c>
      <c r="C3453" s="255"/>
      <c r="D3453" s="255"/>
      <c r="E3453" s="255"/>
      <c r="F3453" s="255"/>
      <c r="G3453" s="254" t="str">
        <f>IF(VLOOKUP($D3439&amp;RIGHT($A3453,1),Players!$A$2:$D$132,3)&lt;&gt;0,VLOOKUP($D3439&amp;RIGHT($A3453,1),Players!$A$2:$D$132,3),"")</f>
        <v/>
      </c>
      <c r="H3453" s="254"/>
      <c r="I3453" s="254"/>
      <c r="J3453" s="210" t="str">
        <f>IF(VLOOKUP($D3439&amp;RIGHT($A3453,1),Players!$A$2:$D$132,3)&lt;&gt;0,"("&amp;VLOOKUP($D3439&amp;RIGHT($A3453,1),Players!$A$2:$D$132,4)&amp;")","")</f>
        <v/>
      </c>
    </row>
    <row r="3454" spans="1:10" ht="25.5" customHeight="1">
      <c r="A3454" s="50"/>
      <c r="B3454" s="26"/>
      <c r="C3454" s="26"/>
      <c r="D3454" s="26"/>
      <c r="E3454" s="26"/>
      <c r="F3454" s="27"/>
      <c r="G3454" s="43"/>
      <c r="H3454" s="43"/>
      <c r="I3454" s="43"/>
      <c r="J3454" s="43"/>
    </row>
    <row r="3455" spans="1:10">
      <c r="A3455" s="49" t="s">
        <v>1225</v>
      </c>
      <c r="B3455" s="46"/>
      <c r="C3455" s="46"/>
      <c r="D3455" s="46"/>
      <c r="E3455" s="46"/>
      <c r="F3455" s="46"/>
      <c r="G3455" s="43"/>
      <c r="H3455" s="43"/>
      <c r="I3455" s="43"/>
      <c r="J3455" s="43"/>
    </row>
    <row r="3456" spans="1:10">
      <c r="A3456" s="46" t="s">
        <v>1247</v>
      </c>
      <c r="B3456" s="46"/>
      <c r="C3456" s="46"/>
      <c r="D3456" s="46"/>
      <c r="E3456" s="46"/>
      <c r="F3456" s="46"/>
      <c r="G3456" s="43"/>
      <c r="H3456" s="43"/>
      <c r="I3456" s="43"/>
      <c r="J3456" s="43"/>
    </row>
    <row r="3457" spans="1:10">
      <c r="A3457" s="46" t="s">
        <v>1248</v>
      </c>
      <c r="B3457" s="46"/>
      <c r="C3457" s="46"/>
      <c r="D3457" s="46"/>
      <c r="E3457" s="46"/>
      <c r="F3457" s="46"/>
      <c r="G3457" s="43"/>
      <c r="H3457" s="43"/>
      <c r="I3457" s="43"/>
      <c r="J3457" s="43"/>
    </row>
    <row r="3458" spans="1:10" ht="13.5" thickBot="1">
      <c r="A3458" s="46"/>
      <c r="B3458" s="46"/>
      <c r="C3458" s="46"/>
      <c r="D3458" s="46"/>
      <c r="E3458" s="46"/>
      <c r="F3458" s="46"/>
      <c r="G3458" s="43"/>
      <c r="H3458" s="43"/>
      <c r="I3458" s="43"/>
      <c r="J3458" s="43"/>
    </row>
    <row r="3459" spans="1:10" ht="25.5" customHeight="1" thickBot="1">
      <c r="A3459" s="50"/>
      <c r="B3459" s="257"/>
      <c r="C3459" s="258"/>
      <c r="D3459" s="258"/>
      <c r="E3459" s="258"/>
      <c r="F3459" s="259"/>
      <c r="G3459" s="43"/>
      <c r="H3459" s="43"/>
      <c r="I3459" s="43"/>
      <c r="J3459" s="43"/>
    </row>
    <row r="3460" spans="1:10">
      <c r="A3460" s="43"/>
      <c r="B3460" s="43"/>
      <c r="C3460" s="43"/>
      <c r="D3460" s="43"/>
      <c r="E3460" s="43"/>
      <c r="F3460" s="43"/>
      <c r="G3460" s="43"/>
      <c r="H3460" s="43"/>
      <c r="I3460" s="43"/>
      <c r="J3460" s="43"/>
    </row>
    <row r="3461" spans="1:10">
      <c r="A3461" s="43"/>
      <c r="B3461" s="43"/>
      <c r="C3461" s="43"/>
      <c r="D3461" s="43"/>
      <c r="E3461" s="43"/>
      <c r="F3461" s="43"/>
      <c r="G3461" s="43"/>
      <c r="H3461" s="43"/>
      <c r="I3461" s="43"/>
      <c r="J3461" s="43"/>
    </row>
    <row r="3462" spans="1:10">
      <c r="A3462" s="43"/>
      <c r="B3462" s="43"/>
      <c r="C3462" s="43"/>
      <c r="D3462" s="43"/>
      <c r="E3462" s="43"/>
      <c r="F3462" s="43"/>
      <c r="G3462" s="43"/>
      <c r="H3462" s="43"/>
      <c r="I3462" s="43"/>
      <c r="J3462" s="43"/>
    </row>
    <row r="3463" spans="1:10">
      <c r="A3463" s="43"/>
      <c r="B3463" s="43"/>
      <c r="C3463" s="43"/>
      <c r="D3463" s="43"/>
      <c r="E3463" s="43"/>
      <c r="F3463" s="43"/>
      <c r="G3463" s="43"/>
      <c r="H3463" s="43"/>
      <c r="I3463" s="43"/>
      <c r="J3463" s="43"/>
    </row>
    <row r="3464" spans="1:10">
      <c r="A3464" s="43"/>
      <c r="B3464" s="43"/>
      <c r="C3464" s="43"/>
      <c r="D3464" s="43"/>
      <c r="E3464" s="43"/>
      <c r="F3464" s="43"/>
      <c r="G3464" s="43"/>
      <c r="H3464" s="43"/>
      <c r="I3464" s="43"/>
      <c r="J3464" s="43"/>
    </row>
    <row r="3465" spans="1:10" ht="25.5" customHeight="1">
      <c r="A3465" s="47"/>
      <c r="B3465" s="47"/>
      <c r="C3465" s="47"/>
      <c r="D3465" s="47"/>
      <c r="E3465" s="47"/>
      <c r="F3465" s="43"/>
      <c r="G3465" s="51"/>
      <c r="H3465" s="250" t="s">
        <v>1227</v>
      </c>
      <c r="I3465" s="251"/>
      <c r="J3465" s="43"/>
    </row>
    <row r="3466" spans="1:10">
      <c r="A3466" s="43" t="s">
        <v>1226</v>
      </c>
      <c r="B3466" s="43"/>
      <c r="C3466" s="43"/>
      <c r="D3466" s="43"/>
      <c r="E3466" s="43"/>
      <c r="F3466" s="43"/>
      <c r="G3466" s="43"/>
      <c r="H3466" s="43"/>
      <c r="I3466" s="43"/>
      <c r="J3466" s="43"/>
    </row>
    <row r="3467" spans="1:10">
      <c r="A3467" s="43"/>
      <c r="B3467" s="43"/>
      <c r="C3467" s="43"/>
      <c r="D3467" s="43"/>
      <c r="E3467" s="43"/>
      <c r="F3467" s="43"/>
      <c r="G3467" s="43"/>
      <c r="H3467" s="43"/>
      <c r="I3467" s="43"/>
      <c r="J3467" s="43"/>
    </row>
    <row r="3468" spans="1:10">
      <c r="A3468" s="43"/>
      <c r="B3468" s="43"/>
      <c r="C3468" s="43"/>
      <c r="D3468" s="43"/>
      <c r="E3468" s="256" t="str">
        <f>CONCATENATE("(",$D3439," vs ",$I3439,")")</f>
        <v>(E vs I)</v>
      </c>
      <c r="F3468" s="256"/>
      <c r="G3468" s="43"/>
      <c r="H3468" s="43"/>
      <c r="I3468" s="43"/>
      <c r="J3468" s="43"/>
    </row>
    <row r="3469" spans="1:10" ht="15.75">
      <c r="A3469" s="42" t="s">
        <v>1223</v>
      </c>
      <c r="B3469" s="43"/>
      <c r="C3469" s="43"/>
      <c r="D3469" s="43"/>
      <c r="E3469" s="43"/>
      <c r="F3469" s="43"/>
      <c r="G3469" s="43"/>
      <c r="H3469" s="43"/>
      <c r="I3469" s="43"/>
      <c r="J3469" s="96" t="s">
        <v>4321</v>
      </c>
    </row>
    <row r="3470" spans="1:10" ht="12.75" customHeight="1">
      <c r="A3470" s="42"/>
      <c r="B3470" s="43"/>
      <c r="C3470" s="43"/>
      <c r="D3470" s="43"/>
      <c r="E3470" s="43"/>
      <c r="F3470" s="43"/>
      <c r="G3470" s="43" t="str">
        <f ca="1">Team_Matches!$J$6</f>
        <v>[NCTTA Teams Template (v2.06).xlsx]</v>
      </c>
      <c r="H3470" s="43"/>
      <c r="I3470" s="43"/>
      <c r="J3470" s="160"/>
    </row>
    <row r="3471" spans="1:10" ht="12.75" customHeight="1">
      <c r="A3471" s="42"/>
      <c r="B3471" s="43"/>
      <c r="C3471" s="43"/>
      <c r="D3471" s="43"/>
      <c r="E3471" s="43"/>
      <c r="F3471" s="43"/>
      <c r="G3471" s="247" t="str">
        <f>Team_Matches!$J2608</f>
        <v/>
      </c>
      <c r="H3471" s="247"/>
      <c r="I3471" s="161" t="str">
        <f>Team_Matches!$M2608</f>
        <v/>
      </c>
      <c r="J3471" s="161"/>
    </row>
    <row r="3472" spans="1:10" ht="15.75">
      <c r="A3472" s="42"/>
      <c r="B3472" s="43"/>
      <c r="C3472" s="43"/>
      <c r="D3472" s="43"/>
      <c r="E3472" s="43"/>
      <c r="F3472" s="43"/>
      <c r="G3472" s="43"/>
      <c r="H3472" s="43"/>
      <c r="I3472" s="43"/>
      <c r="J3472" s="43"/>
    </row>
    <row r="3473" spans="1:10">
      <c r="A3473" s="43"/>
      <c r="B3473" s="43"/>
      <c r="C3473" s="9" t="s">
        <v>1228</v>
      </c>
      <c r="D3473" s="3" t="str">
        <f>Team_Matches!$B2610</f>
        <v>E</v>
      </c>
      <c r="E3473" s="43"/>
      <c r="F3473" s="97" t="str">
        <f>CONCATENATE($D3473,"-",$I3473)</f>
        <v>E-J</v>
      </c>
      <c r="G3473" s="43"/>
      <c r="H3473" s="9" t="s">
        <v>1228</v>
      </c>
      <c r="I3473" s="52" t="str">
        <f>Team_Matches!$K2610</f>
        <v>J</v>
      </c>
      <c r="J3473" s="43"/>
    </row>
    <row r="3474" spans="1:10" ht="25.5" customHeight="1">
      <c r="A3474" s="44"/>
      <c r="B3474" s="248" t="str">
        <f>IF(VLOOKUP($D3473,Draw!$A$4:$B$27,2)&lt;&gt;0,VLOOKUP($D3473,Draw!$A$4:$B$27,2),"")</f>
        <v/>
      </c>
      <c r="C3474" s="248"/>
      <c r="D3474" s="248"/>
      <c r="E3474" s="249"/>
      <c r="F3474" s="45"/>
      <c r="G3474" s="252" t="str">
        <f>IF(VLOOKUP($I3473,Draw!$A$4:$B$27,2)&lt;&gt;0,VLOOKUP($I3473,Draw!$A$4:$B$27,2),"")</f>
        <v/>
      </c>
      <c r="H3474" s="252"/>
      <c r="I3474" s="252"/>
      <c r="J3474" s="253"/>
    </row>
    <row r="3475" spans="1:10" ht="25.5" customHeight="1"/>
    <row r="3476" spans="1:10" ht="25.5" customHeight="1"/>
    <row r="3477" spans="1:10" ht="24" customHeight="1">
      <c r="A3477" s="48" t="s">
        <v>1246</v>
      </c>
      <c r="B3477" s="43"/>
      <c r="C3477" s="43"/>
      <c r="D3477" s="43"/>
      <c r="E3477" s="43"/>
      <c r="F3477" s="43"/>
      <c r="G3477" s="43"/>
      <c r="H3477" s="43"/>
      <c r="I3477" s="43"/>
      <c r="J3477" s="43"/>
    </row>
    <row r="3478" spans="1:10" ht="24" customHeight="1">
      <c r="A3478" s="48"/>
      <c r="B3478" s="43"/>
      <c r="C3478" s="43"/>
      <c r="D3478" s="43"/>
      <c r="E3478" s="43"/>
      <c r="F3478" s="43"/>
      <c r="G3478" s="43"/>
      <c r="H3478" s="43"/>
      <c r="I3478" s="43"/>
      <c r="J3478" s="43"/>
    </row>
    <row r="3479" spans="1:10">
      <c r="A3479" s="49" t="s">
        <v>1224</v>
      </c>
      <c r="B3479" s="46"/>
      <c r="C3479" s="46"/>
      <c r="D3479" s="46"/>
      <c r="E3479" s="46"/>
      <c r="F3479" s="46"/>
      <c r="G3479" s="260" t="s">
        <v>10336</v>
      </c>
      <c r="H3479" s="260"/>
      <c r="I3479" s="260"/>
      <c r="J3479" s="260"/>
    </row>
    <row r="3480" spans="1:10" ht="24" customHeight="1">
      <c r="A3480" s="50" t="str">
        <f>CONCATENATE($D3473,"1")</f>
        <v>E1</v>
      </c>
      <c r="B3480" s="255" t="str">
        <f>IF(VLOOKUP($A3480,Players!$A$2:$C$132,3)&lt;&gt;0,VLOOKUP($A3480,Players!$A$2:$C$132,3),"")</f>
        <v/>
      </c>
      <c r="C3480" s="255"/>
      <c r="D3480" s="255"/>
      <c r="E3480" s="255"/>
      <c r="F3480" s="255"/>
      <c r="G3480" s="254" t="str">
        <f>IF(VLOOKUP($I3473&amp;RIGHT($A3480,1),Players!$A$2:$D$132,3)&lt;&gt;0,VLOOKUP($I3473&amp;RIGHT($A3480,1),Players!$A$2:$D$132,3),"")</f>
        <v/>
      </c>
      <c r="H3480" s="254"/>
      <c r="I3480" s="254"/>
      <c r="J3480" s="210" t="str">
        <f>IF(VLOOKUP($I3473&amp;RIGHT($A3480,1),Players!$A$2:$D$132,3)&lt;&gt;0,"("&amp;VLOOKUP($I3473&amp;RIGHT($A3480,1),Players!$A$2:$D$132,4)&amp;")","")</f>
        <v/>
      </c>
    </row>
    <row r="3481" spans="1:10" ht="25.5" customHeight="1">
      <c r="A3481" s="50" t="str">
        <f>CONCATENATE($D3473,"2")</f>
        <v>E2</v>
      </c>
      <c r="B3481" s="255" t="str">
        <f>IF(VLOOKUP($A3481,Players!$A$2:$C$132,3)&lt;&gt;0,VLOOKUP($A3481,Players!$A$2:$C$132,3),"")</f>
        <v/>
      </c>
      <c r="C3481" s="255"/>
      <c r="D3481" s="255"/>
      <c r="E3481" s="255"/>
      <c r="F3481" s="255"/>
      <c r="G3481" s="254" t="str">
        <f>IF(VLOOKUP($I3473&amp;RIGHT($A3481,1),Players!$A$2:$D$132,3)&lt;&gt;0,VLOOKUP($I3473&amp;RIGHT($A3481,1),Players!$A$2:$D$132,3),"")</f>
        <v/>
      </c>
      <c r="H3481" s="254"/>
      <c r="I3481" s="254"/>
      <c r="J3481" s="210" t="str">
        <f>IF(VLOOKUP($I3473&amp;RIGHT($A3481,1),Players!$A$2:$D$132,3)&lt;&gt;0,"("&amp;VLOOKUP($I3473&amp;RIGHT($A3481,1),Players!$A$2:$D$132,4)&amp;")","")</f>
        <v/>
      </c>
    </row>
    <row r="3482" spans="1:10" ht="25.5" customHeight="1">
      <c r="A3482" s="50" t="str">
        <f>CONCATENATE($D3473,"3")</f>
        <v>E3</v>
      </c>
      <c r="B3482" s="255" t="str">
        <f>IF(VLOOKUP($A3482,Players!$A$2:$C$132,3)&lt;&gt;0,VLOOKUP($A3482,Players!$A$2:$C$132,3),"")</f>
        <v/>
      </c>
      <c r="C3482" s="255"/>
      <c r="D3482" s="255"/>
      <c r="E3482" s="255"/>
      <c r="F3482" s="255"/>
      <c r="G3482" s="254" t="str">
        <f>IF(VLOOKUP($I3473&amp;RIGHT($A3482,1),Players!$A$2:$D$132,3)&lt;&gt;0,VLOOKUP($I3473&amp;RIGHT($A3482,1),Players!$A$2:$D$132,3),"")</f>
        <v/>
      </c>
      <c r="H3482" s="254"/>
      <c r="I3482" s="254"/>
      <c r="J3482" s="210" t="str">
        <f>IF(VLOOKUP($I3473&amp;RIGHT($A3482,1),Players!$A$2:$D$132,3)&lt;&gt;0,"("&amp;VLOOKUP($I3473&amp;RIGHT($A3482,1),Players!$A$2:$D$132,4)&amp;")","")</f>
        <v/>
      </c>
    </row>
    <row r="3483" spans="1:10" ht="25.5" customHeight="1">
      <c r="A3483" s="50" t="str">
        <f>CONCATENATE($D3473,"4")</f>
        <v>E4</v>
      </c>
      <c r="B3483" s="255" t="str">
        <f>IF(VLOOKUP($A3483,Players!$A$2:$C$132,3)&lt;&gt;0,VLOOKUP($A3483,Players!$A$2:$C$132,3),"")</f>
        <v/>
      </c>
      <c r="C3483" s="255"/>
      <c r="D3483" s="255"/>
      <c r="E3483" s="255"/>
      <c r="F3483" s="255"/>
      <c r="G3483" s="254" t="str">
        <f>IF(VLOOKUP($I3473&amp;RIGHT($A3483,1),Players!$A$2:$D$132,3)&lt;&gt;0,VLOOKUP($I3473&amp;RIGHT($A3483,1),Players!$A$2:$D$132,3),"")</f>
        <v/>
      </c>
      <c r="H3483" s="254"/>
      <c r="I3483" s="254"/>
      <c r="J3483" s="210" t="str">
        <f>IF(VLOOKUP($I3473&amp;RIGHT($A3483,1),Players!$A$2:$D$132,3)&lt;&gt;0,"("&amp;VLOOKUP($I3473&amp;RIGHT($A3483,1),Players!$A$2:$D$132,4)&amp;")","")</f>
        <v/>
      </c>
    </row>
    <row r="3484" spans="1:10" ht="25.5" customHeight="1">
      <c r="A3484" s="50" t="str">
        <f>CONCATENATE($D3473,"5")</f>
        <v>E5</v>
      </c>
      <c r="B3484" s="255" t="str">
        <f>IF(VLOOKUP($A3484,Players!$A$2:$C$132,3)&lt;&gt;0,VLOOKUP($A3484,Players!$A$2:$C$132,3),"")</f>
        <v/>
      </c>
      <c r="C3484" s="255"/>
      <c r="D3484" s="255"/>
      <c r="E3484" s="255"/>
      <c r="F3484" s="255"/>
      <c r="G3484" s="254" t="str">
        <f>IF(VLOOKUP($I3473&amp;RIGHT($A3484,1),Players!$A$2:$D$132,3)&lt;&gt;0,VLOOKUP($I3473&amp;RIGHT($A3484,1),Players!$A$2:$D$132,3),"")</f>
        <v/>
      </c>
      <c r="H3484" s="254"/>
      <c r="I3484" s="254"/>
      <c r="J3484" s="210" t="str">
        <f>IF(VLOOKUP($I3473&amp;RIGHT($A3484,1),Players!$A$2:$D$132,3)&lt;&gt;0,"("&amp;VLOOKUP($I3473&amp;RIGHT($A3484,1),Players!$A$2:$D$132,4)&amp;")","")</f>
        <v/>
      </c>
    </row>
    <row r="3485" spans="1:10" ht="25.5" customHeight="1">
      <c r="A3485" s="50" t="str">
        <f>CONCATENATE($D3473,"6")</f>
        <v>E6</v>
      </c>
      <c r="B3485" s="255" t="str">
        <f>IF(VLOOKUP($A3485,Players!$A$2:$C$132,3)&lt;&gt;0,VLOOKUP($A3485,Players!$A$2:$C$132,3),"")</f>
        <v/>
      </c>
      <c r="C3485" s="255"/>
      <c r="D3485" s="255"/>
      <c r="E3485" s="255"/>
      <c r="F3485" s="255"/>
      <c r="G3485" s="254" t="str">
        <f>IF(VLOOKUP($I3473&amp;RIGHT($A3485,1),Players!$A$2:$D$132,3)&lt;&gt;0,VLOOKUP($I3473&amp;RIGHT($A3485,1),Players!$A$2:$D$132,3),"")</f>
        <v/>
      </c>
      <c r="H3485" s="254"/>
      <c r="I3485" s="254"/>
      <c r="J3485" s="210" t="str">
        <f>IF(VLOOKUP($I3473&amp;RIGHT($A3485,1),Players!$A$2:$D$132,3)&lt;&gt;0,"("&amp;VLOOKUP($I3473&amp;RIGHT($A3485,1),Players!$A$2:$D$132,4)&amp;")","")</f>
        <v/>
      </c>
    </row>
    <row r="3486" spans="1:10" ht="25.5" customHeight="1">
      <c r="A3486" s="50" t="str">
        <f>CONCATENATE($D3473,"7")</f>
        <v>E7</v>
      </c>
      <c r="B3486" s="255" t="str">
        <f>IF(VLOOKUP($A3486,Players!$A$2:$C$132,3)&lt;&gt;0,VLOOKUP($A3486,Players!$A$2:$C$132,3),"")</f>
        <v/>
      </c>
      <c r="C3486" s="255"/>
      <c r="D3486" s="255"/>
      <c r="E3486" s="255"/>
      <c r="F3486" s="255"/>
      <c r="G3486" s="254" t="str">
        <f>IF(VLOOKUP($I3473&amp;RIGHT($A3486,1),Players!$A$2:$D$132,3)&lt;&gt;0,VLOOKUP($I3473&amp;RIGHT($A3486,1),Players!$A$2:$D$132,3),"")</f>
        <v/>
      </c>
      <c r="H3486" s="254"/>
      <c r="I3486" s="254"/>
      <c r="J3486" s="210" t="str">
        <f>IF(VLOOKUP($I3473&amp;RIGHT($A3486,1),Players!$A$2:$D$132,3)&lt;&gt;0,"("&amp;VLOOKUP($I3473&amp;RIGHT($A3486,1),Players!$A$2:$D$132,4)&amp;")","")</f>
        <v/>
      </c>
    </row>
    <row r="3487" spans="1:10" ht="25.5" customHeight="1">
      <c r="A3487" s="50" t="str">
        <f>CONCATENATE($D3473,"8")</f>
        <v>E8</v>
      </c>
      <c r="B3487" s="255" t="str">
        <f>IF(VLOOKUP($A3487,Players!$A$2:$C$132,3)&lt;&gt;0,VLOOKUP($A3487,Players!$A$2:$C$132,3),"")</f>
        <v/>
      </c>
      <c r="C3487" s="255"/>
      <c r="D3487" s="255"/>
      <c r="E3487" s="255"/>
      <c r="F3487" s="255"/>
      <c r="G3487" s="254" t="str">
        <f>IF(VLOOKUP($I3473&amp;RIGHT($A3487,1),Players!$A$2:$D$132,3)&lt;&gt;0,VLOOKUP($I3473&amp;RIGHT($A3487,1),Players!$A$2:$D$132,3),"")</f>
        <v/>
      </c>
      <c r="H3487" s="254"/>
      <c r="I3487" s="254"/>
      <c r="J3487" s="210" t="str">
        <f>IF(VLOOKUP($I3473&amp;RIGHT($A3487,1),Players!$A$2:$D$132,3)&lt;&gt;0,"("&amp;VLOOKUP($I3473&amp;RIGHT($A3487,1),Players!$A$2:$D$132,4)&amp;")","")</f>
        <v/>
      </c>
    </row>
    <row r="3488" spans="1:10" ht="25.5" customHeight="1">
      <c r="A3488" s="50"/>
      <c r="B3488" s="26"/>
      <c r="C3488" s="26"/>
      <c r="D3488" s="26"/>
      <c r="E3488" s="26"/>
      <c r="F3488" s="27"/>
      <c r="G3488" s="43"/>
      <c r="H3488" s="43"/>
      <c r="I3488" s="43"/>
      <c r="J3488" s="43"/>
    </row>
    <row r="3489" spans="1:10">
      <c r="A3489" s="49" t="s">
        <v>1225</v>
      </c>
      <c r="B3489" s="46"/>
      <c r="C3489" s="46"/>
      <c r="D3489" s="46"/>
      <c r="E3489" s="46"/>
      <c r="F3489" s="46"/>
      <c r="G3489" s="43"/>
      <c r="H3489" s="43"/>
      <c r="I3489" s="43"/>
      <c r="J3489" s="43"/>
    </row>
    <row r="3490" spans="1:10">
      <c r="A3490" s="46" t="s">
        <v>1247</v>
      </c>
      <c r="B3490" s="46"/>
      <c r="C3490" s="46"/>
      <c r="D3490" s="46"/>
      <c r="E3490" s="46"/>
      <c r="F3490" s="46"/>
      <c r="G3490" s="43"/>
      <c r="H3490" s="43"/>
      <c r="I3490" s="43"/>
      <c r="J3490" s="43"/>
    </row>
    <row r="3491" spans="1:10">
      <c r="A3491" s="46" t="s">
        <v>1248</v>
      </c>
      <c r="B3491" s="46"/>
      <c r="C3491" s="46"/>
      <c r="D3491" s="46"/>
      <c r="E3491" s="46"/>
      <c r="F3491" s="46"/>
      <c r="G3491" s="43"/>
      <c r="H3491" s="43"/>
      <c r="I3491" s="43"/>
      <c r="J3491" s="43"/>
    </row>
    <row r="3492" spans="1:10" ht="13.5" thickBot="1">
      <c r="A3492" s="46"/>
      <c r="B3492" s="46"/>
      <c r="C3492" s="46"/>
      <c r="D3492" s="46"/>
      <c r="E3492" s="46"/>
      <c r="F3492" s="46"/>
      <c r="G3492" s="43"/>
      <c r="H3492" s="43"/>
      <c r="I3492" s="43"/>
      <c r="J3492" s="43"/>
    </row>
    <row r="3493" spans="1:10" ht="25.5" customHeight="1" thickBot="1">
      <c r="A3493" s="50"/>
      <c r="B3493" s="257"/>
      <c r="C3493" s="258"/>
      <c r="D3493" s="258"/>
      <c r="E3493" s="258"/>
      <c r="F3493" s="259"/>
      <c r="G3493" s="43"/>
      <c r="H3493" s="43"/>
      <c r="I3493" s="43"/>
      <c r="J3493" s="43"/>
    </row>
    <row r="3494" spans="1:10">
      <c r="A3494" s="43"/>
      <c r="B3494" s="43"/>
      <c r="C3494" s="43"/>
      <c r="D3494" s="43"/>
      <c r="E3494" s="43"/>
      <c r="F3494" s="43"/>
      <c r="G3494" s="43"/>
      <c r="H3494" s="43"/>
      <c r="I3494" s="43"/>
      <c r="J3494" s="43"/>
    </row>
    <row r="3495" spans="1:10">
      <c r="A3495" s="43"/>
      <c r="B3495" s="43"/>
      <c r="C3495" s="43"/>
      <c r="D3495" s="43"/>
      <c r="E3495" s="43"/>
      <c r="F3495" s="43"/>
      <c r="G3495" s="43"/>
      <c r="H3495" s="43"/>
      <c r="I3495" s="43"/>
      <c r="J3495" s="43"/>
    </row>
    <row r="3496" spans="1:10">
      <c r="A3496" s="43"/>
      <c r="B3496" s="43"/>
      <c r="C3496" s="43"/>
      <c r="D3496" s="43"/>
      <c r="E3496" s="43"/>
      <c r="F3496" s="43"/>
      <c r="G3496" s="43"/>
      <c r="H3496" s="43"/>
      <c r="I3496" s="43"/>
      <c r="J3496" s="43"/>
    </row>
    <row r="3497" spans="1:10">
      <c r="A3497" s="43"/>
      <c r="B3497" s="43"/>
      <c r="C3497" s="43"/>
      <c r="D3497" s="43"/>
      <c r="E3497" s="43"/>
      <c r="F3497" s="43"/>
      <c r="G3497" s="43"/>
      <c r="H3497" s="43"/>
      <c r="I3497" s="43"/>
      <c r="J3497" s="43"/>
    </row>
    <row r="3498" spans="1:10">
      <c r="A3498" s="43"/>
      <c r="B3498" s="43"/>
      <c r="C3498" s="43"/>
      <c r="D3498" s="43"/>
      <c r="E3498" s="43"/>
      <c r="F3498" s="43"/>
      <c r="G3498" s="43"/>
      <c r="H3498" s="43"/>
      <c r="I3498" s="43"/>
      <c r="J3498" s="43"/>
    </row>
    <row r="3499" spans="1:10" ht="25.5" customHeight="1">
      <c r="A3499" s="47"/>
      <c r="B3499" s="47"/>
      <c r="C3499" s="47"/>
      <c r="D3499" s="47"/>
      <c r="E3499" s="47"/>
      <c r="F3499" s="43"/>
      <c r="G3499" s="51"/>
      <c r="H3499" s="250" t="s">
        <v>1227</v>
      </c>
      <c r="I3499" s="251"/>
      <c r="J3499" s="43"/>
    </row>
    <row r="3500" spans="1:10">
      <c r="A3500" s="43" t="s">
        <v>1226</v>
      </c>
      <c r="B3500" s="43"/>
      <c r="C3500" s="43"/>
      <c r="D3500" s="43"/>
      <c r="E3500" s="43"/>
      <c r="F3500" s="43"/>
      <c r="G3500" s="43"/>
      <c r="H3500" s="43"/>
      <c r="I3500" s="43"/>
      <c r="J3500" s="43"/>
    </row>
    <row r="3501" spans="1:10">
      <c r="A3501" s="43"/>
      <c r="B3501" s="43"/>
      <c r="C3501" s="43"/>
      <c r="D3501" s="43"/>
      <c r="E3501" s="43"/>
      <c r="F3501" s="43"/>
      <c r="G3501" s="43"/>
      <c r="H3501" s="43"/>
      <c r="I3501" s="43"/>
      <c r="J3501" s="43"/>
    </row>
    <row r="3502" spans="1:10">
      <c r="A3502" s="43"/>
      <c r="B3502" s="43"/>
      <c r="C3502" s="43"/>
      <c r="D3502" s="43"/>
      <c r="E3502" s="256" t="str">
        <f>CONCATENATE("(",$D3473," vs ",$I3473,")")</f>
        <v>(E vs J)</v>
      </c>
      <c r="F3502" s="256"/>
      <c r="G3502" s="43"/>
      <c r="H3502" s="43"/>
      <c r="I3502" s="43"/>
      <c r="J3502" s="43"/>
    </row>
    <row r="3503" spans="1:10" ht="15.75">
      <c r="A3503" s="42" t="s">
        <v>1223</v>
      </c>
      <c r="B3503" s="43"/>
      <c r="C3503" s="43"/>
      <c r="D3503" s="43"/>
      <c r="E3503" s="43"/>
      <c r="F3503" s="43"/>
      <c r="G3503" s="43"/>
      <c r="H3503" s="43"/>
      <c r="I3503" s="43"/>
      <c r="J3503" s="96" t="s">
        <v>4322</v>
      </c>
    </row>
    <row r="3504" spans="1:10" ht="12.75" customHeight="1">
      <c r="A3504" s="42"/>
      <c r="B3504" s="43"/>
      <c r="C3504" s="43"/>
      <c r="D3504" s="43"/>
      <c r="E3504" s="43"/>
      <c r="F3504" s="43"/>
      <c r="G3504" s="43" t="str">
        <f ca="1">Team_Matches!$J$6</f>
        <v>[NCTTA Teams Template (v2.06).xlsx]</v>
      </c>
      <c r="H3504" s="43"/>
      <c r="I3504" s="43"/>
      <c r="J3504" s="160"/>
    </row>
    <row r="3505" spans="1:10" ht="12.75" customHeight="1">
      <c r="A3505" s="42"/>
      <c r="B3505" s="43"/>
      <c r="C3505" s="43"/>
      <c r="D3505" s="43"/>
      <c r="E3505" s="43"/>
      <c r="F3505" s="43"/>
      <c r="G3505" s="247" t="str">
        <f>Team_Matches!$J2608</f>
        <v/>
      </c>
      <c r="H3505" s="247"/>
      <c r="I3505" s="161" t="str">
        <f>Team_Matches!$M2608</f>
        <v/>
      </c>
      <c r="J3505" s="161"/>
    </row>
    <row r="3506" spans="1:10" ht="15.75">
      <c r="A3506" s="42"/>
      <c r="B3506" s="43"/>
      <c r="C3506" s="43"/>
      <c r="D3506" s="43"/>
      <c r="E3506" s="43"/>
      <c r="F3506" s="43"/>
      <c r="G3506" s="43"/>
      <c r="H3506" s="43"/>
      <c r="I3506" s="43"/>
      <c r="J3506" s="43"/>
    </row>
    <row r="3507" spans="1:10">
      <c r="A3507" s="43"/>
      <c r="B3507" s="43"/>
      <c r="C3507" s="9" t="s">
        <v>1228</v>
      </c>
      <c r="D3507" s="3" t="str">
        <f>Team_Matches!$B2610</f>
        <v>E</v>
      </c>
      <c r="E3507" s="43"/>
      <c r="F3507" s="97" t="str">
        <f>CONCATENATE($D3507,"-",$I3507)</f>
        <v>E-J</v>
      </c>
      <c r="G3507" s="43"/>
      <c r="H3507" s="9" t="s">
        <v>1228</v>
      </c>
      <c r="I3507" s="52" t="str">
        <f>Team_Matches!$K2610</f>
        <v>J</v>
      </c>
      <c r="J3507" s="43"/>
    </row>
    <row r="3508" spans="1:10" ht="25.5" customHeight="1">
      <c r="A3508" s="44"/>
      <c r="B3508" s="252" t="str">
        <f>IF(VLOOKUP($D3507,Draw!$A$4:$B$27,2)&lt;&gt;0,VLOOKUP($D3507,Draw!$A$4:$B$27,2),"")</f>
        <v/>
      </c>
      <c r="C3508" s="252"/>
      <c r="D3508" s="252"/>
      <c r="E3508" s="253"/>
      <c r="F3508" s="45"/>
      <c r="G3508" s="248" t="str">
        <f>IF(VLOOKUP($I3507,Draw!$A$4:$B$27,2)&lt;&gt;0,VLOOKUP($I3507,Draw!$A$4:$B$27,2),"")</f>
        <v/>
      </c>
      <c r="H3508" s="248"/>
      <c r="I3508" s="248"/>
      <c r="J3508" s="249"/>
    </row>
    <row r="3509" spans="1:10" ht="25.5" customHeight="1"/>
    <row r="3510" spans="1:10" ht="25.5" customHeight="1"/>
    <row r="3511" spans="1:10" ht="24" customHeight="1">
      <c r="A3511" s="48" t="s">
        <v>1246</v>
      </c>
      <c r="B3511" s="43"/>
      <c r="C3511" s="43"/>
      <c r="D3511" s="43"/>
      <c r="E3511" s="43"/>
      <c r="F3511" s="43"/>
      <c r="G3511" s="43"/>
      <c r="H3511" s="43"/>
      <c r="I3511" s="43"/>
      <c r="J3511" s="43"/>
    </row>
    <row r="3512" spans="1:10" ht="24" customHeight="1">
      <c r="A3512" s="48"/>
      <c r="B3512" s="43"/>
      <c r="C3512" s="43"/>
      <c r="D3512" s="43"/>
      <c r="E3512" s="43"/>
      <c r="F3512" s="43"/>
      <c r="G3512" s="43"/>
      <c r="H3512" s="43"/>
      <c r="I3512" s="43"/>
      <c r="J3512" s="43"/>
    </row>
    <row r="3513" spans="1:10">
      <c r="A3513" s="49" t="s">
        <v>1224</v>
      </c>
      <c r="B3513" s="46"/>
      <c r="C3513" s="46"/>
      <c r="D3513" s="46"/>
      <c r="E3513" s="46"/>
      <c r="F3513" s="46"/>
      <c r="G3513" s="260" t="s">
        <v>10336</v>
      </c>
      <c r="H3513" s="260"/>
      <c r="I3513" s="260"/>
      <c r="J3513" s="260"/>
    </row>
    <row r="3514" spans="1:10" ht="24" customHeight="1">
      <c r="A3514" s="50" t="str">
        <f>CONCATENATE($I3507,"1")</f>
        <v>J1</v>
      </c>
      <c r="B3514" s="255" t="str">
        <f>IF(VLOOKUP($A3514,Players!$A$2:$C$132,3)&lt;&gt;0,VLOOKUP($A3514,Players!$A$2:$C$132,3),"")</f>
        <v/>
      </c>
      <c r="C3514" s="255"/>
      <c r="D3514" s="255"/>
      <c r="E3514" s="255"/>
      <c r="F3514" s="255"/>
      <c r="G3514" s="254" t="str">
        <f>IF(VLOOKUP($D3507&amp;RIGHT($A3514,1),Players!$A$2:$D$132,3)&lt;&gt;0,VLOOKUP($D3507&amp;RIGHT($A3514,1),Players!$A$2:$D$132,3),"")</f>
        <v/>
      </c>
      <c r="H3514" s="254"/>
      <c r="I3514" s="254"/>
      <c r="J3514" s="210" t="str">
        <f>IF(VLOOKUP($D3507&amp;RIGHT($A3514,1),Players!$A$2:$D$132,3)&lt;&gt;0,"("&amp;VLOOKUP($D3507&amp;RIGHT($A3514,1),Players!$A$2:$D$132,4)&amp;")","")</f>
        <v/>
      </c>
    </row>
    <row r="3515" spans="1:10" ht="25.5" customHeight="1">
      <c r="A3515" s="50" t="str">
        <f>CONCATENATE($I3507,"2")</f>
        <v>J2</v>
      </c>
      <c r="B3515" s="255" t="str">
        <f>IF(VLOOKUP($A3515,Players!$A$2:$C$132,3)&lt;&gt;0,VLOOKUP($A3515,Players!$A$2:$C$132,3),"")</f>
        <v/>
      </c>
      <c r="C3515" s="255"/>
      <c r="D3515" s="255"/>
      <c r="E3515" s="255"/>
      <c r="F3515" s="255"/>
      <c r="G3515" s="254" t="str">
        <f>IF(VLOOKUP($D3507&amp;RIGHT($A3515,1),Players!$A$2:$D$132,3)&lt;&gt;0,VLOOKUP($D3507&amp;RIGHT($A3515,1),Players!$A$2:$D$132,3),"")</f>
        <v/>
      </c>
      <c r="H3515" s="254"/>
      <c r="I3515" s="254"/>
      <c r="J3515" s="210" t="str">
        <f>IF(VLOOKUP($D3507&amp;RIGHT($A3515,1),Players!$A$2:$D$132,3)&lt;&gt;0,"("&amp;VLOOKUP($D3507&amp;RIGHT($A3515,1),Players!$A$2:$D$132,4)&amp;")","")</f>
        <v/>
      </c>
    </row>
    <row r="3516" spans="1:10" ht="25.5" customHeight="1">
      <c r="A3516" s="50" t="str">
        <f>CONCATENATE($I3507,"3")</f>
        <v>J3</v>
      </c>
      <c r="B3516" s="255" t="str">
        <f>IF(VLOOKUP($A3516,Players!$A$2:$C$132,3)&lt;&gt;0,VLOOKUP($A3516,Players!$A$2:$C$132,3),"")</f>
        <v/>
      </c>
      <c r="C3516" s="255"/>
      <c r="D3516" s="255"/>
      <c r="E3516" s="255"/>
      <c r="F3516" s="255"/>
      <c r="G3516" s="254" t="str">
        <f>IF(VLOOKUP($D3507&amp;RIGHT($A3516,1),Players!$A$2:$D$132,3)&lt;&gt;0,VLOOKUP($D3507&amp;RIGHT($A3516,1),Players!$A$2:$D$132,3),"")</f>
        <v/>
      </c>
      <c r="H3516" s="254"/>
      <c r="I3516" s="254"/>
      <c r="J3516" s="210" t="str">
        <f>IF(VLOOKUP($D3507&amp;RIGHT($A3516,1),Players!$A$2:$D$132,3)&lt;&gt;0,"("&amp;VLOOKUP($D3507&amp;RIGHT($A3516,1),Players!$A$2:$D$132,4)&amp;")","")</f>
        <v/>
      </c>
    </row>
    <row r="3517" spans="1:10" ht="25.5" customHeight="1">
      <c r="A3517" s="50" t="str">
        <f>CONCATENATE($I3507,"4")</f>
        <v>J4</v>
      </c>
      <c r="B3517" s="255" t="str">
        <f>IF(VLOOKUP($A3517,Players!$A$2:$C$132,3)&lt;&gt;0,VLOOKUP($A3517,Players!$A$2:$C$132,3),"")</f>
        <v/>
      </c>
      <c r="C3517" s="255"/>
      <c r="D3517" s="255"/>
      <c r="E3517" s="255"/>
      <c r="F3517" s="255"/>
      <c r="G3517" s="254" t="str">
        <f>IF(VLOOKUP($D3507&amp;RIGHT($A3517,1),Players!$A$2:$D$132,3)&lt;&gt;0,VLOOKUP($D3507&amp;RIGHT($A3517,1),Players!$A$2:$D$132,3),"")</f>
        <v/>
      </c>
      <c r="H3517" s="254"/>
      <c r="I3517" s="254"/>
      <c r="J3517" s="210" t="str">
        <f>IF(VLOOKUP($D3507&amp;RIGHT($A3517,1),Players!$A$2:$D$132,3)&lt;&gt;0,"("&amp;VLOOKUP($D3507&amp;RIGHT($A3517,1),Players!$A$2:$D$132,4)&amp;")","")</f>
        <v/>
      </c>
    </row>
    <row r="3518" spans="1:10" ht="25.5" customHeight="1">
      <c r="A3518" s="50" t="str">
        <f>CONCATENATE($I3507,"5")</f>
        <v>J5</v>
      </c>
      <c r="B3518" s="255" t="str">
        <f>IF(VLOOKUP($A3518,Players!$A$2:$C$132,3)&lt;&gt;0,VLOOKUP($A3518,Players!$A$2:$C$132,3),"")</f>
        <v/>
      </c>
      <c r="C3518" s="255"/>
      <c r="D3518" s="255"/>
      <c r="E3518" s="255"/>
      <c r="F3518" s="255"/>
      <c r="G3518" s="254" t="str">
        <f>IF(VLOOKUP($D3507&amp;RIGHT($A3518,1),Players!$A$2:$D$132,3)&lt;&gt;0,VLOOKUP($D3507&amp;RIGHT($A3518,1),Players!$A$2:$D$132,3),"")</f>
        <v/>
      </c>
      <c r="H3518" s="254"/>
      <c r="I3518" s="254"/>
      <c r="J3518" s="210" t="str">
        <f>IF(VLOOKUP($D3507&amp;RIGHT($A3518,1),Players!$A$2:$D$132,3)&lt;&gt;0,"("&amp;VLOOKUP($D3507&amp;RIGHT($A3518,1),Players!$A$2:$D$132,4)&amp;")","")</f>
        <v/>
      </c>
    </row>
    <row r="3519" spans="1:10" ht="25.5" customHeight="1">
      <c r="A3519" s="50" t="str">
        <f>CONCATENATE($I3507,"6")</f>
        <v>J6</v>
      </c>
      <c r="B3519" s="255" t="str">
        <f>IF(VLOOKUP($A3519,Players!$A$2:$C$132,3)&lt;&gt;0,VLOOKUP($A3519,Players!$A$2:$C$132,3),"")</f>
        <v/>
      </c>
      <c r="C3519" s="255"/>
      <c r="D3519" s="255"/>
      <c r="E3519" s="255"/>
      <c r="F3519" s="255"/>
      <c r="G3519" s="254" t="str">
        <f>IF(VLOOKUP($D3507&amp;RIGHT($A3519,1),Players!$A$2:$D$132,3)&lt;&gt;0,VLOOKUP($D3507&amp;RIGHT($A3519,1),Players!$A$2:$D$132,3),"")</f>
        <v/>
      </c>
      <c r="H3519" s="254"/>
      <c r="I3519" s="254"/>
      <c r="J3519" s="210" t="str">
        <f>IF(VLOOKUP($D3507&amp;RIGHT($A3519,1),Players!$A$2:$D$132,3)&lt;&gt;0,"("&amp;VLOOKUP($D3507&amp;RIGHT($A3519,1),Players!$A$2:$D$132,4)&amp;")","")</f>
        <v/>
      </c>
    </row>
    <row r="3520" spans="1:10" ht="25.5" customHeight="1">
      <c r="A3520" s="50" t="str">
        <f>CONCATENATE($I3507,"7")</f>
        <v>J7</v>
      </c>
      <c r="B3520" s="255" t="str">
        <f>IF(VLOOKUP($A3520,Players!$A$2:$C$132,3)&lt;&gt;0,VLOOKUP($A3520,Players!$A$2:$C$132,3),"")</f>
        <v/>
      </c>
      <c r="C3520" s="255"/>
      <c r="D3520" s="255"/>
      <c r="E3520" s="255"/>
      <c r="F3520" s="255"/>
      <c r="G3520" s="254" t="str">
        <f>IF(VLOOKUP($D3507&amp;RIGHT($A3520,1),Players!$A$2:$D$132,3)&lt;&gt;0,VLOOKUP($D3507&amp;RIGHT($A3520,1),Players!$A$2:$D$132,3),"")</f>
        <v/>
      </c>
      <c r="H3520" s="254"/>
      <c r="I3520" s="254"/>
      <c r="J3520" s="210" t="str">
        <f>IF(VLOOKUP($D3507&amp;RIGHT($A3520,1),Players!$A$2:$D$132,3)&lt;&gt;0,"("&amp;VLOOKUP($D3507&amp;RIGHT($A3520,1),Players!$A$2:$D$132,4)&amp;")","")</f>
        <v/>
      </c>
    </row>
    <row r="3521" spans="1:10" ht="25.5" customHeight="1">
      <c r="A3521" s="50" t="str">
        <f>CONCATENATE($I3507,"8")</f>
        <v>J8</v>
      </c>
      <c r="B3521" s="255" t="str">
        <f>IF(VLOOKUP($A3521,Players!$A$2:$C$132,3)&lt;&gt;0,VLOOKUP($A3521,Players!$A$2:$C$132,3),"")</f>
        <v/>
      </c>
      <c r="C3521" s="255"/>
      <c r="D3521" s="255"/>
      <c r="E3521" s="255"/>
      <c r="F3521" s="255"/>
      <c r="G3521" s="254" t="str">
        <f>IF(VLOOKUP($D3507&amp;RIGHT($A3521,1),Players!$A$2:$D$132,3)&lt;&gt;0,VLOOKUP($D3507&amp;RIGHT($A3521,1),Players!$A$2:$D$132,3),"")</f>
        <v/>
      </c>
      <c r="H3521" s="254"/>
      <c r="I3521" s="254"/>
      <c r="J3521" s="210" t="str">
        <f>IF(VLOOKUP($D3507&amp;RIGHT($A3521,1),Players!$A$2:$D$132,3)&lt;&gt;0,"("&amp;VLOOKUP($D3507&amp;RIGHT($A3521,1),Players!$A$2:$D$132,4)&amp;")","")</f>
        <v/>
      </c>
    </row>
    <row r="3522" spans="1:10" ht="25.5" customHeight="1">
      <c r="A3522" s="50"/>
      <c r="B3522" s="26"/>
      <c r="C3522" s="26"/>
      <c r="D3522" s="26"/>
      <c r="E3522" s="26"/>
      <c r="F3522" s="27"/>
      <c r="G3522" s="43"/>
      <c r="H3522" s="43"/>
      <c r="I3522" s="43"/>
      <c r="J3522" s="43"/>
    </row>
    <row r="3523" spans="1:10">
      <c r="A3523" s="49" t="s">
        <v>1225</v>
      </c>
      <c r="B3523" s="46"/>
      <c r="C3523" s="46"/>
      <c r="D3523" s="46"/>
      <c r="E3523" s="46"/>
      <c r="F3523" s="46"/>
      <c r="G3523" s="43"/>
      <c r="H3523" s="43"/>
      <c r="I3523" s="43"/>
      <c r="J3523" s="43"/>
    </row>
    <row r="3524" spans="1:10">
      <c r="A3524" s="46" t="s">
        <v>1247</v>
      </c>
      <c r="B3524" s="46"/>
      <c r="C3524" s="46"/>
      <c r="D3524" s="46"/>
      <c r="E3524" s="46"/>
      <c r="F3524" s="46"/>
      <c r="G3524" s="43"/>
      <c r="H3524" s="43"/>
      <c r="I3524" s="43"/>
      <c r="J3524" s="43"/>
    </row>
    <row r="3525" spans="1:10">
      <c r="A3525" s="46" t="s">
        <v>1248</v>
      </c>
      <c r="B3525" s="46"/>
      <c r="C3525" s="46"/>
      <c r="D3525" s="46"/>
      <c r="E3525" s="46"/>
      <c r="F3525" s="46"/>
      <c r="G3525" s="43"/>
      <c r="H3525" s="43"/>
      <c r="I3525" s="43"/>
      <c r="J3525" s="43"/>
    </row>
    <row r="3526" spans="1:10" ht="13.5" thickBot="1">
      <c r="A3526" s="46"/>
      <c r="B3526" s="46"/>
      <c r="C3526" s="46"/>
      <c r="D3526" s="46"/>
      <c r="E3526" s="46"/>
      <c r="F3526" s="46"/>
      <c r="G3526" s="43"/>
      <c r="H3526" s="43"/>
      <c r="I3526" s="43"/>
      <c r="J3526" s="43"/>
    </row>
    <row r="3527" spans="1:10" ht="25.5" customHeight="1" thickBot="1">
      <c r="A3527" s="50"/>
      <c r="B3527" s="257"/>
      <c r="C3527" s="258"/>
      <c r="D3527" s="258"/>
      <c r="E3527" s="258"/>
      <c r="F3527" s="259"/>
      <c r="G3527" s="43"/>
      <c r="H3527" s="43"/>
      <c r="I3527" s="43"/>
      <c r="J3527" s="43"/>
    </row>
    <row r="3528" spans="1:10">
      <c r="A3528" s="43"/>
      <c r="B3528" s="43"/>
      <c r="C3528" s="43"/>
      <c r="D3528" s="43"/>
      <c r="E3528" s="43"/>
      <c r="F3528" s="43"/>
      <c r="G3528" s="43"/>
      <c r="H3528" s="43"/>
      <c r="I3528" s="43"/>
      <c r="J3528" s="43"/>
    </row>
    <row r="3529" spans="1:10">
      <c r="A3529" s="43"/>
      <c r="B3529" s="43"/>
      <c r="C3529" s="43"/>
      <c r="D3529" s="43"/>
      <c r="E3529" s="43"/>
      <c r="F3529" s="43"/>
      <c r="G3529" s="43"/>
      <c r="H3529" s="43"/>
      <c r="I3529" s="43"/>
      <c r="J3529" s="43"/>
    </row>
    <row r="3530" spans="1:10">
      <c r="A3530" s="43"/>
      <c r="B3530" s="43"/>
      <c r="C3530" s="43"/>
      <c r="D3530" s="43"/>
      <c r="E3530" s="43"/>
      <c r="F3530" s="43"/>
      <c r="G3530" s="43"/>
      <c r="H3530" s="43"/>
      <c r="I3530" s="43"/>
      <c r="J3530" s="43"/>
    </row>
    <row r="3531" spans="1:10">
      <c r="A3531" s="43"/>
      <c r="B3531" s="43"/>
      <c r="C3531" s="43"/>
      <c r="D3531" s="43"/>
      <c r="E3531" s="43"/>
      <c r="F3531" s="43"/>
      <c r="G3531" s="43"/>
      <c r="H3531" s="43"/>
      <c r="I3531" s="43"/>
      <c r="J3531" s="43"/>
    </row>
    <row r="3532" spans="1:10">
      <c r="A3532" s="43"/>
      <c r="B3532" s="43"/>
      <c r="C3532" s="43"/>
      <c r="D3532" s="43"/>
      <c r="E3532" s="43"/>
      <c r="F3532" s="43"/>
      <c r="G3532" s="43"/>
      <c r="H3532" s="43"/>
      <c r="I3532" s="43"/>
      <c r="J3532" s="43"/>
    </row>
    <row r="3533" spans="1:10" ht="25.5" customHeight="1">
      <c r="A3533" s="47"/>
      <c r="B3533" s="47"/>
      <c r="C3533" s="47"/>
      <c r="D3533" s="47"/>
      <c r="E3533" s="47"/>
      <c r="F3533" s="43"/>
      <c r="G3533" s="51"/>
      <c r="H3533" s="250" t="s">
        <v>1227</v>
      </c>
      <c r="I3533" s="251"/>
      <c r="J3533" s="43"/>
    </row>
    <row r="3534" spans="1:10">
      <c r="A3534" s="43" t="s">
        <v>1226</v>
      </c>
      <c r="B3534" s="43"/>
      <c r="C3534" s="43"/>
      <c r="D3534" s="43"/>
      <c r="E3534" s="43"/>
      <c r="F3534" s="43"/>
      <c r="G3534" s="43"/>
      <c r="H3534" s="43"/>
      <c r="I3534" s="43"/>
      <c r="J3534" s="43"/>
    </row>
    <row r="3535" spans="1:10">
      <c r="A3535" s="43"/>
      <c r="B3535" s="43"/>
      <c r="C3535" s="43"/>
      <c r="D3535" s="43"/>
      <c r="E3535" s="43"/>
      <c r="F3535" s="43"/>
      <c r="G3535" s="43"/>
      <c r="H3535" s="43"/>
      <c r="I3535" s="43"/>
      <c r="J3535" s="43"/>
    </row>
    <row r="3536" spans="1:10">
      <c r="A3536" s="43"/>
      <c r="B3536" s="43"/>
      <c r="C3536" s="43"/>
      <c r="D3536" s="43"/>
      <c r="E3536" s="256" t="str">
        <f>CONCATENATE("(",$D3507," vs ",$I3507,")")</f>
        <v>(E vs J)</v>
      </c>
      <c r="F3536" s="256"/>
      <c r="G3536" s="43"/>
      <c r="H3536" s="43"/>
      <c r="I3536" s="43"/>
      <c r="J3536" s="43"/>
    </row>
    <row r="3537" spans="1:10" ht="15.75">
      <c r="A3537" s="42" t="s">
        <v>1223</v>
      </c>
      <c r="B3537" s="43"/>
      <c r="C3537" s="43"/>
      <c r="D3537" s="43"/>
      <c r="E3537" s="43"/>
      <c r="F3537" s="43"/>
      <c r="G3537" s="43"/>
      <c r="H3537" s="43"/>
      <c r="I3537" s="43"/>
      <c r="J3537" s="96" t="s">
        <v>4323</v>
      </c>
    </row>
    <row r="3538" spans="1:10" ht="12.75" customHeight="1">
      <c r="A3538" s="42"/>
      <c r="B3538" s="43"/>
      <c r="C3538" s="43"/>
      <c r="D3538" s="43"/>
      <c r="E3538" s="43"/>
      <c r="F3538" s="43"/>
      <c r="G3538" s="43" t="str">
        <f ca="1">Team_Matches!$J$6</f>
        <v>[NCTTA Teams Template (v2.06).xlsx]</v>
      </c>
      <c r="H3538" s="43"/>
      <c r="I3538" s="43"/>
      <c r="J3538" s="160"/>
    </row>
    <row r="3539" spans="1:10" ht="12.75" customHeight="1">
      <c r="A3539" s="42"/>
      <c r="B3539" s="43"/>
      <c r="C3539" s="43"/>
      <c r="D3539" s="43"/>
      <c r="E3539" s="43"/>
      <c r="F3539" s="43"/>
      <c r="G3539" s="247" t="str">
        <f>Team_Matches!$J2659</f>
        <v/>
      </c>
      <c r="H3539" s="247"/>
      <c r="I3539" s="161" t="str">
        <f>Team_Matches!$M2659</f>
        <v/>
      </c>
      <c r="J3539" s="161"/>
    </row>
    <row r="3540" spans="1:10" ht="15.75">
      <c r="A3540" s="42"/>
      <c r="B3540" s="43"/>
      <c r="C3540" s="43"/>
      <c r="D3540" s="43"/>
      <c r="E3540" s="43"/>
      <c r="F3540" s="43"/>
      <c r="G3540" s="43"/>
      <c r="H3540" s="43"/>
      <c r="I3540" s="43"/>
      <c r="J3540" s="43"/>
    </row>
    <row r="3541" spans="1:10">
      <c r="A3541" s="43"/>
      <c r="B3541" s="43"/>
      <c r="C3541" s="9" t="s">
        <v>1228</v>
      </c>
      <c r="D3541" s="52" t="str">
        <f>Team_Matches!$B2661</f>
        <v>E</v>
      </c>
      <c r="E3541" s="43"/>
      <c r="F3541" s="97" t="str">
        <f>CONCATENATE($D3541,"-",$I3541)</f>
        <v>E-K</v>
      </c>
      <c r="G3541" s="43"/>
      <c r="H3541" s="9" t="s">
        <v>1228</v>
      </c>
      <c r="I3541" s="52" t="str">
        <f>Team_Matches!$K2661</f>
        <v>K</v>
      </c>
      <c r="J3541" s="43"/>
    </row>
    <row r="3542" spans="1:10" ht="25.5" customHeight="1">
      <c r="A3542" s="44"/>
      <c r="B3542" s="248" t="str">
        <f>IF(VLOOKUP($D3541,Draw!$A$4:$B$27,2)&lt;&gt;0,VLOOKUP($D3541,Draw!$A$4:$B$27,2),"")</f>
        <v/>
      </c>
      <c r="C3542" s="248"/>
      <c r="D3542" s="248"/>
      <c r="E3542" s="249"/>
      <c r="F3542" s="45"/>
      <c r="G3542" s="252" t="str">
        <f>IF(VLOOKUP($I3541,Draw!$A$4:$B$27,2)&lt;&gt;0,VLOOKUP($I3541,Draw!$A$4:$B$27,2),"")</f>
        <v/>
      </c>
      <c r="H3542" s="252"/>
      <c r="I3542" s="252"/>
      <c r="J3542" s="253"/>
    </row>
    <row r="3543" spans="1:10" ht="25.5" customHeight="1"/>
    <row r="3544" spans="1:10" ht="25.5" customHeight="1"/>
    <row r="3545" spans="1:10" ht="24" customHeight="1">
      <c r="A3545" s="48" t="s">
        <v>1246</v>
      </c>
      <c r="B3545" s="43"/>
      <c r="C3545" s="43"/>
      <c r="D3545" s="43"/>
      <c r="E3545" s="43"/>
      <c r="F3545" s="43"/>
      <c r="G3545" s="43"/>
      <c r="H3545" s="43"/>
      <c r="I3545" s="43"/>
      <c r="J3545" s="43"/>
    </row>
    <row r="3546" spans="1:10" ht="24" customHeight="1">
      <c r="A3546" s="48"/>
      <c r="B3546" s="43"/>
      <c r="C3546" s="43"/>
      <c r="D3546" s="43"/>
      <c r="E3546" s="43"/>
      <c r="F3546" s="43"/>
      <c r="G3546" s="43"/>
      <c r="H3546" s="43"/>
      <c r="I3546" s="43"/>
      <c r="J3546" s="43"/>
    </row>
    <row r="3547" spans="1:10">
      <c r="A3547" s="49" t="s">
        <v>1224</v>
      </c>
      <c r="B3547" s="46"/>
      <c r="C3547" s="46"/>
      <c r="D3547" s="46"/>
      <c r="E3547" s="46"/>
      <c r="F3547" s="46"/>
      <c r="G3547" s="260" t="s">
        <v>10336</v>
      </c>
      <c r="H3547" s="260"/>
      <c r="I3547" s="260"/>
      <c r="J3547" s="260"/>
    </row>
    <row r="3548" spans="1:10" ht="24" customHeight="1">
      <c r="A3548" s="50" t="str">
        <f>CONCATENATE($D3541,"1")</f>
        <v>E1</v>
      </c>
      <c r="B3548" s="255" t="str">
        <f>IF(VLOOKUP($A3548,Players!$A$2:$C$132,3)&lt;&gt;0,VLOOKUP($A3548,Players!$A$2:$C$132,3),"")</f>
        <v/>
      </c>
      <c r="C3548" s="255"/>
      <c r="D3548" s="255"/>
      <c r="E3548" s="255"/>
      <c r="F3548" s="255"/>
      <c r="G3548" s="254" t="str">
        <f>IF(VLOOKUP($I3541&amp;RIGHT($A3548,1),Players!$A$2:$D$132,3)&lt;&gt;0,VLOOKUP($I3541&amp;RIGHT($A3548,1),Players!$A$2:$D$132,3),"")</f>
        <v/>
      </c>
      <c r="H3548" s="254"/>
      <c r="I3548" s="254"/>
      <c r="J3548" s="210" t="str">
        <f>IF(VLOOKUP($I3541&amp;RIGHT($A3548,1),Players!$A$2:$D$132,3)&lt;&gt;0,"("&amp;VLOOKUP($I3541&amp;RIGHT($A3548,1),Players!$A$2:$D$132,4)&amp;")","")</f>
        <v/>
      </c>
    </row>
    <row r="3549" spans="1:10" ht="25.5" customHeight="1">
      <c r="A3549" s="50" t="str">
        <f>CONCATENATE($D3541,"2")</f>
        <v>E2</v>
      </c>
      <c r="B3549" s="255" t="str">
        <f>IF(VLOOKUP($A3549,Players!$A$2:$C$132,3)&lt;&gt;0,VLOOKUP($A3549,Players!$A$2:$C$132,3),"")</f>
        <v/>
      </c>
      <c r="C3549" s="255"/>
      <c r="D3549" s="255"/>
      <c r="E3549" s="255"/>
      <c r="F3549" s="255"/>
      <c r="G3549" s="254" t="str">
        <f>IF(VLOOKUP($I3541&amp;RIGHT($A3549,1),Players!$A$2:$D$132,3)&lt;&gt;0,VLOOKUP($I3541&amp;RIGHT($A3549,1),Players!$A$2:$D$132,3),"")</f>
        <v/>
      </c>
      <c r="H3549" s="254"/>
      <c r="I3549" s="254"/>
      <c r="J3549" s="210" t="str">
        <f>IF(VLOOKUP($I3541&amp;RIGHT($A3549,1),Players!$A$2:$D$132,3)&lt;&gt;0,"("&amp;VLOOKUP($I3541&amp;RIGHT($A3549,1),Players!$A$2:$D$132,4)&amp;")","")</f>
        <v/>
      </c>
    </row>
    <row r="3550" spans="1:10" ht="25.5" customHeight="1">
      <c r="A3550" s="50" t="str">
        <f>CONCATENATE($D3541,"3")</f>
        <v>E3</v>
      </c>
      <c r="B3550" s="255" t="str">
        <f>IF(VLOOKUP($A3550,Players!$A$2:$C$132,3)&lt;&gt;0,VLOOKUP($A3550,Players!$A$2:$C$132,3),"")</f>
        <v/>
      </c>
      <c r="C3550" s="255"/>
      <c r="D3550" s="255"/>
      <c r="E3550" s="255"/>
      <c r="F3550" s="255"/>
      <c r="G3550" s="254" t="str">
        <f>IF(VLOOKUP($I3541&amp;RIGHT($A3550,1),Players!$A$2:$D$132,3)&lt;&gt;0,VLOOKUP($I3541&amp;RIGHT($A3550,1),Players!$A$2:$D$132,3),"")</f>
        <v/>
      </c>
      <c r="H3550" s="254"/>
      <c r="I3550" s="254"/>
      <c r="J3550" s="210" t="str">
        <f>IF(VLOOKUP($I3541&amp;RIGHT($A3550,1),Players!$A$2:$D$132,3)&lt;&gt;0,"("&amp;VLOOKUP($I3541&amp;RIGHT($A3550,1),Players!$A$2:$D$132,4)&amp;")","")</f>
        <v/>
      </c>
    </row>
    <row r="3551" spans="1:10" ht="25.5" customHeight="1">
      <c r="A3551" s="50" t="str">
        <f>CONCATENATE($D3541,"4")</f>
        <v>E4</v>
      </c>
      <c r="B3551" s="255" t="str">
        <f>IF(VLOOKUP($A3551,Players!$A$2:$C$132,3)&lt;&gt;0,VLOOKUP($A3551,Players!$A$2:$C$132,3),"")</f>
        <v/>
      </c>
      <c r="C3551" s="255"/>
      <c r="D3551" s="255"/>
      <c r="E3551" s="255"/>
      <c r="F3551" s="255"/>
      <c r="G3551" s="254" t="str">
        <f>IF(VLOOKUP($I3541&amp;RIGHT($A3551,1),Players!$A$2:$D$132,3)&lt;&gt;0,VLOOKUP($I3541&amp;RIGHT($A3551,1),Players!$A$2:$D$132,3),"")</f>
        <v/>
      </c>
      <c r="H3551" s="254"/>
      <c r="I3551" s="254"/>
      <c r="J3551" s="210" t="str">
        <f>IF(VLOOKUP($I3541&amp;RIGHT($A3551,1),Players!$A$2:$D$132,3)&lt;&gt;0,"("&amp;VLOOKUP($I3541&amp;RIGHT($A3551,1),Players!$A$2:$D$132,4)&amp;")","")</f>
        <v/>
      </c>
    </row>
    <row r="3552" spans="1:10" ht="25.5" customHeight="1">
      <c r="A3552" s="50" t="str">
        <f>CONCATENATE($D3541,"5")</f>
        <v>E5</v>
      </c>
      <c r="B3552" s="255" t="str">
        <f>IF(VLOOKUP($A3552,Players!$A$2:$C$132,3)&lt;&gt;0,VLOOKUP($A3552,Players!$A$2:$C$132,3),"")</f>
        <v/>
      </c>
      <c r="C3552" s="255"/>
      <c r="D3552" s="255"/>
      <c r="E3552" s="255"/>
      <c r="F3552" s="255"/>
      <c r="G3552" s="254" t="str">
        <f>IF(VLOOKUP($I3541&amp;RIGHT($A3552,1),Players!$A$2:$D$132,3)&lt;&gt;0,VLOOKUP($I3541&amp;RIGHT($A3552,1),Players!$A$2:$D$132,3),"")</f>
        <v/>
      </c>
      <c r="H3552" s="254"/>
      <c r="I3552" s="254"/>
      <c r="J3552" s="210" t="str">
        <f>IF(VLOOKUP($I3541&amp;RIGHT($A3552,1),Players!$A$2:$D$132,3)&lt;&gt;0,"("&amp;VLOOKUP($I3541&amp;RIGHT($A3552,1),Players!$A$2:$D$132,4)&amp;")","")</f>
        <v/>
      </c>
    </row>
    <row r="3553" spans="1:10" ht="25.5" customHeight="1">
      <c r="A3553" s="50" t="str">
        <f>CONCATENATE($D3541,"6")</f>
        <v>E6</v>
      </c>
      <c r="B3553" s="255" t="str">
        <f>IF(VLOOKUP($A3553,Players!$A$2:$C$132,3)&lt;&gt;0,VLOOKUP($A3553,Players!$A$2:$C$132,3),"")</f>
        <v/>
      </c>
      <c r="C3553" s="255"/>
      <c r="D3553" s="255"/>
      <c r="E3553" s="255"/>
      <c r="F3553" s="255"/>
      <c r="G3553" s="254" t="str">
        <f>IF(VLOOKUP($I3541&amp;RIGHT($A3553,1),Players!$A$2:$D$132,3)&lt;&gt;0,VLOOKUP($I3541&amp;RIGHT($A3553,1),Players!$A$2:$D$132,3),"")</f>
        <v/>
      </c>
      <c r="H3553" s="254"/>
      <c r="I3553" s="254"/>
      <c r="J3553" s="210" t="str">
        <f>IF(VLOOKUP($I3541&amp;RIGHT($A3553,1),Players!$A$2:$D$132,3)&lt;&gt;0,"("&amp;VLOOKUP($I3541&amp;RIGHT($A3553,1),Players!$A$2:$D$132,4)&amp;")","")</f>
        <v/>
      </c>
    </row>
    <row r="3554" spans="1:10" ht="25.5" customHeight="1">
      <c r="A3554" s="50" t="str">
        <f>CONCATENATE($D3541,"7")</f>
        <v>E7</v>
      </c>
      <c r="B3554" s="255" t="str">
        <f>IF(VLOOKUP($A3554,Players!$A$2:$C$132,3)&lt;&gt;0,VLOOKUP($A3554,Players!$A$2:$C$132,3),"")</f>
        <v/>
      </c>
      <c r="C3554" s="255"/>
      <c r="D3554" s="255"/>
      <c r="E3554" s="255"/>
      <c r="F3554" s="255"/>
      <c r="G3554" s="254" t="str">
        <f>IF(VLOOKUP($I3541&amp;RIGHT($A3554,1),Players!$A$2:$D$132,3)&lt;&gt;0,VLOOKUP($I3541&amp;RIGHT($A3554,1),Players!$A$2:$D$132,3),"")</f>
        <v/>
      </c>
      <c r="H3554" s="254"/>
      <c r="I3554" s="254"/>
      <c r="J3554" s="210" t="str">
        <f>IF(VLOOKUP($I3541&amp;RIGHT($A3554,1),Players!$A$2:$D$132,3)&lt;&gt;0,"("&amp;VLOOKUP($I3541&amp;RIGHT($A3554,1),Players!$A$2:$D$132,4)&amp;")","")</f>
        <v/>
      </c>
    </row>
    <row r="3555" spans="1:10" ht="25.5" customHeight="1">
      <c r="A3555" s="50" t="str">
        <f>CONCATENATE($D3541,"8")</f>
        <v>E8</v>
      </c>
      <c r="B3555" s="255" t="str">
        <f>IF(VLOOKUP($A3555,Players!$A$2:$C$132,3)&lt;&gt;0,VLOOKUP($A3555,Players!$A$2:$C$132,3),"")</f>
        <v/>
      </c>
      <c r="C3555" s="255"/>
      <c r="D3555" s="255"/>
      <c r="E3555" s="255"/>
      <c r="F3555" s="255"/>
      <c r="G3555" s="254" t="str">
        <f>IF(VLOOKUP($I3541&amp;RIGHT($A3555,1),Players!$A$2:$D$132,3)&lt;&gt;0,VLOOKUP($I3541&amp;RIGHT($A3555,1),Players!$A$2:$D$132,3),"")</f>
        <v/>
      </c>
      <c r="H3555" s="254"/>
      <c r="I3555" s="254"/>
      <c r="J3555" s="210" t="str">
        <f>IF(VLOOKUP($I3541&amp;RIGHT($A3555,1),Players!$A$2:$D$132,3)&lt;&gt;0,"("&amp;VLOOKUP($I3541&amp;RIGHT($A3555,1),Players!$A$2:$D$132,4)&amp;")","")</f>
        <v/>
      </c>
    </row>
    <row r="3556" spans="1:10" ht="25.5" customHeight="1">
      <c r="A3556" s="50"/>
      <c r="B3556" s="26"/>
      <c r="C3556" s="26"/>
      <c r="D3556" s="26"/>
      <c r="E3556" s="26"/>
      <c r="F3556" s="27"/>
      <c r="G3556" s="43"/>
      <c r="H3556" s="43"/>
      <c r="I3556" s="43"/>
      <c r="J3556" s="43"/>
    </row>
    <row r="3557" spans="1:10">
      <c r="A3557" s="49" t="s">
        <v>1225</v>
      </c>
      <c r="B3557" s="46"/>
      <c r="C3557" s="46"/>
      <c r="D3557" s="46"/>
      <c r="E3557" s="46"/>
      <c r="F3557" s="46"/>
      <c r="G3557" s="43"/>
      <c r="H3557" s="43"/>
      <c r="I3557" s="43"/>
      <c r="J3557" s="43"/>
    </row>
    <row r="3558" spans="1:10">
      <c r="A3558" s="46" t="s">
        <v>1247</v>
      </c>
      <c r="B3558" s="46"/>
      <c r="C3558" s="46"/>
      <c r="D3558" s="46"/>
      <c r="E3558" s="46"/>
      <c r="F3558" s="46"/>
      <c r="G3558" s="43"/>
      <c r="H3558" s="43"/>
      <c r="I3558" s="43"/>
      <c r="J3558" s="43"/>
    </row>
    <row r="3559" spans="1:10">
      <c r="A3559" s="46" t="s">
        <v>1248</v>
      </c>
      <c r="B3559" s="46"/>
      <c r="C3559" s="46"/>
      <c r="D3559" s="46"/>
      <c r="E3559" s="46"/>
      <c r="F3559" s="46"/>
      <c r="G3559" s="43"/>
      <c r="H3559" s="43"/>
      <c r="I3559" s="43"/>
      <c r="J3559" s="43"/>
    </row>
    <row r="3560" spans="1:10" ht="13.5" thickBot="1">
      <c r="A3560" s="46"/>
      <c r="B3560" s="46"/>
      <c r="C3560" s="46"/>
      <c r="D3560" s="46"/>
      <c r="E3560" s="46"/>
      <c r="F3560" s="46"/>
      <c r="G3560" s="43"/>
      <c r="H3560" s="43"/>
      <c r="I3560" s="43"/>
      <c r="J3560" s="43"/>
    </row>
    <row r="3561" spans="1:10" ht="25.5" customHeight="1" thickBot="1">
      <c r="A3561" s="50"/>
      <c r="B3561" s="257"/>
      <c r="C3561" s="258"/>
      <c r="D3561" s="258"/>
      <c r="E3561" s="258"/>
      <c r="F3561" s="259"/>
      <c r="G3561" s="43"/>
      <c r="H3561" s="43"/>
      <c r="I3561" s="43"/>
      <c r="J3561" s="43"/>
    </row>
    <row r="3562" spans="1:10">
      <c r="A3562" s="43"/>
      <c r="B3562" s="43"/>
      <c r="C3562" s="43"/>
      <c r="D3562" s="43"/>
      <c r="E3562" s="43"/>
      <c r="F3562" s="43"/>
      <c r="G3562" s="43"/>
      <c r="H3562" s="43"/>
      <c r="I3562" s="43"/>
      <c r="J3562" s="43"/>
    </row>
    <row r="3563" spans="1:10">
      <c r="A3563" s="43"/>
      <c r="B3563" s="43"/>
      <c r="C3563" s="43"/>
      <c r="D3563" s="43"/>
      <c r="E3563" s="43"/>
      <c r="F3563" s="43"/>
      <c r="G3563" s="43"/>
      <c r="H3563" s="43"/>
      <c r="I3563" s="43"/>
      <c r="J3563" s="43"/>
    </row>
    <row r="3564" spans="1:10">
      <c r="A3564" s="43"/>
      <c r="B3564" s="43"/>
      <c r="C3564" s="43"/>
      <c r="D3564" s="43"/>
      <c r="E3564" s="43"/>
      <c r="F3564" s="43"/>
      <c r="G3564" s="43"/>
      <c r="H3564" s="43"/>
      <c r="I3564" s="43"/>
      <c r="J3564" s="43"/>
    </row>
    <row r="3565" spans="1:10">
      <c r="A3565" s="43"/>
      <c r="B3565" s="43"/>
      <c r="C3565" s="43"/>
      <c r="D3565" s="43"/>
      <c r="E3565" s="43"/>
      <c r="F3565" s="43"/>
      <c r="G3565" s="43"/>
      <c r="H3565" s="43"/>
      <c r="I3565" s="43"/>
      <c r="J3565" s="43"/>
    </row>
    <row r="3566" spans="1:10">
      <c r="A3566" s="43"/>
      <c r="B3566" s="43"/>
      <c r="C3566" s="43"/>
      <c r="D3566" s="43"/>
      <c r="E3566" s="43"/>
      <c r="F3566" s="43"/>
      <c r="G3566" s="43"/>
      <c r="H3566" s="43"/>
      <c r="I3566" s="43"/>
      <c r="J3566" s="43"/>
    </row>
    <row r="3567" spans="1:10" ht="25.5" customHeight="1">
      <c r="A3567" s="47"/>
      <c r="B3567" s="47"/>
      <c r="C3567" s="47"/>
      <c r="D3567" s="47"/>
      <c r="E3567" s="47"/>
      <c r="F3567" s="43"/>
      <c r="G3567" s="51"/>
      <c r="H3567" s="250" t="s">
        <v>1227</v>
      </c>
      <c r="I3567" s="251"/>
      <c r="J3567" s="43"/>
    </row>
    <row r="3568" spans="1:10">
      <c r="A3568" s="43" t="s">
        <v>1226</v>
      </c>
      <c r="B3568" s="43"/>
      <c r="C3568" s="43"/>
      <c r="D3568" s="43"/>
      <c r="E3568" s="43"/>
      <c r="F3568" s="43"/>
      <c r="G3568" s="43"/>
      <c r="H3568" s="43"/>
      <c r="I3568" s="43"/>
      <c r="J3568" s="43"/>
    </row>
    <row r="3569" spans="1:10">
      <c r="A3569" s="43"/>
      <c r="B3569" s="43"/>
      <c r="C3569" s="43"/>
      <c r="D3569" s="43"/>
      <c r="E3569" s="43"/>
      <c r="F3569" s="43"/>
      <c r="G3569" s="43"/>
      <c r="H3569" s="43"/>
      <c r="I3569" s="43"/>
      <c r="J3569" s="43"/>
    </row>
    <row r="3570" spans="1:10">
      <c r="A3570" s="43"/>
      <c r="B3570" s="43"/>
      <c r="C3570" s="43"/>
      <c r="D3570" s="43"/>
      <c r="E3570" s="256" t="str">
        <f>CONCATENATE("(",$D3541," vs ",$I3541,")")</f>
        <v>(E vs K)</v>
      </c>
      <c r="F3570" s="256"/>
      <c r="G3570" s="43"/>
      <c r="H3570" s="43"/>
      <c r="I3570" s="43"/>
      <c r="J3570" s="43"/>
    </row>
    <row r="3571" spans="1:10" ht="15.75">
      <c r="A3571" s="42" t="s">
        <v>1223</v>
      </c>
      <c r="B3571" s="43"/>
      <c r="C3571" s="43"/>
      <c r="D3571" s="43"/>
      <c r="E3571" s="43"/>
      <c r="F3571" s="43"/>
      <c r="G3571" s="43"/>
      <c r="H3571" s="43"/>
      <c r="I3571" s="43"/>
      <c r="J3571" s="96" t="s">
        <v>4324</v>
      </c>
    </row>
    <row r="3572" spans="1:10" ht="12.75" customHeight="1">
      <c r="A3572" s="42"/>
      <c r="B3572" s="43"/>
      <c r="C3572" s="43"/>
      <c r="D3572" s="43"/>
      <c r="E3572" s="43"/>
      <c r="F3572" s="43"/>
      <c r="G3572" s="43" t="str">
        <f ca="1">Team_Matches!$J$6</f>
        <v>[NCTTA Teams Template (v2.06).xlsx]</v>
      </c>
      <c r="H3572" s="43"/>
      <c r="I3572" s="43"/>
      <c r="J3572" s="160"/>
    </row>
    <row r="3573" spans="1:10" ht="12.75" customHeight="1">
      <c r="A3573" s="42"/>
      <c r="B3573" s="43"/>
      <c r="C3573" s="43"/>
      <c r="D3573" s="43"/>
      <c r="E3573" s="43"/>
      <c r="F3573" s="43"/>
      <c r="G3573" s="247" t="str">
        <f>Team_Matches!$J2659</f>
        <v/>
      </c>
      <c r="H3573" s="247"/>
      <c r="I3573" s="161" t="str">
        <f>Team_Matches!$M2659</f>
        <v/>
      </c>
      <c r="J3573" s="161"/>
    </row>
    <row r="3574" spans="1:10" ht="15.75">
      <c r="A3574" s="42"/>
      <c r="B3574" s="43"/>
      <c r="C3574" s="43"/>
      <c r="D3574" s="43"/>
      <c r="E3574" s="43"/>
      <c r="F3574" s="43"/>
      <c r="G3574" s="43"/>
      <c r="H3574" s="43"/>
      <c r="I3574" s="43"/>
      <c r="J3574" s="43"/>
    </row>
    <row r="3575" spans="1:10">
      <c r="A3575" s="43"/>
      <c r="B3575" s="43"/>
      <c r="C3575" s="9" t="s">
        <v>1228</v>
      </c>
      <c r="D3575" s="52" t="str">
        <f>Team_Matches!$B2661</f>
        <v>E</v>
      </c>
      <c r="E3575" s="43"/>
      <c r="F3575" s="97" t="str">
        <f>CONCATENATE($D3575,"-",$I3575)</f>
        <v>E-K</v>
      </c>
      <c r="G3575" s="43"/>
      <c r="H3575" s="9" t="s">
        <v>1228</v>
      </c>
      <c r="I3575" s="52" t="str">
        <f>Team_Matches!$K2661</f>
        <v>K</v>
      </c>
      <c r="J3575" s="43"/>
    </row>
    <row r="3576" spans="1:10" ht="25.5" customHeight="1">
      <c r="A3576" s="44"/>
      <c r="B3576" s="252" t="str">
        <f>IF(VLOOKUP($D3575,Draw!$A$4:$B$27,2)&lt;&gt;0,VLOOKUP($D3575,Draw!$A$4:$B$27,2),"")</f>
        <v/>
      </c>
      <c r="C3576" s="252"/>
      <c r="D3576" s="252"/>
      <c r="E3576" s="253"/>
      <c r="F3576" s="45"/>
      <c r="G3576" s="248" t="str">
        <f>IF(VLOOKUP($I3575,Draw!$A$4:$B$27,2)&lt;&gt;0,VLOOKUP($I3575,Draw!$A$4:$B$27,2),"")</f>
        <v/>
      </c>
      <c r="H3576" s="248"/>
      <c r="I3576" s="248"/>
      <c r="J3576" s="249"/>
    </row>
    <row r="3577" spans="1:10" ht="25.5" customHeight="1"/>
    <row r="3578" spans="1:10" ht="25.5" customHeight="1"/>
    <row r="3579" spans="1:10" ht="24" customHeight="1">
      <c r="A3579" s="48" t="s">
        <v>1246</v>
      </c>
      <c r="B3579" s="43"/>
      <c r="C3579" s="43"/>
      <c r="D3579" s="43"/>
      <c r="E3579" s="43"/>
      <c r="F3579" s="43"/>
      <c r="G3579" s="43"/>
      <c r="H3579" s="43"/>
      <c r="I3579" s="43"/>
      <c r="J3579" s="43"/>
    </row>
    <row r="3580" spans="1:10" ht="24" customHeight="1">
      <c r="A3580" s="48"/>
      <c r="B3580" s="43"/>
      <c r="C3580" s="43"/>
      <c r="D3580" s="43"/>
      <c r="E3580" s="43"/>
      <c r="F3580" s="43"/>
      <c r="G3580" s="43"/>
      <c r="H3580" s="43"/>
      <c r="I3580" s="43"/>
      <c r="J3580" s="43"/>
    </row>
    <row r="3581" spans="1:10">
      <c r="A3581" s="49" t="s">
        <v>1224</v>
      </c>
      <c r="B3581" s="46"/>
      <c r="C3581" s="46"/>
      <c r="D3581" s="46"/>
      <c r="E3581" s="46"/>
      <c r="F3581" s="46"/>
      <c r="G3581" s="260" t="s">
        <v>10336</v>
      </c>
      <c r="H3581" s="260"/>
      <c r="I3581" s="260"/>
      <c r="J3581" s="260"/>
    </row>
    <row r="3582" spans="1:10" ht="24" customHeight="1">
      <c r="A3582" s="50" t="str">
        <f>CONCATENATE($I3575,"1")</f>
        <v>K1</v>
      </c>
      <c r="B3582" s="255" t="str">
        <f>IF(VLOOKUP($A3582,Players!$A$2:$C$132,3)&lt;&gt;0,VLOOKUP($A3582,Players!$A$2:$C$132,3),"")</f>
        <v/>
      </c>
      <c r="C3582" s="255"/>
      <c r="D3582" s="255"/>
      <c r="E3582" s="255"/>
      <c r="F3582" s="255"/>
      <c r="G3582" s="254" t="str">
        <f>IF(VLOOKUP($D3575&amp;RIGHT($A3582,1),Players!$A$2:$D$132,3)&lt;&gt;0,VLOOKUP($D3575&amp;RIGHT($A3582,1),Players!$A$2:$D$132,3),"")</f>
        <v/>
      </c>
      <c r="H3582" s="254"/>
      <c r="I3582" s="254"/>
      <c r="J3582" s="210" t="str">
        <f>IF(VLOOKUP($D3575&amp;RIGHT($A3582,1),Players!$A$2:$D$132,3)&lt;&gt;0,"("&amp;VLOOKUP($D3575&amp;RIGHT($A3582,1),Players!$A$2:$D$132,4)&amp;")","")</f>
        <v/>
      </c>
    </row>
    <row r="3583" spans="1:10" ht="25.5" customHeight="1">
      <c r="A3583" s="50" t="str">
        <f>CONCATENATE($I3575,"2")</f>
        <v>K2</v>
      </c>
      <c r="B3583" s="255" t="str">
        <f>IF(VLOOKUP($A3583,Players!$A$2:$C$132,3)&lt;&gt;0,VLOOKUP($A3583,Players!$A$2:$C$132,3),"")</f>
        <v/>
      </c>
      <c r="C3583" s="255"/>
      <c r="D3583" s="255"/>
      <c r="E3583" s="255"/>
      <c r="F3583" s="255"/>
      <c r="G3583" s="254" t="str">
        <f>IF(VLOOKUP($D3575&amp;RIGHT($A3583,1),Players!$A$2:$D$132,3)&lt;&gt;0,VLOOKUP($D3575&amp;RIGHT($A3583,1),Players!$A$2:$D$132,3),"")</f>
        <v/>
      </c>
      <c r="H3583" s="254"/>
      <c r="I3583" s="254"/>
      <c r="J3583" s="210" t="str">
        <f>IF(VLOOKUP($D3575&amp;RIGHT($A3583,1),Players!$A$2:$D$132,3)&lt;&gt;0,"("&amp;VLOOKUP($D3575&amp;RIGHT($A3583,1),Players!$A$2:$D$132,4)&amp;")","")</f>
        <v/>
      </c>
    </row>
    <row r="3584" spans="1:10" ht="25.5" customHeight="1">
      <c r="A3584" s="50" t="str">
        <f>CONCATENATE($I3575,"3")</f>
        <v>K3</v>
      </c>
      <c r="B3584" s="255" t="str">
        <f>IF(VLOOKUP($A3584,Players!$A$2:$C$132,3)&lt;&gt;0,VLOOKUP($A3584,Players!$A$2:$C$132,3),"")</f>
        <v/>
      </c>
      <c r="C3584" s="255"/>
      <c r="D3584" s="255"/>
      <c r="E3584" s="255"/>
      <c r="F3584" s="255"/>
      <c r="G3584" s="254" t="str">
        <f>IF(VLOOKUP($D3575&amp;RIGHT($A3584,1),Players!$A$2:$D$132,3)&lt;&gt;0,VLOOKUP($D3575&amp;RIGHT($A3584,1),Players!$A$2:$D$132,3),"")</f>
        <v/>
      </c>
      <c r="H3584" s="254"/>
      <c r="I3584" s="254"/>
      <c r="J3584" s="210" t="str">
        <f>IF(VLOOKUP($D3575&amp;RIGHT($A3584,1),Players!$A$2:$D$132,3)&lt;&gt;0,"("&amp;VLOOKUP($D3575&amp;RIGHT($A3584,1),Players!$A$2:$D$132,4)&amp;")","")</f>
        <v/>
      </c>
    </row>
    <row r="3585" spans="1:10" ht="25.5" customHeight="1">
      <c r="A3585" s="50" t="str">
        <f>CONCATENATE($I3575,"4")</f>
        <v>K4</v>
      </c>
      <c r="B3585" s="255" t="str">
        <f>IF(VLOOKUP($A3585,Players!$A$2:$C$132,3)&lt;&gt;0,VLOOKUP($A3585,Players!$A$2:$C$132,3),"")</f>
        <v/>
      </c>
      <c r="C3585" s="255"/>
      <c r="D3585" s="255"/>
      <c r="E3585" s="255"/>
      <c r="F3585" s="255"/>
      <c r="G3585" s="254" t="str">
        <f>IF(VLOOKUP($D3575&amp;RIGHT($A3585,1),Players!$A$2:$D$132,3)&lt;&gt;0,VLOOKUP($D3575&amp;RIGHT($A3585,1),Players!$A$2:$D$132,3),"")</f>
        <v/>
      </c>
      <c r="H3585" s="254"/>
      <c r="I3585" s="254"/>
      <c r="J3585" s="210" t="str">
        <f>IF(VLOOKUP($D3575&amp;RIGHT($A3585,1),Players!$A$2:$D$132,3)&lt;&gt;0,"("&amp;VLOOKUP($D3575&amp;RIGHT($A3585,1),Players!$A$2:$D$132,4)&amp;")","")</f>
        <v/>
      </c>
    </row>
    <row r="3586" spans="1:10" ht="25.5" customHeight="1">
      <c r="A3586" s="50" t="str">
        <f>CONCATENATE($I3575,"5")</f>
        <v>K5</v>
      </c>
      <c r="B3586" s="255" t="str">
        <f>IF(VLOOKUP($A3586,Players!$A$2:$C$132,3)&lt;&gt;0,VLOOKUP($A3586,Players!$A$2:$C$132,3),"")</f>
        <v/>
      </c>
      <c r="C3586" s="255"/>
      <c r="D3586" s="255"/>
      <c r="E3586" s="255"/>
      <c r="F3586" s="255"/>
      <c r="G3586" s="254" t="str">
        <f>IF(VLOOKUP($D3575&amp;RIGHT($A3586,1),Players!$A$2:$D$132,3)&lt;&gt;0,VLOOKUP($D3575&amp;RIGHT($A3586,1),Players!$A$2:$D$132,3),"")</f>
        <v/>
      </c>
      <c r="H3586" s="254"/>
      <c r="I3586" s="254"/>
      <c r="J3586" s="210" t="str">
        <f>IF(VLOOKUP($D3575&amp;RIGHT($A3586,1),Players!$A$2:$D$132,3)&lt;&gt;0,"("&amp;VLOOKUP($D3575&amp;RIGHT($A3586,1),Players!$A$2:$D$132,4)&amp;")","")</f>
        <v/>
      </c>
    </row>
    <row r="3587" spans="1:10" ht="25.5" customHeight="1">
      <c r="A3587" s="50" t="str">
        <f>CONCATENATE($I3575,"6")</f>
        <v>K6</v>
      </c>
      <c r="B3587" s="255" t="str">
        <f>IF(VLOOKUP($A3587,Players!$A$2:$C$132,3)&lt;&gt;0,VLOOKUP($A3587,Players!$A$2:$C$132,3),"")</f>
        <v/>
      </c>
      <c r="C3587" s="255"/>
      <c r="D3587" s="255"/>
      <c r="E3587" s="255"/>
      <c r="F3587" s="255"/>
      <c r="G3587" s="254" t="str">
        <f>IF(VLOOKUP($D3575&amp;RIGHT($A3587,1),Players!$A$2:$D$132,3)&lt;&gt;0,VLOOKUP($D3575&amp;RIGHT($A3587,1),Players!$A$2:$D$132,3),"")</f>
        <v/>
      </c>
      <c r="H3587" s="254"/>
      <c r="I3587" s="254"/>
      <c r="J3587" s="210" t="str">
        <f>IF(VLOOKUP($D3575&amp;RIGHT($A3587,1),Players!$A$2:$D$132,3)&lt;&gt;0,"("&amp;VLOOKUP($D3575&amp;RIGHT($A3587,1),Players!$A$2:$D$132,4)&amp;")","")</f>
        <v/>
      </c>
    </row>
    <row r="3588" spans="1:10" ht="25.5" customHeight="1">
      <c r="A3588" s="50" t="str">
        <f>CONCATENATE($I3575,"7")</f>
        <v>K7</v>
      </c>
      <c r="B3588" s="255" t="str">
        <f>IF(VLOOKUP($A3588,Players!$A$2:$C$132,3)&lt;&gt;0,VLOOKUP($A3588,Players!$A$2:$C$132,3),"")</f>
        <v/>
      </c>
      <c r="C3588" s="255"/>
      <c r="D3588" s="255"/>
      <c r="E3588" s="255"/>
      <c r="F3588" s="255"/>
      <c r="G3588" s="254" t="str">
        <f>IF(VLOOKUP($D3575&amp;RIGHT($A3588,1),Players!$A$2:$D$132,3)&lt;&gt;0,VLOOKUP($D3575&amp;RIGHT($A3588,1),Players!$A$2:$D$132,3),"")</f>
        <v/>
      </c>
      <c r="H3588" s="254"/>
      <c r="I3588" s="254"/>
      <c r="J3588" s="210" t="str">
        <f>IF(VLOOKUP($D3575&amp;RIGHT($A3588,1),Players!$A$2:$D$132,3)&lt;&gt;0,"("&amp;VLOOKUP($D3575&amp;RIGHT($A3588,1),Players!$A$2:$D$132,4)&amp;")","")</f>
        <v/>
      </c>
    </row>
    <row r="3589" spans="1:10" ht="25.5" customHeight="1">
      <c r="A3589" s="50" t="str">
        <f>CONCATENATE($I3575,"8")</f>
        <v>K8</v>
      </c>
      <c r="B3589" s="255" t="str">
        <f>IF(VLOOKUP($A3589,Players!$A$2:$C$132,3)&lt;&gt;0,VLOOKUP($A3589,Players!$A$2:$C$132,3),"")</f>
        <v/>
      </c>
      <c r="C3589" s="255"/>
      <c r="D3589" s="255"/>
      <c r="E3589" s="255"/>
      <c r="F3589" s="255"/>
      <c r="G3589" s="254" t="str">
        <f>IF(VLOOKUP($D3575&amp;RIGHT($A3589,1),Players!$A$2:$D$132,3)&lt;&gt;0,VLOOKUP($D3575&amp;RIGHT($A3589,1),Players!$A$2:$D$132,3),"")</f>
        <v/>
      </c>
      <c r="H3589" s="254"/>
      <c r="I3589" s="254"/>
      <c r="J3589" s="210" t="str">
        <f>IF(VLOOKUP($D3575&amp;RIGHT($A3589,1),Players!$A$2:$D$132,3)&lt;&gt;0,"("&amp;VLOOKUP($D3575&amp;RIGHT($A3589,1),Players!$A$2:$D$132,4)&amp;")","")</f>
        <v/>
      </c>
    </row>
    <row r="3590" spans="1:10" ht="25.5" customHeight="1">
      <c r="A3590" s="50"/>
      <c r="B3590" s="26"/>
      <c r="C3590" s="26"/>
      <c r="D3590" s="26"/>
      <c r="E3590" s="26"/>
      <c r="F3590" s="27"/>
      <c r="G3590" s="43"/>
      <c r="H3590" s="43"/>
      <c r="I3590" s="43"/>
      <c r="J3590" s="43"/>
    </row>
    <row r="3591" spans="1:10">
      <c r="A3591" s="49" t="s">
        <v>1225</v>
      </c>
      <c r="B3591" s="46"/>
      <c r="C3591" s="46"/>
      <c r="D3591" s="46"/>
      <c r="E3591" s="46"/>
      <c r="F3591" s="46"/>
      <c r="G3591" s="43"/>
      <c r="H3591" s="43"/>
      <c r="I3591" s="43"/>
      <c r="J3591" s="43"/>
    </row>
    <row r="3592" spans="1:10">
      <c r="A3592" s="46" t="s">
        <v>1247</v>
      </c>
      <c r="B3592" s="46"/>
      <c r="C3592" s="46"/>
      <c r="D3592" s="46"/>
      <c r="E3592" s="46"/>
      <c r="F3592" s="46"/>
      <c r="G3592" s="43"/>
      <c r="H3592" s="43"/>
      <c r="I3592" s="43"/>
      <c r="J3592" s="43"/>
    </row>
    <row r="3593" spans="1:10">
      <c r="A3593" s="46" t="s">
        <v>1248</v>
      </c>
      <c r="B3593" s="46"/>
      <c r="C3593" s="46"/>
      <c r="D3593" s="46"/>
      <c r="E3593" s="46"/>
      <c r="F3593" s="46"/>
      <c r="G3593" s="43"/>
      <c r="H3593" s="43"/>
      <c r="I3593" s="43"/>
      <c r="J3593" s="43"/>
    </row>
    <row r="3594" spans="1:10" ht="13.5" thickBot="1">
      <c r="A3594" s="46"/>
      <c r="B3594" s="46"/>
      <c r="C3594" s="46"/>
      <c r="D3594" s="46"/>
      <c r="E3594" s="46"/>
      <c r="F3594" s="46"/>
      <c r="G3594" s="43"/>
      <c r="H3594" s="43"/>
      <c r="I3594" s="43"/>
      <c r="J3594" s="43"/>
    </row>
    <row r="3595" spans="1:10" ht="25.5" customHeight="1" thickBot="1">
      <c r="A3595" s="50"/>
      <c r="B3595" s="257"/>
      <c r="C3595" s="258"/>
      <c r="D3595" s="258"/>
      <c r="E3595" s="258"/>
      <c r="F3595" s="259"/>
      <c r="G3595" s="43"/>
      <c r="H3595" s="43"/>
      <c r="I3595" s="43"/>
      <c r="J3595" s="43"/>
    </row>
    <row r="3596" spans="1:10">
      <c r="A3596" s="43"/>
      <c r="B3596" s="43"/>
      <c r="C3596" s="43"/>
      <c r="D3596" s="43"/>
      <c r="E3596" s="43"/>
      <c r="F3596" s="43"/>
      <c r="G3596" s="43"/>
      <c r="H3596" s="43"/>
      <c r="I3596" s="43"/>
      <c r="J3596" s="43"/>
    </row>
    <row r="3597" spans="1:10">
      <c r="A3597" s="43"/>
      <c r="B3597" s="43"/>
      <c r="C3597" s="43"/>
      <c r="D3597" s="43"/>
      <c r="E3597" s="43"/>
      <c r="F3597" s="43"/>
      <c r="G3597" s="43"/>
      <c r="H3597" s="43"/>
      <c r="I3597" s="43"/>
      <c r="J3597" s="43"/>
    </row>
    <row r="3598" spans="1:10">
      <c r="A3598" s="43"/>
      <c r="B3598" s="43"/>
      <c r="C3598" s="43"/>
      <c r="D3598" s="43"/>
      <c r="E3598" s="43"/>
      <c r="F3598" s="43"/>
      <c r="G3598" s="43"/>
      <c r="H3598" s="43"/>
      <c r="I3598" s="43"/>
      <c r="J3598" s="43"/>
    </row>
    <row r="3599" spans="1:10">
      <c r="A3599" s="43"/>
      <c r="B3599" s="43"/>
      <c r="C3599" s="43"/>
      <c r="D3599" s="43"/>
      <c r="E3599" s="43"/>
      <c r="F3599" s="43"/>
      <c r="G3599" s="43"/>
      <c r="H3599" s="43"/>
      <c r="I3599" s="43"/>
      <c r="J3599" s="43"/>
    </row>
    <row r="3600" spans="1:10">
      <c r="A3600" s="43"/>
      <c r="B3600" s="43"/>
      <c r="C3600" s="43"/>
      <c r="D3600" s="43"/>
      <c r="E3600" s="43"/>
      <c r="F3600" s="43"/>
      <c r="G3600" s="43"/>
      <c r="H3600" s="43"/>
      <c r="I3600" s="43"/>
      <c r="J3600" s="43"/>
    </row>
    <row r="3601" spans="1:10" ht="25.5" customHeight="1">
      <c r="A3601" s="47"/>
      <c r="B3601" s="47"/>
      <c r="C3601" s="47"/>
      <c r="D3601" s="47"/>
      <c r="E3601" s="47"/>
      <c r="F3601" s="43"/>
      <c r="G3601" s="51"/>
      <c r="H3601" s="250" t="s">
        <v>1227</v>
      </c>
      <c r="I3601" s="251"/>
      <c r="J3601" s="43"/>
    </row>
    <row r="3602" spans="1:10">
      <c r="A3602" s="43" t="s">
        <v>1226</v>
      </c>
      <c r="B3602" s="43"/>
      <c r="C3602" s="43"/>
      <c r="D3602" s="43"/>
      <c r="E3602" s="43"/>
      <c r="F3602" s="43"/>
      <c r="G3602" s="43"/>
      <c r="H3602" s="43"/>
      <c r="I3602" s="43"/>
      <c r="J3602" s="43"/>
    </row>
    <row r="3603" spans="1:10">
      <c r="A3603" s="43"/>
      <c r="B3603" s="43"/>
      <c r="C3603" s="43"/>
      <c r="D3603" s="43"/>
      <c r="E3603" s="43"/>
      <c r="F3603" s="43"/>
      <c r="G3603" s="43"/>
      <c r="H3603" s="43"/>
      <c r="I3603" s="43"/>
      <c r="J3603" s="43"/>
    </row>
    <row r="3604" spans="1:10">
      <c r="A3604" s="43"/>
      <c r="B3604" s="43"/>
      <c r="C3604" s="43"/>
      <c r="D3604" s="43"/>
      <c r="E3604" s="256" t="str">
        <f>CONCATENATE("(",$D3575," vs ",$I3575,")")</f>
        <v>(E vs K)</v>
      </c>
      <c r="F3604" s="256"/>
      <c r="G3604" s="43"/>
      <c r="H3604" s="43"/>
      <c r="I3604" s="43"/>
      <c r="J3604" s="43"/>
    </row>
    <row r="3605" spans="1:10" ht="15.75">
      <c r="A3605" s="42" t="s">
        <v>1223</v>
      </c>
      <c r="B3605" s="43"/>
      <c r="C3605" s="43"/>
      <c r="D3605" s="43"/>
      <c r="E3605" s="43"/>
      <c r="F3605" s="43"/>
      <c r="G3605" s="43"/>
      <c r="H3605" s="43"/>
      <c r="I3605" s="43"/>
      <c r="J3605" s="96" t="s">
        <v>4325</v>
      </c>
    </row>
    <row r="3606" spans="1:10" ht="12.75" customHeight="1">
      <c r="A3606" s="42"/>
      <c r="B3606" s="43"/>
      <c r="C3606" s="43"/>
      <c r="D3606" s="43"/>
      <c r="E3606" s="43"/>
      <c r="F3606" s="43"/>
      <c r="G3606" s="43" t="str">
        <f ca="1">Team_Matches!$J$6</f>
        <v>[NCTTA Teams Template (v2.06).xlsx]</v>
      </c>
      <c r="H3606" s="43"/>
      <c r="I3606" s="43"/>
      <c r="J3606" s="160"/>
    </row>
    <row r="3607" spans="1:10" ht="12.75" customHeight="1">
      <c r="A3607" s="42"/>
      <c r="B3607" s="43"/>
      <c r="C3607" s="43"/>
      <c r="D3607" s="43"/>
      <c r="E3607" s="43"/>
      <c r="F3607" s="43"/>
      <c r="G3607" s="247" t="str">
        <f>Team_Matches!$J2710</f>
        <v/>
      </c>
      <c r="H3607" s="247"/>
      <c r="I3607" s="161" t="str">
        <f>Team_Matches!$M2710</f>
        <v/>
      </c>
      <c r="J3607" s="161"/>
    </row>
    <row r="3608" spans="1:10" ht="15.75">
      <c r="A3608" s="42"/>
      <c r="B3608" s="43"/>
      <c r="C3608" s="43"/>
      <c r="D3608" s="43"/>
      <c r="E3608" s="43"/>
      <c r="F3608" s="43"/>
      <c r="G3608" s="43"/>
      <c r="H3608" s="43"/>
      <c r="I3608" s="43"/>
      <c r="J3608" s="43"/>
    </row>
    <row r="3609" spans="1:10">
      <c r="A3609" s="43"/>
      <c r="B3609" s="43"/>
      <c r="C3609" s="9" t="s">
        <v>1228</v>
      </c>
      <c r="D3609" s="52" t="str">
        <f>Team_Matches!$B2712</f>
        <v>E</v>
      </c>
      <c r="E3609" s="43"/>
      <c r="F3609" s="97" t="str">
        <f>CONCATENATE($D3609,"-",$I3609)</f>
        <v>E-L</v>
      </c>
      <c r="G3609" s="43"/>
      <c r="H3609" s="9" t="s">
        <v>1228</v>
      </c>
      <c r="I3609" s="52" t="str">
        <f>Team_Matches!$K2712</f>
        <v>L</v>
      </c>
      <c r="J3609" s="43"/>
    </row>
    <row r="3610" spans="1:10" ht="25.5" customHeight="1">
      <c r="A3610" s="44"/>
      <c r="B3610" s="248" t="str">
        <f>IF(VLOOKUP($D3609,Draw!$A$4:$B$27,2)&lt;&gt;0,VLOOKUP($D3609,Draw!$A$4:$B$27,2),"")</f>
        <v/>
      </c>
      <c r="C3610" s="248"/>
      <c r="D3610" s="248"/>
      <c r="E3610" s="249"/>
      <c r="F3610" s="45"/>
      <c r="G3610" s="252" t="str">
        <f>IF(VLOOKUP($I3609,Draw!$A$4:$B$27,2)&lt;&gt;0,VLOOKUP($I3609,Draw!$A$4:$B$27,2),"")</f>
        <v/>
      </c>
      <c r="H3610" s="252"/>
      <c r="I3610" s="252"/>
      <c r="J3610" s="253"/>
    </row>
    <row r="3611" spans="1:10" ht="25.5" customHeight="1"/>
    <row r="3612" spans="1:10" ht="25.5" customHeight="1"/>
    <row r="3613" spans="1:10" ht="24" customHeight="1">
      <c r="A3613" s="48" t="s">
        <v>1246</v>
      </c>
      <c r="B3613" s="43"/>
      <c r="C3613" s="43"/>
      <c r="D3613" s="43"/>
      <c r="E3613" s="43"/>
      <c r="F3613" s="43"/>
      <c r="G3613" s="43"/>
      <c r="H3613" s="43"/>
      <c r="I3613" s="43"/>
      <c r="J3613" s="43"/>
    </row>
    <row r="3614" spans="1:10" ht="24" customHeight="1">
      <c r="A3614" s="48"/>
      <c r="B3614" s="43"/>
      <c r="C3614" s="43"/>
      <c r="D3614" s="43"/>
      <c r="E3614" s="43"/>
      <c r="F3614" s="43"/>
      <c r="G3614" s="43"/>
      <c r="H3614" s="43"/>
      <c r="I3614" s="43"/>
      <c r="J3614" s="43"/>
    </row>
    <row r="3615" spans="1:10">
      <c r="A3615" s="49" t="s">
        <v>1224</v>
      </c>
      <c r="B3615" s="46"/>
      <c r="C3615" s="46"/>
      <c r="D3615" s="46"/>
      <c r="E3615" s="46"/>
      <c r="F3615" s="46"/>
      <c r="G3615" s="260" t="s">
        <v>10336</v>
      </c>
      <c r="H3615" s="260"/>
      <c r="I3615" s="260"/>
      <c r="J3615" s="260"/>
    </row>
    <row r="3616" spans="1:10" ht="24" customHeight="1">
      <c r="A3616" s="50" t="str">
        <f>CONCATENATE($D3609,"1")</f>
        <v>E1</v>
      </c>
      <c r="B3616" s="255" t="str">
        <f>IF(VLOOKUP($A3616,Players!$A$2:$C$132,3)&lt;&gt;0,VLOOKUP($A3616,Players!$A$2:$C$132,3),"")</f>
        <v/>
      </c>
      <c r="C3616" s="255"/>
      <c r="D3616" s="255"/>
      <c r="E3616" s="255"/>
      <c r="F3616" s="255"/>
      <c r="G3616" s="254" t="str">
        <f>IF(VLOOKUP($I3609&amp;RIGHT($A3616,1),Players!$A$2:$D$132,3)&lt;&gt;0,VLOOKUP($I3609&amp;RIGHT($A3616,1),Players!$A$2:$D$132,3),"")</f>
        <v/>
      </c>
      <c r="H3616" s="254"/>
      <c r="I3616" s="254"/>
      <c r="J3616" s="210" t="str">
        <f>IF(VLOOKUP($I3609&amp;RIGHT($A3616,1),Players!$A$2:$D$132,3)&lt;&gt;0,"("&amp;VLOOKUP($I3609&amp;RIGHT($A3616,1),Players!$A$2:$D$132,4)&amp;")","")</f>
        <v/>
      </c>
    </row>
    <row r="3617" spans="1:10" ht="25.5" customHeight="1">
      <c r="A3617" s="50" t="str">
        <f>CONCATENATE($D3609,"2")</f>
        <v>E2</v>
      </c>
      <c r="B3617" s="255" t="str">
        <f>IF(VLOOKUP($A3617,Players!$A$2:$C$132,3)&lt;&gt;0,VLOOKUP($A3617,Players!$A$2:$C$132,3),"")</f>
        <v/>
      </c>
      <c r="C3617" s="255"/>
      <c r="D3617" s="255"/>
      <c r="E3617" s="255"/>
      <c r="F3617" s="255"/>
      <c r="G3617" s="254" t="str">
        <f>IF(VLOOKUP($I3609&amp;RIGHT($A3617,1),Players!$A$2:$D$132,3)&lt;&gt;0,VLOOKUP($I3609&amp;RIGHT($A3617,1),Players!$A$2:$D$132,3),"")</f>
        <v/>
      </c>
      <c r="H3617" s="254"/>
      <c r="I3617" s="254"/>
      <c r="J3617" s="210" t="str">
        <f>IF(VLOOKUP($I3609&amp;RIGHT($A3617,1),Players!$A$2:$D$132,3)&lt;&gt;0,"("&amp;VLOOKUP($I3609&amp;RIGHT($A3617,1),Players!$A$2:$D$132,4)&amp;")","")</f>
        <v/>
      </c>
    </row>
    <row r="3618" spans="1:10" ht="25.5" customHeight="1">
      <c r="A3618" s="50" t="str">
        <f>CONCATENATE($D3609,"3")</f>
        <v>E3</v>
      </c>
      <c r="B3618" s="255" t="str">
        <f>IF(VLOOKUP($A3618,Players!$A$2:$C$132,3)&lt;&gt;0,VLOOKUP($A3618,Players!$A$2:$C$132,3),"")</f>
        <v/>
      </c>
      <c r="C3618" s="255"/>
      <c r="D3618" s="255"/>
      <c r="E3618" s="255"/>
      <c r="F3618" s="255"/>
      <c r="G3618" s="254" t="str">
        <f>IF(VLOOKUP($I3609&amp;RIGHT($A3618,1),Players!$A$2:$D$132,3)&lt;&gt;0,VLOOKUP($I3609&amp;RIGHT($A3618,1),Players!$A$2:$D$132,3),"")</f>
        <v/>
      </c>
      <c r="H3618" s="254"/>
      <c r="I3618" s="254"/>
      <c r="J3618" s="210" t="str">
        <f>IF(VLOOKUP($I3609&amp;RIGHT($A3618,1),Players!$A$2:$D$132,3)&lt;&gt;0,"("&amp;VLOOKUP($I3609&amp;RIGHT($A3618,1),Players!$A$2:$D$132,4)&amp;")","")</f>
        <v/>
      </c>
    </row>
    <row r="3619" spans="1:10" ht="25.5" customHeight="1">
      <c r="A3619" s="50" t="str">
        <f>CONCATENATE($D3609,"4")</f>
        <v>E4</v>
      </c>
      <c r="B3619" s="255" t="str">
        <f>IF(VLOOKUP($A3619,Players!$A$2:$C$132,3)&lt;&gt;0,VLOOKUP($A3619,Players!$A$2:$C$132,3),"")</f>
        <v/>
      </c>
      <c r="C3619" s="255"/>
      <c r="D3619" s="255"/>
      <c r="E3619" s="255"/>
      <c r="F3619" s="255"/>
      <c r="G3619" s="254" t="str">
        <f>IF(VLOOKUP($I3609&amp;RIGHT($A3619,1),Players!$A$2:$D$132,3)&lt;&gt;0,VLOOKUP($I3609&amp;RIGHT($A3619,1),Players!$A$2:$D$132,3),"")</f>
        <v/>
      </c>
      <c r="H3619" s="254"/>
      <c r="I3619" s="254"/>
      <c r="J3619" s="210" t="str">
        <f>IF(VLOOKUP($I3609&amp;RIGHT($A3619,1),Players!$A$2:$D$132,3)&lt;&gt;0,"("&amp;VLOOKUP($I3609&amp;RIGHT($A3619,1),Players!$A$2:$D$132,4)&amp;")","")</f>
        <v/>
      </c>
    </row>
    <row r="3620" spans="1:10" ht="25.5" customHeight="1">
      <c r="A3620" s="50" t="str">
        <f>CONCATENATE($D3609,"5")</f>
        <v>E5</v>
      </c>
      <c r="B3620" s="255" t="str">
        <f>IF(VLOOKUP($A3620,Players!$A$2:$C$132,3)&lt;&gt;0,VLOOKUP($A3620,Players!$A$2:$C$132,3),"")</f>
        <v/>
      </c>
      <c r="C3620" s="255"/>
      <c r="D3620" s="255"/>
      <c r="E3620" s="255"/>
      <c r="F3620" s="255"/>
      <c r="G3620" s="254" t="str">
        <f>IF(VLOOKUP($I3609&amp;RIGHT($A3620,1),Players!$A$2:$D$132,3)&lt;&gt;0,VLOOKUP($I3609&amp;RIGHT($A3620,1),Players!$A$2:$D$132,3),"")</f>
        <v/>
      </c>
      <c r="H3620" s="254"/>
      <c r="I3620" s="254"/>
      <c r="J3620" s="210" t="str">
        <f>IF(VLOOKUP($I3609&amp;RIGHT($A3620,1),Players!$A$2:$D$132,3)&lt;&gt;0,"("&amp;VLOOKUP($I3609&amp;RIGHT($A3620,1),Players!$A$2:$D$132,4)&amp;")","")</f>
        <v/>
      </c>
    </row>
    <row r="3621" spans="1:10" ht="25.5" customHeight="1">
      <c r="A3621" s="50" t="str">
        <f>CONCATENATE($D3609,"6")</f>
        <v>E6</v>
      </c>
      <c r="B3621" s="255" t="str">
        <f>IF(VLOOKUP($A3621,Players!$A$2:$C$132,3)&lt;&gt;0,VLOOKUP($A3621,Players!$A$2:$C$132,3),"")</f>
        <v/>
      </c>
      <c r="C3621" s="255"/>
      <c r="D3621" s="255"/>
      <c r="E3621" s="255"/>
      <c r="F3621" s="255"/>
      <c r="G3621" s="254" t="str">
        <f>IF(VLOOKUP($I3609&amp;RIGHT($A3621,1),Players!$A$2:$D$132,3)&lt;&gt;0,VLOOKUP($I3609&amp;RIGHT($A3621,1),Players!$A$2:$D$132,3),"")</f>
        <v/>
      </c>
      <c r="H3621" s="254"/>
      <c r="I3621" s="254"/>
      <c r="J3621" s="210" t="str">
        <f>IF(VLOOKUP($I3609&amp;RIGHT($A3621,1),Players!$A$2:$D$132,3)&lt;&gt;0,"("&amp;VLOOKUP($I3609&amp;RIGHT($A3621,1),Players!$A$2:$D$132,4)&amp;")","")</f>
        <v/>
      </c>
    </row>
    <row r="3622" spans="1:10" ht="25.5" customHeight="1">
      <c r="A3622" s="50" t="str">
        <f>CONCATENATE($D3609,"7")</f>
        <v>E7</v>
      </c>
      <c r="B3622" s="255" t="str">
        <f>IF(VLOOKUP($A3622,Players!$A$2:$C$132,3)&lt;&gt;0,VLOOKUP($A3622,Players!$A$2:$C$132,3),"")</f>
        <v/>
      </c>
      <c r="C3622" s="255"/>
      <c r="D3622" s="255"/>
      <c r="E3622" s="255"/>
      <c r="F3622" s="255"/>
      <c r="G3622" s="254" t="str">
        <f>IF(VLOOKUP($I3609&amp;RIGHT($A3622,1),Players!$A$2:$D$132,3)&lt;&gt;0,VLOOKUP($I3609&amp;RIGHT($A3622,1),Players!$A$2:$D$132,3),"")</f>
        <v/>
      </c>
      <c r="H3622" s="254"/>
      <c r="I3622" s="254"/>
      <c r="J3622" s="210" t="str">
        <f>IF(VLOOKUP($I3609&amp;RIGHT($A3622,1),Players!$A$2:$D$132,3)&lt;&gt;0,"("&amp;VLOOKUP($I3609&amp;RIGHT($A3622,1),Players!$A$2:$D$132,4)&amp;")","")</f>
        <v/>
      </c>
    </row>
    <row r="3623" spans="1:10" ht="25.5" customHeight="1">
      <c r="A3623" s="50" t="str">
        <f>CONCATENATE($D3609,"8")</f>
        <v>E8</v>
      </c>
      <c r="B3623" s="255" t="str">
        <f>IF(VLOOKUP($A3623,Players!$A$2:$C$132,3)&lt;&gt;0,VLOOKUP($A3623,Players!$A$2:$C$132,3),"")</f>
        <v/>
      </c>
      <c r="C3623" s="255"/>
      <c r="D3623" s="255"/>
      <c r="E3623" s="255"/>
      <c r="F3623" s="255"/>
      <c r="G3623" s="254" t="str">
        <f>IF(VLOOKUP($I3609&amp;RIGHT($A3623,1),Players!$A$2:$D$132,3)&lt;&gt;0,VLOOKUP($I3609&amp;RIGHT($A3623,1),Players!$A$2:$D$132,3),"")</f>
        <v/>
      </c>
      <c r="H3623" s="254"/>
      <c r="I3623" s="254"/>
      <c r="J3623" s="210" t="str">
        <f>IF(VLOOKUP($I3609&amp;RIGHT($A3623,1),Players!$A$2:$D$132,3)&lt;&gt;0,"("&amp;VLOOKUP($I3609&amp;RIGHT($A3623,1),Players!$A$2:$D$132,4)&amp;")","")</f>
        <v/>
      </c>
    </row>
    <row r="3624" spans="1:10" ht="25.5" customHeight="1">
      <c r="A3624" s="50"/>
      <c r="B3624" s="26"/>
      <c r="C3624" s="26"/>
      <c r="D3624" s="26"/>
      <c r="E3624" s="26"/>
      <c r="F3624" s="27"/>
      <c r="G3624" s="43"/>
      <c r="H3624" s="43"/>
      <c r="I3624" s="43"/>
      <c r="J3624" s="43"/>
    </row>
    <row r="3625" spans="1:10">
      <c r="A3625" s="49" t="s">
        <v>1225</v>
      </c>
      <c r="B3625" s="46"/>
      <c r="C3625" s="46"/>
      <c r="D3625" s="46"/>
      <c r="E3625" s="46"/>
      <c r="F3625" s="46"/>
      <c r="G3625" s="43"/>
      <c r="H3625" s="43"/>
      <c r="I3625" s="43"/>
      <c r="J3625" s="43"/>
    </row>
    <row r="3626" spans="1:10">
      <c r="A3626" s="46" t="s">
        <v>1247</v>
      </c>
      <c r="B3626" s="46"/>
      <c r="C3626" s="46"/>
      <c r="D3626" s="46"/>
      <c r="E3626" s="46"/>
      <c r="F3626" s="46"/>
      <c r="G3626" s="43"/>
      <c r="H3626" s="43"/>
      <c r="I3626" s="43"/>
      <c r="J3626" s="43"/>
    </row>
    <row r="3627" spans="1:10">
      <c r="A3627" s="46" t="s">
        <v>1248</v>
      </c>
      <c r="B3627" s="46"/>
      <c r="C3627" s="46"/>
      <c r="D3627" s="46"/>
      <c r="E3627" s="46"/>
      <c r="F3627" s="46"/>
      <c r="G3627" s="43"/>
      <c r="H3627" s="43"/>
      <c r="I3627" s="43"/>
      <c r="J3627" s="43"/>
    </row>
    <row r="3628" spans="1:10" ht="13.5" thickBot="1">
      <c r="A3628" s="46"/>
      <c r="B3628" s="46"/>
      <c r="C3628" s="46"/>
      <c r="D3628" s="46"/>
      <c r="E3628" s="46"/>
      <c r="F3628" s="46"/>
      <c r="G3628" s="43"/>
      <c r="H3628" s="43"/>
      <c r="I3628" s="43"/>
      <c r="J3628" s="43"/>
    </row>
    <row r="3629" spans="1:10" ht="25.5" customHeight="1" thickBot="1">
      <c r="A3629" s="50"/>
      <c r="B3629" s="257"/>
      <c r="C3629" s="258"/>
      <c r="D3629" s="258"/>
      <c r="E3629" s="258"/>
      <c r="F3629" s="259"/>
      <c r="G3629" s="43"/>
      <c r="H3629" s="43"/>
      <c r="I3629" s="43"/>
      <c r="J3629" s="43"/>
    </row>
    <row r="3630" spans="1:10">
      <c r="A3630" s="43"/>
      <c r="B3630" s="43"/>
      <c r="C3630" s="43"/>
      <c r="D3630" s="43"/>
      <c r="E3630" s="43"/>
      <c r="F3630" s="43"/>
      <c r="G3630" s="43"/>
      <c r="H3630" s="43"/>
      <c r="I3630" s="43"/>
      <c r="J3630" s="43"/>
    </row>
    <row r="3631" spans="1:10">
      <c r="A3631" s="43"/>
      <c r="B3631" s="43"/>
      <c r="C3631" s="43"/>
      <c r="D3631" s="43"/>
      <c r="E3631" s="43"/>
      <c r="F3631" s="43"/>
      <c r="G3631" s="43"/>
      <c r="H3631" s="43"/>
      <c r="I3631" s="43"/>
      <c r="J3631" s="43"/>
    </row>
    <row r="3632" spans="1:10">
      <c r="A3632" s="43"/>
      <c r="B3632" s="43"/>
      <c r="C3632" s="43"/>
      <c r="D3632" s="43"/>
      <c r="E3632" s="43"/>
      <c r="F3632" s="43"/>
      <c r="G3632" s="43"/>
      <c r="H3632" s="43"/>
      <c r="I3632" s="43"/>
      <c r="J3632" s="43"/>
    </row>
    <row r="3633" spans="1:10">
      <c r="A3633" s="43"/>
      <c r="B3633" s="43"/>
      <c r="C3633" s="43"/>
      <c r="D3633" s="43"/>
      <c r="E3633" s="43"/>
      <c r="F3633" s="43"/>
      <c r="G3633" s="43"/>
      <c r="H3633" s="43"/>
      <c r="I3633" s="43"/>
      <c r="J3633" s="43"/>
    </row>
    <row r="3634" spans="1:10">
      <c r="A3634" s="43"/>
      <c r="B3634" s="43"/>
      <c r="C3634" s="43"/>
      <c r="D3634" s="43"/>
      <c r="E3634" s="43"/>
      <c r="F3634" s="43"/>
      <c r="G3634" s="43"/>
      <c r="H3634" s="43"/>
      <c r="I3634" s="43"/>
      <c r="J3634" s="43"/>
    </row>
    <row r="3635" spans="1:10" ht="25.5" customHeight="1">
      <c r="A3635" s="47"/>
      <c r="B3635" s="47"/>
      <c r="C3635" s="47"/>
      <c r="D3635" s="47"/>
      <c r="E3635" s="47"/>
      <c r="F3635" s="43"/>
      <c r="G3635" s="51"/>
      <c r="H3635" s="250" t="s">
        <v>1227</v>
      </c>
      <c r="I3635" s="251"/>
      <c r="J3635" s="43"/>
    </row>
    <row r="3636" spans="1:10">
      <c r="A3636" s="43" t="s">
        <v>1226</v>
      </c>
      <c r="B3636" s="43"/>
      <c r="C3636" s="43"/>
      <c r="D3636" s="43"/>
      <c r="E3636" s="43"/>
      <c r="F3636" s="43"/>
      <c r="G3636" s="43"/>
      <c r="H3636" s="43"/>
      <c r="I3636" s="43"/>
      <c r="J3636" s="43"/>
    </row>
    <row r="3637" spans="1:10">
      <c r="A3637" s="43"/>
      <c r="B3637" s="43"/>
      <c r="C3637" s="43"/>
      <c r="D3637" s="43"/>
      <c r="E3637" s="43"/>
      <c r="F3637" s="43"/>
      <c r="G3637" s="43"/>
      <c r="H3637" s="43"/>
      <c r="I3637" s="43"/>
      <c r="J3637" s="43"/>
    </row>
    <row r="3638" spans="1:10">
      <c r="A3638" s="43"/>
      <c r="B3638" s="43"/>
      <c r="C3638" s="43"/>
      <c r="D3638" s="43"/>
      <c r="E3638" s="256" t="str">
        <f>CONCATENATE("(",$D3609," vs ",$I3609,")")</f>
        <v>(E vs L)</v>
      </c>
      <c r="F3638" s="256"/>
      <c r="G3638" s="43"/>
      <c r="H3638" s="43"/>
      <c r="I3638" s="43"/>
      <c r="J3638" s="43"/>
    </row>
    <row r="3639" spans="1:10" ht="15.75">
      <c r="A3639" s="42" t="s">
        <v>1223</v>
      </c>
      <c r="B3639" s="43"/>
      <c r="C3639" s="43"/>
      <c r="D3639" s="43"/>
      <c r="E3639" s="43"/>
      <c r="F3639" s="43"/>
      <c r="G3639" s="43"/>
      <c r="H3639" s="43"/>
      <c r="I3639" s="43"/>
      <c r="J3639" s="96" t="s">
        <v>4326</v>
      </c>
    </row>
    <row r="3640" spans="1:10" ht="12.75" customHeight="1">
      <c r="A3640" s="42"/>
      <c r="B3640" s="43"/>
      <c r="C3640" s="43"/>
      <c r="D3640" s="43"/>
      <c r="E3640" s="43"/>
      <c r="F3640" s="43"/>
      <c r="G3640" s="43" t="str">
        <f ca="1">Team_Matches!$J$6</f>
        <v>[NCTTA Teams Template (v2.06).xlsx]</v>
      </c>
      <c r="H3640" s="43"/>
      <c r="I3640" s="43"/>
      <c r="J3640" s="160"/>
    </row>
    <row r="3641" spans="1:10" ht="12.75" customHeight="1">
      <c r="A3641" s="42"/>
      <c r="B3641" s="43"/>
      <c r="C3641" s="43"/>
      <c r="D3641" s="43"/>
      <c r="E3641" s="43"/>
      <c r="F3641" s="43"/>
      <c r="G3641" s="247" t="str">
        <f>Team_Matches!$J2710</f>
        <v/>
      </c>
      <c r="H3641" s="247"/>
      <c r="I3641" s="161" t="str">
        <f>Team_Matches!$M2710</f>
        <v/>
      </c>
      <c r="J3641" s="161"/>
    </row>
    <row r="3642" spans="1:10" ht="15.75">
      <c r="A3642" s="42"/>
      <c r="B3642" s="43"/>
      <c r="C3642" s="43"/>
      <c r="D3642" s="43"/>
      <c r="E3642" s="43"/>
      <c r="F3642" s="43"/>
      <c r="G3642" s="43"/>
      <c r="H3642" s="43"/>
      <c r="I3642" s="43"/>
      <c r="J3642" s="43"/>
    </row>
    <row r="3643" spans="1:10">
      <c r="A3643" s="43"/>
      <c r="B3643" s="43"/>
      <c r="C3643" s="9" t="s">
        <v>1228</v>
      </c>
      <c r="D3643" s="52" t="str">
        <f>Team_Matches!$B2712</f>
        <v>E</v>
      </c>
      <c r="E3643" s="43"/>
      <c r="F3643" s="97" t="str">
        <f>CONCATENATE($D3643,"-",$I3643)</f>
        <v>E-L</v>
      </c>
      <c r="G3643" s="43"/>
      <c r="H3643" s="9" t="s">
        <v>1228</v>
      </c>
      <c r="I3643" s="52" t="str">
        <f>Team_Matches!$K2712</f>
        <v>L</v>
      </c>
      <c r="J3643" s="43"/>
    </row>
    <row r="3644" spans="1:10" ht="25.5" customHeight="1">
      <c r="A3644" s="44"/>
      <c r="B3644" s="252" t="str">
        <f>IF(VLOOKUP($D3643,Draw!$A$4:$B$27,2)&lt;&gt;0,VLOOKUP($D3643,Draw!$A$4:$B$27,2),"")</f>
        <v/>
      </c>
      <c r="C3644" s="252"/>
      <c r="D3644" s="252"/>
      <c r="E3644" s="253"/>
      <c r="F3644" s="45"/>
      <c r="G3644" s="248" t="str">
        <f>IF(VLOOKUP($I3643,Draw!$A$4:$B$27,2)&lt;&gt;0,VLOOKUP($I3643,Draw!$A$4:$B$27,2),"")</f>
        <v/>
      </c>
      <c r="H3644" s="248"/>
      <c r="I3644" s="248"/>
      <c r="J3644" s="249"/>
    </row>
    <row r="3645" spans="1:10" ht="25.5" customHeight="1"/>
    <row r="3646" spans="1:10" ht="25.5" customHeight="1"/>
    <row r="3647" spans="1:10" ht="24" customHeight="1">
      <c r="A3647" s="48" t="s">
        <v>1246</v>
      </c>
      <c r="B3647" s="43"/>
      <c r="C3647" s="43"/>
      <c r="D3647" s="43"/>
      <c r="E3647" s="43"/>
      <c r="F3647" s="43"/>
      <c r="G3647" s="43"/>
      <c r="H3647" s="43"/>
      <c r="I3647" s="43"/>
      <c r="J3647" s="43"/>
    </row>
    <row r="3648" spans="1:10" ht="24" customHeight="1">
      <c r="A3648" s="48"/>
      <c r="B3648" s="43"/>
      <c r="C3648" s="43"/>
      <c r="D3648" s="43"/>
      <c r="E3648" s="43"/>
      <c r="F3648" s="43"/>
      <c r="G3648" s="43"/>
      <c r="H3648" s="43"/>
      <c r="I3648" s="43"/>
      <c r="J3648" s="43"/>
    </row>
    <row r="3649" spans="1:10">
      <c r="A3649" s="49" t="s">
        <v>1224</v>
      </c>
      <c r="B3649" s="46"/>
      <c r="C3649" s="46"/>
      <c r="D3649" s="46"/>
      <c r="E3649" s="46"/>
      <c r="F3649" s="46"/>
      <c r="G3649" s="260" t="s">
        <v>10336</v>
      </c>
      <c r="H3649" s="260"/>
      <c r="I3649" s="260"/>
      <c r="J3649" s="260"/>
    </row>
    <row r="3650" spans="1:10" ht="24" customHeight="1">
      <c r="A3650" s="50" t="str">
        <f>CONCATENATE($I3643,"1")</f>
        <v>L1</v>
      </c>
      <c r="B3650" s="255" t="str">
        <f>IF(VLOOKUP($A3650,Players!$A$2:$C$132,3)&lt;&gt;0,VLOOKUP($A3650,Players!$A$2:$C$132,3),"")</f>
        <v/>
      </c>
      <c r="C3650" s="255"/>
      <c r="D3650" s="255"/>
      <c r="E3650" s="255"/>
      <c r="F3650" s="255"/>
      <c r="G3650" s="254" t="str">
        <f>IF(VLOOKUP($D3643&amp;RIGHT($A3650,1),Players!$A$2:$D$132,3)&lt;&gt;0,VLOOKUP($D3643&amp;RIGHT($A3650,1),Players!$A$2:$D$132,3),"")</f>
        <v/>
      </c>
      <c r="H3650" s="254"/>
      <c r="I3650" s="254"/>
      <c r="J3650" s="210" t="str">
        <f>IF(VLOOKUP($D3643&amp;RIGHT($A3650,1),Players!$A$2:$D$132,3)&lt;&gt;0,"("&amp;VLOOKUP($D3643&amp;RIGHT($A3650,1),Players!$A$2:$D$132,4)&amp;")","")</f>
        <v/>
      </c>
    </row>
    <row r="3651" spans="1:10" ht="25.5" customHeight="1">
      <c r="A3651" s="50" t="str">
        <f>CONCATENATE($I3643,"2")</f>
        <v>L2</v>
      </c>
      <c r="B3651" s="255" t="str">
        <f>IF(VLOOKUP($A3651,Players!$A$2:$C$132,3)&lt;&gt;0,VLOOKUP($A3651,Players!$A$2:$C$132,3),"")</f>
        <v/>
      </c>
      <c r="C3651" s="255"/>
      <c r="D3651" s="255"/>
      <c r="E3651" s="255"/>
      <c r="F3651" s="255"/>
      <c r="G3651" s="254" t="str">
        <f>IF(VLOOKUP($D3643&amp;RIGHT($A3651,1),Players!$A$2:$D$132,3)&lt;&gt;0,VLOOKUP($D3643&amp;RIGHT($A3651,1),Players!$A$2:$D$132,3),"")</f>
        <v/>
      </c>
      <c r="H3651" s="254"/>
      <c r="I3651" s="254"/>
      <c r="J3651" s="210" t="str">
        <f>IF(VLOOKUP($D3643&amp;RIGHT($A3651,1),Players!$A$2:$D$132,3)&lt;&gt;0,"("&amp;VLOOKUP($D3643&amp;RIGHT($A3651,1),Players!$A$2:$D$132,4)&amp;")","")</f>
        <v/>
      </c>
    </row>
    <row r="3652" spans="1:10" ht="25.5" customHeight="1">
      <c r="A3652" s="50" t="str">
        <f>CONCATENATE($I3643,"3")</f>
        <v>L3</v>
      </c>
      <c r="B3652" s="255" t="str">
        <f>IF(VLOOKUP($A3652,Players!$A$2:$C$132,3)&lt;&gt;0,VLOOKUP($A3652,Players!$A$2:$C$132,3),"")</f>
        <v/>
      </c>
      <c r="C3652" s="255"/>
      <c r="D3652" s="255"/>
      <c r="E3652" s="255"/>
      <c r="F3652" s="255"/>
      <c r="G3652" s="254" t="str">
        <f>IF(VLOOKUP($D3643&amp;RIGHT($A3652,1),Players!$A$2:$D$132,3)&lt;&gt;0,VLOOKUP($D3643&amp;RIGHT($A3652,1),Players!$A$2:$D$132,3),"")</f>
        <v/>
      </c>
      <c r="H3652" s="254"/>
      <c r="I3652" s="254"/>
      <c r="J3652" s="210" t="str">
        <f>IF(VLOOKUP($D3643&amp;RIGHT($A3652,1),Players!$A$2:$D$132,3)&lt;&gt;0,"("&amp;VLOOKUP($D3643&amp;RIGHT($A3652,1),Players!$A$2:$D$132,4)&amp;")","")</f>
        <v/>
      </c>
    </row>
    <row r="3653" spans="1:10" ht="25.5" customHeight="1">
      <c r="A3653" s="50" t="str">
        <f>CONCATENATE($I3643,"4")</f>
        <v>L4</v>
      </c>
      <c r="B3653" s="255" t="str">
        <f>IF(VLOOKUP($A3653,Players!$A$2:$C$132,3)&lt;&gt;0,VLOOKUP($A3653,Players!$A$2:$C$132,3),"")</f>
        <v/>
      </c>
      <c r="C3653" s="255"/>
      <c r="D3653" s="255"/>
      <c r="E3653" s="255"/>
      <c r="F3653" s="255"/>
      <c r="G3653" s="254" t="str">
        <f>IF(VLOOKUP($D3643&amp;RIGHT($A3653,1),Players!$A$2:$D$132,3)&lt;&gt;0,VLOOKUP($D3643&amp;RIGHT($A3653,1),Players!$A$2:$D$132,3),"")</f>
        <v/>
      </c>
      <c r="H3653" s="254"/>
      <c r="I3653" s="254"/>
      <c r="J3653" s="210" t="str">
        <f>IF(VLOOKUP($D3643&amp;RIGHT($A3653,1),Players!$A$2:$D$132,3)&lt;&gt;0,"("&amp;VLOOKUP($D3643&amp;RIGHT($A3653,1),Players!$A$2:$D$132,4)&amp;")","")</f>
        <v/>
      </c>
    </row>
    <row r="3654" spans="1:10" ht="25.5" customHeight="1">
      <c r="A3654" s="50" t="str">
        <f>CONCATENATE($I3643,"5")</f>
        <v>L5</v>
      </c>
      <c r="B3654" s="255" t="str">
        <f>IF(VLOOKUP($A3654,Players!$A$2:$C$132,3)&lt;&gt;0,VLOOKUP($A3654,Players!$A$2:$C$132,3),"")</f>
        <v/>
      </c>
      <c r="C3654" s="255"/>
      <c r="D3654" s="255"/>
      <c r="E3654" s="255"/>
      <c r="F3654" s="255"/>
      <c r="G3654" s="254" t="str">
        <f>IF(VLOOKUP($D3643&amp;RIGHT($A3654,1),Players!$A$2:$D$132,3)&lt;&gt;0,VLOOKUP($D3643&amp;RIGHT($A3654,1),Players!$A$2:$D$132,3),"")</f>
        <v/>
      </c>
      <c r="H3654" s="254"/>
      <c r="I3654" s="254"/>
      <c r="J3654" s="210" t="str">
        <f>IF(VLOOKUP($D3643&amp;RIGHT($A3654,1),Players!$A$2:$D$132,3)&lt;&gt;0,"("&amp;VLOOKUP($D3643&amp;RIGHT($A3654,1),Players!$A$2:$D$132,4)&amp;")","")</f>
        <v/>
      </c>
    </row>
    <row r="3655" spans="1:10" ht="25.5" customHeight="1">
      <c r="A3655" s="50" t="str">
        <f>CONCATENATE($I3643,"6")</f>
        <v>L6</v>
      </c>
      <c r="B3655" s="255" t="str">
        <f>IF(VLOOKUP($A3655,Players!$A$2:$C$132,3)&lt;&gt;0,VLOOKUP($A3655,Players!$A$2:$C$132,3),"")</f>
        <v/>
      </c>
      <c r="C3655" s="255"/>
      <c r="D3655" s="255"/>
      <c r="E3655" s="255"/>
      <c r="F3655" s="255"/>
      <c r="G3655" s="254" t="str">
        <f>IF(VLOOKUP($D3643&amp;RIGHT($A3655,1),Players!$A$2:$D$132,3)&lt;&gt;0,VLOOKUP($D3643&amp;RIGHT($A3655,1),Players!$A$2:$D$132,3),"")</f>
        <v/>
      </c>
      <c r="H3655" s="254"/>
      <c r="I3655" s="254"/>
      <c r="J3655" s="210" t="str">
        <f>IF(VLOOKUP($D3643&amp;RIGHT($A3655,1),Players!$A$2:$D$132,3)&lt;&gt;0,"("&amp;VLOOKUP($D3643&amp;RIGHT($A3655,1),Players!$A$2:$D$132,4)&amp;")","")</f>
        <v/>
      </c>
    </row>
    <row r="3656" spans="1:10" ht="25.5" customHeight="1">
      <c r="A3656" s="50" t="str">
        <f>CONCATENATE($I3643,"7")</f>
        <v>L7</v>
      </c>
      <c r="B3656" s="255" t="str">
        <f>IF(VLOOKUP($A3656,Players!$A$2:$C$132,3)&lt;&gt;0,VLOOKUP($A3656,Players!$A$2:$C$132,3),"")</f>
        <v/>
      </c>
      <c r="C3656" s="255"/>
      <c r="D3656" s="255"/>
      <c r="E3656" s="255"/>
      <c r="F3656" s="255"/>
      <c r="G3656" s="254" t="str">
        <f>IF(VLOOKUP($D3643&amp;RIGHT($A3656,1),Players!$A$2:$D$132,3)&lt;&gt;0,VLOOKUP($D3643&amp;RIGHT($A3656,1),Players!$A$2:$D$132,3),"")</f>
        <v/>
      </c>
      <c r="H3656" s="254"/>
      <c r="I3656" s="254"/>
      <c r="J3656" s="210" t="str">
        <f>IF(VLOOKUP($D3643&amp;RIGHT($A3656,1),Players!$A$2:$D$132,3)&lt;&gt;0,"("&amp;VLOOKUP($D3643&amp;RIGHT($A3656,1),Players!$A$2:$D$132,4)&amp;")","")</f>
        <v/>
      </c>
    </row>
    <row r="3657" spans="1:10" ht="25.5" customHeight="1">
      <c r="A3657" s="50" t="str">
        <f>CONCATENATE($I3643,"8")</f>
        <v>L8</v>
      </c>
      <c r="B3657" s="255" t="str">
        <f>IF(VLOOKUP($A3657,Players!$A$2:$C$132,3)&lt;&gt;0,VLOOKUP($A3657,Players!$A$2:$C$132,3),"")</f>
        <v/>
      </c>
      <c r="C3657" s="255"/>
      <c r="D3657" s="255"/>
      <c r="E3657" s="255"/>
      <c r="F3657" s="255"/>
      <c r="G3657" s="254" t="str">
        <f>IF(VLOOKUP($D3643&amp;RIGHT($A3657,1),Players!$A$2:$D$132,3)&lt;&gt;0,VLOOKUP($D3643&amp;RIGHT($A3657,1),Players!$A$2:$D$132,3),"")</f>
        <v/>
      </c>
      <c r="H3657" s="254"/>
      <c r="I3657" s="254"/>
      <c r="J3657" s="210" t="str">
        <f>IF(VLOOKUP($D3643&amp;RIGHT($A3657,1),Players!$A$2:$D$132,3)&lt;&gt;0,"("&amp;VLOOKUP($D3643&amp;RIGHT($A3657,1),Players!$A$2:$D$132,4)&amp;")","")</f>
        <v/>
      </c>
    </row>
    <row r="3658" spans="1:10" ht="25.5" customHeight="1">
      <c r="A3658" s="50"/>
      <c r="B3658" s="26"/>
      <c r="C3658" s="26"/>
      <c r="D3658" s="26"/>
      <c r="E3658" s="26"/>
      <c r="F3658" s="27"/>
      <c r="G3658" s="43"/>
      <c r="H3658" s="43"/>
      <c r="I3658" s="43"/>
      <c r="J3658" s="43"/>
    </row>
    <row r="3659" spans="1:10">
      <c r="A3659" s="49" t="s">
        <v>1225</v>
      </c>
      <c r="B3659" s="46"/>
      <c r="C3659" s="46"/>
      <c r="D3659" s="46"/>
      <c r="E3659" s="46"/>
      <c r="F3659" s="46"/>
      <c r="G3659" s="43"/>
      <c r="H3659" s="43"/>
      <c r="I3659" s="43"/>
      <c r="J3659" s="43"/>
    </row>
    <row r="3660" spans="1:10">
      <c r="A3660" s="46" t="s">
        <v>1247</v>
      </c>
      <c r="B3660" s="46"/>
      <c r="C3660" s="46"/>
      <c r="D3660" s="46"/>
      <c r="E3660" s="46"/>
      <c r="F3660" s="46"/>
      <c r="G3660" s="43"/>
      <c r="H3660" s="43"/>
      <c r="I3660" s="43"/>
      <c r="J3660" s="43"/>
    </row>
    <row r="3661" spans="1:10">
      <c r="A3661" s="46" t="s">
        <v>1248</v>
      </c>
      <c r="B3661" s="46"/>
      <c r="C3661" s="46"/>
      <c r="D3661" s="46"/>
      <c r="E3661" s="46"/>
      <c r="F3661" s="46"/>
      <c r="G3661" s="43"/>
      <c r="H3661" s="43"/>
      <c r="I3661" s="43"/>
      <c r="J3661" s="43"/>
    </row>
    <row r="3662" spans="1:10" ht="13.5" thickBot="1">
      <c r="A3662" s="46"/>
      <c r="B3662" s="46"/>
      <c r="C3662" s="46"/>
      <c r="D3662" s="46"/>
      <c r="E3662" s="46"/>
      <c r="F3662" s="46"/>
      <c r="G3662" s="43"/>
      <c r="H3662" s="43"/>
      <c r="I3662" s="43"/>
      <c r="J3662" s="43"/>
    </row>
    <row r="3663" spans="1:10" ht="25.5" customHeight="1" thickBot="1">
      <c r="A3663" s="50"/>
      <c r="B3663" s="257"/>
      <c r="C3663" s="258"/>
      <c r="D3663" s="258"/>
      <c r="E3663" s="258"/>
      <c r="F3663" s="259"/>
      <c r="G3663" s="43"/>
      <c r="H3663" s="43"/>
      <c r="I3663" s="43"/>
      <c r="J3663" s="43"/>
    </row>
    <row r="3664" spans="1:10">
      <c r="A3664" s="43"/>
      <c r="B3664" s="43"/>
      <c r="C3664" s="43"/>
      <c r="D3664" s="43"/>
      <c r="E3664" s="43"/>
      <c r="F3664" s="43"/>
      <c r="G3664" s="43"/>
      <c r="H3664" s="43"/>
      <c r="I3664" s="43"/>
      <c r="J3664" s="43"/>
    </row>
    <row r="3665" spans="1:10">
      <c r="A3665" s="43"/>
      <c r="B3665" s="43"/>
      <c r="C3665" s="43"/>
      <c r="D3665" s="43"/>
      <c r="E3665" s="43"/>
      <c r="F3665" s="43"/>
      <c r="G3665" s="43"/>
      <c r="H3665" s="43"/>
      <c r="I3665" s="43"/>
      <c r="J3665" s="43"/>
    </row>
    <row r="3666" spans="1:10">
      <c r="A3666" s="43"/>
      <c r="B3666" s="43"/>
      <c r="C3666" s="43"/>
      <c r="D3666" s="43"/>
      <c r="E3666" s="43"/>
      <c r="F3666" s="43"/>
      <c r="G3666" s="43"/>
      <c r="H3666" s="43"/>
      <c r="I3666" s="43"/>
      <c r="J3666" s="43"/>
    </row>
    <row r="3667" spans="1:10">
      <c r="A3667" s="43"/>
      <c r="B3667" s="43"/>
      <c r="C3667" s="43"/>
      <c r="D3667" s="43"/>
      <c r="E3667" s="43"/>
      <c r="F3667" s="43"/>
      <c r="G3667" s="43"/>
      <c r="H3667" s="43"/>
      <c r="I3667" s="43"/>
      <c r="J3667" s="43"/>
    </row>
    <row r="3668" spans="1:10">
      <c r="A3668" s="43"/>
      <c r="B3668" s="43"/>
      <c r="C3668" s="43"/>
      <c r="D3668" s="43"/>
      <c r="E3668" s="43"/>
      <c r="F3668" s="43"/>
      <c r="G3668" s="43"/>
      <c r="H3668" s="43"/>
      <c r="I3668" s="43"/>
      <c r="J3668" s="43"/>
    </row>
    <row r="3669" spans="1:10" ht="25.5" customHeight="1">
      <c r="A3669" s="47"/>
      <c r="B3669" s="47"/>
      <c r="C3669" s="47"/>
      <c r="D3669" s="47"/>
      <c r="E3669" s="47"/>
      <c r="F3669" s="43"/>
      <c r="G3669" s="51"/>
      <c r="H3669" s="250" t="s">
        <v>1227</v>
      </c>
      <c r="I3669" s="251"/>
      <c r="J3669" s="43"/>
    </row>
    <row r="3670" spans="1:10">
      <c r="A3670" s="43" t="s">
        <v>1226</v>
      </c>
      <c r="B3670" s="43"/>
      <c r="C3670" s="43"/>
      <c r="D3670" s="43"/>
      <c r="E3670" s="43"/>
      <c r="F3670" s="43"/>
      <c r="G3670" s="43"/>
      <c r="H3670" s="43"/>
      <c r="I3670" s="43"/>
      <c r="J3670" s="43"/>
    </row>
    <row r="3671" spans="1:10">
      <c r="A3671" s="43"/>
      <c r="B3671" s="43"/>
      <c r="C3671" s="43"/>
      <c r="D3671" s="43"/>
      <c r="E3671" s="43"/>
      <c r="F3671" s="43"/>
      <c r="G3671" s="43"/>
      <c r="H3671" s="43"/>
      <c r="I3671" s="43"/>
      <c r="J3671" s="43"/>
    </row>
    <row r="3672" spans="1:10">
      <c r="A3672" s="43"/>
      <c r="B3672" s="43"/>
      <c r="C3672" s="43"/>
      <c r="D3672" s="43"/>
      <c r="E3672" s="256" t="str">
        <f>CONCATENATE("(",$D3643," vs ",$I3643,")")</f>
        <v>(E vs L)</v>
      </c>
      <c r="F3672" s="256"/>
      <c r="G3672" s="43"/>
      <c r="H3672" s="43"/>
      <c r="I3672" s="43"/>
      <c r="J3672" s="43"/>
    </row>
    <row r="3673" spans="1:10" ht="15.75">
      <c r="A3673" s="42" t="s">
        <v>1223</v>
      </c>
      <c r="B3673" s="43"/>
      <c r="C3673" s="43"/>
      <c r="D3673" s="43"/>
      <c r="E3673" s="43"/>
      <c r="F3673" s="43"/>
      <c r="G3673" s="43"/>
      <c r="H3673" s="43"/>
      <c r="I3673" s="43"/>
      <c r="J3673" s="96" t="s">
        <v>4327</v>
      </c>
    </row>
    <row r="3674" spans="1:10" ht="12.75" customHeight="1">
      <c r="A3674" s="42"/>
      <c r="B3674" s="43"/>
      <c r="C3674" s="43"/>
      <c r="D3674" s="43"/>
      <c r="E3674" s="43"/>
      <c r="F3674" s="43"/>
      <c r="G3674" s="43" t="str">
        <f ca="1">Team_Matches!$J$6</f>
        <v>[NCTTA Teams Template (v2.06).xlsx]</v>
      </c>
      <c r="H3674" s="43"/>
      <c r="I3674" s="43"/>
      <c r="J3674" s="160"/>
    </row>
    <row r="3675" spans="1:10" ht="12.75" customHeight="1">
      <c r="A3675" s="42"/>
      <c r="B3675" s="43"/>
      <c r="C3675" s="43"/>
      <c r="D3675" s="43"/>
      <c r="E3675" s="43"/>
      <c r="F3675" s="43"/>
      <c r="G3675" s="247" t="str">
        <f>Team_Matches!$J2761</f>
        <v/>
      </c>
      <c r="H3675" s="247"/>
      <c r="I3675" s="161" t="str">
        <f>Team_Matches!$M2761</f>
        <v/>
      </c>
      <c r="J3675" s="161"/>
    </row>
    <row r="3676" spans="1:10" ht="15.75">
      <c r="A3676" s="42"/>
      <c r="B3676" s="43"/>
      <c r="C3676" s="43"/>
      <c r="D3676" s="43"/>
      <c r="E3676" s="43"/>
      <c r="F3676" s="43"/>
      <c r="G3676" s="43"/>
      <c r="H3676" s="43"/>
      <c r="I3676" s="43"/>
      <c r="J3676" s="43"/>
    </row>
    <row r="3677" spans="1:10">
      <c r="A3677" s="43"/>
      <c r="B3677" s="43"/>
      <c r="C3677" s="9" t="s">
        <v>1228</v>
      </c>
      <c r="D3677" s="52" t="str">
        <f>Team_Matches!$B2763</f>
        <v>F</v>
      </c>
      <c r="E3677" s="43"/>
      <c r="F3677" s="97" t="str">
        <f>CONCATENATE($D3677,"-",$I3677)</f>
        <v>F-I</v>
      </c>
      <c r="G3677" s="43"/>
      <c r="H3677" s="9" t="s">
        <v>1228</v>
      </c>
      <c r="I3677" s="3" t="str">
        <f>Team_Matches!$K2763</f>
        <v>I</v>
      </c>
      <c r="J3677" s="43"/>
    </row>
    <row r="3678" spans="1:10" ht="25.5" customHeight="1">
      <c r="A3678" s="44"/>
      <c r="B3678" s="248" t="str">
        <f>IF(VLOOKUP($D3677,Draw!$A$4:$B$27,2)&lt;&gt;0,VLOOKUP($D3677,Draw!$A$4:$B$27,2),"")</f>
        <v/>
      </c>
      <c r="C3678" s="248"/>
      <c r="D3678" s="248"/>
      <c r="E3678" s="249"/>
      <c r="F3678" s="45"/>
      <c r="G3678" s="252" t="str">
        <f>IF(VLOOKUP($I3677,Draw!$A$4:$B$27,2)&lt;&gt;0,VLOOKUP($I3677,Draw!$A$4:$B$27,2),"")</f>
        <v/>
      </c>
      <c r="H3678" s="252"/>
      <c r="I3678" s="252"/>
      <c r="J3678" s="253"/>
    </row>
    <row r="3679" spans="1:10" ht="25.5" customHeight="1"/>
    <row r="3680" spans="1:10" ht="25.5" customHeight="1"/>
    <row r="3681" spans="1:10" ht="24" customHeight="1">
      <c r="A3681" s="48" t="s">
        <v>1246</v>
      </c>
      <c r="B3681" s="43"/>
      <c r="C3681" s="43"/>
      <c r="D3681" s="43"/>
      <c r="E3681" s="43"/>
      <c r="F3681" s="43"/>
      <c r="G3681" s="43"/>
      <c r="H3681" s="43"/>
      <c r="I3681" s="43"/>
      <c r="J3681" s="43"/>
    </row>
    <row r="3682" spans="1:10" ht="24" customHeight="1">
      <c r="A3682" s="48"/>
      <c r="B3682" s="43"/>
      <c r="C3682" s="43"/>
      <c r="D3682" s="43"/>
      <c r="E3682" s="43"/>
      <c r="F3682" s="43"/>
      <c r="G3682" s="43"/>
      <c r="H3682" s="43"/>
      <c r="I3682" s="43"/>
      <c r="J3682" s="43"/>
    </row>
    <row r="3683" spans="1:10">
      <c r="A3683" s="49" t="s">
        <v>1224</v>
      </c>
      <c r="B3683" s="46"/>
      <c r="C3683" s="46"/>
      <c r="D3683" s="46"/>
      <c r="E3683" s="46"/>
      <c r="F3683" s="46"/>
      <c r="G3683" s="260" t="s">
        <v>10336</v>
      </c>
      <c r="H3683" s="260"/>
      <c r="I3683" s="260"/>
      <c r="J3683" s="260"/>
    </row>
    <row r="3684" spans="1:10" ht="24" customHeight="1">
      <c r="A3684" s="50" t="str">
        <f>CONCATENATE($D3677,"1")</f>
        <v>F1</v>
      </c>
      <c r="B3684" s="255" t="str">
        <f>IF(VLOOKUP($A3684,Players!$A$2:$C$132,3)&lt;&gt;0,VLOOKUP($A3684,Players!$A$2:$C$132,3),"")</f>
        <v/>
      </c>
      <c r="C3684" s="255"/>
      <c r="D3684" s="255"/>
      <c r="E3684" s="255"/>
      <c r="F3684" s="255"/>
      <c r="G3684" s="254" t="str">
        <f>IF(VLOOKUP($I3677&amp;RIGHT($A3684,1),Players!$A$2:$D$132,3)&lt;&gt;0,VLOOKUP($I3677&amp;RIGHT($A3684,1),Players!$A$2:$D$132,3),"")</f>
        <v/>
      </c>
      <c r="H3684" s="254"/>
      <c r="I3684" s="254"/>
      <c r="J3684" s="210" t="str">
        <f>IF(VLOOKUP($I3677&amp;RIGHT($A3684,1),Players!$A$2:$D$132,3)&lt;&gt;0,"("&amp;VLOOKUP($I3677&amp;RIGHT($A3684,1),Players!$A$2:$D$132,4)&amp;")","")</f>
        <v/>
      </c>
    </row>
    <row r="3685" spans="1:10" ht="25.5" customHeight="1">
      <c r="A3685" s="50" t="str">
        <f>CONCATENATE($D3677,"2")</f>
        <v>F2</v>
      </c>
      <c r="B3685" s="255" t="str">
        <f>IF(VLOOKUP($A3685,Players!$A$2:$C$132,3)&lt;&gt;0,VLOOKUP($A3685,Players!$A$2:$C$132,3),"")</f>
        <v/>
      </c>
      <c r="C3685" s="255"/>
      <c r="D3685" s="255"/>
      <c r="E3685" s="255"/>
      <c r="F3685" s="255"/>
      <c r="G3685" s="254" t="str">
        <f>IF(VLOOKUP($I3677&amp;RIGHT($A3685,1),Players!$A$2:$D$132,3)&lt;&gt;0,VLOOKUP($I3677&amp;RIGHT($A3685,1),Players!$A$2:$D$132,3),"")</f>
        <v/>
      </c>
      <c r="H3685" s="254"/>
      <c r="I3685" s="254"/>
      <c r="J3685" s="210" t="str">
        <f>IF(VLOOKUP($I3677&amp;RIGHT($A3685,1),Players!$A$2:$D$132,3)&lt;&gt;0,"("&amp;VLOOKUP($I3677&amp;RIGHT($A3685,1),Players!$A$2:$D$132,4)&amp;")","")</f>
        <v/>
      </c>
    </row>
    <row r="3686" spans="1:10" ht="25.5" customHeight="1">
      <c r="A3686" s="50" t="str">
        <f>CONCATENATE($D3677,"3")</f>
        <v>F3</v>
      </c>
      <c r="B3686" s="255" t="str">
        <f>IF(VLOOKUP($A3686,Players!$A$2:$C$132,3)&lt;&gt;0,VLOOKUP($A3686,Players!$A$2:$C$132,3),"")</f>
        <v/>
      </c>
      <c r="C3686" s="255"/>
      <c r="D3686" s="255"/>
      <c r="E3686" s="255"/>
      <c r="F3686" s="255"/>
      <c r="G3686" s="254" t="str">
        <f>IF(VLOOKUP($I3677&amp;RIGHT($A3686,1),Players!$A$2:$D$132,3)&lt;&gt;0,VLOOKUP($I3677&amp;RIGHT($A3686,1),Players!$A$2:$D$132,3),"")</f>
        <v/>
      </c>
      <c r="H3686" s="254"/>
      <c r="I3686" s="254"/>
      <c r="J3686" s="210" t="str">
        <f>IF(VLOOKUP($I3677&amp;RIGHT($A3686,1),Players!$A$2:$D$132,3)&lt;&gt;0,"("&amp;VLOOKUP($I3677&amp;RIGHT($A3686,1),Players!$A$2:$D$132,4)&amp;")","")</f>
        <v/>
      </c>
    </row>
    <row r="3687" spans="1:10" ht="25.5" customHeight="1">
      <c r="A3687" s="50" t="str">
        <f>CONCATENATE($D3677,"4")</f>
        <v>F4</v>
      </c>
      <c r="B3687" s="255" t="str">
        <f>IF(VLOOKUP($A3687,Players!$A$2:$C$132,3)&lt;&gt;0,VLOOKUP($A3687,Players!$A$2:$C$132,3),"")</f>
        <v/>
      </c>
      <c r="C3687" s="255"/>
      <c r="D3687" s="255"/>
      <c r="E3687" s="255"/>
      <c r="F3687" s="255"/>
      <c r="G3687" s="254" t="str">
        <f>IF(VLOOKUP($I3677&amp;RIGHT($A3687,1),Players!$A$2:$D$132,3)&lt;&gt;0,VLOOKUP($I3677&amp;RIGHT($A3687,1),Players!$A$2:$D$132,3),"")</f>
        <v/>
      </c>
      <c r="H3687" s="254"/>
      <c r="I3687" s="254"/>
      <c r="J3687" s="210" t="str">
        <f>IF(VLOOKUP($I3677&amp;RIGHT($A3687,1),Players!$A$2:$D$132,3)&lt;&gt;0,"("&amp;VLOOKUP($I3677&amp;RIGHT($A3687,1),Players!$A$2:$D$132,4)&amp;")","")</f>
        <v/>
      </c>
    </row>
    <row r="3688" spans="1:10" ht="25.5" customHeight="1">
      <c r="A3688" s="50" t="str">
        <f>CONCATENATE($D3677,"5")</f>
        <v>F5</v>
      </c>
      <c r="B3688" s="255" t="str">
        <f>IF(VLOOKUP($A3688,Players!$A$2:$C$132,3)&lt;&gt;0,VLOOKUP($A3688,Players!$A$2:$C$132,3),"")</f>
        <v/>
      </c>
      <c r="C3688" s="255"/>
      <c r="D3688" s="255"/>
      <c r="E3688" s="255"/>
      <c r="F3688" s="255"/>
      <c r="G3688" s="254" t="str">
        <f>IF(VLOOKUP($I3677&amp;RIGHT($A3688,1),Players!$A$2:$D$132,3)&lt;&gt;0,VLOOKUP($I3677&amp;RIGHT($A3688,1),Players!$A$2:$D$132,3),"")</f>
        <v/>
      </c>
      <c r="H3688" s="254"/>
      <c r="I3688" s="254"/>
      <c r="J3688" s="210" t="str">
        <f>IF(VLOOKUP($I3677&amp;RIGHT($A3688,1),Players!$A$2:$D$132,3)&lt;&gt;0,"("&amp;VLOOKUP($I3677&amp;RIGHT($A3688,1),Players!$A$2:$D$132,4)&amp;")","")</f>
        <v/>
      </c>
    </row>
    <row r="3689" spans="1:10" ht="25.5" customHeight="1">
      <c r="A3689" s="50" t="str">
        <f>CONCATENATE($D3677,"6")</f>
        <v>F6</v>
      </c>
      <c r="B3689" s="255" t="str">
        <f>IF(VLOOKUP($A3689,Players!$A$2:$C$132,3)&lt;&gt;0,VLOOKUP($A3689,Players!$A$2:$C$132,3),"")</f>
        <v/>
      </c>
      <c r="C3689" s="255"/>
      <c r="D3689" s="255"/>
      <c r="E3689" s="255"/>
      <c r="F3689" s="255"/>
      <c r="G3689" s="254" t="str">
        <f>IF(VLOOKUP($I3677&amp;RIGHT($A3689,1),Players!$A$2:$D$132,3)&lt;&gt;0,VLOOKUP($I3677&amp;RIGHT($A3689,1),Players!$A$2:$D$132,3),"")</f>
        <v/>
      </c>
      <c r="H3689" s="254"/>
      <c r="I3689" s="254"/>
      <c r="J3689" s="210" t="str">
        <f>IF(VLOOKUP($I3677&amp;RIGHT($A3689,1),Players!$A$2:$D$132,3)&lt;&gt;0,"("&amp;VLOOKUP($I3677&amp;RIGHT($A3689,1),Players!$A$2:$D$132,4)&amp;")","")</f>
        <v/>
      </c>
    </row>
    <row r="3690" spans="1:10" ht="25.5" customHeight="1">
      <c r="A3690" s="50" t="str">
        <f>CONCATENATE($D3677,"7")</f>
        <v>F7</v>
      </c>
      <c r="B3690" s="255" t="str">
        <f>IF(VLOOKUP($A3690,Players!$A$2:$C$132,3)&lt;&gt;0,VLOOKUP($A3690,Players!$A$2:$C$132,3),"")</f>
        <v/>
      </c>
      <c r="C3690" s="255"/>
      <c r="D3690" s="255"/>
      <c r="E3690" s="255"/>
      <c r="F3690" s="255"/>
      <c r="G3690" s="254" t="str">
        <f>IF(VLOOKUP($I3677&amp;RIGHT($A3690,1),Players!$A$2:$D$132,3)&lt;&gt;0,VLOOKUP($I3677&amp;RIGHT($A3690,1),Players!$A$2:$D$132,3),"")</f>
        <v/>
      </c>
      <c r="H3690" s="254"/>
      <c r="I3690" s="254"/>
      <c r="J3690" s="210" t="str">
        <f>IF(VLOOKUP($I3677&amp;RIGHT($A3690,1),Players!$A$2:$D$132,3)&lt;&gt;0,"("&amp;VLOOKUP($I3677&amp;RIGHT($A3690,1),Players!$A$2:$D$132,4)&amp;")","")</f>
        <v/>
      </c>
    </row>
    <row r="3691" spans="1:10" ht="25.5" customHeight="1">
      <c r="A3691" s="50" t="str">
        <f>CONCATENATE($D3677,"8")</f>
        <v>F8</v>
      </c>
      <c r="B3691" s="255" t="str">
        <f>IF(VLOOKUP($A3691,Players!$A$2:$C$132,3)&lt;&gt;0,VLOOKUP($A3691,Players!$A$2:$C$132,3),"")</f>
        <v/>
      </c>
      <c r="C3691" s="255"/>
      <c r="D3691" s="255"/>
      <c r="E3691" s="255"/>
      <c r="F3691" s="255"/>
      <c r="G3691" s="254" t="str">
        <f>IF(VLOOKUP($I3677&amp;RIGHT($A3691,1),Players!$A$2:$D$132,3)&lt;&gt;0,VLOOKUP($I3677&amp;RIGHT($A3691,1),Players!$A$2:$D$132,3),"")</f>
        <v/>
      </c>
      <c r="H3691" s="254"/>
      <c r="I3691" s="254"/>
      <c r="J3691" s="210" t="str">
        <f>IF(VLOOKUP($I3677&amp;RIGHT($A3691,1),Players!$A$2:$D$132,3)&lt;&gt;0,"("&amp;VLOOKUP($I3677&amp;RIGHT($A3691,1),Players!$A$2:$D$132,4)&amp;")","")</f>
        <v/>
      </c>
    </row>
    <row r="3692" spans="1:10" ht="25.5" customHeight="1">
      <c r="A3692" s="50"/>
      <c r="B3692" s="26"/>
      <c r="C3692" s="26"/>
      <c r="D3692" s="26"/>
      <c r="E3692" s="26"/>
      <c r="F3692" s="27"/>
      <c r="G3692" s="43"/>
      <c r="H3692" s="43"/>
      <c r="I3692" s="43"/>
      <c r="J3692" s="43"/>
    </row>
    <row r="3693" spans="1:10">
      <c r="A3693" s="49" t="s">
        <v>1225</v>
      </c>
      <c r="B3693" s="46"/>
      <c r="C3693" s="46"/>
      <c r="D3693" s="46"/>
      <c r="E3693" s="46"/>
      <c r="F3693" s="46"/>
      <c r="G3693" s="43"/>
      <c r="H3693" s="43"/>
      <c r="I3693" s="43"/>
      <c r="J3693" s="43"/>
    </row>
    <row r="3694" spans="1:10">
      <c r="A3694" s="46" t="s">
        <v>1247</v>
      </c>
      <c r="B3694" s="46"/>
      <c r="C3694" s="46"/>
      <c r="D3694" s="46"/>
      <c r="E3694" s="46"/>
      <c r="F3694" s="46"/>
      <c r="G3694" s="43"/>
      <c r="H3694" s="43"/>
      <c r="I3694" s="43"/>
      <c r="J3694" s="43"/>
    </row>
    <row r="3695" spans="1:10">
      <c r="A3695" s="46" t="s">
        <v>1248</v>
      </c>
      <c r="B3695" s="46"/>
      <c r="C3695" s="46"/>
      <c r="D3695" s="46"/>
      <c r="E3695" s="46"/>
      <c r="F3695" s="46"/>
      <c r="G3695" s="43"/>
      <c r="H3695" s="43"/>
      <c r="I3695" s="43"/>
      <c r="J3695" s="43"/>
    </row>
    <row r="3696" spans="1:10" ht="13.5" thickBot="1">
      <c r="A3696" s="46"/>
      <c r="B3696" s="46"/>
      <c r="C3696" s="46"/>
      <c r="D3696" s="46"/>
      <c r="E3696" s="46"/>
      <c r="F3696" s="46"/>
      <c r="G3696" s="43"/>
      <c r="H3696" s="43"/>
      <c r="I3696" s="43"/>
      <c r="J3696" s="43"/>
    </row>
    <row r="3697" spans="1:10" ht="25.5" customHeight="1" thickBot="1">
      <c r="A3697" s="50"/>
      <c r="B3697" s="257"/>
      <c r="C3697" s="258"/>
      <c r="D3697" s="258"/>
      <c r="E3697" s="258"/>
      <c r="F3697" s="259"/>
      <c r="G3697" s="43"/>
      <c r="H3697" s="43"/>
      <c r="I3697" s="43"/>
      <c r="J3697" s="43"/>
    </row>
    <row r="3698" spans="1:10">
      <c r="A3698" s="43"/>
      <c r="B3698" s="43"/>
      <c r="C3698" s="43"/>
      <c r="D3698" s="43"/>
      <c r="E3698" s="43"/>
      <c r="F3698" s="43"/>
      <c r="G3698" s="43"/>
      <c r="H3698" s="43"/>
      <c r="I3698" s="43"/>
      <c r="J3698" s="43"/>
    </row>
    <row r="3699" spans="1:10">
      <c r="A3699" s="43"/>
      <c r="B3699" s="43"/>
      <c r="C3699" s="43"/>
      <c r="D3699" s="43"/>
      <c r="E3699" s="43"/>
      <c r="F3699" s="43"/>
      <c r="G3699" s="43"/>
      <c r="H3699" s="43"/>
      <c r="I3699" s="43"/>
      <c r="J3699" s="43"/>
    </row>
    <row r="3700" spans="1:10">
      <c r="A3700" s="43"/>
      <c r="B3700" s="43"/>
      <c r="C3700" s="43"/>
      <c r="D3700" s="43"/>
      <c r="E3700" s="43"/>
      <c r="F3700" s="43"/>
      <c r="G3700" s="43"/>
      <c r="H3700" s="43"/>
      <c r="I3700" s="43"/>
      <c r="J3700" s="43"/>
    </row>
    <row r="3701" spans="1:10">
      <c r="A3701" s="43"/>
      <c r="B3701" s="43"/>
      <c r="C3701" s="43"/>
      <c r="D3701" s="43"/>
      <c r="E3701" s="43"/>
      <c r="F3701" s="43"/>
      <c r="G3701" s="43"/>
      <c r="H3701" s="43"/>
      <c r="I3701" s="43"/>
      <c r="J3701" s="43"/>
    </row>
    <row r="3702" spans="1:10">
      <c r="A3702" s="43"/>
      <c r="B3702" s="43"/>
      <c r="C3702" s="43"/>
      <c r="D3702" s="43"/>
      <c r="E3702" s="43"/>
      <c r="F3702" s="43"/>
      <c r="G3702" s="43"/>
      <c r="H3702" s="43"/>
      <c r="I3702" s="43"/>
      <c r="J3702" s="43"/>
    </row>
    <row r="3703" spans="1:10" ht="25.5" customHeight="1">
      <c r="A3703" s="47"/>
      <c r="B3703" s="47"/>
      <c r="C3703" s="47"/>
      <c r="D3703" s="47"/>
      <c r="E3703" s="47"/>
      <c r="F3703" s="43"/>
      <c r="G3703" s="51"/>
      <c r="H3703" s="250" t="s">
        <v>1227</v>
      </c>
      <c r="I3703" s="251"/>
      <c r="J3703" s="43"/>
    </row>
    <row r="3704" spans="1:10">
      <c r="A3704" s="43" t="s">
        <v>1226</v>
      </c>
      <c r="B3704" s="43"/>
      <c r="C3704" s="43"/>
      <c r="D3704" s="43"/>
      <c r="E3704" s="43"/>
      <c r="F3704" s="43"/>
      <c r="G3704" s="43"/>
      <c r="H3704" s="43"/>
      <c r="I3704" s="43"/>
      <c r="J3704" s="43"/>
    </row>
    <row r="3705" spans="1:10">
      <c r="A3705" s="43"/>
      <c r="B3705" s="43"/>
      <c r="C3705" s="43"/>
      <c r="D3705" s="43"/>
      <c r="E3705" s="43"/>
      <c r="F3705" s="43"/>
      <c r="G3705" s="43"/>
      <c r="H3705" s="43"/>
      <c r="I3705" s="43"/>
      <c r="J3705" s="43"/>
    </row>
    <row r="3706" spans="1:10">
      <c r="A3706" s="43"/>
      <c r="B3706" s="43"/>
      <c r="C3706" s="43"/>
      <c r="D3706" s="43"/>
      <c r="E3706" s="256" t="str">
        <f>CONCATENATE("(",$D3677," vs ",$I3677,")")</f>
        <v>(F vs I)</v>
      </c>
      <c r="F3706" s="256"/>
      <c r="G3706" s="43"/>
      <c r="H3706" s="43"/>
      <c r="I3706" s="43"/>
      <c r="J3706" s="43"/>
    </row>
    <row r="3707" spans="1:10" ht="15.75">
      <c r="A3707" s="42" t="s">
        <v>1223</v>
      </c>
      <c r="B3707" s="43"/>
      <c r="C3707" s="43"/>
      <c r="D3707" s="43"/>
      <c r="E3707" s="43"/>
      <c r="F3707" s="43"/>
      <c r="G3707" s="43"/>
      <c r="H3707" s="43"/>
      <c r="I3707" s="43"/>
      <c r="J3707" s="96" t="s">
        <v>4328</v>
      </c>
    </row>
    <row r="3708" spans="1:10" ht="12.75" customHeight="1">
      <c r="A3708" s="42"/>
      <c r="B3708" s="43"/>
      <c r="C3708" s="43"/>
      <c r="D3708" s="43"/>
      <c r="E3708" s="43"/>
      <c r="F3708" s="43"/>
      <c r="G3708" s="43" t="str">
        <f ca="1">Team_Matches!$J$6</f>
        <v>[NCTTA Teams Template (v2.06).xlsx]</v>
      </c>
      <c r="H3708" s="43"/>
      <c r="I3708" s="43"/>
      <c r="J3708" s="160"/>
    </row>
    <row r="3709" spans="1:10" ht="12.75" customHeight="1">
      <c r="A3709" s="42"/>
      <c r="B3709" s="43"/>
      <c r="C3709" s="43"/>
      <c r="D3709" s="43"/>
      <c r="E3709" s="43"/>
      <c r="F3709" s="43"/>
      <c r="G3709" s="247" t="str">
        <f>Team_Matches!$J2761</f>
        <v/>
      </c>
      <c r="H3709" s="247"/>
      <c r="I3709" s="161" t="str">
        <f>Team_Matches!$M2761</f>
        <v/>
      </c>
      <c r="J3709" s="161"/>
    </row>
    <row r="3710" spans="1:10" ht="15.75">
      <c r="A3710" s="42"/>
      <c r="B3710" s="43"/>
      <c r="C3710" s="43"/>
      <c r="D3710" s="43"/>
      <c r="E3710" s="43"/>
      <c r="F3710" s="43"/>
      <c r="G3710" s="43"/>
      <c r="H3710" s="43"/>
      <c r="I3710" s="43"/>
      <c r="J3710" s="43"/>
    </row>
    <row r="3711" spans="1:10">
      <c r="A3711" s="43"/>
      <c r="B3711" s="43"/>
      <c r="C3711" s="9" t="s">
        <v>1228</v>
      </c>
      <c r="D3711" s="52" t="str">
        <f>Team_Matches!$B2763</f>
        <v>F</v>
      </c>
      <c r="E3711" s="43"/>
      <c r="F3711" s="97" t="str">
        <f>CONCATENATE($D3711,"-",$I3711)</f>
        <v>F-I</v>
      </c>
      <c r="G3711" s="43"/>
      <c r="H3711" s="9" t="s">
        <v>1228</v>
      </c>
      <c r="I3711" s="3" t="str">
        <f>Team_Matches!$K2763</f>
        <v>I</v>
      </c>
      <c r="J3711" s="43"/>
    </row>
    <row r="3712" spans="1:10" ht="25.5" customHeight="1">
      <c r="A3712" s="44"/>
      <c r="B3712" s="252" t="str">
        <f>IF(VLOOKUP($D3711,Draw!$A$4:$B$27,2)&lt;&gt;0,VLOOKUP($D3711,Draw!$A$4:$B$27,2),"")</f>
        <v/>
      </c>
      <c r="C3712" s="252"/>
      <c r="D3712" s="252"/>
      <c r="E3712" s="253"/>
      <c r="F3712" s="45"/>
      <c r="G3712" s="248" t="str">
        <f>IF(VLOOKUP($I3711,Draw!$A$4:$B$27,2)&lt;&gt;0,VLOOKUP($I3711,Draw!$A$4:$B$27,2),"")</f>
        <v/>
      </c>
      <c r="H3712" s="248"/>
      <c r="I3712" s="248"/>
      <c r="J3712" s="249"/>
    </row>
    <row r="3713" spans="1:10" ht="25.5" customHeight="1"/>
    <row r="3714" spans="1:10" ht="25.5" customHeight="1"/>
    <row r="3715" spans="1:10" ht="24" customHeight="1">
      <c r="A3715" s="48" t="s">
        <v>1246</v>
      </c>
      <c r="B3715" s="43"/>
      <c r="C3715" s="43"/>
      <c r="D3715" s="43"/>
      <c r="E3715" s="43"/>
      <c r="F3715" s="43"/>
      <c r="G3715" s="43"/>
      <c r="H3715" s="43"/>
      <c r="I3715" s="43"/>
      <c r="J3715" s="43"/>
    </row>
    <row r="3716" spans="1:10" ht="24" customHeight="1">
      <c r="A3716" s="48"/>
      <c r="B3716" s="43"/>
      <c r="C3716" s="43"/>
      <c r="D3716" s="43"/>
      <c r="E3716" s="43"/>
      <c r="F3716" s="43"/>
      <c r="G3716" s="43"/>
      <c r="H3716" s="43"/>
      <c r="I3716" s="43"/>
      <c r="J3716" s="43"/>
    </row>
    <row r="3717" spans="1:10">
      <c r="A3717" s="49" t="s">
        <v>1224</v>
      </c>
      <c r="B3717" s="46"/>
      <c r="C3717" s="46"/>
      <c r="D3717" s="46"/>
      <c r="E3717" s="46"/>
      <c r="F3717" s="46"/>
      <c r="G3717" s="260" t="s">
        <v>10336</v>
      </c>
      <c r="H3717" s="260"/>
      <c r="I3717" s="260"/>
      <c r="J3717" s="260"/>
    </row>
    <row r="3718" spans="1:10" ht="24" customHeight="1">
      <c r="A3718" s="50" t="str">
        <f>CONCATENATE($I3711,"1")</f>
        <v>I1</v>
      </c>
      <c r="B3718" s="255" t="str">
        <f>IF(VLOOKUP($A3718,Players!$A$2:$C$132,3)&lt;&gt;0,VLOOKUP($A3718,Players!$A$2:$C$132,3),"")</f>
        <v/>
      </c>
      <c r="C3718" s="255"/>
      <c r="D3718" s="255"/>
      <c r="E3718" s="255"/>
      <c r="F3718" s="255"/>
      <c r="G3718" s="254" t="str">
        <f>IF(VLOOKUP($D3711&amp;RIGHT($A3718,1),Players!$A$2:$D$132,3)&lt;&gt;0,VLOOKUP($D3711&amp;RIGHT($A3718,1),Players!$A$2:$D$132,3),"")</f>
        <v/>
      </c>
      <c r="H3718" s="254"/>
      <c r="I3718" s="254"/>
      <c r="J3718" s="210" t="str">
        <f>IF(VLOOKUP($D3711&amp;RIGHT($A3718,1),Players!$A$2:$D$132,3)&lt;&gt;0,"("&amp;VLOOKUP($D3711&amp;RIGHT($A3718,1),Players!$A$2:$D$132,4)&amp;")","")</f>
        <v/>
      </c>
    </row>
    <row r="3719" spans="1:10" ht="25.5" customHeight="1">
      <c r="A3719" s="50" t="str">
        <f>CONCATENATE($I3711,"2")</f>
        <v>I2</v>
      </c>
      <c r="B3719" s="255" t="str">
        <f>IF(VLOOKUP($A3719,Players!$A$2:$C$132,3)&lt;&gt;0,VLOOKUP($A3719,Players!$A$2:$C$132,3),"")</f>
        <v/>
      </c>
      <c r="C3719" s="255"/>
      <c r="D3719" s="255"/>
      <c r="E3719" s="255"/>
      <c r="F3719" s="255"/>
      <c r="G3719" s="254" t="str">
        <f>IF(VLOOKUP($D3711&amp;RIGHT($A3719,1),Players!$A$2:$D$132,3)&lt;&gt;0,VLOOKUP($D3711&amp;RIGHT($A3719,1),Players!$A$2:$D$132,3),"")</f>
        <v/>
      </c>
      <c r="H3719" s="254"/>
      <c r="I3719" s="254"/>
      <c r="J3719" s="210" t="str">
        <f>IF(VLOOKUP($D3711&amp;RIGHT($A3719,1),Players!$A$2:$D$132,3)&lt;&gt;0,"("&amp;VLOOKUP($D3711&amp;RIGHT($A3719,1),Players!$A$2:$D$132,4)&amp;")","")</f>
        <v/>
      </c>
    </row>
    <row r="3720" spans="1:10" ht="25.5" customHeight="1">
      <c r="A3720" s="50" t="str">
        <f>CONCATENATE($I3711,"3")</f>
        <v>I3</v>
      </c>
      <c r="B3720" s="255" t="str">
        <f>IF(VLOOKUP($A3720,Players!$A$2:$C$132,3)&lt;&gt;0,VLOOKUP($A3720,Players!$A$2:$C$132,3),"")</f>
        <v/>
      </c>
      <c r="C3720" s="255"/>
      <c r="D3720" s="255"/>
      <c r="E3720" s="255"/>
      <c r="F3720" s="255"/>
      <c r="G3720" s="254" t="str">
        <f>IF(VLOOKUP($D3711&amp;RIGHT($A3720,1),Players!$A$2:$D$132,3)&lt;&gt;0,VLOOKUP($D3711&amp;RIGHT($A3720,1),Players!$A$2:$D$132,3),"")</f>
        <v/>
      </c>
      <c r="H3720" s="254"/>
      <c r="I3720" s="254"/>
      <c r="J3720" s="210" t="str">
        <f>IF(VLOOKUP($D3711&amp;RIGHT($A3720,1),Players!$A$2:$D$132,3)&lt;&gt;0,"("&amp;VLOOKUP($D3711&amp;RIGHT($A3720,1),Players!$A$2:$D$132,4)&amp;")","")</f>
        <v/>
      </c>
    </row>
    <row r="3721" spans="1:10" ht="25.5" customHeight="1">
      <c r="A3721" s="50" t="str">
        <f>CONCATENATE($I3711,"4")</f>
        <v>I4</v>
      </c>
      <c r="B3721" s="255" t="str">
        <f>IF(VLOOKUP($A3721,Players!$A$2:$C$132,3)&lt;&gt;0,VLOOKUP($A3721,Players!$A$2:$C$132,3),"")</f>
        <v/>
      </c>
      <c r="C3721" s="255"/>
      <c r="D3721" s="255"/>
      <c r="E3721" s="255"/>
      <c r="F3721" s="255"/>
      <c r="G3721" s="254" t="str">
        <f>IF(VLOOKUP($D3711&amp;RIGHT($A3721,1),Players!$A$2:$D$132,3)&lt;&gt;0,VLOOKUP($D3711&amp;RIGHT($A3721,1),Players!$A$2:$D$132,3),"")</f>
        <v/>
      </c>
      <c r="H3721" s="254"/>
      <c r="I3721" s="254"/>
      <c r="J3721" s="210" t="str">
        <f>IF(VLOOKUP($D3711&amp;RIGHT($A3721,1),Players!$A$2:$D$132,3)&lt;&gt;0,"("&amp;VLOOKUP($D3711&amp;RIGHT($A3721,1),Players!$A$2:$D$132,4)&amp;")","")</f>
        <v/>
      </c>
    </row>
    <row r="3722" spans="1:10" ht="25.5" customHeight="1">
      <c r="A3722" s="50" t="str">
        <f>CONCATENATE($I3711,"5")</f>
        <v>I5</v>
      </c>
      <c r="B3722" s="255" t="str">
        <f>IF(VLOOKUP($A3722,Players!$A$2:$C$132,3)&lt;&gt;0,VLOOKUP($A3722,Players!$A$2:$C$132,3),"")</f>
        <v/>
      </c>
      <c r="C3722" s="255"/>
      <c r="D3722" s="255"/>
      <c r="E3722" s="255"/>
      <c r="F3722" s="255"/>
      <c r="G3722" s="254" t="str">
        <f>IF(VLOOKUP($D3711&amp;RIGHT($A3722,1),Players!$A$2:$D$132,3)&lt;&gt;0,VLOOKUP($D3711&amp;RIGHT($A3722,1),Players!$A$2:$D$132,3),"")</f>
        <v/>
      </c>
      <c r="H3722" s="254"/>
      <c r="I3722" s="254"/>
      <c r="J3722" s="210" t="str">
        <f>IF(VLOOKUP($D3711&amp;RIGHT($A3722,1),Players!$A$2:$D$132,3)&lt;&gt;0,"("&amp;VLOOKUP($D3711&amp;RIGHT($A3722,1),Players!$A$2:$D$132,4)&amp;")","")</f>
        <v/>
      </c>
    </row>
    <row r="3723" spans="1:10" ht="25.5" customHeight="1">
      <c r="A3723" s="50" t="str">
        <f>CONCATENATE($I3711,"6")</f>
        <v>I6</v>
      </c>
      <c r="B3723" s="255" t="str">
        <f>IF(VLOOKUP($A3723,Players!$A$2:$C$132,3)&lt;&gt;0,VLOOKUP($A3723,Players!$A$2:$C$132,3),"")</f>
        <v/>
      </c>
      <c r="C3723" s="255"/>
      <c r="D3723" s="255"/>
      <c r="E3723" s="255"/>
      <c r="F3723" s="255"/>
      <c r="G3723" s="254" t="str">
        <f>IF(VLOOKUP($D3711&amp;RIGHT($A3723,1),Players!$A$2:$D$132,3)&lt;&gt;0,VLOOKUP($D3711&amp;RIGHT($A3723,1),Players!$A$2:$D$132,3),"")</f>
        <v/>
      </c>
      <c r="H3723" s="254"/>
      <c r="I3723" s="254"/>
      <c r="J3723" s="210" t="str">
        <f>IF(VLOOKUP($D3711&amp;RIGHT($A3723,1),Players!$A$2:$D$132,3)&lt;&gt;0,"("&amp;VLOOKUP($D3711&amp;RIGHT($A3723,1),Players!$A$2:$D$132,4)&amp;")","")</f>
        <v/>
      </c>
    </row>
    <row r="3724" spans="1:10" ht="25.5" customHeight="1">
      <c r="A3724" s="50" t="str">
        <f>CONCATENATE($I3711,"7")</f>
        <v>I7</v>
      </c>
      <c r="B3724" s="255" t="str">
        <f>IF(VLOOKUP($A3724,Players!$A$2:$C$132,3)&lt;&gt;0,VLOOKUP($A3724,Players!$A$2:$C$132,3),"")</f>
        <v/>
      </c>
      <c r="C3724" s="255"/>
      <c r="D3724" s="255"/>
      <c r="E3724" s="255"/>
      <c r="F3724" s="255"/>
      <c r="G3724" s="254" t="str">
        <f>IF(VLOOKUP($D3711&amp;RIGHT($A3724,1),Players!$A$2:$D$132,3)&lt;&gt;0,VLOOKUP($D3711&amp;RIGHT($A3724,1),Players!$A$2:$D$132,3),"")</f>
        <v/>
      </c>
      <c r="H3724" s="254"/>
      <c r="I3724" s="254"/>
      <c r="J3724" s="210" t="str">
        <f>IF(VLOOKUP($D3711&amp;RIGHT($A3724,1),Players!$A$2:$D$132,3)&lt;&gt;0,"("&amp;VLOOKUP($D3711&amp;RIGHT($A3724,1),Players!$A$2:$D$132,4)&amp;")","")</f>
        <v/>
      </c>
    </row>
    <row r="3725" spans="1:10" ht="25.5" customHeight="1">
      <c r="A3725" s="50" t="str">
        <f>CONCATENATE($I3711,"8")</f>
        <v>I8</v>
      </c>
      <c r="B3725" s="255" t="str">
        <f>IF(VLOOKUP($A3725,Players!$A$2:$C$132,3)&lt;&gt;0,VLOOKUP($A3725,Players!$A$2:$C$132,3),"")</f>
        <v/>
      </c>
      <c r="C3725" s="255"/>
      <c r="D3725" s="255"/>
      <c r="E3725" s="255"/>
      <c r="F3725" s="255"/>
      <c r="G3725" s="254" t="str">
        <f>IF(VLOOKUP($D3711&amp;RIGHT($A3725,1),Players!$A$2:$D$132,3)&lt;&gt;0,VLOOKUP($D3711&amp;RIGHT($A3725,1),Players!$A$2:$D$132,3),"")</f>
        <v/>
      </c>
      <c r="H3725" s="254"/>
      <c r="I3725" s="254"/>
      <c r="J3725" s="210" t="str">
        <f>IF(VLOOKUP($D3711&amp;RIGHT($A3725,1),Players!$A$2:$D$132,3)&lt;&gt;0,"("&amp;VLOOKUP($D3711&amp;RIGHT($A3725,1),Players!$A$2:$D$132,4)&amp;")","")</f>
        <v/>
      </c>
    </row>
    <row r="3726" spans="1:10" ht="25.5" customHeight="1">
      <c r="A3726" s="50"/>
      <c r="B3726" s="26"/>
      <c r="C3726" s="26"/>
      <c r="D3726" s="26"/>
      <c r="E3726" s="26"/>
      <c r="F3726" s="27"/>
      <c r="G3726" s="43"/>
      <c r="H3726" s="43"/>
      <c r="I3726" s="43"/>
      <c r="J3726" s="43"/>
    </row>
    <row r="3727" spans="1:10">
      <c r="A3727" s="49" t="s">
        <v>1225</v>
      </c>
      <c r="B3727" s="46"/>
      <c r="C3727" s="46"/>
      <c r="D3727" s="46"/>
      <c r="E3727" s="46"/>
      <c r="F3727" s="46"/>
      <c r="G3727" s="43"/>
      <c r="H3727" s="43"/>
      <c r="I3727" s="43"/>
      <c r="J3727" s="43"/>
    </row>
    <row r="3728" spans="1:10">
      <c r="A3728" s="46" t="s">
        <v>1247</v>
      </c>
      <c r="B3728" s="46"/>
      <c r="C3728" s="46"/>
      <c r="D3728" s="46"/>
      <c r="E3728" s="46"/>
      <c r="F3728" s="46"/>
      <c r="G3728" s="43"/>
      <c r="H3728" s="43"/>
      <c r="I3728" s="43"/>
      <c r="J3728" s="43"/>
    </row>
    <row r="3729" spans="1:10">
      <c r="A3729" s="46" t="s">
        <v>1248</v>
      </c>
      <c r="B3729" s="46"/>
      <c r="C3729" s="46"/>
      <c r="D3729" s="46"/>
      <c r="E3729" s="46"/>
      <c r="F3729" s="46"/>
      <c r="G3729" s="43"/>
      <c r="H3729" s="43"/>
      <c r="I3729" s="43"/>
      <c r="J3729" s="43"/>
    </row>
    <row r="3730" spans="1:10" ht="13.5" thickBot="1">
      <c r="A3730" s="46"/>
      <c r="B3730" s="46"/>
      <c r="C3730" s="46"/>
      <c r="D3730" s="46"/>
      <c r="E3730" s="46"/>
      <c r="F3730" s="46"/>
      <c r="G3730" s="43"/>
      <c r="H3730" s="43"/>
      <c r="I3730" s="43"/>
      <c r="J3730" s="43"/>
    </row>
    <row r="3731" spans="1:10" ht="25.5" customHeight="1" thickBot="1">
      <c r="A3731" s="50"/>
      <c r="B3731" s="257"/>
      <c r="C3731" s="258"/>
      <c r="D3731" s="258"/>
      <c r="E3731" s="258"/>
      <c r="F3731" s="259"/>
      <c r="G3731" s="43"/>
      <c r="H3731" s="43"/>
      <c r="I3731" s="43"/>
      <c r="J3731" s="43"/>
    </row>
    <row r="3732" spans="1:10">
      <c r="A3732" s="43"/>
      <c r="B3732" s="43"/>
      <c r="C3732" s="43"/>
      <c r="D3732" s="43"/>
      <c r="E3732" s="43"/>
      <c r="F3732" s="43"/>
      <c r="G3732" s="43"/>
      <c r="H3732" s="43"/>
      <c r="I3732" s="43"/>
      <c r="J3732" s="43"/>
    </row>
    <row r="3733" spans="1:10">
      <c r="A3733" s="43"/>
      <c r="B3733" s="43"/>
      <c r="C3733" s="43"/>
      <c r="D3733" s="43"/>
      <c r="E3733" s="43"/>
      <c r="F3733" s="43"/>
      <c r="G3733" s="43"/>
      <c r="H3733" s="43"/>
      <c r="I3733" s="43"/>
      <c r="J3733" s="43"/>
    </row>
    <row r="3734" spans="1:10">
      <c r="A3734" s="43"/>
      <c r="B3734" s="43"/>
      <c r="C3734" s="43"/>
      <c r="D3734" s="43"/>
      <c r="E3734" s="43"/>
      <c r="F3734" s="43"/>
      <c r="G3734" s="43"/>
      <c r="H3734" s="43"/>
      <c r="I3734" s="43"/>
      <c r="J3734" s="43"/>
    </row>
    <row r="3735" spans="1:10">
      <c r="A3735" s="43"/>
      <c r="B3735" s="43"/>
      <c r="C3735" s="43"/>
      <c r="D3735" s="43"/>
      <c r="E3735" s="43"/>
      <c r="F3735" s="43"/>
      <c r="G3735" s="43"/>
      <c r="H3735" s="43"/>
      <c r="I3735" s="43"/>
      <c r="J3735" s="43"/>
    </row>
    <row r="3736" spans="1:10">
      <c r="A3736" s="43"/>
      <c r="B3736" s="43"/>
      <c r="C3736" s="43"/>
      <c r="D3736" s="43"/>
      <c r="E3736" s="43"/>
      <c r="F3736" s="43"/>
      <c r="G3736" s="43"/>
      <c r="H3736" s="43"/>
      <c r="I3736" s="43"/>
      <c r="J3736" s="43"/>
    </row>
    <row r="3737" spans="1:10" ht="25.5" customHeight="1">
      <c r="A3737" s="47"/>
      <c r="B3737" s="47"/>
      <c r="C3737" s="47"/>
      <c r="D3737" s="47"/>
      <c r="E3737" s="47"/>
      <c r="F3737" s="43"/>
      <c r="G3737" s="51"/>
      <c r="H3737" s="250" t="s">
        <v>1227</v>
      </c>
      <c r="I3737" s="251"/>
      <c r="J3737" s="43"/>
    </row>
    <row r="3738" spans="1:10">
      <c r="A3738" s="43" t="s">
        <v>1226</v>
      </c>
      <c r="B3738" s="43"/>
      <c r="C3738" s="43"/>
      <c r="D3738" s="43"/>
      <c r="E3738" s="43"/>
      <c r="F3738" s="43"/>
      <c r="G3738" s="43"/>
      <c r="H3738" s="43"/>
      <c r="I3738" s="43"/>
      <c r="J3738" s="43"/>
    </row>
    <row r="3739" spans="1:10">
      <c r="A3739" s="43"/>
      <c r="B3739" s="43"/>
      <c r="C3739" s="43"/>
      <c r="D3739" s="43"/>
      <c r="E3739" s="43"/>
      <c r="F3739" s="43"/>
      <c r="G3739" s="43"/>
      <c r="H3739" s="43"/>
      <c r="I3739" s="43"/>
      <c r="J3739" s="43"/>
    </row>
    <row r="3740" spans="1:10">
      <c r="A3740" s="43"/>
      <c r="B3740" s="43"/>
      <c r="C3740" s="43"/>
      <c r="D3740" s="43"/>
      <c r="E3740" s="256" t="str">
        <f>CONCATENATE("(",$D3711," vs ",$I3711,")")</f>
        <v>(F vs I)</v>
      </c>
      <c r="F3740" s="256"/>
      <c r="G3740" s="43"/>
      <c r="H3740" s="43"/>
      <c r="I3740" s="43"/>
      <c r="J3740" s="43"/>
    </row>
    <row r="3741" spans="1:10" ht="15.75">
      <c r="A3741" s="42" t="s">
        <v>1223</v>
      </c>
      <c r="B3741" s="43"/>
      <c r="C3741" s="43"/>
      <c r="D3741" s="43"/>
      <c r="E3741" s="43"/>
      <c r="F3741" s="43"/>
      <c r="G3741" s="43"/>
      <c r="H3741" s="43"/>
      <c r="I3741" s="43"/>
      <c r="J3741" s="96" t="s">
        <v>4329</v>
      </c>
    </row>
    <row r="3742" spans="1:10" ht="12.75" customHeight="1">
      <c r="A3742" s="42"/>
      <c r="B3742" s="43"/>
      <c r="C3742" s="43"/>
      <c r="D3742" s="43"/>
      <c r="E3742" s="43"/>
      <c r="F3742" s="43"/>
      <c r="G3742" s="43" t="str">
        <f ca="1">Team_Matches!$J$6</f>
        <v>[NCTTA Teams Template (v2.06).xlsx]</v>
      </c>
      <c r="H3742" s="43"/>
      <c r="I3742" s="43"/>
      <c r="J3742" s="160"/>
    </row>
    <row r="3743" spans="1:10" ht="12.75" customHeight="1">
      <c r="A3743" s="42"/>
      <c r="B3743" s="43"/>
      <c r="C3743" s="43"/>
      <c r="D3743" s="43"/>
      <c r="E3743" s="43"/>
      <c r="F3743" s="43"/>
      <c r="G3743" s="247" t="str">
        <f>Team_Matches!$J2812</f>
        <v/>
      </c>
      <c r="H3743" s="247"/>
      <c r="I3743" s="161" t="str">
        <f>Team_Matches!$M2812</f>
        <v/>
      </c>
      <c r="J3743" s="161"/>
    </row>
    <row r="3744" spans="1:10" ht="15.75">
      <c r="A3744" s="42"/>
      <c r="B3744" s="43"/>
      <c r="C3744" s="43"/>
      <c r="D3744" s="43"/>
      <c r="E3744" s="43"/>
      <c r="F3744" s="43"/>
      <c r="G3744" s="43"/>
      <c r="H3744" s="43"/>
      <c r="I3744" s="43"/>
      <c r="J3744" s="43"/>
    </row>
    <row r="3745" spans="1:10">
      <c r="A3745" s="43"/>
      <c r="B3745" s="43"/>
      <c r="C3745" s="9" t="s">
        <v>1228</v>
      </c>
      <c r="D3745" s="52" t="str">
        <f>Team_Matches!$B2814</f>
        <v>F</v>
      </c>
      <c r="E3745" s="43"/>
      <c r="F3745" s="97" t="str">
        <f>CONCATENATE($D3745,"-",$I3745)</f>
        <v>F-J</v>
      </c>
      <c r="G3745" s="43"/>
      <c r="H3745" s="9" t="s">
        <v>1228</v>
      </c>
      <c r="I3745" s="3" t="str">
        <f>Team_Matches!$K2814</f>
        <v>J</v>
      </c>
      <c r="J3745" s="43"/>
    </row>
    <row r="3746" spans="1:10" ht="25.5" customHeight="1">
      <c r="A3746" s="44"/>
      <c r="B3746" s="248" t="str">
        <f>IF(VLOOKUP($D3745,Draw!$A$4:$B$27,2)&lt;&gt;0,VLOOKUP($D3745,Draw!$A$4:$B$27,2),"")</f>
        <v/>
      </c>
      <c r="C3746" s="248"/>
      <c r="D3746" s="248"/>
      <c r="E3746" s="249"/>
      <c r="F3746" s="45"/>
      <c r="G3746" s="252" t="str">
        <f>IF(VLOOKUP($I3745,Draw!$A$4:$B$27,2)&lt;&gt;0,VLOOKUP($I3745,Draw!$A$4:$B$27,2),"")</f>
        <v/>
      </c>
      <c r="H3746" s="252"/>
      <c r="I3746" s="252"/>
      <c r="J3746" s="253"/>
    </row>
    <row r="3747" spans="1:10" ht="25.5" customHeight="1"/>
    <row r="3748" spans="1:10" ht="25.5" customHeight="1"/>
    <row r="3749" spans="1:10" ht="24" customHeight="1">
      <c r="A3749" s="48" t="s">
        <v>1246</v>
      </c>
      <c r="B3749" s="43"/>
      <c r="C3749" s="43"/>
      <c r="D3749" s="43"/>
      <c r="E3749" s="43"/>
      <c r="F3749" s="43"/>
      <c r="G3749" s="43"/>
      <c r="H3749" s="43"/>
      <c r="I3749" s="43"/>
      <c r="J3749" s="43"/>
    </row>
    <row r="3750" spans="1:10" ht="24" customHeight="1">
      <c r="A3750" s="48"/>
      <c r="B3750" s="43"/>
      <c r="C3750" s="43"/>
      <c r="D3750" s="43"/>
      <c r="E3750" s="43"/>
      <c r="F3750" s="43"/>
      <c r="G3750" s="43"/>
      <c r="H3750" s="43"/>
      <c r="I3750" s="43"/>
      <c r="J3750" s="43"/>
    </row>
    <row r="3751" spans="1:10">
      <c r="A3751" s="49" t="s">
        <v>1224</v>
      </c>
      <c r="B3751" s="46"/>
      <c r="C3751" s="46"/>
      <c r="D3751" s="46"/>
      <c r="E3751" s="46"/>
      <c r="F3751" s="46"/>
      <c r="G3751" s="260" t="s">
        <v>10336</v>
      </c>
      <c r="H3751" s="260"/>
      <c r="I3751" s="260"/>
      <c r="J3751" s="260"/>
    </row>
    <row r="3752" spans="1:10" ht="24" customHeight="1">
      <c r="A3752" s="50" t="str">
        <f>CONCATENATE($D3745,"1")</f>
        <v>F1</v>
      </c>
      <c r="B3752" s="255" t="str">
        <f>IF(VLOOKUP($A3752,Players!$A$2:$C$132,3)&lt;&gt;0,VLOOKUP($A3752,Players!$A$2:$C$132,3),"")</f>
        <v/>
      </c>
      <c r="C3752" s="255"/>
      <c r="D3752" s="255"/>
      <c r="E3752" s="255"/>
      <c r="F3752" s="255"/>
      <c r="G3752" s="254" t="str">
        <f>IF(VLOOKUP($I3745&amp;RIGHT($A3752,1),Players!$A$2:$D$132,3)&lt;&gt;0,VLOOKUP($I3745&amp;RIGHT($A3752,1),Players!$A$2:$D$132,3),"")</f>
        <v/>
      </c>
      <c r="H3752" s="254"/>
      <c r="I3752" s="254"/>
      <c r="J3752" s="210" t="str">
        <f>IF(VLOOKUP($I3745&amp;RIGHT($A3752,1),Players!$A$2:$D$132,3)&lt;&gt;0,"("&amp;VLOOKUP($I3745&amp;RIGHT($A3752,1),Players!$A$2:$D$132,4)&amp;")","")</f>
        <v/>
      </c>
    </row>
    <row r="3753" spans="1:10" ht="25.5" customHeight="1">
      <c r="A3753" s="50" t="str">
        <f>CONCATENATE($D3745,"2")</f>
        <v>F2</v>
      </c>
      <c r="B3753" s="255" t="str">
        <f>IF(VLOOKUP($A3753,Players!$A$2:$C$132,3)&lt;&gt;0,VLOOKUP($A3753,Players!$A$2:$C$132,3),"")</f>
        <v/>
      </c>
      <c r="C3753" s="255"/>
      <c r="D3753" s="255"/>
      <c r="E3753" s="255"/>
      <c r="F3753" s="255"/>
      <c r="G3753" s="254" t="str">
        <f>IF(VLOOKUP($I3745&amp;RIGHT($A3753,1),Players!$A$2:$D$132,3)&lt;&gt;0,VLOOKUP($I3745&amp;RIGHT($A3753,1),Players!$A$2:$D$132,3),"")</f>
        <v/>
      </c>
      <c r="H3753" s="254"/>
      <c r="I3753" s="254"/>
      <c r="J3753" s="210" t="str">
        <f>IF(VLOOKUP($I3745&amp;RIGHT($A3753,1),Players!$A$2:$D$132,3)&lt;&gt;0,"("&amp;VLOOKUP($I3745&amp;RIGHT($A3753,1),Players!$A$2:$D$132,4)&amp;")","")</f>
        <v/>
      </c>
    </row>
    <row r="3754" spans="1:10" ht="25.5" customHeight="1">
      <c r="A3754" s="50" t="str">
        <f>CONCATENATE($D3745,"3")</f>
        <v>F3</v>
      </c>
      <c r="B3754" s="255" t="str">
        <f>IF(VLOOKUP($A3754,Players!$A$2:$C$132,3)&lt;&gt;0,VLOOKUP($A3754,Players!$A$2:$C$132,3),"")</f>
        <v/>
      </c>
      <c r="C3754" s="255"/>
      <c r="D3754" s="255"/>
      <c r="E3754" s="255"/>
      <c r="F3754" s="255"/>
      <c r="G3754" s="254" t="str">
        <f>IF(VLOOKUP($I3745&amp;RIGHT($A3754,1),Players!$A$2:$D$132,3)&lt;&gt;0,VLOOKUP($I3745&amp;RIGHT($A3754,1),Players!$A$2:$D$132,3),"")</f>
        <v/>
      </c>
      <c r="H3754" s="254"/>
      <c r="I3754" s="254"/>
      <c r="J3754" s="210" t="str">
        <f>IF(VLOOKUP($I3745&amp;RIGHT($A3754,1),Players!$A$2:$D$132,3)&lt;&gt;0,"("&amp;VLOOKUP($I3745&amp;RIGHT($A3754,1),Players!$A$2:$D$132,4)&amp;")","")</f>
        <v/>
      </c>
    </row>
    <row r="3755" spans="1:10" ht="25.5" customHeight="1">
      <c r="A3755" s="50" t="str">
        <f>CONCATENATE($D3745,"4")</f>
        <v>F4</v>
      </c>
      <c r="B3755" s="255" t="str">
        <f>IF(VLOOKUP($A3755,Players!$A$2:$C$132,3)&lt;&gt;0,VLOOKUP($A3755,Players!$A$2:$C$132,3),"")</f>
        <v/>
      </c>
      <c r="C3755" s="255"/>
      <c r="D3755" s="255"/>
      <c r="E3755" s="255"/>
      <c r="F3755" s="255"/>
      <c r="G3755" s="254" t="str">
        <f>IF(VLOOKUP($I3745&amp;RIGHT($A3755,1),Players!$A$2:$D$132,3)&lt;&gt;0,VLOOKUP($I3745&amp;RIGHT($A3755,1),Players!$A$2:$D$132,3),"")</f>
        <v/>
      </c>
      <c r="H3755" s="254"/>
      <c r="I3755" s="254"/>
      <c r="J3755" s="210" t="str">
        <f>IF(VLOOKUP($I3745&amp;RIGHT($A3755,1),Players!$A$2:$D$132,3)&lt;&gt;0,"("&amp;VLOOKUP($I3745&amp;RIGHT($A3755,1),Players!$A$2:$D$132,4)&amp;")","")</f>
        <v/>
      </c>
    </row>
    <row r="3756" spans="1:10" ht="25.5" customHeight="1">
      <c r="A3756" s="50" t="str">
        <f>CONCATENATE($D3745,"5")</f>
        <v>F5</v>
      </c>
      <c r="B3756" s="255" t="str">
        <f>IF(VLOOKUP($A3756,Players!$A$2:$C$132,3)&lt;&gt;0,VLOOKUP($A3756,Players!$A$2:$C$132,3),"")</f>
        <v/>
      </c>
      <c r="C3756" s="255"/>
      <c r="D3756" s="255"/>
      <c r="E3756" s="255"/>
      <c r="F3756" s="255"/>
      <c r="G3756" s="254" t="str">
        <f>IF(VLOOKUP($I3745&amp;RIGHT($A3756,1),Players!$A$2:$D$132,3)&lt;&gt;0,VLOOKUP($I3745&amp;RIGHT($A3756,1),Players!$A$2:$D$132,3),"")</f>
        <v/>
      </c>
      <c r="H3756" s="254"/>
      <c r="I3756" s="254"/>
      <c r="J3756" s="210" t="str">
        <f>IF(VLOOKUP($I3745&amp;RIGHT($A3756,1),Players!$A$2:$D$132,3)&lt;&gt;0,"("&amp;VLOOKUP($I3745&amp;RIGHT($A3756,1),Players!$A$2:$D$132,4)&amp;")","")</f>
        <v/>
      </c>
    </row>
    <row r="3757" spans="1:10" ht="25.5" customHeight="1">
      <c r="A3757" s="50" t="str">
        <f>CONCATENATE($D3745,"6")</f>
        <v>F6</v>
      </c>
      <c r="B3757" s="255" t="str">
        <f>IF(VLOOKUP($A3757,Players!$A$2:$C$132,3)&lt;&gt;0,VLOOKUP($A3757,Players!$A$2:$C$132,3),"")</f>
        <v/>
      </c>
      <c r="C3757" s="255"/>
      <c r="D3757" s="255"/>
      <c r="E3757" s="255"/>
      <c r="F3757" s="255"/>
      <c r="G3757" s="254" t="str">
        <f>IF(VLOOKUP($I3745&amp;RIGHT($A3757,1),Players!$A$2:$D$132,3)&lt;&gt;0,VLOOKUP($I3745&amp;RIGHT($A3757,1),Players!$A$2:$D$132,3),"")</f>
        <v/>
      </c>
      <c r="H3757" s="254"/>
      <c r="I3757" s="254"/>
      <c r="J3757" s="210" t="str">
        <f>IF(VLOOKUP($I3745&amp;RIGHT($A3757,1),Players!$A$2:$D$132,3)&lt;&gt;0,"("&amp;VLOOKUP($I3745&amp;RIGHT($A3757,1),Players!$A$2:$D$132,4)&amp;")","")</f>
        <v/>
      </c>
    </row>
    <row r="3758" spans="1:10" ht="25.5" customHeight="1">
      <c r="A3758" s="50" t="str">
        <f>CONCATENATE($D3745,"7")</f>
        <v>F7</v>
      </c>
      <c r="B3758" s="255" t="str">
        <f>IF(VLOOKUP($A3758,Players!$A$2:$C$132,3)&lt;&gt;0,VLOOKUP($A3758,Players!$A$2:$C$132,3),"")</f>
        <v/>
      </c>
      <c r="C3758" s="255"/>
      <c r="D3758" s="255"/>
      <c r="E3758" s="255"/>
      <c r="F3758" s="255"/>
      <c r="G3758" s="254" t="str">
        <f>IF(VLOOKUP($I3745&amp;RIGHT($A3758,1),Players!$A$2:$D$132,3)&lt;&gt;0,VLOOKUP($I3745&amp;RIGHT($A3758,1),Players!$A$2:$D$132,3),"")</f>
        <v/>
      </c>
      <c r="H3758" s="254"/>
      <c r="I3758" s="254"/>
      <c r="J3758" s="210" t="str">
        <f>IF(VLOOKUP($I3745&amp;RIGHT($A3758,1),Players!$A$2:$D$132,3)&lt;&gt;0,"("&amp;VLOOKUP($I3745&amp;RIGHT($A3758,1),Players!$A$2:$D$132,4)&amp;")","")</f>
        <v/>
      </c>
    </row>
    <row r="3759" spans="1:10" ht="25.5" customHeight="1">
      <c r="A3759" s="50" t="str">
        <f>CONCATENATE($D3745,"8")</f>
        <v>F8</v>
      </c>
      <c r="B3759" s="255" t="str">
        <f>IF(VLOOKUP($A3759,Players!$A$2:$C$132,3)&lt;&gt;0,VLOOKUP($A3759,Players!$A$2:$C$132,3),"")</f>
        <v/>
      </c>
      <c r="C3759" s="255"/>
      <c r="D3759" s="255"/>
      <c r="E3759" s="255"/>
      <c r="F3759" s="255"/>
      <c r="G3759" s="254" t="str">
        <f>IF(VLOOKUP($I3745&amp;RIGHT($A3759,1),Players!$A$2:$D$132,3)&lt;&gt;0,VLOOKUP($I3745&amp;RIGHT($A3759,1),Players!$A$2:$D$132,3),"")</f>
        <v/>
      </c>
      <c r="H3759" s="254"/>
      <c r="I3759" s="254"/>
      <c r="J3759" s="210" t="str">
        <f>IF(VLOOKUP($I3745&amp;RIGHT($A3759,1),Players!$A$2:$D$132,3)&lt;&gt;0,"("&amp;VLOOKUP($I3745&amp;RIGHT($A3759,1),Players!$A$2:$D$132,4)&amp;")","")</f>
        <v/>
      </c>
    </row>
    <row r="3760" spans="1:10" ht="25.5" customHeight="1">
      <c r="A3760" s="50"/>
      <c r="B3760" s="26"/>
      <c r="C3760" s="26"/>
      <c r="D3760" s="26"/>
      <c r="E3760" s="26"/>
      <c r="F3760" s="27"/>
      <c r="G3760" s="43"/>
      <c r="H3760" s="43"/>
      <c r="I3760" s="43"/>
      <c r="J3760" s="43"/>
    </row>
    <row r="3761" spans="1:10">
      <c r="A3761" s="49" t="s">
        <v>1225</v>
      </c>
      <c r="B3761" s="46"/>
      <c r="C3761" s="46"/>
      <c r="D3761" s="46"/>
      <c r="E3761" s="46"/>
      <c r="F3761" s="46"/>
      <c r="G3761" s="43"/>
      <c r="H3761" s="43"/>
      <c r="I3761" s="43"/>
      <c r="J3761" s="43"/>
    </row>
    <row r="3762" spans="1:10">
      <c r="A3762" s="46" t="s">
        <v>1247</v>
      </c>
      <c r="B3762" s="46"/>
      <c r="C3762" s="46"/>
      <c r="D3762" s="46"/>
      <c r="E3762" s="46"/>
      <c r="F3762" s="46"/>
      <c r="G3762" s="43"/>
      <c r="H3762" s="43"/>
      <c r="I3762" s="43"/>
      <c r="J3762" s="43"/>
    </row>
    <row r="3763" spans="1:10">
      <c r="A3763" s="46" t="s">
        <v>1248</v>
      </c>
      <c r="B3763" s="46"/>
      <c r="C3763" s="46"/>
      <c r="D3763" s="46"/>
      <c r="E3763" s="46"/>
      <c r="F3763" s="46"/>
      <c r="G3763" s="43"/>
      <c r="H3763" s="43"/>
      <c r="I3763" s="43"/>
      <c r="J3763" s="43"/>
    </row>
    <row r="3764" spans="1:10" ht="13.5" thickBot="1">
      <c r="A3764" s="46"/>
      <c r="B3764" s="46"/>
      <c r="C3764" s="46"/>
      <c r="D3764" s="46"/>
      <c r="E3764" s="46"/>
      <c r="F3764" s="46"/>
      <c r="G3764" s="43"/>
      <c r="H3764" s="43"/>
      <c r="I3764" s="43"/>
      <c r="J3764" s="43"/>
    </row>
    <row r="3765" spans="1:10" ht="25.5" customHeight="1" thickBot="1">
      <c r="A3765" s="50"/>
      <c r="B3765" s="257"/>
      <c r="C3765" s="258"/>
      <c r="D3765" s="258"/>
      <c r="E3765" s="258"/>
      <c r="F3765" s="259"/>
      <c r="G3765" s="43"/>
      <c r="H3765" s="43"/>
      <c r="I3765" s="43"/>
      <c r="J3765" s="43"/>
    </row>
    <row r="3766" spans="1:10">
      <c r="A3766" s="43"/>
      <c r="B3766" s="43"/>
      <c r="C3766" s="43"/>
      <c r="D3766" s="43"/>
      <c r="E3766" s="43"/>
      <c r="F3766" s="43"/>
      <c r="G3766" s="43"/>
      <c r="H3766" s="43"/>
      <c r="I3766" s="43"/>
      <c r="J3766" s="43"/>
    </row>
    <row r="3767" spans="1:10">
      <c r="A3767" s="43"/>
      <c r="B3767" s="43"/>
      <c r="C3767" s="43"/>
      <c r="D3767" s="43"/>
      <c r="E3767" s="43"/>
      <c r="F3767" s="43"/>
      <c r="G3767" s="43"/>
      <c r="H3767" s="43"/>
      <c r="I3767" s="43"/>
      <c r="J3767" s="43"/>
    </row>
    <row r="3768" spans="1:10">
      <c r="A3768" s="43"/>
      <c r="B3768" s="43"/>
      <c r="C3768" s="43"/>
      <c r="D3768" s="43"/>
      <c r="E3768" s="43"/>
      <c r="F3768" s="43"/>
      <c r="G3768" s="43"/>
      <c r="H3768" s="43"/>
      <c r="I3768" s="43"/>
      <c r="J3768" s="43"/>
    </row>
    <row r="3769" spans="1:10">
      <c r="A3769" s="43"/>
      <c r="B3769" s="43"/>
      <c r="C3769" s="43"/>
      <c r="D3769" s="43"/>
      <c r="E3769" s="43"/>
      <c r="F3769" s="43"/>
      <c r="G3769" s="43"/>
      <c r="H3769" s="43"/>
      <c r="I3769" s="43"/>
      <c r="J3769" s="43"/>
    </row>
    <row r="3770" spans="1:10">
      <c r="A3770" s="43"/>
      <c r="B3770" s="43"/>
      <c r="C3770" s="43"/>
      <c r="D3770" s="43"/>
      <c r="E3770" s="43"/>
      <c r="F3770" s="43"/>
      <c r="G3770" s="43"/>
      <c r="H3770" s="43"/>
      <c r="I3770" s="43"/>
      <c r="J3770" s="43"/>
    </row>
    <row r="3771" spans="1:10" ht="25.5" customHeight="1">
      <c r="A3771" s="47"/>
      <c r="B3771" s="47"/>
      <c r="C3771" s="47"/>
      <c r="D3771" s="47"/>
      <c r="E3771" s="47"/>
      <c r="F3771" s="43"/>
      <c r="G3771" s="51"/>
      <c r="H3771" s="250" t="s">
        <v>1227</v>
      </c>
      <c r="I3771" s="251"/>
      <c r="J3771" s="43"/>
    </row>
    <row r="3772" spans="1:10">
      <c r="A3772" s="43" t="s">
        <v>1226</v>
      </c>
      <c r="B3772" s="43"/>
      <c r="C3772" s="43"/>
      <c r="D3772" s="43"/>
      <c r="E3772" s="43"/>
      <c r="F3772" s="43"/>
      <c r="G3772" s="43"/>
      <c r="H3772" s="43"/>
      <c r="I3772" s="43"/>
      <c r="J3772" s="43"/>
    </row>
    <row r="3773" spans="1:10">
      <c r="A3773" s="43"/>
      <c r="B3773" s="43"/>
      <c r="C3773" s="43"/>
      <c r="D3773" s="43"/>
      <c r="E3773" s="43"/>
      <c r="F3773" s="43"/>
      <c r="G3773" s="43"/>
      <c r="H3773" s="43"/>
      <c r="I3773" s="43"/>
      <c r="J3773" s="43"/>
    </row>
    <row r="3774" spans="1:10">
      <c r="A3774" s="43"/>
      <c r="B3774" s="43"/>
      <c r="C3774" s="43"/>
      <c r="D3774" s="43"/>
      <c r="E3774" s="256" t="str">
        <f>CONCATENATE("(",$D3745," vs ",$I3745,")")</f>
        <v>(F vs J)</v>
      </c>
      <c r="F3774" s="256"/>
      <c r="G3774" s="43"/>
      <c r="H3774" s="43"/>
      <c r="I3774" s="43"/>
      <c r="J3774" s="43"/>
    </row>
    <row r="3775" spans="1:10" ht="15.75">
      <c r="A3775" s="42" t="s">
        <v>1223</v>
      </c>
      <c r="B3775" s="43"/>
      <c r="C3775" s="43"/>
      <c r="D3775" s="43"/>
      <c r="E3775" s="43"/>
      <c r="F3775" s="43"/>
      <c r="G3775" s="43"/>
      <c r="H3775" s="43"/>
      <c r="I3775" s="43"/>
      <c r="J3775" s="96" t="s">
        <v>4330</v>
      </c>
    </row>
    <row r="3776" spans="1:10" ht="12.75" customHeight="1">
      <c r="A3776" s="42"/>
      <c r="B3776" s="43"/>
      <c r="C3776" s="43"/>
      <c r="D3776" s="43"/>
      <c r="E3776" s="43"/>
      <c r="F3776" s="43"/>
      <c r="G3776" s="43" t="str">
        <f ca="1">Team_Matches!$J$6</f>
        <v>[NCTTA Teams Template (v2.06).xlsx]</v>
      </c>
      <c r="H3776" s="43"/>
      <c r="I3776" s="43"/>
      <c r="J3776" s="160"/>
    </row>
    <row r="3777" spans="1:10" ht="12.75" customHeight="1">
      <c r="A3777" s="42"/>
      <c r="B3777" s="43"/>
      <c r="C3777" s="43"/>
      <c r="D3777" s="43"/>
      <c r="E3777" s="43"/>
      <c r="F3777" s="43"/>
      <c r="G3777" s="247" t="str">
        <f>Team_Matches!$J2812</f>
        <v/>
      </c>
      <c r="H3777" s="247"/>
      <c r="I3777" s="161" t="str">
        <f>Team_Matches!$M2812</f>
        <v/>
      </c>
      <c r="J3777" s="161"/>
    </row>
    <row r="3778" spans="1:10" ht="15.75">
      <c r="A3778" s="42"/>
      <c r="B3778" s="43"/>
      <c r="C3778" s="43"/>
      <c r="D3778" s="43"/>
      <c r="E3778" s="43"/>
      <c r="F3778" s="43"/>
      <c r="G3778" s="43"/>
      <c r="H3778" s="43"/>
      <c r="I3778" s="43"/>
      <c r="J3778" s="43"/>
    </row>
    <row r="3779" spans="1:10">
      <c r="A3779" s="43"/>
      <c r="B3779" s="43"/>
      <c r="C3779" s="9" t="s">
        <v>1228</v>
      </c>
      <c r="D3779" s="52" t="str">
        <f>Team_Matches!$B2814</f>
        <v>F</v>
      </c>
      <c r="E3779" s="43"/>
      <c r="F3779" s="97" t="str">
        <f>CONCATENATE($D3779,"-",$I3779)</f>
        <v>F-J</v>
      </c>
      <c r="G3779" s="43"/>
      <c r="H3779" s="9" t="s">
        <v>1228</v>
      </c>
      <c r="I3779" s="3" t="str">
        <f>Team_Matches!$K2814</f>
        <v>J</v>
      </c>
      <c r="J3779" s="43"/>
    </row>
    <row r="3780" spans="1:10" ht="25.5" customHeight="1">
      <c r="A3780" s="44"/>
      <c r="B3780" s="252" t="str">
        <f>IF(VLOOKUP($D3779,Draw!$A$4:$B$27,2)&lt;&gt;0,VLOOKUP($D3779,Draw!$A$4:$B$27,2),"")</f>
        <v/>
      </c>
      <c r="C3780" s="252"/>
      <c r="D3780" s="252"/>
      <c r="E3780" s="253"/>
      <c r="F3780" s="45"/>
      <c r="G3780" s="248" t="str">
        <f>IF(VLOOKUP($I3779,Draw!$A$4:$B$27,2)&lt;&gt;0,VLOOKUP($I3779,Draw!$A$4:$B$27,2),"")</f>
        <v/>
      </c>
      <c r="H3780" s="248"/>
      <c r="I3780" s="248"/>
      <c r="J3780" s="249"/>
    </row>
    <row r="3781" spans="1:10" ht="25.5" customHeight="1"/>
    <row r="3782" spans="1:10" ht="25.5" customHeight="1"/>
    <row r="3783" spans="1:10" ht="24" customHeight="1">
      <c r="A3783" s="48" t="s">
        <v>1246</v>
      </c>
      <c r="B3783" s="43"/>
      <c r="C3783" s="43"/>
      <c r="D3783" s="43"/>
      <c r="E3783" s="43"/>
      <c r="F3783" s="43"/>
      <c r="G3783" s="43"/>
      <c r="H3783" s="43"/>
      <c r="I3783" s="43"/>
      <c r="J3783" s="43"/>
    </row>
    <row r="3784" spans="1:10" ht="24" customHeight="1">
      <c r="A3784" s="48"/>
      <c r="B3784" s="43"/>
      <c r="C3784" s="43"/>
      <c r="D3784" s="43"/>
      <c r="E3784" s="43"/>
      <c r="F3784" s="43"/>
      <c r="G3784" s="43"/>
      <c r="H3784" s="43"/>
      <c r="I3784" s="43"/>
      <c r="J3784" s="43"/>
    </row>
    <row r="3785" spans="1:10">
      <c r="A3785" s="49" t="s">
        <v>1224</v>
      </c>
      <c r="B3785" s="46"/>
      <c r="C3785" s="46"/>
      <c r="D3785" s="46"/>
      <c r="E3785" s="46"/>
      <c r="F3785" s="46"/>
      <c r="G3785" s="260" t="s">
        <v>10336</v>
      </c>
      <c r="H3785" s="260"/>
      <c r="I3785" s="260"/>
      <c r="J3785" s="260"/>
    </row>
    <row r="3786" spans="1:10" ht="24" customHeight="1">
      <c r="A3786" s="50" t="str">
        <f>CONCATENATE($I3779,"1")</f>
        <v>J1</v>
      </c>
      <c r="B3786" s="255" t="str">
        <f>IF(VLOOKUP($A3786,Players!$A$2:$C$132,3)&lt;&gt;0,VLOOKUP($A3786,Players!$A$2:$C$132,3),"")</f>
        <v/>
      </c>
      <c r="C3786" s="255"/>
      <c r="D3786" s="255"/>
      <c r="E3786" s="255"/>
      <c r="F3786" s="255"/>
      <c r="G3786" s="254" t="str">
        <f>IF(VLOOKUP($D3779&amp;RIGHT($A3786,1),Players!$A$2:$D$132,3)&lt;&gt;0,VLOOKUP($D3779&amp;RIGHT($A3786,1),Players!$A$2:$D$132,3),"")</f>
        <v/>
      </c>
      <c r="H3786" s="254"/>
      <c r="I3786" s="254"/>
      <c r="J3786" s="210" t="str">
        <f>IF(VLOOKUP($D3779&amp;RIGHT($A3786,1),Players!$A$2:$D$132,3)&lt;&gt;0,"("&amp;VLOOKUP($D3779&amp;RIGHT($A3786,1),Players!$A$2:$D$132,4)&amp;")","")</f>
        <v/>
      </c>
    </row>
    <row r="3787" spans="1:10" ht="25.5" customHeight="1">
      <c r="A3787" s="50" t="str">
        <f>CONCATENATE($I3779,"2")</f>
        <v>J2</v>
      </c>
      <c r="B3787" s="255" t="str">
        <f>IF(VLOOKUP($A3787,Players!$A$2:$C$132,3)&lt;&gt;0,VLOOKUP($A3787,Players!$A$2:$C$132,3),"")</f>
        <v/>
      </c>
      <c r="C3787" s="255"/>
      <c r="D3787" s="255"/>
      <c r="E3787" s="255"/>
      <c r="F3787" s="255"/>
      <c r="G3787" s="254" t="str">
        <f>IF(VLOOKUP($D3779&amp;RIGHT($A3787,1),Players!$A$2:$D$132,3)&lt;&gt;0,VLOOKUP($D3779&amp;RIGHT($A3787,1),Players!$A$2:$D$132,3),"")</f>
        <v/>
      </c>
      <c r="H3787" s="254"/>
      <c r="I3787" s="254"/>
      <c r="J3787" s="210" t="str">
        <f>IF(VLOOKUP($D3779&amp;RIGHT($A3787,1),Players!$A$2:$D$132,3)&lt;&gt;0,"("&amp;VLOOKUP($D3779&amp;RIGHT($A3787,1),Players!$A$2:$D$132,4)&amp;")","")</f>
        <v/>
      </c>
    </row>
    <row r="3788" spans="1:10" ht="25.5" customHeight="1">
      <c r="A3788" s="50" t="str">
        <f>CONCATENATE($I3779,"3")</f>
        <v>J3</v>
      </c>
      <c r="B3788" s="255" t="str">
        <f>IF(VLOOKUP($A3788,Players!$A$2:$C$132,3)&lt;&gt;0,VLOOKUP($A3788,Players!$A$2:$C$132,3),"")</f>
        <v/>
      </c>
      <c r="C3788" s="255"/>
      <c r="D3788" s="255"/>
      <c r="E3788" s="255"/>
      <c r="F3788" s="255"/>
      <c r="G3788" s="254" t="str">
        <f>IF(VLOOKUP($D3779&amp;RIGHT($A3788,1),Players!$A$2:$D$132,3)&lt;&gt;0,VLOOKUP($D3779&amp;RIGHT($A3788,1),Players!$A$2:$D$132,3),"")</f>
        <v/>
      </c>
      <c r="H3788" s="254"/>
      <c r="I3788" s="254"/>
      <c r="J3788" s="210" t="str">
        <f>IF(VLOOKUP($D3779&amp;RIGHT($A3788,1),Players!$A$2:$D$132,3)&lt;&gt;0,"("&amp;VLOOKUP($D3779&amp;RIGHT($A3788,1),Players!$A$2:$D$132,4)&amp;")","")</f>
        <v/>
      </c>
    </row>
    <row r="3789" spans="1:10" ht="25.5" customHeight="1">
      <c r="A3789" s="50" t="str">
        <f>CONCATENATE($I3779,"4")</f>
        <v>J4</v>
      </c>
      <c r="B3789" s="255" t="str">
        <f>IF(VLOOKUP($A3789,Players!$A$2:$C$132,3)&lt;&gt;0,VLOOKUP($A3789,Players!$A$2:$C$132,3),"")</f>
        <v/>
      </c>
      <c r="C3789" s="255"/>
      <c r="D3789" s="255"/>
      <c r="E3789" s="255"/>
      <c r="F3789" s="255"/>
      <c r="G3789" s="254" t="str">
        <f>IF(VLOOKUP($D3779&amp;RIGHT($A3789,1),Players!$A$2:$D$132,3)&lt;&gt;0,VLOOKUP($D3779&amp;RIGHT($A3789,1),Players!$A$2:$D$132,3),"")</f>
        <v/>
      </c>
      <c r="H3789" s="254"/>
      <c r="I3789" s="254"/>
      <c r="J3789" s="210" t="str">
        <f>IF(VLOOKUP($D3779&amp;RIGHT($A3789,1),Players!$A$2:$D$132,3)&lt;&gt;0,"("&amp;VLOOKUP($D3779&amp;RIGHT($A3789,1),Players!$A$2:$D$132,4)&amp;")","")</f>
        <v/>
      </c>
    </row>
    <row r="3790" spans="1:10" ht="25.5" customHeight="1">
      <c r="A3790" s="50" t="str">
        <f>CONCATENATE($I3779,"5")</f>
        <v>J5</v>
      </c>
      <c r="B3790" s="255" t="str">
        <f>IF(VLOOKUP($A3790,Players!$A$2:$C$132,3)&lt;&gt;0,VLOOKUP($A3790,Players!$A$2:$C$132,3),"")</f>
        <v/>
      </c>
      <c r="C3790" s="255"/>
      <c r="D3790" s="255"/>
      <c r="E3790" s="255"/>
      <c r="F3790" s="255"/>
      <c r="G3790" s="254" t="str">
        <f>IF(VLOOKUP($D3779&amp;RIGHT($A3790,1),Players!$A$2:$D$132,3)&lt;&gt;0,VLOOKUP($D3779&amp;RIGHT($A3790,1),Players!$A$2:$D$132,3),"")</f>
        <v/>
      </c>
      <c r="H3790" s="254"/>
      <c r="I3790" s="254"/>
      <c r="J3790" s="210" t="str">
        <f>IF(VLOOKUP($D3779&amp;RIGHT($A3790,1),Players!$A$2:$D$132,3)&lt;&gt;0,"("&amp;VLOOKUP($D3779&amp;RIGHT($A3790,1),Players!$A$2:$D$132,4)&amp;")","")</f>
        <v/>
      </c>
    </row>
    <row r="3791" spans="1:10" ht="25.5" customHeight="1">
      <c r="A3791" s="50" t="str">
        <f>CONCATENATE($I3779,"6")</f>
        <v>J6</v>
      </c>
      <c r="B3791" s="255" t="str">
        <f>IF(VLOOKUP($A3791,Players!$A$2:$C$132,3)&lt;&gt;0,VLOOKUP($A3791,Players!$A$2:$C$132,3),"")</f>
        <v/>
      </c>
      <c r="C3791" s="255"/>
      <c r="D3791" s="255"/>
      <c r="E3791" s="255"/>
      <c r="F3791" s="255"/>
      <c r="G3791" s="254" t="str">
        <f>IF(VLOOKUP($D3779&amp;RIGHT($A3791,1),Players!$A$2:$D$132,3)&lt;&gt;0,VLOOKUP($D3779&amp;RIGHT($A3791,1),Players!$A$2:$D$132,3),"")</f>
        <v/>
      </c>
      <c r="H3791" s="254"/>
      <c r="I3791" s="254"/>
      <c r="J3791" s="210" t="str">
        <f>IF(VLOOKUP($D3779&amp;RIGHT($A3791,1),Players!$A$2:$D$132,3)&lt;&gt;0,"("&amp;VLOOKUP($D3779&amp;RIGHT($A3791,1),Players!$A$2:$D$132,4)&amp;")","")</f>
        <v/>
      </c>
    </row>
    <row r="3792" spans="1:10" ht="25.5" customHeight="1">
      <c r="A3792" s="50" t="str">
        <f>CONCATENATE($I3779,"7")</f>
        <v>J7</v>
      </c>
      <c r="B3792" s="255" t="str">
        <f>IF(VLOOKUP($A3792,Players!$A$2:$C$132,3)&lt;&gt;0,VLOOKUP($A3792,Players!$A$2:$C$132,3),"")</f>
        <v/>
      </c>
      <c r="C3792" s="255"/>
      <c r="D3792" s="255"/>
      <c r="E3792" s="255"/>
      <c r="F3792" s="255"/>
      <c r="G3792" s="254" t="str">
        <f>IF(VLOOKUP($D3779&amp;RIGHT($A3792,1),Players!$A$2:$D$132,3)&lt;&gt;0,VLOOKUP($D3779&amp;RIGHT($A3792,1),Players!$A$2:$D$132,3),"")</f>
        <v/>
      </c>
      <c r="H3792" s="254"/>
      <c r="I3792" s="254"/>
      <c r="J3792" s="210" t="str">
        <f>IF(VLOOKUP($D3779&amp;RIGHT($A3792,1),Players!$A$2:$D$132,3)&lt;&gt;0,"("&amp;VLOOKUP($D3779&amp;RIGHT($A3792,1),Players!$A$2:$D$132,4)&amp;")","")</f>
        <v/>
      </c>
    </row>
    <row r="3793" spans="1:10" ht="25.5" customHeight="1">
      <c r="A3793" s="50" t="str">
        <f>CONCATENATE($I3779,"8")</f>
        <v>J8</v>
      </c>
      <c r="B3793" s="255" t="str">
        <f>IF(VLOOKUP($A3793,Players!$A$2:$C$132,3)&lt;&gt;0,VLOOKUP($A3793,Players!$A$2:$C$132,3),"")</f>
        <v/>
      </c>
      <c r="C3793" s="255"/>
      <c r="D3793" s="255"/>
      <c r="E3793" s="255"/>
      <c r="F3793" s="255"/>
      <c r="G3793" s="254" t="str">
        <f>IF(VLOOKUP($D3779&amp;RIGHT($A3793,1),Players!$A$2:$D$132,3)&lt;&gt;0,VLOOKUP($D3779&amp;RIGHT($A3793,1),Players!$A$2:$D$132,3),"")</f>
        <v/>
      </c>
      <c r="H3793" s="254"/>
      <c r="I3793" s="254"/>
      <c r="J3793" s="210" t="str">
        <f>IF(VLOOKUP($D3779&amp;RIGHT($A3793,1),Players!$A$2:$D$132,3)&lt;&gt;0,"("&amp;VLOOKUP($D3779&amp;RIGHT($A3793,1),Players!$A$2:$D$132,4)&amp;")","")</f>
        <v/>
      </c>
    </row>
    <row r="3794" spans="1:10" ht="25.5" customHeight="1">
      <c r="A3794" s="50"/>
      <c r="B3794" s="26"/>
      <c r="C3794" s="26"/>
      <c r="D3794" s="26"/>
      <c r="E3794" s="26"/>
      <c r="F3794" s="27"/>
      <c r="G3794" s="43"/>
      <c r="H3794" s="43"/>
      <c r="I3794" s="43"/>
      <c r="J3794" s="43"/>
    </row>
    <row r="3795" spans="1:10">
      <c r="A3795" s="49" t="s">
        <v>1225</v>
      </c>
      <c r="B3795" s="46"/>
      <c r="C3795" s="46"/>
      <c r="D3795" s="46"/>
      <c r="E3795" s="46"/>
      <c r="F3795" s="46"/>
      <c r="G3795" s="43"/>
      <c r="H3795" s="43"/>
      <c r="I3795" s="43"/>
      <c r="J3795" s="43"/>
    </row>
    <row r="3796" spans="1:10">
      <c r="A3796" s="46" t="s">
        <v>1247</v>
      </c>
      <c r="B3796" s="46"/>
      <c r="C3796" s="46"/>
      <c r="D3796" s="46"/>
      <c r="E3796" s="46"/>
      <c r="F3796" s="46"/>
      <c r="G3796" s="43"/>
      <c r="H3796" s="43"/>
      <c r="I3796" s="43"/>
      <c r="J3796" s="43"/>
    </row>
    <row r="3797" spans="1:10">
      <c r="A3797" s="46" t="s">
        <v>1248</v>
      </c>
      <c r="B3797" s="46"/>
      <c r="C3797" s="46"/>
      <c r="D3797" s="46"/>
      <c r="E3797" s="46"/>
      <c r="F3797" s="46"/>
      <c r="G3797" s="43"/>
      <c r="H3797" s="43"/>
      <c r="I3797" s="43"/>
      <c r="J3797" s="43"/>
    </row>
    <row r="3798" spans="1:10" ht="13.5" thickBot="1">
      <c r="A3798" s="46"/>
      <c r="B3798" s="46"/>
      <c r="C3798" s="46"/>
      <c r="D3798" s="46"/>
      <c r="E3798" s="46"/>
      <c r="F3798" s="46"/>
      <c r="G3798" s="43"/>
      <c r="H3798" s="43"/>
      <c r="I3798" s="43"/>
      <c r="J3798" s="43"/>
    </row>
    <row r="3799" spans="1:10" ht="25.5" customHeight="1" thickBot="1">
      <c r="A3799" s="50"/>
      <c r="B3799" s="257"/>
      <c r="C3799" s="258"/>
      <c r="D3799" s="258"/>
      <c r="E3799" s="258"/>
      <c r="F3799" s="259"/>
      <c r="G3799" s="43"/>
      <c r="H3799" s="43"/>
      <c r="I3799" s="43"/>
      <c r="J3799" s="43"/>
    </row>
    <row r="3800" spans="1:10">
      <c r="A3800" s="43"/>
      <c r="B3800" s="43"/>
      <c r="C3800" s="43"/>
      <c r="D3800" s="43"/>
      <c r="E3800" s="43"/>
      <c r="F3800" s="43"/>
      <c r="G3800" s="43"/>
      <c r="H3800" s="43"/>
      <c r="I3800" s="43"/>
      <c r="J3800" s="43"/>
    </row>
    <row r="3801" spans="1:10">
      <c r="A3801" s="43"/>
      <c r="B3801" s="43"/>
      <c r="C3801" s="43"/>
      <c r="D3801" s="43"/>
      <c r="E3801" s="43"/>
      <c r="F3801" s="43"/>
      <c r="G3801" s="43"/>
      <c r="H3801" s="43"/>
      <c r="I3801" s="43"/>
      <c r="J3801" s="43"/>
    </row>
    <row r="3802" spans="1:10">
      <c r="A3802" s="43"/>
      <c r="B3802" s="43"/>
      <c r="C3802" s="43"/>
      <c r="D3802" s="43"/>
      <c r="E3802" s="43"/>
      <c r="F3802" s="43"/>
      <c r="G3802" s="43"/>
      <c r="H3802" s="43"/>
      <c r="I3802" s="43"/>
      <c r="J3802" s="43"/>
    </row>
    <row r="3803" spans="1:10">
      <c r="A3803" s="43"/>
      <c r="B3803" s="43"/>
      <c r="C3803" s="43"/>
      <c r="D3803" s="43"/>
      <c r="E3803" s="43"/>
      <c r="F3803" s="43"/>
      <c r="G3803" s="43"/>
      <c r="H3803" s="43"/>
      <c r="I3803" s="43"/>
      <c r="J3803" s="43"/>
    </row>
    <row r="3804" spans="1:10">
      <c r="A3804" s="43"/>
      <c r="B3804" s="43"/>
      <c r="C3804" s="43"/>
      <c r="D3804" s="43"/>
      <c r="E3804" s="43"/>
      <c r="F3804" s="43"/>
      <c r="G3804" s="43"/>
      <c r="H3804" s="43"/>
      <c r="I3804" s="43"/>
      <c r="J3804" s="43"/>
    </row>
    <row r="3805" spans="1:10" ht="25.5" customHeight="1">
      <c r="A3805" s="47"/>
      <c r="B3805" s="47"/>
      <c r="C3805" s="47"/>
      <c r="D3805" s="47"/>
      <c r="E3805" s="47"/>
      <c r="F3805" s="43"/>
      <c r="G3805" s="51"/>
      <c r="H3805" s="250" t="s">
        <v>1227</v>
      </c>
      <c r="I3805" s="251"/>
      <c r="J3805" s="43"/>
    </row>
    <row r="3806" spans="1:10">
      <c r="A3806" s="43" t="s">
        <v>1226</v>
      </c>
      <c r="B3806" s="43"/>
      <c r="C3806" s="43"/>
      <c r="D3806" s="43"/>
      <c r="E3806" s="43"/>
      <c r="F3806" s="43"/>
      <c r="G3806" s="43"/>
      <c r="H3806" s="43"/>
      <c r="I3806" s="43"/>
      <c r="J3806" s="43"/>
    </row>
    <row r="3807" spans="1:10">
      <c r="A3807" s="43"/>
      <c r="B3807" s="43"/>
      <c r="C3807" s="43"/>
      <c r="D3807" s="43"/>
      <c r="E3807" s="43"/>
      <c r="F3807" s="43"/>
      <c r="G3807" s="43"/>
      <c r="H3807" s="43"/>
      <c r="I3807" s="43"/>
      <c r="J3807" s="43"/>
    </row>
    <row r="3808" spans="1:10">
      <c r="A3808" s="43"/>
      <c r="B3808" s="43"/>
      <c r="C3808" s="43"/>
      <c r="D3808" s="43"/>
      <c r="E3808" s="256" t="str">
        <f>CONCATENATE("(",$D3779," vs ",$I3779,")")</f>
        <v>(F vs J)</v>
      </c>
      <c r="F3808" s="256"/>
      <c r="G3808" s="43"/>
      <c r="H3808" s="43"/>
      <c r="I3808" s="43"/>
      <c r="J3808" s="43"/>
    </row>
    <row r="3809" spans="1:10" ht="15.75">
      <c r="A3809" s="42" t="s">
        <v>1223</v>
      </c>
      <c r="B3809" s="43"/>
      <c r="C3809" s="43"/>
      <c r="D3809" s="43"/>
      <c r="E3809" s="43"/>
      <c r="F3809" s="43"/>
      <c r="G3809" s="43"/>
      <c r="H3809" s="43"/>
      <c r="I3809" s="43"/>
      <c r="J3809" s="96" t="s">
        <v>4331</v>
      </c>
    </row>
    <row r="3810" spans="1:10" ht="12.75" customHeight="1">
      <c r="A3810" s="42"/>
      <c r="B3810" s="43"/>
      <c r="C3810" s="43"/>
      <c r="D3810" s="43"/>
      <c r="E3810" s="43"/>
      <c r="F3810" s="43"/>
      <c r="G3810" s="43" t="str">
        <f ca="1">Team_Matches!$J$6</f>
        <v>[NCTTA Teams Template (v2.06).xlsx]</v>
      </c>
      <c r="H3810" s="43"/>
      <c r="I3810" s="43"/>
      <c r="J3810" s="160"/>
    </row>
    <row r="3811" spans="1:10" ht="12.75" customHeight="1">
      <c r="A3811" s="42"/>
      <c r="B3811" s="43"/>
      <c r="C3811" s="43"/>
      <c r="D3811" s="43"/>
      <c r="E3811" s="43"/>
      <c r="F3811" s="43"/>
      <c r="G3811" s="247" t="str">
        <f>Team_Matches!$J2863</f>
        <v/>
      </c>
      <c r="H3811" s="247"/>
      <c r="I3811" s="161" t="str">
        <f>Team_Matches!$M2863</f>
        <v/>
      </c>
      <c r="J3811" s="161"/>
    </row>
    <row r="3812" spans="1:10" ht="15.75">
      <c r="A3812" s="42"/>
      <c r="B3812" s="43"/>
      <c r="C3812" s="43"/>
      <c r="D3812" s="43"/>
      <c r="E3812" s="43"/>
      <c r="F3812" s="43"/>
      <c r="G3812" s="43"/>
      <c r="H3812" s="43"/>
      <c r="I3812" s="43"/>
      <c r="J3812" s="43"/>
    </row>
    <row r="3813" spans="1:10">
      <c r="A3813" s="43"/>
      <c r="B3813" s="43"/>
      <c r="C3813" s="9" t="s">
        <v>1228</v>
      </c>
      <c r="D3813" s="52" t="str">
        <f>Team_Matches!$B2865</f>
        <v>F</v>
      </c>
      <c r="E3813" s="43"/>
      <c r="F3813" s="97" t="str">
        <f>CONCATENATE($D3813,"-",$I3813)</f>
        <v>F-K</v>
      </c>
      <c r="G3813" s="43"/>
      <c r="H3813" s="9" t="s">
        <v>1228</v>
      </c>
      <c r="I3813" s="52" t="str">
        <f>Team_Matches!$K2865</f>
        <v>K</v>
      </c>
      <c r="J3813" s="43"/>
    </row>
    <row r="3814" spans="1:10" ht="25.5" customHeight="1">
      <c r="A3814" s="44"/>
      <c r="B3814" s="248" t="str">
        <f>IF(VLOOKUP($D3813,Draw!$A$4:$B$27,2)&lt;&gt;0,VLOOKUP($D3813,Draw!$A$4:$B$27,2),"")</f>
        <v/>
      </c>
      <c r="C3814" s="248"/>
      <c r="D3814" s="248"/>
      <c r="E3814" s="249"/>
      <c r="F3814" s="45"/>
      <c r="G3814" s="252" t="str">
        <f>IF(VLOOKUP($I3813,Draw!$A$4:$B$27,2)&lt;&gt;0,VLOOKUP($I3813,Draw!$A$4:$B$27,2),"")</f>
        <v/>
      </c>
      <c r="H3814" s="252"/>
      <c r="I3814" s="252"/>
      <c r="J3814" s="253"/>
    </row>
    <row r="3815" spans="1:10" ht="25.5" customHeight="1"/>
    <row r="3816" spans="1:10" ht="25.5" customHeight="1"/>
    <row r="3817" spans="1:10" ht="24" customHeight="1">
      <c r="A3817" s="48" t="s">
        <v>1246</v>
      </c>
      <c r="B3817" s="43"/>
      <c r="C3817" s="43"/>
      <c r="D3817" s="43"/>
      <c r="E3817" s="43"/>
      <c r="F3817" s="43"/>
      <c r="G3817" s="43"/>
      <c r="H3817" s="43"/>
      <c r="I3817" s="43"/>
      <c r="J3817" s="43"/>
    </row>
    <row r="3818" spans="1:10" ht="24" customHeight="1">
      <c r="A3818" s="48"/>
      <c r="B3818" s="43"/>
      <c r="C3818" s="43"/>
      <c r="D3818" s="43"/>
      <c r="E3818" s="43"/>
      <c r="F3818" s="43"/>
      <c r="G3818" s="43"/>
      <c r="H3818" s="43"/>
      <c r="I3818" s="43"/>
      <c r="J3818" s="43"/>
    </row>
    <row r="3819" spans="1:10">
      <c r="A3819" s="49" t="s">
        <v>1224</v>
      </c>
      <c r="B3819" s="46"/>
      <c r="C3819" s="46"/>
      <c r="D3819" s="46"/>
      <c r="E3819" s="46"/>
      <c r="F3819" s="46"/>
      <c r="G3819" s="260" t="s">
        <v>10336</v>
      </c>
      <c r="H3819" s="260"/>
      <c r="I3819" s="260"/>
      <c r="J3819" s="260"/>
    </row>
    <row r="3820" spans="1:10" ht="24" customHeight="1">
      <c r="A3820" s="50" t="str">
        <f>CONCATENATE($D3813,"1")</f>
        <v>F1</v>
      </c>
      <c r="B3820" s="255" t="str">
        <f>IF(VLOOKUP($A3820,Players!$A$2:$C$132,3)&lt;&gt;0,VLOOKUP($A3820,Players!$A$2:$C$132,3),"")</f>
        <v/>
      </c>
      <c r="C3820" s="255"/>
      <c r="D3820" s="255"/>
      <c r="E3820" s="255"/>
      <c r="F3820" s="255"/>
      <c r="G3820" s="254" t="str">
        <f>IF(VLOOKUP($I3813&amp;RIGHT($A3820,1),Players!$A$2:$D$132,3)&lt;&gt;0,VLOOKUP($I3813&amp;RIGHT($A3820,1),Players!$A$2:$D$132,3),"")</f>
        <v/>
      </c>
      <c r="H3820" s="254"/>
      <c r="I3820" s="254"/>
      <c r="J3820" s="210" t="str">
        <f>IF(VLOOKUP($I3813&amp;RIGHT($A3820,1),Players!$A$2:$D$132,3)&lt;&gt;0,"("&amp;VLOOKUP($I3813&amp;RIGHT($A3820,1),Players!$A$2:$D$132,4)&amp;")","")</f>
        <v/>
      </c>
    </row>
    <row r="3821" spans="1:10" ht="25.5" customHeight="1">
      <c r="A3821" s="50" t="str">
        <f>CONCATENATE($D3813,"2")</f>
        <v>F2</v>
      </c>
      <c r="B3821" s="255" t="str">
        <f>IF(VLOOKUP($A3821,Players!$A$2:$C$132,3)&lt;&gt;0,VLOOKUP($A3821,Players!$A$2:$C$132,3),"")</f>
        <v/>
      </c>
      <c r="C3821" s="255"/>
      <c r="D3821" s="255"/>
      <c r="E3821" s="255"/>
      <c r="F3821" s="255"/>
      <c r="G3821" s="254" t="str">
        <f>IF(VLOOKUP($I3813&amp;RIGHT($A3821,1),Players!$A$2:$D$132,3)&lt;&gt;0,VLOOKUP($I3813&amp;RIGHT($A3821,1),Players!$A$2:$D$132,3),"")</f>
        <v/>
      </c>
      <c r="H3821" s="254"/>
      <c r="I3821" s="254"/>
      <c r="J3821" s="210" t="str">
        <f>IF(VLOOKUP($I3813&amp;RIGHT($A3821,1),Players!$A$2:$D$132,3)&lt;&gt;0,"("&amp;VLOOKUP($I3813&amp;RIGHT($A3821,1),Players!$A$2:$D$132,4)&amp;")","")</f>
        <v/>
      </c>
    </row>
    <row r="3822" spans="1:10" ht="25.5" customHeight="1">
      <c r="A3822" s="50" t="str">
        <f>CONCATENATE($D3813,"3")</f>
        <v>F3</v>
      </c>
      <c r="B3822" s="255" t="str">
        <f>IF(VLOOKUP($A3822,Players!$A$2:$C$132,3)&lt;&gt;0,VLOOKUP($A3822,Players!$A$2:$C$132,3),"")</f>
        <v/>
      </c>
      <c r="C3822" s="255"/>
      <c r="D3822" s="255"/>
      <c r="E3822" s="255"/>
      <c r="F3822" s="255"/>
      <c r="G3822" s="254" t="str">
        <f>IF(VLOOKUP($I3813&amp;RIGHT($A3822,1),Players!$A$2:$D$132,3)&lt;&gt;0,VLOOKUP($I3813&amp;RIGHT($A3822,1),Players!$A$2:$D$132,3),"")</f>
        <v/>
      </c>
      <c r="H3822" s="254"/>
      <c r="I3822" s="254"/>
      <c r="J3822" s="210" t="str">
        <f>IF(VLOOKUP($I3813&amp;RIGHT($A3822,1),Players!$A$2:$D$132,3)&lt;&gt;0,"("&amp;VLOOKUP($I3813&amp;RIGHT($A3822,1),Players!$A$2:$D$132,4)&amp;")","")</f>
        <v/>
      </c>
    </row>
    <row r="3823" spans="1:10" ht="25.5" customHeight="1">
      <c r="A3823" s="50" t="str">
        <f>CONCATENATE($D3813,"4")</f>
        <v>F4</v>
      </c>
      <c r="B3823" s="255" t="str">
        <f>IF(VLOOKUP($A3823,Players!$A$2:$C$132,3)&lt;&gt;0,VLOOKUP($A3823,Players!$A$2:$C$132,3),"")</f>
        <v/>
      </c>
      <c r="C3823" s="255"/>
      <c r="D3823" s="255"/>
      <c r="E3823" s="255"/>
      <c r="F3823" s="255"/>
      <c r="G3823" s="254" t="str">
        <f>IF(VLOOKUP($I3813&amp;RIGHT($A3823,1),Players!$A$2:$D$132,3)&lt;&gt;0,VLOOKUP($I3813&amp;RIGHT($A3823,1),Players!$A$2:$D$132,3),"")</f>
        <v/>
      </c>
      <c r="H3823" s="254"/>
      <c r="I3823" s="254"/>
      <c r="J3823" s="210" t="str">
        <f>IF(VLOOKUP($I3813&amp;RIGHT($A3823,1),Players!$A$2:$D$132,3)&lt;&gt;0,"("&amp;VLOOKUP($I3813&amp;RIGHT($A3823,1),Players!$A$2:$D$132,4)&amp;")","")</f>
        <v/>
      </c>
    </row>
    <row r="3824" spans="1:10" ht="25.5" customHeight="1">
      <c r="A3824" s="50" t="str">
        <f>CONCATENATE($D3813,"5")</f>
        <v>F5</v>
      </c>
      <c r="B3824" s="255" t="str">
        <f>IF(VLOOKUP($A3824,Players!$A$2:$C$132,3)&lt;&gt;0,VLOOKUP($A3824,Players!$A$2:$C$132,3),"")</f>
        <v/>
      </c>
      <c r="C3824" s="255"/>
      <c r="D3824" s="255"/>
      <c r="E3824" s="255"/>
      <c r="F3824" s="255"/>
      <c r="G3824" s="254" t="str">
        <f>IF(VLOOKUP($I3813&amp;RIGHT($A3824,1),Players!$A$2:$D$132,3)&lt;&gt;0,VLOOKUP($I3813&amp;RIGHT($A3824,1),Players!$A$2:$D$132,3),"")</f>
        <v/>
      </c>
      <c r="H3824" s="254"/>
      <c r="I3824" s="254"/>
      <c r="J3824" s="210" t="str">
        <f>IF(VLOOKUP($I3813&amp;RIGHT($A3824,1),Players!$A$2:$D$132,3)&lt;&gt;0,"("&amp;VLOOKUP($I3813&amp;RIGHT($A3824,1),Players!$A$2:$D$132,4)&amp;")","")</f>
        <v/>
      </c>
    </row>
    <row r="3825" spans="1:10" ht="25.5" customHeight="1">
      <c r="A3825" s="50" t="str">
        <f>CONCATENATE($D3813,"6")</f>
        <v>F6</v>
      </c>
      <c r="B3825" s="255" t="str">
        <f>IF(VLOOKUP($A3825,Players!$A$2:$C$132,3)&lt;&gt;0,VLOOKUP($A3825,Players!$A$2:$C$132,3),"")</f>
        <v/>
      </c>
      <c r="C3825" s="255"/>
      <c r="D3825" s="255"/>
      <c r="E3825" s="255"/>
      <c r="F3825" s="255"/>
      <c r="G3825" s="254" t="str">
        <f>IF(VLOOKUP($I3813&amp;RIGHT($A3825,1),Players!$A$2:$D$132,3)&lt;&gt;0,VLOOKUP($I3813&amp;RIGHT($A3825,1),Players!$A$2:$D$132,3),"")</f>
        <v/>
      </c>
      <c r="H3825" s="254"/>
      <c r="I3825" s="254"/>
      <c r="J3825" s="210" t="str">
        <f>IF(VLOOKUP($I3813&amp;RIGHT($A3825,1),Players!$A$2:$D$132,3)&lt;&gt;0,"("&amp;VLOOKUP($I3813&amp;RIGHT($A3825,1),Players!$A$2:$D$132,4)&amp;")","")</f>
        <v/>
      </c>
    </row>
    <row r="3826" spans="1:10" ht="25.5" customHeight="1">
      <c r="A3826" s="50" t="str">
        <f>CONCATENATE($D3813,"7")</f>
        <v>F7</v>
      </c>
      <c r="B3826" s="255" t="str">
        <f>IF(VLOOKUP($A3826,Players!$A$2:$C$132,3)&lt;&gt;0,VLOOKUP($A3826,Players!$A$2:$C$132,3),"")</f>
        <v/>
      </c>
      <c r="C3826" s="255"/>
      <c r="D3826" s="255"/>
      <c r="E3826" s="255"/>
      <c r="F3826" s="255"/>
      <c r="G3826" s="254" t="str">
        <f>IF(VLOOKUP($I3813&amp;RIGHT($A3826,1),Players!$A$2:$D$132,3)&lt;&gt;0,VLOOKUP($I3813&amp;RIGHT($A3826,1),Players!$A$2:$D$132,3),"")</f>
        <v/>
      </c>
      <c r="H3826" s="254"/>
      <c r="I3826" s="254"/>
      <c r="J3826" s="210" t="str">
        <f>IF(VLOOKUP($I3813&amp;RIGHT($A3826,1),Players!$A$2:$D$132,3)&lt;&gt;0,"("&amp;VLOOKUP($I3813&amp;RIGHT($A3826,1),Players!$A$2:$D$132,4)&amp;")","")</f>
        <v/>
      </c>
    </row>
    <row r="3827" spans="1:10" ht="25.5" customHeight="1">
      <c r="A3827" s="50" t="str">
        <f>CONCATENATE($D3813,"8")</f>
        <v>F8</v>
      </c>
      <c r="B3827" s="255" t="str">
        <f>IF(VLOOKUP($A3827,Players!$A$2:$C$132,3)&lt;&gt;0,VLOOKUP($A3827,Players!$A$2:$C$132,3),"")</f>
        <v/>
      </c>
      <c r="C3827" s="255"/>
      <c r="D3827" s="255"/>
      <c r="E3827" s="255"/>
      <c r="F3827" s="255"/>
      <c r="G3827" s="254" t="str">
        <f>IF(VLOOKUP($I3813&amp;RIGHT($A3827,1),Players!$A$2:$D$132,3)&lt;&gt;0,VLOOKUP($I3813&amp;RIGHT($A3827,1),Players!$A$2:$D$132,3),"")</f>
        <v/>
      </c>
      <c r="H3827" s="254"/>
      <c r="I3827" s="254"/>
      <c r="J3827" s="210" t="str">
        <f>IF(VLOOKUP($I3813&amp;RIGHT($A3827,1),Players!$A$2:$D$132,3)&lt;&gt;0,"("&amp;VLOOKUP($I3813&amp;RIGHT($A3827,1),Players!$A$2:$D$132,4)&amp;")","")</f>
        <v/>
      </c>
    </row>
    <row r="3828" spans="1:10" ht="25.5" customHeight="1">
      <c r="A3828" s="50"/>
      <c r="B3828" s="26"/>
      <c r="C3828" s="26"/>
      <c r="D3828" s="26"/>
      <c r="E3828" s="26"/>
      <c r="F3828" s="27"/>
      <c r="G3828" s="43"/>
      <c r="H3828" s="43"/>
      <c r="I3828" s="43"/>
      <c r="J3828" s="43"/>
    </row>
    <row r="3829" spans="1:10">
      <c r="A3829" s="49" t="s">
        <v>1225</v>
      </c>
      <c r="B3829" s="46"/>
      <c r="C3829" s="46"/>
      <c r="D3829" s="46"/>
      <c r="E3829" s="46"/>
      <c r="F3829" s="46"/>
      <c r="G3829" s="43"/>
      <c r="H3829" s="43"/>
      <c r="I3829" s="43"/>
      <c r="J3829" s="43"/>
    </row>
    <row r="3830" spans="1:10">
      <c r="A3830" s="46" t="s">
        <v>1247</v>
      </c>
      <c r="B3830" s="46"/>
      <c r="C3830" s="46"/>
      <c r="D3830" s="46"/>
      <c r="E3830" s="46"/>
      <c r="F3830" s="46"/>
      <c r="G3830" s="43"/>
      <c r="H3830" s="43"/>
      <c r="I3830" s="43"/>
      <c r="J3830" s="43"/>
    </row>
    <row r="3831" spans="1:10">
      <c r="A3831" s="46" t="s">
        <v>1248</v>
      </c>
      <c r="B3831" s="46"/>
      <c r="C3831" s="46"/>
      <c r="D3831" s="46"/>
      <c r="E3831" s="46"/>
      <c r="F3831" s="46"/>
      <c r="G3831" s="43"/>
      <c r="H3831" s="43"/>
      <c r="I3831" s="43"/>
      <c r="J3831" s="43"/>
    </row>
    <row r="3832" spans="1:10" ht="13.5" thickBot="1">
      <c r="A3832" s="46"/>
      <c r="B3832" s="46"/>
      <c r="C3832" s="46"/>
      <c r="D3832" s="46"/>
      <c r="E3832" s="46"/>
      <c r="F3832" s="46"/>
      <c r="G3832" s="43"/>
      <c r="H3832" s="43"/>
      <c r="I3832" s="43"/>
      <c r="J3832" s="43"/>
    </row>
    <row r="3833" spans="1:10" ht="25.5" customHeight="1" thickBot="1">
      <c r="A3833" s="50"/>
      <c r="B3833" s="257"/>
      <c r="C3833" s="258"/>
      <c r="D3833" s="258"/>
      <c r="E3833" s="258"/>
      <c r="F3833" s="259"/>
      <c r="G3833" s="43"/>
      <c r="H3833" s="43"/>
      <c r="I3833" s="43"/>
      <c r="J3833" s="43"/>
    </row>
    <row r="3834" spans="1:10">
      <c r="A3834" s="43"/>
      <c r="B3834" s="43"/>
      <c r="C3834" s="43"/>
      <c r="D3834" s="43"/>
      <c r="E3834" s="43"/>
      <c r="F3834" s="43"/>
      <c r="G3834" s="43"/>
      <c r="H3834" s="43"/>
      <c r="I3834" s="43"/>
      <c r="J3834" s="43"/>
    </row>
    <row r="3835" spans="1:10">
      <c r="A3835" s="43"/>
      <c r="B3835" s="43"/>
      <c r="C3835" s="43"/>
      <c r="D3835" s="43"/>
      <c r="E3835" s="43"/>
      <c r="F3835" s="43"/>
      <c r="G3835" s="43"/>
      <c r="H3835" s="43"/>
      <c r="I3835" s="43"/>
      <c r="J3835" s="43"/>
    </row>
    <row r="3836" spans="1:10">
      <c r="A3836" s="43"/>
      <c r="B3836" s="43"/>
      <c r="C3836" s="43"/>
      <c r="D3836" s="43"/>
      <c r="E3836" s="43"/>
      <c r="F3836" s="43"/>
      <c r="G3836" s="43"/>
      <c r="H3836" s="43"/>
      <c r="I3836" s="43"/>
      <c r="J3836" s="43"/>
    </row>
    <row r="3837" spans="1:10">
      <c r="A3837" s="43"/>
      <c r="B3837" s="43"/>
      <c r="C3837" s="43"/>
      <c r="D3837" s="43"/>
      <c r="E3837" s="43"/>
      <c r="F3837" s="43"/>
      <c r="G3837" s="43"/>
      <c r="H3837" s="43"/>
      <c r="I3837" s="43"/>
      <c r="J3837" s="43"/>
    </row>
    <row r="3838" spans="1:10">
      <c r="A3838" s="43"/>
      <c r="B3838" s="43"/>
      <c r="C3838" s="43"/>
      <c r="D3838" s="43"/>
      <c r="E3838" s="43"/>
      <c r="F3838" s="43"/>
      <c r="G3838" s="43"/>
      <c r="H3838" s="43"/>
      <c r="I3838" s="43"/>
      <c r="J3838" s="43"/>
    </row>
    <row r="3839" spans="1:10" ht="25.5" customHeight="1">
      <c r="A3839" s="47"/>
      <c r="B3839" s="47"/>
      <c r="C3839" s="47"/>
      <c r="D3839" s="47"/>
      <c r="E3839" s="47"/>
      <c r="F3839" s="43"/>
      <c r="G3839" s="51"/>
      <c r="H3839" s="250" t="s">
        <v>1227</v>
      </c>
      <c r="I3839" s="251"/>
      <c r="J3839" s="43"/>
    </row>
    <row r="3840" spans="1:10">
      <c r="A3840" s="43" t="s">
        <v>1226</v>
      </c>
      <c r="B3840" s="43"/>
      <c r="C3840" s="43"/>
      <c r="D3840" s="43"/>
      <c r="E3840" s="43"/>
      <c r="F3840" s="43"/>
      <c r="G3840" s="43"/>
      <c r="H3840" s="43"/>
      <c r="I3840" s="43"/>
      <c r="J3840" s="43"/>
    </row>
    <row r="3841" spans="1:10">
      <c r="A3841" s="43"/>
      <c r="B3841" s="43"/>
      <c r="C3841" s="43"/>
      <c r="D3841" s="43"/>
      <c r="E3841" s="43"/>
      <c r="F3841" s="43"/>
      <c r="G3841" s="43"/>
      <c r="H3841" s="43"/>
      <c r="I3841" s="43"/>
      <c r="J3841" s="43"/>
    </row>
    <row r="3842" spans="1:10">
      <c r="A3842" s="43"/>
      <c r="B3842" s="43"/>
      <c r="C3842" s="43"/>
      <c r="D3842" s="43"/>
      <c r="E3842" s="256" t="str">
        <f>CONCATENATE("(",$D3813," vs ",$I3813,")")</f>
        <v>(F vs K)</v>
      </c>
      <c r="F3842" s="256"/>
      <c r="G3842" s="43"/>
      <c r="H3842" s="43"/>
      <c r="I3842" s="43"/>
      <c r="J3842" s="43"/>
    </row>
    <row r="3843" spans="1:10" ht="15.75">
      <c r="A3843" s="42" t="s">
        <v>1223</v>
      </c>
      <c r="B3843" s="43"/>
      <c r="C3843" s="43"/>
      <c r="D3843" s="43"/>
      <c r="E3843" s="43"/>
      <c r="F3843" s="43"/>
      <c r="G3843" s="43"/>
      <c r="H3843" s="43"/>
      <c r="I3843" s="43"/>
      <c r="J3843" s="96" t="s">
        <v>4332</v>
      </c>
    </row>
    <row r="3844" spans="1:10" ht="12.75" customHeight="1">
      <c r="A3844" s="42"/>
      <c r="B3844" s="43"/>
      <c r="C3844" s="43"/>
      <c r="D3844" s="43"/>
      <c r="E3844" s="43"/>
      <c r="F3844" s="43"/>
      <c r="G3844" s="43" t="str">
        <f ca="1">Team_Matches!$J$6</f>
        <v>[NCTTA Teams Template (v2.06).xlsx]</v>
      </c>
      <c r="H3844" s="43"/>
      <c r="I3844" s="43"/>
      <c r="J3844" s="160"/>
    </row>
    <row r="3845" spans="1:10" ht="12.75" customHeight="1">
      <c r="A3845" s="42"/>
      <c r="B3845" s="43"/>
      <c r="C3845" s="43"/>
      <c r="D3845" s="43"/>
      <c r="E3845" s="43"/>
      <c r="F3845" s="43"/>
      <c r="G3845" s="247" t="str">
        <f>Team_Matches!$J2863</f>
        <v/>
      </c>
      <c r="H3845" s="247"/>
      <c r="I3845" s="161" t="str">
        <f>Team_Matches!$M2863</f>
        <v/>
      </c>
      <c r="J3845" s="161"/>
    </row>
    <row r="3846" spans="1:10" ht="15.75">
      <c r="A3846" s="42"/>
      <c r="B3846" s="43"/>
      <c r="C3846" s="43"/>
      <c r="D3846" s="43"/>
      <c r="E3846" s="43"/>
      <c r="F3846" s="43"/>
      <c r="G3846" s="43"/>
      <c r="H3846" s="43"/>
      <c r="I3846" s="43"/>
      <c r="J3846" s="43"/>
    </row>
    <row r="3847" spans="1:10">
      <c r="A3847" s="43"/>
      <c r="B3847" s="43"/>
      <c r="C3847" s="9" t="s">
        <v>1228</v>
      </c>
      <c r="D3847" s="52" t="str">
        <f>Team_Matches!$B2865</f>
        <v>F</v>
      </c>
      <c r="E3847" s="43"/>
      <c r="F3847" s="97" t="str">
        <f>CONCATENATE($D3847,"-",$I3847)</f>
        <v>F-K</v>
      </c>
      <c r="G3847" s="43"/>
      <c r="H3847" s="9" t="s">
        <v>1228</v>
      </c>
      <c r="I3847" s="52" t="str">
        <f>Team_Matches!$K2865</f>
        <v>K</v>
      </c>
      <c r="J3847" s="43"/>
    </row>
    <row r="3848" spans="1:10" ht="25.5" customHeight="1">
      <c r="A3848" s="44"/>
      <c r="B3848" s="252" t="str">
        <f>IF(VLOOKUP($D3847,Draw!$A$4:$B$27,2)&lt;&gt;0,VLOOKUP($D3847,Draw!$A$4:$B$27,2),"")</f>
        <v/>
      </c>
      <c r="C3848" s="252"/>
      <c r="D3848" s="252"/>
      <c r="E3848" s="253"/>
      <c r="F3848" s="45"/>
      <c r="G3848" s="248" t="str">
        <f>IF(VLOOKUP($I3847,Draw!$A$4:$B$27,2)&lt;&gt;0,VLOOKUP($I3847,Draw!$A$4:$B$27,2),"")</f>
        <v/>
      </c>
      <c r="H3848" s="248"/>
      <c r="I3848" s="248"/>
      <c r="J3848" s="249"/>
    </row>
    <row r="3849" spans="1:10" ht="25.5" customHeight="1"/>
    <row r="3850" spans="1:10" ht="25.5" customHeight="1"/>
    <row r="3851" spans="1:10" ht="24" customHeight="1">
      <c r="A3851" s="48" t="s">
        <v>1246</v>
      </c>
      <c r="B3851" s="43"/>
      <c r="C3851" s="43"/>
      <c r="D3851" s="43"/>
      <c r="E3851" s="43"/>
      <c r="F3851" s="43"/>
      <c r="G3851" s="43"/>
      <c r="H3851" s="43"/>
      <c r="I3851" s="43"/>
      <c r="J3851" s="43"/>
    </row>
    <row r="3852" spans="1:10" ht="24" customHeight="1">
      <c r="A3852" s="48"/>
      <c r="B3852" s="43"/>
      <c r="C3852" s="43"/>
      <c r="D3852" s="43"/>
      <c r="E3852" s="43"/>
      <c r="F3852" s="43"/>
      <c r="G3852" s="43"/>
      <c r="H3852" s="43"/>
      <c r="I3852" s="43"/>
      <c r="J3852" s="43"/>
    </row>
    <row r="3853" spans="1:10">
      <c r="A3853" s="49" t="s">
        <v>1224</v>
      </c>
      <c r="B3853" s="46"/>
      <c r="C3853" s="46"/>
      <c r="D3853" s="46"/>
      <c r="E3853" s="46"/>
      <c r="F3853" s="46"/>
      <c r="G3853" s="260" t="s">
        <v>10336</v>
      </c>
      <c r="H3853" s="260"/>
      <c r="I3853" s="260"/>
      <c r="J3853" s="260"/>
    </row>
    <row r="3854" spans="1:10" ht="24" customHeight="1">
      <c r="A3854" s="50" t="str">
        <f>CONCATENATE($I3847,"1")</f>
        <v>K1</v>
      </c>
      <c r="B3854" s="255" t="str">
        <f>IF(VLOOKUP($A3854,Players!$A$2:$C$132,3)&lt;&gt;0,VLOOKUP($A3854,Players!$A$2:$C$132,3),"")</f>
        <v/>
      </c>
      <c r="C3854" s="255"/>
      <c r="D3854" s="255"/>
      <c r="E3854" s="255"/>
      <c r="F3854" s="255"/>
      <c r="G3854" s="254" t="str">
        <f>IF(VLOOKUP($D3847&amp;RIGHT($A3854,1),Players!$A$2:$D$132,3)&lt;&gt;0,VLOOKUP($D3847&amp;RIGHT($A3854,1),Players!$A$2:$D$132,3),"")</f>
        <v/>
      </c>
      <c r="H3854" s="254"/>
      <c r="I3854" s="254"/>
      <c r="J3854" s="210" t="str">
        <f>IF(VLOOKUP($D3847&amp;RIGHT($A3854,1),Players!$A$2:$D$132,3)&lt;&gt;0,"("&amp;VLOOKUP($D3847&amp;RIGHT($A3854,1),Players!$A$2:$D$132,4)&amp;")","")</f>
        <v/>
      </c>
    </row>
    <row r="3855" spans="1:10" ht="25.5" customHeight="1">
      <c r="A3855" s="50" t="str">
        <f>CONCATENATE($I3847,"2")</f>
        <v>K2</v>
      </c>
      <c r="B3855" s="255" t="str">
        <f>IF(VLOOKUP($A3855,Players!$A$2:$C$132,3)&lt;&gt;0,VLOOKUP($A3855,Players!$A$2:$C$132,3),"")</f>
        <v/>
      </c>
      <c r="C3855" s="255"/>
      <c r="D3855" s="255"/>
      <c r="E3855" s="255"/>
      <c r="F3855" s="255"/>
      <c r="G3855" s="254" t="str">
        <f>IF(VLOOKUP($D3847&amp;RIGHT($A3855,1),Players!$A$2:$D$132,3)&lt;&gt;0,VLOOKUP($D3847&amp;RIGHT($A3855,1),Players!$A$2:$D$132,3),"")</f>
        <v/>
      </c>
      <c r="H3855" s="254"/>
      <c r="I3855" s="254"/>
      <c r="J3855" s="210" t="str">
        <f>IF(VLOOKUP($D3847&amp;RIGHT($A3855,1),Players!$A$2:$D$132,3)&lt;&gt;0,"("&amp;VLOOKUP($D3847&amp;RIGHT($A3855,1),Players!$A$2:$D$132,4)&amp;")","")</f>
        <v/>
      </c>
    </row>
    <row r="3856" spans="1:10" ht="25.5" customHeight="1">
      <c r="A3856" s="50" t="str">
        <f>CONCATENATE($I3847,"3")</f>
        <v>K3</v>
      </c>
      <c r="B3856" s="255" t="str">
        <f>IF(VLOOKUP($A3856,Players!$A$2:$C$132,3)&lt;&gt;0,VLOOKUP($A3856,Players!$A$2:$C$132,3),"")</f>
        <v/>
      </c>
      <c r="C3856" s="255"/>
      <c r="D3856" s="255"/>
      <c r="E3856" s="255"/>
      <c r="F3856" s="255"/>
      <c r="G3856" s="254" t="str">
        <f>IF(VLOOKUP($D3847&amp;RIGHT($A3856,1),Players!$A$2:$D$132,3)&lt;&gt;0,VLOOKUP($D3847&amp;RIGHT($A3856,1),Players!$A$2:$D$132,3),"")</f>
        <v/>
      </c>
      <c r="H3856" s="254"/>
      <c r="I3856" s="254"/>
      <c r="J3856" s="210" t="str">
        <f>IF(VLOOKUP($D3847&amp;RIGHT($A3856,1),Players!$A$2:$D$132,3)&lt;&gt;0,"("&amp;VLOOKUP($D3847&amp;RIGHT($A3856,1),Players!$A$2:$D$132,4)&amp;")","")</f>
        <v/>
      </c>
    </row>
    <row r="3857" spans="1:10" ht="25.5" customHeight="1">
      <c r="A3857" s="50" t="str">
        <f>CONCATENATE($I3847,"4")</f>
        <v>K4</v>
      </c>
      <c r="B3857" s="255" t="str">
        <f>IF(VLOOKUP($A3857,Players!$A$2:$C$132,3)&lt;&gt;0,VLOOKUP($A3857,Players!$A$2:$C$132,3),"")</f>
        <v/>
      </c>
      <c r="C3857" s="255"/>
      <c r="D3857" s="255"/>
      <c r="E3857" s="255"/>
      <c r="F3857" s="255"/>
      <c r="G3857" s="254" t="str">
        <f>IF(VLOOKUP($D3847&amp;RIGHT($A3857,1),Players!$A$2:$D$132,3)&lt;&gt;0,VLOOKUP($D3847&amp;RIGHT($A3857,1),Players!$A$2:$D$132,3),"")</f>
        <v/>
      </c>
      <c r="H3857" s="254"/>
      <c r="I3857" s="254"/>
      <c r="J3857" s="210" t="str">
        <f>IF(VLOOKUP($D3847&amp;RIGHT($A3857,1),Players!$A$2:$D$132,3)&lt;&gt;0,"("&amp;VLOOKUP($D3847&amp;RIGHT($A3857,1),Players!$A$2:$D$132,4)&amp;")","")</f>
        <v/>
      </c>
    </row>
    <row r="3858" spans="1:10" ht="25.5" customHeight="1">
      <c r="A3858" s="50" t="str">
        <f>CONCATENATE($I3847,"5")</f>
        <v>K5</v>
      </c>
      <c r="B3858" s="255" t="str">
        <f>IF(VLOOKUP($A3858,Players!$A$2:$C$132,3)&lt;&gt;0,VLOOKUP($A3858,Players!$A$2:$C$132,3),"")</f>
        <v/>
      </c>
      <c r="C3858" s="255"/>
      <c r="D3858" s="255"/>
      <c r="E3858" s="255"/>
      <c r="F3858" s="255"/>
      <c r="G3858" s="254" t="str">
        <f>IF(VLOOKUP($D3847&amp;RIGHT($A3858,1),Players!$A$2:$D$132,3)&lt;&gt;0,VLOOKUP($D3847&amp;RIGHT($A3858,1),Players!$A$2:$D$132,3),"")</f>
        <v/>
      </c>
      <c r="H3858" s="254"/>
      <c r="I3858" s="254"/>
      <c r="J3858" s="210" t="str">
        <f>IF(VLOOKUP($D3847&amp;RIGHT($A3858,1),Players!$A$2:$D$132,3)&lt;&gt;0,"("&amp;VLOOKUP($D3847&amp;RIGHT($A3858,1),Players!$A$2:$D$132,4)&amp;")","")</f>
        <v/>
      </c>
    </row>
    <row r="3859" spans="1:10" ht="25.5" customHeight="1">
      <c r="A3859" s="50" t="str">
        <f>CONCATENATE($I3847,"6")</f>
        <v>K6</v>
      </c>
      <c r="B3859" s="255" t="str">
        <f>IF(VLOOKUP($A3859,Players!$A$2:$C$132,3)&lt;&gt;0,VLOOKUP($A3859,Players!$A$2:$C$132,3),"")</f>
        <v/>
      </c>
      <c r="C3859" s="255"/>
      <c r="D3859" s="255"/>
      <c r="E3859" s="255"/>
      <c r="F3859" s="255"/>
      <c r="G3859" s="254" t="str">
        <f>IF(VLOOKUP($D3847&amp;RIGHT($A3859,1),Players!$A$2:$D$132,3)&lt;&gt;0,VLOOKUP($D3847&amp;RIGHT($A3859,1),Players!$A$2:$D$132,3),"")</f>
        <v/>
      </c>
      <c r="H3859" s="254"/>
      <c r="I3859" s="254"/>
      <c r="J3859" s="210" t="str">
        <f>IF(VLOOKUP($D3847&amp;RIGHT($A3859,1),Players!$A$2:$D$132,3)&lt;&gt;0,"("&amp;VLOOKUP($D3847&amp;RIGHT($A3859,1),Players!$A$2:$D$132,4)&amp;")","")</f>
        <v/>
      </c>
    </row>
    <row r="3860" spans="1:10" ht="25.5" customHeight="1">
      <c r="A3860" s="50" t="str">
        <f>CONCATENATE($I3847,"7")</f>
        <v>K7</v>
      </c>
      <c r="B3860" s="255" t="str">
        <f>IF(VLOOKUP($A3860,Players!$A$2:$C$132,3)&lt;&gt;0,VLOOKUP($A3860,Players!$A$2:$C$132,3),"")</f>
        <v/>
      </c>
      <c r="C3860" s="255"/>
      <c r="D3860" s="255"/>
      <c r="E3860" s="255"/>
      <c r="F3860" s="255"/>
      <c r="G3860" s="254" t="str">
        <f>IF(VLOOKUP($D3847&amp;RIGHT($A3860,1),Players!$A$2:$D$132,3)&lt;&gt;0,VLOOKUP($D3847&amp;RIGHT($A3860,1),Players!$A$2:$D$132,3),"")</f>
        <v/>
      </c>
      <c r="H3860" s="254"/>
      <c r="I3860" s="254"/>
      <c r="J3860" s="210" t="str">
        <f>IF(VLOOKUP($D3847&amp;RIGHT($A3860,1),Players!$A$2:$D$132,3)&lt;&gt;0,"("&amp;VLOOKUP($D3847&amp;RIGHT($A3860,1),Players!$A$2:$D$132,4)&amp;")","")</f>
        <v/>
      </c>
    </row>
    <row r="3861" spans="1:10" ht="25.5" customHeight="1">
      <c r="A3861" s="50" t="str">
        <f>CONCATENATE($I3847,"8")</f>
        <v>K8</v>
      </c>
      <c r="B3861" s="255" t="str">
        <f>IF(VLOOKUP($A3861,Players!$A$2:$C$132,3)&lt;&gt;0,VLOOKUP($A3861,Players!$A$2:$C$132,3),"")</f>
        <v/>
      </c>
      <c r="C3861" s="255"/>
      <c r="D3861" s="255"/>
      <c r="E3861" s="255"/>
      <c r="F3861" s="255"/>
      <c r="G3861" s="254" t="str">
        <f>IF(VLOOKUP($D3847&amp;RIGHT($A3861,1),Players!$A$2:$D$132,3)&lt;&gt;0,VLOOKUP($D3847&amp;RIGHT($A3861,1),Players!$A$2:$D$132,3),"")</f>
        <v/>
      </c>
      <c r="H3861" s="254"/>
      <c r="I3861" s="254"/>
      <c r="J3861" s="210" t="str">
        <f>IF(VLOOKUP($D3847&amp;RIGHT($A3861,1),Players!$A$2:$D$132,3)&lt;&gt;0,"("&amp;VLOOKUP($D3847&amp;RIGHT($A3861,1),Players!$A$2:$D$132,4)&amp;")","")</f>
        <v/>
      </c>
    </row>
    <row r="3862" spans="1:10" ht="25.5" customHeight="1">
      <c r="A3862" s="50"/>
      <c r="B3862" s="26"/>
      <c r="C3862" s="26"/>
      <c r="D3862" s="26"/>
      <c r="E3862" s="26"/>
      <c r="F3862" s="27"/>
      <c r="G3862" s="43"/>
      <c r="H3862" s="43"/>
      <c r="I3862" s="43"/>
      <c r="J3862" s="43"/>
    </row>
    <row r="3863" spans="1:10">
      <c r="A3863" s="49" t="s">
        <v>1225</v>
      </c>
      <c r="B3863" s="46"/>
      <c r="C3863" s="46"/>
      <c r="D3863" s="46"/>
      <c r="E3863" s="46"/>
      <c r="F3863" s="46"/>
      <c r="G3863" s="43"/>
      <c r="H3863" s="43"/>
      <c r="I3863" s="43"/>
      <c r="J3863" s="43"/>
    </row>
    <row r="3864" spans="1:10">
      <c r="A3864" s="46" t="s">
        <v>1247</v>
      </c>
      <c r="B3864" s="46"/>
      <c r="C3864" s="46"/>
      <c r="D3864" s="46"/>
      <c r="E3864" s="46"/>
      <c r="F3864" s="46"/>
      <c r="G3864" s="43"/>
      <c r="H3864" s="43"/>
      <c r="I3864" s="43"/>
      <c r="J3864" s="43"/>
    </row>
    <row r="3865" spans="1:10">
      <c r="A3865" s="46" t="s">
        <v>1248</v>
      </c>
      <c r="B3865" s="46"/>
      <c r="C3865" s="46"/>
      <c r="D3865" s="46"/>
      <c r="E3865" s="46"/>
      <c r="F3865" s="46"/>
      <c r="G3865" s="43"/>
      <c r="H3865" s="43"/>
      <c r="I3865" s="43"/>
      <c r="J3865" s="43"/>
    </row>
    <row r="3866" spans="1:10" ht="13.5" thickBot="1">
      <c r="A3866" s="46"/>
      <c r="B3866" s="46"/>
      <c r="C3866" s="46"/>
      <c r="D3866" s="46"/>
      <c r="E3866" s="46"/>
      <c r="F3866" s="46"/>
      <c r="G3866" s="43"/>
      <c r="H3866" s="43"/>
      <c r="I3866" s="43"/>
      <c r="J3866" s="43"/>
    </row>
    <row r="3867" spans="1:10" ht="25.5" customHeight="1" thickBot="1">
      <c r="A3867" s="50"/>
      <c r="B3867" s="257"/>
      <c r="C3867" s="258"/>
      <c r="D3867" s="258"/>
      <c r="E3867" s="258"/>
      <c r="F3867" s="259"/>
      <c r="G3867" s="43"/>
      <c r="H3867" s="43"/>
      <c r="I3867" s="43"/>
      <c r="J3867" s="43"/>
    </row>
    <row r="3868" spans="1:10">
      <c r="A3868" s="43"/>
      <c r="B3868" s="43"/>
      <c r="C3868" s="43"/>
      <c r="D3868" s="43"/>
      <c r="E3868" s="43"/>
      <c r="F3868" s="43"/>
      <c r="G3868" s="43"/>
      <c r="H3868" s="43"/>
      <c r="I3868" s="43"/>
      <c r="J3868" s="43"/>
    </row>
    <row r="3869" spans="1:10">
      <c r="A3869" s="43"/>
      <c r="B3869" s="43"/>
      <c r="C3869" s="43"/>
      <c r="D3869" s="43"/>
      <c r="E3869" s="43"/>
      <c r="F3869" s="43"/>
      <c r="G3869" s="43"/>
      <c r="H3869" s="43"/>
      <c r="I3869" s="43"/>
      <c r="J3869" s="43"/>
    </row>
    <row r="3870" spans="1:10">
      <c r="A3870" s="43"/>
      <c r="B3870" s="43"/>
      <c r="C3870" s="43"/>
      <c r="D3870" s="43"/>
      <c r="E3870" s="43"/>
      <c r="F3870" s="43"/>
      <c r="G3870" s="43"/>
      <c r="H3870" s="43"/>
      <c r="I3870" s="43"/>
      <c r="J3870" s="43"/>
    </row>
    <row r="3871" spans="1:10">
      <c r="A3871" s="43"/>
      <c r="B3871" s="43"/>
      <c r="C3871" s="43"/>
      <c r="D3871" s="43"/>
      <c r="E3871" s="43"/>
      <c r="F3871" s="43"/>
      <c r="G3871" s="43"/>
      <c r="H3871" s="43"/>
      <c r="I3871" s="43"/>
      <c r="J3871" s="43"/>
    </row>
    <row r="3872" spans="1:10">
      <c r="A3872" s="43"/>
      <c r="B3872" s="43"/>
      <c r="C3872" s="43"/>
      <c r="D3872" s="43"/>
      <c r="E3872" s="43"/>
      <c r="F3872" s="43"/>
      <c r="G3872" s="43"/>
      <c r="H3872" s="43"/>
      <c r="I3872" s="43"/>
      <c r="J3872" s="43"/>
    </row>
    <row r="3873" spans="1:10" ht="25.5" customHeight="1">
      <c r="A3873" s="47"/>
      <c r="B3873" s="47"/>
      <c r="C3873" s="47"/>
      <c r="D3873" s="47"/>
      <c r="E3873" s="47"/>
      <c r="F3873" s="43"/>
      <c r="G3873" s="51"/>
      <c r="H3873" s="250" t="s">
        <v>1227</v>
      </c>
      <c r="I3873" s="251"/>
      <c r="J3873" s="43"/>
    </row>
    <row r="3874" spans="1:10">
      <c r="A3874" s="43" t="s">
        <v>1226</v>
      </c>
      <c r="B3874" s="43"/>
      <c r="C3874" s="43"/>
      <c r="D3874" s="43"/>
      <c r="E3874" s="43"/>
      <c r="F3874" s="43"/>
      <c r="G3874" s="43"/>
      <c r="H3874" s="43"/>
      <c r="I3874" s="43"/>
      <c r="J3874" s="43"/>
    </row>
    <row r="3875" spans="1:10">
      <c r="A3875" s="43"/>
      <c r="B3875" s="43"/>
      <c r="C3875" s="43"/>
      <c r="D3875" s="43"/>
      <c r="E3875" s="43"/>
      <c r="F3875" s="43"/>
      <c r="G3875" s="43"/>
      <c r="H3875" s="43"/>
      <c r="I3875" s="43"/>
      <c r="J3875" s="43"/>
    </row>
    <row r="3876" spans="1:10">
      <c r="A3876" s="43"/>
      <c r="B3876" s="43"/>
      <c r="C3876" s="43"/>
      <c r="D3876" s="43"/>
      <c r="E3876" s="256" t="str">
        <f>CONCATENATE("(",$D3847," vs ",$I3847,")")</f>
        <v>(F vs K)</v>
      </c>
      <c r="F3876" s="256"/>
      <c r="G3876" s="43"/>
      <c r="H3876" s="43"/>
      <c r="I3876" s="43"/>
      <c r="J3876" s="43"/>
    </row>
    <row r="3877" spans="1:10" ht="15.75">
      <c r="A3877" s="42" t="s">
        <v>1223</v>
      </c>
      <c r="B3877" s="43"/>
      <c r="C3877" s="43"/>
      <c r="D3877" s="43"/>
      <c r="E3877" s="43"/>
      <c r="F3877" s="43"/>
      <c r="G3877" s="43"/>
      <c r="H3877" s="43"/>
      <c r="I3877" s="43"/>
      <c r="J3877" s="96" t="s">
        <v>4333</v>
      </c>
    </row>
    <row r="3878" spans="1:10" ht="12.75" customHeight="1">
      <c r="A3878" s="42"/>
      <c r="B3878" s="43"/>
      <c r="C3878" s="43"/>
      <c r="D3878" s="43"/>
      <c r="E3878" s="43"/>
      <c r="F3878" s="43"/>
      <c r="G3878" s="43" t="str">
        <f ca="1">Team_Matches!$J$6</f>
        <v>[NCTTA Teams Template (v2.06).xlsx]</v>
      </c>
      <c r="H3878" s="43"/>
      <c r="I3878" s="43"/>
      <c r="J3878" s="160"/>
    </row>
    <row r="3879" spans="1:10" ht="12.75" customHeight="1">
      <c r="A3879" s="42"/>
      <c r="B3879" s="43"/>
      <c r="C3879" s="43"/>
      <c r="D3879" s="43"/>
      <c r="E3879" s="43"/>
      <c r="F3879" s="43"/>
      <c r="G3879" s="247" t="str">
        <f>Team_Matches!$J2914</f>
        <v/>
      </c>
      <c r="H3879" s="247"/>
      <c r="I3879" s="161" t="str">
        <f>Team_Matches!$M2914</f>
        <v/>
      </c>
      <c r="J3879" s="161"/>
    </row>
    <row r="3880" spans="1:10" ht="15.75">
      <c r="A3880" s="42"/>
      <c r="B3880" s="43"/>
      <c r="C3880" s="43"/>
      <c r="D3880" s="43"/>
      <c r="E3880" s="43"/>
      <c r="F3880" s="43"/>
      <c r="G3880" s="43"/>
      <c r="H3880" s="43"/>
      <c r="I3880" s="43"/>
      <c r="J3880" s="43"/>
    </row>
    <row r="3881" spans="1:10">
      <c r="A3881" s="43"/>
      <c r="B3881" s="43"/>
      <c r="C3881" s="9" t="s">
        <v>1228</v>
      </c>
      <c r="D3881" s="52" t="str">
        <f>Team_Matches!$B2916</f>
        <v>F</v>
      </c>
      <c r="E3881" s="43"/>
      <c r="F3881" s="97" t="str">
        <f>CONCATENATE($D3881,"-",$I3881)</f>
        <v>F-L</v>
      </c>
      <c r="G3881" s="43"/>
      <c r="H3881" s="9" t="s">
        <v>1228</v>
      </c>
      <c r="I3881" s="52" t="str">
        <f>Team_Matches!$K2916</f>
        <v>L</v>
      </c>
      <c r="J3881" s="43"/>
    </row>
    <row r="3882" spans="1:10" ht="25.5" customHeight="1">
      <c r="A3882" s="44"/>
      <c r="B3882" s="248" t="str">
        <f>IF(VLOOKUP($D3881,Draw!$A$4:$B$27,2)&lt;&gt;0,VLOOKUP($D3881,Draw!$A$4:$B$27,2),"")</f>
        <v/>
      </c>
      <c r="C3882" s="248"/>
      <c r="D3882" s="248"/>
      <c r="E3882" s="249"/>
      <c r="F3882" s="45"/>
      <c r="G3882" s="252" t="str">
        <f>IF(VLOOKUP($I3881,Draw!$A$4:$B$27,2)&lt;&gt;0,VLOOKUP($I3881,Draw!$A$4:$B$27,2),"")</f>
        <v/>
      </c>
      <c r="H3882" s="252"/>
      <c r="I3882" s="252"/>
      <c r="J3882" s="253"/>
    </row>
    <row r="3883" spans="1:10" ht="25.5" customHeight="1"/>
    <row r="3884" spans="1:10" ht="25.5" customHeight="1"/>
    <row r="3885" spans="1:10" ht="24" customHeight="1">
      <c r="A3885" s="48" t="s">
        <v>1246</v>
      </c>
      <c r="B3885" s="43"/>
      <c r="C3885" s="43"/>
      <c r="D3885" s="43"/>
      <c r="E3885" s="43"/>
      <c r="F3885" s="43"/>
      <c r="G3885" s="43"/>
      <c r="H3885" s="43"/>
      <c r="I3885" s="43"/>
      <c r="J3885" s="43"/>
    </row>
    <row r="3886" spans="1:10" ht="24" customHeight="1">
      <c r="A3886" s="48"/>
      <c r="B3886" s="43"/>
      <c r="C3886" s="43"/>
      <c r="D3886" s="43"/>
      <c r="E3886" s="43"/>
      <c r="F3886" s="43"/>
      <c r="G3886" s="43"/>
      <c r="H3886" s="43"/>
      <c r="I3886" s="43"/>
      <c r="J3886" s="43"/>
    </row>
    <row r="3887" spans="1:10">
      <c r="A3887" s="49" t="s">
        <v>1224</v>
      </c>
      <c r="B3887" s="46"/>
      <c r="C3887" s="46"/>
      <c r="D3887" s="46"/>
      <c r="E3887" s="46"/>
      <c r="F3887" s="46"/>
      <c r="G3887" s="260" t="s">
        <v>10336</v>
      </c>
      <c r="H3887" s="260"/>
      <c r="I3887" s="260"/>
      <c r="J3887" s="260"/>
    </row>
    <row r="3888" spans="1:10" ht="24" customHeight="1">
      <c r="A3888" s="50" t="str">
        <f>CONCATENATE($D3881,"1")</f>
        <v>F1</v>
      </c>
      <c r="B3888" s="255" t="str">
        <f>IF(VLOOKUP($A3888,Players!$A$2:$C$132,3)&lt;&gt;0,VLOOKUP($A3888,Players!$A$2:$C$132,3),"")</f>
        <v/>
      </c>
      <c r="C3888" s="255"/>
      <c r="D3888" s="255"/>
      <c r="E3888" s="255"/>
      <c r="F3888" s="255"/>
      <c r="G3888" s="254" t="str">
        <f>IF(VLOOKUP($I3881&amp;RIGHT($A3888,1),Players!$A$2:$D$132,3)&lt;&gt;0,VLOOKUP($I3881&amp;RIGHT($A3888,1),Players!$A$2:$D$132,3),"")</f>
        <v/>
      </c>
      <c r="H3888" s="254"/>
      <c r="I3888" s="254"/>
      <c r="J3888" s="210" t="str">
        <f>IF(VLOOKUP($I3881&amp;RIGHT($A3888,1),Players!$A$2:$D$132,3)&lt;&gt;0,"("&amp;VLOOKUP($I3881&amp;RIGHT($A3888,1),Players!$A$2:$D$132,4)&amp;")","")</f>
        <v/>
      </c>
    </row>
    <row r="3889" spans="1:10" ht="25.5" customHeight="1">
      <c r="A3889" s="50" t="str">
        <f>CONCATENATE($D3881,"2")</f>
        <v>F2</v>
      </c>
      <c r="B3889" s="255" t="str">
        <f>IF(VLOOKUP($A3889,Players!$A$2:$C$132,3)&lt;&gt;0,VLOOKUP($A3889,Players!$A$2:$C$132,3),"")</f>
        <v/>
      </c>
      <c r="C3889" s="255"/>
      <c r="D3889" s="255"/>
      <c r="E3889" s="255"/>
      <c r="F3889" s="255"/>
      <c r="G3889" s="254" t="str">
        <f>IF(VLOOKUP($I3881&amp;RIGHT($A3889,1),Players!$A$2:$D$132,3)&lt;&gt;0,VLOOKUP($I3881&amp;RIGHT($A3889,1),Players!$A$2:$D$132,3),"")</f>
        <v/>
      </c>
      <c r="H3889" s="254"/>
      <c r="I3889" s="254"/>
      <c r="J3889" s="210" t="str">
        <f>IF(VLOOKUP($I3881&amp;RIGHT($A3889,1),Players!$A$2:$D$132,3)&lt;&gt;0,"("&amp;VLOOKUP($I3881&amp;RIGHT($A3889,1),Players!$A$2:$D$132,4)&amp;")","")</f>
        <v/>
      </c>
    </row>
    <row r="3890" spans="1:10" ht="25.5" customHeight="1">
      <c r="A3890" s="50" t="str">
        <f>CONCATENATE($D3881,"3")</f>
        <v>F3</v>
      </c>
      <c r="B3890" s="255" t="str">
        <f>IF(VLOOKUP($A3890,Players!$A$2:$C$132,3)&lt;&gt;0,VLOOKUP($A3890,Players!$A$2:$C$132,3),"")</f>
        <v/>
      </c>
      <c r="C3890" s="255"/>
      <c r="D3890" s="255"/>
      <c r="E3890" s="255"/>
      <c r="F3890" s="255"/>
      <c r="G3890" s="254" t="str">
        <f>IF(VLOOKUP($I3881&amp;RIGHT($A3890,1),Players!$A$2:$D$132,3)&lt;&gt;0,VLOOKUP($I3881&amp;RIGHT($A3890,1),Players!$A$2:$D$132,3),"")</f>
        <v/>
      </c>
      <c r="H3890" s="254"/>
      <c r="I3890" s="254"/>
      <c r="J3890" s="210" t="str">
        <f>IF(VLOOKUP($I3881&amp;RIGHT($A3890,1),Players!$A$2:$D$132,3)&lt;&gt;0,"("&amp;VLOOKUP($I3881&amp;RIGHT($A3890,1),Players!$A$2:$D$132,4)&amp;")","")</f>
        <v/>
      </c>
    </row>
    <row r="3891" spans="1:10" ht="25.5" customHeight="1">
      <c r="A3891" s="50" t="str">
        <f>CONCATENATE($D3881,"4")</f>
        <v>F4</v>
      </c>
      <c r="B3891" s="255" t="str">
        <f>IF(VLOOKUP($A3891,Players!$A$2:$C$132,3)&lt;&gt;0,VLOOKUP($A3891,Players!$A$2:$C$132,3),"")</f>
        <v/>
      </c>
      <c r="C3891" s="255"/>
      <c r="D3891" s="255"/>
      <c r="E3891" s="255"/>
      <c r="F3891" s="255"/>
      <c r="G3891" s="254" t="str">
        <f>IF(VLOOKUP($I3881&amp;RIGHT($A3891,1),Players!$A$2:$D$132,3)&lt;&gt;0,VLOOKUP($I3881&amp;RIGHT($A3891,1),Players!$A$2:$D$132,3),"")</f>
        <v/>
      </c>
      <c r="H3891" s="254"/>
      <c r="I3891" s="254"/>
      <c r="J3891" s="210" t="str">
        <f>IF(VLOOKUP($I3881&amp;RIGHT($A3891,1),Players!$A$2:$D$132,3)&lt;&gt;0,"("&amp;VLOOKUP($I3881&amp;RIGHT($A3891,1),Players!$A$2:$D$132,4)&amp;")","")</f>
        <v/>
      </c>
    </row>
    <row r="3892" spans="1:10" ht="25.5" customHeight="1">
      <c r="A3892" s="50" t="str">
        <f>CONCATENATE($D3881,"5")</f>
        <v>F5</v>
      </c>
      <c r="B3892" s="255" t="str">
        <f>IF(VLOOKUP($A3892,Players!$A$2:$C$132,3)&lt;&gt;0,VLOOKUP($A3892,Players!$A$2:$C$132,3),"")</f>
        <v/>
      </c>
      <c r="C3892" s="255"/>
      <c r="D3892" s="255"/>
      <c r="E3892" s="255"/>
      <c r="F3892" s="255"/>
      <c r="G3892" s="254" t="str">
        <f>IF(VLOOKUP($I3881&amp;RIGHT($A3892,1),Players!$A$2:$D$132,3)&lt;&gt;0,VLOOKUP($I3881&amp;RIGHT($A3892,1),Players!$A$2:$D$132,3),"")</f>
        <v/>
      </c>
      <c r="H3892" s="254"/>
      <c r="I3892" s="254"/>
      <c r="J3892" s="210" t="str">
        <f>IF(VLOOKUP($I3881&amp;RIGHT($A3892,1),Players!$A$2:$D$132,3)&lt;&gt;0,"("&amp;VLOOKUP($I3881&amp;RIGHT($A3892,1),Players!$A$2:$D$132,4)&amp;")","")</f>
        <v/>
      </c>
    </row>
    <row r="3893" spans="1:10" ht="25.5" customHeight="1">
      <c r="A3893" s="50" t="str">
        <f>CONCATENATE($D3881,"6")</f>
        <v>F6</v>
      </c>
      <c r="B3893" s="255" t="str">
        <f>IF(VLOOKUP($A3893,Players!$A$2:$C$132,3)&lt;&gt;0,VLOOKUP($A3893,Players!$A$2:$C$132,3),"")</f>
        <v/>
      </c>
      <c r="C3893" s="255"/>
      <c r="D3893" s="255"/>
      <c r="E3893" s="255"/>
      <c r="F3893" s="255"/>
      <c r="G3893" s="254" t="str">
        <f>IF(VLOOKUP($I3881&amp;RIGHT($A3893,1),Players!$A$2:$D$132,3)&lt;&gt;0,VLOOKUP($I3881&amp;RIGHT($A3893,1),Players!$A$2:$D$132,3),"")</f>
        <v/>
      </c>
      <c r="H3893" s="254"/>
      <c r="I3893" s="254"/>
      <c r="J3893" s="210" t="str">
        <f>IF(VLOOKUP($I3881&amp;RIGHT($A3893,1),Players!$A$2:$D$132,3)&lt;&gt;0,"("&amp;VLOOKUP($I3881&amp;RIGHT($A3893,1),Players!$A$2:$D$132,4)&amp;")","")</f>
        <v/>
      </c>
    </row>
    <row r="3894" spans="1:10" ht="25.5" customHeight="1">
      <c r="A3894" s="50" t="str">
        <f>CONCATENATE($D3881,"7")</f>
        <v>F7</v>
      </c>
      <c r="B3894" s="255" t="str">
        <f>IF(VLOOKUP($A3894,Players!$A$2:$C$132,3)&lt;&gt;0,VLOOKUP($A3894,Players!$A$2:$C$132,3),"")</f>
        <v/>
      </c>
      <c r="C3894" s="255"/>
      <c r="D3894" s="255"/>
      <c r="E3894" s="255"/>
      <c r="F3894" s="255"/>
      <c r="G3894" s="254" t="str">
        <f>IF(VLOOKUP($I3881&amp;RIGHT($A3894,1),Players!$A$2:$D$132,3)&lt;&gt;0,VLOOKUP($I3881&amp;RIGHT($A3894,1),Players!$A$2:$D$132,3),"")</f>
        <v/>
      </c>
      <c r="H3894" s="254"/>
      <c r="I3894" s="254"/>
      <c r="J3894" s="210" t="str">
        <f>IF(VLOOKUP($I3881&amp;RIGHT($A3894,1),Players!$A$2:$D$132,3)&lt;&gt;0,"("&amp;VLOOKUP($I3881&amp;RIGHT($A3894,1),Players!$A$2:$D$132,4)&amp;")","")</f>
        <v/>
      </c>
    </row>
    <row r="3895" spans="1:10" ht="25.5" customHeight="1">
      <c r="A3895" s="50" t="str">
        <f>CONCATENATE($D3881,"8")</f>
        <v>F8</v>
      </c>
      <c r="B3895" s="255" t="str">
        <f>IF(VLOOKUP($A3895,Players!$A$2:$C$132,3)&lt;&gt;0,VLOOKUP($A3895,Players!$A$2:$C$132,3),"")</f>
        <v/>
      </c>
      <c r="C3895" s="255"/>
      <c r="D3895" s="255"/>
      <c r="E3895" s="255"/>
      <c r="F3895" s="255"/>
      <c r="G3895" s="254" t="str">
        <f>IF(VLOOKUP($I3881&amp;RIGHT($A3895,1),Players!$A$2:$D$132,3)&lt;&gt;0,VLOOKUP($I3881&amp;RIGHT($A3895,1),Players!$A$2:$D$132,3),"")</f>
        <v/>
      </c>
      <c r="H3895" s="254"/>
      <c r="I3895" s="254"/>
      <c r="J3895" s="210" t="str">
        <f>IF(VLOOKUP($I3881&amp;RIGHT($A3895,1),Players!$A$2:$D$132,3)&lt;&gt;0,"("&amp;VLOOKUP($I3881&amp;RIGHT($A3895,1),Players!$A$2:$D$132,4)&amp;")","")</f>
        <v/>
      </c>
    </row>
    <row r="3896" spans="1:10" ht="25.5" customHeight="1">
      <c r="A3896" s="50"/>
      <c r="B3896" s="26"/>
      <c r="C3896" s="26"/>
      <c r="D3896" s="26"/>
      <c r="E3896" s="26"/>
      <c r="F3896" s="27"/>
      <c r="G3896" s="43"/>
      <c r="H3896" s="43"/>
      <c r="I3896" s="43"/>
      <c r="J3896" s="43"/>
    </row>
    <row r="3897" spans="1:10">
      <c r="A3897" s="49" t="s">
        <v>1225</v>
      </c>
      <c r="B3897" s="46"/>
      <c r="C3897" s="46"/>
      <c r="D3897" s="46"/>
      <c r="E3897" s="46"/>
      <c r="F3897" s="46"/>
      <c r="G3897" s="43"/>
      <c r="H3897" s="43"/>
      <c r="I3897" s="43"/>
      <c r="J3897" s="43"/>
    </row>
    <row r="3898" spans="1:10">
      <c r="A3898" s="46" t="s">
        <v>1247</v>
      </c>
      <c r="B3898" s="46"/>
      <c r="C3898" s="46"/>
      <c r="D3898" s="46"/>
      <c r="E3898" s="46"/>
      <c r="F3898" s="46"/>
      <c r="G3898" s="43"/>
      <c r="H3898" s="43"/>
      <c r="I3898" s="43"/>
      <c r="J3898" s="43"/>
    </row>
    <row r="3899" spans="1:10">
      <c r="A3899" s="46" t="s">
        <v>1248</v>
      </c>
      <c r="B3899" s="46"/>
      <c r="C3899" s="46"/>
      <c r="D3899" s="46"/>
      <c r="E3899" s="46"/>
      <c r="F3899" s="46"/>
      <c r="G3899" s="43"/>
      <c r="H3899" s="43"/>
      <c r="I3899" s="43"/>
      <c r="J3899" s="43"/>
    </row>
    <row r="3900" spans="1:10" ht="13.5" thickBot="1">
      <c r="A3900" s="46"/>
      <c r="B3900" s="46"/>
      <c r="C3900" s="46"/>
      <c r="D3900" s="46"/>
      <c r="E3900" s="46"/>
      <c r="F3900" s="46"/>
      <c r="G3900" s="43"/>
      <c r="H3900" s="43"/>
      <c r="I3900" s="43"/>
      <c r="J3900" s="43"/>
    </row>
    <row r="3901" spans="1:10" ht="25.5" customHeight="1" thickBot="1">
      <c r="A3901" s="50"/>
      <c r="B3901" s="257"/>
      <c r="C3901" s="258"/>
      <c r="D3901" s="258"/>
      <c r="E3901" s="258"/>
      <c r="F3901" s="259"/>
      <c r="G3901" s="43"/>
      <c r="H3901" s="43"/>
      <c r="I3901" s="43"/>
      <c r="J3901" s="43"/>
    </row>
    <row r="3902" spans="1:10">
      <c r="A3902" s="43"/>
      <c r="B3902" s="43"/>
      <c r="C3902" s="43"/>
      <c r="D3902" s="43"/>
      <c r="E3902" s="43"/>
      <c r="F3902" s="43"/>
      <c r="G3902" s="43"/>
      <c r="H3902" s="43"/>
      <c r="I3902" s="43"/>
      <c r="J3902" s="43"/>
    </row>
    <row r="3903" spans="1:10">
      <c r="A3903" s="43"/>
      <c r="B3903" s="43"/>
      <c r="C3903" s="43"/>
      <c r="D3903" s="43"/>
      <c r="E3903" s="43"/>
      <c r="F3903" s="43"/>
      <c r="G3903" s="43"/>
      <c r="H3903" s="43"/>
      <c r="I3903" s="43"/>
      <c r="J3903" s="43"/>
    </row>
    <row r="3904" spans="1:10">
      <c r="A3904" s="43"/>
      <c r="B3904" s="43"/>
      <c r="C3904" s="43"/>
      <c r="D3904" s="43"/>
      <c r="E3904" s="43"/>
      <c r="F3904" s="43"/>
      <c r="G3904" s="43"/>
      <c r="H3904" s="43"/>
      <c r="I3904" s="43"/>
      <c r="J3904" s="43"/>
    </row>
    <row r="3905" spans="1:10">
      <c r="A3905" s="43"/>
      <c r="B3905" s="43"/>
      <c r="C3905" s="43"/>
      <c r="D3905" s="43"/>
      <c r="E3905" s="43"/>
      <c r="F3905" s="43"/>
      <c r="G3905" s="43"/>
      <c r="H3905" s="43"/>
      <c r="I3905" s="43"/>
      <c r="J3905" s="43"/>
    </row>
    <row r="3906" spans="1:10">
      <c r="A3906" s="43"/>
      <c r="B3906" s="43"/>
      <c r="C3906" s="43"/>
      <c r="D3906" s="43"/>
      <c r="E3906" s="43"/>
      <c r="F3906" s="43"/>
      <c r="G3906" s="43"/>
      <c r="H3906" s="43"/>
      <c r="I3906" s="43"/>
      <c r="J3906" s="43"/>
    </row>
    <row r="3907" spans="1:10" ht="25.5" customHeight="1">
      <c r="A3907" s="47"/>
      <c r="B3907" s="47"/>
      <c r="C3907" s="47"/>
      <c r="D3907" s="47"/>
      <c r="E3907" s="47"/>
      <c r="F3907" s="43"/>
      <c r="G3907" s="51"/>
      <c r="H3907" s="250" t="s">
        <v>1227</v>
      </c>
      <c r="I3907" s="251"/>
      <c r="J3907" s="43"/>
    </row>
    <row r="3908" spans="1:10">
      <c r="A3908" s="43" t="s">
        <v>1226</v>
      </c>
      <c r="B3908" s="43"/>
      <c r="C3908" s="43"/>
      <c r="D3908" s="43"/>
      <c r="E3908" s="43"/>
      <c r="F3908" s="43"/>
      <c r="G3908" s="43"/>
      <c r="H3908" s="43"/>
      <c r="I3908" s="43"/>
      <c r="J3908" s="43"/>
    </row>
    <row r="3909" spans="1:10">
      <c r="A3909" s="43"/>
      <c r="B3909" s="43"/>
      <c r="C3909" s="43"/>
      <c r="D3909" s="43"/>
      <c r="E3909" s="43"/>
      <c r="F3909" s="43"/>
      <c r="G3909" s="43"/>
      <c r="H3909" s="43"/>
      <c r="I3909" s="43"/>
      <c r="J3909" s="43"/>
    </row>
    <row r="3910" spans="1:10">
      <c r="A3910" s="43"/>
      <c r="B3910" s="43"/>
      <c r="C3910" s="43"/>
      <c r="D3910" s="43"/>
      <c r="E3910" s="256" t="str">
        <f>CONCATENATE("(",$D3881," vs ",$I3881,")")</f>
        <v>(F vs L)</v>
      </c>
      <c r="F3910" s="256"/>
      <c r="G3910" s="43"/>
      <c r="H3910" s="43"/>
      <c r="I3910" s="43"/>
      <c r="J3910" s="43"/>
    </row>
    <row r="3911" spans="1:10" ht="15.75">
      <c r="A3911" s="42" t="s">
        <v>1223</v>
      </c>
      <c r="B3911" s="43"/>
      <c r="C3911" s="43"/>
      <c r="D3911" s="43"/>
      <c r="E3911" s="43"/>
      <c r="F3911" s="43"/>
      <c r="G3911" s="43"/>
      <c r="H3911" s="43"/>
      <c r="I3911" s="43"/>
      <c r="J3911" s="96" t="s">
        <v>4334</v>
      </c>
    </row>
    <row r="3912" spans="1:10" ht="12.75" customHeight="1">
      <c r="A3912" s="42"/>
      <c r="B3912" s="43"/>
      <c r="C3912" s="43"/>
      <c r="D3912" s="43"/>
      <c r="E3912" s="43"/>
      <c r="F3912" s="43"/>
      <c r="G3912" s="43" t="str">
        <f ca="1">Team_Matches!$J$6</f>
        <v>[NCTTA Teams Template (v2.06).xlsx]</v>
      </c>
      <c r="H3912" s="43"/>
      <c r="I3912" s="43"/>
      <c r="J3912" s="160"/>
    </row>
    <row r="3913" spans="1:10" ht="12.75" customHeight="1">
      <c r="A3913" s="42"/>
      <c r="B3913" s="43"/>
      <c r="C3913" s="43"/>
      <c r="D3913" s="43"/>
      <c r="E3913" s="43"/>
      <c r="F3913" s="43"/>
      <c r="G3913" s="247" t="str">
        <f>Team_Matches!$J2914</f>
        <v/>
      </c>
      <c r="H3913" s="247"/>
      <c r="I3913" s="161" t="str">
        <f>Team_Matches!$M2914</f>
        <v/>
      </c>
      <c r="J3913" s="161"/>
    </row>
    <row r="3914" spans="1:10" ht="15.75">
      <c r="A3914" s="42"/>
      <c r="B3914" s="43"/>
      <c r="C3914" s="43"/>
      <c r="D3914" s="43"/>
      <c r="E3914" s="43"/>
      <c r="F3914" s="43"/>
      <c r="G3914" s="43"/>
      <c r="H3914" s="43"/>
      <c r="I3914" s="43"/>
      <c r="J3914" s="43"/>
    </row>
    <row r="3915" spans="1:10">
      <c r="A3915" s="43"/>
      <c r="B3915" s="43"/>
      <c r="C3915" s="9" t="s">
        <v>1228</v>
      </c>
      <c r="D3915" s="52" t="str">
        <f>Team_Matches!$B2916</f>
        <v>F</v>
      </c>
      <c r="E3915" s="43"/>
      <c r="F3915" s="97" t="str">
        <f>CONCATENATE($D3915,"-",$I3915)</f>
        <v>F-L</v>
      </c>
      <c r="G3915" s="43"/>
      <c r="H3915" s="9" t="s">
        <v>1228</v>
      </c>
      <c r="I3915" s="52" t="str">
        <f>Team_Matches!$K2916</f>
        <v>L</v>
      </c>
      <c r="J3915" s="43"/>
    </row>
    <row r="3916" spans="1:10" ht="25.5" customHeight="1">
      <c r="A3916" s="44"/>
      <c r="B3916" s="252" t="str">
        <f>IF(VLOOKUP($D3915,Draw!$A$4:$B$27,2)&lt;&gt;0,VLOOKUP($D3915,Draw!$A$4:$B$27,2),"")</f>
        <v/>
      </c>
      <c r="C3916" s="252"/>
      <c r="D3916" s="252"/>
      <c r="E3916" s="253"/>
      <c r="F3916" s="45"/>
      <c r="G3916" s="248" t="str">
        <f>IF(VLOOKUP($I3915,Draw!$A$4:$B$27,2)&lt;&gt;0,VLOOKUP($I3915,Draw!$A$4:$B$27,2),"")</f>
        <v/>
      </c>
      <c r="H3916" s="248"/>
      <c r="I3916" s="248"/>
      <c r="J3916" s="249"/>
    </row>
    <row r="3917" spans="1:10" ht="25.5" customHeight="1"/>
    <row r="3918" spans="1:10" ht="25.5" customHeight="1"/>
    <row r="3919" spans="1:10" ht="24" customHeight="1">
      <c r="A3919" s="48" t="s">
        <v>1246</v>
      </c>
      <c r="B3919" s="43"/>
      <c r="C3919" s="43"/>
      <c r="D3919" s="43"/>
      <c r="E3919" s="43"/>
      <c r="F3919" s="43"/>
      <c r="G3919" s="43"/>
      <c r="H3919" s="43"/>
      <c r="I3919" s="43"/>
      <c r="J3919" s="43"/>
    </row>
    <row r="3920" spans="1:10" ht="24" customHeight="1">
      <c r="A3920" s="48"/>
      <c r="B3920" s="43"/>
      <c r="C3920" s="43"/>
      <c r="D3920" s="43"/>
      <c r="E3920" s="43"/>
      <c r="F3920" s="43"/>
      <c r="G3920" s="43"/>
      <c r="H3920" s="43"/>
      <c r="I3920" s="43"/>
      <c r="J3920" s="43"/>
    </row>
    <row r="3921" spans="1:10">
      <c r="A3921" s="49" t="s">
        <v>1224</v>
      </c>
      <c r="B3921" s="46"/>
      <c r="C3921" s="46"/>
      <c r="D3921" s="46"/>
      <c r="E3921" s="46"/>
      <c r="F3921" s="46"/>
      <c r="G3921" s="260" t="s">
        <v>10336</v>
      </c>
      <c r="H3921" s="260"/>
      <c r="I3921" s="260"/>
      <c r="J3921" s="260"/>
    </row>
    <row r="3922" spans="1:10" ht="24" customHeight="1">
      <c r="A3922" s="50" t="str">
        <f>CONCATENATE($I3915,"1")</f>
        <v>L1</v>
      </c>
      <c r="B3922" s="255" t="str">
        <f>IF(VLOOKUP($A3922,Players!$A$2:$C$132,3)&lt;&gt;0,VLOOKUP($A3922,Players!$A$2:$C$132,3),"")</f>
        <v/>
      </c>
      <c r="C3922" s="255"/>
      <c r="D3922" s="255"/>
      <c r="E3922" s="255"/>
      <c r="F3922" s="255"/>
      <c r="G3922" s="254" t="str">
        <f>IF(VLOOKUP($D3915&amp;RIGHT($A3922,1),Players!$A$2:$D$132,3)&lt;&gt;0,VLOOKUP($D3915&amp;RIGHT($A3922,1),Players!$A$2:$D$132,3),"")</f>
        <v/>
      </c>
      <c r="H3922" s="254"/>
      <c r="I3922" s="254"/>
      <c r="J3922" s="210" t="str">
        <f>IF(VLOOKUP($D3915&amp;RIGHT($A3922,1),Players!$A$2:$D$132,3)&lt;&gt;0,"("&amp;VLOOKUP($D3915&amp;RIGHT($A3922,1),Players!$A$2:$D$132,4)&amp;")","")</f>
        <v/>
      </c>
    </row>
    <row r="3923" spans="1:10" ht="25.5" customHeight="1">
      <c r="A3923" s="50" t="str">
        <f>CONCATENATE($I3915,"2")</f>
        <v>L2</v>
      </c>
      <c r="B3923" s="255" t="str">
        <f>IF(VLOOKUP($A3923,Players!$A$2:$C$132,3)&lt;&gt;0,VLOOKUP($A3923,Players!$A$2:$C$132,3),"")</f>
        <v/>
      </c>
      <c r="C3923" s="255"/>
      <c r="D3923" s="255"/>
      <c r="E3923" s="255"/>
      <c r="F3923" s="255"/>
      <c r="G3923" s="254" t="str">
        <f>IF(VLOOKUP($D3915&amp;RIGHT($A3923,1),Players!$A$2:$D$132,3)&lt;&gt;0,VLOOKUP($D3915&amp;RIGHT($A3923,1),Players!$A$2:$D$132,3),"")</f>
        <v/>
      </c>
      <c r="H3923" s="254"/>
      <c r="I3923" s="254"/>
      <c r="J3923" s="210" t="str">
        <f>IF(VLOOKUP($D3915&amp;RIGHT($A3923,1),Players!$A$2:$D$132,3)&lt;&gt;0,"("&amp;VLOOKUP($D3915&amp;RIGHT($A3923,1),Players!$A$2:$D$132,4)&amp;")","")</f>
        <v/>
      </c>
    </row>
    <row r="3924" spans="1:10" ht="25.5" customHeight="1">
      <c r="A3924" s="50" t="str">
        <f>CONCATENATE($I3915,"3")</f>
        <v>L3</v>
      </c>
      <c r="B3924" s="255" t="str">
        <f>IF(VLOOKUP($A3924,Players!$A$2:$C$132,3)&lt;&gt;0,VLOOKUP($A3924,Players!$A$2:$C$132,3),"")</f>
        <v/>
      </c>
      <c r="C3924" s="255"/>
      <c r="D3924" s="255"/>
      <c r="E3924" s="255"/>
      <c r="F3924" s="255"/>
      <c r="G3924" s="254" t="str">
        <f>IF(VLOOKUP($D3915&amp;RIGHT($A3924,1),Players!$A$2:$D$132,3)&lt;&gt;0,VLOOKUP($D3915&amp;RIGHT($A3924,1),Players!$A$2:$D$132,3),"")</f>
        <v/>
      </c>
      <c r="H3924" s="254"/>
      <c r="I3924" s="254"/>
      <c r="J3924" s="210" t="str">
        <f>IF(VLOOKUP($D3915&amp;RIGHT($A3924,1),Players!$A$2:$D$132,3)&lt;&gt;0,"("&amp;VLOOKUP($D3915&amp;RIGHT($A3924,1),Players!$A$2:$D$132,4)&amp;")","")</f>
        <v/>
      </c>
    </row>
    <row r="3925" spans="1:10" ht="25.5" customHeight="1">
      <c r="A3925" s="50" t="str">
        <f>CONCATENATE($I3915,"4")</f>
        <v>L4</v>
      </c>
      <c r="B3925" s="255" t="str">
        <f>IF(VLOOKUP($A3925,Players!$A$2:$C$132,3)&lt;&gt;0,VLOOKUP($A3925,Players!$A$2:$C$132,3),"")</f>
        <v/>
      </c>
      <c r="C3925" s="255"/>
      <c r="D3925" s="255"/>
      <c r="E3925" s="255"/>
      <c r="F3925" s="255"/>
      <c r="G3925" s="254" t="str">
        <f>IF(VLOOKUP($D3915&amp;RIGHT($A3925,1),Players!$A$2:$D$132,3)&lt;&gt;0,VLOOKUP($D3915&amp;RIGHT($A3925,1),Players!$A$2:$D$132,3),"")</f>
        <v/>
      </c>
      <c r="H3925" s="254"/>
      <c r="I3925" s="254"/>
      <c r="J3925" s="210" t="str">
        <f>IF(VLOOKUP($D3915&amp;RIGHT($A3925,1),Players!$A$2:$D$132,3)&lt;&gt;0,"("&amp;VLOOKUP($D3915&amp;RIGHT($A3925,1),Players!$A$2:$D$132,4)&amp;")","")</f>
        <v/>
      </c>
    </row>
    <row r="3926" spans="1:10" ht="25.5" customHeight="1">
      <c r="A3926" s="50" t="str">
        <f>CONCATENATE($I3915,"5")</f>
        <v>L5</v>
      </c>
      <c r="B3926" s="255" t="str">
        <f>IF(VLOOKUP($A3926,Players!$A$2:$C$132,3)&lt;&gt;0,VLOOKUP($A3926,Players!$A$2:$C$132,3),"")</f>
        <v/>
      </c>
      <c r="C3926" s="255"/>
      <c r="D3926" s="255"/>
      <c r="E3926" s="255"/>
      <c r="F3926" s="255"/>
      <c r="G3926" s="254" t="str">
        <f>IF(VLOOKUP($D3915&amp;RIGHT($A3926,1),Players!$A$2:$D$132,3)&lt;&gt;0,VLOOKUP($D3915&amp;RIGHT($A3926,1),Players!$A$2:$D$132,3),"")</f>
        <v/>
      </c>
      <c r="H3926" s="254"/>
      <c r="I3926" s="254"/>
      <c r="J3926" s="210" t="str">
        <f>IF(VLOOKUP($D3915&amp;RIGHT($A3926,1),Players!$A$2:$D$132,3)&lt;&gt;0,"("&amp;VLOOKUP($D3915&amp;RIGHT($A3926,1),Players!$A$2:$D$132,4)&amp;")","")</f>
        <v/>
      </c>
    </row>
    <row r="3927" spans="1:10" ht="25.5" customHeight="1">
      <c r="A3927" s="50" t="str">
        <f>CONCATENATE($I3915,"6")</f>
        <v>L6</v>
      </c>
      <c r="B3927" s="255" t="str">
        <f>IF(VLOOKUP($A3927,Players!$A$2:$C$132,3)&lt;&gt;0,VLOOKUP($A3927,Players!$A$2:$C$132,3),"")</f>
        <v/>
      </c>
      <c r="C3927" s="255"/>
      <c r="D3927" s="255"/>
      <c r="E3927" s="255"/>
      <c r="F3927" s="255"/>
      <c r="G3927" s="254" t="str">
        <f>IF(VLOOKUP($D3915&amp;RIGHT($A3927,1),Players!$A$2:$D$132,3)&lt;&gt;0,VLOOKUP($D3915&amp;RIGHT($A3927,1),Players!$A$2:$D$132,3),"")</f>
        <v/>
      </c>
      <c r="H3927" s="254"/>
      <c r="I3927" s="254"/>
      <c r="J3927" s="210" t="str">
        <f>IF(VLOOKUP($D3915&amp;RIGHT($A3927,1),Players!$A$2:$D$132,3)&lt;&gt;0,"("&amp;VLOOKUP($D3915&amp;RIGHT($A3927,1),Players!$A$2:$D$132,4)&amp;")","")</f>
        <v/>
      </c>
    </row>
    <row r="3928" spans="1:10" ht="25.5" customHeight="1">
      <c r="A3928" s="50" t="str">
        <f>CONCATENATE($I3915,"7")</f>
        <v>L7</v>
      </c>
      <c r="B3928" s="255" t="str">
        <f>IF(VLOOKUP($A3928,Players!$A$2:$C$132,3)&lt;&gt;0,VLOOKUP($A3928,Players!$A$2:$C$132,3),"")</f>
        <v/>
      </c>
      <c r="C3928" s="255"/>
      <c r="D3928" s="255"/>
      <c r="E3928" s="255"/>
      <c r="F3928" s="255"/>
      <c r="G3928" s="254" t="str">
        <f>IF(VLOOKUP($D3915&amp;RIGHT($A3928,1),Players!$A$2:$D$132,3)&lt;&gt;0,VLOOKUP($D3915&amp;RIGHT($A3928,1),Players!$A$2:$D$132,3),"")</f>
        <v/>
      </c>
      <c r="H3928" s="254"/>
      <c r="I3928" s="254"/>
      <c r="J3928" s="210" t="str">
        <f>IF(VLOOKUP($D3915&amp;RIGHT($A3928,1),Players!$A$2:$D$132,3)&lt;&gt;0,"("&amp;VLOOKUP($D3915&amp;RIGHT($A3928,1),Players!$A$2:$D$132,4)&amp;")","")</f>
        <v/>
      </c>
    </row>
    <row r="3929" spans="1:10" ht="25.5" customHeight="1">
      <c r="A3929" s="50" t="str">
        <f>CONCATENATE($I3915,"8")</f>
        <v>L8</v>
      </c>
      <c r="B3929" s="255" t="str">
        <f>IF(VLOOKUP($A3929,Players!$A$2:$C$132,3)&lt;&gt;0,VLOOKUP($A3929,Players!$A$2:$C$132,3),"")</f>
        <v/>
      </c>
      <c r="C3929" s="255"/>
      <c r="D3929" s="255"/>
      <c r="E3929" s="255"/>
      <c r="F3929" s="255"/>
      <c r="G3929" s="254" t="str">
        <f>IF(VLOOKUP($D3915&amp;RIGHT($A3929,1),Players!$A$2:$D$132,3)&lt;&gt;0,VLOOKUP($D3915&amp;RIGHT($A3929,1),Players!$A$2:$D$132,3),"")</f>
        <v/>
      </c>
      <c r="H3929" s="254"/>
      <c r="I3929" s="254"/>
      <c r="J3929" s="210" t="str">
        <f>IF(VLOOKUP($D3915&amp;RIGHT($A3929,1),Players!$A$2:$D$132,3)&lt;&gt;0,"("&amp;VLOOKUP($D3915&amp;RIGHT($A3929,1),Players!$A$2:$D$132,4)&amp;")","")</f>
        <v/>
      </c>
    </row>
    <row r="3930" spans="1:10" ht="25.5" customHeight="1">
      <c r="A3930" s="50"/>
      <c r="B3930" s="26"/>
      <c r="C3930" s="26"/>
      <c r="D3930" s="26"/>
      <c r="E3930" s="26"/>
      <c r="F3930" s="27"/>
      <c r="G3930" s="43"/>
      <c r="H3930" s="43"/>
      <c r="I3930" s="43"/>
      <c r="J3930" s="43"/>
    </row>
    <row r="3931" spans="1:10">
      <c r="A3931" s="49" t="s">
        <v>1225</v>
      </c>
      <c r="B3931" s="46"/>
      <c r="C3931" s="46"/>
      <c r="D3931" s="46"/>
      <c r="E3931" s="46"/>
      <c r="F3931" s="46"/>
      <c r="G3931" s="43"/>
      <c r="H3931" s="43"/>
      <c r="I3931" s="43"/>
      <c r="J3931" s="43"/>
    </row>
    <row r="3932" spans="1:10">
      <c r="A3932" s="46" t="s">
        <v>1247</v>
      </c>
      <c r="B3932" s="46"/>
      <c r="C3932" s="46"/>
      <c r="D3932" s="46"/>
      <c r="E3932" s="46"/>
      <c r="F3932" s="46"/>
      <c r="G3932" s="43"/>
      <c r="H3932" s="43"/>
      <c r="I3932" s="43"/>
      <c r="J3932" s="43"/>
    </row>
    <row r="3933" spans="1:10">
      <c r="A3933" s="46" t="s">
        <v>1248</v>
      </c>
      <c r="B3933" s="46"/>
      <c r="C3933" s="46"/>
      <c r="D3933" s="46"/>
      <c r="E3933" s="46"/>
      <c r="F3933" s="46"/>
      <c r="G3933" s="43"/>
      <c r="H3933" s="43"/>
      <c r="I3933" s="43"/>
      <c r="J3933" s="43"/>
    </row>
    <row r="3934" spans="1:10" ht="13.5" thickBot="1">
      <c r="A3934" s="46"/>
      <c r="B3934" s="46"/>
      <c r="C3934" s="46"/>
      <c r="D3934" s="46"/>
      <c r="E3934" s="46"/>
      <c r="F3934" s="46"/>
      <c r="G3934" s="43"/>
      <c r="H3934" s="43"/>
      <c r="I3934" s="43"/>
      <c r="J3934" s="43"/>
    </row>
    <row r="3935" spans="1:10" ht="25.5" customHeight="1" thickBot="1">
      <c r="A3935" s="50"/>
      <c r="B3935" s="257"/>
      <c r="C3935" s="258"/>
      <c r="D3935" s="258"/>
      <c r="E3935" s="258"/>
      <c r="F3935" s="259"/>
      <c r="G3935" s="43"/>
      <c r="H3935" s="43"/>
      <c r="I3935" s="43"/>
      <c r="J3935" s="43"/>
    </row>
    <row r="3936" spans="1:10">
      <c r="A3936" s="43"/>
      <c r="B3936" s="43"/>
      <c r="C3936" s="43"/>
      <c r="D3936" s="43"/>
      <c r="E3936" s="43"/>
      <c r="F3936" s="43"/>
      <c r="G3936" s="43"/>
      <c r="H3936" s="43"/>
      <c r="I3936" s="43"/>
      <c r="J3936" s="43"/>
    </row>
    <row r="3937" spans="1:10">
      <c r="A3937" s="43"/>
      <c r="B3937" s="43"/>
      <c r="C3937" s="43"/>
      <c r="D3937" s="43"/>
      <c r="E3937" s="43"/>
      <c r="F3937" s="43"/>
      <c r="G3937" s="43"/>
      <c r="H3937" s="43"/>
      <c r="I3937" s="43"/>
      <c r="J3937" s="43"/>
    </row>
    <row r="3938" spans="1:10">
      <c r="A3938" s="43"/>
      <c r="B3938" s="43"/>
      <c r="C3938" s="43"/>
      <c r="D3938" s="43"/>
      <c r="E3938" s="43"/>
      <c r="F3938" s="43"/>
      <c r="G3938" s="43"/>
      <c r="H3938" s="43"/>
      <c r="I3938" s="43"/>
      <c r="J3938" s="43"/>
    </row>
    <row r="3939" spans="1:10">
      <c r="A3939" s="43"/>
      <c r="B3939" s="43"/>
      <c r="C3939" s="43"/>
      <c r="D3939" s="43"/>
      <c r="E3939" s="43"/>
      <c r="F3939" s="43"/>
      <c r="G3939" s="43"/>
      <c r="H3939" s="43"/>
      <c r="I3939" s="43"/>
      <c r="J3939" s="43"/>
    </row>
    <row r="3940" spans="1:10">
      <c r="A3940" s="43"/>
      <c r="B3940" s="43"/>
      <c r="C3940" s="43"/>
      <c r="D3940" s="43"/>
      <c r="E3940" s="43"/>
      <c r="F3940" s="43"/>
      <c r="G3940" s="43"/>
      <c r="H3940" s="43"/>
      <c r="I3940" s="43"/>
      <c r="J3940" s="43"/>
    </row>
    <row r="3941" spans="1:10" ht="25.5" customHeight="1">
      <c r="A3941" s="47"/>
      <c r="B3941" s="47"/>
      <c r="C3941" s="47"/>
      <c r="D3941" s="47"/>
      <c r="E3941" s="47"/>
      <c r="F3941" s="43"/>
      <c r="G3941" s="51"/>
      <c r="H3941" s="250" t="s">
        <v>1227</v>
      </c>
      <c r="I3941" s="251"/>
      <c r="J3941" s="43"/>
    </row>
    <row r="3942" spans="1:10">
      <c r="A3942" s="43" t="s">
        <v>1226</v>
      </c>
      <c r="B3942" s="43"/>
      <c r="C3942" s="43"/>
      <c r="D3942" s="43"/>
      <c r="E3942" s="43"/>
      <c r="F3942" s="43"/>
      <c r="G3942" s="43"/>
      <c r="H3942" s="43"/>
      <c r="I3942" s="43"/>
      <c r="J3942" s="43"/>
    </row>
    <row r="3943" spans="1:10">
      <c r="A3943" s="43"/>
      <c r="B3943" s="43"/>
      <c r="C3943" s="43"/>
      <c r="D3943" s="43"/>
      <c r="E3943" s="43"/>
      <c r="F3943" s="43"/>
      <c r="G3943" s="43"/>
      <c r="H3943" s="43"/>
      <c r="I3943" s="43"/>
      <c r="J3943" s="43"/>
    </row>
    <row r="3944" spans="1:10">
      <c r="A3944" s="43"/>
      <c r="B3944" s="43"/>
      <c r="C3944" s="43"/>
      <c r="D3944" s="43"/>
      <c r="E3944" s="256" t="str">
        <f>CONCATENATE("(",$D3915," vs ",$I3915,")")</f>
        <v>(F vs L)</v>
      </c>
      <c r="F3944" s="256"/>
      <c r="G3944" s="43"/>
      <c r="H3944" s="43"/>
      <c r="I3944" s="43"/>
      <c r="J3944" s="43"/>
    </row>
    <row r="3945" spans="1:10" ht="15.75">
      <c r="A3945" s="42" t="s">
        <v>1223</v>
      </c>
      <c r="B3945" s="43"/>
      <c r="C3945" s="43"/>
      <c r="D3945" s="43"/>
      <c r="E3945" s="43"/>
      <c r="F3945" s="43"/>
      <c r="G3945" s="43"/>
      <c r="H3945" s="43"/>
      <c r="I3945" s="43"/>
      <c r="J3945" s="96" t="s">
        <v>4335</v>
      </c>
    </row>
    <row r="3946" spans="1:10" ht="12.75" customHeight="1">
      <c r="A3946" s="42"/>
      <c r="B3946" s="43"/>
      <c r="C3946" s="43"/>
      <c r="D3946" s="43"/>
      <c r="E3946" s="43"/>
      <c r="F3946" s="43"/>
      <c r="G3946" s="43" t="str">
        <f ca="1">Team_Matches!$J$6</f>
        <v>[NCTTA Teams Template (v2.06).xlsx]</v>
      </c>
      <c r="H3946" s="43"/>
      <c r="I3946" s="43"/>
      <c r="J3946" s="160"/>
    </row>
    <row r="3947" spans="1:10" ht="12.75" customHeight="1">
      <c r="A3947" s="42"/>
      <c r="B3947" s="43"/>
      <c r="C3947" s="43"/>
      <c r="D3947" s="43"/>
      <c r="E3947" s="43"/>
      <c r="F3947" s="43"/>
      <c r="G3947" s="247" t="str">
        <f>Team_Matches!$J2965</f>
        <v/>
      </c>
      <c r="H3947" s="247"/>
      <c r="I3947" s="161" t="str">
        <f>Team_Matches!$M2965</f>
        <v/>
      </c>
      <c r="J3947" s="161"/>
    </row>
    <row r="3948" spans="1:10" ht="15.75">
      <c r="A3948" s="42"/>
      <c r="B3948" s="43"/>
      <c r="C3948" s="43"/>
      <c r="D3948" s="43"/>
      <c r="E3948" s="43"/>
      <c r="F3948" s="43"/>
      <c r="G3948" s="43"/>
      <c r="H3948" s="43"/>
      <c r="I3948" s="43"/>
      <c r="J3948" s="43"/>
    </row>
    <row r="3949" spans="1:10">
      <c r="A3949" s="43"/>
      <c r="B3949" s="43"/>
      <c r="C3949" s="9" t="s">
        <v>1228</v>
      </c>
      <c r="D3949" s="52" t="str">
        <f>Team_Matches!$B2967</f>
        <v>G</v>
      </c>
      <c r="E3949" s="43"/>
      <c r="F3949" s="97" t="str">
        <f>CONCATENATE($D3949,"-",$I3949)</f>
        <v>G-I</v>
      </c>
      <c r="G3949" s="43"/>
      <c r="H3949" s="9" t="s">
        <v>1228</v>
      </c>
      <c r="I3949" s="52" t="str">
        <f>Team_Matches!$K2967</f>
        <v>I</v>
      </c>
      <c r="J3949" s="43"/>
    </row>
    <row r="3950" spans="1:10" ht="25.5" customHeight="1">
      <c r="A3950" s="44"/>
      <c r="B3950" s="248" t="str">
        <f>IF(VLOOKUP($D3949,Draw!$A$4:$B$27,2)&lt;&gt;0,VLOOKUP($D3949,Draw!$A$4:$B$27,2),"")</f>
        <v/>
      </c>
      <c r="C3950" s="248"/>
      <c r="D3950" s="248"/>
      <c r="E3950" s="249"/>
      <c r="F3950" s="45"/>
      <c r="G3950" s="252" t="str">
        <f>IF(VLOOKUP($I3949,Draw!$A$4:$B$27,2)&lt;&gt;0,VLOOKUP($I3949,Draw!$A$4:$B$27,2),"")</f>
        <v/>
      </c>
      <c r="H3950" s="252"/>
      <c r="I3950" s="252"/>
      <c r="J3950" s="253"/>
    </row>
    <row r="3951" spans="1:10" ht="25.5" customHeight="1"/>
    <row r="3952" spans="1:10" ht="25.5" customHeight="1"/>
    <row r="3953" spans="1:10" ht="24" customHeight="1">
      <c r="A3953" s="48" t="s">
        <v>1246</v>
      </c>
      <c r="B3953" s="43"/>
      <c r="C3953" s="43"/>
      <c r="D3953" s="43"/>
      <c r="E3953" s="43"/>
      <c r="F3953" s="43"/>
      <c r="G3953" s="43"/>
      <c r="H3953" s="43"/>
      <c r="I3953" s="43"/>
      <c r="J3953" s="43"/>
    </row>
    <row r="3954" spans="1:10" ht="24" customHeight="1">
      <c r="A3954" s="48"/>
      <c r="B3954" s="43"/>
      <c r="C3954" s="43"/>
      <c r="D3954" s="43"/>
      <c r="E3954" s="43"/>
      <c r="F3954" s="43"/>
      <c r="G3954" s="43"/>
      <c r="H3954" s="43"/>
      <c r="I3954" s="43"/>
      <c r="J3954" s="43"/>
    </row>
    <row r="3955" spans="1:10">
      <c r="A3955" s="49" t="s">
        <v>1224</v>
      </c>
      <c r="B3955" s="46"/>
      <c r="C3955" s="46"/>
      <c r="D3955" s="46"/>
      <c r="E3955" s="46"/>
      <c r="F3955" s="46"/>
      <c r="G3955" s="260" t="s">
        <v>10336</v>
      </c>
      <c r="H3955" s="260"/>
      <c r="I3955" s="260"/>
      <c r="J3955" s="260"/>
    </row>
    <row r="3956" spans="1:10" ht="24" customHeight="1">
      <c r="A3956" s="50" t="str">
        <f>CONCATENATE($D3949,"1")</f>
        <v>G1</v>
      </c>
      <c r="B3956" s="255" t="str">
        <f>IF(VLOOKUP($A3956,Players!$A$2:$C$132,3)&lt;&gt;0,VLOOKUP($A3956,Players!$A$2:$C$132,3),"")</f>
        <v/>
      </c>
      <c r="C3956" s="255"/>
      <c r="D3956" s="255"/>
      <c r="E3956" s="255"/>
      <c r="F3956" s="255"/>
      <c r="G3956" s="254" t="str">
        <f>IF(VLOOKUP($I3949&amp;RIGHT($A3956,1),Players!$A$2:$D$132,3)&lt;&gt;0,VLOOKUP($I3949&amp;RIGHT($A3956,1),Players!$A$2:$D$132,3),"")</f>
        <v/>
      </c>
      <c r="H3956" s="254"/>
      <c r="I3956" s="254"/>
      <c r="J3956" s="210" t="str">
        <f>IF(VLOOKUP($I3949&amp;RIGHT($A3956,1),Players!$A$2:$D$132,3)&lt;&gt;0,"("&amp;VLOOKUP($I3949&amp;RIGHT($A3956,1),Players!$A$2:$D$132,4)&amp;")","")</f>
        <v/>
      </c>
    </row>
    <row r="3957" spans="1:10" ht="25.5" customHeight="1">
      <c r="A3957" s="50" t="str">
        <f>CONCATENATE($D3949,"2")</f>
        <v>G2</v>
      </c>
      <c r="B3957" s="255" t="str">
        <f>IF(VLOOKUP($A3957,Players!$A$2:$C$132,3)&lt;&gt;0,VLOOKUP($A3957,Players!$A$2:$C$132,3),"")</f>
        <v/>
      </c>
      <c r="C3957" s="255"/>
      <c r="D3957" s="255"/>
      <c r="E3957" s="255"/>
      <c r="F3957" s="255"/>
      <c r="G3957" s="254" t="str">
        <f>IF(VLOOKUP($I3949&amp;RIGHT($A3957,1),Players!$A$2:$D$132,3)&lt;&gt;0,VLOOKUP($I3949&amp;RIGHT($A3957,1),Players!$A$2:$D$132,3),"")</f>
        <v/>
      </c>
      <c r="H3957" s="254"/>
      <c r="I3957" s="254"/>
      <c r="J3957" s="210" t="str">
        <f>IF(VLOOKUP($I3949&amp;RIGHT($A3957,1),Players!$A$2:$D$132,3)&lt;&gt;0,"("&amp;VLOOKUP($I3949&amp;RIGHT($A3957,1),Players!$A$2:$D$132,4)&amp;")","")</f>
        <v/>
      </c>
    </row>
    <row r="3958" spans="1:10" ht="25.5" customHeight="1">
      <c r="A3958" s="50" t="str">
        <f>CONCATENATE($D3949,"3")</f>
        <v>G3</v>
      </c>
      <c r="B3958" s="255" t="str">
        <f>IF(VLOOKUP($A3958,Players!$A$2:$C$132,3)&lt;&gt;0,VLOOKUP($A3958,Players!$A$2:$C$132,3),"")</f>
        <v/>
      </c>
      <c r="C3958" s="255"/>
      <c r="D3958" s="255"/>
      <c r="E3958" s="255"/>
      <c r="F3958" s="255"/>
      <c r="G3958" s="254" t="str">
        <f>IF(VLOOKUP($I3949&amp;RIGHT($A3958,1),Players!$A$2:$D$132,3)&lt;&gt;0,VLOOKUP($I3949&amp;RIGHT($A3958,1),Players!$A$2:$D$132,3),"")</f>
        <v/>
      </c>
      <c r="H3958" s="254"/>
      <c r="I3958" s="254"/>
      <c r="J3958" s="210" t="str">
        <f>IF(VLOOKUP($I3949&amp;RIGHT($A3958,1),Players!$A$2:$D$132,3)&lt;&gt;0,"("&amp;VLOOKUP($I3949&amp;RIGHT($A3958,1),Players!$A$2:$D$132,4)&amp;")","")</f>
        <v/>
      </c>
    </row>
    <row r="3959" spans="1:10" ht="25.5" customHeight="1">
      <c r="A3959" s="50" t="str">
        <f>CONCATENATE($D3949,"4")</f>
        <v>G4</v>
      </c>
      <c r="B3959" s="255" t="str">
        <f>IF(VLOOKUP($A3959,Players!$A$2:$C$132,3)&lt;&gt;0,VLOOKUP($A3959,Players!$A$2:$C$132,3),"")</f>
        <v/>
      </c>
      <c r="C3959" s="255"/>
      <c r="D3959" s="255"/>
      <c r="E3959" s="255"/>
      <c r="F3959" s="255"/>
      <c r="G3959" s="254" t="str">
        <f>IF(VLOOKUP($I3949&amp;RIGHT($A3959,1),Players!$A$2:$D$132,3)&lt;&gt;0,VLOOKUP($I3949&amp;RIGHT($A3959,1),Players!$A$2:$D$132,3),"")</f>
        <v/>
      </c>
      <c r="H3959" s="254"/>
      <c r="I3959" s="254"/>
      <c r="J3959" s="210" t="str">
        <f>IF(VLOOKUP($I3949&amp;RIGHT($A3959,1),Players!$A$2:$D$132,3)&lt;&gt;0,"("&amp;VLOOKUP($I3949&amp;RIGHT($A3959,1),Players!$A$2:$D$132,4)&amp;")","")</f>
        <v/>
      </c>
    </row>
    <row r="3960" spans="1:10" ht="25.5" customHeight="1">
      <c r="A3960" s="50" t="str">
        <f>CONCATENATE($D3949,"5")</f>
        <v>G5</v>
      </c>
      <c r="B3960" s="255" t="str">
        <f>IF(VLOOKUP($A3960,Players!$A$2:$C$132,3)&lt;&gt;0,VLOOKUP($A3960,Players!$A$2:$C$132,3),"")</f>
        <v/>
      </c>
      <c r="C3960" s="255"/>
      <c r="D3960" s="255"/>
      <c r="E3960" s="255"/>
      <c r="F3960" s="255"/>
      <c r="G3960" s="254" t="str">
        <f>IF(VLOOKUP($I3949&amp;RIGHT($A3960,1),Players!$A$2:$D$132,3)&lt;&gt;0,VLOOKUP($I3949&amp;RIGHT($A3960,1),Players!$A$2:$D$132,3),"")</f>
        <v/>
      </c>
      <c r="H3960" s="254"/>
      <c r="I3960" s="254"/>
      <c r="J3960" s="210" t="str">
        <f>IF(VLOOKUP($I3949&amp;RIGHT($A3960,1),Players!$A$2:$D$132,3)&lt;&gt;0,"("&amp;VLOOKUP($I3949&amp;RIGHT($A3960,1),Players!$A$2:$D$132,4)&amp;")","")</f>
        <v/>
      </c>
    </row>
    <row r="3961" spans="1:10" ht="25.5" customHeight="1">
      <c r="A3961" s="50" t="str">
        <f>CONCATENATE($D3949,"6")</f>
        <v>G6</v>
      </c>
      <c r="B3961" s="255" t="str">
        <f>IF(VLOOKUP($A3961,Players!$A$2:$C$132,3)&lt;&gt;0,VLOOKUP($A3961,Players!$A$2:$C$132,3),"")</f>
        <v/>
      </c>
      <c r="C3961" s="255"/>
      <c r="D3961" s="255"/>
      <c r="E3961" s="255"/>
      <c r="F3961" s="255"/>
      <c r="G3961" s="254" t="str">
        <f>IF(VLOOKUP($I3949&amp;RIGHT($A3961,1),Players!$A$2:$D$132,3)&lt;&gt;0,VLOOKUP($I3949&amp;RIGHT($A3961,1),Players!$A$2:$D$132,3),"")</f>
        <v/>
      </c>
      <c r="H3961" s="254"/>
      <c r="I3961" s="254"/>
      <c r="J3961" s="210" t="str">
        <f>IF(VLOOKUP($I3949&amp;RIGHT($A3961,1),Players!$A$2:$D$132,3)&lt;&gt;0,"("&amp;VLOOKUP($I3949&amp;RIGHT($A3961,1),Players!$A$2:$D$132,4)&amp;")","")</f>
        <v/>
      </c>
    </row>
    <row r="3962" spans="1:10" ht="25.5" customHeight="1">
      <c r="A3962" s="50" t="str">
        <f>CONCATENATE($D3949,"7")</f>
        <v>G7</v>
      </c>
      <c r="B3962" s="255" t="str">
        <f>IF(VLOOKUP($A3962,Players!$A$2:$C$132,3)&lt;&gt;0,VLOOKUP($A3962,Players!$A$2:$C$132,3),"")</f>
        <v/>
      </c>
      <c r="C3962" s="255"/>
      <c r="D3962" s="255"/>
      <c r="E3962" s="255"/>
      <c r="F3962" s="255"/>
      <c r="G3962" s="254" t="str">
        <f>IF(VLOOKUP($I3949&amp;RIGHT($A3962,1),Players!$A$2:$D$132,3)&lt;&gt;0,VLOOKUP($I3949&amp;RIGHT($A3962,1),Players!$A$2:$D$132,3),"")</f>
        <v/>
      </c>
      <c r="H3962" s="254"/>
      <c r="I3962" s="254"/>
      <c r="J3962" s="210" t="str">
        <f>IF(VLOOKUP($I3949&amp;RIGHT($A3962,1),Players!$A$2:$D$132,3)&lt;&gt;0,"("&amp;VLOOKUP($I3949&amp;RIGHT($A3962,1),Players!$A$2:$D$132,4)&amp;")","")</f>
        <v/>
      </c>
    </row>
    <row r="3963" spans="1:10" ht="25.5" customHeight="1">
      <c r="A3963" s="50" t="str">
        <f>CONCATENATE($D3949,"8")</f>
        <v>G8</v>
      </c>
      <c r="B3963" s="255" t="str">
        <f>IF(VLOOKUP($A3963,Players!$A$2:$C$132,3)&lt;&gt;0,VLOOKUP($A3963,Players!$A$2:$C$132,3),"")</f>
        <v/>
      </c>
      <c r="C3963" s="255"/>
      <c r="D3963" s="255"/>
      <c r="E3963" s="255"/>
      <c r="F3963" s="255"/>
      <c r="G3963" s="254" t="str">
        <f>IF(VLOOKUP($I3949&amp;RIGHT($A3963,1),Players!$A$2:$D$132,3)&lt;&gt;0,VLOOKUP($I3949&amp;RIGHT($A3963,1),Players!$A$2:$D$132,3),"")</f>
        <v/>
      </c>
      <c r="H3963" s="254"/>
      <c r="I3963" s="254"/>
      <c r="J3963" s="210" t="str">
        <f>IF(VLOOKUP($I3949&amp;RIGHT($A3963,1),Players!$A$2:$D$132,3)&lt;&gt;0,"("&amp;VLOOKUP($I3949&amp;RIGHT($A3963,1),Players!$A$2:$D$132,4)&amp;")","")</f>
        <v/>
      </c>
    </row>
    <row r="3964" spans="1:10" ht="25.5" customHeight="1">
      <c r="A3964" s="50"/>
      <c r="B3964" s="26"/>
      <c r="C3964" s="26"/>
      <c r="D3964" s="26"/>
      <c r="E3964" s="26"/>
      <c r="F3964" s="27"/>
      <c r="G3964" s="43"/>
      <c r="H3964" s="43"/>
      <c r="I3964" s="43"/>
      <c r="J3964" s="43"/>
    </row>
    <row r="3965" spans="1:10">
      <c r="A3965" s="49" t="s">
        <v>1225</v>
      </c>
      <c r="B3965" s="46"/>
      <c r="C3965" s="46"/>
      <c r="D3965" s="46"/>
      <c r="E3965" s="46"/>
      <c r="F3965" s="46"/>
      <c r="G3965" s="43"/>
      <c r="H3965" s="43"/>
      <c r="I3965" s="43"/>
      <c r="J3965" s="43"/>
    </row>
    <row r="3966" spans="1:10">
      <c r="A3966" s="46" t="s">
        <v>1247</v>
      </c>
      <c r="B3966" s="46"/>
      <c r="C3966" s="46"/>
      <c r="D3966" s="46"/>
      <c r="E3966" s="46"/>
      <c r="F3966" s="46"/>
      <c r="G3966" s="43"/>
      <c r="H3966" s="43"/>
      <c r="I3966" s="43"/>
      <c r="J3966" s="43"/>
    </row>
    <row r="3967" spans="1:10">
      <c r="A3967" s="46" t="s">
        <v>1248</v>
      </c>
      <c r="B3967" s="46"/>
      <c r="C3967" s="46"/>
      <c r="D3967" s="46"/>
      <c r="E3967" s="46"/>
      <c r="F3967" s="46"/>
      <c r="G3967" s="43"/>
      <c r="H3967" s="43"/>
      <c r="I3967" s="43"/>
      <c r="J3967" s="43"/>
    </row>
    <row r="3968" spans="1:10" ht="13.5" thickBot="1">
      <c r="A3968" s="46"/>
      <c r="B3968" s="46"/>
      <c r="C3968" s="46"/>
      <c r="D3968" s="46"/>
      <c r="E3968" s="46"/>
      <c r="F3968" s="46"/>
      <c r="G3968" s="43"/>
      <c r="H3968" s="43"/>
      <c r="I3968" s="43"/>
      <c r="J3968" s="43"/>
    </row>
    <row r="3969" spans="1:10" ht="25.5" customHeight="1" thickBot="1">
      <c r="A3969" s="50"/>
      <c r="B3969" s="257"/>
      <c r="C3969" s="258"/>
      <c r="D3969" s="258"/>
      <c r="E3969" s="258"/>
      <c r="F3969" s="259"/>
      <c r="G3969" s="43"/>
      <c r="H3969" s="43"/>
      <c r="I3969" s="43"/>
      <c r="J3969" s="43"/>
    </row>
    <row r="3970" spans="1:10">
      <c r="A3970" s="43"/>
      <c r="B3970" s="43"/>
      <c r="C3970" s="43"/>
      <c r="D3970" s="43"/>
      <c r="E3970" s="43"/>
      <c r="F3970" s="43"/>
      <c r="G3970" s="43"/>
      <c r="H3970" s="43"/>
      <c r="I3970" s="43"/>
      <c r="J3970" s="43"/>
    </row>
    <row r="3971" spans="1:10">
      <c r="A3971" s="43"/>
      <c r="B3971" s="43"/>
      <c r="C3971" s="43"/>
      <c r="D3971" s="43"/>
      <c r="E3971" s="43"/>
      <c r="F3971" s="43"/>
      <c r="G3971" s="43"/>
      <c r="H3971" s="43"/>
      <c r="I3971" s="43"/>
      <c r="J3971" s="43"/>
    </row>
    <row r="3972" spans="1:10">
      <c r="A3972" s="43"/>
      <c r="B3972" s="43"/>
      <c r="C3972" s="43"/>
      <c r="D3972" s="43"/>
      <c r="E3972" s="43"/>
      <c r="F3972" s="43"/>
      <c r="G3972" s="43"/>
      <c r="H3972" s="43"/>
      <c r="I3972" s="43"/>
      <c r="J3972" s="43"/>
    </row>
    <row r="3973" spans="1:10">
      <c r="A3973" s="43"/>
      <c r="B3973" s="43"/>
      <c r="C3973" s="43"/>
      <c r="D3973" s="43"/>
      <c r="E3973" s="43"/>
      <c r="F3973" s="43"/>
      <c r="G3973" s="43"/>
      <c r="H3973" s="43"/>
      <c r="I3973" s="43"/>
      <c r="J3973" s="43"/>
    </row>
    <row r="3974" spans="1:10">
      <c r="A3974" s="43"/>
      <c r="B3974" s="43"/>
      <c r="C3974" s="43"/>
      <c r="D3974" s="43"/>
      <c r="E3974" s="43"/>
      <c r="F3974" s="43"/>
      <c r="G3974" s="43"/>
      <c r="H3974" s="43"/>
      <c r="I3974" s="43"/>
      <c r="J3974" s="43"/>
    </row>
    <row r="3975" spans="1:10" ht="25.5" customHeight="1">
      <c r="A3975" s="47"/>
      <c r="B3975" s="47"/>
      <c r="C3975" s="47"/>
      <c r="D3975" s="47"/>
      <c r="E3975" s="47"/>
      <c r="F3975" s="43"/>
      <c r="G3975" s="51"/>
      <c r="H3975" s="250" t="s">
        <v>1227</v>
      </c>
      <c r="I3975" s="251"/>
      <c r="J3975" s="43"/>
    </row>
    <row r="3976" spans="1:10">
      <c r="A3976" s="43" t="s">
        <v>1226</v>
      </c>
      <c r="B3976" s="43"/>
      <c r="C3976" s="43"/>
      <c r="D3976" s="43"/>
      <c r="E3976" s="43"/>
      <c r="F3976" s="43"/>
      <c r="G3976" s="43"/>
      <c r="H3976" s="43"/>
      <c r="I3976" s="43"/>
      <c r="J3976" s="43"/>
    </row>
    <row r="3977" spans="1:10">
      <c r="A3977" s="43"/>
      <c r="B3977" s="43"/>
      <c r="C3977" s="43"/>
      <c r="D3977" s="43"/>
      <c r="E3977" s="43"/>
      <c r="F3977" s="43"/>
      <c r="G3977" s="43"/>
      <c r="H3977" s="43"/>
      <c r="I3977" s="43"/>
      <c r="J3977" s="43"/>
    </row>
    <row r="3978" spans="1:10">
      <c r="A3978" s="43"/>
      <c r="B3978" s="43"/>
      <c r="C3978" s="43"/>
      <c r="D3978" s="43"/>
      <c r="E3978" s="256" t="str">
        <f>CONCATENATE("(",$D3949," vs ",$I3949,")")</f>
        <v>(G vs I)</v>
      </c>
      <c r="F3978" s="256"/>
      <c r="G3978" s="43"/>
      <c r="H3978" s="43"/>
      <c r="I3978" s="43"/>
      <c r="J3978" s="43"/>
    </row>
    <row r="3979" spans="1:10" ht="15.75">
      <c r="A3979" s="42" t="s">
        <v>1223</v>
      </c>
      <c r="B3979" s="43"/>
      <c r="C3979" s="43"/>
      <c r="D3979" s="43"/>
      <c r="E3979" s="43"/>
      <c r="F3979" s="43"/>
      <c r="G3979" s="43"/>
      <c r="H3979" s="43"/>
      <c r="I3979" s="43"/>
      <c r="J3979" s="96" t="s">
        <v>4336</v>
      </c>
    </row>
    <row r="3980" spans="1:10" ht="12.75" customHeight="1">
      <c r="A3980" s="42"/>
      <c r="B3980" s="43"/>
      <c r="C3980" s="43"/>
      <c r="D3980" s="43"/>
      <c r="E3980" s="43"/>
      <c r="F3980" s="43"/>
      <c r="G3980" s="43" t="str">
        <f ca="1">Team_Matches!$J$6</f>
        <v>[NCTTA Teams Template (v2.06).xlsx]</v>
      </c>
      <c r="H3980" s="43"/>
      <c r="I3980" s="43"/>
      <c r="J3980" s="160"/>
    </row>
    <row r="3981" spans="1:10" ht="12.75" customHeight="1">
      <c r="A3981" s="42"/>
      <c r="B3981" s="43"/>
      <c r="C3981" s="43"/>
      <c r="D3981" s="43"/>
      <c r="E3981" s="43"/>
      <c r="F3981" s="43"/>
      <c r="G3981" s="247" t="str">
        <f>Team_Matches!$J2965</f>
        <v/>
      </c>
      <c r="H3981" s="247"/>
      <c r="I3981" s="161" t="str">
        <f>Team_Matches!$M2965</f>
        <v/>
      </c>
      <c r="J3981" s="161"/>
    </row>
    <row r="3982" spans="1:10" ht="15.75">
      <c r="A3982" s="42"/>
      <c r="B3982" s="43"/>
      <c r="C3982" s="43"/>
      <c r="D3982" s="43"/>
      <c r="E3982" s="43"/>
      <c r="F3982" s="43"/>
      <c r="G3982" s="43"/>
      <c r="H3982" s="43"/>
      <c r="I3982" s="43"/>
      <c r="J3982" s="43"/>
    </row>
    <row r="3983" spans="1:10">
      <c r="A3983" s="43"/>
      <c r="B3983" s="43"/>
      <c r="C3983" s="9" t="s">
        <v>1228</v>
      </c>
      <c r="D3983" s="52" t="str">
        <f>Team_Matches!$B2967</f>
        <v>G</v>
      </c>
      <c r="E3983" s="43"/>
      <c r="F3983" s="97" t="str">
        <f>CONCATENATE($D3983,"-",$I3983)</f>
        <v>G-I</v>
      </c>
      <c r="G3983" s="43"/>
      <c r="H3983" s="9" t="s">
        <v>1228</v>
      </c>
      <c r="I3983" s="52" t="str">
        <f>Team_Matches!$K2967</f>
        <v>I</v>
      </c>
      <c r="J3983" s="43"/>
    </row>
    <row r="3984" spans="1:10" ht="25.5" customHeight="1">
      <c r="A3984" s="44"/>
      <c r="B3984" s="252" t="str">
        <f>IF(VLOOKUP($D3983,Draw!$A$4:$B$27,2)&lt;&gt;0,VLOOKUP($D3983,Draw!$A$4:$B$27,2),"")</f>
        <v/>
      </c>
      <c r="C3984" s="252"/>
      <c r="D3984" s="252"/>
      <c r="E3984" s="253"/>
      <c r="F3984" s="45"/>
      <c r="G3984" s="248" t="str">
        <f>IF(VLOOKUP($I3983,Draw!$A$4:$B$27,2)&lt;&gt;0,VLOOKUP($I3983,Draw!$A$4:$B$27,2),"")</f>
        <v/>
      </c>
      <c r="H3984" s="248"/>
      <c r="I3984" s="248"/>
      <c r="J3984" s="249"/>
    </row>
    <row r="3985" spans="1:10" ht="25.5" customHeight="1"/>
    <row r="3986" spans="1:10" ht="25.5" customHeight="1"/>
    <row r="3987" spans="1:10" ht="24" customHeight="1">
      <c r="A3987" s="48" t="s">
        <v>1246</v>
      </c>
      <c r="B3987" s="43"/>
      <c r="C3987" s="43"/>
      <c r="D3987" s="43"/>
      <c r="E3987" s="43"/>
      <c r="F3987" s="43"/>
      <c r="G3987" s="43"/>
      <c r="H3987" s="43"/>
      <c r="I3987" s="43"/>
      <c r="J3987" s="43"/>
    </row>
    <row r="3988" spans="1:10" ht="24" customHeight="1">
      <c r="A3988" s="48"/>
      <c r="B3988" s="43"/>
      <c r="C3988" s="43"/>
      <c r="D3988" s="43"/>
      <c r="E3988" s="43"/>
      <c r="F3988" s="43"/>
      <c r="G3988" s="43"/>
      <c r="H3988" s="43"/>
      <c r="I3988" s="43"/>
      <c r="J3988" s="43"/>
    </row>
    <row r="3989" spans="1:10">
      <c r="A3989" s="49" t="s">
        <v>1224</v>
      </c>
      <c r="B3989" s="46"/>
      <c r="C3989" s="46"/>
      <c r="D3989" s="46"/>
      <c r="E3989" s="46"/>
      <c r="F3989" s="46"/>
      <c r="G3989" s="260" t="s">
        <v>10336</v>
      </c>
      <c r="H3989" s="260"/>
      <c r="I3989" s="260"/>
      <c r="J3989" s="260"/>
    </row>
    <row r="3990" spans="1:10" ht="24" customHeight="1">
      <c r="A3990" s="50" t="str">
        <f>CONCATENATE($I3983,"1")</f>
        <v>I1</v>
      </c>
      <c r="B3990" s="255" t="str">
        <f>IF(VLOOKUP($A3990,Players!$A$2:$C$132,3)&lt;&gt;0,VLOOKUP($A3990,Players!$A$2:$C$132,3),"")</f>
        <v/>
      </c>
      <c r="C3990" s="255"/>
      <c r="D3990" s="255"/>
      <c r="E3990" s="255"/>
      <c r="F3990" s="255"/>
      <c r="G3990" s="254" t="str">
        <f>IF(VLOOKUP($D3983&amp;RIGHT($A3990,1),Players!$A$2:$D$132,3)&lt;&gt;0,VLOOKUP($D3983&amp;RIGHT($A3990,1),Players!$A$2:$D$132,3),"")</f>
        <v/>
      </c>
      <c r="H3990" s="254"/>
      <c r="I3990" s="254"/>
      <c r="J3990" s="210" t="str">
        <f>IF(VLOOKUP($D3983&amp;RIGHT($A3990,1),Players!$A$2:$D$132,3)&lt;&gt;0,"("&amp;VLOOKUP($D3983&amp;RIGHT($A3990,1),Players!$A$2:$D$132,4)&amp;")","")</f>
        <v/>
      </c>
    </row>
    <row r="3991" spans="1:10" ht="25.5" customHeight="1">
      <c r="A3991" s="50" t="str">
        <f>CONCATENATE($I3983,"2")</f>
        <v>I2</v>
      </c>
      <c r="B3991" s="255" t="str">
        <f>IF(VLOOKUP($A3991,Players!$A$2:$C$132,3)&lt;&gt;0,VLOOKUP($A3991,Players!$A$2:$C$132,3),"")</f>
        <v/>
      </c>
      <c r="C3991" s="255"/>
      <c r="D3991" s="255"/>
      <c r="E3991" s="255"/>
      <c r="F3991" s="255"/>
      <c r="G3991" s="254" t="str">
        <f>IF(VLOOKUP($D3983&amp;RIGHT($A3991,1),Players!$A$2:$D$132,3)&lt;&gt;0,VLOOKUP($D3983&amp;RIGHT($A3991,1),Players!$A$2:$D$132,3),"")</f>
        <v/>
      </c>
      <c r="H3991" s="254"/>
      <c r="I3991" s="254"/>
      <c r="J3991" s="210" t="str">
        <f>IF(VLOOKUP($D3983&amp;RIGHT($A3991,1),Players!$A$2:$D$132,3)&lt;&gt;0,"("&amp;VLOOKUP($D3983&amp;RIGHT($A3991,1),Players!$A$2:$D$132,4)&amp;")","")</f>
        <v/>
      </c>
    </row>
    <row r="3992" spans="1:10" ht="25.5" customHeight="1">
      <c r="A3992" s="50" t="str">
        <f>CONCATENATE($I3983,"3")</f>
        <v>I3</v>
      </c>
      <c r="B3992" s="255" t="str">
        <f>IF(VLOOKUP($A3992,Players!$A$2:$C$132,3)&lt;&gt;0,VLOOKUP($A3992,Players!$A$2:$C$132,3),"")</f>
        <v/>
      </c>
      <c r="C3992" s="255"/>
      <c r="D3992" s="255"/>
      <c r="E3992" s="255"/>
      <c r="F3992" s="255"/>
      <c r="G3992" s="254" t="str">
        <f>IF(VLOOKUP($D3983&amp;RIGHT($A3992,1),Players!$A$2:$D$132,3)&lt;&gt;0,VLOOKUP($D3983&amp;RIGHT($A3992,1),Players!$A$2:$D$132,3),"")</f>
        <v/>
      </c>
      <c r="H3992" s="254"/>
      <c r="I3992" s="254"/>
      <c r="J3992" s="210" t="str">
        <f>IF(VLOOKUP($D3983&amp;RIGHT($A3992,1),Players!$A$2:$D$132,3)&lt;&gt;0,"("&amp;VLOOKUP($D3983&amp;RIGHT($A3992,1),Players!$A$2:$D$132,4)&amp;")","")</f>
        <v/>
      </c>
    </row>
    <row r="3993" spans="1:10" ht="25.5" customHeight="1">
      <c r="A3993" s="50" t="str">
        <f>CONCATENATE($I3983,"4")</f>
        <v>I4</v>
      </c>
      <c r="B3993" s="255" t="str">
        <f>IF(VLOOKUP($A3993,Players!$A$2:$C$132,3)&lt;&gt;0,VLOOKUP($A3993,Players!$A$2:$C$132,3),"")</f>
        <v/>
      </c>
      <c r="C3993" s="255"/>
      <c r="D3993" s="255"/>
      <c r="E3993" s="255"/>
      <c r="F3993" s="255"/>
      <c r="G3993" s="254" t="str">
        <f>IF(VLOOKUP($D3983&amp;RIGHT($A3993,1),Players!$A$2:$D$132,3)&lt;&gt;0,VLOOKUP($D3983&amp;RIGHT($A3993,1),Players!$A$2:$D$132,3),"")</f>
        <v/>
      </c>
      <c r="H3993" s="254"/>
      <c r="I3993" s="254"/>
      <c r="J3993" s="210" t="str">
        <f>IF(VLOOKUP($D3983&amp;RIGHT($A3993,1),Players!$A$2:$D$132,3)&lt;&gt;0,"("&amp;VLOOKUP($D3983&amp;RIGHT($A3993,1),Players!$A$2:$D$132,4)&amp;")","")</f>
        <v/>
      </c>
    </row>
    <row r="3994" spans="1:10" ht="25.5" customHeight="1">
      <c r="A3994" s="50" t="str">
        <f>CONCATENATE($I3983,"5")</f>
        <v>I5</v>
      </c>
      <c r="B3994" s="255" t="str">
        <f>IF(VLOOKUP($A3994,Players!$A$2:$C$132,3)&lt;&gt;0,VLOOKUP($A3994,Players!$A$2:$C$132,3),"")</f>
        <v/>
      </c>
      <c r="C3994" s="255"/>
      <c r="D3994" s="255"/>
      <c r="E3994" s="255"/>
      <c r="F3994" s="255"/>
      <c r="G3994" s="254" t="str">
        <f>IF(VLOOKUP($D3983&amp;RIGHT($A3994,1),Players!$A$2:$D$132,3)&lt;&gt;0,VLOOKUP($D3983&amp;RIGHT($A3994,1),Players!$A$2:$D$132,3),"")</f>
        <v/>
      </c>
      <c r="H3994" s="254"/>
      <c r="I3994" s="254"/>
      <c r="J3994" s="210" t="str">
        <f>IF(VLOOKUP($D3983&amp;RIGHT($A3994,1),Players!$A$2:$D$132,3)&lt;&gt;0,"("&amp;VLOOKUP($D3983&amp;RIGHT($A3994,1),Players!$A$2:$D$132,4)&amp;")","")</f>
        <v/>
      </c>
    </row>
    <row r="3995" spans="1:10" ht="25.5" customHeight="1">
      <c r="A3995" s="50" t="str">
        <f>CONCATENATE($I3983,"6")</f>
        <v>I6</v>
      </c>
      <c r="B3995" s="255" t="str">
        <f>IF(VLOOKUP($A3995,Players!$A$2:$C$132,3)&lt;&gt;0,VLOOKUP($A3995,Players!$A$2:$C$132,3),"")</f>
        <v/>
      </c>
      <c r="C3995" s="255"/>
      <c r="D3995" s="255"/>
      <c r="E3995" s="255"/>
      <c r="F3995" s="255"/>
      <c r="G3995" s="254" t="str">
        <f>IF(VLOOKUP($D3983&amp;RIGHT($A3995,1),Players!$A$2:$D$132,3)&lt;&gt;0,VLOOKUP($D3983&amp;RIGHT($A3995,1),Players!$A$2:$D$132,3),"")</f>
        <v/>
      </c>
      <c r="H3995" s="254"/>
      <c r="I3995" s="254"/>
      <c r="J3995" s="210" t="str">
        <f>IF(VLOOKUP($D3983&amp;RIGHT($A3995,1),Players!$A$2:$D$132,3)&lt;&gt;0,"("&amp;VLOOKUP($D3983&amp;RIGHT($A3995,1),Players!$A$2:$D$132,4)&amp;")","")</f>
        <v/>
      </c>
    </row>
    <row r="3996" spans="1:10" ht="25.5" customHeight="1">
      <c r="A3996" s="50" t="str">
        <f>CONCATENATE($I3983,"7")</f>
        <v>I7</v>
      </c>
      <c r="B3996" s="255" t="str">
        <f>IF(VLOOKUP($A3996,Players!$A$2:$C$132,3)&lt;&gt;0,VLOOKUP($A3996,Players!$A$2:$C$132,3),"")</f>
        <v/>
      </c>
      <c r="C3996" s="255"/>
      <c r="D3996" s="255"/>
      <c r="E3996" s="255"/>
      <c r="F3996" s="255"/>
      <c r="G3996" s="254" t="str">
        <f>IF(VLOOKUP($D3983&amp;RIGHT($A3996,1),Players!$A$2:$D$132,3)&lt;&gt;0,VLOOKUP($D3983&amp;RIGHT($A3996,1),Players!$A$2:$D$132,3),"")</f>
        <v/>
      </c>
      <c r="H3996" s="254"/>
      <c r="I3996" s="254"/>
      <c r="J3996" s="210" t="str">
        <f>IF(VLOOKUP($D3983&amp;RIGHT($A3996,1),Players!$A$2:$D$132,3)&lt;&gt;0,"("&amp;VLOOKUP($D3983&amp;RIGHT($A3996,1),Players!$A$2:$D$132,4)&amp;")","")</f>
        <v/>
      </c>
    </row>
    <row r="3997" spans="1:10" ht="25.5" customHeight="1">
      <c r="A3997" s="50" t="str">
        <f>CONCATENATE($I3983,"8")</f>
        <v>I8</v>
      </c>
      <c r="B3997" s="255" t="str">
        <f>IF(VLOOKUP($A3997,Players!$A$2:$C$132,3)&lt;&gt;0,VLOOKUP($A3997,Players!$A$2:$C$132,3),"")</f>
        <v/>
      </c>
      <c r="C3997" s="255"/>
      <c r="D3997" s="255"/>
      <c r="E3997" s="255"/>
      <c r="F3997" s="255"/>
      <c r="G3997" s="254" t="str">
        <f>IF(VLOOKUP($D3983&amp;RIGHT($A3997,1),Players!$A$2:$D$132,3)&lt;&gt;0,VLOOKUP($D3983&amp;RIGHT($A3997,1),Players!$A$2:$D$132,3),"")</f>
        <v/>
      </c>
      <c r="H3997" s="254"/>
      <c r="I3997" s="254"/>
      <c r="J3997" s="210" t="str">
        <f>IF(VLOOKUP($D3983&amp;RIGHT($A3997,1),Players!$A$2:$D$132,3)&lt;&gt;0,"("&amp;VLOOKUP($D3983&amp;RIGHT($A3997,1),Players!$A$2:$D$132,4)&amp;")","")</f>
        <v/>
      </c>
    </row>
    <row r="3998" spans="1:10" ht="25.5" customHeight="1">
      <c r="A3998" s="50"/>
      <c r="B3998" s="26"/>
      <c r="C3998" s="26"/>
      <c r="D3998" s="26"/>
      <c r="E3998" s="26"/>
      <c r="F3998" s="27"/>
      <c r="G3998" s="43"/>
      <c r="H3998" s="43"/>
      <c r="I3998" s="43"/>
      <c r="J3998" s="43"/>
    </row>
    <row r="3999" spans="1:10">
      <c r="A3999" s="49" t="s">
        <v>1225</v>
      </c>
      <c r="B3999" s="46"/>
      <c r="C3999" s="46"/>
      <c r="D3999" s="46"/>
      <c r="E3999" s="46"/>
      <c r="F3999" s="46"/>
      <c r="G3999" s="43"/>
      <c r="H3999" s="43"/>
      <c r="I3999" s="43"/>
      <c r="J3999" s="43"/>
    </row>
    <row r="4000" spans="1:10">
      <c r="A4000" s="46" t="s">
        <v>1247</v>
      </c>
      <c r="B4000" s="46"/>
      <c r="C4000" s="46"/>
      <c r="D4000" s="46"/>
      <c r="E4000" s="46"/>
      <c r="F4000" s="46"/>
      <c r="G4000" s="43"/>
      <c r="H4000" s="43"/>
      <c r="I4000" s="43"/>
      <c r="J4000" s="43"/>
    </row>
    <row r="4001" spans="1:10">
      <c r="A4001" s="46" t="s">
        <v>1248</v>
      </c>
      <c r="B4001" s="46"/>
      <c r="C4001" s="46"/>
      <c r="D4001" s="46"/>
      <c r="E4001" s="46"/>
      <c r="F4001" s="46"/>
      <c r="G4001" s="43"/>
      <c r="H4001" s="43"/>
      <c r="I4001" s="43"/>
      <c r="J4001" s="43"/>
    </row>
    <row r="4002" spans="1:10" ht="13.5" thickBot="1">
      <c r="A4002" s="46"/>
      <c r="B4002" s="46"/>
      <c r="C4002" s="46"/>
      <c r="D4002" s="46"/>
      <c r="E4002" s="46"/>
      <c r="F4002" s="46"/>
      <c r="G4002" s="43"/>
      <c r="H4002" s="43"/>
      <c r="I4002" s="43"/>
      <c r="J4002" s="43"/>
    </row>
    <row r="4003" spans="1:10" ht="25.5" customHeight="1" thickBot="1">
      <c r="A4003" s="50"/>
      <c r="B4003" s="257"/>
      <c r="C4003" s="258"/>
      <c r="D4003" s="258"/>
      <c r="E4003" s="258"/>
      <c r="F4003" s="259"/>
      <c r="G4003" s="43"/>
      <c r="H4003" s="43"/>
      <c r="I4003" s="43"/>
      <c r="J4003" s="43"/>
    </row>
    <row r="4004" spans="1:10">
      <c r="A4004" s="43"/>
      <c r="B4004" s="43"/>
      <c r="C4004" s="43"/>
      <c r="D4004" s="43"/>
      <c r="E4004" s="43"/>
      <c r="F4004" s="43"/>
      <c r="G4004" s="43"/>
      <c r="H4004" s="43"/>
      <c r="I4004" s="43"/>
      <c r="J4004" s="43"/>
    </row>
    <row r="4005" spans="1:10">
      <c r="A4005" s="43"/>
      <c r="B4005" s="43"/>
      <c r="C4005" s="43"/>
      <c r="D4005" s="43"/>
      <c r="E4005" s="43"/>
      <c r="F4005" s="43"/>
      <c r="G4005" s="43"/>
      <c r="H4005" s="43"/>
      <c r="I4005" s="43"/>
      <c r="J4005" s="43"/>
    </row>
    <row r="4006" spans="1:10">
      <c r="A4006" s="43"/>
      <c r="B4006" s="43"/>
      <c r="C4006" s="43"/>
      <c r="D4006" s="43"/>
      <c r="E4006" s="43"/>
      <c r="F4006" s="43"/>
      <c r="G4006" s="43"/>
      <c r="H4006" s="43"/>
      <c r="I4006" s="43"/>
      <c r="J4006" s="43"/>
    </row>
    <row r="4007" spans="1:10">
      <c r="A4007" s="43"/>
      <c r="B4007" s="43"/>
      <c r="C4007" s="43"/>
      <c r="D4007" s="43"/>
      <c r="E4007" s="43"/>
      <c r="F4007" s="43"/>
      <c r="G4007" s="43"/>
      <c r="H4007" s="43"/>
      <c r="I4007" s="43"/>
      <c r="J4007" s="43"/>
    </row>
    <row r="4008" spans="1:10">
      <c r="A4008" s="43"/>
      <c r="B4008" s="43"/>
      <c r="C4008" s="43"/>
      <c r="D4008" s="43"/>
      <c r="E4008" s="43"/>
      <c r="F4008" s="43"/>
      <c r="G4008" s="43"/>
      <c r="H4008" s="43"/>
      <c r="I4008" s="43"/>
      <c r="J4008" s="43"/>
    </row>
    <row r="4009" spans="1:10" ht="25.5" customHeight="1">
      <c r="A4009" s="47"/>
      <c r="B4009" s="47"/>
      <c r="C4009" s="47"/>
      <c r="D4009" s="47"/>
      <c r="E4009" s="47"/>
      <c r="F4009" s="43"/>
      <c r="G4009" s="51"/>
      <c r="H4009" s="250" t="s">
        <v>1227</v>
      </c>
      <c r="I4009" s="251"/>
      <c r="J4009" s="43"/>
    </row>
    <row r="4010" spans="1:10">
      <c r="A4010" s="43" t="s">
        <v>1226</v>
      </c>
      <c r="B4010" s="43"/>
      <c r="C4010" s="43"/>
      <c r="D4010" s="43"/>
      <c r="E4010" s="43"/>
      <c r="F4010" s="43"/>
      <c r="G4010" s="43"/>
      <c r="H4010" s="43"/>
      <c r="I4010" s="43"/>
      <c r="J4010" s="43"/>
    </row>
    <row r="4011" spans="1:10">
      <c r="A4011" s="43"/>
      <c r="B4011" s="43"/>
      <c r="C4011" s="43"/>
      <c r="D4011" s="43"/>
      <c r="E4011" s="43"/>
      <c r="F4011" s="43"/>
      <c r="G4011" s="43"/>
      <c r="H4011" s="43"/>
      <c r="I4011" s="43"/>
      <c r="J4011" s="43"/>
    </row>
    <row r="4012" spans="1:10">
      <c r="A4012" s="43"/>
      <c r="B4012" s="43"/>
      <c r="C4012" s="43"/>
      <c r="D4012" s="43"/>
      <c r="E4012" s="256" t="str">
        <f>CONCATENATE("(",$D3983," vs ",$I3983,")")</f>
        <v>(G vs I)</v>
      </c>
      <c r="F4012" s="256"/>
      <c r="G4012" s="43"/>
      <c r="H4012" s="43"/>
      <c r="I4012" s="43"/>
      <c r="J4012" s="43"/>
    </row>
    <row r="4013" spans="1:10" ht="15.75">
      <c r="A4013" s="42" t="s">
        <v>1223</v>
      </c>
      <c r="B4013" s="43"/>
      <c r="C4013" s="43"/>
      <c r="D4013" s="43"/>
      <c r="E4013" s="43"/>
      <c r="F4013" s="43"/>
      <c r="G4013" s="43"/>
      <c r="H4013" s="43"/>
      <c r="I4013" s="43"/>
      <c r="J4013" s="96" t="s">
        <v>4337</v>
      </c>
    </row>
    <row r="4014" spans="1:10" ht="12.75" customHeight="1">
      <c r="A4014" s="42"/>
      <c r="B4014" s="43"/>
      <c r="C4014" s="43"/>
      <c r="D4014" s="43"/>
      <c r="E4014" s="43"/>
      <c r="F4014" s="43"/>
      <c r="G4014" s="43" t="str">
        <f ca="1">Team_Matches!$J$6</f>
        <v>[NCTTA Teams Template (v2.06).xlsx]</v>
      </c>
      <c r="H4014" s="43"/>
      <c r="I4014" s="43"/>
      <c r="J4014" s="160"/>
    </row>
    <row r="4015" spans="1:10" ht="12.75" customHeight="1">
      <c r="A4015" s="42"/>
      <c r="B4015" s="43"/>
      <c r="C4015" s="43"/>
      <c r="D4015" s="43"/>
      <c r="E4015" s="43"/>
      <c r="F4015" s="43"/>
      <c r="G4015" s="247" t="str">
        <f>Team_Matches!$J3016</f>
        <v/>
      </c>
      <c r="H4015" s="247"/>
      <c r="I4015" s="161" t="str">
        <f>Team_Matches!$M3016</f>
        <v/>
      </c>
      <c r="J4015" s="161"/>
    </row>
    <row r="4016" spans="1:10" ht="15.75">
      <c r="A4016" s="42"/>
      <c r="B4016" s="43"/>
      <c r="C4016" s="43"/>
      <c r="D4016" s="43"/>
      <c r="E4016" s="43"/>
      <c r="F4016" s="43"/>
      <c r="G4016" s="43"/>
      <c r="H4016" s="43"/>
      <c r="I4016" s="43"/>
      <c r="J4016" s="43"/>
    </row>
    <row r="4017" spans="1:10">
      <c r="A4017" s="43"/>
      <c r="B4017" s="43"/>
      <c r="C4017" s="9" t="s">
        <v>1228</v>
      </c>
      <c r="D4017" s="52" t="str">
        <f>Team_Matches!$B3018</f>
        <v>G</v>
      </c>
      <c r="E4017" s="43"/>
      <c r="F4017" s="97" t="str">
        <f>CONCATENATE($D4017,"-",$I4017)</f>
        <v>G-J</v>
      </c>
      <c r="G4017" s="43"/>
      <c r="H4017" s="9" t="s">
        <v>1228</v>
      </c>
      <c r="I4017" s="3" t="str">
        <f>Team_Matches!$K3018</f>
        <v>J</v>
      </c>
      <c r="J4017" s="43"/>
    </row>
    <row r="4018" spans="1:10" ht="25.5" customHeight="1">
      <c r="A4018" s="44"/>
      <c r="B4018" s="248" t="str">
        <f>IF(VLOOKUP($D4017,Draw!$A$4:$B$27,2)&lt;&gt;0,VLOOKUP($D4017,Draw!$A$4:$B$27,2),"")</f>
        <v/>
      </c>
      <c r="C4018" s="248"/>
      <c r="D4018" s="248"/>
      <c r="E4018" s="249"/>
      <c r="F4018" s="45"/>
      <c r="G4018" s="252" t="str">
        <f>IF(VLOOKUP($I4017,Draw!$A$4:$B$27,2)&lt;&gt;0,VLOOKUP($I4017,Draw!$A$4:$B$27,2),"")</f>
        <v/>
      </c>
      <c r="H4018" s="252"/>
      <c r="I4018" s="252"/>
      <c r="J4018" s="253"/>
    </row>
    <row r="4019" spans="1:10" ht="25.5" customHeight="1"/>
    <row r="4020" spans="1:10" ht="25.5" customHeight="1"/>
    <row r="4021" spans="1:10" ht="24" customHeight="1">
      <c r="A4021" s="48" t="s">
        <v>1246</v>
      </c>
      <c r="B4021" s="43"/>
      <c r="C4021" s="43"/>
      <c r="D4021" s="43"/>
      <c r="E4021" s="43"/>
      <c r="F4021" s="43"/>
      <c r="G4021" s="43"/>
      <c r="H4021" s="43"/>
      <c r="I4021" s="43"/>
      <c r="J4021" s="43"/>
    </row>
    <row r="4022" spans="1:10" ht="24" customHeight="1">
      <c r="A4022" s="48"/>
      <c r="B4022" s="43"/>
      <c r="C4022" s="43"/>
      <c r="D4022" s="43"/>
      <c r="E4022" s="43"/>
      <c r="F4022" s="43"/>
      <c r="G4022" s="43"/>
      <c r="H4022" s="43"/>
      <c r="I4022" s="43"/>
      <c r="J4022" s="43"/>
    </row>
    <row r="4023" spans="1:10">
      <c r="A4023" s="49" t="s">
        <v>1224</v>
      </c>
      <c r="B4023" s="46"/>
      <c r="C4023" s="46"/>
      <c r="D4023" s="46"/>
      <c r="E4023" s="46"/>
      <c r="F4023" s="46"/>
      <c r="G4023" s="260" t="s">
        <v>10336</v>
      </c>
      <c r="H4023" s="260"/>
      <c r="I4023" s="260"/>
      <c r="J4023" s="260"/>
    </row>
    <row r="4024" spans="1:10" ht="24" customHeight="1">
      <c r="A4024" s="50" t="str">
        <f>CONCATENATE($D4017,"1")</f>
        <v>G1</v>
      </c>
      <c r="B4024" s="255" t="str">
        <f>IF(VLOOKUP($A4024,Players!$A$2:$C$132,3)&lt;&gt;0,VLOOKUP($A4024,Players!$A$2:$C$132,3),"")</f>
        <v/>
      </c>
      <c r="C4024" s="255"/>
      <c r="D4024" s="255"/>
      <c r="E4024" s="255"/>
      <c r="F4024" s="255"/>
      <c r="G4024" s="254" t="str">
        <f>IF(VLOOKUP($I4017&amp;RIGHT($A4024,1),Players!$A$2:$D$132,3)&lt;&gt;0,VLOOKUP($I4017&amp;RIGHT($A4024,1),Players!$A$2:$D$132,3),"")</f>
        <v/>
      </c>
      <c r="H4024" s="254"/>
      <c r="I4024" s="254"/>
      <c r="J4024" s="210" t="str">
        <f>IF(VLOOKUP($I4017&amp;RIGHT($A4024,1),Players!$A$2:$D$132,3)&lt;&gt;0,"("&amp;VLOOKUP($I4017&amp;RIGHT($A4024,1),Players!$A$2:$D$132,4)&amp;")","")</f>
        <v/>
      </c>
    </row>
    <row r="4025" spans="1:10" ht="25.5" customHeight="1">
      <c r="A4025" s="50" t="str">
        <f>CONCATENATE($D4017,"2")</f>
        <v>G2</v>
      </c>
      <c r="B4025" s="255" t="str">
        <f>IF(VLOOKUP($A4025,Players!$A$2:$C$132,3)&lt;&gt;0,VLOOKUP($A4025,Players!$A$2:$C$132,3),"")</f>
        <v/>
      </c>
      <c r="C4025" s="255"/>
      <c r="D4025" s="255"/>
      <c r="E4025" s="255"/>
      <c r="F4025" s="255"/>
      <c r="G4025" s="254" t="str">
        <f>IF(VLOOKUP($I4017&amp;RIGHT($A4025,1),Players!$A$2:$D$132,3)&lt;&gt;0,VLOOKUP($I4017&amp;RIGHT($A4025,1),Players!$A$2:$D$132,3),"")</f>
        <v/>
      </c>
      <c r="H4025" s="254"/>
      <c r="I4025" s="254"/>
      <c r="J4025" s="210" t="str">
        <f>IF(VLOOKUP($I4017&amp;RIGHT($A4025,1),Players!$A$2:$D$132,3)&lt;&gt;0,"("&amp;VLOOKUP($I4017&amp;RIGHT($A4025,1),Players!$A$2:$D$132,4)&amp;")","")</f>
        <v/>
      </c>
    </row>
    <row r="4026" spans="1:10" ht="25.5" customHeight="1">
      <c r="A4026" s="50" t="str">
        <f>CONCATENATE($D4017,"3")</f>
        <v>G3</v>
      </c>
      <c r="B4026" s="255" t="str">
        <f>IF(VLOOKUP($A4026,Players!$A$2:$C$132,3)&lt;&gt;0,VLOOKUP($A4026,Players!$A$2:$C$132,3),"")</f>
        <v/>
      </c>
      <c r="C4026" s="255"/>
      <c r="D4026" s="255"/>
      <c r="E4026" s="255"/>
      <c r="F4026" s="255"/>
      <c r="G4026" s="254" t="str">
        <f>IF(VLOOKUP($I4017&amp;RIGHT($A4026,1),Players!$A$2:$D$132,3)&lt;&gt;0,VLOOKUP($I4017&amp;RIGHT($A4026,1),Players!$A$2:$D$132,3),"")</f>
        <v/>
      </c>
      <c r="H4026" s="254"/>
      <c r="I4026" s="254"/>
      <c r="J4026" s="210" t="str">
        <f>IF(VLOOKUP($I4017&amp;RIGHT($A4026,1),Players!$A$2:$D$132,3)&lt;&gt;0,"("&amp;VLOOKUP($I4017&amp;RIGHT($A4026,1),Players!$A$2:$D$132,4)&amp;")","")</f>
        <v/>
      </c>
    </row>
    <row r="4027" spans="1:10" ht="25.5" customHeight="1">
      <c r="A4027" s="50" t="str">
        <f>CONCATENATE($D4017,"4")</f>
        <v>G4</v>
      </c>
      <c r="B4027" s="255" t="str">
        <f>IF(VLOOKUP($A4027,Players!$A$2:$C$132,3)&lt;&gt;0,VLOOKUP($A4027,Players!$A$2:$C$132,3),"")</f>
        <v/>
      </c>
      <c r="C4027" s="255"/>
      <c r="D4027" s="255"/>
      <c r="E4027" s="255"/>
      <c r="F4027" s="255"/>
      <c r="G4027" s="254" t="str">
        <f>IF(VLOOKUP($I4017&amp;RIGHT($A4027,1),Players!$A$2:$D$132,3)&lt;&gt;0,VLOOKUP($I4017&amp;RIGHT($A4027,1),Players!$A$2:$D$132,3),"")</f>
        <v/>
      </c>
      <c r="H4027" s="254"/>
      <c r="I4027" s="254"/>
      <c r="J4027" s="210" t="str">
        <f>IF(VLOOKUP($I4017&amp;RIGHT($A4027,1),Players!$A$2:$D$132,3)&lt;&gt;0,"("&amp;VLOOKUP($I4017&amp;RIGHT($A4027,1),Players!$A$2:$D$132,4)&amp;")","")</f>
        <v/>
      </c>
    </row>
    <row r="4028" spans="1:10" ht="25.5" customHeight="1">
      <c r="A4028" s="50" t="str">
        <f>CONCATENATE($D4017,"5")</f>
        <v>G5</v>
      </c>
      <c r="B4028" s="255" t="str">
        <f>IF(VLOOKUP($A4028,Players!$A$2:$C$132,3)&lt;&gt;0,VLOOKUP($A4028,Players!$A$2:$C$132,3),"")</f>
        <v/>
      </c>
      <c r="C4028" s="255"/>
      <c r="D4028" s="255"/>
      <c r="E4028" s="255"/>
      <c r="F4028" s="255"/>
      <c r="G4028" s="254" t="str">
        <f>IF(VLOOKUP($I4017&amp;RIGHT($A4028,1),Players!$A$2:$D$132,3)&lt;&gt;0,VLOOKUP($I4017&amp;RIGHT($A4028,1),Players!$A$2:$D$132,3),"")</f>
        <v/>
      </c>
      <c r="H4028" s="254"/>
      <c r="I4028" s="254"/>
      <c r="J4028" s="210" t="str">
        <f>IF(VLOOKUP($I4017&amp;RIGHT($A4028,1),Players!$A$2:$D$132,3)&lt;&gt;0,"("&amp;VLOOKUP($I4017&amp;RIGHT($A4028,1),Players!$A$2:$D$132,4)&amp;")","")</f>
        <v/>
      </c>
    </row>
    <row r="4029" spans="1:10" ht="25.5" customHeight="1">
      <c r="A4029" s="50" t="str">
        <f>CONCATENATE($D4017,"6")</f>
        <v>G6</v>
      </c>
      <c r="B4029" s="255" t="str">
        <f>IF(VLOOKUP($A4029,Players!$A$2:$C$132,3)&lt;&gt;0,VLOOKUP($A4029,Players!$A$2:$C$132,3),"")</f>
        <v/>
      </c>
      <c r="C4029" s="255"/>
      <c r="D4029" s="255"/>
      <c r="E4029" s="255"/>
      <c r="F4029" s="255"/>
      <c r="G4029" s="254" t="str">
        <f>IF(VLOOKUP($I4017&amp;RIGHT($A4029,1),Players!$A$2:$D$132,3)&lt;&gt;0,VLOOKUP($I4017&amp;RIGHT($A4029,1),Players!$A$2:$D$132,3),"")</f>
        <v/>
      </c>
      <c r="H4029" s="254"/>
      <c r="I4029" s="254"/>
      <c r="J4029" s="210" t="str">
        <f>IF(VLOOKUP($I4017&amp;RIGHT($A4029,1),Players!$A$2:$D$132,3)&lt;&gt;0,"("&amp;VLOOKUP($I4017&amp;RIGHT($A4029,1),Players!$A$2:$D$132,4)&amp;")","")</f>
        <v/>
      </c>
    </row>
    <row r="4030" spans="1:10" ht="25.5" customHeight="1">
      <c r="A4030" s="50" t="str">
        <f>CONCATENATE($D4017,"7")</f>
        <v>G7</v>
      </c>
      <c r="B4030" s="255" t="str">
        <f>IF(VLOOKUP($A4030,Players!$A$2:$C$132,3)&lt;&gt;0,VLOOKUP($A4030,Players!$A$2:$C$132,3),"")</f>
        <v/>
      </c>
      <c r="C4030" s="255"/>
      <c r="D4030" s="255"/>
      <c r="E4030" s="255"/>
      <c r="F4030" s="255"/>
      <c r="G4030" s="254" t="str">
        <f>IF(VLOOKUP($I4017&amp;RIGHT($A4030,1),Players!$A$2:$D$132,3)&lt;&gt;0,VLOOKUP($I4017&amp;RIGHT($A4030,1),Players!$A$2:$D$132,3),"")</f>
        <v/>
      </c>
      <c r="H4030" s="254"/>
      <c r="I4030" s="254"/>
      <c r="J4030" s="210" t="str">
        <f>IF(VLOOKUP($I4017&amp;RIGHT($A4030,1),Players!$A$2:$D$132,3)&lt;&gt;0,"("&amp;VLOOKUP($I4017&amp;RIGHT($A4030,1),Players!$A$2:$D$132,4)&amp;")","")</f>
        <v/>
      </c>
    </row>
    <row r="4031" spans="1:10" ht="25.5" customHeight="1">
      <c r="A4031" s="50" t="str">
        <f>CONCATENATE($D4017,"8")</f>
        <v>G8</v>
      </c>
      <c r="B4031" s="255" t="str">
        <f>IF(VLOOKUP($A4031,Players!$A$2:$C$132,3)&lt;&gt;0,VLOOKUP($A4031,Players!$A$2:$C$132,3),"")</f>
        <v/>
      </c>
      <c r="C4031" s="255"/>
      <c r="D4031" s="255"/>
      <c r="E4031" s="255"/>
      <c r="F4031" s="255"/>
      <c r="G4031" s="254" t="str">
        <f>IF(VLOOKUP($I4017&amp;RIGHT($A4031,1),Players!$A$2:$D$132,3)&lt;&gt;0,VLOOKUP($I4017&amp;RIGHT($A4031,1),Players!$A$2:$D$132,3),"")</f>
        <v/>
      </c>
      <c r="H4031" s="254"/>
      <c r="I4031" s="254"/>
      <c r="J4031" s="210" t="str">
        <f>IF(VLOOKUP($I4017&amp;RIGHT($A4031,1),Players!$A$2:$D$132,3)&lt;&gt;0,"("&amp;VLOOKUP($I4017&amp;RIGHT($A4031,1),Players!$A$2:$D$132,4)&amp;")","")</f>
        <v/>
      </c>
    </row>
    <row r="4032" spans="1:10" ht="25.5" customHeight="1">
      <c r="A4032" s="50"/>
      <c r="B4032" s="26"/>
      <c r="C4032" s="26"/>
      <c r="D4032" s="26"/>
      <c r="E4032" s="26"/>
      <c r="F4032" s="27"/>
      <c r="G4032" s="43"/>
      <c r="H4032" s="43"/>
      <c r="I4032" s="43"/>
      <c r="J4032" s="43"/>
    </row>
    <row r="4033" spans="1:10">
      <c r="A4033" s="49" t="s">
        <v>1225</v>
      </c>
      <c r="B4033" s="46"/>
      <c r="C4033" s="46"/>
      <c r="D4033" s="46"/>
      <c r="E4033" s="46"/>
      <c r="F4033" s="46"/>
      <c r="G4033" s="43"/>
      <c r="H4033" s="43"/>
      <c r="I4033" s="43"/>
      <c r="J4033" s="43"/>
    </row>
    <row r="4034" spans="1:10">
      <c r="A4034" s="46" t="s">
        <v>1247</v>
      </c>
      <c r="B4034" s="46"/>
      <c r="C4034" s="46"/>
      <c r="D4034" s="46"/>
      <c r="E4034" s="46"/>
      <c r="F4034" s="46"/>
      <c r="G4034" s="43"/>
      <c r="H4034" s="43"/>
      <c r="I4034" s="43"/>
      <c r="J4034" s="43"/>
    </row>
    <row r="4035" spans="1:10">
      <c r="A4035" s="46" t="s">
        <v>1248</v>
      </c>
      <c r="B4035" s="46"/>
      <c r="C4035" s="46"/>
      <c r="D4035" s="46"/>
      <c r="E4035" s="46"/>
      <c r="F4035" s="46"/>
      <c r="G4035" s="43"/>
      <c r="H4035" s="43"/>
      <c r="I4035" s="43"/>
      <c r="J4035" s="43"/>
    </row>
    <row r="4036" spans="1:10" ht="13.5" thickBot="1">
      <c r="A4036" s="46"/>
      <c r="B4036" s="46"/>
      <c r="C4036" s="46"/>
      <c r="D4036" s="46"/>
      <c r="E4036" s="46"/>
      <c r="F4036" s="46"/>
      <c r="G4036" s="43"/>
      <c r="H4036" s="43"/>
      <c r="I4036" s="43"/>
      <c r="J4036" s="43"/>
    </row>
    <row r="4037" spans="1:10" ht="25.5" customHeight="1" thickBot="1">
      <c r="A4037" s="50"/>
      <c r="B4037" s="257"/>
      <c r="C4037" s="258"/>
      <c r="D4037" s="258"/>
      <c r="E4037" s="258"/>
      <c r="F4037" s="259"/>
      <c r="G4037" s="43"/>
      <c r="H4037" s="43"/>
      <c r="I4037" s="43"/>
      <c r="J4037" s="43"/>
    </row>
    <row r="4038" spans="1:10">
      <c r="A4038" s="43"/>
      <c r="B4038" s="43"/>
      <c r="C4038" s="43"/>
      <c r="D4038" s="43"/>
      <c r="E4038" s="43"/>
      <c r="F4038" s="43"/>
      <c r="G4038" s="43"/>
      <c r="H4038" s="43"/>
      <c r="I4038" s="43"/>
      <c r="J4038" s="43"/>
    </row>
    <row r="4039" spans="1:10">
      <c r="A4039" s="43"/>
      <c r="B4039" s="43"/>
      <c r="C4039" s="43"/>
      <c r="D4039" s="43"/>
      <c r="E4039" s="43"/>
      <c r="F4039" s="43"/>
      <c r="G4039" s="43"/>
      <c r="H4039" s="43"/>
      <c r="I4039" s="43"/>
      <c r="J4039" s="43"/>
    </row>
    <row r="4040" spans="1:10">
      <c r="A4040" s="43"/>
      <c r="B4040" s="43"/>
      <c r="C4040" s="43"/>
      <c r="D4040" s="43"/>
      <c r="E4040" s="43"/>
      <c r="F4040" s="43"/>
      <c r="G4040" s="43"/>
      <c r="H4040" s="43"/>
      <c r="I4040" s="43"/>
      <c r="J4040" s="43"/>
    </row>
    <row r="4041" spans="1:10">
      <c r="A4041" s="43"/>
      <c r="B4041" s="43"/>
      <c r="C4041" s="43"/>
      <c r="D4041" s="43"/>
      <c r="E4041" s="43"/>
      <c r="F4041" s="43"/>
      <c r="G4041" s="43"/>
      <c r="H4041" s="43"/>
      <c r="I4041" s="43"/>
      <c r="J4041" s="43"/>
    </row>
    <row r="4042" spans="1:10">
      <c r="A4042" s="43"/>
      <c r="B4042" s="43"/>
      <c r="C4042" s="43"/>
      <c r="D4042" s="43"/>
      <c r="E4042" s="43"/>
      <c r="F4042" s="43"/>
      <c r="G4042" s="43"/>
      <c r="H4042" s="43"/>
      <c r="I4042" s="43"/>
      <c r="J4042" s="43"/>
    </row>
    <row r="4043" spans="1:10" ht="25.5" customHeight="1">
      <c r="A4043" s="47"/>
      <c r="B4043" s="47"/>
      <c r="C4043" s="47"/>
      <c r="D4043" s="47"/>
      <c r="E4043" s="47"/>
      <c r="F4043" s="43"/>
      <c r="G4043" s="51"/>
      <c r="H4043" s="250" t="s">
        <v>1227</v>
      </c>
      <c r="I4043" s="251"/>
      <c r="J4043" s="43"/>
    </row>
    <row r="4044" spans="1:10">
      <c r="A4044" s="43" t="s">
        <v>1226</v>
      </c>
      <c r="B4044" s="43"/>
      <c r="C4044" s="43"/>
      <c r="D4044" s="43"/>
      <c r="E4044" s="43"/>
      <c r="F4044" s="43"/>
      <c r="G4044" s="43"/>
      <c r="H4044" s="43"/>
      <c r="I4044" s="43"/>
      <c r="J4044" s="43"/>
    </row>
    <row r="4045" spans="1:10">
      <c r="A4045" s="43"/>
      <c r="B4045" s="43"/>
      <c r="C4045" s="43"/>
      <c r="D4045" s="43"/>
      <c r="E4045" s="43"/>
      <c r="F4045" s="43"/>
      <c r="G4045" s="43"/>
      <c r="H4045" s="43"/>
      <c r="I4045" s="43"/>
      <c r="J4045" s="43"/>
    </row>
    <row r="4046" spans="1:10">
      <c r="A4046" s="43"/>
      <c r="B4046" s="43"/>
      <c r="C4046" s="43"/>
      <c r="D4046" s="43"/>
      <c r="E4046" s="256" t="str">
        <f>CONCATENATE("(",$D4017," vs ",$I4017,")")</f>
        <v>(G vs J)</v>
      </c>
      <c r="F4046" s="256"/>
      <c r="G4046" s="43"/>
      <c r="H4046" s="43"/>
      <c r="I4046" s="43"/>
      <c r="J4046" s="43"/>
    </row>
    <row r="4047" spans="1:10" ht="15.75">
      <c r="A4047" s="42" t="s">
        <v>1223</v>
      </c>
      <c r="B4047" s="43"/>
      <c r="C4047" s="43"/>
      <c r="D4047" s="43"/>
      <c r="E4047" s="43"/>
      <c r="F4047" s="43"/>
      <c r="G4047" s="43"/>
      <c r="H4047" s="43"/>
      <c r="I4047" s="43"/>
      <c r="J4047" s="96" t="s">
        <v>4338</v>
      </c>
    </row>
    <row r="4048" spans="1:10" ht="12.75" customHeight="1">
      <c r="A4048" s="42"/>
      <c r="B4048" s="43"/>
      <c r="C4048" s="43"/>
      <c r="D4048" s="43"/>
      <c r="E4048" s="43"/>
      <c r="F4048" s="43"/>
      <c r="G4048" s="43" t="str">
        <f ca="1">Team_Matches!$J$6</f>
        <v>[NCTTA Teams Template (v2.06).xlsx]</v>
      </c>
      <c r="H4048" s="43"/>
      <c r="I4048" s="43"/>
      <c r="J4048" s="160"/>
    </row>
    <row r="4049" spans="1:10" ht="12.75" customHeight="1">
      <c r="A4049" s="42"/>
      <c r="B4049" s="43"/>
      <c r="C4049" s="43"/>
      <c r="D4049" s="43"/>
      <c r="E4049" s="43"/>
      <c r="F4049" s="43"/>
      <c r="G4049" s="247" t="str">
        <f>Team_Matches!$J3016</f>
        <v/>
      </c>
      <c r="H4049" s="247"/>
      <c r="I4049" s="161" t="str">
        <f>Team_Matches!$M3016</f>
        <v/>
      </c>
      <c r="J4049" s="161"/>
    </row>
    <row r="4050" spans="1:10" ht="15.75">
      <c r="A4050" s="42"/>
      <c r="B4050" s="43"/>
      <c r="C4050" s="43"/>
      <c r="D4050" s="43"/>
      <c r="E4050" s="43"/>
      <c r="F4050" s="43"/>
      <c r="G4050" s="43"/>
      <c r="H4050" s="43"/>
      <c r="I4050" s="43"/>
      <c r="J4050" s="43"/>
    </row>
    <row r="4051" spans="1:10">
      <c r="A4051" s="43"/>
      <c r="B4051" s="43"/>
      <c r="C4051" s="9" t="s">
        <v>1228</v>
      </c>
      <c r="D4051" s="52" t="str">
        <f>Team_Matches!$B3018</f>
        <v>G</v>
      </c>
      <c r="E4051" s="43"/>
      <c r="F4051" s="97" t="str">
        <f>CONCATENATE($D4051,"-",$I4051)</f>
        <v>G-J</v>
      </c>
      <c r="G4051" s="43"/>
      <c r="H4051" s="9" t="s">
        <v>1228</v>
      </c>
      <c r="I4051" s="3" t="str">
        <f>Team_Matches!$K3018</f>
        <v>J</v>
      </c>
      <c r="J4051" s="43"/>
    </row>
    <row r="4052" spans="1:10" ht="25.5" customHeight="1">
      <c r="A4052" s="44"/>
      <c r="B4052" s="252" t="str">
        <f>IF(VLOOKUP($D4051,Draw!$A$4:$B$27,2)&lt;&gt;0,VLOOKUP($D4051,Draw!$A$4:$B$27,2),"")</f>
        <v/>
      </c>
      <c r="C4052" s="252"/>
      <c r="D4052" s="252"/>
      <c r="E4052" s="253"/>
      <c r="F4052" s="45"/>
      <c r="G4052" s="248" t="str">
        <f>IF(VLOOKUP($I4051,Draw!$A$4:$B$27,2)&lt;&gt;0,VLOOKUP($I4051,Draw!$A$4:$B$27,2),"")</f>
        <v/>
      </c>
      <c r="H4052" s="248"/>
      <c r="I4052" s="248"/>
      <c r="J4052" s="249"/>
    </row>
    <row r="4053" spans="1:10" ht="25.5" customHeight="1"/>
    <row r="4054" spans="1:10" ht="25.5" customHeight="1"/>
    <row r="4055" spans="1:10" ht="24" customHeight="1">
      <c r="A4055" s="48" t="s">
        <v>1246</v>
      </c>
      <c r="B4055" s="43"/>
      <c r="C4055" s="43"/>
      <c r="D4055" s="43"/>
      <c r="E4055" s="43"/>
      <c r="F4055" s="43"/>
      <c r="G4055" s="43"/>
      <c r="H4055" s="43"/>
      <c r="I4055" s="43"/>
      <c r="J4055" s="43"/>
    </row>
    <row r="4056" spans="1:10" ht="24" customHeight="1">
      <c r="A4056" s="48"/>
      <c r="B4056" s="43"/>
      <c r="C4056" s="43"/>
      <c r="D4056" s="43"/>
      <c r="E4056" s="43"/>
      <c r="F4056" s="43"/>
      <c r="G4056" s="43"/>
      <c r="H4056" s="43"/>
      <c r="I4056" s="43"/>
      <c r="J4056" s="43"/>
    </row>
    <row r="4057" spans="1:10">
      <c r="A4057" s="49" t="s">
        <v>1224</v>
      </c>
      <c r="B4057" s="46"/>
      <c r="C4057" s="46"/>
      <c r="D4057" s="46"/>
      <c r="E4057" s="46"/>
      <c r="F4057" s="46"/>
      <c r="G4057" s="260" t="s">
        <v>10336</v>
      </c>
      <c r="H4057" s="260"/>
      <c r="I4057" s="260"/>
      <c r="J4057" s="260"/>
    </row>
    <row r="4058" spans="1:10" ht="24" customHeight="1">
      <c r="A4058" s="50" t="str">
        <f>CONCATENATE($I4051,"1")</f>
        <v>J1</v>
      </c>
      <c r="B4058" s="255" t="str">
        <f>IF(VLOOKUP($A4058,Players!$A$2:$C$132,3)&lt;&gt;0,VLOOKUP($A4058,Players!$A$2:$C$132,3),"")</f>
        <v/>
      </c>
      <c r="C4058" s="255"/>
      <c r="D4058" s="255"/>
      <c r="E4058" s="255"/>
      <c r="F4058" s="255"/>
      <c r="G4058" s="254" t="str">
        <f>IF(VLOOKUP($D4051&amp;RIGHT($A4058,1),Players!$A$2:$D$132,3)&lt;&gt;0,VLOOKUP($D4051&amp;RIGHT($A4058,1),Players!$A$2:$D$132,3),"")</f>
        <v/>
      </c>
      <c r="H4058" s="254"/>
      <c r="I4058" s="254"/>
      <c r="J4058" s="210" t="str">
        <f>IF(VLOOKUP($D4051&amp;RIGHT($A4058,1),Players!$A$2:$D$132,3)&lt;&gt;0,"("&amp;VLOOKUP($D4051&amp;RIGHT($A4058,1),Players!$A$2:$D$132,4)&amp;")","")</f>
        <v/>
      </c>
    </row>
    <row r="4059" spans="1:10" ht="25.5" customHeight="1">
      <c r="A4059" s="50" t="str">
        <f>CONCATENATE($I4051,"2")</f>
        <v>J2</v>
      </c>
      <c r="B4059" s="255" t="str">
        <f>IF(VLOOKUP($A4059,Players!$A$2:$C$132,3)&lt;&gt;0,VLOOKUP($A4059,Players!$A$2:$C$132,3),"")</f>
        <v/>
      </c>
      <c r="C4059" s="255"/>
      <c r="D4059" s="255"/>
      <c r="E4059" s="255"/>
      <c r="F4059" s="255"/>
      <c r="G4059" s="254" t="str">
        <f>IF(VLOOKUP($D4051&amp;RIGHT($A4059,1),Players!$A$2:$D$132,3)&lt;&gt;0,VLOOKUP($D4051&amp;RIGHT($A4059,1),Players!$A$2:$D$132,3),"")</f>
        <v/>
      </c>
      <c r="H4059" s="254"/>
      <c r="I4059" s="254"/>
      <c r="J4059" s="210" t="str">
        <f>IF(VLOOKUP($D4051&amp;RIGHT($A4059,1),Players!$A$2:$D$132,3)&lt;&gt;0,"("&amp;VLOOKUP($D4051&amp;RIGHT($A4059,1),Players!$A$2:$D$132,4)&amp;")","")</f>
        <v/>
      </c>
    </row>
    <row r="4060" spans="1:10" ht="25.5" customHeight="1">
      <c r="A4060" s="50" t="str">
        <f>CONCATENATE($I4051,"3")</f>
        <v>J3</v>
      </c>
      <c r="B4060" s="255" t="str">
        <f>IF(VLOOKUP($A4060,Players!$A$2:$C$132,3)&lt;&gt;0,VLOOKUP($A4060,Players!$A$2:$C$132,3),"")</f>
        <v/>
      </c>
      <c r="C4060" s="255"/>
      <c r="D4060" s="255"/>
      <c r="E4060" s="255"/>
      <c r="F4060" s="255"/>
      <c r="G4060" s="254" t="str">
        <f>IF(VLOOKUP($D4051&amp;RIGHT($A4060,1),Players!$A$2:$D$132,3)&lt;&gt;0,VLOOKUP($D4051&amp;RIGHT($A4060,1),Players!$A$2:$D$132,3),"")</f>
        <v/>
      </c>
      <c r="H4060" s="254"/>
      <c r="I4060" s="254"/>
      <c r="J4060" s="210" t="str">
        <f>IF(VLOOKUP($D4051&amp;RIGHT($A4060,1),Players!$A$2:$D$132,3)&lt;&gt;0,"("&amp;VLOOKUP($D4051&amp;RIGHT($A4060,1),Players!$A$2:$D$132,4)&amp;")","")</f>
        <v/>
      </c>
    </row>
    <row r="4061" spans="1:10" ht="25.5" customHeight="1">
      <c r="A4061" s="50" t="str">
        <f>CONCATENATE($I4051,"4")</f>
        <v>J4</v>
      </c>
      <c r="B4061" s="255" t="str">
        <f>IF(VLOOKUP($A4061,Players!$A$2:$C$132,3)&lt;&gt;0,VLOOKUP($A4061,Players!$A$2:$C$132,3),"")</f>
        <v/>
      </c>
      <c r="C4061" s="255"/>
      <c r="D4061" s="255"/>
      <c r="E4061" s="255"/>
      <c r="F4061" s="255"/>
      <c r="G4061" s="254" t="str">
        <f>IF(VLOOKUP($D4051&amp;RIGHT($A4061,1),Players!$A$2:$D$132,3)&lt;&gt;0,VLOOKUP($D4051&amp;RIGHT($A4061,1),Players!$A$2:$D$132,3),"")</f>
        <v/>
      </c>
      <c r="H4061" s="254"/>
      <c r="I4061" s="254"/>
      <c r="J4061" s="210" t="str">
        <f>IF(VLOOKUP($D4051&amp;RIGHT($A4061,1),Players!$A$2:$D$132,3)&lt;&gt;0,"("&amp;VLOOKUP($D4051&amp;RIGHT($A4061,1),Players!$A$2:$D$132,4)&amp;")","")</f>
        <v/>
      </c>
    </row>
    <row r="4062" spans="1:10" ht="25.5" customHeight="1">
      <c r="A4062" s="50" t="str">
        <f>CONCATENATE($I4051,"5")</f>
        <v>J5</v>
      </c>
      <c r="B4062" s="255" t="str">
        <f>IF(VLOOKUP($A4062,Players!$A$2:$C$132,3)&lt;&gt;0,VLOOKUP($A4062,Players!$A$2:$C$132,3),"")</f>
        <v/>
      </c>
      <c r="C4062" s="255"/>
      <c r="D4062" s="255"/>
      <c r="E4062" s="255"/>
      <c r="F4062" s="255"/>
      <c r="G4062" s="254" t="str">
        <f>IF(VLOOKUP($D4051&amp;RIGHT($A4062,1),Players!$A$2:$D$132,3)&lt;&gt;0,VLOOKUP($D4051&amp;RIGHT($A4062,1),Players!$A$2:$D$132,3),"")</f>
        <v/>
      </c>
      <c r="H4062" s="254"/>
      <c r="I4062" s="254"/>
      <c r="J4062" s="210" t="str">
        <f>IF(VLOOKUP($D4051&amp;RIGHT($A4062,1),Players!$A$2:$D$132,3)&lt;&gt;0,"("&amp;VLOOKUP($D4051&amp;RIGHT($A4062,1),Players!$A$2:$D$132,4)&amp;")","")</f>
        <v/>
      </c>
    </row>
    <row r="4063" spans="1:10" ht="25.5" customHeight="1">
      <c r="A4063" s="50" t="str">
        <f>CONCATENATE($I4051,"6")</f>
        <v>J6</v>
      </c>
      <c r="B4063" s="255" t="str">
        <f>IF(VLOOKUP($A4063,Players!$A$2:$C$132,3)&lt;&gt;0,VLOOKUP($A4063,Players!$A$2:$C$132,3),"")</f>
        <v/>
      </c>
      <c r="C4063" s="255"/>
      <c r="D4063" s="255"/>
      <c r="E4063" s="255"/>
      <c r="F4063" s="255"/>
      <c r="G4063" s="254" t="str">
        <f>IF(VLOOKUP($D4051&amp;RIGHT($A4063,1),Players!$A$2:$D$132,3)&lt;&gt;0,VLOOKUP($D4051&amp;RIGHT($A4063,1),Players!$A$2:$D$132,3),"")</f>
        <v/>
      </c>
      <c r="H4063" s="254"/>
      <c r="I4063" s="254"/>
      <c r="J4063" s="210" t="str">
        <f>IF(VLOOKUP($D4051&amp;RIGHT($A4063,1),Players!$A$2:$D$132,3)&lt;&gt;0,"("&amp;VLOOKUP($D4051&amp;RIGHT($A4063,1),Players!$A$2:$D$132,4)&amp;")","")</f>
        <v/>
      </c>
    </row>
    <row r="4064" spans="1:10" ht="25.5" customHeight="1">
      <c r="A4064" s="50" t="str">
        <f>CONCATENATE($I4051,"7")</f>
        <v>J7</v>
      </c>
      <c r="B4064" s="255" t="str">
        <f>IF(VLOOKUP($A4064,Players!$A$2:$C$132,3)&lt;&gt;0,VLOOKUP($A4064,Players!$A$2:$C$132,3),"")</f>
        <v/>
      </c>
      <c r="C4064" s="255"/>
      <c r="D4064" s="255"/>
      <c r="E4064" s="255"/>
      <c r="F4064" s="255"/>
      <c r="G4064" s="254" t="str">
        <f>IF(VLOOKUP($D4051&amp;RIGHT($A4064,1),Players!$A$2:$D$132,3)&lt;&gt;0,VLOOKUP($D4051&amp;RIGHT($A4064,1),Players!$A$2:$D$132,3),"")</f>
        <v/>
      </c>
      <c r="H4064" s="254"/>
      <c r="I4064" s="254"/>
      <c r="J4064" s="210" t="str">
        <f>IF(VLOOKUP($D4051&amp;RIGHT($A4064,1),Players!$A$2:$D$132,3)&lt;&gt;0,"("&amp;VLOOKUP($D4051&amp;RIGHT($A4064,1),Players!$A$2:$D$132,4)&amp;")","")</f>
        <v/>
      </c>
    </row>
    <row r="4065" spans="1:10" ht="25.5" customHeight="1">
      <c r="A4065" s="50" t="str">
        <f>CONCATENATE($I4051,"8")</f>
        <v>J8</v>
      </c>
      <c r="B4065" s="255" t="str">
        <f>IF(VLOOKUP($A4065,Players!$A$2:$C$132,3)&lt;&gt;0,VLOOKUP($A4065,Players!$A$2:$C$132,3),"")</f>
        <v/>
      </c>
      <c r="C4065" s="255"/>
      <c r="D4065" s="255"/>
      <c r="E4065" s="255"/>
      <c r="F4065" s="255"/>
      <c r="G4065" s="254" t="str">
        <f>IF(VLOOKUP($D4051&amp;RIGHT($A4065,1),Players!$A$2:$D$132,3)&lt;&gt;0,VLOOKUP($D4051&amp;RIGHT($A4065,1),Players!$A$2:$D$132,3),"")</f>
        <v/>
      </c>
      <c r="H4065" s="254"/>
      <c r="I4065" s="254"/>
      <c r="J4065" s="210" t="str">
        <f>IF(VLOOKUP($D4051&amp;RIGHT($A4065,1),Players!$A$2:$D$132,3)&lt;&gt;0,"("&amp;VLOOKUP($D4051&amp;RIGHT($A4065,1),Players!$A$2:$D$132,4)&amp;")","")</f>
        <v/>
      </c>
    </row>
    <row r="4066" spans="1:10" ht="25.5" customHeight="1">
      <c r="A4066" s="50"/>
      <c r="B4066" s="26"/>
      <c r="C4066" s="26"/>
      <c r="D4066" s="26"/>
      <c r="E4066" s="26"/>
      <c r="F4066" s="27"/>
      <c r="G4066" s="43"/>
      <c r="H4066" s="43"/>
      <c r="I4066" s="43"/>
      <c r="J4066" s="43"/>
    </row>
    <row r="4067" spans="1:10">
      <c r="A4067" s="49" t="s">
        <v>1225</v>
      </c>
      <c r="B4067" s="46"/>
      <c r="C4067" s="46"/>
      <c r="D4067" s="46"/>
      <c r="E4067" s="46"/>
      <c r="F4067" s="46"/>
      <c r="G4067" s="43"/>
      <c r="H4067" s="43"/>
      <c r="I4067" s="43"/>
      <c r="J4067" s="43"/>
    </row>
    <row r="4068" spans="1:10">
      <c r="A4068" s="46" t="s">
        <v>1247</v>
      </c>
      <c r="B4068" s="46"/>
      <c r="C4068" s="46"/>
      <c r="D4068" s="46"/>
      <c r="E4068" s="46"/>
      <c r="F4068" s="46"/>
      <c r="G4068" s="43"/>
      <c r="H4068" s="43"/>
      <c r="I4068" s="43"/>
      <c r="J4068" s="43"/>
    </row>
    <row r="4069" spans="1:10">
      <c r="A4069" s="46" t="s">
        <v>1248</v>
      </c>
      <c r="B4069" s="46"/>
      <c r="C4069" s="46"/>
      <c r="D4069" s="46"/>
      <c r="E4069" s="46"/>
      <c r="F4069" s="46"/>
      <c r="G4069" s="43"/>
      <c r="H4069" s="43"/>
      <c r="I4069" s="43"/>
      <c r="J4069" s="43"/>
    </row>
    <row r="4070" spans="1:10" ht="13.5" thickBot="1">
      <c r="A4070" s="46"/>
      <c r="B4070" s="46"/>
      <c r="C4070" s="46"/>
      <c r="D4070" s="46"/>
      <c r="E4070" s="46"/>
      <c r="F4070" s="46"/>
      <c r="G4070" s="43"/>
      <c r="H4070" s="43"/>
      <c r="I4070" s="43"/>
      <c r="J4070" s="43"/>
    </row>
    <row r="4071" spans="1:10" ht="25.5" customHeight="1" thickBot="1">
      <c r="A4071" s="50"/>
      <c r="B4071" s="257"/>
      <c r="C4071" s="258"/>
      <c r="D4071" s="258"/>
      <c r="E4071" s="258"/>
      <c r="F4071" s="259"/>
      <c r="G4071" s="43"/>
      <c r="H4071" s="43"/>
      <c r="I4071" s="43"/>
      <c r="J4071" s="43"/>
    </row>
    <row r="4072" spans="1:10">
      <c r="A4072" s="43"/>
      <c r="B4072" s="43"/>
      <c r="C4072" s="43"/>
      <c r="D4072" s="43"/>
      <c r="E4072" s="43"/>
      <c r="F4072" s="43"/>
      <c r="G4072" s="43"/>
      <c r="H4072" s="43"/>
      <c r="I4072" s="43"/>
      <c r="J4072" s="43"/>
    </row>
    <row r="4073" spans="1:10">
      <c r="A4073" s="43"/>
      <c r="B4073" s="43"/>
      <c r="C4073" s="43"/>
      <c r="D4073" s="43"/>
      <c r="E4073" s="43"/>
      <c r="F4073" s="43"/>
      <c r="G4073" s="43"/>
      <c r="H4073" s="43"/>
      <c r="I4073" s="43"/>
      <c r="J4073" s="43"/>
    </row>
    <row r="4074" spans="1:10">
      <c r="A4074" s="43"/>
      <c r="B4074" s="43"/>
      <c r="C4074" s="43"/>
      <c r="D4074" s="43"/>
      <c r="E4074" s="43"/>
      <c r="F4074" s="43"/>
      <c r="G4074" s="43"/>
      <c r="H4074" s="43"/>
      <c r="I4074" s="43"/>
      <c r="J4074" s="43"/>
    </row>
    <row r="4075" spans="1:10">
      <c r="A4075" s="43"/>
      <c r="B4075" s="43"/>
      <c r="C4075" s="43"/>
      <c r="D4075" s="43"/>
      <c r="E4075" s="43"/>
      <c r="F4075" s="43"/>
      <c r="G4075" s="43"/>
      <c r="H4075" s="43"/>
      <c r="I4075" s="43"/>
      <c r="J4075" s="43"/>
    </row>
    <row r="4076" spans="1:10">
      <c r="A4076" s="43"/>
      <c r="B4076" s="43"/>
      <c r="C4076" s="43"/>
      <c r="D4076" s="43"/>
      <c r="E4076" s="43"/>
      <c r="F4076" s="43"/>
      <c r="G4076" s="43"/>
      <c r="H4076" s="43"/>
      <c r="I4076" s="43"/>
      <c r="J4076" s="43"/>
    </row>
    <row r="4077" spans="1:10" ht="25.5" customHeight="1">
      <c r="A4077" s="47"/>
      <c r="B4077" s="47"/>
      <c r="C4077" s="47"/>
      <c r="D4077" s="47"/>
      <c r="E4077" s="47"/>
      <c r="F4077" s="43"/>
      <c r="G4077" s="51"/>
      <c r="H4077" s="250" t="s">
        <v>1227</v>
      </c>
      <c r="I4077" s="251"/>
      <c r="J4077" s="43"/>
    </row>
    <row r="4078" spans="1:10">
      <c r="A4078" s="43" t="s">
        <v>1226</v>
      </c>
      <c r="B4078" s="43"/>
      <c r="C4078" s="43"/>
      <c r="D4078" s="43"/>
      <c r="E4078" s="43"/>
      <c r="F4078" s="43"/>
      <c r="G4078" s="43"/>
      <c r="H4078" s="43"/>
      <c r="I4078" s="43"/>
      <c r="J4078" s="43"/>
    </row>
    <row r="4079" spans="1:10">
      <c r="A4079" s="43"/>
      <c r="B4079" s="43"/>
      <c r="C4079" s="43"/>
      <c r="D4079" s="43"/>
      <c r="E4079" s="43"/>
      <c r="F4079" s="43"/>
      <c r="G4079" s="43"/>
      <c r="H4079" s="43"/>
      <c r="I4079" s="43"/>
      <c r="J4079" s="43"/>
    </row>
    <row r="4080" spans="1:10">
      <c r="A4080" s="43"/>
      <c r="B4080" s="43"/>
      <c r="C4080" s="43"/>
      <c r="D4080" s="43"/>
      <c r="E4080" s="256" t="str">
        <f>CONCATENATE("(",$D4051," vs ",$I4051,")")</f>
        <v>(G vs J)</v>
      </c>
      <c r="F4080" s="256"/>
      <c r="G4080" s="43"/>
      <c r="H4080" s="43"/>
      <c r="I4080" s="43"/>
      <c r="J4080" s="43"/>
    </row>
    <row r="4081" spans="1:10" ht="15.75">
      <c r="A4081" s="42" t="s">
        <v>1223</v>
      </c>
      <c r="B4081" s="43"/>
      <c r="C4081" s="43"/>
      <c r="D4081" s="43"/>
      <c r="E4081" s="43"/>
      <c r="F4081" s="43"/>
      <c r="G4081" s="43"/>
      <c r="H4081" s="43"/>
      <c r="I4081" s="43"/>
      <c r="J4081" s="96" t="s">
        <v>4339</v>
      </c>
    </row>
    <row r="4082" spans="1:10" ht="12.75" customHeight="1">
      <c r="A4082" s="42"/>
      <c r="B4082" s="43"/>
      <c r="C4082" s="43"/>
      <c r="D4082" s="43"/>
      <c r="E4082" s="43"/>
      <c r="F4082" s="43"/>
      <c r="G4082" s="43" t="str">
        <f ca="1">Team_Matches!$J$6</f>
        <v>[NCTTA Teams Template (v2.06).xlsx]</v>
      </c>
      <c r="H4082" s="43"/>
      <c r="I4082" s="43"/>
      <c r="J4082" s="160"/>
    </row>
    <row r="4083" spans="1:10" ht="12.75" customHeight="1">
      <c r="A4083" s="42"/>
      <c r="B4083" s="43"/>
      <c r="C4083" s="43"/>
      <c r="D4083" s="43"/>
      <c r="E4083" s="43"/>
      <c r="F4083" s="43"/>
      <c r="G4083" s="247" t="str">
        <f>Team_Matches!$J3067</f>
        <v/>
      </c>
      <c r="H4083" s="247"/>
      <c r="I4083" s="161" t="str">
        <f>Team_Matches!$M3067</f>
        <v/>
      </c>
      <c r="J4083" s="161"/>
    </row>
    <row r="4084" spans="1:10" ht="15.75">
      <c r="A4084" s="42"/>
      <c r="B4084" s="43"/>
      <c r="C4084" s="43"/>
      <c r="D4084" s="43"/>
      <c r="E4084" s="43"/>
      <c r="F4084" s="43"/>
      <c r="G4084" s="43"/>
      <c r="H4084" s="43"/>
      <c r="I4084" s="43"/>
      <c r="J4084" s="43"/>
    </row>
    <row r="4085" spans="1:10">
      <c r="A4085" s="43"/>
      <c r="B4085" s="43"/>
      <c r="C4085" s="9" t="s">
        <v>1228</v>
      </c>
      <c r="D4085" s="52" t="str">
        <f>Team_Matches!$B3069</f>
        <v>G</v>
      </c>
      <c r="E4085" s="43"/>
      <c r="F4085" s="97" t="str">
        <f>CONCATENATE($D4085,"-",$I4085)</f>
        <v>G-K</v>
      </c>
      <c r="G4085" s="43"/>
      <c r="H4085" s="9" t="s">
        <v>1228</v>
      </c>
      <c r="I4085" s="52" t="str">
        <f>Team_Matches!$K3069</f>
        <v>K</v>
      </c>
      <c r="J4085" s="43"/>
    </row>
    <row r="4086" spans="1:10" ht="25.5" customHeight="1">
      <c r="A4086" s="44"/>
      <c r="B4086" s="248" t="str">
        <f>IF(VLOOKUP($D4085,Draw!$A$4:$B$27,2)&lt;&gt;0,VLOOKUP($D4085,Draw!$A$4:$B$27,2),"")</f>
        <v/>
      </c>
      <c r="C4086" s="248"/>
      <c r="D4086" s="248"/>
      <c r="E4086" s="249"/>
      <c r="F4086" s="45"/>
      <c r="G4086" s="252" t="str">
        <f>IF(VLOOKUP($I4085,Draw!$A$4:$B$27,2)&lt;&gt;0,VLOOKUP($I4085,Draw!$A$4:$B$27,2),"")</f>
        <v/>
      </c>
      <c r="H4086" s="252"/>
      <c r="I4086" s="252"/>
      <c r="J4086" s="253"/>
    </row>
    <row r="4087" spans="1:10" ht="25.5" customHeight="1"/>
    <row r="4088" spans="1:10" ht="25.5" customHeight="1"/>
    <row r="4089" spans="1:10" ht="24" customHeight="1">
      <c r="A4089" s="48" t="s">
        <v>1246</v>
      </c>
      <c r="B4089" s="43"/>
      <c r="C4089" s="43"/>
      <c r="D4089" s="43"/>
      <c r="E4089" s="43"/>
      <c r="F4089" s="43"/>
      <c r="G4089" s="43"/>
      <c r="H4089" s="43"/>
      <c r="I4089" s="43"/>
      <c r="J4089" s="43"/>
    </row>
    <row r="4090" spans="1:10" ht="24" customHeight="1">
      <c r="A4090" s="48"/>
      <c r="B4090" s="43"/>
      <c r="C4090" s="43"/>
      <c r="D4090" s="43"/>
      <c r="E4090" s="43"/>
      <c r="F4090" s="43"/>
      <c r="G4090" s="43"/>
      <c r="H4090" s="43"/>
      <c r="I4090" s="43"/>
      <c r="J4090" s="43"/>
    </row>
    <row r="4091" spans="1:10">
      <c r="A4091" s="49" t="s">
        <v>1224</v>
      </c>
      <c r="B4091" s="46"/>
      <c r="C4091" s="46"/>
      <c r="D4091" s="46"/>
      <c r="E4091" s="46"/>
      <c r="F4091" s="46"/>
      <c r="G4091" s="260" t="s">
        <v>10336</v>
      </c>
      <c r="H4091" s="260"/>
      <c r="I4091" s="260"/>
      <c r="J4091" s="260"/>
    </row>
    <row r="4092" spans="1:10" ht="24" customHeight="1">
      <c r="A4092" s="50" t="str">
        <f>CONCATENATE($D4085,"1")</f>
        <v>G1</v>
      </c>
      <c r="B4092" s="255" t="str">
        <f>IF(VLOOKUP($A4092,Players!$A$2:$C$132,3)&lt;&gt;0,VLOOKUP($A4092,Players!$A$2:$C$132,3),"")</f>
        <v/>
      </c>
      <c r="C4092" s="255"/>
      <c r="D4092" s="255"/>
      <c r="E4092" s="255"/>
      <c r="F4092" s="255"/>
      <c r="G4092" s="254" t="str">
        <f>IF(VLOOKUP($I4085&amp;RIGHT($A4092,1),Players!$A$2:$D$132,3)&lt;&gt;0,VLOOKUP($I4085&amp;RIGHT($A4092,1),Players!$A$2:$D$132,3),"")</f>
        <v/>
      </c>
      <c r="H4092" s="254"/>
      <c r="I4092" s="254"/>
      <c r="J4092" s="210" t="str">
        <f>IF(VLOOKUP($I4085&amp;RIGHT($A4092,1),Players!$A$2:$D$132,3)&lt;&gt;0,"("&amp;VLOOKUP($I4085&amp;RIGHT($A4092,1),Players!$A$2:$D$132,4)&amp;")","")</f>
        <v/>
      </c>
    </row>
    <row r="4093" spans="1:10" ht="25.5" customHeight="1">
      <c r="A4093" s="50" t="str">
        <f>CONCATENATE($D4085,"2")</f>
        <v>G2</v>
      </c>
      <c r="B4093" s="255" t="str">
        <f>IF(VLOOKUP($A4093,Players!$A$2:$C$132,3)&lt;&gt;0,VLOOKUP($A4093,Players!$A$2:$C$132,3),"")</f>
        <v/>
      </c>
      <c r="C4093" s="255"/>
      <c r="D4093" s="255"/>
      <c r="E4093" s="255"/>
      <c r="F4093" s="255"/>
      <c r="G4093" s="254" t="str">
        <f>IF(VLOOKUP($I4085&amp;RIGHT($A4093,1),Players!$A$2:$D$132,3)&lt;&gt;0,VLOOKUP($I4085&amp;RIGHT($A4093,1),Players!$A$2:$D$132,3),"")</f>
        <v/>
      </c>
      <c r="H4093" s="254"/>
      <c r="I4093" s="254"/>
      <c r="J4093" s="210" t="str">
        <f>IF(VLOOKUP($I4085&amp;RIGHT($A4093,1),Players!$A$2:$D$132,3)&lt;&gt;0,"("&amp;VLOOKUP($I4085&amp;RIGHT($A4093,1),Players!$A$2:$D$132,4)&amp;")","")</f>
        <v/>
      </c>
    </row>
    <row r="4094" spans="1:10" ht="25.5" customHeight="1">
      <c r="A4094" s="50" t="str">
        <f>CONCATENATE($D4085,"3")</f>
        <v>G3</v>
      </c>
      <c r="B4094" s="255" t="str">
        <f>IF(VLOOKUP($A4094,Players!$A$2:$C$132,3)&lt;&gt;0,VLOOKUP($A4094,Players!$A$2:$C$132,3),"")</f>
        <v/>
      </c>
      <c r="C4094" s="255"/>
      <c r="D4094" s="255"/>
      <c r="E4094" s="255"/>
      <c r="F4094" s="255"/>
      <c r="G4094" s="254" t="str">
        <f>IF(VLOOKUP($I4085&amp;RIGHT($A4094,1),Players!$A$2:$D$132,3)&lt;&gt;0,VLOOKUP($I4085&amp;RIGHT($A4094,1),Players!$A$2:$D$132,3),"")</f>
        <v/>
      </c>
      <c r="H4094" s="254"/>
      <c r="I4094" s="254"/>
      <c r="J4094" s="210" t="str">
        <f>IF(VLOOKUP($I4085&amp;RIGHT($A4094,1),Players!$A$2:$D$132,3)&lt;&gt;0,"("&amp;VLOOKUP($I4085&amp;RIGHT($A4094,1),Players!$A$2:$D$132,4)&amp;")","")</f>
        <v/>
      </c>
    </row>
    <row r="4095" spans="1:10" ht="25.5" customHeight="1">
      <c r="A4095" s="50" t="str">
        <f>CONCATENATE($D4085,"4")</f>
        <v>G4</v>
      </c>
      <c r="B4095" s="255" t="str">
        <f>IF(VLOOKUP($A4095,Players!$A$2:$C$132,3)&lt;&gt;0,VLOOKUP($A4095,Players!$A$2:$C$132,3),"")</f>
        <v/>
      </c>
      <c r="C4095" s="255"/>
      <c r="D4095" s="255"/>
      <c r="E4095" s="255"/>
      <c r="F4095" s="255"/>
      <c r="G4095" s="254" t="str">
        <f>IF(VLOOKUP($I4085&amp;RIGHT($A4095,1),Players!$A$2:$D$132,3)&lt;&gt;0,VLOOKUP($I4085&amp;RIGHT($A4095,1),Players!$A$2:$D$132,3),"")</f>
        <v/>
      </c>
      <c r="H4095" s="254"/>
      <c r="I4095" s="254"/>
      <c r="J4095" s="210" t="str">
        <f>IF(VLOOKUP($I4085&amp;RIGHT($A4095,1),Players!$A$2:$D$132,3)&lt;&gt;0,"("&amp;VLOOKUP($I4085&amp;RIGHT($A4095,1),Players!$A$2:$D$132,4)&amp;")","")</f>
        <v/>
      </c>
    </row>
    <row r="4096" spans="1:10" ht="25.5" customHeight="1">
      <c r="A4096" s="50" t="str">
        <f>CONCATENATE($D4085,"5")</f>
        <v>G5</v>
      </c>
      <c r="B4096" s="255" t="str">
        <f>IF(VLOOKUP($A4096,Players!$A$2:$C$132,3)&lt;&gt;0,VLOOKUP($A4096,Players!$A$2:$C$132,3),"")</f>
        <v/>
      </c>
      <c r="C4096" s="255"/>
      <c r="D4096" s="255"/>
      <c r="E4096" s="255"/>
      <c r="F4096" s="255"/>
      <c r="G4096" s="254" t="str">
        <f>IF(VLOOKUP($I4085&amp;RIGHT($A4096,1),Players!$A$2:$D$132,3)&lt;&gt;0,VLOOKUP($I4085&amp;RIGHT($A4096,1),Players!$A$2:$D$132,3),"")</f>
        <v/>
      </c>
      <c r="H4096" s="254"/>
      <c r="I4096" s="254"/>
      <c r="J4096" s="210" t="str">
        <f>IF(VLOOKUP($I4085&amp;RIGHT($A4096,1),Players!$A$2:$D$132,3)&lt;&gt;0,"("&amp;VLOOKUP($I4085&amp;RIGHT($A4096,1),Players!$A$2:$D$132,4)&amp;")","")</f>
        <v/>
      </c>
    </row>
    <row r="4097" spans="1:10" ht="25.5" customHeight="1">
      <c r="A4097" s="50" t="str">
        <f>CONCATENATE($D4085,"6")</f>
        <v>G6</v>
      </c>
      <c r="B4097" s="255" t="str">
        <f>IF(VLOOKUP($A4097,Players!$A$2:$C$132,3)&lt;&gt;0,VLOOKUP($A4097,Players!$A$2:$C$132,3),"")</f>
        <v/>
      </c>
      <c r="C4097" s="255"/>
      <c r="D4097" s="255"/>
      <c r="E4097" s="255"/>
      <c r="F4097" s="255"/>
      <c r="G4097" s="254" t="str">
        <f>IF(VLOOKUP($I4085&amp;RIGHT($A4097,1),Players!$A$2:$D$132,3)&lt;&gt;0,VLOOKUP($I4085&amp;RIGHT($A4097,1),Players!$A$2:$D$132,3),"")</f>
        <v/>
      </c>
      <c r="H4097" s="254"/>
      <c r="I4097" s="254"/>
      <c r="J4097" s="210" t="str">
        <f>IF(VLOOKUP($I4085&amp;RIGHT($A4097,1),Players!$A$2:$D$132,3)&lt;&gt;0,"("&amp;VLOOKUP($I4085&amp;RIGHT($A4097,1),Players!$A$2:$D$132,4)&amp;")","")</f>
        <v/>
      </c>
    </row>
    <row r="4098" spans="1:10" ht="25.5" customHeight="1">
      <c r="A4098" s="50" t="str">
        <f>CONCATENATE($D4085,"7")</f>
        <v>G7</v>
      </c>
      <c r="B4098" s="255" t="str">
        <f>IF(VLOOKUP($A4098,Players!$A$2:$C$132,3)&lt;&gt;0,VLOOKUP($A4098,Players!$A$2:$C$132,3),"")</f>
        <v/>
      </c>
      <c r="C4098" s="255"/>
      <c r="D4098" s="255"/>
      <c r="E4098" s="255"/>
      <c r="F4098" s="255"/>
      <c r="G4098" s="254" t="str">
        <f>IF(VLOOKUP($I4085&amp;RIGHT($A4098,1),Players!$A$2:$D$132,3)&lt;&gt;0,VLOOKUP($I4085&amp;RIGHT($A4098,1),Players!$A$2:$D$132,3),"")</f>
        <v/>
      </c>
      <c r="H4098" s="254"/>
      <c r="I4098" s="254"/>
      <c r="J4098" s="210" t="str">
        <f>IF(VLOOKUP($I4085&amp;RIGHT($A4098,1),Players!$A$2:$D$132,3)&lt;&gt;0,"("&amp;VLOOKUP($I4085&amp;RIGHT($A4098,1),Players!$A$2:$D$132,4)&amp;")","")</f>
        <v/>
      </c>
    </row>
    <row r="4099" spans="1:10" ht="25.5" customHeight="1">
      <c r="A4099" s="50" t="str">
        <f>CONCATENATE($D4085,"8")</f>
        <v>G8</v>
      </c>
      <c r="B4099" s="255" t="str">
        <f>IF(VLOOKUP($A4099,Players!$A$2:$C$132,3)&lt;&gt;0,VLOOKUP($A4099,Players!$A$2:$C$132,3),"")</f>
        <v/>
      </c>
      <c r="C4099" s="255"/>
      <c r="D4099" s="255"/>
      <c r="E4099" s="255"/>
      <c r="F4099" s="255"/>
      <c r="G4099" s="254" t="str">
        <f>IF(VLOOKUP($I4085&amp;RIGHT($A4099,1),Players!$A$2:$D$132,3)&lt;&gt;0,VLOOKUP($I4085&amp;RIGHT($A4099,1),Players!$A$2:$D$132,3),"")</f>
        <v/>
      </c>
      <c r="H4099" s="254"/>
      <c r="I4099" s="254"/>
      <c r="J4099" s="210" t="str">
        <f>IF(VLOOKUP($I4085&amp;RIGHT($A4099,1),Players!$A$2:$D$132,3)&lt;&gt;0,"("&amp;VLOOKUP($I4085&amp;RIGHT($A4099,1),Players!$A$2:$D$132,4)&amp;")","")</f>
        <v/>
      </c>
    </row>
    <row r="4100" spans="1:10" ht="25.5" customHeight="1">
      <c r="A4100" s="50"/>
      <c r="B4100" s="26"/>
      <c r="C4100" s="26"/>
      <c r="D4100" s="26"/>
      <c r="E4100" s="26"/>
      <c r="F4100" s="27"/>
      <c r="G4100" s="43"/>
      <c r="H4100" s="43"/>
      <c r="I4100" s="43"/>
      <c r="J4100" s="43"/>
    </row>
    <row r="4101" spans="1:10">
      <c r="A4101" s="49" t="s">
        <v>1225</v>
      </c>
      <c r="B4101" s="46"/>
      <c r="C4101" s="46"/>
      <c r="D4101" s="46"/>
      <c r="E4101" s="46"/>
      <c r="F4101" s="46"/>
      <c r="G4101" s="43"/>
      <c r="H4101" s="43"/>
      <c r="I4101" s="43"/>
      <c r="J4101" s="43"/>
    </row>
    <row r="4102" spans="1:10">
      <c r="A4102" s="46" t="s">
        <v>1247</v>
      </c>
      <c r="B4102" s="46"/>
      <c r="C4102" s="46"/>
      <c r="D4102" s="46"/>
      <c r="E4102" s="46"/>
      <c r="F4102" s="46"/>
      <c r="G4102" s="43"/>
      <c r="H4102" s="43"/>
      <c r="I4102" s="43"/>
      <c r="J4102" s="43"/>
    </row>
    <row r="4103" spans="1:10">
      <c r="A4103" s="46" t="s">
        <v>1248</v>
      </c>
      <c r="B4103" s="46"/>
      <c r="C4103" s="46"/>
      <c r="D4103" s="46"/>
      <c r="E4103" s="46"/>
      <c r="F4103" s="46"/>
      <c r="G4103" s="43"/>
      <c r="H4103" s="43"/>
      <c r="I4103" s="43"/>
      <c r="J4103" s="43"/>
    </row>
    <row r="4104" spans="1:10" ht="13.5" thickBot="1">
      <c r="A4104" s="46"/>
      <c r="B4104" s="46"/>
      <c r="C4104" s="46"/>
      <c r="D4104" s="46"/>
      <c r="E4104" s="46"/>
      <c r="F4104" s="46"/>
      <c r="G4104" s="43"/>
      <c r="H4104" s="43"/>
      <c r="I4104" s="43"/>
      <c r="J4104" s="43"/>
    </row>
    <row r="4105" spans="1:10" ht="25.5" customHeight="1" thickBot="1">
      <c r="A4105" s="50"/>
      <c r="B4105" s="257"/>
      <c r="C4105" s="258"/>
      <c r="D4105" s="258"/>
      <c r="E4105" s="258"/>
      <c r="F4105" s="259"/>
      <c r="G4105" s="43"/>
      <c r="H4105" s="43"/>
      <c r="I4105" s="43"/>
      <c r="J4105" s="43"/>
    </row>
    <row r="4106" spans="1:10">
      <c r="A4106" s="43"/>
      <c r="B4106" s="43"/>
      <c r="C4106" s="43"/>
      <c r="D4106" s="43"/>
      <c r="E4106" s="43"/>
      <c r="F4106" s="43"/>
      <c r="G4106" s="43"/>
      <c r="H4106" s="43"/>
      <c r="I4106" s="43"/>
      <c r="J4106" s="43"/>
    </row>
    <row r="4107" spans="1:10">
      <c r="A4107" s="43"/>
      <c r="B4107" s="43"/>
      <c r="C4107" s="43"/>
      <c r="D4107" s="43"/>
      <c r="E4107" s="43"/>
      <c r="F4107" s="43"/>
      <c r="G4107" s="43"/>
      <c r="H4107" s="43"/>
      <c r="I4107" s="43"/>
      <c r="J4107" s="43"/>
    </row>
    <row r="4108" spans="1:10">
      <c r="A4108" s="43"/>
      <c r="B4108" s="43"/>
      <c r="C4108" s="43"/>
      <c r="D4108" s="43"/>
      <c r="E4108" s="43"/>
      <c r="F4108" s="43"/>
      <c r="G4108" s="43"/>
      <c r="H4108" s="43"/>
      <c r="I4108" s="43"/>
      <c r="J4108" s="43"/>
    </row>
    <row r="4109" spans="1:10">
      <c r="A4109" s="43"/>
      <c r="B4109" s="43"/>
      <c r="C4109" s="43"/>
      <c r="D4109" s="43"/>
      <c r="E4109" s="43"/>
      <c r="F4109" s="43"/>
      <c r="G4109" s="43"/>
      <c r="H4109" s="43"/>
      <c r="I4109" s="43"/>
      <c r="J4109" s="43"/>
    </row>
    <row r="4110" spans="1:10">
      <c r="A4110" s="43"/>
      <c r="B4110" s="43"/>
      <c r="C4110" s="43"/>
      <c r="D4110" s="43"/>
      <c r="E4110" s="43"/>
      <c r="F4110" s="43"/>
      <c r="G4110" s="43"/>
      <c r="H4110" s="43"/>
      <c r="I4110" s="43"/>
      <c r="J4110" s="43"/>
    </row>
    <row r="4111" spans="1:10" ht="25.5" customHeight="1">
      <c r="A4111" s="47"/>
      <c r="B4111" s="47"/>
      <c r="C4111" s="47"/>
      <c r="D4111" s="47"/>
      <c r="E4111" s="47"/>
      <c r="F4111" s="43"/>
      <c r="G4111" s="51"/>
      <c r="H4111" s="250" t="s">
        <v>1227</v>
      </c>
      <c r="I4111" s="251"/>
      <c r="J4111" s="43"/>
    </row>
    <row r="4112" spans="1:10">
      <c r="A4112" s="43" t="s">
        <v>1226</v>
      </c>
      <c r="B4112" s="43"/>
      <c r="C4112" s="43"/>
      <c r="D4112" s="43"/>
      <c r="E4112" s="43"/>
      <c r="F4112" s="43"/>
      <c r="G4112" s="43"/>
      <c r="H4112" s="43"/>
      <c r="I4112" s="43"/>
      <c r="J4112" s="43"/>
    </row>
    <row r="4113" spans="1:10">
      <c r="A4113" s="43"/>
      <c r="B4113" s="43"/>
      <c r="C4113" s="43"/>
      <c r="D4113" s="43"/>
      <c r="E4113" s="43"/>
      <c r="F4113" s="43"/>
      <c r="G4113" s="43"/>
      <c r="H4113" s="43"/>
      <c r="I4113" s="43"/>
      <c r="J4113" s="43"/>
    </row>
    <row r="4114" spans="1:10">
      <c r="A4114" s="43"/>
      <c r="B4114" s="43"/>
      <c r="C4114" s="43"/>
      <c r="D4114" s="43"/>
      <c r="E4114" s="256" t="str">
        <f>CONCATENATE("(",$D4085," vs ",$I4085,")")</f>
        <v>(G vs K)</v>
      </c>
      <c r="F4114" s="256"/>
      <c r="G4114" s="43"/>
      <c r="H4114" s="43"/>
      <c r="I4114" s="43"/>
      <c r="J4114" s="43"/>
    </row>
    <row r="4115" spans="1:10" ht="15.75">
      <c r="A4115" s="42" t="s">
        <v>1223</v>
      </c>
      <c r="B4115" s="43"/>
      <c r="C4115" s="43"/>
      <c r="D4115" s="43"/>
      <c r="E4115" s="43"/>
      <c r="F4115" s="43"/>
      <c r="G4115" s="43"/>
      <c r="H4115" s="43"/>
      <c r="I4115" s="43"/>
      <c r="J4115" s="96" t="s">
        <v>4340</v>
      </c>
    </row>
    <row r="4116" spans="1:10" ht="12.75" customHeight="1">
      <c r="A4116" s="42"/>
      <c r="B4116" s="43"/>
      <c r="C4116" s="43"/>
      <c r="D4116" s="43"/>
      <c r="E4116" s="43"/>
      <c r="F4116" s="43"/>
      <c r="G4116" s="43" t="str">
        <f ca="1">Team_Matches!$J$6</f>
        <v>[NCTTA Teams Template (v2.06).xlsx]</v>
      </c>
      <c r="H4116" s="43"/>
      <c r="I4116" s="43"/>
      <c r="J4116" s="160"/>
    </row>
    <row r="4117" spans="1:10" ht="12.75" customHeight="1">
      <c r="A4117" s="42"/>
      <c r="B4117" s="43"/>
      <c r="C4117" s="43"/>
      <c r="D4117" s="43"/>
      <c r="E4117" s="43"/>
      <c r="F4117" s="43"/>
      <c r="G4117" s="247" t="str">
        <f>Team_Matches!$J3067</f>
        <v/>
      </c>
      <c r="H4117" s="247"/>
      <c r="I4117" s="161" t="str">
        <f>Team_Matches!$M3067</f>
        <v/>
      </c>
      <c r="J4117" s="161"/>
    </row>
    <row r="4118" spans="1:10" ht="15.75">
      <c r="A4118" s="42"/>
      <c r="B4118" s="43"/>
      <c r="C4118" s="43"/>
      <c r="D4118" s="43"/>
      <c r="E4118" s="43"/>
      <c r="F4118" s="43"/>
      <c r="G4118" s="43"/>
      <c r="H4118" s="43"/>
      <c r="I4118" s="43"/>
      <c r="J4118" s="43"/>
    </row>
    <row r="4119" spans="1:10">
      <c r="A4119" s="43"/>
      <c r="B4119" s="43"/>
      <c r="C4119" s="9" t="s">
        <v>1228</v>
      </c>
      <c r="D4119" s="52" t="str">
        <f>Team_Matches!$B3069</f>
        <v>G</v>
      </c>
      <c r="E4119" s="43"/>
      <c r="F4119" s="97" t="str">
        <f>CONCATENATE($D4119,"-",$I4119)</f>
        <v>G-K</v>
      </c>
      <c r="G4119" s="43"/>
      <c r="H4119" s="9" t="s">
        <v>1228</v>
      </c>
      <c r="I4119" s="52" t="str">
        <f>Team_Matches!$K3069</f>
        <v>K</v>
      </c>
      <c r="J4119" s="43"/>
    </row>
    <row r="4120" spans="1:10" ht="25.5" customHeight="1">
      <c r="A4120" s="44"/>
      <c r="B4120" s="252" t="str">
        <f>IF(VLOOKUP($D4119,Draw!$A$4:$B$27,2)&lt;&gt;0,VLOOKUP($D4119,Draw!$A$4:$B$27,2),"")</f>
        <v/>
      </c>
      <c r="C4120" s="252"/>
      <c r="D4120" s="252"/>
      <c r="E4120" s="253"/>
      <c r="F4120" s="45"/>
      <c r="G4120" s="248" t="str">
        <f>IF(VLOOKUP($I4119,Draw!$A$4:$B$27,2)&lt;&gt;0,VLOOKUP($I4119,Draw!$A$4:$B$27,2),"")</f>
        <v/>
      </c>
      <c r="H4120" s="248"/>
      <c r="I4120" s="248"/>
      <c r="J4120" s="249"/>
    </row>
    <row r="4121" spans="1:10" ht="25.5" customHeight="1"/>
    <row r="4122" spans="1:10" ht="25.5" customHeight="1"/>
    <row r="4123" spans="1:10" ht="24" customHeight="1">
      <c r="A4123" s="48" t="s">
        <v>1246</v>
      </c>
      <c r="B4123" s="43"/>
      <c r="C4123" s="43"/>
      <c r="D4123" s="43"/>
      <c r="E4123" s="43"/>
      <c r="F4123" s="43"/>
      <c r="G4123" s="43"/>
      <c r="H4123" s="43"/>
      <c r="I4123" s="43"/>
      <c r="J4123" s="43"/>
    </row>
    <row r="4124" spans="1:10" ht="24" customHeight="1">
      <c r="A4124" s="48"/>
      <c r="B4124" s="43"/>
      <c r="C4124" s="43"/>
      <c r="D4124" s="43"/>
      <c r="E4124" s="43"/>
      <c r="F4124" s="43"/>
      <c r="G4124" s="43"/>
      <c r="H4124" s="43"/>
      <c r="I4124" s="43"/>
      <c r="J4124" s="43"/>
    </row>
    <row r="4125" spans="1:10">
      <c r="A4125" s="49" t="s">
        <v>1224</v>
      </c>
      <c r="B4125" s="46"/>
      <c r="C4125" s="46"/>
      <c r="D4125" s="46"/>
      <c r="E4125" s="46"/>
      <c r="F4125" s="46"/>
      <c r="G4125" s="260" t="s">
        <v>10336</v>
      </c>
      <c r="H4125" s="260"/>
      <c r="I4125" s="260"/>
      <c r="J4125" s="260"/>
    </row>
    <row r="4126" spans="1:10" ht="24" customHeight="1">
      <c r="A4126" s="50" t="str">
        <f>CONCATENATE($I4119,"1")</f>
        <v>K1</v>
      </c>
      <c r="B4126" s="255" t="str">
        <f>IF(VLOOKUP($A4126,Players!$A$2:$C$132,3)&lt;&gt;0,VLOOKUP($A4126,Players!$A$2:$C$132,3),"")</f>
        <v/>
      </c>
      <c r="C4126" s="255"/>
      <c r="D4126" s="255"/>
      <c r="E4126" s="255"/>
      <c r="F4126" s="255"/>
      <c r="G4126" s="254" t="str">
        <f>IF(VLOOKUP($D4119&amp;RIGHT($A4126,1),Players!$A$2:$D$132,3)&lt;&gt;0,VLOOKUP($D4119&amp;RIGHT($A4126,1),Players!$A$2:$D$132,3),"")</f>
        <v/>
      </c>
      <c r="H4126" s="254"/>
      <c r="I4126" s="254"/>
      <c r="J4126" s="210" t="str">
        <f>IF(VLOOKUP($D4119&amp;RIGHT($A4126,1),Players!$A$2:$D$132,3)&lt;&gt;0,"("&amp;VLOOKUP($D4119&amp;RIGHT($A4126,1),Players!$A$2:$D$132,4)&amp;")","")</f>
        <v/>
      </c>
    </row>
    <row r="4127" spans="1:10" ht="25.5" customHeight="1">
      <c r="A4127" s="50" t="str">
        <f>CONCATENATE($I4119,"2")</f>
        <v>K2</v>
      </c>
      <c r="B4127" s="255" t="str">
        <f>IF(VLOOKUP($A4127,Players!$A$2:$C$132,3)&lt;&gt;0,VLOOKUP($A4127,Players!$A$2:$C$132,3),"")</f>
        <v/>
      </c>
      <c r="C4127" s="255"/>
      <c r="D4127" s="255"/>
      <c r="E4127" s="255"/>
      <c r="F4127" s="255"/>
      <c r="G4127" s="254" t="str">
        <f>IF(VLOOKUP($D4119&amp;RIGHT($A4127,1),Players!$A$2:$D$132,3)&lt;&gt;0,VLOOKUP($D4119&amp;RIGHT($A4127,1),Players!$A$2:$D$132,3),"")</f>
        <v/>
      </c>
      <c r="H4127" s="254"/>
      <c r="I4127" s="254"/>
      <c r="J4127" s="210" t="str">
        <f>IF(VLOOKUP($D4119&amp;RIGHT($A4127,1),Players!$A$2:$D$132,3)&lt;&gt;0,"("&amp;VLOOKUP($D4119&amp;RIGHT($A4127,1),Players!$A$2:$D$132,4)&amp;")","")</f>
        <v/>
      </c>
    </row>
    <row r="4128" spans="1:10" ht="25.5" customHeight="1">
      <c r="A4128" s="50" t="str">
        <f>CONCATENATE($I4119,"3")</f>
        <v>K3</v>
      </c>
      <c r="B4128" s="255" t="str">
        <f>IF(VLOOKUP($A4128,Players!$A$2:$C$132,3)&lt;&gt;0,VLOOKUP($A4128,Players!$A$2:$C$132,3),"")</f>
        <v/>
      </c>
      <c r="C4128" s="255"/>
      <c r="D4128" s="255"/>
      <c r="E4128" s="255"/>
      <c r="F4128" s="255"/>
      <c r="G4128" s="254" t="str">
        <f>IF(VLOOKUP($D4119&amp;RIGHT($A4128,1),Players!$A$2:$D$132,3)&lt;&gt;0,VLOOKUP($D4119&amp;RIGHT($A4128,1),Players!$A$2:$D$132,3),"")</f>
        <v/>
      </c>
      <c r="H4128" s="254"/>
      <c r="I4128" s="254"/>
      <c r="J4128" s="210" t="str">
        <f>IF(VLOOKUP($D4119&amp;RIGHT($A4128,1),Players!$A$2:$D$132,3)&lt;&gt;0,"("&amp;VLOOKUP($D4119&amp;RIGHT($A4128,1),Players!$A$2:$D$132,4)&amp;")","")</f>
        <v/>
      </c>
    </row>
    <row r="4129" spans="1:10" ht="25.5" customHeight="1">
      <c r="A4129" s="50" t="str">
        <f>CONCATENATE($I4119,"4")</f>
        <v>K4</v>
      </c>
      <c r="B4129" s="255" t="str">
        <f>IF(VLOOKUP($A4129,Players!$A$2:$C$132,3)&lt;&gt;0,VLOOKUP($A4129,Players!$A$2:$C$132,3),"")</f>
        <v/>
      </c>
      <c r="C4129" s="255"/>
      <c r="D4129" s="255"/>
      <c r="E4129" s="255"/>
      <c r="F4129" s="255"/>
      <c r="G4129" s="254" t="str">
        <f>IF(VLOOKUP($D4119&amp;RIGHT($A4129,1),Players!$A$2:$D$132,3)&lt;&gt;0,VLOOKUP($D4119&amp;RIGHT($A4129,1),Players!$A$2:$D$132,3),"")</f>
        <v/>
      </c>
      <c r="H4129" s="254"/>
      <c r="I4129" s="254"/>
      <c r="J4129" s="210" t="str">
        <f>IF(VLOOKUP($D4119&amp;RIGHT($A4129,1),Players!$A$2:$D$132,3)&lt;&gt;0,"("&amp;VLOOKUP($D4119&amp;RIGHT($A4129,1),Players!$A$2:$D$132,4)&amp;")","")</f>
        <v/>
      </c>
    </row>
    <row r="4130" spans="1:10" ht="25.5" customHeight="1">
      <c r="A4130" s="50" t="str">
        <f>CONCATENATE($I4119,"5")</f>
        <v>K5</v>
      </c>
      <c r="B4130" s="255" t="str">
        <f>IF(VLOOKUP($A4130,Players!$A$2:$C$132,3)&lt;&gt;0,VLOOKUP($A4130,Players!$A$2:$C$132,3),"")</f>
        <v/>
      </c>
      <c r="C4130" s="255"/>
      <c r="D4130" s="255"/>
      <c r="E4130" s="255"/>
      <c r="F4130" s="255"/>
      <c r="G4130" s="254" t="str">
        <f>IF(VLOOKUP($D4119&amp;RIGHT($A4130,1),Players!$A$2:$D$132,3)&lt;&gt;0,VLOOKUP($D4119&amp;RIGHT($A4130,1),Players!$A$2:$D$132,3),"")</f>
        <v/>
      </c>
      <c r="H4130" s="254"/>
      <c r="I4130" s="254"/>
      <c r="J4130" s="210" t="str">
        <f>IF(VLOOKUP($D4119&amp;RIGHT($A4130,1),Players!$A$2:$D$132,3)&lt;&gt;0,"("&amp;VLOOKUP($D4119&amp;RIGHT($A4130,1),Players!$A$2:$D$132,4)&amp;")","")</f>
        <v/>
      </c>
    </row>
    <row r="4131" spans="1:10" ht="25.5" customHeight="1">
      <c r="A4131" s="50" t="str">
        <f>CONCATENATE($I4119,"6")</f>
        <v>K6</v>
      </c>
      <c r="B4131" s="255" t="str">
        <f>IF(VLOOKUP($A4131,Players!$A$2:$C$132,3)&lt;&gt;0,VLOOKUP($A4131,Players!$A$2:$C$132,3),"")</f>
        <v/>
      </c>
      <c r="C4131" s="255"/>
      <c r="D4131" s="255"/>
      <c r="E4131" s="255"/>
      <c r="F4131" s="255"/>
      <c r="G4131" s="254" t="str">
        <f>IF(VLOOKUP($D4119&amp;RIGHT($A4131,1),Players!$A$2:$D$132,3)&lt;&gt;0,VLOOKUP($D4119&amp;RIGHT($A4131,1),Players!$A$2:$D$132,3),"")</f>
        <v/>
      </c>
      <c r="H4131" s="254"/>
      <c r="I4131" s="254"/>
      <c r="J4131" s="210" t="str">
        <f>IF(VLOOKUP($D4119&amp;RIGHT($A4131,1),Players!$A$2:$D$132,3)&lt;&gt;0,"("&amp;VLOOKUP($D4119&amp;RIGHT($A4131,1),Players!$A$2:$D$132,4)&amp;")","")</f>
        <v/>
      </c>
    </row>
    <row r="4132" spans="1:10" ht="25.5" customHeight="1">
      <c r="A4132" s="50" t="str">
        <f>CONCATENATE($I4119,"7")</f>
        <v>K7</v>
      </c>
      <c r="B4132" s="255" t="str">
        <f>IF(VLOOKUP($A4132,Players!$A$2:$C$132,3)&lt;&gt;0,VLOOKUP($A4132,Players!$A$2:$C$132,3),"")</f>
        <v/>
      </c>
      <c r="C4132" s="255"/>
      <c r="D4132" s="255"/>
      <c r="E4132" s="255"/>
      <c r="F4132" s="255"/>
      <c r="G4132" s="254" t="str">
        <f>IF(VLOOKUP($D4119&amp;RIGHT($A4132,1),Players!$A$2:$D$132,3)&lt;&gt;0,VLOOKUP($D4119&amp;RIGHT($A4132,1),Players!$A$2:$D$132,3),"")</f>
        <v/>
      </c>
      <c r="H4132" s="254"/>
      <c r="I4132" s="254"/>
      <c r="J4132" s="210" t="str">
        <f>IF(VLOOKUP($D4119&amp;RIGHT($A4132,1),Players!$A$2:$D$132,3)&lt;&gt;0,"("&amp;VLOOKUP($D4119&amp;RIGHT($A4132,1),Players!$A$2:$D$132,4)&amp;")","")</f>
        <v/>
      </c>
    </row>
    <row r="4133" spans="1:10" ht="25.5" customHeight="1">
      <c r="A4133" s="50" t="str">
        <f>CONCATENATE($I4119,"8")</f>
        <v>K8</v>
      </c>
      <c r="B4133" s="255" t="str">
        <f>IF(VLOOKUP($A4133,Players!$A$2:$C$132,3)&lt;&gt;0,VLOOKUP($A4133,Players!$A$2:$C$132,3),"")</f>
        <v/>
      </c>
      <c r="C4133" s="255"/>
      <c r="D4133" s="255"/>
      <c r="E4133" s="255"/>
      <c r="F4133" s="255"/>
      <c r="G4133" s="254" t="str">
        <f>IF(VLOOKUP($D4119&amp;RIGHT($A4133,1),Players!$A$2:$D$132,3)&lt;&gt;0,VLOOKUP($D4119&amp;RIGHT($A4133,1),Players!$A$2:$D$132,3),"")</f>
        <v/>
      </c>
      <c r="H4133" s="254"/>
      <c r="I4133" s="254"/>
      <c r="J4133" s="210" t="str">
        <f>IF(VLOOKUP($D4119&amp;RIGHT($A4133,1),Players!$A$2:$D$132,3)&lt;&gt;0,"("&amp;VLOOKUP($D4119&amp;RIGHT($A4133,1),Players!$A$2:$D$132,4)&amp;")","")</f>
        <v/>
      </c>
    </row>
    <row r="4134" spans="1:10" ht="25.5" customHeight="1">
      <c r="A4134" s="50"/>
      <c r="B4134" s="26"/>
      <c r="C4134" s="26"/>
      <c r="D4134" s="26"/>
      <c r="E4134" s="26"/>
      <c r="F4134" s="27"/>
      <c r="G4134" s="43"/>
      <c r="H4134" s="43"/>
      <c r="I4134" s="43"/>
      <c r="J4134" s="43"/>
    </row>
    <row r="4135" spans="1:10">
      <c r="A4135" s="49" t="s">
        <v>1225</v>
      </c>
      <c r="B4135" s="46"/>
      <c r="C4135" s="46"/>
      <c r="D4135" s="46"/>
      <c r="E4135" s="46"/>
      <c r="F4135" s="46"/>
      <c r="G4135" s="43"/>
      <c r="H4135" s="43"/>
      <c r="I4135" s="43"/>
      <c r="J4135" s="43"/>
    </row>
    <row r="4136" spans="1:10">
      <c r="A4136" s="46" t="s">
        <v>1247</v>
      </c>
      <c r="B4136" s="46"/>
      <c r="C4136" s="46"/>
      <c r="D4136" s="46"/>
      <c r="E4136" s="46"/>
      <c r="F4136" s="46"/>
      <c r="G4136" s="43"/>
      <c r="H4136" s="43"/>
      <c r="I4136" s="43"/>
      <c r="J4136" s="43"/>
    </row>
    <row r="4137" spans="1:10">
      <c r="A4137" s="46" t="s">
        <v>1248</v>
      </c>
      <c r="B4137" s="46"/>
      <c r="C4137" s="46"/>
      <c r="D4137" s="46"/>
      <c r="E4137" s="46"/>
      <c r="F4137" s="46"/>
      <c r="G4137" s="43"/>
      <c r="H4137" s="43"/>
      <c r="I4137" s="43"/>
      <c r="J4137" s="43"/>
    </row>
    <row r="4138" spans="1:10" ht="13.5" thickBot="1">
      <c r="A4138" s="46"/>
      <c r="B4138" s="46"/>
      <c r="C4138" s="46"/>
      <c r="D4138" s="46"/>
      <c r="E4138" s="46"/>
      <c r="F4138" s="46"/>
      <c r="G4138" s="43"/>
      <c r="H4138" s="43"/>
      <c r="I4138" s="43"/>
      <c r="J4138" s="43"/>
    </row>
    <row r="4139" spans="1:10" ht="25.5" customHeight="1" thickBot="1">
      <c r="A4139" s="50"/>
      <c r="B4139" s="257"/>
      <c r="C4139" s="258"/>
      <c r="D4139" s="258"/>
      <c r="E4139" s="258"/>
      <c r="F4139" s="259"/>
      <c r="G4139" s="43"/>
      <c r="H4139" s="43"/>
      <c r="I4139" s="43"/>
      <c r="J4139" s="43"/>
    </row>
    <row r="4140" spans="1:10">
      <c r="A4140" s="43"/>
      <c r="B4140" s="43"/>
      <c r="C4140" s="43"/>
      <c r="D4140" s="43"/>
      <c r="E4140" s="43"/>
      <c r="F4140" s="43"/>
      <c r="G4140" s="43"/>
      <c r="H4140" s="43"/>
      <c r="I4140" s="43"/>
      <c r="J4140" s="43"/>
    </row>
    <row r="4141" spans="1:10">
      <c r="A4141" s="43"/>
      <c r="B4141" s="43"/>
      <c r="C4141" s="43"/>
      <c r="D4141" s="43"/>
      <c r="E4141" s="43"/>
      <c r="F4141" s="43"/>
      <c r="G4141" s="43"/>
      <c r="H4141" s="43"/>
      <c r="I4141" s="43"/>
      <c r="J4141" s="43"/>
    </row>
    <row r="4142" spans="1:10">
      <c r="A4142" s="43"/>
      <c r="B4142" s="43"/>
      <c r="C4142" s="43"/>
      <c r="D4142" s="43"/>
      <c r="E4142" s="43"/>
      <c r="F4142" s="43"/>
      <c r="G4142" s="43"/>
      <c r="H4142" s="43"/>
      <c r="I4142" s="43"/>
      <c r="J4142" s="43"/>
    </row>
    <row r="4143" spans="1:10">
      <c r="A4143" s="43"/>
      <c r="B4143" s="43"/>
      <c r="C4143" s="43"/>
      <c r="D4143" s="43"/>
      <c r="E4143" s="43"/>
      <c r="F4143" s="43"/>
      <c r="G4143" s="43"/>
      <c r="H4143" s="43"/>
      <c r="I4143" s="43"/>
      <c r="J4143" s="43"/>
    </row>
    <row r="4144" spans="1:10">
      <c r="A4144" s="43"/>
      <c r="B4144" s="43"/>
      <c r="C4144" s="43"/>
      <c r="D4144" s="43"/>
      <c r="E4144" s="43"/>
      <c r="F4144" s="43"/>
      <c r="G4144" s="43"/>
      <c r="H4144" s="43"/>
      <c r="I4144" s="43"/>
      <c r="J4144" s="43"/>
    </row>
    <row r="4145" spans="1:10" ht="25.5" customHeight="1">
      <c r="A4145" s="47"/>
      <c r="B4145" s="47"/>
      <c r="C4145" s="47"/>
      <c r="D4145" s="47"/>
      <c r="E4145" s="47"/>
      <c r="F4145" s="43"/>
      <c r="G4145" s="51"/>
      <c r="H4145" s="250" t="s">
        <v>1227</v>
      </c>
      <c r="I4145" s="251"/>
      <c r="J4145" s="43"/>
    </row>
    <row r="4146" spans="1:10">
      <c r="A4146" s="43" t="s">
        <v>1226</v>
      </c>
      <c r="B4146" s="43"/>
      <c r="C4146" s="43"/>
      <c r="D4146" s="43"/>
      <c r="E4146" s="43"/>
      <c r="F4146" s="43"/>
      <c r="G4146" s="43"/>
      <c r="H4146" s="43"/>
      <c r="I4146" s="43"/>
      <c r="J4146" s="43"/>
    </row>
    <row r="4147" spans="1:10">
      <c r="A4147" s="43"/>
      <c r="B4147" s="43"/>
      <c r="C4147" s="43"/>
      <c r="D4147" s="43"/>
      <c r="E4147" s="43"/>
      <c r="F4147" s="43"/>
      <c r="G4147" s="43"/>
      <c r="H4147" s="43"/>
      <c r="I4147" s="43"/>
      <c r="J4147" s="43"/>
    </row>
    <row r="4148" spans="1:10">
      <c r="A4148" s="43"/>
      <c r="B4148" s="43"/>
      <c r="C4148" s="43"/>
      <c r="D4148" s="43"/>
      <c r="E4148" s="256" t="str">
        <f>CONCATENATE("(",$D4119," vs ",$I4119,")")</f>
        <v>(G vs K)</v>
      </c>
      <c r="F4148" s="256"/>
      <c r="G4148" s="43"/>
      <c r="H4148" s="43"/>
      <c r="I4148" s="43"/>
      <c r="J4148" s="43"/>
    </row>
    <row r="4149" spans="1:10" ht="15.75">
      <c r="A4149" s="42" t="s">
        <v>1223</v>
      </c>
      <c r="B4149" s="43"/>
      <c r="C4149" s="43"/>
      <c r="D4149" s="43"/>
      <c r="E4149" s="43"/>
      <c r="F4149" s="43"/>
      <c r="G4149" s="43"/>
      <c r="H4149" s="43"/>
      <c r="I4149" s="43"/>
      <c r="J4149" s="96" t="s">
        <v>4341</v>
      </c>
    </row>
    <row r="4150" spans="1:10" ht="12.75" customHeight="1">
      <c r="A4150" s="42"/>
      <c r="B4150" s="43"/>
      <c r="C4150" s="43"/>
      <c r="D4150" s="43"/>
      <c r="E4150" s="43"/>
      <c r="F4150" s="43"/>
      <c r="G4150" s="43" t="str">
        <f ca="1">Team_Matches!$J$6</f>
        <v>[NCTTA Teams Template (v2.06).xlsx]</v>
      </c>
      <c r="H4150" s="43"/>
      <c r="I4150" s="43"/>
      <c r="J4150" s="160"/>
    </row>
    <row r="4151" spans="1:10" ht="12.75" customHeight="1">
      <c r="A4151" s="42"/>
      <c r="B4151" s="43"/>
      <c r="C4151" s="43"/>
      <c r="D4151" s="43"/>
      <c r="E4151" s="43"/>
      <c r="F4151" s="43"/>
      <c r="G4151" s="247" t="str">
        <f>Team_Matches!$J3118</f>
        <v/>
      </c>
      <c r="H4151" s="247"/>
      <c r="I4151" s="161" t="str">
        <f>Team_Matches!$M3118</f>
        <v/>
      </c>
      <c r="J4151" s="161"/>
    </row>
    <row r="4152" spans="1:10" ht="15.75">
      <c r="A4152" s="42"/>
      <c r="B4152" s="43"/>
      <c r="C4152" s="43"/>
      <c r="D4152" s="43"/>
      <c r="E4152" s="43"/>
      <c r="F4152" s="43"/>
      <c r="G4152" s="43"/>
      <c r="H4152" s="43"/>
      <c r="I4152" s="43"/>
      <c r="J4152" s="43"/>
    </row>
    <row r="4153" spans="1:10">
      <c r="A4153" s="43"/>
      <c r="B4153" s="43"/>
      <c r="C4153" s="9" t="s">
        <v>1228</v>
      </c>
      <c r="D4153" s="52" t="str">
        <f>Team_Matches!$B3120</f>
        <v>G</v>
      </c>
      <c r="E4153" s="43"/>
      <c r="F4153" s="97" t="str">
        <f>CONCATENATE($D4153,"-",$I4153)</f>
        <v>G-L</v>
      </c>
      <c r="G4153" s="43"/>
      <c r="H4153" s="9" t="s">
        <v>1228</v>
      </c>
      <c r="I4153" s="52" t="str">
        <f>Team_Matches!$K3120</f>
        <v>L</v>
      </c>
      <c r="J4153" s="43"/>
    </row>
    <row r="4154" spans="1:10" ht="25.5" customHeight="1">
      <c r="A4154" s="44"/>
      <c r="B4154" s="248" t="str">
        <f>IF(VLOOKUP($D4153,Draw!$A$4:$B$27,2)&lt;&gt;0,VLOOKUP($D4153,Draw!$A$4:$B$27,2),"")</f>
        <v/>
      </c>
      <c r="C4154" s="248"/>
      <c r="D4154" s="248"/>
      <c r="E4154" s="249"/>
      <c r="F4154" s="45"/>
      <c r="G4154" s="252" t="str">
        <f>IF(VLOOKUP($I4153,Draw!$A$4:$B$27,2)&lt;&gt;0,VLOOKUP($I4153,Draw!$A$4:$B$27,2),"")</f>
        <v/>
      </c>
      <c r="H4154" s="252"/>
      <c r="I4154" s="252"/>
      <c r="J4154" s="253"/>
    </row>
    <row r="4155" spans="1:10" ht="25.5" customHeight="1"/>
    <row r="4156" spans="1:10" ht="25.5" customHeight="1"/>
    <row r="4157" spans="1:10" ht="24" customHeight="1">
      <c r="A4157" s="48" t="s">
        <v>1246</v>
      </c>
      <c r="B4157" s="43"/>
      <c r="C4157" s="43"/>
      <c r="D4157" s="43"/>
      <c r="E4157" s="43"/>
      <c r="F4157" s="43"/>
      <c r="G4157" s="43"/>
      <c r="H4157" s="43"/>
      <c r="I4157" s="43"/>
      <c r="J4157" s="43"/>
    </row>
    <row r="4158" spans="1:10" ht="24" customHeight="1">
      <c r="A4158" s="48"/>
      <c r="B4158" s="43"/>
      <c r="C4158" s="43"/>
      <c r="D4158" s="43"/>
      <c r="E4158" s="43"/>
      <c r="F4158" s="43"/>
      <c r="G4158" s="43"/>
      <c r="H4158" s="43"/>
      <c r="I4158" s="43"/>
      <c r="J4158" s="43"/>
    </row>
    <row r="4159" spans="1:10">
      <c r="A4159" s="49" t="s">
        <v>1224</v>
      </c>
      <c r="B4159" s="46"/>
      <c r="C4159" s="46"/>
      <c r="D4159" s="46"/>
      <c r="E4159" s="46"/>
      <c r="F4159" s="46"/>
      <c r="G4159" s="260" t="s">
        <v>10336</v>
      </c>
      <c r="H4159" s="260"/>
      <c r="I4159" s="260"/>
      <c r="J4159" s="260"/>
    </row>
    <row r="4160" spans="1:10" ht="24" customHeight="1">
      <c r="A4160" s="50" t="str">
        <f>CONCATENATE($D4153,"1")</f>
        <v>G1</v>
      </c>
      <c r="B4160" s="255" t="str">
        <f>IF(VLOOKUP($A4160,Players!$A$2:$C$132,3)&lt;&gt;0,VLOOKUP($A4160,Players!$A$2:$C$132,3),"")</f>
        <v/>
      </c>
      <c r="C4160" s="255"/>
      <c r="D4160" s="255"/>
      <c r="E4160" s="255"/>
      <c r="F4160" s="255"/>
      <c r="G4160" s="254" t="str">
        <f>IF(VLOOKUP($I4153&amp;RIGHT($A4160,1),Players!$A$2:$D$132,3)&lt;&gt;0,VLOOKUP($I4153&amp;RIGHT($A4160,1),Players!$A$2:$D$132,3),"")</f>
        <v/>
      </c>
      <c r="H4160" s="254"/>
      <c r="I4160" s="254"/>
      <c r="J4160" s="210" t="str">
        <f>IF(VLOOKUP($I4153&amp;RIGHT($A4160,1),Players!$A$2:$D$132,3)&lt;&gt;0,"("&amp;VLOOKUP($I4153&amp;RIGHT($A4160,1),Players!$A$2:$D$132,4)&amp;")","")</f>
        <v/>
      </c>
    </row>
    <row r="4161" spans="1:10" ht="25.5" customHeight="1">
      <c r="A4161" s="50" t="str">
        <f>CONCATENATE($D4153,"2")</f>
        <v>G2</v>
      </c>
      <c r="B4161" s="255" t="str">
        <f>IF(VLOOKUP($A4161,Players!$A$2:$C$132,3)&lt;&gt;0,VLOOKUP($A4161,Players!$A$2:$C$132,3),"")</f>
        <v/>
      </c>
      <c r="C4161" s="255"/>
      <c r="D4161" s="255"/>
      <c r="E4161" s="255"/>
      <c r="F4161" s="255"/>
      <c r="G4161" s="254" t="str">
        <f>IF(VLOOKUP($I4153&amp;RIGHT($A4161,1),Players!$A$2:$D$132,3)&lt;&gt;0,VLOOKUP($I4153&amp;RIGHT($A4161,1),Players!$A$2:$D$132,3),"")</f>
        <v/>
      </c>
      <c r="H4161" s="254"/>
      <c r="I4161" s="254"/>
      <c r="J4161" s="210" t="str">
        <f>IF(VLOOKUP($I4153&amp;RIGHT($A4161,1),Players!$A$2:$D$132,3)&lt;&gt;0,"("&amp;VLOOKUP($I4153&amp;RIGHT($A4161,1),Players!$A$2:$D$132,4)&amp;")","")</f>
        <v/>
      </c>
    </row>
    <row r="4162" spans="1:10" ht="25.5" customHeight="1">
      <c r="A4162" s="50" t="str">
        <f>CONCATENATE($D4153,"3")</f>
        <v>G3</v>
      </c>
      <c r="B4162" s="255" t="str">
        <f>IF(VLOOKUP($A4162,Players!$A$2:$C$132,3)&lt;&gt;0,VLOOKUP($A4162,Players!$A$2:$C$132,3),"")</f>
        <v/>
      </c>
      <c r="C4162" s="255"/>
      <c r="D4162" s="255"/>
      <c r="E4162" s="255"/>
      <c r="F4162" s="255"/>
      <c r="G4162" s="254" t="str">
        <f>IF(VLOOKUP($I4153&amp;RIGHT($A4162,1),Players!$A$2:$D$132,3)&lt;&gt;0,VLOOKUP($I4153&amp;RIGHT($A4162,1),Players!$A$2:$D$132,3),"")</f>
        <v/>
      </c>
      <c r="H4162" s="254"/>
      <c r="I4162" s="254"/>
      <c r="J4162" s="210" t="str">
        <f>IF(VLOOKUP($I4153&amp;RIGHT($A4162,1),Players!$A$2:$D$132,3)&lt;&gt;0,"("&amp;VLOOKUP($I4153&amp;RIGHT($A4162,1),Players!$A$2:$D$132,4)&amp;")","")</f>
        <v/>
      </c>
    </row>
    <row r="4163" spans="1:10" ht="25.5" customHeight="1">
      <c r="A4163" s="50" t="str">
        <f>CONCATENATE($D4153,"4")</f>
        <v>G4</v>
      </c>
      <c r="B4163" s="255" t="str">
        <f>IF(VLOOKUP($A4163,Players!$A$2:$C$132,3)&lt;&gt;0,VLOOKUP($A4163,Players!$A$2:$C$132,3),"")</f>
        <v/>
      </c>
      <c r="C4163" s="255"/>
      <c r="D4163" s="255"/>
      <c r="E4163" s="255"/>
      <c r="F4163" s="255"/>
      <c r="G4163" s="254" t="str">
        <f>IF(VLOOKUP($I4153&amp;RIGHT($A4163,1),Players!$A$2:$D$132,3)&lt;&gt;0,VLOOKUP($I4153&amp;RIGHT($A4163,1),Players!$A$2:$D$132,3),"")</f>
        <v/>
      </c>
      <c r="H4163" s="254"/>
      <c r="I4163" s="254"/>
      <c r="J4163" s="210" t="str">
        <f>IF(VLOOKUP($I4153&amp;RIGHT($A4163,1),Players!$A$2:$D$132,3)&lt;&gt;0,"("&amp;VLOOKUP($I4153&amp;RIGHT($A4163,1),Players!$A$2:$D$132,4)&amp;")","")</f>
        <v/>
      </c>
    </row>
    <row r="4164" spans="1:10" ht="25.5" customHeight="1">
      <c r="A4164" s="50" t="str">
        <f>CONCATENATE($D4153,"5")</f>
        <v>G5</v>
      </c>
      <c r="B4164" s="255" t="str">
        <f>IF(VLOOKUP($A4164,Players!$A$2:$C$132,3)&lt;&gt;0,VLOOKUP($A4164,Players!$A$2:$C$132,3),"")</f>
        <v/>
      </c>
      <c r="C4164" s="255"/>
      <c r="D4164" s="255"/>
      <c r="E4164" s="255"/>
      <c r="F4164" s="255"/>
      <c r="G4164" s="254" t="str">
        <f>IF(VLOOKUP($I4153&amp;RIGHT($A4164,1),Players!$A$2:$D$132,3)&lt;&gt;0,VLOOKUP($I4153&amp;RIGHT($A4164,1),Players!$A$2:$D$132,3),"")</f>
        <v/>
      </c>
      <c r="H4164" s="254"/>
      <c r="I4164" s="254"/>
      <c r="J4164" s="210" t="str">
        <f>IF(VLOOKUP($I4153&amp;RIGHT($A4164,1),Players!$A$2:$D$132,3)&lt;&gt;0,"("&amp;VLOOKUP($I4153&amp;RIGHT($A4164,1),Players!$A$2:$D$132,4)&amp;")","")</f>
        <v/>
      </c>
    </row>
    <row r="4165" spans="1:10" ht="25.5" customHeight="1">
      <c r="A4165" s="50" t="str">
        <f>CONCATENATE($D4153,"6")</f>
        <v>G6</v>
      </c>
      <c r="B4165" s="255" t="str">
        <f>IF(VLOOKUP($A4165,Players!$A$2:$C$132,3)&lt;&gt;0,VLOOKUP($A4165,Players!$A$2:$C$132,3),"")</f>
        <v/>
      </c>
      <c r="C4165" s="255"/>
      <c r="D4165" s="255"/>
      <c r="E4165" s="255"/>
      <c r="F4165" s="255"/>
      <c r="G4165" s="254" t="str">
        <f>IF(VLOOKUP($I4153&amp;RIGHT($A4165,1),Players!$A$2:$D$132,3)&lt;&gt;0,VLOOKUP($I4153&amp;RIGHT($A4165,1),Players!$A$2:$D$132,3),"")</f>
        <v/>
      </c>
      <c r="H4165" s="254"/>
      <c r="I4165" s="254"/>
      <c r="J4165" s="210" t="str">
        <f>IF(VLOOKUP($I4153&amp;RIGHT($A4165,1),Players!$A$2:$D$132,3)&lt;&gt;0,"("&amp;VLOOKUP($I4153&amp;RIGHT($A4165,1),Players!$A$2:$D$132,4)&amp;")","")</f>
        <v/>
      </c>
    </row>
    <row r="4166" spans="1:10" ht="25.5" customHeight="1">
      <c r="A4166" s="50" t="str">
        <f>CONCATENATE($D4153,"7")</f>
        <v>G7</v>
      </c>
      <c r="B4166" s="255" t="str">
        <f>IF(VLOOKUP($A4166,Players!$A$2:$C$132,3)&lt;&gt;0,VLOOKUP($A4166,Players!$A$2:$C$132,3),"")</f>
        <v/>
      </c>
      <c r="C4166" s="255"/>
      <c r="D4166" s="255"/>
      <c r="E4166" s="255"/>
      <c r="F4166" s="255"/>
      <c r="G4166" s="254" t="str">
        <f>IF(VLOOKUP($I4153&amp;RIGHT($A4166,1),Players!$A$2:$D$132,3)&lt;&gt;0,VLOOKUP($I4153&amp;RIGHT($A4166,1),Players!$A$2:$D$132,3),"")</f>
        <v/>
      </c>
      <c r="H4166" s="254"/>
      <c r="I4166" s="254"/>
      <c r="J4166" s="210" t="str">
        <f>IF(VLOOKUP($I4153&amp;RIGHT($A4166,1),Players!$A$2:$D$132,3)&lt;&gt;0,"("&amp;VLOOKUP($I4153&amp;RIGHT($A4166,1),Players!$A$2:$D$132,4)&amp;")","")</f>
        <v/>
      </c>
    </row>
    <row r="4167" spans="1:10" ht="25.5" customHeight="1">
      <c r="A4167" s="50" t="str">
        <f>CONCATENATE($D4153,"8")</f>
        <v>G8</v>
      </c>
      <c r="B4167" s="255" t="str">
        <f>IF(VLOOKUP($A4167,Players!$A$2:$C$132,3)&lt;&gt;0,VLOOKUP($A4167,Players!$A$2:$C$132,3),"")</f>
        <v/>
      </c>
      <c r="C4167" s="255"/>
      <c r="D4167" s="255"/>
      <c r="E4167" s="255"/>
      <c r="F4167" s="255"/>
      <c r="G4167" s="254" t="str">
        <f>IF(VLOOKUP($I4153&amp;RIGHT($A4167,1),Players!$A$2:$D$132,3)&lt;&gt;0,VLOOKUP($I4153&amp;RIGHT($A4167,1),Players!$A$2:$D$132,3),"")</f>
        <v/>
      </c>
      <c r="H4167" s="254"/>
      <c r="I4167" s="254"/>
      <c r="J4167" s="210" t="str">
        <f>IF(VLOOKUP($I4153&amp;RIGHT($A4167,1),Players!$A$2:$D$132,3)&lt;&gt;0,"("&amp;VLOOKUP($I4153&amp;RIGHT($A4167,1),Players!$A$2:$D$132,4)&amp;")","")</f>
        <v/>
      </c>
    </row>
    <row r="4168" spans="1:10" ht="25.5" customHeight="1">
      <c r="A4168" s="50"/>
      <c r="B4168" s="26"/>
      <c r="C4168" s="26"/>
      <c r="D4168" s="26"/>
      <c r="E4168" s="26"/>
      <c r="F4168" s="27"/>
      <c r="G4168" s="43"/>
      <c r="H4168" s="43"/>
      <c r="I4168" s="43"/>
      <c r="J4168" s="43"/>
    </row>
    <row r="4169" spans="1:10">
      <c r="A4169" s="49" t="s">
        <v>1225</v>
      </c>
      <c r="B4169" s="46"/>
      <c r="C4169" s="46"/>
      <c r="D4169" s="46"/>
      <c r="E4169" s="46"/>
      <c r="F4169" s="46"/>
      <c r="G4169" s="43"/>
      <c r="H4169" s="43"/>
      <c r="I4169" s="43"/>
      <c r="J4169" s="43"/>
    </row>
    <row r="4170" spans="1:10">
      <c r="A4170" s="46" t="s">
        <v>1247</v>
      </c>
      <c r="B4170" s="46"/>
      <c r="C4170" s="46"/>
      <c r="D4170" s="46"/>
      <c r="E4170" s="46"/>
      <c r="F4170" s="46"/>
      <c r="G4170" s="43"/>
      <c r="H4170" s="43"/>
      <c r="I4170" s="43"/>
      <c r="J4170" s="43"/>
    </row>
    <row r="4171" spans="1:10">
      <c r="A4171" s="46" t="s">
        <v>1248</v>
      </c>
      <c r="B4171" s="46"/>
      <c r="C4171" s="46"/>
      <c r="D4171" s="46"/>
      <c r="E4171" s="46"/>
      <c r="F4171" s="46"/>
      <c r="G4171" s="43"/>
      <c r="H4171" s="43"/>
      <c r="I4171" s="43"/>
      <c r="J4171" s="43"/>
    </row>
    <row r="4172" spans="1:10" ht="13.5" thickBot="1">
      <c r="A4172" s="46"/>
      <c r="B4172" s="46"/>
      <c r="C4172" s="46"/>
      <c r="D4172" s="46"/>
      <c r="E4172" s="46"/>
      <c r="F4172" s="46"/>
      <c r="G4172" s="43"/>
      <c r="H4172" s="43"/>
      <c r="I4172" s="43"/>
      <c r="J4172" s="43"/>
    </row>
    <row r="4173" spans="1:10" ht="25.5" customHeight="1" thickBot="1">
      <c r="A4173" s="50"/>
      <c r="B4173" s="257"/>
      <c r="C4173" s="258"/>
      <c r="D4173" s="258"/>
      <c r="E4173" s="258"/>
      <c r="F4173" s="259"/>
      <c r="G4173" s="43"/>
      <c r="H4173" s="43"/>
      <c r="I4173" s="43"/>
      <c r="J4173" s="43"/>
    </row>
    <row r="4174" spans="1:10">
      <c r="A4174" s="43"/>
      <c r="B4174" s="43"/>
      <c r="C4174" s="43"/>
      <c r="D4174" s="43"/>
      <c r="E4174" s="43"/>
      <c r="F4174" s="43"/>
      <c r="G4174" s="43"/>
      <c r="H4174" s="43"/>
      <c r="I4174" s="43"/>
      <c r="J4174" s="43"/>
    </row>
    <row r="4175" spans="1:10">
      <c r="A4175" s="43"/>
      <c r="B4175" s="43"/>
      <c r="C4175" s="43"/>
      <c r="D4175" s="43"/>
      <c r="E4175" s="43"/>
      <c r="F4175" s="43"/>
      <c r="G4175" s="43"/>
      <c r="H4175" s="43"/>
      <c r="I4175" s="43"/>
      <c r="J4175" s="43"/>
    </row>
    <row r="4176" spans="1:10">
      <c r="A4176" s="43"/>
      <c r="B4176" s="43"/>
      <c r="C4176" s="43"/>
      <c r="D4176" s="43"/>
      <c r="E4176" s="43"/>
      <c r="F4176" s="43"/>
      <c r="G4176" s="43"/>
      <c r="H4176" s="43"/>
      <c r="I4176" s="43"/>
      <c r="J4176" s="43"/>
    </row>
    <row r="4177" spans="1:10">
      <c r="A4177" s="43"/>
      <c r="B4177" s="43"/>
      <c r="C4177" s="43"/>
      <c r="D4177" s="43"/>
      <c r="E4177" s="43"/>
      <c r="F4177" s="43"/>
      <c r="G4177" s="43"/>
      <c r="H4177" s="43"/>
      <c r="I4177" s="43"/>
      <c r="J4177" s="43"/>
    </row>
    <row r="4178" spans="1:10">
      <c r="A4178" s="43"/>
      <c r="B4178" s="43"/>
      <c r="C4178" s="43"/>
      <c r="D4178" s="43"/>
      <c r="E4178" s="43"/>
      <c r="F4178" s="43"/>
      <c r="G4178" s="43"/>
      <c r="H4178" s="43"/>
      <c r="I4178" s="43"/>
      <c r="J4178" s="43"/>
    </row>
    <row r="4179" spans="1:10" ht="25.5" customHeight="1">
      <c r="A4179" s="47"/>
      <c r="B4179" s="47"/>
      <c r="C4179" s="47"/>
      <c r="D4179" s="47"/>
      <c r="E4179" s="47"/>
      <c r="F4179" s="43"/>
      <c r="G4179" s="51"/>
      <c r="H4179" s="250" t="s">
        <v>1227</v>
      </c>
      <c r="I4179" s="251"/>
      <c r="J4179" s="43"/>
    </row>
    <row r="4180" spans="1:10">
      <c r="A4180" s="43" t="s">
        <v>1226</v>
      </c>
      <c r="B4180" s="43"/>
      <c r="C4180" s="43"/>
      <c r="D4180" s="43"/>
      <c r="E4180" s="43"/>
      <c r="F4180" s="43"/>
      <c r="G4180" s="43"/>
      <c r="H4180" s="43"/>
      <c r="I4180" s="43"/>
      <c r="J4180" s="43"/>
    </row>
    <row r="4181" spans="1:10">
      <c r="A4181" s="43"/>
      <c r="B4181" s="43"/>
      <c r="C4181" s="43"/>
      <c r="D4181" s="43"/>
      <c r="E4181" s="43"/>
      <c r="F4181" s="43"/>
      <c r="G4181" s="43"/>
      <c r="H4181" s="43"/>
      <c r="I4181" s="43"/>
      <c r="J4181" s="43"/>
    </row>
    <row r="4182" spans="1:10">
      <c r="A4182" s="43"/>
      <c r="B4182" s="43"/>
      <c r="C4182" s="43"/>
      <c r="D4182" s="43"/>
      <c r="E4182" s="256" t="str">
        <f>CONCATENATE("(",$D4153," vs ",$I4153,")")</f>
        <v>(G vs L)</v>
      </c>
      <c r="F4182" s="256"/>
      <c r="G4182" s="43"/>
      <c r="H4182" s="43"/>
      <c r="I4182" s="43"/>
      <c r="J4182" s="43"/>
    </row>
    <row r="4183" spans="1:10" ht="15.75">
      <c r="A4183" s="42" t="s">
        <v>1223</v>
      </c>
      <c r="B4183" s="43"/>
      <c r="C4183" s="43"/>
      <c r="D4183" s="43"/>
      <c r="E4183" s="43"/>
      <c r="F4183" s="43"/>
      <c r="G4183" s="43"/>
      <c r="H4183" s="43"/>
      <c r="I4183" s="43"/>
      <c r="J4183" s="96" t="s">
        <v>4342</v>
      </c>
    </row>
    <row r="4184" spans="1:10" ht="12.75" customHeight="1">
      <c r="A4184" s="42"/>
      <c r="B4184" s="43"/>
      <c r="C4184" s="43"/>
      <c r="D4184" s="43"/>
      <c r="E4184" s="43"/>
      <c r="F4184" s="43"/>
      <c r="G4184" s="43" t="str">
        <f ca="1">Team_Matches!$J$6</f>
        <v>[NCTTA Teams Template (v2.06).xlsx]</v>
      </c>
      <c r="H4184" s="43"/>
      <c r="I4184" s="43"/>
      <c r="J4184" s="160"/>
    </row>
    <row r="4185" spans="1:10" ht="12.75" customHeight="1">
      <c r="A4185" s="42"/>
      <c r="B4185" s="43"/>
      <c r="C4185" s="43"/>
      <c r="D4185" s="43"/>
      <c r="E4185" s="43"/>
      <c r="F4185" s="43"/>
      <c r="G4185" s="247" t="str">
        <f>Team_Matches!$J3118</f>
        <v/>
      </c>
      <c r="H4185" s="247"/>
      <c r="I4185" s="161" t="str">
        <f>Team_Matches!$M3118</f>
        <v/>
      </c>
      <c r="J4185" s="161"/>
    </row>
    <row r="4186" spans="1:10" ht="15.75">
      <c r="A4186" s="42"/>
      <c r="B4186" s="43"/>
      <c r="C4186" s="43"/>
      <c r="D4186" s="43"/>
      <c r="E4186" s="43"/>
      <c r="F4186" s="43"/>
      <c r="G4186" s="43"/>
      <c r="H4186" s="43"/>
      <c r="I4186" s="43"/>
      <c r="J4186" s="43"/>
    </row>
    <row r="4187" spans="1:10">
      <c r="A4187" s="43"/>
      <c r="B4187" s="43"/>
      <c r="C4187" s="9" t="s">
        <v>1228</v>
      </c>
      <c r="D4187" s="52" t="str">
        <f>Team_Matches!$B3120</f>
        <v>G</v>
      </c>
      <c r="E4187" s="43"/>
      <c r="F4187" s="97" t="str">
        <f>CONCATENATE($D4187,"-",$I4187)</f>
        <v>G-L</v>
      </c>
      <c r="G4187" s="43"/>
      <c r="H4187" s="9" t="s">
        <v>1228</v>
      </c>
      <c r="I4187" s="52" t="str">
        <f>Team_Matches!$K3120</f>
        <v>L</v>
      </c>
      <c r="J4187" s="43"/>
    </row>
    <row r="4188" spans="1:10" ht="25.5" customHeight="1">
      <c r="A4188" s="44"/>
      <c r="B4188" s="252" t="str">
        <f>IF(VLOOKUP($D4187,Draw!$A$4:$B$27,2)&lt;&gt;0,VLOOKUP($D4187,Draw!$A$4:$B$27,2),"")</f>
        <v/>
      </c>
      <c r="C4188" s="252"/>
      <c r="D4188" s="252"/>
      <c r="E4188" s="253"/>
      <c r="F4188" s="45"/>
      <c r="G4188" s="248" t="str">
        <f>IF(VLOOKUP($I4187,Draw!$A$4:$B$27,2)&lt;&gt;0,VLOOKUP($I4187,Draw!$A$4:$B$27,2),"")</f>
        <v/>
      </c>
      <c r="H4188" s="248"/>
      <c r="I4188" s="248"/>
      <c r="J4188" s="249"/>
    </row>
    <row r="4189" spans="1:10" ht="25.5" customHeight="1"/>
    <row r="4190" spans="1:10" ht="25.5" customHeight="1"/>
    <row r="4191" spans="1:10" ht="24" customHeight="1">
      <c r="A4191" s="48" t="s">
        <v>1246</v>
      </c>
      <c r="B4191" s="43"/>
      <c r="C4191" s="43"/>
      <c r="D4191" s="43"/>
      <c r="E4191" s="43"/>
      <c r="F4191" s="43"/>
      <c r="G4191" s="43"/>
      <c r="H4191" s="43"/>
      <c r="I4191" s="43"/>
      <c r="J4191" s="43"/>
    </row>
    <row r="4192" spans="1:10" ht="24" customHeight="1">
      <c r="A4192" s="48"/>
      <c r="B4192" s="43"/>
      <c r="C4192" s="43"/>
      <c r="D4192" s="43"/>
      <c r="E4192" s="43"/>
      <c r="F4192" s="43"/>
      <c r="G4192" s="43"/>
      <c r="H4192" s="43"/>
      <c r="I4192" s="43"/>
      <c r="J4192" s="43"/>
    </row>
    <row r="4193" spans="1:10">
      <c r="A4193" s="49" t="s">
        <v>1224</v>
      </c>
      <c r="B4193" s="46"/>
      <c r="C4193" s="46"/>
      <c r="D4193" s="46"/>
      <c r="E4193" s="46"/>
      <c r="F4193" s="46"/>
      <c r="G4193" s="260" t="s">
        <v>10336</v>
      </c>
      <c r="H4193" s="260"/>
      <c r="I4193" s="260"/>
      <c r="J4193" s="260"/>
    </row>
    <row r="4194" spans="1:10" ht="24" customHeight="1">
      <c r="A4194" s="50" t="str">
        <f>CONCATENATE($I4187,"1")</f>
        <v>L1</v>
      </c>
      <c r="B4194" s="255" t="str">
        <f>IF(VLOOKUP($A4194,Players!$A$2:$C$132,3)&lt;&gt;0,VLOOKUP($A4194,Players!$A$2:$C$132,3),"")</f>
        <v/>
      </c>
      <c r="C4194" s="255"/>
      <c r="D4194" s="255"/>
      <c r="E4194" s="255"/>
      <c r="F4194" s="255"/>
      <c r="G4194" s="254" t="str">
        <f>IF(VLOOKUP($D4187&amp;RIGHT($A4194,1),Players!$A$2:$D$132,3)&lt;&gt;0,VLOOKUP($D4187&amp;RIGHT($A4194,1),Players!$A$2:$D$132,3),"")</f>
        <v/>
      </c>
      <c r="H4194" s="254"/>
      <c r="I4194" s="254"/>
      <c r="J4194" s="210" t="str">
        <f>IF(VLOOKUP($D4187&amp;RIGHT($A4194,1),Players!$A$2:$D$132,3)&lt;&gt;0,"("&amp;VLOOKUP($D4187&amp;RIGHT($A4194,1),Players!$A$2:$D$132,4)&amp;")","")</f>
        <v/>
      </c>
    </row>
    <row r="4195" spans="1:10" ht="25.5" customHeight="1">
      <c r="A4195" s="50" t="str">
        <f>CONCATENATE($I4187,"2")</f>
        <v>L2</v>
      </c>
      <c r="B4195" s="255" t="str">
        <f>IF(VLOOKUP($A4195,Players!$A$2:$C$132,3)&lt;&gt;0,VLOOKUP($A4195,Players!$A$2:$C$132,3),"")</f>
        <v/>
      </c>
      <c r="C4195" s="255"/>
      <c r="D4195" s="255"/>
      <c r="E4195" s="255"/>
      <c r="F4195" s="255"/>
      <c r="G4195" s="254" t="str">
        <f>IF(VLOOKUP($D4187&amp;RIGHT($A4195,1),Players!$A$2:$D$132,3)&lt;&gt;0,VLOOKUP($D4187&amp;RIGHT($A4195,1),Players!$A$2:$D$132,3),"")</f>
        <v/>
      </c>
      <c r="H4195" s="254"/>
      <c r="I4195" s="254"/>
      <c r="J4195" s="210" t="str">
        <f>IF(VLOOKUP($D4187&amp;RIGHT($A4195,1),Players!$A$2:$D$132,3)&lt;&gt;0,"("&amp;VLOOKUP($D4187&amp;RIGHT($A4195,1),Players!$A$2:$D$132,4)&amp;")","")</f>
        <v/>
      </c>
    </row>
    <row r="4196" spans="1:10" ht="25.5" customHeight="1">
      <c r="A4196" s="50" t="str">
        <f>CONCATENATE($I4187,"3")</f>
        <v>L3</v>
      </c>
      <c r="B4196" s="255" t="str">
        <f>IF(VLOOKUP($A4196,Players!$A$2:$C$132,3)&lt;&gt;0,VLOOKUP($A4196,Players!$A$2:$C$132,3),"")</f>
        <v/>
      </c>
      <c r="C4196" s="255"/>
      <c r="D4196" s="255"/>
      <c r="E4196" s="255"/>
      <c r="F4196" s="255"/>
      <c r="G4196" s="254" t="str">
        <f>IF(VLOOKUP($D4187&amp;RIGHT($A4196,1),Players!$A$2:$D$132,3)&lt;&gt;0,VLOOKUP($D4187&amp;RIGHT($A4196,1),Players!$A$2:$D$132,3),"")</f>
        <v/>
      </c>
      <c r="H4196" s="254"/>
      <c r="I4196" s="254"/>
      <c r="J4196" s="210" t="str">
        <f>IF(VLOOKUP($D4187&amp;RIGHT($A4196,1),Players!$A$2:$D$132,3)&lt;&gt;0,"("&amp;VLOOKUP($D4187&amp;RIGHT($A4196,1),Players!$A$2:$D$132,4)&amp;")","")</f>
        <v/>
      </c>
    </row>
    <row r="4197" spans="1:10" ht="25.5" customHeight="1">
      <c r="A4197" s="50" t="str">
        <f>CONCATENATE($I4187,"4")</f>
        <v>L4</v>
      </c>
      <c r="B4197" s="255" t="str">
        <f>IF(VLOOKUP($A4197,Players!$A$2:$C$132,3)&lt;&gt;0,VLOOKUP($A4197,Players!$A$2:$C$132,3),"")</f>
        <v/>
      </c>
      <c r="C4197" s="255"/>
      <c r="D4197" s="255"/>
      <c r="E4197" s="255"/>
      <c r="F4197" s="255"/>
      <c r="G4197" s="254" t="str">
        <f>IF(VLOOKUP($D4187&amp;RIGHT($A4197,1),Players!$A$2:$D$132,3)&lt;&gt;0,VLOOKUP($D4187&amp;RIGHT($A4197,1),Players!$A$2:$D$132,3),"")</f>
        <v/>
      </c>
      <c r="H4197" s="254"/>
      <c r="I4197" s="254"/>
      <c r="J4197" s="210" t="str">
        <f>IF(VLOOKUP($D4187&amp;RIGHT($A4197,1),Players!$A$2:$D$132,3)&lt;&gt;0,"("&amp;VLOOKUP($D4187&amp;RIGHT($A4197,1),Players!$A$2:$D$132,4)&amp;")","")</f>
        <v/>
      </c>
    </row>
    <row r="4198" spans="1:10" ht="25.5" customHeight="1">
      <c r="A4198" s="50" t="str">
        <f>CONCATENATE($I4187,"5")</f>
        <v>L5</v>
      </c>
      <c r="B4198" s="255" t="str">
        <f>IF(VLOOKUP($A4198,Players!$A$2:$C$132,3)&lt;&gt;0,VLOOKUP($A4198,Players!$A$2:$C$132,3),"")</f>
        <v/>
      </c>
      <c r="C4198" s="255"/>
      <c r="D4198" s="255"/>
      <c r="E4198" s="255"/>
      <c r="F4198" s="255"/>
      <c r="G4198" s="254" t="str">
        <f>IF(VLOOKUP($D4187&amp;RIGHT($A4198,1),Players!$A$2:$D$132,3)&lt;&gt;0,VLOOKUP($D4187&amp;RIGHT($A4198,1),Players!$A$2:$D$132,3),"")</f>
        <v/>
      </c>
      <c r="H4198" s="254"/>
      <c r="I4198" s="254"/>
      <c r="J4198" s="210" t="str">
        <f>IF(VLOOKUP($D4187&amp;RIGHT($A4198,1),Players!$A$2:$D$132,3)&lt;&gt;0,"("&amp;VLOOKUP($D4187&amp;RIGHT($A4198,1),Players!$A$2:$D$132,4)&amp;")","")</f>
        <v/>
      </c>
    </row>
    <row r="4199" spans="1:10" ht="25.5" customHeight="1">
      <c r="A4199" s="50" t="str">
        <f>CONCATENATE($I4187,"6")</f>
        <v>L6</v>
      </c>
      <c r="B4199" s="255" t="str">
        <f>IF(VLOOKUP($A4199,Players!$A$2:$C$132,3)&lt;&gt;0,VLOOKUP($A4199,Players!$A$2:$C$132,3),"")</f>
        <v/>
      </c>
      <c r="C4199" s="255"/>
      <c r="D4199" s="255"/>
      <c r="E4199" s="255"/>
      <c r="F4199" s="255"/>
      <c r="G4199" s="254" t="str">
        <f>IF(VLOOKUP($D4187&amp;RIGHT($A4199,1),Players!$A$2:$D$132,3)&lt;&gt;0,VLOOKUP($D4187&amp;RIGHT($A4199,1),Players!$A$2:$D$132,3),"")</f>
        <v/>
      </c>
      <c r="H4199" s="254"/>
      <c r="I4199" s="254"/>
      <c r="J4199" s="210" t="str">
        <f>IF(VLOOKUP($D4187&amp;RIGHT($A4199,1),Players!$A$2:$D$132,3)&lt;&gt;0,"("&amp;VLOOKUP($D4187&amp;RIGHT($A4199,1),Players!$A$2:$D$132,4)&amp;")","")</f>
        <v/>
      </c>
    </row>
    <row r="4200" spans="1:10" ht="25.5" customHeight="1">
      <c r="A4200" s="50" t="str">
        <f>CONCATENATE($I4187,"7")</f>
        <v>L7</v>
      </c>
      <c r="B4200" s="255" t="str">
        <f>IF(VLOOKUP($A4200,Players!$A$2:$C$132,3)&lt;&gt;0,VLOOKUP($A4200,Players!$A$2:$C$132,3),"")</f>
        <v/>
      </c>
      <c r="C4200" s="255"/>
      <c r="D4200" s="255"/>
      <c r="E4200" s="255"/>
      <c r="F4200" s="255"/>
      <c r="G4200" s="254" t="str">
        <f>IF(VLOOKUP($D4187&amp;RIGHT($A4200,1),Players!$A$2:$D$132,3)&lt;&gt;0,VLOOKUP($D4187&amp;RIGHT($A4200,1),Players!$A$2:$D$132,3),"")</f>
        <v/>
      </c>
      <c r="H4200" s="254"/>
      <c r="I4200" s="254"/>
      <c r="J4200" s="210" t="str">
        <f>IF(VLOOKUP($D4187&amp;RIGHT($A4200,1),Players!$A$2:$D$132,3)&lt;&gt;0,"("&amp;VLOOKUP($D4187&amp;RIGHT($A4200,1),Players!$A$2:$D$132,4)&amp;")","")</f>
        <v/>
      </c>
    </row>
    <row r="4201" spans="1:10" ht="25.5" customHeight="1">
      <c r="A4201" s="50" t="str">
        <f>CONCATENATE($I4187,"8")</f>
        <v>L8</v>
      </c>
      <c r="B4201" s="255" t="str">
        <f>IF(VLOOKUP($A4201,Players!$A$2:$C$132,3)&lt;&gt;0,VLOOKUP($A4201,Players!$A$2:$C$132,3),"")</f>
        <v/>
      </c>
      <c r="C4201" s="255"/>
      <c r="D4201" s="255"/>
      <c r="E4201" s="255"/>
      <c r="F4201" s="255"/>
      <c r="G4201" s="254" t="str">
        <f>IF(VLOOKUP($D4187&amp;RIGHT($A4201,1),Players!$A$2:$D$132,3)&lt;&gt;0,VLOOKUP($D4187&amp;RIGHT($A4201,1),Players!$A$2:$D$132,3),"")</f>
        <v/>
      </c>
      <c r="H4201" s="254"/>
      <c r="I4201" s="254"/>
      <c r="J4201" s="210" t="str">
        <f>IF(VLOOKUP($D4187&amp;RIGHT($A4201,1),Players!$A$2:$D$132,3)&lt;&gt;0,"("&amp;VLOOKUP($D4187&amp;RIGHT($A4201,1),Players!$A$2:$D$132,4)&amp;")","")</f>
        <v/>
      </c>
    </row>
    <row r="4202" spans="1:10" ht="25.5" customHeight="1">
      <c r="A4202" s="50"/>
      <c r="B4202" s="26"/>
      <c r="C4202" s="26"/>
      <c r="D4202" s="26"/>
      <c r="E4202" s="26"/>
      <c r="F4202" s="27"/>
      <c r="G4202" s="43"/>
      <c r="H4202" s="43"/>
      <c r="I4202" s="43"/>
      <c r="J4202" s="43"/>
    </row>
    <row r="4203" spans="1:10">
      <c r="A4203" s="49" t="s">
        <v>1225</v>
      </c>
      <c r="B4203" s="46"/>
      <c r="C4203" s="46"/>
      <c r="D4203" s="46"/>
      <c r="E4203" s="46"/>
      <c r="F4203" s="46"/>
      <c r="G4203" s="43"/>
      <c r="H4203" s="43"/>
      <c r="I4203" s="43"/>
      <c r="J4203" s="43"/>
    </row>
    <row r="4204" spans="1:10">
      <c r="A4204" s="46" t="s">
        <v>1247</v>
      </c>
      <c r="B4204" s="46"/>
      <c r="C4204" s="46"/>
      <c r="D4204" s="46"/>
      <c r="E4204" s="46"/>
      <c r="F4204" s="46"/>
      <c r="G4204" s="43"/>
      <c r="H4204" s="43"/>
      <c r="I4204" s="43"/>
      <c r="J4204" s="43"/>
    </row>
    <row r="4205" spans="1:10">
      <c r="A4205" s="46" t="s">
        <v>1248</v>
      </c>
      <c r="B4205" s="46"/>
      <c r="C4205" s="46"/>
      <c r="D4205" s="46"/>
      <c r="E4205" s="46"/>
      <c r="F4205" s="46"/>
      <c r="G4205" s="43"/>
      <c r="H4205" s="43"/>
      <c r="I4205" s="43"/>
      <c r="J4205" s="43"/>
    </row>
    <row r="4206" spans="1:10" ht="13.5" thickBot="1">
      <c r="A4206" s="46"/>
      <c r="B4206" s="46"/>
      <c r="C4206" s="46"/>
      <c r="D4206" s="46"/>
      <c r="E4206" s="46"/>
      <c r="F4206" s="46"/>
      <c r="G4206" s="43"/>
      <c r="H4206" s="43"/>
      <c r="I4206" s="43"/>
      <c r="J4206" s="43"/>
    </row>
    <row r="4207" spans="1:10" ht="25.5" customHeight="1" thickBot="1">
      <c r="A4207" s="50"/>
      <c r="B4207" s="257"/>
      <c r="C4207" s="258"/>
      <c r="D4207" s="258"/>
      <c r="E4207" s="258"/>
      <c r="F4207" s="259"/>
      <c r="G4207" s="43"/>
      <c r="H4207" s="43"/>
      <c r="I4207" s="43"/>
      <c r="J4207" s="43"/>
    </row>
    <row r="4208" spans="1:10">
      <c r="A4208" s="43"/>
      <c r="B4208" s="43"/>
      <c r="C4208" s="43"/>
      <c r="D4208" s="43"/>
      <c r="E4208" s="43"/>
      <c r="F4208" s="43"/>
      <c r="G4208" s="43"/>
      <c r="H4208" s="43"/>
      <c r="I4208" s="43"/>
      <c r="J4208" s="43"/>
    </row>
    <row r="4209" spans="1:10">
      <c r="A4209" s="43"/>
      <c r="B4209" s="43"/>
      <c r="C4209" s="43"/>
      <c r="D4209" s="43"/>
      <c r="E4209" s="43"/>
      <c r="F4209" s="43"/>
      <c r="G4209" s="43"/>
      <c r="H4209" s="43"/>
      <c r="I4209" s="43"/>
      <c r="J4209" s="43"/>
    </row>
    <row r="4210" spans="1:10">
      <c r="A4210" s="43"/>
      <c r="B4210" s="43"/>
      <c r="C4210" s="43"/>
      <c r="D4210" s="43"/>
      <c r="E4210" s="43"/>
      <c r="F4210" s="43"/>
      <c r="G4210" s="43"/>
      <c r="H4210" s="43"/>
      <c r="I4210" s="43"/>
      <c r="J4210" s="43"/>
    </row>
    <row r="4211" spans="1:10">
      <c r="A4211" s="43"/>
      <c r="B4211" s="43"/>
      <c r="C4211" s="43"/>
      <c r="D4211" s="43"/>
      <c r="E4211" s="43"/>
      <c r="F4211" s="43"/>
      <c r="G4211" s="43"/>
      <c r="H4211" s="43"/>
      <c r="I4211" s="43"/>
      <c r="J4211" s="43"/>
    </row>
    <row r="4212" spans="1:10">
      <c r="A4212" s="43"/>
      <c r="B4212" s="43"/>
      <c r="C4212" s="43"/>
      <c r="D4212" s="43"/>
      <c r="E4212" s="43"/>
      <c r="F4212" s="43"/>
      <c r="G4212" s="43"/>
      <c r="H4212" s="43"/>
      <c r="I4212" s="43"/>
      <c r="J4212" s="43"/>
    </row>
    <row r="4213" spans="1:10" ht="25.5" customHeight="1">
      <c r="A4213" s="47"/>
      <c r="B4213" s="47"/>
      <c r="C4213" s="47"/>
      <c r="D4213" s="47"/>
      <c r="E4213" s="47"/>
      <c r="F4213" s="43"/>
      <c r="G4213" s="51"/>
      <c r="H4213" s="250" t="s">
        <v>1227</v>
      </c>
      <c r="I4213" s="251"/>
      <c r="J4213" s="43"/>
    </row>
    <row r="4214" spans="1:10">
      <c r="A4214" s="43" t="s">
        <v>1226</v>
      </c>
      <c r="B4214" s="43"/>
      <c r="C4214" s="43"/>
      <c r="D4214" s="43"/>
      <c r="E4214" s="43"/>
      <c r="F4214" s="43"/>
      <c r="G4214" s="43"/>
      <c r="H4214" s="43"/>
      <c r="I4214" s="43"/>
      <c r="J4214" s="43"/>
    </row>
    <row r="4215" spans="1:10">
      <c r="A4215" s="43"/>
      <c r="B4215" s="43"/>
      <c r="C4215" s="43"/>
      <c r="D4215" s="43"/>
      <c r="E4215" s="43"/>
      <c r="F4215" s="43"/>
      <c r="G4215" s="43"/>
      <c r="H4215" s="43"/>
      <c r="I4215" s="43"/>
      <c r="J4215" s="43"/>
    </row>
    <row r="4216" spans="1:10">
      <c r="A4216" s="43"/>
      <c r="B4216" s="43"/>
      <c r="C4216" s="43"/>
      <c r="D4216" s="43"/>
      <c r="E4216" s="256" t="str">
        <f>CONCATENATE("(",$D4187," vs ",$I4187,")")</f>
        <v>(G vs L)</v>
      </c>
      <c r="F4216" s="256"/>
      <c r="G4216" s="43"/>
      <c r="H4216" s="43"/>
      <c r="I4216" s="43"/>
      <c r="J4216" s="43"/>
    </row>
    <row r="4217" spans="1:10" ht="15.75">
      <c r="A4217" s="42" t="s">
        <v>1223</v>
      </c>
      <c r="B4217" s="43"/>
      <c r="C4217" s="43"/>
      <c r="D4217" s="43"/>
      <c r="E4217" s="43"/>
      <c r="F4217" s="43"/>
      <c r="G4217" s="43"/>
      <c r="H4217" s="43"/>
      <c r="I4217" s="43"/>
      <c r="J4217" s="96" t="s">
        <v>4343</v>
      </c>
    </row>
    <row r="4218" spans="1:10" ht="12.75" customHeight="1">
      <c r="A4218" s="42"/>
      <c r="B4218" s="43"/>
      <c r="C4218" s="43"/>
      <c r="D4218" s="43"/>
      <c r="E4218" s="43"/>
      <c r="F4218" s="43"/>
      <c r="G4218" s="43" t="str">
        <f ca="1">Team_Matches!$J$6</f>
        <v>[NCTTA Teams Template (v2.06).xlsx]</v>
      </c>
      <c r="H4218" s="43"/>
      <c r="I4218" s="43"/>
      <c r="J4218" s="160"/>
    </row>
    <row r="4219" spans="1:10" ht="12.75" customHeight="1">
      <c r="A4219" s="42"/>
      <c r="B4219" s="43"/>
      <c r="C4219" s="43"/>
      <c r="D4219" s="43"/>
      <c r="E4219" s="43"/>
      <c r="F4219" s="43"/>
      <c r="G4219" s="247" t="str">
        <f>Team_Matches!$J3169</f>
        <v/>
      </c>
      <c r="H4219" s="247"/>
      <c r="I4219" s="161" t="str">
        <f>Team_Matches!$M3169</f>
        <v/>
      </c>
      <c r="J4219" s="161"/>
    </row>
    <row r="4220" spans="1:10" ht="15.75">
      <c r="A4220" s="42"/>
      <c r="B4220" s="43"/>
      <c r="C4220" s="43"/>
      <c r="D4220" s="43"/>
      <c r="E4220" s="43"/>
      <c r="F4220" s="43"/>
      <c r="G4220" s="43"/>
      <c r="H4220" s="43"/>
      <c r="I4220" s="43"/>
      <c r="J4220" s="43"/>
    </row>
    <row r="4221" spans="1:10">
      <c r="A4221" s="43"/>
      <c r="B4221" s="43"/>
      <c r="C4221" s="9" t="s">
        <v>1228</v>
      </c>
      <c r="D4221" s="52" t="str">
        <f>Team_Matches!$B3171</f>
        <v>H</v>
      </c>
      <c r="E4221" s="43"/>
      <c r="F4221" s="97" t="str">
        <f>CONCATENATE($D4221,"-",$I4221)</f>
        <v>H-I</v>
      </c>
      <c r="G4221" s="43"/>
      <c r="H4221" s="9" t="s">
        <v>1228</v>
      </c>
      <c r="I4221" s="3" t="str">
        <f>Team_Matches!$K3171</f>
        <v>I</v>
      </c>
      <c r="J4221" s="43"/>
    </row>
    <row r="4222" spans="1:10" ht="25.5" customHeight="1">
      <c r="A4222" s="44"/>
      <c r="B4222" s="248" t="str">
        <f>IF(VLOOKUP($D4221,Draw!$A$4:$B$27,2)&lt;&gt;0,VLOOKUP($D4221,Draw!$A$4:$B$27,2),"")</f>
        <v/>
      </c>
      <c r="C4222" s="248"/>
      <c r="D4222" s="248"/>
      <c r="E4222" s="249"/>
      <c r="F4222" s="45"/>
      <c r="G4222" s="252" t="str">
        <f>IF(VLOOKUP($I4221,Draw!$A$4:$B$27,2)&lt;&gt;0,VLOOKUP($I4221,Draw!$A$4:$B$27,2),"")</f>
        <v/>
      </c>
      <c r="H4222" s="252"/>
      <c r="I4222" s="252"/>
      <c r="J4222" s="253"/>
    </row>
    <row r="4223" spans="1:10" ht="25.5" customHeight="1"/>
    <row r="4224" spans="1:10" ht="25.5" customHeight="1"/>
    <row r="4225" spans="1:10" ht="24" customHeight="1">
      <c r="A4225" s="48" t="s">
        <v>1246</v>
      </c>
      <c r="B4225" s="43"/>
      <c r="C4225" s="43"/>
      <c r="D4225" s="43"/>
      <c r="E4225" s="43"/>
      <c r="F4225" s="43"/>
      <c r="G4225" s="43"/>
      <c r="H4225" s="43"/>
      <c r="I4225" s="43"/>
      <c r="J4225" s="43"/>
    </row>
    <row r="4226" spans="1:10" ht="24" customHeight="1">
      <c r="A4226" s="48"/>
      <c r="B4226" s="43"/>
      <c r="C4226" s="43"/>
      <c r="D4226" s="43"/>
      <c r="E4226" s="43"/>
      <c r="F4226" s="43"/>
      <c r="G4226" s="43"/>
      <c r="H4226" s="43"/>
      <c r="I4226" s="43"/>
      <c r="J4226" s="43"/>
    </row>
    <row r="4227" spans="1:10">
      <c r="A4227" s="49" t="s">
        <v>1224</v>
      </c>
      <c r="B4227" s="46"/>
      <c r="C4227" s="46"/>
      <c r="D4227" s="46"/>
      <c r="E4227" s="46"/>
      <c r="F4227" s="46"/>
      <c r="G4227" s="260" t="s">
        <v>10336</v>
      </c>
      <c r="H4227" s="260"/>
      <c r="I4227" s="260"/>
      <c r="J4227" s="260"/>
    </row>
    <row r="4228" spans="1:10" ht="24" customHeight="1">
      <c r="A4228" s="50" t="str">
        <f>CONCATENATE($D4221,"1")</f>
        <v>H1</v>
      </c>
      <c r="B4228" s="255" t="str">
        <f>IF(VLOOKUP($A4228,Players!$A$2:$C$132,3)&lt;&gt;0,VLOOKUP($A4228,Players!$A$2:$C$132,3),"")</f>
        <v/>
      </c>
      <c r="C4228" s="255"/>
      <c r="D4228" s="255"/>
      <c r="E4228" s="255"/>
      <c r="F4228" s="255"/>
      <c r="G4228" s="254" t="str">
        <f>IF(VLOOKUP($I4221&amp;RIGHT($A4228,1),Players!$A$2:$D$132,3)&lt;&gt;0,VLOOKUP($I4221&amp;RIGHT($A4228,1),Players!$A$2:$D$132,3),"")</f>
        <v/>
      </c>
      <c r="H4228" s="254"/>
      <c r="I4228" s="254"/>
      <c r="J4228" s="210" t="str">
        <f>IF(VLOOKUP($I4221&amp;RIGHT($A4228,1),Players!$A$2:$D$132,3)&lt;&gt;0,"("&amp;VLOOKUP($I4221&amp;RIGHT($A4228,1),Players!$A$2:$D$132,4)&amp;")","")</f>
        <v/>
      </c>
    </row>
    <row r="4229" spans="1:10" ht="25.5" customHeight="1">
      <c r="A4229" s="50" t="str">
        <f>CONCATENATE($D4221,"2")</f>
        <v>H2</v>
      </c>
      <c r="B4229" s="255" t="str">
        <f>IF(VLOOKUP($A4229,Players!$A$2:$C$132,3)&lt;&gt;0,VLOOKUP($A4229,Players!$A$2:$C$132,3),"")</f>
        <v/>
      </c>
      <c r="C4229" s="255"/>
      <c r="D4229" s="255"/>
      <c r="E4229" s="255"/>
      <c r="F4229" s="255"/>
      <c r="G4229" s="254" t="str">
        <f>IF(VLOOKUP($I4221&amp;RIGHT($A4229,1),Players!$A$2:$D$132,3)&lt;&gt;0,VLOOKUP($I4221&amp;RIGHT($A4229,1),Players!$A$2:$D$132,3),"")</f>
        <v/>
      </c>
      <c r="H4229" s="254"/>
      <c r="I4229" s="254"/>
      <c r="J4229" s="210" t="str">
        <f>IF(VLOOKUP($I4221&amp;RIGHT($A4229,1),Players!$A$2:$D$132,3)&lt;&gt;0,"("&amp;VLOOKUP($I4221&amp;RIGHT($A4229,1),Players!$A$2:$D$132,4)&amp;")","")</f>
        <v/>
      </c>
    </row>
    <row r="4230" spans="1:10" ht="25.5" customHeight="1">
      <c r="A4230" s="50" t="str">
        <f>CONCATENATE($D4221,"3")</f>
        <v>H3</v>
      </c>
      <c r="B4230" s="255" t="str">
        <f>IF(VLOOKUP($A4230,Players!$A$2:$C$132,3)&lt;&gt;0,VLOOKUP($A4230,Players!$A$2:$C$132,3),"")</f>
        <v/>
      </c>
      <c r="C4230" s="255"/>
      <c r="D4230" s="255"/>
      <c r="E4230" s="255"/>
      <c r="F4230" s="255"/>
      <c r="G4230" s="254" t="str">
        <f>IF(VLOOKUP($I4221&amp;RIGHT($A4230,1),Players!$A$2:$D$132,3)&lt;&gt;0,VLOOKUP($I4221&amp;RIGHT($A4230,1),Players!$A$2:$D$132,3),"")</f>
        <v/>
      </c>
      <c r="H4230" s="254"/>
      <c r="I4230" s="254"/>
      <c r="J4230" s="210" t="str">
        <f>IF(VLOOKUP($I4221&amp;RIGHT($A4230,1),Players!$A$2:$D$132,3)&lt;&gt;0,"("&amp;VLOOKUP($I4221&amp;RIGHT($A4230,1),Players!$A$2:$D$132,4)&amp;")","")</f>
        <v/>
      </c>
    </row>
    <row r="4231" spans="1:10" ht="25.5" customHeight="1">
      <c r="A4231" s="50" t="str">
        <f>CONCATENATE($D4221,"4")</f>
        <v>H4</v>
      </c>
      <c r="B4231" s="255" t="str">
        <f>IF(VLOOKUP($A4231,Players!$A$2:$C$132,3)&lt;&gt;0,VLOOKUP($A4231,Players!$A$2:$C$132,3),"")</f>
        <v/>
      </c>
      <c r="C4231" s="255"/>
      <c r="D4231" s="255"/>
      <c r="E4231" s="255"/>
      <c r="F4231" s="255"/>
      <c r="G4231" s="254" t="str">
        <f>IF(VLOOKUP($I4221&amp;RIGHT($A4231,1),Players!$A$2:$D$132,3)&lt;&gt;0,VLOOKUP($I4221&amp;RIGHT($A4231,1),Players!$A$2:$D$132,3),"")</f>
        <v/>
      </c>
      <c r="H4231" s="254"/>
      <c r="I4231" s="254"/>
      <c r="J4231" s="210" t="str">
        <f>IF(VLOOKUP($I4221&amp;RIGHT($A4231,1),Players!$A$2:$D$132,3)&lt;&gt;0,"("&amp;VLOOKUP($I4221&amp;RIGHT($A4231,1),Players!$A$2:$D$132,4)&amp;")","")</f>
        <v/>
      </c>
    </row>
    <row r="4232" spans="1:10" ht="25.5" customHeight="1">
      <c r="A4232" s="50" t="str">
        <f>CONCATENATE($D4221,"5")</f>
        <v>H5</v>
      </c>
      <c r="B4232" s="255" t="str">
        <f>IF(VLOOKUP($A4232,Players!$A$2:$C$132,3)&lt;&gt;0,VLOOKUP($A4232,Players!$A$2:$C$132,3),"")</f>
        <v/>
      </c>
      <c r="C4232" s="255"/>
      <c r="D4232" s="255"/>
      <c r="E4232" s="255"/>
      <c r="F4232" s="255"/>
      <c r="G4232" s="254" t="str">
        <f>IF(VLOOKUP($I4221&amp;RIGHT($A4232,1),Players!$A$2:$D$132,3)&lt;&gt;0,VLOOKUP($I4221&amp;RIGHT($A4232,1),Players!$A$2:$D$132,3),"")</f>
        <v/>
      </c>
      <c r="H4232" s="254"/>
      <c r="I4232" s="254"/>
      <c r="J4232" s="210" t="str">
        <f>IF(VLOOKUP($I4221&amp;RIGHT($A4232,1),Players!$A$2:$D$132,3)&lt;&gt;0,"("&amp;VLOOKUP($I4221&amp;RIGHT($A4232,1),Players!$A$2:$D$132,4)&amp;")","")</f>
        <v/>
      </c>
    </row>
    <row r="4233" spans="1:10" ht="25.5" customHeight="1">
      <c r="A4233" s="50" t="str">
        <f>CONCATENATE($D4221,"6")</f>
        <v>H6</v>
      </c>
      <c r="B4233" s="255" t="str">
        <f>IF(VLOOKUP($A4233,Players!$A$2:$C$132,3)&lt;&gt;0,VLOOKUP($A4233,Players!$A$2:$C$132,3),"")</f>
        <v/>
      </c>
      <c r="C4233" s="255"/>
      <c r="D4233" s="255"/>
      <c r="E4233" s="255"/>
      <c r="F4233" s="255"/>
      <c r="G4233" s="254" t="str">
        <f>IF(VLOOKUP($I4221&amp;RIGHT($A4233,1),Players!$A$2:$D$132,3)&lt;&gt;0,VLOOKUP($I4221&amp;RIGHT($A4233,1),Players!$A$2:$D$132,3),"")</f>
        <v/>
      </c>
      <c r="H4233" s="254"/>
      <c r="I4233" s="254"/>
      <c r="J4233" s="210" t="str">
        <f>IF(VLOOKUP($I4221&amp;RIGHT($A4233,1),Players!$A$2:$D$132,3)&lt;&gt;0,"("&amp;VLOOKUP($I4221&amp;RIGHT($A4233,1),Players!$A$2:$D$132,4)&amp;")","")</f>
        <v/>
      </c>
    </row>
    <row r="4234" spans="1:10" ht="25.5" customHeight="1">
      <c r="A4234" s="50" t="str">
        <f>CONCATENATE($D4221,"7")</f>
        <v>H7</v>
      </c>
      <c r="B4234" s="255" t="str">
        <f>IF(VLOOKUP($A4234,Players!$A$2:$C$132,3)&lt;&gt;0,VLOOKUP($A4234,Players!$A$2:$C$132,3),"")</f>
        <v/>
      </c>
      <c r="C4234" s="255"/>
      <c r="D4234" s="255"/>
      <c r="E4234" s="255"/>
      <c r="F4234" s="255"/>
      <c r="G4234" s="254" t="str">
        <f>IF(VLOOKUP($I4221&amp;RIGHT($A4234,1),Players!$A$2:$D$132,3)&lt;&gt;0,VLOOKUP($I4221&amp;RIGHT($A4234,1),Players!$A$2:$D$132,3),"")</f>
        <v/>
      </c>
      <c r="H4234" s="254"/>
      <c r="I4234" s="254"/>
      <c r="J4234" s="210" t="str">
        <f>IF(VLOOKUP($I4221&amp;RIGHT($A4234,1),Players!$A$2:$D$132,3)&lt;&gt;0,"("&amp;VLOOKUP($I4221&amp;RIGHT($A4234,1),Players!$A$2:$D$132,4)&amp;")","")</f>
        <v/>
      </c>
    </row>
    <row r="4235" spans="1:10" ht="25.5" customHeight="1">
      <c r="A4235" s="50" t="str">
        <f>CONCATENATE($D4221,"8")</f>
        <v>H8</v>
      </c>
      <c r="B4235" s="255" t="str">
        <f>IF(VLOOKUP($A4235,Players!$A$2:$C$132,3)&lt;&gt;0,VLOOKUP($A4235,Players!$A$2:$C$132,3),"")</f>
        <v/>
      </c>
      <c r="C4235" s="255"/>
      <c r="D4235" s="255"/>
      <c r="E4235" s="255"/>
      <c r="F4235" s="255"/>
      <c r="G4235" s="254" t="str">
        <f>IF(VLOOKUP($I4221&amp;RIGHT($A4235,1),Players!$A$2:$D$132,3)&lt;&gt;0,VLOOKUP($I4221&amp;RIGHT($A4235,1),Players!$A$2:$D$132,3),"")</f>
        <v/>
      </c>
      <c r="H4235" s="254"/>
      <c r="I4235" s="254"/>
      <c r="J4235" s="210" t="str">
        <f>IF(VLOOKUP($I4221&amp;RIGHT($A4235,1),Players!$A$2:$D$132,3)&lt;&gt;0,"("&amp;VLOOKUP($I4221&amp;RIGHT($A4235,1),Players!$A$2:$D$132,4)&amp;")","")</f>
        <v/>
      </c>
    </row>
    <row r="4236" spans="1:10" ht="25.5" customHeight="1">
      <c r="A4236" s="50"/>
      <c r="B4236" s="26"/>
      <c r="C4236" s="26"/>
      <c r="D4236" s="26"/>
      <c r="E4236" s="26"/>
      <c r="F4236" s="27"/>
      <c r="G4236" s="43"/>
      <c r="H4236" s="43"/>
      <c r="I4236" s="43"/>
      <c r="J4236" s="43"/>
    </row>
    <row r="4237" spans="1:10">
      <c r="A4237" s="49" t="s">
        <v>1225</v>
      </c>
      <c r="B4237" s="46"/>
      <c r="C4237" s="46"/>
      <c r="D4237" s="46"/>
      <c r="E4237" s="46"/>
      <c r="F4237" s="46"/>
      <c r="G4237" s="43"/>
      <c r="H4237" s="43"/>
      <c r="I4237" s="43"/>
      <c r="J4237" s="43"/>
    </row>
    <row r="4238" spans="1:10">
      <c r="A4238" s="46" t="s">
        <v>1247</v>
      </c>
      <c r="B4238" s="46"/>
      <c r="C4238" s="46"/>
      <c r="D4238" s="46"/>
      <c r="E4238" s="46"/>
      <c r="F4238" s="46"/>
      <c r="G4238" s="43"/>
      <c r="H4238" s="43"/>
      <c r="I4238" s="43"/>
      <c r="J4238" s="43"/>
    </row>
    <row r="4239" spans="1:10">
      <c r="A4239" s="46" t="s">
        <v>1248</v>
      </c>
      <c r="B4239" s="46"/>
      <c r="C4239" s="46"/>
      <c r="D4239" s="46"/>
      <c r="E4239" s="46"/>
      <c r="F4239" s="46"/>
      <c r="G4239" s="43"/>
      <c r="H4239" s="43"/>
      <c r="I4239" s="43"/>
      <c r="J4239" s="43"/>
    </row>
    <row r="4240" spans="1:10" ht="13.5" thickBot="1">
      <c r="A4240" s="46"/>
      <c r="B4240" s="46"/>
      <c r="C4240" s="46"/>
      <c r="D4240" s="46"/>
      <c r="E4240" s="46"/>
      <c r="F4240" s="46"/>
      <c r="G4240" s="43"/>
      <c r="H4240" s="43"/>
      <c r="I4240" s="43"/>
      <c r="J4240" s="43"/>
    </row>
    <row r="4241" spans="1:10" ht="25.5" customHeight="1" thickBot="1">
      <c r="A4241" s="50"/>
      <c r="B4241" s="257"/>
      <c r="C4241" s="258"/>
      <c r="D4241" s="258"/>
      <c r="E4241" s="258"/>
      <c r="F4241" s="259"/>
      <c r="G4241" s="43"/>
      <c r="H4241" s="43"/>
      <c r="I4241" s="43"/>
      <c r="J4241" s="43"/>
    </row>
    <row r="4242" spans="1:10">
      <c r="A4242" s="43"/>
      <c r="B4242" s="43"/>
      <c r="C4242" s="43"/>
      <c r="D4242" s="43"/>
      <c r="E4242" s="43"/>
      <c r="F4242" s="43"/>
      <c r="G4242" s="43"/>
      <c r="H4242" s="43"/>
      <c r="I4242" s="43"/>
      <c r="J4242" s="43"/>
    </row>
    <row r="4243" spans="1:10">
      <c r="A4243" s="43"/>
      <c r="B4243" s="43"/>
      <c r="C4243" s="43"/>
      <c r="D4243" s="43"/>
      <c r="E4243" s="43"/>
      <c r="F4243" s="43"/>
      <c r="G4243" s="43"/>
      <c r="H4243" s="43"/>
      <c r="I4243" s="43"/>
      <c r="J4243" s="43"/>
    </row>
    <row r="4244" spans="1:10">
      <c r="A4244" s="43"/>
      <c r="B4244" s="43"/>
      <c r="C4244" s="43"/>
      <c r="D4244" s="43"/>
      <c r="E4244" s="43"/>
      <c r="F4244" s="43"/>
      <c r="G4244" s="43"/>
      <c r="H4244" s="43"/>
      <c r="I4244" s="43"/>
      <c r="J4244" s="43"/>
    </row>
    <row r="4245" spans="1:10">
      <c r="A4245" s="43"/>
      <c r="B4245" s="43"/>
      <c r="C4245" s="43"/>
      <c r="D4245" s="43"/>
      <c r="E4245" s="43"/>
      <c r="F4245" s="43"/>
      <c r="G4245" s="43"/>
      <c r="H4245" s="43"/>
      <c r="I4245" s="43"/>
      <c r="J4245" s="43"/>
    </row>
    <row r="4246" spans="1:10">
      <c r="A4246" s="43"/>
      <c r="B4246" s="43"/>
      <c r="C4246" s="43"/>
      <c r="D4246" s="43"/>
      <c r="E4246" s="43"/>
      <c r="F4246" s="43"/>
      <c r="G4246" s="43"/>
      <c r="H4246" s="43"/>
      <c r="I4246" s="43"/>
      <c r="J4246" s="43"/>
    </row>
    <row r="4247" spans="1:10" ht="25.5" customHeight="1">
      <c r="A4247" s="47"/>
      <c r="B4247" s="47"/>
      <c r="C4247" s="47"/>
      <c r="D4247" s="47"/>
      <c r="E4247" s="47"/>
      <c r="F4247" s="43"/>
      <c r="G4247" s="51"/>
      <c r="H4247" s="250" t="s">
        <v>1227</v>
      </c>
      <c r="I4247" s="251"/>
      <c r="J4247" s="43"/>
    </row>
    <row r="4248" spans="1:10">
      <c r="A4248" s="43" t="s">
        <v>1226</v>
      </c>
      <c r="B4248" s="43"/>
      <c r="C4248" s="43"/>
      <c r="D4248" s="43"/>
      <c r="E4248" s="43"/>
      <c r="F4248" s="43"/>
      <c r="G4248" s="43"/>
      <c r="H4248" s="43"/>
      <c r="I4248" s="43"/>
      <c r="J4248" s="43"/>
    </row>
    <row r="4249" spans="1:10">
      <c r="A4249" s="43"/>
      <c r="B4249" s="43"/>
      <c r="C4249" s="43"/>
      <c r="D4249" s="43"/>
      <c r="E4249" s="43"/>
      <c r="F4249" s="43"/>
      <c r="G4249" s="43"/>
      <c r="H4249" s="43"/>
      <c r="I4249" s="43"/>
      <c r="J4249" s="43"/>
    </row>
    <row r="4250" spans="1:10">
      <c r="A4250" s="43"/>
      <c r="B4250" s="43"/>
      <c r="C4250" s="43"/>
      <c r="D4250" s="43"/>
      <c r="E4250" s="256" t="str">
        <f>CONCATENATE("(",$D4221," vs ",$I4221,")")</f>
        <v>(H vs I)</v>
      </c>
      <c r="F4250" s="256"/>
      <c r="G4250" s="43"/>
      <c r="H4250" s="43"/>
      <c r="I4250" s="43"/>
      <c r="J4250" s="43"/>
    </row>
    <row r="4251" spans="1:10" ht="15.75">
      <c r="A4251" s="42" t="s">
        <v>1223</v>
      </c>
      <c r="B4251" s="43"/>
      <c r="C4251" s="43"/>
      <c r="D4251" s="43"/>
      <c r="E4251" s="43"/>
      <c r="F4251" s="43"/>
      <c r="G4251" s="43"/>
      <c r="H4251" s="43"/>
      <c r="I4251" s="43"/>
      <c r="J4251" s="96" t="s">
        <v>4344</v>
      </c>
    </row>
    <row r="4252" spans="1:10" ht="12.75" customHeight="1">
      <c r="A4252" s="42"/>
      <c r="B4252" s="43"/>
      <c r="C4252" s="43"/>
      <c r="D4252" s="43"/>
      <c r="E4252" s="43"/>
      <c r="F4252" s="43"/>
      <c r="G4252" s="43" t="str">
        <f ca="1">Team_Matches!$J$6</f>
        <v>[NCTTA Teams Template (v2.06).xlsx]</v>
      </c>
      <c r="H4252" s="43"/>
      <c r="I4252" s="43"/>
      <c r="J4252" s="160"/>
    </row>
    <row r="4253" spans="1:10" ht="12.75" customHeight="1">
      <c r="A4253" s="42"/>
      <c r="B4253" s="43"/>
      <c r="C4253" s="43"/>
      <c r="D4253" s="43"/>
      <c r="E4253" s="43"/>
      <c r="F4253" s="43"/>
      <c r="G4253" s="247" t="str">
        <f>Team_Matches!$J3169</f>
        <v/>
      </c>
      <c r="H4253" s="247"/>
      <c r="I4253" s="161" t="str">
        <f>Team_Matches!$M3169</f>
        <v/>
      </c>
      <c r="J4253" s="161"/>
    </row>
    <row r="4254" spans="1:10" ht="15.75">
      <c r="A4254" s="42"/>
      <c r="B4254" s="43"/>
      <c r="C4254" s="43"/>
      <c r="D4254" s="43"/>
      <c r="E4254" s="43"/>
      <c r="F4254" s="43"/>
      <c r="G4254" s="43"/>
      <c r="H4254" s="43"/>
      <c r="I4254" s="43"/>
      <c r="J4254" s="43"/>
    </row>
    <row r="4255" spans="1:10">
      <c r="A4255" s="43"/>
      <c r="B4255" s="43"/>
      <c r="C4255" s="9" t="s">
        <v>1228</v>
      </c>
      <c r="D4255" s="52" t="str">
        <f>Team_Matches!$B3171</f>
        <v>H</v>
      </c>
      <c r="E4255" s="43"/>
      <c r="F4255" s="97" t="str">
        <f>CONCATENATE($D4255,"-",$I4255)</f>
        <v>H-I</v>
      </c>
      <c r="G4255" s="43"/>
      <c r="H4255" s="9" t="s">
        <v>1228</v>
      </c>
      <c r="I4255" s="3" t="str">
        <f>Team_Matches!$K3171</f>
        <v>I</v>
      </c>
      <c r="J4255" s="43"/>
    </row>
    <row r="4256" spans="1:10" ht="25.5" customHeight="1">
      <c r="A4256" s="44"/>
      <c r="B4256" s="252" t="str">
        <f>IF(VLOOKUP($D4255,Draw!$A$4:$B$27,2)&lt;&gt;0,VLOOKUP($D4255,Draw!$A$4:$B$27,2),"")</f>
        <v/>
      </c>
      <c r="C4256" s="252"/>
      <c r="D4256" s="252"/>
      <c r="E4256" s="253"/>
      <c r="F4256" s="45"/>
      <c r="G4256" s="248" t="str">
        <f>IF(VLOOKUP($I4255,Draw!$A$4:$B$27,2)&lt;&gt;0,VLOOKUP($I4255,Draw!$A$4:$B$27,2),"")</f>
        <v/>
      </c>
      <c r="H4256" s="248"/>
      <c r="I4256" s="248"/>
      <c r="J4256" s="249"/>
    </row>
    <row r="4257" spans="1:10" ht="25.5" customHeight="1"/>
    <row r="4258" spans="1:10" ht="25.5" customHeight="1"/>
    <row r="4259" spans="1:10" ht="24" customHeight="1">
      <c r="A4259" s="48" t="s">
        <v>1246</v>
      </c>
      <c r="B4259" s="43"/>
      <c r="C4259" s="43"/>
      <c r="D4259" s="43"/>
      <c r="E4259" s="43"/>
      <c r="F4259" s="43"/>
      <c r="G4259" s="43"/>
      <c r="H4259" s="43"/>
      <c r="I4259" s="43"/>
      <c r="J4259" s="43"/>
    </row>
    <row r="4260" spans="1:10" ht="24" customHeight="1">
      <c r="A4260" s="48"/>
      <c r="B4260" s="43"/>
      <c r="C4260" s="43"/>
      <c r="D4260" s="43"/>
      <c r="E4260" s="43"/>
      <c r="F4260" s="43"/>
      <c r="G4260" s="43"/>
      <c r="H4260" s="43"/>
      <c r="I4260" s="43"/>
      <c r="J4260" s="43"/>
    </row>
    <row r="4261" spans="1:10">
      <c r="A4261" s="49" t="s">
        <v>1224</v>
      </c>
      <c r="B4261" s="46"/>
      <c r="C4261" s="46"/>
      <c r="D4261" s="46"/>
      <c r="E4261" s="46"/>
      <c r="F4261" s="46"/>
      <c r="G4261" s="260" t="s">
        <v>10336</v>
      </c>
      <c r="H4261" s="260"/>
      <c r="I4261" s="260"/>
      <c r="J4261" s="260"/>
    </row>
    <row r="4262" spans="1:10" ht="24" customHeight="1">
      <c r="A4262" s="50" t="str">
        <f>CONCATENATE($I4255,"1")</f>
        <v>I1</v>
      </c>
      <c r="B4262" s="255" t="str">
        <f>IF(VLOOKUP($A4262,Players!$A$2:$C$132,3)&lt;&gt;0,VLOOKUP($A4262,Players!$A$2:$C$132,3),"")</f>
        <v/>
      </c>
      <c r="C4262" s="255"/>
      <c r="D4262" s="255"/>
      <c r="E4262" s="255"/>
      <c r="F4262" s="255"/>
      <c r="G4262" s="254" t="str">
        <f>IF(VLOOKUP($D4255&amp;RIGHT($A4262,1),Players!$A$2:$D$132,3)&lt;&gt;0,VLOOKUP($D4255&amp;RIGHT($A4262,1),Players!$A$2:$D$132,3),"")</f>
        <v/>
      </c>
      <c r="H4262" s="254"/>
      <c r="I4262" s="254"/>
      <c r="J4262" s="210" t="str">
        <f>IF(VLOOKUP($D4255&amp;RIGHT($A4262,1),Players!$A$2:$D$132,3)&lt;&gt;0,"("&amp;VLOOKUP($D4255&amp;RIGHT($A4262,1),Players!$A$2:$D$132,4)&amp;")","")</f>
        <v/>
      </c>
    </row>
    <row r="4263" spans="1:10" ht="25.5" customHeight="1">
      <c r="A4263" s="50" t="str">
        <f>CONCATENATE($I4255,"2")</f>
        <v>I2</v>
      </c>
      <c r="B4263" s="255" t="str">
        <f>IF(VLOOKUP($A4263,Players!$A$2:$C$132,3)&lt;&gt;0,VLOOKUP($A4263,Players!$A$2:$C$132,3),"")</f>
        <v/>
      </c>
      <c r="C4263" s="255"/>
      <c r="D4263" s="255"/>
      <c r="E4263" s="255"/>
      <c r="F4263" s="255"/>
      <c r="G4263" s="254" t="str">
        <f>IF(VLOOKUP($D4255&amp;RIGHT($A4263,1),Players!$A$2:$D$132,3)&lt;&gt;0,VLOOKUP($D4255&amp;RIGHT($A4263,1),Players!$A$2:$D$132,3),"")</f>
        <v/>
      </c>
      <c r="H4263" s="254"/>
      <c r="I4263" s="254"/>
      <c r="J4263" s="210" t="str">
        <f>IF(VLOOKUP($D4255&amp;RIGHT($A4263,1),Players!$A$2:$D$132,3)&lt;&gt;0,"("&amp;VLOOKUP($D4255&amp;RIGHT($A4263,1),Players!$A$2:$D$132,4)&amp;")","")</f>
        <v/>
      </c>
    </row>
    <row r="4264" spans="1:10" ht="25.5" customHeight="1">
      <c r="A4264" s="50" t="str">
        <f>CONCATENATE($I4255,"3")</f>
        <v>I3</v>
      </c>
      <c r="B4264" s="255" t="str">
        <f>IF(VLOOKUP($A4264,Players!$A$2:$C$132,3)&lt;&gt;0,VLOOKUP($A4264,Players!$A$2:$C$132,3),"")</f>
        <v/>
      </c>
      <c r="C4264" s="255"/>
      <c r="D4264" s="255"/>
      <c r="E4264" s="255"/>
      <c r="F4264" s="255"/>
      <c r="G4264" s="254" t="str">
        <f>IF(VLOOKUP($D4255&amp;RIGHT($A4264,1),Players!$A$2:$D$132,3)&lt;&gt;0,VLOOKUP($D4255&amp;RIGHT($A4264,1),Players!$A$2:$D$132,3),"")</f>
        <v/>
      </c>
      <c r="H4264" s="254"/>
      <c r="I4264" s="254"/>
      <c r="J4264" s="210" t="str">
        <f>IF(VLOOKUP($D4255&amp;RIGHT($A4264,1),Players!$A$2:$D$132,3)&lt;&gt;0,"("&amp;VLOOKUP($D4255&amp;RIGHT($A4264,1),Players!$A$2:$D$132,4)&amp;")","")</f>
        <v/>
      </c>
    </row>
    <row r="4265" spans="1:10" ht="25.5" customHeight="1">
      <c r="A4265" s="50" t="str">
        <f>CONCATENATE($I4255,"4")</f>
        <v>I4</v>
      </c>
      <c r="B4265" s="255" t="str">
        <f>IF(VLOOKUP($A4265,Players!$A$2:$C$132,3)&lt;&gt;0,VLOOKUP($A4265,Players!$A$2:$C$132,3),"")</f>
        <v/>
      </c>
      <c r="C4265" s="255"/>
      <c r="D4265" s="255"/>
      <c r="E4265" s="255"/>
      <c r="F4265" s="255"/>
      <c r="G4265" s="254" t="str">
        <f>IF(VLOOKUP($D4255&amp;RIGHT($A4265,1),Players!$A$2:$D$132,3)&lt;&gt;0,VLOOKUP($D4255&amp;RIGHT($A4265,1),Players!$A$2:$D$132,3),"")</f>
        <v/>
      </c>
      <c r="H4265" s="254"/>
      <c r="I4265" s="254"/>
      <c r="J4265" s="210" t="str">
        <f>IF(VLOOKUP($D4255&amp;RIGHT($A4265,1),Players!$A$2:$D$132,3)&lt;&gt;0,"("&amp;VLOOKUP($D4255&amp;RIGHT($A4265,1),Players!$A$2:$D$132,4)&amp;")","")</f>
        <v/>
      </c>
    </row>
    <row r="4266" spans="1:10" ht="25.5" customHeight="1">
      <c r="A4266" s="50" t="str">
        <f>CONCATENATE($I4255,"5")</f>
        <v>I5</v>
      </c>
      <c r="B4266" s="255" t="str">
        <f>IF(VLOOKUP($A4266,Players!$A$2:$C$132,3)&lt;&gt;0,VLOOKUP($A4266,Players!$A$2:$C$132,3),"")</f>
        <v/>
      </c>
      <c r="C4266" s="255"/>
      <c r="D4266" s="255"/>
      <c r="E4266" s="255"/>
      <c r="F4266" s="255"/>
      <c r="G4266" s="254" t="str">
        <f>IF(VLOOKUP($D4255&amp;RIGHT($A4266,1),Players!$A$2:$D$132,3)&lt;&gt;0,VLOOKUP($D4255&amp;RIGHT($A4266,1),Players!$A$2:$D$132,3),"")</f>
        <v/>
      </c>
      <c r="H4266" s="254"/>
      <c r="I4266" s="254"/>
      <c r="J4266" s="210" t="str">
        <f>IF(VLOOKUP($D4255&amp;RIGHT($A4266,1),Players!$A$2:$D$132,3)&lt;&gt;0,"("&amp;VLOOKUP($D4255&amp;RIGHT($A4266,1),Players!$A$2:$D$132,4)&amp;")","")</f>
        <v/>
      </c>
    </row>
    <row r="4267" spans="1:10" ht="25.5" customHeight="1">
      <c r="A4267" s="50" t="str">
        <f>CONCATENATE($I4255,"6")</f>
        <v>I6</v>
      </c>
      <c r="B4267" s="255" t="str">
        <f>IF(VLOOKUP($A4267,Players!$A$2:$C$132,3)&lt;&gt;0,VLOOKUP($A4267,Players!$A$2:$C$132,3),"")</f>
        <v/>
      </c>
      <c r="C4267" s="255"/>
      <c r="D4267" s="255"/>
      <c r="E4267" s="255"/>
      <c r="F4267" s="255"/>
      <c r="G4267" s="254" t="str">
        <f>IF(VLOOKUP($D4255&amp;RIGHT($A4267,1),Players!$A$2:$D$132,3)&lt;&gt;0,VLOOKUP($D4255&amp;RIGHT($A4267,1),Players!$A$2:$D$132,3),"")</f>
        <v/>
      </c>
      <c r="H4267" s="254"/>
      <c r="I4267" s="254"/>
      <c r="J4267" s="210" t="str">
        <f>IF(VLOOKUP($D4255&amp;RIGHT($A4267,1),Players!$A$2:$D$132,3)&lt;&gt;0,"("&amp;VLOOKUP($D4255&amp;RIGHT($A4267,1),Players!$A$2:$D$132,4)&amp;")","")</f>
        <v/>
      </c>
    </row>
    <row r="4268" spans="1:10" ht="25.5" customHeight="1">
      <c r="A4268" s="50" t="str">
        <f>CONCATENATE($I4255,"7")</f>
        <v>I7</v>
      </c>
      <c r="B4268" s="255" t="str">
        <f>IF(VLOOKUP($A4268,Players!$A$2:$C$132,3)&lt;&gt;0,VLOOKUP($A4268,Players!$A$2:$C$132,3),"")</f>
        <v/>
      </c>
      <c r="C4268" s="255"/>
      <c r="D4268" s="255"/>
      <c r="E4268" s="255"/>
      <c r="F4268" s="255"/>
      <c r="G4268" s="254" t="str">
        <f>IF(VLOOKUP($D4255&amp;RIGHT($A4268,1),Players!$A$2:$D$132,3)&lt;&gt;0,VLOOKUP($D4255&amp;RIGHT($A4268,1),Players!$A$2:$D$132,3),"")</f>
        <v/>
      </c>
      <c r="H4268" s="254"/>
      <c r="I4268" s="254"/>
      <c r="J4268" s="210" t="str">
        <f>IF(VLOOKUP($D4255&amp;RIGHT($A4268,1),Players!$A$2:$D$132,3)&lt;&gt;0,"("&amp;VLOOKUP($D4255&amp;RIGHT($A4268,1),Players!$A$2:$D$132,4)&amp;")","")</f>
        <v/>
      </c>
    </row>
    <row r="4269" spans="1:10" ht="25.5" customHeight="1">
      <c r="A4269" s="50" t="str">
        <f>CONCATENATE($I4255,"8")</f>
        <v>I8</v>
      </c>
      <c r="B4269" s="255" t="str">
        <f>IF(VLOOKUP($A4269,Players!$A$2:$C$132,3)&lt;&gt;0,VLOOKUP($A4269,Players!$A$2:$C$132,3),"")</f>
        <v/>
      </c>
      <c r="C4269" s="255"/>
      <c r="D4269" s="255"/>
      <c r="E4269" s="255"/>
      <c r="F4269" s="255"/>
      <c r="G4269" s="254" t="str">
        <f>IF(VLOOKUP($D4255&amp;RIGHT($A4269,1),Players!$A$2:$D$132,3)&lt;&gt;0,VLOOKUP($D4255&amp;RIGHT($A4269,1),Players!$A$2:$D$132,3),"")</f>
        <v/>
      </c>
      <c r="H4269" s="254"/>
      <c r="I4269" s="254"/>
      <c r="J4269" s="210" t="str">
        <f>IF(VLOOKUP($D4255&amp;RIGHT($A4269,1),Players!$A$2:$D$132,3)&lt;&gt;0,"("&amp;VLOOKUP($D4255&amp;RIGHT($A4269,1),Players!$A$2:$D$132,4)&amp;")","")</f>
        <v/>
      </c>
    </row>
    <row r="4270" spans="1:10" ht="25.5" customHeight="1">
      <c r="A4270" s="50"/>
      <c r="B4270" s="26"/>
      <c r="C4270" s="26"/>
      <c r="D4270" s="26"/>
      <c r="E4270" s="26"/>
      <c r="F4270" s="27"/>
      <c r="G4270" s="43"/>
      <c r="H4270" s="43"/>
      <c r="I4270" s="43"/>
      <c r="J4270" s="43"/>
    </row>
    <row r="4271" spans="1:10">
      <c r="A4271" s="49" t="s">
        <v>1225</v>
      </c>
      <c r="B4271" s="46"/>
      <c r="C4271" s="46"/>
      <c r="D4271" s="46"/>
      <c r="E4271" s="46"/>
      <c r="F4271" s="46"/>
      <c r="G4271" s="43"/>
      <c r="H4271" s="43"/>
      <c r="I4271" s="43"/>
      <c r="J4271" s="43"/>
    </row>
    <row r="4272" spans="1:10">
      <c r="A4272" s="46" t="s">
        <v>1247</v>
      </c>
      <c r="B4272" s="46"/>
      <c r="C4272" s="46"/>
      <c r="D4272" s="46"/>
      <c r="E4272" s="46"/>
      <c r="F4272" s="46"/>
      <c r="G4272" s="43"/>
      <c r="H4272" s="43"/>
      <c r="I4272" s="43"/>
      <c r="J4272" s="43"/>
    </row>
    <row r="4273" spans="1:10">
      <c r="A4273" s="46" t="s">
        <v>1248</v>
      </c>
      <c r="B4273" s="46"/>
      <c r="C4273" s="46"/>
      <c r="D4273" s="46"/>
      <c r="E4273" s="46"/>
      <c r="F4273" s="46"/>
      <c r="G4273" s="43"/>
      <c r="H4273" s="43"/>
      <c r="I4273" s="43"/>
      <c r="J4273" s="43"/>
    </row>
    <row r="4274" spans="1:10" ht="13.5" thickBot="1">
      <c r="A4274" s="46"/>
      <c r="B4274" s="46"/>
      <c r="C4274" s="46"/>
      <c r="D4274" s="46"/>
      <c r="E4274" s="46"/>
      <c r="F4274" s="46"/>
      <c r="G4274" s="43"/>
      <c r="H4274" s="43"/>
      <c r="I4274" s="43"/>
      <c r="J4274" s="43"/>
    </row>
    <row r="4275" spans="1:10" ht="25.5" customHeight="1" thickBot="1">
      <c r="A4275" s="50"/>
      <c r="B4275" s="257"/>
      <c r="C4275" s="258"/>
      <c r="D4275" s="258"/>
      <c r="E4275" s="258"/>
      <c r="F4275" s="259"/>
      <c r="G4275" s="43"/>
      <c r="H4275" s="43"/>
      <c r="I4275" s="43"/>
      <c r="J4275" s="43"/>
    </row>
    <row r="4276" spans="1:10">
      <c r="A4276" s="43"/>
      <c r="B4276" s="43"/>
      <c r="C4276" s="43"/>
      <c r="D4276" s="43"/>
      <c r="E4276" s="43"/>
      <c r="F4276" s="43"/>
      <c r="G4276" s="43"/>
      <c r="H4276" s="43"/>
      <c r="I4276" s="43"/>
      <c r="J4276" s="43"/>
    </row>
    <row r="4277" spans="1:10">
      <c r="A4277" s="43"/>
      <c r="B4277" s="43"/>
      <c r="C4277" s="43"/>
      <c r="D4277" s="43"/>
      <c r="E4277" s="43"/>
      <c r="F4277" s="43"/>
      <c r="G4277" s="43"/>
      <c r="H4277" s="43"/>
      <c r="I4277" s="43"/>
      <c r="J4277" s="43"/>
    </row>
    <row r="4278" spans="1:10">
      <c r="A4278" s="43"/>
      <c r="B4278" s="43"/>
      <c r="C4278" s="43"/>
      <c r="D4278" s="43"/>
      <c r="E4278" s="43"/>
      <c r="F4278" s="43"/>
      <c r="G4278" s="43"/>
      <c r="H4278" s="43"/>
      <c r="I4278" s="43"/>
      <c r="J4278" s="43"/>
    </row>
    <row r="4279" spans="1:10">
      <c r="A4279" s="43"/>
      <c r="B4279" s="43"/>
      <c r="C4279" s="43"/>
      <c r="D4279" s="43"/>
      <c r="E4279" s="43"/>
      <c r="F4279" s="43"/>
      <c r="G4279" s="43"/>
      <c r="H4279" s="43"/>
      <c r="I4279" s="43"/>
      <c r="J4279" s="43"/>
    </row>
    <row r="4280" spans="1:10">
      <c r="A4280" s="43"/>
      <c r="B4280" s="43"/>
      <c r="C4280" s="43"/>
      <c r="D4280" s="43"/>
      <c r="E4280" s="43"/>
      <c r="F4280" s="43"/>
      <c r="G4280" s="43"/>
      <c r="H4280" s="43"/>
      <c r="I4280" s="43"/>
      <c r="J4280" s="43"/>
    </row>
    <row r="4281" spans="1:10" ht="25.5" customHeight="1">
      <c r="A4281" s="47"/>
      <c r="B4281" s="47"/>
      <c r="C4281" s="47"/>
      <c r="D4281" s="47"/>
      <c r="E4281" s="47"/>
      <c r="F4281" s="43"/>
      <c r="G4281" s="51"/>
      <c r="H4281" s="250" t="s">
        <v>1227</v>
      </c>
      <c r="I4281" s="251"/>
      <c r="J4281" s="43"/>
    </row>
    <row r="4282" spans="1:10">
      <c r="A4282" s="43" t="s">
        <v>1226</v>
      </c>
      <c r="B4282" s="43"/>
      <c r="C4282" s="43"/>
      <c r="D4282" s="43"/>
      <c r="E4282" s="43"/>
      <c r="F4282" s="43"/>
      <c r="G4282" s="43"/>
      <c r="H4282" s="43"/>
      <c r="I4282" s="43"/>
      <c r="J4282" s="43"/>
    </row>
    <row r="4283" spans="1:10">
      <c r="A4283" s="43"/>
      <c r="B4283" s="43"/>
      <c r="C4283" s="43"/>
      <c r="D4283" s="43"/>
      <c r="E4283" s="43"/>
      <c r="F4283" s="43"/>
      <c r="G4283" s="43"/>
      <c r="H4283" s="43"/>
      <c r="I4283" s="43"/>
      <c r="J4283" s="43"/>
    </row>
    <row r="4284" spans="1:10">
      <c r="A4284" s="43"/>
      <c r="B4284" s="43"/>
      <c r="C4284" s="43"/>
      <c r="D4284" s="43"/>
      <c r="E4284" s="256" t="str">
        <f>CONCATENATE("(",$D4255," vs ",$I4255,")")</f>
        <v>(H vs I)</v>
      </c>
      <c r="F4284" s="256"/>
      <c r="G4284" s="43"/>
      <c r="H4284" s="43"/>
      <c r="I4284" s="43"/>
      <c r="J4284" s="43"/>
    </row>
    <row r="4285" spans="1:10" ht="15.75">
      <c r="A4285" s="42" t="s">
        <v>1223</v>
      </c>
      <c r="B4285" s="43"/>
      <c r="C4285" s="43"/>
      <c r="D4285" s="43"/>
      <c r="E4285" s="43"/>
      <c r="F4285" s="43"/>
      <c r="G4285" s="43"/>
      <c r="H4285" s="43"/>
      <c r="I4285" s="43"/>
      <c r="J4285" s="96" t="s">
        <v>4345</v>
      </c>
    </row>
    <row r="4286" spans="1:10" ht="12.75" customHeight="1">
      <c r="A4286" s="42"/>
      <c r="B4286" s="43"/>
      <c r="C4286" s="43"/>
      <c r="D4286" s="43"/>
      <c r="E4286" s="43"/>
      <c r="F4286" s="43"/>
      <c r="G4286" s="43" t="str">
        <f ca="1">Team_Matches!$J$6</f>
        <v>[NCTTA Teams Template (v2.06).xlsx]</v>
      </c>
      <c r="H4286" s="43"/>
      <c r="I4286" s="43"/>
      <c r="J4286" s="160"/>
    </row>
    <row r="4287" spans="1:10" ht="12.75" customHeight="1">
      <c r="A4287" s="42"/>
      <c r="B4287" s="43"/>
      <c r="C4287" s="43"/>
      <c r="D4287" s="43"/>
      <c r="E4287" s="43"/>
      <c r="F4287" s="43"/>
      <c r="G4287" s="247" t="str">
        <f>Team_Matches!$J3220</f>
        <v/>
      </c>
      <c r="H4287" s="247"/>
      <c r="I4287" s="161" t="str">
        <f>Team_Matches!$M3220</f>
        <v/>
      </c>
      <c r="J4287" s="161"/>
    </row>
    <row r="4288" spans="1:10" ht="15.75">
      <c r="A4288" s="42"/>
      <c r="B4288" s="43"/>
      <c r="C4288" s="43"/>
      <c r="D4288" s="43"/>
      <c r="E4288" s="43"/>
      <c r="F4288" s="43"/>
      <c r="G4288" s="43"/>
      <c r="H4288" s="43"/>
      <c r="I4288" s="43"/>
      <c r="J4288" s="43"/>
    </row>
    <row r="4289" spans="1:10">
      <c r="A4289" s="43"/>
      <c r="B4289" s="43"/>
      <c r="C4289" s="9" t="s">
        <v>1228</v>
      </c>
      <c r="D4289" s="52" t="str">
        <f>Team_Matches!$B3222</f>
        <v>H</v>
      </c>
      <c r="E4289" s="43"/>
      <c r="F4289" s="97" t="str">
        <f>CONCATENATE($D4289,"-",$I4289)</f>
        <v>H-J</v>
      </c>
      <c r="G4289" s="43"/>
      <c r="H4289" s="9" t="s">
        <v>1228</v>
      </c>
      <c r="I4289" s="52" t="str">
        <f>Team_Matches!$K3222</f>
        <v>J</v>
      </c>
      <c r="J4289" s="43"/>
    </row>
    <row r="4290" spans="1:10" ht="25.5" customHeight="1">
      <c r="A4290" s="44"/>
      <c r="B4290" s="248" t="str">
        <f>IF(VLOOKUP($D4289,Draw!$A$4:$B$27,2)&lt;&gt;0,VLOOKUP($D4289,Draw!$A$4:$B$27,2),"")</f>
        <v/>
      </c>
      <c r="C4290" s="248"/>
      <c r="D4290" s="248"/>
      <c r="E4290" s="249"/>
      <c r="F4290" s="45"/>
      <c r="G4290" s="252" t="str">
        <f>IF(VLOOKUP($I4289,Draw!$A$4:$B$27,2)&lt;&gt;0,VLOOKUP($I4289,Draw!$A$4:$B$27,2),"")</f>
        <v/>
      </c>
      <c r="H4290" s="252"/>
      <c r="I4290" s="252"/>
      <c r="J4290" s="253"/>
    </row>
    <row r="4291" spans="1:10" ht="25.5" customHeight="1"/>
    <row r="4292" spans="1:10" ht="25.5" customHeight="1"/>
    <row r="4293" spans="1:10" ht="24" customHeight="1">
      <c r="A4293" s="48" t="s">
        <v>1246</v>
      </c>
      <c r="B4293" s="43"/>
      <c r="C4293" s="43"/>
      <c r="D4293" s="43"/>
      <c r="E4293" s="43"/>
      <c r="F4293" s="43"/>
      <c r="G4293" s="43"/>
      <c r="H4293" s="43"/>
      <c r="I4293" s="43"/>
      <c r="J4293" s="43"/>
    </row>
    <row r="4294" spans="1:10" ht="24" customHeight="1">
      <c r="A4294" s="48"/>
      <c r="B4294" s="43"/>
      <c r="C4294" s="43"/>
      <c r="D4294" s="43"/>
      <c r="E4294" s="43"/>
      <c r="F4294" s="43"/>
      <c r="G4294" s="43"/>
      <c r="H4294" s="43"/>
      <c r="I4294" s="43"/>
      <c r="J4294" s="43"/>
    </row>
    <row r="4295" spans="1:10">
      <c r="A4295" s="49" t="s">
        <v>1224</v>
      </c>
      <c r="B4295" s="46"/>
      <c r="C4295" s="46"/>
      <c r="D4295" s="46"/>
      <c r="E4295" s="46"/>
      <c r="F4295" s="46"/>
      <c r="G4295" s="260" t="s">
        <v>10336</v>
      </c>
      <c r="H4295" s="260"/>
      <c r="I4295" s="260"/>
      <c r="J4295" s="260"/>
    </row>
    <row r="4296" spans="1:10" ht="24" customHeight="1">
      <c r="A4296" s="50" t="str">
        <f>CONCATENATE($D4289,"1")</f>
        <v>H1</v>
      </c>
      <c r="B4296" s="255" t="str">
        <f>IF(VLOOKUP($A4296,Players!$A$2:$C$132,3)&lt;&gt;0,VLOOKUP($A4296,Players!$A$2:$C$132,3),"")</f>
        <v/>
      </c>
      <c r="C4296" s="255"/>
      <c r="D4296" s="255"/>
      <c r="E4296" s="255"/>
      <c r="F4296" s="255"/>
      <c r="G4296" s="254" t="str">
        <f>IF(VLOOKUP($I4289&amp;RIGHT($A4296,1),Players!$A$2:$D$132,3)&lt;&gt;0,VLOOKUP($I4289&amp;RIGHT($A4296,1),Players!$A$2:$D$132,3),"")</f>
        <v/>
      </c>
      <c r="H4296" s="254"/>
      <c r="I4296" s="254"/>
      <c r="J4296" s="210" t="str">
        <f>IF(VLOOKUP($I4289&amp;RIGHT($A4296,1),Players!$A$2:$D$132,3)&lt;&gt;0,"("&amp;VLOOKUP($I4289&amp;RIGHT($A4296,1),Players!$A$2:$D$132,4)&amp;")","")</f>
        <v/>
      </c>
    </row>
    <row r="4297" spans="1:10" ht="25.5" customHeight="1">
      <c r="A4297" s="50" t="str">
        <f>CONCATENATE($D4289,"2")</f>
        <v>H2</v>
      </c>
      <c r="B4297" s="255" t="str">
        <f>IF(VLOOKUP($A4297,Players!$A$2:$C$132,3)&lt;&gt;0,VLOOKUP($A4297,Players!$A$2:$C$132,3),"")</f>
        <v/>
      </c>
      <c r="C4297" s="255"/>
      <c r="D4297" s="255"/>
      <c r="E4297" s="255"/>
      <c r="F4297" s="255"/>
      <c r="G4297" s="254" t="str">
        <f>IF(VLOOKUP($I4289&amp;RIGHT($A4297,1),Players!$A$2:$D$132,3)&lt;&gt;0,VLOOKUP($I4289&amp;RIGHT($A4297,1),Players!$A$2:$D$132,3),"")</f>
        <v/>
      </c>
      <c r="H4297" s="254"/>
      <c r="I4297" s="254"/>
      <c r="J4297" s="210" t="str">
        <f>IF(VLOOKUP($I4289&amp;RIGHT($A4297,1),Players!$A$2:$D$132,3)&lt;&gt;0,"("&amp;VLOOKUP($I4289&amp;RIGHT($A4297,1),Players!$A$2:$D$132,4)&amp;")","")</f>
        <v/>
      </c>
    </row>
    <row r="4298" spans="1:10" ht="25.5" customHeight="1">
      <c r="A4298" s="50" t="str">
        <f>CONCATENATE($D4289,"3")</f>
        <v>H3</v>
      </c>
      <c r="B4298" s="255" t="str">
        <f>IF(VLOOKUP($A4298,Players!$A$2:$C$132,3)&lt;&gt;0,VLOOKUP($A4298,Players!$A$2:$C$132,3),"")</f>
        <v/>
      </c>
      <c r="C4298" s="255"/>
      <c r="D4298" s="255"/>
      <c r="E4298" s="255"/>
      <c r="F4298" s="255"/>
      <c r="G4298" s="254" t="str">
        <f>IF(VLOOKUP($I4289&amp;RIGHT($A4298,1),Players!$A$2:$D$132,3)&lt;&gt;0,VLOOKUP($I4289&amp;RIGHT($A4298,1),Players!$A$2:$D$132,3),"")</f>
        <v/>
      </c>
      <c r="H4298" s="254"/>
      <c r="I4298" s="254"/>
      <c r="J4298" s="210" t="str">
        <f>IF(VLOOKUP($I4289&amp;RIGHT($A4298,1),Players!$A$2:$D$132,3)&lt;&gt;0,"("&amp;VLOOKUP($I4289&amp;RIGHT($A4298,1),Players!$A$2:$D$132,4)&amp;")","")</f>
        <v/>
      </c>
    </row>
    <row r="4299" spans="1:10" ht="25.5" customHeight="1">
      <c r="A4299" s="50" t="str">
        <f>CONCATENATE($D4289,"4")</f>
        <v>H4</v>
      </c>
      <c r="B4299" s="255" t="str">
        <f>IF(VLOOKUP($A4299,Players!$A$2:$C$132,3)&lt;&gt;0,VLOOKUP($A4299,Players!$A$2:$C$132,3),"")</f>
        <v/>
      </c>
      <c r="C4299" s="255"/>
      <c r="D4299" s="255"/>
      <c r="E4299" s="255"/>
      <c r="F4299" s="255"/>
      <c r="G4299" s="254" t="str">
        <f>IF(VLOOKUP($I4289&amp;RIGHT($A4299,1),Players!$A$2:$D$132,3)&lt;&gt;0,VLOOKUP($I4289&amp;RIGHT($A4299,1),Players!$A$2:$D$132,3),"")</f>
        <v/>
      </c>
      <c r="H4299" s="254"/>
      <c r="I4299" s="254"/>
      <c r="J4299" s="210" t="str">
        <f>IF(VLOOKUP($I4289&amp;RIGHT($A4299,1),Players!$A$2:$D$132,3)&lt;&gt;0,"("&amp;VLOOKUP($I4289&amp;RIGHT($A4299,1),Players!$A$2:$D$132,4)&amp;")","")</f>
        <v/>
      </c>
    </row>
    <row r="4300" spans="1:10" ht="25.5" customHeight="1">
      <c r="A4300" s="50" t="str">
        <f>CONCATENATE($D4289,"5")</f>
        <v>H5</v>
      </c>
      <c r="B4300" s="255" t="str">
        <f>IF(VLOOKUP($A4300,Players!$A$2:$C$132,3)&lt;&gt;0,VLOOKUP($A4300,Players!$A$2:$C$132,3),"")</f>
        <v/>
      </c>
      <c r="C4300" s="255"/>
      <c r="D4300" s="255"/>
      <c r="E4300" s="255"/>
      <c r="F4300" s="255"/>
      <c r="G4300" s="254" t="str">
        <f>IF(VLOOKUP($I4289&amp;RIGHT($A4300,1),Players!$A$2:$D$132,3)&lt;&gt;0,VLOOKUP($I4289&amp;RIGHT($A4300,1),Players!$A$2:$D$132,3),"")</f>
        <v/>
      </c>
      <c r="H4300" s="254"/>
      <c r="I4300" s="254"/>
      <c r="J4300" s="210" t="str">
        <f>IF(VLOOKUP($I4289&amp;RIGHT($A4300,1),Players!$A$2:$D$132,3)&lt;&gt;0,"("&amp;VLOOKUP($I4289&amp;RIGHT($A4300,1),Players!$A$2:$D$132,4)&amp;")","")</f>
        <v/>
      </c>
    </row>
    <row r="4301" spans="1:10" ht="25.5" customHeight="1">
      <c r="A4301" s="50" t="str">
        <f>CONCATENATE($D4289,"6")</f>
        <v>H6</v>
      </c>
      <c r="B4301" s="255" t="str">
        <f>IF(VLOOKUP($A4301,Players!$A$2:$C$132,3)&lt;&gt;0,VLOOKUP($A4301,Players!$A$2:$C$132,3),"")</f>
        <v/>
      </c>
      <c r="C4301" s="255"/>
      <c r="D4301" s="255"/>
      <c r="E4301" s="255"/>
      <c r="F4301" s="255"/>
      <c r="G4301" s="254" t="str">
        <f>IF(VLOOKUP($I4289&amp;RIGHT($A4301,1),Players!$A$2:$D$132,3)&lt;&gt;0,VLOOKUP($I4289&amp;RIGHT($A4301,1),Players!$A$2:$D$132,3),"")</f>
        <v/>
      </c>
      <c r="H4301" s="254"/>
      <c r="I4301" s="254"/>
      <c r="J4301" s="210" t="str">
        <f>IF(VLOOKUP($I4289&amp;RIGHT($A4301,1),Players!$A$2:$D$132,3)&lt;&gt;0,"("&amp;VLOOKUP($I4289&amp;RIGHT($A4301,1),Players!$A$2:$D$132,4)&amp;")","")</f>
        <v/>
      </c>
    </row>
    <row r="4302" spans="1:10" ht="25.5" customHeight="1">
      <c r="A4302" s="50" t="str">
        <f>CONCATENATE($D4289,"7")</f>
        <v>H7</v>
      </c>
      <c r="B4302" s="255" t="str">
        <f>IF(VLOOKUP($A4302,Players!$A$2:$C$132,3)&lt;&gt;0,VLOOKUP($A4302,Players!$A$2:$C$132,3),"")</f>
        <v/>
      </c>
      <c r="C4302" s="255"/>
      <c r="D4302" s="255"/>
      <c r="E4302" s="255"/>
      <c r="F4302" s="255"/>
      <c r="G4302" s="254" t="str">
        <f>IF(VLOOKUP($I4289&amp;RIGHT($A4302,1),Players!$A$2:$D$132,3)&lt;&gt;0,VLOOKUP($I4289&amp;RIGHT($A4302,1),Players!$A$2:$D$132,3),"")</f>
        <v/>
      </c>
      <c r="H4302" s="254"/>
      <c r="I4302" s="254"/>
      <c r="J4302" s="210" t="str">
        <f>IF(VLOOKUP($I4289&amp;RIGHT($A4302,1),Players!$A$2:$D$132,3)&lt;&gt;0,"("&amp;VLOOKUP($I4289&amp;RIGHT($A4302,1),Players!$A$2:$D$132,4)&amp;")","")</f>
        <v/>
      </c>
    </row>
    <row r="4303" spans="1:10" ht="25.5" customHeight="1">
      <c r="A4303" s="50" t="str">
        <f>CONCATENATE($D4289,"8")</f>
        <v>H8</v>
      </c>
      <c r="B4303" s="255" t="str">
        <f>IF(VLOOKUP($A4303,Players!$A$2:$C$132,3)&lt;&gt;0,VLOOKUP($A4303,Players!$A$2:$C$132,3),"")</f>
        <v/>
      </c>
      <c r="C4303" s="255"/>
      <c r="D4303" s="255"/>
      <c r="E4303" s="255"/>
      <c r="F4303" s="255"/>
      <c r="G4303" s="254" t="str">
        <f>IF(VLOOKUP($I4289&amp;RIGHT($A4303,1),Players!$A$2:$D$132,3)&lt;&gt;0,VLOOKUP($I4289&amp;RIGHT($A4303,1),Players!$A$2:$D$132,3),"")</f>
        <v/>
      </c>
      <c r="H4303" s="254"/>
      <c r="I4303" s="254"/>
      <c r="J4303" s="210" t="str">
        <f>IF(VLOOKUP($I4289&amp;RIGHT($A4303,1),Players!$A$2:$D$132,3)&lt;&gt;0,"("&amp;VLOOKUP($I4289&amp;RIGHT($A4303,1),Players!$A$2:$D$132,4)&amp;")","")</f>
        <v/>
      </c>
    </row>
    <row r="4304" spans="1:10" ht="25.5" customHeight="1">
      <c r="A4304" s="50"/>
      <c r="B4304" s="26"/>
      <c r="C4304" s="26"/>
      <c r="D4304" s="26"/>
      <c r="E4304" s="26"/>
      <c r="F4304" s="27"/>
      <c r="G4304" s="43"/>
      <c r="H4304" s="43"/>
      <c r="I4304" s="43"/>
      <c r="J4304" s="43"/>
    </row>
    <row r="4305" spans="1:10">
      <c r="A4305" s="49" t="s">
        <v>1225</v>
      </c>
      <c r="B4305" s="46"/>
      <c r="C4305" s="46"/>
      <c r="D4305" s="46"/>
      <c r="E4305" s="46"/>
      <c r="F4305" s="46"/>
      <c r="G4305" s="43"/>
      <c r="H4305" s="43"/>
      <c r="I4305" s="43"/>
      <c r="J4305" s="43"/>
    </row>
    <row r="4306" spans="1:10">
      <c r="A4306" s="46" t="s">
        <v>1247</v>
      </c>
      <c r="B4306" s="46"/>
      <c r="C4306" s="46"/>
      <c r="D4306" s="46"/>
      <c r="E4306" s="46"/>
      <c r="F4306" s="46"/>
      <c r="G4306" s="43"/>
      <c r="H4306" s="43"/>
      <c r="I4306" s="43"/>
      <c r="J4306" s="43"/>
    </row>
    <row r="4307" spans="1:10">
      <c r="A4307" s="46" t="s">
        <v>1248</v>
      </c>
      <c r="B4307" s="46"/>
      <c r="C4307" s="46"/>
      <c r="D4307" s="46"/>
      <c r="E4307" s="46"/>
      <c r="F4307" s="46"/>
      <c r="G4307" s="43"/>
      <c r="H4307" s="43"/>
      <c r="I4307" s="43"/>
      <c r="J4307" s="43"/>
    </row>
    <row r="4308" spans="1:10" ht="13.5" thickBot="1">
      <c r="A4308" s="46"/>
      <c r="B4308" s="46"/>
      <c r="C4308" s="46"/>
      <c r="D4308" s="46"/>
      <c r="E4308" s="46"/>
      <c r="F4308" s="46"/>
      <c r="G4308" s="43"/>
      <c r="H4308" s="43"/>
      <c r="I4308" s="43"/>
      <c r="J4308" s="43"/>
    </row>
    <row r="4309" spans="1:10" ht="25.5" customHeight="1" thickBot="1">
      <c r="A4309" s="50"/>
      <c r="B4309" s="257"/>
      <c r="C4309" s="258"/>
      <c r="D4309" s="258"/>
      <c r="E4309" s="258"/>
      <c r="F4309" s="259"/>
      <c r="G4309" s="43"/>
      <c r="H4309" s="43"/>
      <c r="I4309" s="43"/>
      <c r="J4309" s="43"/>
    </row>
    <row r="4310" spans="1:10">
      <c r="A4310" s="43"/>
      <c r="B4310" s="43"/>
      <c r="C4310" s="43"/>
      <c r="D4310" s="43"/>
      <c r="E4310" s="43"/>
      <c r="F4310" s="43"/>
      <c r="G4310" s="43"/>
      <c r="H4310" s="43"/>
      <c r="I4310" s="43"/>
      <c r="J4310" s="43"/>
    </row>
    <row r="4311" spans="1:10">
      <c r="A4311" s="43"/>
      <c r="B4311" s="43"/>
      <c r="C4311" s="43"/>
      <c r="D4311" s="43"/>
      <c r="E4311" s="43"/>
      <c r="F4311" s="43"/>
      <c r="G4311" s="43"/>
      <c r="H4311" s="43"/>
      <c r="I4311" s="43"/>
      <c r="J4311" s="43"/>
    </row>
    <row r="4312" spans="1:10">
      <c r="A4312" s="43"/>
      <c r="B4312" s="43"/>
      <c r="C4312" s="43"/>
      <c r="D4312" s="43"/>
      <c r="E4312" s="43"/>
      <c r="F4312" s="43"/>
      <c r="G4312" s="43"/>
      <c r="H4312" s="43"/>
      <c r="I4312" s="43"/>
      <c r="J4312" s="43"/>
    </row>
    <row r="4313" spans="1:10">
      <c r="A4313" s="43"/>
      <c r="B4313" s="43"/>
      <c r="C4313" s="43"/>
      <c r="D4313" s="43"/>
      <c r="E4313" s="43"/>
      <c r="F4313" s="43"/>
      <c r="G4313" s="43"/>
      <c r="H4313" s="43"/>
      <c r="I4313" s="43"/>
      <c r="J4313" s="43"/>
    </row>
    <row r="4314" spans="1:10">
      <c r="A4314" s="43"/>
      <c r="B4314" s="43"/>
      <c r="C4314" s="43"/>
      <c r="D4314" s="43"/>
      <c r="E4314" s="43"/>
      <c r="F4314" s="43"/>
      <c r="G4314" s="43"/>
      <c r="H4314" s="43"/>
      <c r="I4314" s="43"/>
      <c r="J4314" s="43"/>
    </row>
    <row r="4315" spans="1:10" ht="25.5" customHeight="1">
      <c r="A4315" s="47"/>
      <c r="B4315" s="47"/>
      <c r="C4315" s="47"/>
      <c r="D4315" s="47"/>
      <c r="E4315" s="47"/>
      <c r="F4315" s="43"/>
      <c r="G4315" s="51"/>
      <c r="H4315" s="250" t="s">
        <v>1227</v>
      </c>
      <c r="I4315" s="251"/>
      <c r="J4315" s="43"/>
    </row>
    <row r="4316" spans="1:10">
      <c r="A4316" s="43" t="s">
        <v>1226</v>
      </c>
      <c r="B4316" s="43"/>
      <c r="C4316" s="43"/>
      <c r="D4316" s="43"/>
      <c r="E4316" s="43"/>
      <c r="F4316" s="43"/>
      <c r="G4316" s="43"/>
      <c r="H4316" s="43"/>
      <c r="I4316" s="43"/>
      <c r="J4316" s="43"/>
    </row>
    <row r="4317" spans="1:10">
      <c r="A4317" s="43"/>
      <c r="B4317" s="43"/>
      <c r="C4317" s="43"/>
      <c r="D4317" s="43"/>
      <c r="E4317" s="43"/>
      <c r="F4317" s="43"/>
      <c r="G4317" s="43"/>
      <c r="H4317" s="43"/>
      <c r="I4317" s="43"/>
      <c r="J4317" s="43"/>
    </row>
    <row r="4318" spans="1:10">
      <c r="A4318" s="43"/>
      <c r="B4318" s="43"/>
      <c r="C4318" s="43"/>
      <c r="D4318" s="43"/>
      <c r="E4318" s="256" t="str">
        <f>CONCATENATE("(",$D4289," vs ",$I4289,")")</f>
        <v>(H vs J)</v>
      </c>
      <c r="F4318" s="256"/>
      <c r="G4318" s="43"/>
      <c r="H4318" s="43"/>
      <c r="I4318" s="43"/>
      <c r="J4318" s="43"/>
    </row>
    <row r="4319" spans="1:10" ht="15.75">
      <c r="A4319" s="42" t="s">
        <v>1223</v>
      </c>
      <c r="B4319" s="43"/>
      <c r="C4319" s="43"/>
      <c r="D4319" s="43"/>
      <c r="E4319" s="43"/>
      <c r="F4319" s="43"/>
      <c r="G4319" s="43"/>
      <c r="H4319" s="43"/>
      <c r="I4319" s="43"/>
      <c r="J4319" s="96" t="s">
        <v>4346</v>
      </c>
    </row>
    <row r="4320" spans="1:10" ht="12.75" customHeight="1">
      <c r="A4320" s="42"/>
      <c r="B4320" s="43"/>
      <c r="C4320" s="43"/>
      <c r="D4320" s="43"/>
      <c r="E4320" s="43"/>
      <c r="F4320" s="43"/>
      <c r="G4320" s="43" t="str">
        <f ca="1">Team_Matches!$J$6</f>
        <v>[NCTTA Teams Template (v2.06).xlsx]</v>
      </c>
      <c r="H4320" s="43"/>
      <c r="I4320" s="43"/>
      <c r="J4320" s="160"/>
    </row>
    <row r="4321" spans="1:10" ht="12.75" customHeight="1">
      <c r="A4321" s="42"/>
      <c r="B4321" s="43"/>
      <c r="C4321" s="43"/>
      <c r="D4321" s="43"/>
      <c r="E4321" s="43"/>
      <c r="F4321" s="43"/>
      <c r="G4321" s="247" t="str">
        <f>Team_Matches!$J3220</f>
        <v/>
      </c>
      <c r="H4321" s="247"/>
      <c r="I4321" s="161" t="str">
        <f>Team_Matches!$M3220</f>
        <v/>
      </c>
      <c r="J4321" s="161"/>
    </row>
    <row r="4322" spans="1:10" ht="15.75">
      <c r="A4322" s="42"/>
      <c r="B4322" s="43"/>
      <c r="C4322" s="43"/>
      <c r="D4322" s="43"/>
      <c r="E4322" s="43"/>
      <c r="F4322" s="43"/>
      <c r="G4322" s="43"/>
      <c r="H4322" s="43"/>
      <c r="I4322" s="43"/>
      <c r="J4322" s="43"/>
    </row>
    <row r="4323" spans="1:10">
      <c r="A4323" s="43"/>
      <c r="B4323" s="43"/>
      <c r="C4323" s="9" t="s">
        <v>1228</v>
      </c>
      <c r="D4323" s="52" t="str">
        <f>Team_Matches!$B3222</f>
        <v>H</v>
      </c>
      <c r="E4323" s="43"/>
      <c r="F4323" s="97" t="str">
        <f>CONCATENATE($D4323,"-",$I4323)</f>
        <v>H-J</v>
      </c>
      <c r="G4323" s="43"/>
      <c r="H4323" s="9" t="s">
        <v>1228</v>
      </c>
      <c r="I4323" s="52" t="str">
        <f>Team_Matches!$K3222</f>
        <v>J</v>
      </c>
      <c r="J4323" s="43"/>
    </row>
    <row r="4324" spans="1:10" ht="25.5" customHeight="1">
      <c r="A4324" s="44"/>
      <c r="B4324" s="252" t="str">
        <f>IF(VLOOKUP($D4323,Draw!$A$4:$B$27,2)&lt;&gt;0,VLOOKUP($D4323,Draw!$A$4:$B$27,2),"")</f>
        <v/>
      </c>
      <c r="C4324" s="252"/>
      <c r="D4324" s="252"/>
      <c r="E4324" s="253"/>
      <c r="F4324" s="45"/>
      <c r="G4324" s="248" t="str">
        <f>IF(VLOOKUP($I4323,Draw!$A$4:$B$27,2)&lt;&gt;0,VLOOKUP($I4323,Draw!$A$4:$B$27,2),"")</f>
        <v/>
      </c>
      <c r="H4324" s="248"/>
      <c r="I4324" s="248"/>
      <c r="J4324" s="249"/>
    </row>
    <row r="4325" spans="1:10" ht="25.5" customHeight="1"/>
    <row r="4326" spans="1:10" ht="25.5" customHeight="1"/>
    <row r="4327" spans="1:10" ht="24" customHeight="1">
      <c r="A4327" s="48" t="s">
        <v>1246</v>
      </c>
      <c r="B4327" s="43"/>
      <c r="C4327" s="43"/>
      <c r="D4327" s="43"/>
      <c r="E4327" s="43"/>
      <c r="F4327" s="43"/>
      <c r="G4327" s="43"/>
      <c r="H4327" s="43"/>
      <c r="I4327" s="43"/>
      <c r="J4327" s="43"/>
    </row>
    <row r="4328" spans="1:10" ht="24" customHeight="1">
      <c r="A4328" s="48"/>
      <c r="B4328" s="43"/>
      <c r="C4328" s="43"/>
      <c r="D4328" s="43"/>
      <c r="E4328" s="43"/>
      <c r="F4328" s="43"/>
      <c r="G4328" s="43"/>
      <c r="H4328" s="43"/>
      <c r="I4328" s="43"/>
      <c r="J4328" s="43"/>
    </row>
    <row r="4329" spans="1:10">
      <c r="A4329" s="49" t="s">
        <v>1224</v>
      </c>
      <c r="B4329" s="46"/>
      <c r="C4329" s="46"/>
      <c r="D4329" s="46"/>
      <c r="E4329" s="46"/>
      <c r="F4329" s="46"/>
      <c r="G4329" s="260" t="s">
        <v>10336</v>
      </c>
      <c r="H4329" s="260"/>
      <c r="I4329" s="260"/>
      <c r="J4329" s="260"/>
    </row>
    <row r="4330" spans="1:10" ht="24" customHeight="1">
      <c r="A4330" s="50" t="str">
        <f>CONCATENATE($I4323,"1")</f>
        <v>J1</v>
      </c>
      <c r="B4330" s="255" t="str">
        <f>IF(VLOOKUP($A4330,Players!$A$2:$C$132,3)&lt;&gt;0,VLOOKUP($A4330,Players!$A$2:$C$132,3),"")</f>
        <v/>
      </c>
      <c r="C4330" s="255"/>
      <c r="D4330" s="255"/>
      <c r="E4330" s="255"/>
      <c r="F4330" s="255"/>
      <c r="G4330" s="254" t="str">
        <f>IF(VLOOKUP($D4323&amp;RIGHT($A4330,1),Players!$A$2:$D$132,3)&lt;&gt;0,VLOOKUP($D4323&amp;RIGHT($A4330,1),Players!$A$2:$D$132,3),"")</f>
        <v/>
      </c>
      <c r="H4330" s="254"/>
      <c r="I4330" s="254"/>
      <c r="J4330" s="210" t="str">
        <f>IF(VLOOKUP($D4323&amp;RIGHT($A4330,1),Players!$A$2:$D$132,3)&lt;&gt;0,"("&amp;VLOOKUP($D4323&amp;RIGHT($A4330,1),Players!$A$2:$D$132,4)&amp;")","")</f>
        <v/>
      </c>
    </row>
    <row r="4331" spans="1:10" ht="25.5" customHeight="1">
      <c r="A4331" s="50" t="str">
        <f>CONCATENATE($I4323,"2")</f>
        <v>J2</v>
      </c>
      <c r="B4331" s="255" t="str">
        <f>IF(VLOOKUP($A4331,Players!$A$2:$C$132,3)&lt;&gt;0,VLOOKUP($A4331,Players!$A$2:$C$132,3),"")</f>
        <v/>
      </c>
      <c r="C4331" s="255"/>
      <c r="D4331" s="255"/>
      <c r="E4331" s="255"/>
      <c r="F4331" s="255"/>
      <c r="G4331" s="254" t="str">
        <f>IF(VLOOKUP($D4323&amp;RIGHT($A4331,1),Players!$A$2:$D$132,3)&lt;&gt;0,VLOOKUP($D4323&amp;RIGHT($A4331,1),Players!$A$2:$D$132,3),"")</f>
        <v/>
      </c>
      <c r="H4331" s="254"/>
      <c r="I4331" s="254"/>
      <c r="J4331" s="210" t="str">
        <f>IF(VLOOKUP($D4323&amp;RIGHT($A4331,1),Players!$A$2:$D$132,3)&lt;&gt;0,"("&amp;VLOOKUP($D4323&amp;RIGHT($A4331,1),Players!$A$2:$D$132,4)&amp;")","")</f>
        <v/>
      </c>
    </row>
    <row r="4332" spans="1:10" ht="25.5" customHeight="1">
      <c r="A4332" s="50" t="str">
        <f>CONCATENATE($I4323,"3")</f>
        <v>J3</v>
      </c>
      <c r="B4332" s="255" t="str">
        <f>IF(VLOOKUP($A4332,Players!$A$2:$C$132,3)&lt;&gt;0,VLOOKUP($A4332,Players!$A$2:$C$132,3),"")</f>
        <v/>
      </c>
      <c r="C4332" s="255"/>
      <c r="D4332" s="255"/>
      <c r="E4332" s="255"/>
      <c r="F4332" s="255"/>
      <c r="G4332" s="254" t="str">
        <f>IF(VLOOKUP($D4323&amp;RIGHT($A4332,1),Players!$A$2:$D$132,3)&lt;&gt;0,VLOOKUP($D4323&amp;RIGHT($A4332,1),Players!$A$2:$D$132,3),"")</f>
        <v/>
      </c>
      <c r="H4332" s="254"/>
      <c r="I4332" s="254"/>
      <c r="J4332" s="210" t="str">
        <f>IF(VLOOKUP($D4323&amp;RIGHT($A4332,1),Players!$A$2:$D$132,3)&lt;&gt;0,"("&amp;VLOOKUP($D4323&amp;RIGHT($A4332,1),Players!$A$2:$D$132,4)&amp;")","")</f>
        <v/>
      </c>
    </row>
    <row r="4333" spans="1:10" ht="25.5" customHeight="1">
      <c r="A4333" s="50" t="str">
        <f>CONCATENATE($I4323,"4")</f>
        <v>J4</v>
      </c>
      <c r="B4333" s="255" t="str">
        <f>IF(VLOOKUP($A4333,Players!$A$2:$C$132,3)&lt;&gt;0,VLOOKUP($A4333,Players!$A$2:$C$132,3),"")</f>
        <v/>
      </c>
      <c r="C4333" s="255"/>
      <c r="D4333" s="255"/>
      <c r="E4333" s="255"/>
      <c r="F4333" s="255"/>
      <c r="G4333" s="254" t="str">
        <f>IF(VLOOKUP($D4323&amp;RIGHT($A4333,1),Players!$A$2:$D$132,3)&lt;&gt;0,VLOOKUP($D4323&amp;RIGHT($A4333,1),Players!$A$2:$D$132,3),"")</f>
        <v/>
      </c>
      <c r="H4333" s="254"/>
      <c r="I4333" s="254"/>
      <c r="J4333" s="210" t="str">
        <f>IF(VLOOKUP($D4323&amp;RIGHT($A4333,1),Players!$A$2:$D$132,3)&lt;&gt;0,"("&amp;VLOOKUP($D4323&amp;RIGHT($A4333,1),Players!$A$2:$D$132,4)&amp;")","")</f>
        <v/>
      </c>
    </row>
    <row r="4334" spans="1:10" ht="25.5" customHeight="1">
      <c r="A4334" s="50" t="str">
        <f>CONCATENATE($I4323,"5")</f>
        <v>J5</v>
      </c>
      <c r="B4334" s="255" t="str">
        <f>IF(VLOOKUP($A4334,Players!$A$2:$C$132,3)&lt;&gt;0,VLOOKUP($A4334,Players!$A$2:$C$132,3),"")</f>
        <v/>
      </c>
      <c r="C4334" s="255"/>
      <c r="D4334" s="255"/>
      <c r="E4334" s="255"/>
      <c r="F4334" s="255"/>
      <c r="G4334" s="254" t="str">
        <f>IF(VLOOKUP($D4323&amp;RIGHT($A4334,1),Players!$A$2:$D$132,3)&lt;&gt;0,VLOOKUP($D4323&amp;RIGHT($A4334,1),Players!$A$2:$D$132,3),"")</f>
        <v/>
      </c>
      <c r="H4334" s="254"/>
      <c r="I4334" s="254"/>
      <c r="J4334" s="210" t="str">
        <f>IF(VLOOKUP($D4323&amp;RIGHT($A4334,1),Players!$A$2:$D$132,3)&lt;&gt;0,"("&amp;VLOOKUP($D4323&amp;RIGHT($A4334,1),Players!$A$2:$D$132,4)&amp;")","")</f>
        <v/>
      </c>
    </row>
    <row r="4335" spans="1:10" ht="25.5" customHeight="1">
      <c r="A4335" s="50" t="str">
        <f>CONCATENATE($I4323,"6")</f>
        <v>J6</v>
      </c>
      <c r="B4335" s="255" t="str">
        <f>IF(VLOOKUP($A4335,Players!$A$2:$C$132,3)&lt;&gt;0,VLOOKUP($A4335,Players!$A$2:$C$132,3),"")</f>
        <v/>
      </c>
      <c r="C4335" s="255"/>
      <c r="D4335" s="255"/>
      <c r="E4335" s="255"/>
      <c r="F4335" s="255"/>
      <c r="G4335" s="254" t="str">
        <f>IF(VLOOKUP($D4323&amp;RIGHT($A4335,1),Players!$A$2:$D$132,3)&lt;&gt;0,VLOOKUP($D4323&amp;RIGHT($A4335,1),Players!$A$2:$D$132,3),"")</f>
        <v/>
      </c>
      <c r="H4335" s="254"/>
      <c r="I4335" s="254"/>
      <c r="J4335" s="210" t="str">
        <f>IF(VLOOKUP($D4323&amp;RIGHT($A4335,1),Players!$A$2:$D$132,3)&lt;&gt;0,"("&amp;VLOOKUP($D4323&amp;RIGHT($A4335,1),Players!$A$2:$D$132,4)&amp;")","")</f>
        <v/>
      </c>
    </row>
    <row r="4336" spans="1:10" ht="25.5" customHeight="1">
      <c r="A4336" s="50" t="str">
        <f>CONCATENATE($I4323,"7")</f>
        <v>J7</v>
      </c>
      <c r="B4336" s="255" t="str">
        <f>IF(VLOOKUP($A4336,Players!$A$2:$C$132,3)&lt;&gt;0,VLOOKUP($A4336,Players!$A$2:$C$132,3),"")</f>
        <v/>
      </c>
      <c r="C4336" s="255"/>
      <c r="D4336" s="255"/>
      <c r="E4336" s="255"/>
      <c r="F4336" s="255"/>
      <c r="G4336" s="254" t="str">
        <f>IF(VLOOKUP($D4323&amp;RIGHT($A4336,1),Players!$A$2:$D$132,3)&lt;&gt;0,VLOOKUP($D4323&amp;RIGHT($A4336,1),Players!$A$2:$D$132,3),"")</f>
        <v/>
      </c>
      <c r="H4336" s="254"/>
      <c r="I4336" s="254"/>
      <c r="J4336" s="210" t="str">
        <f>IF(VLOOKUP($D4323&amp;RIGHT($A4336,1),Players!$A$2:$D$132,3)&lt;&gt;0,"("&amp;VLOOKUP($D4323&amp;RIGHT($A4336,1),Players!$A$2:$D$132,4)&amp;")","")</f>
        <v/>
      </c>
    </row>
    <row r="4337" spans="1:10" ht="25.5" customHeight="1">
      <c r="A4337" s="50" t="str">
        <f>CONCATENATE($I4323,"8")</f>
        <v>J8</v>
      </c>
      <c r="B4337" s="255" t="str">
        <f>IF(VLOOKUP($A4337,Players!$A$2:$C$132,3)&lt;&gt;0,VLOOKUP($A4337,Players!$A$2:$C$132,3),"")</f>
        <v/>
      </c>
      <c r="C4337" s="255"/>
      <c r="D4337" s="255"/>
      <c r="E4337" s="255"/>
      <c r="F4337" s="255"/>
      <c r="G4337" s="254" t="str">
        <f>IF(VLOOKUP($D4323&amp;RIGHT($A4337,1),Players!$A$2:$D$132,3)&lt;&gt;0,VLOOKUP($D4323&amp;RIGHT($A4337,1),Players!$A$2:$D$132,3),"")</f>
        <v/>
      </c>
      <c r="H4337" s="254"/>
      <c r="I4337" s="254"/>
      <c r="J4337" s="210" t="str">
        <f>IF(VLOOKUP($D4323&amp;RIGHT($A4337,1),Players!$A$2:$D$132,3)&lt;&gt;0,"("&amp;VLOOKUP($D4323&amp;RIGHT($A4337,1),Players!$A$2:$D$132,4)&amp;")","")</f>
        <v/>
      </c>
    </row>
    <row r="4338" spans="1:10" ht="25.5" customHeight="1">
      <c r="A4338" s="50"/>
      <c r="B4338" s="26"/>
      <c r="C4338" s="26"/>
      <c r="D4338" s="26"/>
      <c r="E4338" s="26"/>
      <c r="F4338" s="27"/>
      <c r="G4338" s="43"/>
      <c r="H4338" s="43"/>
      <c r="I4338" s="43"/>
      <c r="J4338" s="43"/>
    </row>
    <row r="4339" spans="1:10">
      <c r="A4339" s="49" t="s">
        <v>1225</v>
      </c>
      <c r="B4339" s="46"/>
      <c r="C4339" s="46"/>
      <c r="D4339" s="46"/>
      <c r="E4339" s="46"/>
      <c r="F4339" s="46"/>
      <c r="G4339" s="43"/>
      <c r="H4339" s="43"/>
      <c r="I4339" s="43"/>
      <c r="J4339" s="43"/>
    </row>
    <row r="4340" spans="1:10">
      <c r="A4340" s="46" t="s">
        <v>1247</v>
      </c>
      <c r="B4340" s="46"/>
      <c r="C4340" s="46"/>
      <c r="D4340" s="46"/>
      <c r="E4340" s="46"/>
      <c r="F4340" s="46"/>
      <c r="G4340" s="43"/>
      <c r="H4340" s="43"/>
      <c r="I4340" s="43"/>
      <c r="J4340" s="43"/>
    </row>
    <row r="4341" spans="1:10">
      <c r="A4341" s="46" t="s">
        <v>1248</v>
      </c>
      <c r="B4341" s="46"/>
      <c r="C4341" s="46"/>
      <c r="D4341" s="46"/>
      <c r="E4341" s="46"/>
      <c r="F4341" s="46"/>
      <c r="G4341" s="43"/>
      <c r="H4341" s="43"/>
      <c r="I4341" s="43"/>
      <c r="J4341" s="43"/>
    </row>
    <row r="4342" spans="1:10" ht="13.5" thickBot="1">
      <c r="A4342" s="46"/>
      <c r="B4342" s="46"/>
      <c r="C4342" s="46"/>
      <c r="D4342" s="46"/>
      <c r="E4342" s="46"/>
      <c r="F4342" s="46"/>
      <c r="G4342" s="43"/>
      <c r="H4342" s="43"/>
      <c r="I4342" s="43"/>
      <c r="J4342" s="43"/>
    </row>
    <row r="4343" spans="1:10" ht="25.5" customHeight="1" thickBot="1">
      <c r="A4343" s="50"/>
      <c r="B4343" s="257"/>
      <c r="C4343" s="258"/>
      <c r="D4343" s="258"/>
      <c r="E4343" s="258"/>
      <c r="F4343" s="259"/>
      <c r="G4343" s="43"/>
      <c r="H4343" s="43"/>
      <c r="I4343" s="43"/>
      <c r="J4343" s="43"/>
    </row>
    <row r="4344" spans="1:10">
      <c r="A4344" s="43"/>
      <c r="B4344" s="43"/>
      <c r="C4344" s="43"/>
      <c r="D4344" s="43"/>
      <c r="E4344" s="43"/>
      <c r="F4344" s="43"/>
      <c r="G4344" s="43"/>
      <c r="H4344" s="43"/>
      <c r="I4344" s="43"/>
      <c r="J4344" s="43"/>
    </row>
    <row r="4345" spans="1:10">
      <c r="A4345" s="43"/>
      <c r="B4345" s="43"/>
      <c r="C4345" s="43"/>
      <c r="D4345" s="43"/>
      <c r="E4345" s="43"/>
      <c r="F4345" s="43"/>
      <c r="G4345" s="43"/>
      <c r="H4345" s="43"/>
      <c r="I4345" s="43"/>
      <c r="J4345" s="43"/>
    </row>
    <row r="4346" spans="1:10">
      <c r="A4346" s="43"/>
      <c r="B4346" s="43"/>
      <c r="C4346" s="43"/>
      <c r="D4346" s="43"/>
      <c r="E4346" s="43"/>
      <c r="F4346" s="43"/>
      <c r="G4346" s="43"/>
      <c r="H4346" s="43"/>
      <c r="I4346" s="43"/>
      <c r="J4346" s="43"/>
    </row>
    <row r="4347" spans="1:10">
      <c r="A4347" s="43"/>
      <c r="B4347" s="43"/>
      <c r="C4347" s="43"/>
      <c r="D4347" s="43"/>
      <c r="E4347" s="43"/>
      <c r="F4347" s="43"/>
      <c r="G4347" s="43"/>
      <c r="H4347" s="43"/>
      <c r="I4347" s="43"/>
      <c r="J4347" s="43"/>
    </row>
    <row r="4348" spans="1:10">
      <c r="A4348" s="43"/>
      <c r="B4348" s="43"/>
      <c r="C4348" s="43"/>
      <c r="D4348" s="43"/>
      <c r="E4348" s="43"/>
      <c r="F4348" s="43"/>
      <c r="G4348" s="43"/>
      <c r="H4348" s="43"/>
      <c r="I4348" s="43"/>
      <c r="J4348" s="43"/>
    </row>
    <row r="4349" spans="1:10" ht="25.5" customHeight="1">
      <c r="A4349" s="47"/>
      <c r="B4349" s="47"/>
      <c r="C4349" s="47"/>
      <c r="D4349" s="47"/>
      <c r="E4349" s="47"/>
      <c r="F4349" s="43"/>
      <c r="G4349" s="51"/>
      <c r="H4349" s="250" t="s">
        <v>1227</v>
      </c>
      <c r="I4349" s="251"/>
      <c r="J4349" s="43"/>
    </row>
    <row r="4350" spans="1:10">
      <c r="A4350" s="43" t="s">
        <v>1226</v>
      </c>
      <c r="B4350" s="43"/>
      <c r="C4350" s="43"/>
      <c r="D4350" s="43"/>
      <c r="E4350" s="43"/>
      <c r="F4350" s="43"/>
      <c r="G4350" s="43"/>
      <c r="H4350" s="43"/>
      <c r="I4350" s="43"/>
      <c r="J4350" s="43"/>
    </row>
    <row r="4351" spans="1:10">
      <c r="A4351" s="43"/>
      <c r="B4351" s="43"/>
      <c r="C4351" s="43"/>
      <c r="D4351" s="43"/>
      <c r="E4351" s="43"/>
      <c r="F4351" s="43"/>
      <c r="G4351" s="43"/>
      <c r="H4351" s="43"/>
      <c r="I4351" s="43"/>
      <c r="J4351" s="43"/>
    </row>
    <row r="4352" spans="1:10">
      <c r="A4352" s="43"/>
      <c r="B4352" s="43"/>
      <c r="C4352" s="43"/>
      <c r="D4352" s="43"/>
      <c r="E4352" s="256" t="str">
        <f>CONCATENATE("(",$D4323," vs ",$I4323,")")</f>
        <v>(H vs J)</v>
      </c>
      <c r="F4352" s="256"/>
      <c r="G4352" s="43"/>
      <c r="H4352" s="43"/>
      <c r="I4352" s="43"/>
      <c r="J4352" s="43"/>
    </row>
    <row r="4353" spans="1:10" ht="15.75">
      <c r="A4353" s="42" t="s">
        <v>1223</v>
      </c>
      <c r="B4353" s="43"/>
      <c r="C4353" s="43"/>
      <c r="D4353" s="43"/>
      <c r="E4353" s="43"/>
      <c r="F4353" s="43"/>
      <c r="G4353" s="43"/>
      <c r="H4353" s="43"/>
      <c r="I4353" s="43"/>
      <c r="J4353" s="96" t="s">
        <v>4347</v>
      </c>
    </row>
    <row r="4354" spans="1:10" ht="12.75" customHeight="1">
      <c r="A4354" s="42"/>
      <c r="B4354" s="43"/>
      <c r="C4354" s="43"/>
      <c r="D4354" s="43"/>
      <c r="E4354" s="43"/>
      <c r="F4354" s="43"/>
      <c r="G4354" s="43" t="str">
        <f ca="1">Team_Matches!$J$6</f>
        <v>[NCTTA Teams Template (v2.06).xlsx]</v>
      </c>
      <c r="H4354" s="43"/>
      <c r="I4354" s="43"/>
      <c r="J4354" s="160"/>
    </row>
    <row r="4355" spans="1:10" ht="12.75" customHeight="1">
      <c r="A4355" s="42"/>
      <c r="B4355" s="43"/>
      <c r="C4355" s="43"/>
      <c r="D4355" s="43"/>
      <c r="E4355" s="43"/>
      <c r="F4355" s="43"/>
      <c r="G4355" s="247" t="str">
        <f>Team_Matches!$J3271</f>
        <v/>
      </c>
      <c r="H4355" s="247"/>
      <c r="I4355" s="161" t="str">
        <f>Team_Matches!$M3271</f>
        <v/>
      </c>
      <c r="J4355" s="161"/>
    </row>
    <row r="4356" spans="1:10" ht="15.75">
      <c r="A4356" s="42"/>
      <c r="B4356" s="43"/>
      <c r="C4356" s="43"/>
      <c r="D4356" s="43"/>
      <c r="E4356" s="43"/>
      <c r="F4356" s="43"/>
      <c r="G4356" s="43"/>
      <c r="H4356" s="43"/>
      <c r="I4356" s="43"/>
      <c r="J4356" s="43"/>
    </row>
    <row r="4357" spans="1:10">
      <c r="A4357" s="43"/>
      <c r="B4357" s="43"/>
      <c r="C4357" s="9" t="s">
        <v>1228</v>
      </c>
      <c r="D4357" s="3" t="str">
        <f>Team_Matches!$B3273</f>
        <v>H</v>
      </c>
      <c r="E4357" s="43"/>
      <c r="F4357" s="97" t="str">
        <f>CONCATENATE($D4357,"-",$I4357)</f>
        <v>H-K</v>
      </c>
      <c r="G4357" s="43"/>
      <c r="H4357" s="9" t="s">
        <v>1228</v>
      </c>
      <c r="I4357" s="3" t="str">
        <f>Team_Matches!$K3273</f>
        <v>K</v>
      </c>
      <c r="J4357" s="43"/>
    </row>
    <row r="4358" spans="1:10" ht="25.5" customHeight="1">
      <c r="A4358" s="44"/>
      <c r="B4358" s="248" t="str">
        <f>IF(VLOOKUP($D4357,Draw!$A$4:$B$27,2)&lt;&gt;0,VLOOKUP($D4357,Draw!$A$4:$B$27,2),"")</f>
        <v/>
      </c>
      <c r="C4358" s="248"/>
      <c r="D4358" s="248"/>
      <c r="E4358" s="249"/>
      <c r="F4358" s="45"/>
      <c r="G4358" s="252" t="str">
        <f>IF(VLOOKUP($I4357,Draw!$A$4:$B$27,2)&lt;&gt;0,VLOOKUP($I4357,Draw!$A$4:$B$27,2),"")</f>
        <v/>
      </c>
      <c r="H4358" s="252"/>
      <c r="I4358" s="252"/>
      <c r="J4358" s="253"/>
    </row>
    <row r="4359" spans="1:10" ht="25.5" customHeight="1"/>
    <row r="4360" spans="1:10" ht="25.5" customHeight="1"/>
    <row r="4361" spans="1:10" ht="24" customHeight="1">
      <c r="A4361" s="48" t="s">
        <v>1246</v>
      </c>
      <c r="B4361" s="43"/>
      <c r="C4361" s="43"/>
      <c r="D4361" s="43"/>
      <c r="E4361" s="43"/>
      <c r="F4361" s="43"/>
      <c r="G4361" s="43"/>
      <c r="H4361" s="43"/>
      <c r="I4361" s="43"/>
      <c r="J4361" s="43"/>
    </row>
    <row r="4362" spans="1:10" ht="24" customHeight="1">
      <c r="A4362" s="48"/>
      <c r="B4362" s="43"/>
      <c r="C4362" s="43"/>
      <c r="D4362" s="43"/>
      <c r="E4362" s="43"/>
      <c r="F4362" s="43"/>
      <c r="G4362" s="43"/>
      <c r="H4362" s="43"/>
      <c r="I4362" s="43"/>
      <c r="J4362" s="43"/>
    </row>
    <row r="4363" spans="1:10">
      <c r="A4363" s="49" t="s">
        <v>1224</v>
      </c>
      <c r="B4363" s="46"/>
      <c r="C4363" s="46"/>
      <c r="D4363" s="46"/>
      <c r="E4363" s="46"/>
      <c r="F4363" s="46"/>
      <c r="G4363" s="260" t="s">
        <v>10336</v>
      </c>
      <c r="H4363" s="260"/>
      <c r="I4363" s="260"/>
      <c r="J4363" s="260"/>
    </row>
    <row r="4364" spans="1:10" ht="24" customHeight="1">
      <c r="A4364" s="50" t="str">
        <f>CONCATENATE($D4357,"1")</f>
        <v>H1</v>
      </c>
      <c r="B4364" s="255" t="str">
        <f>IF(VLOOKUP($A4364,Players!$A$2:$C$132,3)&lt;&gt;0,VLOOKUP($A4364,Players!$A$2:$C$132,3),"")</f>
        <v/>
      </c>
      <c r="C4364" s="255"/>
      <c r="D4364" s="255"/>
      <c r="E4364" s="255"/>
      <c r="F4364" s="255"/>
      <c r="G4364" s="254" t="str">
        <f>IF(VLOOKUP($I4357&amp;RIGHT($A4364,1),Players!$A$2:$D$132,3)&lt;&gt;0,VLOOKUP($I4357&amp;RIGHT($A4364,1),Players!$A$2:$D$132,3),"")</f>
        <v/>
      </c>
      <c r="H4364" s="254"/>
      <c r="I4364" s="254"/>
      <c r="J4364" s="210" t="str">
        <f>IF(VLOOKUP($I4357&amp;RIGHT($A4364,1),Players!$A$2:$D$132,3)&lt;&gt;0,"("&amp;VLOOKUP($I4357&amp;RIGHT($A4364,1),Players!$A$2:$D$132,4)&amp;")","")</f>
        <v/>
      </c>
    </row>
    <row r="4365" spans="1:10" ht="25.5" customHeight="1">
      <c r="A4365" s="50" t="str">
        <f>CONCATENATE($D4357,"2")</f>
        <v>H2</v>
      </c>
      <c r="B4365" s="255" t="str">
        <f>IF(VLOOKUP($A4365,Players!$A$2:$C$132,3)&lt;&gt;0,VLOOKUP($A4365,Players!$A$2:$C$132,3),"")</f>
        <v/>
      </c>
      <c r="C4365" s="255"/>
      <c r="D4365" s="255"/>
      <c r="E4365" s="255"/>
      <c r="F4365" s="255"/>
      <c r="G4365" s="254" t="str">
        <f>IF(VLOOKUP($I4357&amp;RIGHT($A4365,1),Players!$A$2:$D$132,3)&lt;&gt;0,VLOOKUP($I4357&amp;RIGHT($A4365,1),Players!$A$2:$D$132,3),"")</f>
        <v/>
      </c>
      <c r="H4365" s="254"/>
      <c r="I4365" s="254"/>
      <c r="J4365" s="210" t="str">
        <f>IF(VLOOKUP($I4357&amp;RIGHT($A4365,1),Players!$A$2:$D$132,3)&lt;&gt;0,"("&amp;VLOOKUP($I4357&amp;RIGHT($A4365,1),Players!$A$2:$D$132,4)&amp;")","")</f>
        <v/>
      </c>
    </row>
    <row r="4366" spans="1:10" ht="25.5" customHeight="1">
      <c r="A4366" s="50" t="str">
        <f>CONCATENATE($D4357,"3")</f>
        <v>H3</v>
      </c>
      <c r="B4366" s="255" t="str">
        <f>IF(VLOOKUP($A4366,Players!$A$2:$C$132,3)&lt;&gt;0,VLOOKUP($A4366,Players!$A$2:$C$132,3),"")</f>
        <v/>
      </c>
      <c r="C4366" s="255"/>
      <c r="D4366" s="255"/>
      <c r="E4366" s="255"/>
      <c r="F4366" s="255"/>
      <c r="G4366" s="254" t="str">
        <f>IF(VLOOKUP($I4357&amp;RIGHT($A4366,1),Players!$A$2:$D$132,3)&lt;&gt;0,VLOOKUP($I4357&amp;RIGHT($A4366,1),Players!$A$2:$D$132,3),"")</f>
        <v/>
      </c>
      <c r="H4366" s="254"/>
      <c r="I4366" s="254"/>
      <c r="J4366" s="210" t="str">
        <f>IF(VLOOKUP($I4357&amp;RIGHT($A4366,1),Players!$A$2:$D$132,3)&lt;&gt;0,"("&amp;VLOOKUP($I4357&amp;RIGHT($A4366,1),Players!$A$2:$D$132,4)&amp;")","")</f>
        <v/>
      </c>
    </row>
    <row r="4367" spans="1:10" ht="25.5" customHeight="1">
      <c r="A4367" s="50" t="str">
        <f>CONCATENATE($D4357,"4")</f>
        <v>H4</v>
      </c>
      <c r="B4367" s="255" t="str">
        <f>IF(VLOOKUP($A4367,Players!$A$2:$C$132,3)&lt;&gt;0,VLOOKUP($A4367,Players!$A$2:$C$132,3),"")</f>
        <v/>
      </c>
      <c r="C4367" s="255"/>
      <c r="D4367" s="255"/>
      <c r="E4367" s="255"/>
      <c r="F4367" s="255"/>
      <c r="G4367" s="254" t="str">
        <f>IF(VLOOKUP($I4357&amp;RIGHT($A4367,1),Players!$A$2:$D$132,3)&lt;&gt;0,VLOOKUP($I4357&amp;RIGHT($A4367,1),Players!$A$2:$D$132,3),"")</f>
        <v/>
      </c>
      <c r="H4367" s="254"/>
      <c r="I4367" s="254"/>
      <c r="J4367" s="210" t="str">
        <f>IF(VLOOKUP($I4357&amp;RIGHT($A4367,1),Players!$A$2:$D$132,3)&lt;&gt;0,"("&amp;VLOOKUP($I4357&amp;RIGHT($A4367,1),Players!$A$2:$D$132,4)&amp;")","")</f>
        <v/>
      </c>
    </row>
    <row r="4368" spans="1:10" ht="25.5" customHeight="1">
      <c r="A4368" s="50" t="str">
        <f>CONCATENATE($D4357,"5")</f>
        <v>H5</v>
      </c>
      <c r="B4368" s="255" t="str">
        <f>IF(VLOOKUP($A4368,Players!$A$2:$C$132,3)&lt;&gt;0,VLOOKUP($A4368,Players!$A$2:$C$132,3),"")</f>
        <v/>
      </c>
      <c r="C4368" s="255"/>
      <c r="D4368" s="255"/>
      <c r="E4368" s="255"/>
      <c r="F4368" s="255"/>
      <c r="G4368" s="254" t="str">
        <f>IF(VLOOKUP($I4357&amp;RIGHT($A4368,1),Players!$A$2:$D$132,3)&lt;&gt;0,VLOOKUP($I4357&amp;RIGHT($A4368,1),Players!$A$2:$D$132,3),"")</f>
        <v/>
      </c>
      <c r="H4368" s="254"/>
      <c r="I4368" s="254"/>
      <c r="J4368" s="210" t="str">
        <f>IF(VLOOKUP($I4357&amp;RIGHT($A4368,1),Players!$A$2:$D$132,3)&lt;&gt;0,"("&amp;VLOOKUP($I4357&amp;RIGHT($A4368,1),Players!$A$2:$D$132,4)&amp;")","")</f>
        <v/>
      </c>
    </row>
    <row r="4369" spans="1:10" ht="25.5" customHeight="1">
      <c r="A4369" s="50" t="str">
        <f>CONCATENATE($D4357,"6")</f>
        <v>H6</v>
      </c>
      <c r="B4369" s="255" t="str">
        <f>IF(VLOOKUP($A4369,Players!$A$2:$C$132,3)&lt;&gt;0,VLOOKUP($A4369,Players!$A$2:$C$132,3),"")</f>
        <v/>
      </c>
      <c r="C4369" s="255"/>
      <c r="D4369" s="255"/>
      <c r="E4369" s="255"/>
      <c r="F4369" s="255"/>
      <c r="G4369" s="254" t="str">
        <f>IF(VLOOKUP($I4357&amp;RIGHT($A4369,1),Players!$A$2:$D$132,3)&lt;&gt;0,VLOOKUP($I4357&amp;RIGHT($A4369,1),Players!$A$2:$D$132,3),"")</f>
        <v/>
      </c>
      <c r="H4369" s="254"/>
      <c r="I4369" s="254"/>
      <c r="J4369" s="210" t="str">
        <f>IF(VLOOKUP($I4357&amp;RIGHT($A4369,1),Players!$A$2:$D$132,3)&lt;&gt;0,"("&amp;VLOOKUP($I4357&amp;RIGHT($A4369,1),Players!$A$2:$D$132,4)&amp;")","")</f>
        <v/>
      </c>
    </row>
    <row r="4370" spans="1:10" ht="25.5" customHeight="1">
      <c r="A4370" s="50" t="str">
        <f>CONCATENATE($D4357,"7")</f>
        <v>H7</v>
      </c>
      <c r="B4370" s="255" t="str">
        <f>IF(VLOOKUP($A4370,Players!$A$2:$C$132,3)&lt;&gt;0,VLOOKUP($A4370,Players!$A$2:$C$132,3),"")</f>
        <v/>
      </c>
      <c r="C4370" s="255"/>
      <c r="D4370" s="255"/>
      <c r="E4370" s="255"/>
      <c r="F4370" s="255"/>
      <c r="G4370" s="254" t="str">
        <f>IF(VLOOKUP($I4357&amp;RIGHT($A4370,1),Players!$A$2:$D$132,3)&lt;&gt;0,VLOOKUP($I4357&amp;RIGHT($A4370,1),Players!$A$2:$D$132,3),"")</f>
        <v/>
      </c>
      <c r="H4370" s="254"/>
      <c r="I4370" s="254"/>
      <c r="J4370" s="210" t="str">
        <f>IF(VLOOKUP($I4357&amp;RIGHT($A4370,1),Players!$A$2:$D$132,3)&lt;&gt;0,"("&amp;VLOOKUP($I4357&amp;RIGHT($A4370,1),Players!$A$2:$D$132,4)&amp;")","")</f>
        <v/>
      </c>
    </row>
    <row r="4371" spans="1:10" ht="25.5" customHeight="1">
      <c r="A4371" s="50" t="str">
        <f>CONCATENATE($D4357,"8")</f>
        <v>H8</v>
      </c>
      <c r="B4371" s="255" t="str">
        <f>IF(VLOOKUP($A4371,Players!$A$2:$C$132,3)&lt;&gt;0,VLOOKUP($A4371,Players!$A$2:$C$132,3),"")</f>
        <v/>
      </c>
      <c r="C4371" s="255"/>
      <c r="D4371" s="255"/>
      <c r="E4371" s="255"/>
      <c r="F4371" s="255"/>
      <c r="G4371" s="254" t="str">
        <f>IF(VLOOKUP($I4357&amp;RIGHT($A4371,1),Players!$A$2:$D$132,3)&lt;&gt;0,VLOOKUP($I4357&amp;RIGHT($A4371,1),Players!$A$2:$D$132,3),"")</f>
        <v/>
      </c>
      <c r="H4371" s="254"/>
      <c r="I4371" s="254"/>
      <c r="J4371" s="210" t="str">
        <f>IF(VLOOKUP($I4357&amp;RIGHT($A4371,1),Players!$A$2:$D$132,3)&lt;&gt;0,"("&amp;VLOOKUP($I4357&amp;RIGHT($A4371,1),Players!$A$2:$D$132,4)&amp;")","")</f>
        <v/>
      </c>
    </row>
    <row r="4372" spans="1:10" ht="25.5" customHeight="1">
      <c r="A4372" s="50"/>
      <c r="B4372" s="26"/>
      <c r="C4372" s="26"/>
      <c r="D4372" s="26"/>
      <c r="E4372" s="26"/>
      <c r="F4372" s="27"/>
      <c r="G4372" s="43"/>
      <c r="H4372" s="43"/>
      <c r="I4372" s="43"/>
      <c r="J4372" s="43"/>
    </row>
    <row r="4373" spans="1:10">
      <c r="A4373" s="49" t="s">
        <v>1225</v>
      </c>
      <c r="B4373" s="46"/>
      <c r="C4373" s="46"/>
      <c r="D4373" s="46"/>
      <c r="E4373" s="46"/>
      <c r="F4373" s="46"/>
      <c r="G4373" s="43"/>
      <c r="H4373" s="43"/>
      <c r="I4373" s="43"/>
      <c r="J4373" s="43"/>
    </row>
    <row r="4374" spans="1:10">
      <c r="A4374" s="46" t="s">
        <v>1247</v>
      </c>
      <c r="B4374" s="46"/>
      <c r="C4374" s="46"/>
      <c r="D4374" s="46"/>
      <c r="E4374" s="46"/>
      <c r="F4374" s="46"/>
      <c r="G4374" s="43"/>
      <c r="H4374" s="43"/>
      <c r="I4374" s="43"/>
      <c r="J4374" s="43"/>
    </row>
    <row r="4375" spans="1:10">
      <c r="A4375" s="46" t="s">
        <v>1248</v>
      </c>
      <c r="B4375" s="46"/>
      <c r="C4375" s="46"/>
      <c r="D4375" s="46"/>
      <c r="E4375" s="46"/>
      <c r="F4375" s="46"/>
      <c r="G4375" s="43"/>
      <c r="H4375" s="43"/>
      <c r="I4375" s="43"/>
      <c r="J4375" s="43"/>
    </row>
    <row r="4376" spans="1:10" ht="13.5" thickBot="1">
      <c r="A4376" s="46"/>
      <c r="B4376" s="46"/>
      <c r="C4376" s="46"/>
      <c r="D4376" s="46"/>
      <c r="E4376" s="46"/>
      <c r="F4376" s="46"/>
      <c r="G4376" s="43"/>
      <c r="H4376" s="43"/>
      <c r="I4376" s="43"/>
      <c r="J4376" s="43"/>
    </row>
    <row r="4377" spans="1:10" ht="25.5" customHeight="1" thickBot="1">
      <c r="A4377" s="50"/>
      <c r="B4377" s="257"/>
      <c r="C4377" s="258"/>
      <c r="D4377" s="258"/>
      <c r="E4377" s="258"/>
      <c r="F4377" s="259"/>
      <c r="G4377" s="43"/>
      <c r="H4377" s="43"/>
      <c r="I4377" s="43"/>
      <c r="J4377" s="43"/>
    </row>
    <row r="4378" spans="1:10">
      <c r="A4378" s="43"/>
      <c r="B4378" s="43"/>
      <c r="C4378" s="43"/>
      <c r="D4378" s="43"/>
      <c r="E4378" s="43"/>
      <c r="F4378" s="43"/>
      <c r="G4378" s="43"/>
      <c r="H4378" s="43"/>
      <c r="I4378" s="43"/>
      <c r="J4378" s="43"/>
    </row>
    <row r="4379" spans="1:10">
      <c r="A4379" s="43"/>
      <c r="B4379" s="43"/>
      <c r="C4379" s="43"/>
      <c r="D4379" s="43"/>
      <c r="E4379" s="43"/>
      <c r="F4379" s="43"/>
      <c r="G4379" s="43"/>
      <c r="H4379" s="43"/>
      <c r="I4379" s="43"/>
      <c r="J4379" s="43"/>
    </row>
    <row r="4380" spans="1:10">
      <c r="A4380" s="43"/>
      <c r="B4380" s="43"/>
      <c r="C4380" s="43"/>
      <c r="D4380" s="43"/>
      <c r="E4380" s="43"/>
      <c r="F4380" s="43"/>
      <c r="G4380" s="43"/>
      <c r="H4380" s="43"/>
      <c r="I4380" s="43"/>
      <c r="J4380" s="43"/>
    </row>
    <row r="4381" spans="1:10">
      <c r="A4381" s="43"/>
      <c r="B4381" s="43"/>
      <c r="C4381" s="43"/>
      <c r="D4381" s="43"/>
      <c r="E4381" s="43"/>
      <c r="F4381" s="43"/>
      <c r="G4381" s="43"/>
      <c r="H4381" s="43"/>
      <c r="I4381" s="43"/>
      <c r="J4381" s="43"/>
    </row>
    <row r="4382" spans="1:10">
      <c r="A4382" s="43"/>
      <c r="B4382" s="43"/>
      <c r="C4382" s="43"/>
      <c r="D4382" s="43"/>
      <c r="E4382" s="43"/>
      <c r="F4382" s="43"/>
      <c r="G4382" s="43"/>
      <c r="H4382" s="43"/>
      <c r="I4382" s="43"/>
      <c r="J4382" s="43"/>
    </row>
    <row r="4383" spans="1:10" ht="25.5" customHeight="1">
      <c r="A4383" s="47"/>
      <c r="B4383" s="47"/>
      <c r="C4383" s="47"/>
      <c r="D4383" s="47"/>
      <c r="E4383" s="47"/>
      <c r="F4383" s="43"/>
      <c r="G4383" s="51"/>
      <c r="H4383" s="250" t="s">
        <v>1227</v>
      </c>
      <c r="I4383" s="251"/>
      <c r="J4383" s="43"/>
    </row>
    <row r="4384" spans="1:10">
      <c r="A4384" s="43" t="s">
        <v>1226</v>
      </c>
      <c r="B4384" s="43"/>
      <c r="C4384" s="43"/>
      <c r="D4384" s="43"/>
      <c r="E4384" s="43"/>
      <c r="F4384" s="43"/>
      <c r="G4384" s="43"/>
      <c r="H4384" s="43"/>
      <c r="I4384" s="43"/>
      <c r="J4384" s="43"/>
    </row>
    <row r="4385" spans="1:10">
      <c r="A4385" s="43"/>
      <c r="B4385" s="43"/>
      <c r="C4385" s="43"/>
      <c r="D4385" s="43"/>
      <c r="E4385" s="43"/>
      <c r="F4385" s="43"/>
      <c r="G4385" s="43"/>
      <c r="H4385" s="43"/>
      <c r="I4385" s="43"/>
      <c r="J4385" s="43"/>
    </row>
    <row r="4386" spans="1:10">
      <c r="A4386" s="43"/>
      <c r="B4386" s="43"/>
      <c r="C4386" s="43"/>
      <c r="D4386" s="43"/>
      <c r="E4386" s="256" t="str">
        <f>CONCATENATE("(",$D4357," vs ",$I4357,")")</f>
        <v>(H vs K)</v>
      </c>
      <c r="F4386" s="256"/>
      <c r="G4386" s="43"/>
      <c r="H4386" s="43"/>
      <c r="I4386" s="43"/>
      <c r="J4386" s="43"/>
    </row>
    <row r="4387" spans="1:10" ht="15.75">
      <c r="A4387" s="42" t="s">
        <v>1223</v>
      </c>
      <c r="B4387" s="43"/>
      <c r="C4387" s="43"/>
      <c r="D4387" s="43"/>
      <c r="E4387" s="43"/>
      <c r="F4387" s="43"/>
      <c r="G4387" s="43"/>
      <c r="H4387" s="43"/>
      <c r="I4387" s="43"/>
      <c r="J4387" s="96" t="s">
        <v>4348</v>
      </c>
    </row>
    <row r="4388" spans="1:10" ht="12.75" customHeight="1">
      <c r="A4388" s="42"/>
      <c r="B4388" s="43"/>
      <c r="C4388" s="43"/>
      <c r="D4388" s="43"/>
      <c r="E4388" s="43"/>
      <c r="F4388" s="43"/>
      <c r="G4388" s="43" t="str">
        <f ca="1">Team_Matches!$J$6</f>
        <v>[NCTTA Teams Template (v2.06).xlsx]</v>
      </c>
      <c r="H4388" s="43"/>
      <c r="I4388" s="43"/>
      <c r="J4388" s="160"/>
    </row>
    <row r="4389" spans="1:10" ht="12.75" customHeight="1">
      <c r="A4389" s="42"/>
      <c r="B4389" s="43"/>
      <c r="C4389" s="43"/>
      <c r="D4389" s="43"/>
      <c r="E4389" s="43"/>
      <c r="F4389" s="43"/>
      <c r="G4389" s="247" t="str">
        <f>Team_Matches!$J3271</f>
        <v/>
      </c>
      <c r="H4389" s="247"/>
      <c r="I4389" s="161" t="str">
        <f>Team_Matches!$M3271</f>
        <v/>
      </c>
      <c r="J4389" s="161"/>
    </row>
    <row r="4390" spans="1:10" ht="15.75">
      <c r="A4390" s="42"/>
      <c r="B4390" s="43"/>
      <c r="C4390" s="43"/>
      <c r="D4390" s="43"/>
      <c r="E4390" s="43"/>
      <c r="F4390" s="43"/>
      <c r="G4390" s="43"/>
      <c r="H4390" s="43"/>
      <c r="I4390" s="43"/>
      <c r="J4390" s="43"/>
    </row>
    <row r="4391" spans="1:10">
      <c r="A4391" s="43"/>
      <c r="B4391" s="43"/>
      <c r="C4391" s="9" t="s">
        <v>1228</v>
      </c>
      <c r="D4391" s="3" t="str">
        <f>Team_Matches!$B3273</f>
        <v>H</v>
      </c>
      <c r="E4391" s="43"/>
      <c r="F4391" s="97" t="str">
        <f>CONCATENATE($D4391,"-",$I4391)</f>
        <v>H-K</v>
      </c>
      <c r="G4391" s="43"/>
      <c r="H4391" s="9" t="s">
        <v>1228</v>
      </c>
      <c r="I4391" s="3" t="str">
        <f>Team_Matches!$K3273</f>
        <v>K</v>
      </c>
      <c r="J4391" s="43"/>
    </row>
    <row r="4392" spans="1:10" ht="25.5" customHeight="1">
      <c r="A4392" s="44"/>
      <c r="B4392" s="252" t="str">
        <f>IF(VLOOKUP($D4391,Draw!$A$4:$B$27,2)&lt;&gt;0,VLOOKUP($D4391,Draw!$A$4:$B$27,2),"")</f>
        <v/>
      </c>
      <c r="C4392" s="252"/>
      <c r="D4392" s="252"/>
      <c r="E4392" s="253"/>
      <c r="F4392" s="45"/>
      <c r="G4392" s="248" t="str">
        <f>IF(VLOOKUP($I4391,Draw!$A$4:$B$27,2)&lt;&gt;0,VLOOKUP($I4391,Draw!$A$4:$B$27,2),"")</f>
        <v/>
      </c>
      <c r="H4392" s="248"/>
      <c r="I4392" s="248"/>
      <c r="J4392" s="249"/>
    </row>
    <row r="4393" spans="1:10" ht="25.5" customHeight="1"/>
    <row r="4394" spans="1:10" ht="25.5" customHeight="1"/>
    <row r="4395" spans="1:10" ht="24" customHeight="1">
      <c r="A4395" s="48" t="s">
        <v>1246</v>
      </c>
      <c r="B4395" s="43"/>
      <c r="C4395" s="43"/>
      <c r="D4395" s="43"/>
      <c r="E4395" s="43"/>
      <c r="F4395" s="43"/>
      <c r="G4395" s="43"/>
      <c r="H4395" s="43"/>
      <c r="I4395" s="43"/>
      <c r="J4395" s="43"/>
    </row>
    <row r="4396" spans="1:10" ht="24" customHeight="1">
      <c r="A4396" s="48"/>
      <c r="B4396" s="43"/>
      <c r="C4396" s="43"/>
      <c r="D4396" s="43"/>
      <c r="E4396" s="43"/>
      <c r="F4396" s="43"/>
      <c r="G4396" s="43"/>
      <c r="H4396" s="43"/>
      <c r="I4396" s="43"/>
      <c r="J4396" s="43"/>
    </row>
    <row r="4397" spans="1:10">
      <c r="A4397" s="49" t="s">
        <v>1224</v>
      </c>
      <c r="B4397" s="46"/>
      <c r="C4397" s="46"/>
      <c r="D4397" s="46"/>
      <c r="E4397" s="46"/>
      <c r="F4397" s="46"/>
      <c r="G4397" s="260" t="s">
        <v>10336</v>
      </c>
      <c r="H4397" s="260"/>
      <c r="I4397" s="260"/>
      <c r="J4397" s="260"/>
    </row>
    <row r="4398" spans="1:10" ht="24" customHeight="1">
      <c r="A4398" s="50" t="str">
        <f>CONCATENATE($I4391,"1")</f>
        <v>K1</v>
      </c>
      <c r="B4398" s="255" t="str">
        <f>IF(VLOOKUP($A4398,Players!$A$2:$C$132,3)&lt;&gt;0,VLOOKUP($A4398,Players!$A$2:$C$132,3),"")</f>
        <v/>
      </c>
      <c r="C4398" s="255"/>
      <c r="D4398" s="255"/>
      <c r="E4398" s="255"/>
      <c r="F4398" s="255"/>
      <c r="G4398" s="254" t="str">
        <f>IF(VLOOKUP($D4391&amp;RIGHT($A4398,1),Players!$A$2:$D$132,3)&lt;&gt;0,VLOOKUP($D4391&amp;RIGHT($A4398,1),Players!$A$2:$D$132,3),"")</f>
        <v/>
      </c>
      <c r="H4398" s="254"/>
      <c r="I4398" s="254"/>
      <c r="J4398" s="210" t="str">
        <f>IF(VLOOKUP($D4391&amp;RIGHT($A4398,1),Players!$A$2:$D$132,3)&lt;&gt;0,"("&amp;VLOOKUP($D4391&amp;RIGHT($A4398,1),Players!$A$2:$D$132,4)&amp;")","")</f>
        <v/>
      </c>
    </row>
    <row r="4399" spans="1:10" ht="25.5" customHeight="1">
      <c r="A4399" s="50" t="str">
        <f>CONCATENATE($I4391,"2")</f>
        <v>K2</v>
      </c>
      <c r="B4399" s="255" t="str">
        <f>IF(VLOOKUP($A4399,Players!$A$2:$C$132,3)&lt;&gt;0,VLOOKUP($A4399,Players!$A$2:$C$132,3),"")</f>
        <v/>
      </c>
      <c r="C4399" s="255"/>
      <c r="D4399" s="255"/>
      <c r="E4399" s="255"/>
      <c r="F4399" s="255"/>
      <c r="G4399" s="254" t="str">
        <f>IF(VLOOKUP($D4391&amp;RIGHT($A4399,1),Players!$A$2:$D$132,3)&lt;&gt;0,VLOOKUP($D4391&amp;RIGHT($A4399,1),Players!$A$2:$D$132,3),"")</f>
        <v/>
      </c>
      <c r="H4399" s="254"/>
      <c r="I4399" s="254"/>
      <c r="J4399" s="210" t="str">
        <f>IF(VLOOKUP($D4391&amp;RIGHT($A4399,1),Players!$A$2:$D$132,3)&lt;&gt;0,"("&amp;VLOOKUP($D4391&amp;RIGHT($A4399,1),Players!$A$2:$D$132,4)&amp;")","")</f>
        <v/>
      </c>
    </row>
    <row r="4400" spans="1:10" ht="25.5" customHeight="1">
      <c r="A4400" s="50" t="str">
        <f>CONCATENATE($I4391,"3")</f>
        <v>K3</v>
      </c>
      <c r="B4400" s="255" t="str">
        <f>IF(VLOOKUP($A4400,Players!$A$2:$C$132,3)&lt;&gt;0,VLOOKUP($A4400,Players!$A$2:$C$132,3),"")</f>
        <v/>
      </c>
      <c r="C4400" s="255"/>
      <c r="D4400" s="255"/>
      <c r="E4400" s="255"/>
      <c r="F4400" s="255"/>
      <c r="G4400" s="254" t="str">
        <f>IF(VLOOKUP($D4391&amp;RIGHT($A4400,1),Players!$A$2:$D$132,3)&lt;&gt;0,VLOOKUP($D4391&amp;RIGHT($A4400,1),Players!$A$2:$D$132,3),"")</f>
        <v/>
      </c>
      <c r="H4400" s="254"/>
      <c r="I4400" s="254"/>
      <c r="J4400" s="210" t="str">
        <f>IF(VLOOKUP($D4391&amp;RIGHT($A4400,1),Players!$A$2:$D$132,3)&lt;&gt;0,"("&amp;VLOOKUP($D4391&amp;RIGHT($A4400,1),Players!$A$2:$D$132,4)&amp;")","")</f>
        <v/>
      </c>
    </row>
    <row r="4401" spans="1:10" ht="25.5" customHeight="1">
      <c r="A4401" s="50" t="str">
        <f>CONCATENATE($I4391,"4")</f>
        <v>K4</v>
      </c>
      <c r="B4401" s="255" t="str">
        <f>IF(VLOOKUP($A4401,Players!$A$2:$C$132,3)&lt;&gt;0,VLOOKUP($A4401,Players!$A$2:$C$132,3),"")</f>
        <v/>
      </c>
      <c r="C4401" s="255"/>
      <c r="D4401" s="255"/>
      <c r="E4401" s="255"/>
      <c r="F4401" s="255"/>
      <c r="G4401" s="254" t="str">
        <f>IF(VLOOKUP($D4391&amp;RIGHT($A4401,1),Players!$A$2:$D$132,3)&lt;&gt;0,VLOOKUP($D4391&amp;RIGHT($A4401,1),Players!$A$2:$D$132,3),"")</f>
        <v/>
      </c>
      <c r="H4401" s="254"/>
      <c r="I4401" s="254"/>
      <c r="J4401" s="210" t="str">
        <f>IF(VLOOKUP($D4391&amp;RIGHT($A4401,1),Players!$A$2:$D$132,3)&lt;&gt;0,"("&amp;VLOOKUP($D4391&amp;RIGHT($A4401,1),Players!$A$2:$D$132,4)&amp;")","")</f>
        <v/>
      </c>
    </row>
    <row r="4402" spans="1:10" ht="25.5" customHeight="1">
      <c r="A4402" s="50" t="str">
        <f>CONCATENATE($I4391,"5")</f>
        <v>K5</v>
      </c>
      <c r="B4402" s="255" t="str">
        <f>IF(VLOOKUP($A4402,Players!$A$2:$C$132,3)&lt;&gt;0,VLOOKUP($A4402,Players!$A$2:$C$132,3),"")</f>
        <v/>
      </c>
      <c r="C4402" s="255"/>
      <c r="D4402" s="255"/>
      <c r="E4402" s="255"/>
      <c r="F4402" s="255"/>
      <c r="G4402" s="254" t="str">
        <f>IF(VLOOKUP($D4391&amp;RIGHT($A4402,1),Players!$A$2:$D$132,3)&lt;&gt;0,VLOOKUP($D4391&amp;RIGHT($A4402,1),Players!$A$2:$D$132,3),"")</f>
        <v/>
      </c>
      <c r="H4402" s="254"/>
      <c r="I4402" s="254"/>
      <c r="J4402" s="210" t="str">
        <f>IF(VLOOKUP($D4391&amp;RIGHT($A4402,1),Players!$A$2:$D$132,3)&lt;&gt;0,"("&amp;VLOOKUP($D4391&amp;RIGHT($A4402,1),Players!$A$2:$D$132,4)&amp;")","")</f>
        <v/>
      </c>
    </row>
    <row r="4403" spans="1:10" ht="25.5" customHeight="1">
      <c r="A4403" s="50" t="str">
        <f>CONCATENATE($I4391,"6")</f>
        <v>K6</v>
      </c>
      <c r="B4403" s="255" t="str">
        <f>IF(VLOOKUP($A4403,Players!$A$2:$C$132,3)&lt;&gt;0,VLOOKUP($A4403,Players!$A$2:$C$132,3),"")</f>
        <v/>
      </c>
      <c r="C4403" s="255"/>
      <c r="D4403" s="255"/>
      <c r="E4403" s="255"/>
      <c r="F4403" s="255"/>
      <c r="G4403" s="254" t="str">
        <f>IF(VLOOKUP($D4391&amp;RIGHT($A4403,1),Players!$A$2:$D$132,3)&lt;&gt;0,VLOOKUP($D4391&amp;RIGHT($A4403,1),Players!$A$2:$D$132,3),"")</f>
        <v/>
      </c>
      <c r="H4403" s="254"/>
      <c r="I4403" s="254"/>
      <c r="J4403" s="210" t="str">
        <f>IF(VLOOKUP($D4391&amp;RIGHT($A4403,1),Players!$A$2:$D$132,3)&lt;&gt;0,"("&amp;VLOOKUP($D4391&amp;RIGHT($A4403,1),Players!$A$2:$D$132,4)&amp;")","")</f>
        <v/>
      </c>
    </row>
    <row r="4404" spans="1:10" ht="25.5" customHeight="1">
      <c r="A4404" s="50" t="str">
        <f>CONCATENATE($I4391,"7")</f>
        <v>K7</v>
      </c>
      <c r="B4404" s="255" t="str">
        <f>IF(VLOOKUP($A4404,Players!$A$2:$C$132,3)&lt;&gt;0,VLOOKUP($A4404,Players!$A$2:$C$132,3),"")</f>
        <v/>
      </c>
      <c r="C4404" s="255"/>
      <c r="D4404" s="255"/>
      <c r="E4404" s="255"/>
      <c r="F4404" s="255"/>
      <c r="G4404" s="254" t="str">
        <f>IF(VLOOKUP($D4391&amp;RIGHT($A4404,1),Players!$A$2:$D$132,3)&lt;&gt;0,VLOOKUP($D4391&amp;RIGHT($A4404,1),Players!$A$2:$D$132,3),"")</f>
        <v/>
      </c>
      <c r="H4404" s="254"/>
      <c r="I4404" s="254"/>
      <c r="J4404" s="210" t="str">
        <f>IF(VLOOKUP($D4391&amp;RIGHT($A4404,1),Players!$A$2:$D$132,3)&lt;&gt;0,"("&amp;VLOOKUP($D4391&amp;RIGHT($A4404,1),Players!$A$2:$D$132,4)&amp;")","")</f>
        <v/>
      </c>
    </row>
    <row r="4405" spans="1:10" ht="25.5" customHeight="1">
      <c r="A4405" s="50" t="str">
        <f>CONCATENATE($I4391,"8")</f>
        <v>K8</v>
      </c>
      <c r="B4405" s="255" t="str">
        <f>IF(VLOOKUP($A4405,Players!$A$2:$C$132,3)&lt;&gt;0,VLOOKUP($A4405,Players!$A$2:$C$132,3),"")</f>
        <v/>
      </c>
      <c r="C4405" s="255"/>
      <c r="D4405" s="255"/>
      <c r="E4405" s="255"/>
      <c r="F4405" s="255"/>
      <c r="G4405" s="254" t="str">
        <f>IF(VLOOKUP($D4391&amp;RIGHT($A4405,1),Players!$A$2:$D$132,3)&lt;&gt;0,VLOOKUP($D4391&amp;RIGHT($A4405,1),Players!$A$2:$D$132,3),"")</f>
        <v/>
      </c>
      <c r="H4405" s="254"/>
      <c r="I4405" s="254"/>
      <c r="J4405" s="210" t="str">
        <f>IF(VLOOKUP($D4391&amp;RIGHT($A4405,1),Players!$A$2:$D$132,3)&lt;&gt;0,"("&amp;VLOOKUP($D4391&amp;RIGHT($A4405,1),Players!$A$2:$D$132,4)&amp;")","")</f>
        <v/>
      </c>
    </row>
    <row r="4406" spans="1:10" ht="25.5" customHeight="1">
      <c r="A4406" s="50"/>
      <c r="B4406" s="26"/>
      <c r="C4406" s="26"/>
      <c r="D4406" s="26"/>
      <c r="E4406" s="26"/>
      <c r="F4406" s="27"/>
      <c r="G4406" s="43"/>
      <c r="H4406" s="43"/>
      <c r="I4406" s="43"/>
      <c r="J4406" s="43"/>
    </row>
    <row r="4407" spans="1:10">
      <c r="A4407" s="49" t="s">
        <v>1225</v>
      </c>
      <c r="B4407" s="46"/>
      <c r="C4407" s="46"/>
      <c r="D4407" s="46"/>
      <c r="E4407" s="46"/>
      <c r="F4407" s="46"/>
      <c r="G4407" s="43"/>
      <c r="H4407" s="43"/>
      <c r="I4407" s="43"/>
      <c r="J4407" s="43"/>
    </row>
    <row r="4408" spans="1:10">
      <c r="A4408" s="46" t="s">
        <v>1247</v>
      </c>
      <c r="B4408" s="46"/>
      <c r="C4408" s="46"/>
      <c r="D4408" s="46"/>
      <c r="E4408" s="46"/>
      <c r="F4408" s="46"/>
      <c r="G4408" s="43"/>
      <c r="H4408" s="43"/>
      <c r="I4408" s="43"/>
      <c r="J4408" s="43"/>
    </row>
    <row r="4409" spans="1:10">
      <c r="A4409" s="46" t="s">
        <v>1248</v>
      </c>
      <c r="B4409" s="46"/>
      <c r="C4409" s="46"/>
      <c r="D4409" s="46"/>
      <c r="E4409" s="46"/>
      <c r="F4409" s="46"/>
      <c r="G4409" s="43"/>
      <c r="H4409" s="43"/>
      <c r="I4409" s="43"/>
      <c r="J4409" s="43"/>
    </row>
    <row r="4410" spans="1:10" ht="13.5" thickBot="1">
      <c r="A4410" s="46"/>
      <c r="B4410" s="46"/>
      <c r="C4410" s="46"/>
      <c r="D4410" s="46"/>
      <c r="E4410" s="46"/>
      <c r="F4410" s="46"/>
      <c r="G4410" s="43"/>
      <c r="H4410" s="43"/>
      <c r="I4410" s="43"/>
      <c r="J4410" s="43"/>
    </row>
    <row r="4411" spans="1:10" ht="25.5" customHeight="1" thickBot="1">
      <c r="A4411" s="50"/>
      <c r="B4411" s="257"/>
      <c r="C4411" s="258"/>
      <c r="D4411" s="258"/>
      <c r="E4411" s="258"/>
      <c r="F4411" s="259"/>
      <c r="G4411" s="43"/>
      <c r="H4411" s="43"/>
      <c r="I4411" s="43"/>
      <c r="J4411" s="43"/>
    </row>
    <row r="4412" spans="1:10">
      <c r="A4412" s="43"/>
      <c r="B4412" s="43"/>
      <c r="C4412" s="43"/>
      <c r="D4412" s="43"/>
      <c r="E4412" s="43"/>
      <c r="F4412" s="43"/>
      <c r="G4412" s="43"/>
      <c r="H4412" s="43"/>
      <c r="I4412" s="43"/>
      <c r="J4412" s="43"/>
    </row>
    <row r="4413" spans="1:10">
      <c r="A4413" s="43"/>
      <c r="B4413" s="43"/>
      <c r="C4413" s="43"/>
      <c r="D4413" s="43"/>
      <c r="E4413" s="43"/>
      <c r="F4413" s="43"/>
      <c r="G4413" s="43"/>
      <c r="H4413" s="43"/>
      <c r="I4413" s="43"/>
      <c r="J4413" s="43"/>
    </row>
    <row r="4414" spans="1:10">
      <c r="A4414" s="43"/>
      <c r="B4414" s="43"/>
      <c r="C4414" s="43"/>
      <c r="D4414" s="43"/>
      <c r="E4414" s="43"/>
      <c r="F4414" s="43"/>
      <c r="G4414" s="43"/>
      <c r="H4414" s="43"/>
      <c r="I4414" s="43"/>
      <c r="J4414" s="43"/>
    </row>
    <row r="4415" spans="1:10">
      <c r="A4415" s="43"/>
      <c r="B4415" s="43"/>
      <c r="C4415" s="43"/>
      <c r="D4415" s="43"/>
      <c r="E4415" s="43"/>
      <c r="F4415" s="43"/>
      <c r="G4415" s="43"/>
      <c r="H4415" s="43"/>
      <c r="I4415" s="43"/>
      <c r="J4415" s="43"/>
    </row>
    <row r="4416" spans="1:10">
      <c r="A4416" s="43"/>
      <c r="B4416" s="43"/>
      <c r="C4416" s="43"/>
      <c r="D4416" s="43"/>
      <c r="E4416" s="43"/>
      <c r="F4416" s="43"/>
      <c r="G4416" s="43"/>
      <c r="H4416" s="43"/>
      <c r="I4416" s="43"/>
      <c r="J4416" s="43"/>
    </row>
    <row r="4417" spans="1:10" ht="25.5" customHeight="1">
      <c r="A4417" s="47"/>
      <c r="B4417" s="47"/>
      <c r="C4417" s="47"/>
      <c r="D4417" s="47"/>
      <c r="E4417" s="47"/>
      <c r="F4417" s="43"/>
      <c r="G4417" s="51"/>
      <c r="H4417" s="250" t="s">
        <v>1227</v>
      </c>
      <c r="I4417" s="251"/>
      <c r="J4417" s="43"/>
    </row>
    <row r="4418" spans="1:10">
      <c r="A4418" s="43" t="s">
        <v>1226</v>
      </c>
      <c r="B4418" s="43"/>
      <c r="C4418" s="43"/>
      <c r="D4418" s="43"/>
      <c r="E4418" s="43"/>
      <c r="F4418" s="43"/>
      <c r="G4418" s="43"/>
      <c r="H4418" s="43"/>
      <c r="I4418" s="43"/>
      <c r="J4418" s="43"/>
    </row>
    <row r="4419" spans="1:10">
      <c r="A4419" s="43"/>
      <c r="B4419" s="43"/>
      <c r="C4419" s="43"/>
      <c r="D4419" s="43"/>
      <c r="E4419" s="43"/>
      <c r="F4419" s="43"/>
      <c r="G4419" s="43"/>
      <c r="H4419" s="43"/>
      <c r="I4419" s="43"/>
      <c r="J4419" s="43"/>
    </row>
    <row r="4420" spans="1:10">
      <c r="A4420" s="43"/>
      <c r="B4420" s="43"/>
      <c r="C4420" s="43"/>
      <c r="D4420" s="43"/>
      <c r="E4420" s="256" t="str">
        <f>CONCATENATE("(",$D4391," vs ",$I4391,")")</f>
        <v>(H vs K)</v>
      </c>
      <c r="F4420" s="256"/>
      <c r="G4420" s="43"/>
      <c r="H4420" s="43"/>
      <c r="I4420" s="43"/>
      <c r="J4420" s="43"/>
    </row>
    <row r="4421" spans="1:10" ht="15.75">
      <c r="A4421" s="42" t="s">
        <v>1223</v>
      </c>
      <c r="B4421" s="43"/>
      <c r="C4421" s="43"/>
      <c r="D4421" s="43"/>
      <c r="E4421" s="43"/>
      <c r="F4421" s="43"/>
      <c r="G4421" s="43"/>
      <c r="H4421" s="43"/>
      <c r="I4421" s="43"/>
      <c r="J4421" s="96" t="s">
        <v>4349</v>
      </c>
    </row>
    <row r="4422" spans="1:10" ht="12.75" customHeight="1">
      <c r="A4422" s="42"/>
      <c r="B4422" s="43"/>
      <c r="C4422" s="43"/>
      <c r="D4422" s="43"/>
      <c r="E4422" s="43"/>
      <c r="F4422" s="43"/>
      <c r="G4422" s="43" t="str">
        <f ca="1">Team_Matches!$J$6</f>
        <v>[NCTTA Teams Template (v2.06).xlsx]</v>
      </c>
      <c r="H4422" s="43"/>
      <c r="I4422" s="43"/>
      <c r="J4422" s="160"/>
    </row>
    <row r="4423" spans="1:10" ht="12.75" customHeight="1">
      <c r="A4423" s="42"/>
      <c r="B4423" s="43"/>
      <c r="C4423" s="43"/>
      <c r="D4423" s="43"/>
      <c r="E4423" s="43"/>
      <c r="F4423" s="43"/>
      <c r="G4423" s="247" t="str">
        <f>Team_Matches!$J3322</f>
        <v/>
      </c>
      <c r="H4423" s="247"/>
      <c r="I4423" s="161" t="str">
        <f>Team_Matches!$M3322</f>
        <v/>
      </c>
      <c r="J4423" s="161"/>
    </row>
    <row r="4424" spans="1:10" ht="15.75">
      <c r="A4424" s="42"/>
      <c r="B4424" s="43"/>
      <c r="C4424" s="43"/>
      <c r="D4424" s="43"/>
      <c r="E4424" s="43"/>
      <c r="F4424" s="43"/>
      <c r="G4424" s="43"/>
      <c r="H4424" s="43"/>
      <c r="I4424" s="43"/>
      <c r="J4424" s="43"/>
    </row>
    <row r="4425" spans="1:10">
      <c r="A4425" s="43"/>
      <c r="B4425" s="43"/>
      <c r="C4425" s="9" t="s">
        <v>1228</v>
      </c>
      <c r="D4425" s="3" t="str">
        <f>Team_Matches!$B3324</f>
        <v>H</v>
      </c>
      <c r="E4425" s="43"/>
      <c r="F4425" s="97" t="str">
        <f>CONCATENATE($D4425,"-",$I4425)</f>
        <v>H-L</v>
      </c>
      <c r="G4425" s="43"/>
      <c r="H4425" s="9" t="s">
        <v>1228</v>
      </c>
      <c r="I4425" s="3" t="str">
        <f>Team_Matches!$K3324</f>
        <v>L</v>
      </c>
      <c r="J4425" s="43"/>
    </row>
    <row r="4426" spans="1:10" ht="25.5" customHeight="1">
      <c r="A4426" s="44"/>
      <c r="B4426" s="248" t="str">
        <f>IF(VLOOKUP($D4425,Draw!$A$4:$B$27,2)&lt;&gt;0,VLOOKUP($D4425,Draw!$A$4:$B$27,2),"")</f>
        <v/>
      </c>
      <c r="C4426" s="248"/>
      <c r="D4426" s="248"/>
      <c r="E4426" s="249"/>
      <c r="F4426" s="45"/>
      <c r="G4426" s="252" t="str">
        <f>IF(VLOOKUP($I4425,Draw!$A$4:$B$27,2)&lt;&gt;0,VLOOKUP($I4425,Draw!$A$4:$B$27,2),"")</f>
        <v/>
      </c>
      <c r="H4426" s="252"/>
      <c r="I4426" s="252"/>
      <c r="J4426" s="253"/>
    </row>
    <row r="4427" spans="1:10" ht="25.5" customHeight="1"/>
    <row r="4428" spans="1:10" ht="25.5" customHeight="1"/>
    <row r="4429" spans="1:10" ht="24" customHeight="1">
      <c r="A4429" s="48" t="s">
        <v>1246</v>
      </c>
      <c r="B4429" s="43"/>
      <c r="C4429" s="43"/>
      <c r="D4429" s="43"/>
      <c r="E4429" s="43"/>
      <c r="F4429" s="43"/>
      <c r="G4429" s="43"/>
      <c r="H4429" s="43"/>
      <c r="I4429" s="43"/>
      <c r="J4429" s="43"/>
    </row>
    <row r="4430" spans="1:10" ht="24" customHeight="1">
      <c r="A4430" s="48"/>
      <c r="B4430" s="43"/>
      <c r="C4430" s="43"/>
      <c r="D4430" s="43"/>
      <c r="E4430" s="43"/>
      <c r="F4430" s="43"/>
      <c r="G4430" s="43"/>
      <c r="H4430" s="43"/>
      <c r="I4430" s="43"/>
      <c r="J4430" s="43"/>
    </row>
    <row r="4431" spans="1:10">
      <c r="A4431" s="49" t="s">
        <v>1224</v>
      </c>
      <c r="B4431" s="46"/>
      <c r="C4431" s="46"/>
      <c r="D4431" s="46"/>
      <c r="E4431" s="46"/>
      <c r="F4431" s="46"/>
      <c r="G4431" s="260" t="s">
        <v>10336</v>
      </c>
      <c r="H4431" s="260"/>
      <c r="I4431" s="260"/>
      <c r="J4431" s="260"/>
    </row>
    <row r="4432" spans="1:10" ht="24" customHeight="1">
      <c r="A4432" s="50" t="str">
        <f>CONCATENATE($D4425,"1")</f>
        <v>H1</v>
      </c>
      <c r="B4432" s="255" t="str">
        <f>IF(VLOOKUP($A4432,Players!$A$2:$C$132,3)&lt;&gt;0,VLOOKUP($A4432,Players!$A$2:$C$132,3),"")</f>
        <v/>
      </c>
      <c r="C4432" s="255"/>
      <c r="D4432" s="255"/>
      <c r="E4432" s="255"/>
      <c r="F4432" s="255"/>
      <c r="G4432" s="254" t="str">
        <f>IF(VLOOKUP($I4425&amp;RIGHT($A4432,1),Players!$A$2:$D$132,3)&lt;&gt;0,VLOOKUP($I4425&amp;RIGHT($A4432,1),Players!$A$2:$D$132,3),"")</f>
        <v/>
      </c>
      <c r="H4432" s="254"/>
      <c r="I4432" s="254"/>
      <c r="J4432" s="210" t="str">
        <f>IF(VLOOKUP($I4425&amp;RIGHT($A4432,1),Players!$A$2:$D$132,3)&lt;&gt;0,"("&amp;VLOOKUP($I4425&amp;RIGHT($A4432,1),Players!$A$2:$D$132,4)&amp;")","")</f>
        <v/>
      </c>
    </row>
    <row r="4433" spans="1:10" ht="25.5" customHeight="1">
      <c r="A4433" s="50" t="str">
        <f>CONCATENATE($D4425,"2")</f>
        <v>H2</v>
      </c>
      <c r="B4433" s="255" t="str">
        <f>IF(VLOOKUP($A4433,Players!$A$2:$C$132,3)&lt;&gt;0,VLOOKUP($A4433,Players!$A$2:$C$132,3),"")</f>
        <v/>
      </c>
      <c r="C4433" s="255"/>
      <c r="D4433" s="255"/>
      <c r="E4433" s="255"/>
      <c r="F4433" s="255"/>
      <c r="G4433" s="254" t="str">
        <f>IF(VLOOKUP($I4425&amp;RIGHT($A4433,1),Players!$A$2:$D$132,3)&lt;&gt;0,VLOOKUP($I4425&amp;RIGHT($A4433,1),Players!$A$2:$D$132,3),"")</f>
        <v/>
      </c>
      <c r="H4433" s="254"/>
      <c r="I4433" s="254"/>
      <c r="J4433" s="210" t="str">
        <f>IF(VLOOKUP($I4425&amp;RIGHT($A4433,1),Players!$A$2:$D$132,3)&lt;&gt;0,"("&amp;VLOOKUP($I4425&amp;RIGHT($A4433,1),Players!$A$2:$D$132,4)&amp;")","")</f>
        <v/>
      </c>
    </row>
    <row r="4434" spans="1:10" ht="25.5" customHeight="1">
      <c r="A4434" s="50" t="str">
        <f>CONCATENATE($D4425,"3")</f>
        <v>H3</v>
      </c>
      <c r="B4434" s="255" t="str">
        <f>IF(VLOOKUP($A4434,Players!$A$2:$C$132,3)&lt;&gt;0,VLOOKUP($A4434,Players!$A$2:$C$132,3),"")</f>
        <v/>
      </c>
      <c r="C4434" s="255"/>
      <c r="D4434" s="255"/>
      <c r="E4434" s="255"/>
      <c r="F4434" s="255"/>
      <c r="G4434" s="254" t="str">
        <f>IF(VLOOKUP($I4425&amp;RIGHT($A4434,1),Players!$A$2:$D$132,3)&lt;&gt;0,VLOOKUP($I4425&amp;RIGHT($A4434,1),Players!$A$2:$D$132,3),"")</f>
        <v/>
      </c>
      <c r="H4434" s="254"/>
      <c r="I4434" s="254"/>
      <c r="J4434" s="210" t="str">
        <f>IF(VLOOKUP($I4425&amp;RIGHT($A4434,1),Players!$A$2:$D$132,3)&lt;&gt;0,"("&amp;VLOOKUP($I4425&amp;RIGHT($A4434,1),Players!$A$2:$D$132,4)&amp;")","")</f>
        <v/>
      </c>
    </row>
    <row r="4435" spans="1:10" ht="25.5" customHeight="1">
      <c r="A4435" s="50" t="str">
        <f>CONCATENATE($D4425,"4")</f>
        <v>H4</v>
      </c>
      <c r="B4435" s="255" t="str">
        <f>IF(VLOOKUP($A4435,Players!$A$2:$C$132,3)&lt;&gt;0,VLOOKUP($A4435,Players!$A$2:$C$132,3),"")</f>
        <v/>
      </c>
      <c r="C4435" s="255"/>
      <c r="D4435" s="255"/>
      <c r="E4435" s="255"/>
      <c r="F4435" s="255"/>
      <c r="G4435" s="254" t="str">
        <f>IF(VLOOKUP($I4425&amp;RIGHT($A4435,1),Players!$A$2:$D$132,3)&lt;&gt;0,VLOOKUP($I4425&amp;RIGHT($A4435,1),Players!$A$2:$D$132,3),"")</f>
        <v/>
      </c>
      <c r="H4435" s="254"/>
      <c r="I4435" s="254"/>
      <c r="J4435" s="210" t="str">
        <f>IF(VLOOKUP($I4425&amp;RIGHT($A4435,1),Players!$A$2:$D$132,3)&lt;&gt;0,"("&amp;VLOOKUP($I4425&amp;RIGHT($A4435,1),Players!$A$2:$D$132,4)&amp;")","")</f>
        <v/>
      </c>
    </row>
    <row r="4436" spans="1:10" ht="25.5" customHeight="1">
      <c r="A4436" s="50" t="str">
        <f>CONCATENATE($D4425,"5")</f>
        <v>H5</v>
      </c>
      <c r="B4436" s="255" t="str">
        <f>IF(VLOOKUP($A4436,Players!$A$2:$C$132,3)&lt;&gt;0,VLOOKUP($A4436,Players!$A$2:$C$132,3),"")</f>
        <v/>
      </c>
      <c r="C4436" s="255"/>
      <c r="D4436" s="255"/>
      <c r="E4436" s="255"/>
      <c r="F4436" s="255"/>
      <c r="G4436" s="254" t="str">
        <f>IF(VLOOKUP($I4425&amp;RIGHT($A4436,1),Players!$A$2:$D$132,3)&lt;&gt;0,VLOOKUP($I4425&amp;RIGHT($A4436,1),Players!$A$2:$D$132,3),"")</f>
        <v/>
      </c>
      <c r="H4436" s="254"/>
      <c r="I4436" s="254"/>
      <c r="J4436" s="210" t="str">
        <f>IF(VLOOKUP($I4425&amp;RIGHT($A4436,1),Players!$A$2:$D$132,3)&lt;&gt;0,"("&amp;VLOOKUP($I4425&amp;RIGHT($A4436,1),Players!$A$2:$D$132,4)&amp;")","")</f>
        <v/>
      </c>
    </row>
    <row r="4437" spans="1:10" ht="25.5" customHeight="1">
      <c r="A4437" s="50" t="str">
        <f>CONCATENATE($D4425,"6")</f>
        <v>H6</v>
      </c>
      <c r="B4437" s="255" t="str">
        <f>IF(VLOOKUP($A4437,Players!$A$2:$C$132,3)&lt;&gt;0,VLOOKUP($A4437,Players!$A$2:$C$132,3),"")</f>
        <v/>
      </c>
      <c r="C4437" s="255"/>
      <c r="D4437" s="255"/>
      <c r="E4437" s="255"/>
      <c r="F4437" s="255"/>
      <c r="G4437" s="254" t="str">
        <f>IF(VLOOKUP($I4425&amp;RIGHT($A4437,1),Players!$A$2:$D$132,3)&lt;&gt;0,VLOOKUP($I4425&amp;RIGHT($A4437,1),Players!$A$2:$D$132,3),"")</f>
        <v/>
      </c>
      <c r="H4437" s="254"/>
      <c r="I4437" s="254"/>
      <c r="J4437" s="210" t="str">
        <f>IF(VLOOKUP($I4425&amp;RIGHT($A4437,1),Players!$A$2:$D$132,3)&lt;&gt;0,"("&amp;VLOOKUP($I4425&amp;RIGHT($A4437,1),Players!$A$2:$D$132,4)&amp;")","")</f>
        <v/>
      </c>
    </row>
    <row r="4438" spans="1:10" ht="25.5" customHeight="1">
      <c r="A4438" s="50" t="str">
        <f>CONCATENATE($D4425,"7")</f>
        <v>H7</v>
      </c>
      <c r="B4438" s="255" t="str">
        <f>IF(VLOOKUP($A4438,Players!$A$2:$C$132,3)&lt;&gt;0,VLOOKUP($A4438,Players!$A$2:$C$132,3),"")</f>
        <v/>
      </c>
      <c r="C4438" s="255"/>
      <c r="D4438" s="255"/>
      <c r="E4438" s="255"/>
      <c r="F4438" s="255"/>
      <c r="G4438" s="254" t="str">
        <f>IF(VLOOKUP($I4425&amp;RIGHT($A4438,1),Players!$A$2:$D$132,3)&lt;&gt;0,VLOOKUP($I4425&amp;RIGHT($A4438,1),Players!$A$2:$D$132,3),"")</f>
        <v/>
      </c>
      <c r="H4438" s="254"/>
      <c r="I4438" s="254"/>
      <c r="J4438" s="210" t="str">
        <f>IF(VLOOKUP($I4425&amp;RIGHT($A4438,1),Players!$A$2:$D$132,3)&lt;&gt;0,"("&amp;VLOOKUP($I4425&amp;RIGHT($A4438,1),Players!$A$2:$D$132,4)&amp;")","")</f>
        <v/>
      </c>
    </row>
    <row r="4439" spans="1:10" ht="25.5" customHeight="1">
      <c r="A4439" s="50" t="str">
        <f>CONCATENATE($D4425,"8")</f>
        <v>H8</v>
      </c>
      <c r="B4439" s="255" t="str">
        <f>IF(VLOOKUP($A4439,Players!$A$2:$C$132,3)&lt;&gt;0,VLOOKUP($A4439,Players!$A$2:$C$132,3),"")</f>
        <v/>
      </c>
      <c r="C4439" s="255"/>
      <c r="D4439" s="255"/>
      <c r="E4439" s="255"/>
      <c r="F4439" s="255"/>
      <c r="G4439" s="254" t="str">
        <f>IF(VLOOKUP($I4425&amp;RIGHT($A4439,1),Players!$A$2:$D$132,3)&lt;&gt;0,VLOOKUP($I4425&amp;RIGHT($A4439,1),Players!$A$2:$D$132,3),"")</f>
        <v/>
      </c>
      <c r="H4439" s="254"/>
      <c r="I4439" s="254"/>
      <c r="J4439" s="210" t="str">
        <f>IF(VLOOKUP($I4425&amp;RIGHT($A4439,1),Players!$A$2:$D$132,3)&lt;&gt;0,"("&amp;VLOOKUP($I4425&amp;RIGHT($A4439,1),Players!$A$2:$D$132,4)&amp;")","")</f>
        <v/>
      </c>
    </row>
    <row r="4440" spans="1:10" ht="25.5" customHeight="1">
      <c r="A4440" s="50"/>
      <c r="B4440" s="26"/>
      <c r="C4440" s="26"/>
      <c r="D4440" s="26"/>
      <c r="E4440" s="26"/>
      <c r="F4440" s="27"/>
      <c r="G4440" s="43"/>
      <c r="H4440" s="43"/>
      <c r="I4440" s="43"/>
      <c r="J4440" s="43"/>
    </row>
    <row r="4441" spans="1:10">
      <c r="A4441" s="49" t="s">
        <v>1225</v>
      </c>
      <c r="B4441" s="46"/>
      <c r="C4441" s="46"/>
      <c r="D4441" s="46"/>
      <c r="E4441" s="46"/>
      <c r="F4441" s="46"/>
      <c r="G4441" s="43"/>
      <c r="H4441" s="43"/>
      <c r="I4441" s="43"/>
      <c r="J4441" s="43"/>
    </row>
    <row r="4442" spans="1:10">
      <c r="A4442" s="46" t="s">
        <v>1247</v>
      </c>
      <c r="B4442" s="46"/>
      <c r="C4442" s="46"/>
      <c r="D4442" s="46"/>
      <c r="E4442" s="46"/>
      <c r="F4442" s="46"/>
      <c r="G4442" s="43"/>
      <c r="H4442" s="43"/>
      <c r="I4442" s="43"/>
      <c r="J4442" s="43"/>
    </row>
    <row r="4443" spans="1:10">
      <c r="A4443" s="46" t="s">
        <v>1248</v>
      </c>
      <c r="B4443" s="46"/>
      <c r="C4443" s="46"/>
      <c r="D4443" s="46"/>
      <c r="E4443" s="46"/>
      <c r="F4443" s="46"/>
      <c r="G4443" s="43"/>
      <c r="H4443" s="43"/>
      <c r="I4443" s="43"/>
      <c r="J4443" s="43"/>
    </row>
    <row r="4444" spans="1:10" ht="13.5" thickBot="1">
      <c r="A4444" s="46"/>
      <c r="B4444" s="46"/>
      <c r="C4444" s="46"/>
      <c r="D4444" s="46"/>
      <c r="E4444" s="46"/>
      <c r="F4444" s="46"/>
      <c r="G4444" s="43"/>
      <c r="H4444" s="43"/>
      <c r="I4444" s="43"/>
      <c r="J4444" s="43"/>
    </row>
    <row r="4445" spans="1:10" ht="25.5" customHeight="1" thickBot="1">
      <c r="A4445" s="50"/>
      <c r="B4445" s="257"/>
      <c r="C4445" s="258"/>
      <c r="D4445" s="258"/>
      <c r="E4445" s="258"/>
      <c r="F4445" s="259"/>
      <c r="G4445" s="43"/>
      <c r="H4445" s="43"/>
      <c r="I4445" s="43"/>
      <c r="J4445" s="43"/>
    </row>
    <row r="4446" spans="1:10">
      <c r="A4446" s="43"/>
      <c r="B4446" s="43"/>
      <c r="C4446" s="43"/>
      <c r="D4446" s="43"/>
      <c r="E4446" s="43"/>
      <c r="F4446" s="43"/>
      <c r="G4446" s="43"/>
      <c r="H4446" s="43"/>
      <c r="I4446" s="43"/>
      <c r="J4446" s="43"/>
    </row>
    <row r="4447" spans="1:10">
      <c r="A4447" s="43"/>
      <c r="B4447" s="43"/>
      <c r="C4447" s="43"/>
      <c r="D4447" s="43"/>
      <c r="E4447" s="43"/>
      <c r="F4447" s="43"/>
      <c r="G4447" s="43"/>
      <c r="H4447" s="43"/>
      <c r="I4447" s="43"/>
      <c r="J4447" s="43"/>
    </row>
    <row r="4448" spans="1:10">
      <c r="A4448" s="43"/>
      <c r="B4448" s="43"/>
      <c r="C4448" s="43"/>
      <c r="D4448" s="43"/>
      <c r="E4448" s="43"/>
      <c r="F4448" s="43"/>
      <c r="G4448" s="43"/>
      <c r="H4448" s="43"/>
      <c r="I4448" s="43"/>
      <c r="J4448" s="43"/>
    </row>
    <row r="4449" spans="1:10">
      <c r="A4449" s="43"/>
      <c r="B4449" s="43"/>
      <c r="C4449" s="43"/>
      <c r="D4449" s="43"/>
      <c r="E4449" s="43"/>
      <c r="F4449" s="43"/>
      <c r="G4449" s="43"/>
      <c r="H4449" s="43"/>
      <c r="I4449" s="43"/>
      <c r="J4449" s="43"/>
    </row>
    <row r="4450" spans="1:10">
      <c r="A4450" s="43"/>
      <c r="B4450" s="43"/>
      <c r="C4450" s="43"/>
      <c r="D4450" s="43"/>
      <c r="E4450" s="43"/>
      <c r="F4450" s="43"/>
      <c r="G4450" s="43"/>
      <c r="H4450" s="43"/>
      <c r="I4450" s="43"/>
      <c r="J4450" s="43"/>
    </row>
    <row r="4451" spans="1:10" ht="25.5" customHeight="1">
      <c r="A4451" s="47"/>
      <c r="B4451" s="47"/>
      <c r="C4451" s="47"/>
      <c r="D4451" s="47"/>
      <c r="E4451" s="47"/>
      <c r="F4451" s="43"/>
      <c r="G4451" s="51"/>
      <c r="H4451" s="250" t="s">
        <v>1227</v>
      </c>
      <c r="I4451" s="251"/>
      <c r="J4451" s="43"/>
    </row>
    <row r="4452" spans="1:10">
      <c r="A4452" s="43" t="s">
        <v>1226</v>
      </c>
      <c r="B4452" s="43"/>
      <c r="C4452" s="43"/>
      <c r="D4452" s="43"/>
      <c r="E4452" s="43"/>
      <c r="F4452" s="43"/>
      <c r="G4452" s="43"/>
      <c r="H4452" s="43"/>
      <c r="I4452" s="43"/>
      <c r="J4452" s="43"/>
    </row>
    <row r="4453" spans="1:10">
      <c r="A4453" s="43"/>
      <c r="B4453" s="43"/>
      <c r="C4453" s="43"/>
      <c r="D4453" s="43"/>
      <c r="E4453" s="43"/>
      <c r="F4453" s="43"/>
      <c r="G4453" s="43"/>
      <c r="H4453" s="43"/>
      <c r="I4453" s="43"/>
      <c r="J4453" s="43"/>
    </row>
    <row r="4454" spans="1:10">
      <c r="A4454" s="43"/>
      <c r="B4454" s="43"/>
      <c r="C4454" s="43"/>
      <c r="D4454" s="43"/>
      <c r="E4454" s="256" t="str">
        <f>CONCATENATE("(",$D4425," vs ",$I4425,")")</f>
        <v>(H vs L)</v>
      </c>
      <c r="F4454" s="256"/>
      <c r="G4454" s="43"/>
      <c r="H4454" s="43"/>
      <c r="I4454" s="43"/>
      <c r="J4454" s="43"/>
    </row>
    <row r="4455" spans="1:10" ht="15.75">
      <c r="A4455" s="42" t="s">
        <v>1223</v>
      </c>
      <c r="B4455" s="43"/>
      <c r="C4455" s="43"/>
      <c r="D4455" s="43"/>
      <c r="E4455" s="43"/>
      <c r="F4455" s="43"/>
      <c r="G4455" s="43"/>
      <c r="H4455" s="43"/>
      <c r="I4455" s="43"/>
      <c r="J4455" s="96" t="s">
        <v>4219</v>
      </c>
    </row>
    <row r="4456" spans="1:10" ht="12.75" customHeight="1">
      <c r="A4456" s="42"/>
      <c r="B4456" s="43"/>
      <c r="C4456" s="43"/>
      <c r="D4456" s="43"/>
      <c r="E4456" s="43"/>
      <c r="F4456" s="43"/>
      <c r="G4456" s="43" t="str">
        <f ca="1">Team_Matches!$J$6</f>
        <v>[NCTTA Teams Template (v2.06).xlsx]</v>
      </c>
      <c r="H4456" s="43"/>
      <c r="I4456" s="43"/>
      <c r="J4456" s="160"/>
    </row>
    <row r="4457" spans="1:10" ht="12.75" customHeight="1">
      <c r="A4457" s="42"/>
      <c r="B4457" s="43"/>
      <c r="C4457" s="43"/>
      <c r="D4457" s="43"/>
      <c r="E4457" s="43"/>
      <c r="F4457" s="43"/>
      <c r="G4457" s="247" t="str">
        <f>Team_Matches!$J3322</f>
        <v/>
      </c>
      <c r="H4457" s="247"/>
      <c r="I4457" s="161" t="str">
        <f>Team_Matches!$M3322</f>
        <v/>
      </c>
      <c r="J4457" s="161"/>
    </row>
    <row r="4458" spans="1:10" ht="15.75">
      <c r="A4458" s="42"/>
      <c r="B4458" s="43"/>
      <c r="C4458" s="43"/>
      <c r="D4458" s="43"/>
      <c r="E4458" s="43"/>
      <c r="F4458" s="43"/>
      <c r="G4458" s="43"/>
      <c r="H4458" s="43"/>
      <c r="I4458" s="43"/>
      <c r="J4458" s="43"/>
    </row>
    <row r="4459" spans="1:10">
      <c r="A4459" s="43"/>
      <c r="B4459" s="43"/>
      <c r="C4459" s="9" t="s">
        <v>1228</v>
      </c>
      <c r="D4459" s="3" t="str">
        <f>Team_Matches!$B3324</f>
        <v>H</v>
      </c>
      <c r="E4459" s="43"/>
      <c r="F4459" s="97" t="str">
        <f>CONCATENATE($D4459,"-",$I4459)</f>
        <v>H-L</v>
      </c>
      <c r="G4459" s="43"/>
      <c r="H4459" s="9" t="s">
        <v>1228</v>
      </c>
      <c r="I4459" s="3" t="str">
        <f>Team_Matches!$K3324</f>
        <v>L</v>
      </c>
      <c r="J4459" s="43"/>
    </row>
    <row r="4460" spans="1:10" ht="25.5" customHeight="1">
      <c r="A4460" s="44"/>
      <c r="B4460" s="252" t="str">
        <f>IF(VLOOKUP($D4459,Draw!$A$4:$B$27,2)&lt;&gt;0,VLOOKUP($D4459,Draw!$A$4:$B$27,2),"")</f>
        <v/>
      </c>
      <c r="C4460" s="252"/>
      <c r="D4460" s="252"/>
      <c r="E4460" s="253"/>
      <c r="F4460" s="45"/>
      <c r="G4460" s="248" t="str">
        <f>IF(VLOOKUP($I4459,Draw!$A$4:$B$27,2)&lt;&gt;0,VLOOKUP($I4459,Draw!$A$4:$B$27,2),"")</f>
        <v/>
      </c>
      <c r="H4460" s="248"/>
      <c r="I4460" s="248"/>
      <c r="J4460" s="249"/>
    </row>
    <row r="4461" spans="1:10" ht="25.5" customHeight="1"/>
    <row r="4462" spans="1:10" ht="25.5" customHeight="1"/>
    <row r="4463" spans="1:10" ht="24" customHeight="1">
      <c r="A4463" s="48" t="s">
        <v>1246</v>
      </c>
      <c r="B4463" s="43"/>
      <c r="C4463" s="43"/>
      <c r="D4463" s="43"/>
      <c r="E4463" s="43"/>
      <c r="F4463" s="43"/>
      <c r="G4463" s="43"/>
      <c r="H4463" s="43"/>
      <c r="I4463" s="43"/>
      <c r="J4463" s="43"/>
    </row>
    <row r="4464" spans="1:10" ht="24" customHeight="1">
      <c r="A4464" s="48"/>
      <c r="B4464" s="43"/>
      <c r="C4464" s="43"/>
      <c r="D4464" s="43"/>
      <c r="E4464" s="43"/>
      <c r="F4464" s="43"/>
      <c r="G4464" s="43"/>
      <c r="H4464" s="43"/>
      <c r="I4464" s="43"/>
      <c r="J4464" s="43"/>
    </row>
    <row r="4465" spans="1:10">
      <c r="A4465" s="49" t="s">
        <v>1224</v>
      </c>
      <c r="B4465" s="46"/>
      <c r="C4465" s="46"/>
      <c r="D4465" s="46"/>
      <c r="E4465" s="46"/>
      <c r="F4465" s="46"/>
      <c r="G4465" s="260" t="s">
        <v>10336</v>
      </c>
      <c r="H4465" s="260"/>
      <c r="I4465" s="260"/>
      <c r="J4465" s="260"/>
    </row>
    <row r="4466" spans="1:10" ht="24" customHeight="1">
      <c r="A4466" s="50" t="str">
        <f>CONCATENATE($I4459,"1")</f>
        <v>L1</v>
      </c>
      <c r="B4466" s="255" t="str">
        <f>IF(VLOOKUP($A4466,Players!$A$2:$C$132,3)&lt;&gt;0,VLOOKUP($A4466,Players!$A$2:$C$132,3),"")</f>
        <v/>
      </c>
      <c r="C4466" s="255"/>
      <c r="D4466" s="255"/>
      <c r="E4466" s="255"/>
      <c r="F4466" s="255"/>
      <c r="G4466" s="254" t="str">
        <f>IF(VLOOKUP($D4459&amp;RIGHT($A4466,1),Players!$A$2:$D$132,3)&lt;&gt;0,VLOOKUP($D4459&amp;RIGHT($A4466,1),Players!$A$2:$D$132,3),"")</f>
        <v/>
      </c>
      <c r="H4466" s="254"/>
      <c r="I4466" s="254"/>
      <c r="J4466" s="210" t="str">
        <f>IF(VLOOKUP($D4459&amp;RIGHT($A4466,1),Players!$A$2:$D$132,3)&lt;&gt;0,"("&amp;VLOOKUP($D4459&amp;RIGHT($A4466,1),Players!$A$2:$D$132,4)&amp;")","")</f>
        <v/>
      </c>
    </row>
    <row r="4467" spans="1:10" ht="25.5" customHeight="1">
      <c r="A4467" s="50" t="str">
        <f>CONCATENATE($I4459,"2")</f>
        <v>L2</v>
      </c>
      <c r="B4467" s="255" t="str">
        <f>IF(VLOOKUP($A4467,Players!$A$2:$C$132,3)&lt;&gt;0,VLOOKUP($A4467,Players!$A$2:$C$132,3),"")</f>
        <v/>
      </c>
      <c r="C4467" s="255"/>
      <c r="D4467" s="255"/>
      <c r="E4467" s="255"/>
      <c r="F4467" s="255"/>
      <c r="G4467" s="254" t="str">
        <f>IF(VLOOKUP($D4459&amp;RIGHT($A4467,1),Players!$A$2:$D$132,3)&lt;&gt;0,VLOOKUP($D4459&amp;RIGHT($A4467,1),Players!$A$2:$D$132,3),"")</f>
        <v/>
      </c>
      <c r="H4467" s="254"/>
      <c r="I4467" s="254"/>
      <c r="J4467" s="210" t="str">
        <f>IF(VLOOKUP($D4459&amp;RIGHT($A4467,1),Players!$A$2:$D$132,3)&lt;&gt;0,"("&amp;VLOOKUP($D4459&amp;RIGHT($A4467,1),Players!$A$2:$D$132,4)&amp;")","")</f>
        <v/>
      </c>
    </row>
    <row r="4468" spans="1:10" ht="25.5" customHeight="1">
      <c r="A4468" s="50" t="str">
        <f>CONCATENATE($I4459,"3")</f>
        <v>L3</v>
      </c>
      <c r="B4468" s="255" t="str">
        <f>IF(VLOOKUP($A4468,Players!$A$2:$C$132,3)&lt;&gt;0,VLOOKUP($A4468,Players!$A$2:$C$132,3),"")</f>
        <v/>
      </c>
      <c r="C4468" s="255"/>
      <c r="D4468" s="255"/>
      <c r="E4468" s="255"/>
      <c r="F4468" s="255"/>
      <c r="G4468" s="254" t="str">
        <f>IF(VLOOKUP($D4459&amp;RIGHT($A4468,1),Players!$A$2:$D$132,3)&lt;&gt;0,VLOOKUP($D4459&amp;RIGHT($A4468,1),Players!$A$2:$D$132,3),"")</f>
        <v/>
      </c>
      <c r="H4468" s="254"/>
      <c r="I4468" s="254"/>
      <c r="J4468" s="210" t="str">
        <f>IF(VLOOKUP($D4459&amp;RIGHT($A4468,1),Players!$A$2:$D$132,3)&lt;&gt;0,"("&amp;VLOOKUP($D4459&amp;RIGHT($A4468,1),Players!$A$2:$D$132,4)&amp;")","")</f>
        <v/>
      </c>
    </row>
    <row r="4469" spans="1:10" ht="25.5" customHeight="1">
      <c r="A4469" s="50" t="str">
        <f>CONCATENATE($I4459,"4")</f>
        <v>L4</v>
      </c>
      <c r="B4469" s="255" t="str">
        <f>IF(VLOOKUP($A4469,Players!$A$2:$C$132,3)&lt;&gt;0,VLOOKUP($A4469,Players!$A$2:$C$132,3),"")</f>
        <v/>
      </c>
      <c r="C4469" s="255"/>
      <c r="D4469" s="255"/>
      <c r="E4469" s="255"/>
      <c r="F4469" s="255"/>
      <c r="G4469" s="254" t="str">
        <f>IF(VLOOKUP($D4459&amp;RIGHT($A4469,1),Players!$A$2:$D$132,3)&lt;&gt;0,VLOOKUP($D4459&amp;RIGHT($A4469,1),Players!$A$2:$D$132,3),"")</f>
        <v/>
      </c>
      <c r="H4469" s="254"/>
      <c r="I4469" s="254"/>
      <c r="J4469" s="210" t="str">
        <f>IF(VLOOKUP($D4459&amp;RIGHT($A4469,1),Players!$A$2:$D$132,3)&lt;&gt;0,"("&amp;VLOOKUP($D4459&amp;RIGHT($A4469,1),Players!$A$2:$D$132,4)&amp;")","")</f>
        <v/>
      </c>
    </row>
    <row r="4470" spans="1:10" ht="25.5" customHeight="1">
      <c r="A4470" s="50" t="str">
        <f>CONCATENATE($I4459,"5")</f>
        <v>L5</v>
      </c>
      <c r="B4470" s="255" t="str">
        <f>IF(VLOOKUP($A4470,Players!$A$2:$C$132,3)&lt;&gt;0,VLOOKUP($A4470,Players!$A$2:$C$132,3),"")</f>
        <v/>
      </c>
      <c r="C4470" s="255"/>
      <c r="D4470" s="255"/>
      <c r="E4470" s="255"/>
      <c r="F4470" s="255"/>
      <c r="G4470" s="254" t="str">
        <f>IF(VLOOKUP($D4459&amp;RIGHT($A4470,1),Players!$A$2:$D$132,3)&lt;&gt;0,VLOOKUP($D4459&amp;RIGHT($A4470,1),Players!$A$2:$D$132,3),"")</f>
        <v/>
      </c>
      <c r="H4470" s="254"/>
      <c r="I4470" s="254"/>
      <c r="J4470" s="210" t="str">
        <f>IF(VLOOKUP($D4459&amp;RIGHT($A4470,1),Players!$A$2:$D$132,3)&lt;&gt;0,"("&amp;VLOOKUP($D4459&amp;RIGHT($A4470,1),Players!$A$2:$D$132,4)&amp;")","")</f>
        <v/>
      </c>
    </row>
    <row r="4471" spans="1:10" ht="25.5" customHeight="1">
      <c r="A4471" s="50" t="str">
        <f>CONCATENATE($I4459,"6")</f>
        <v>L6</v>
      </c>
      <c r="B4471" s="255" t="str">
        <f>IF(VLOOKUP($A4471,Players!$A$2:$C$132,3)&lt;&gt;0,VLOOKUP($A4471,Players!$A$2:$C$132,3),"")</f>
        <v/>
      </c>
      <c r="C4471" s="255"/>
      <c r="D4471" s="255"/>
      <c r="E4471" s="255"/>
      <c r="F4471" s="255"/>
      <c r="G4471" s="254" t="str">
        <f>IF(VLOOKUP($D4459&amp;RIGHT($A4471,1),Players!$A$2:$D$132,3)&lt;&gt;0,VLOOKUP($D4459&amp;RIGHT($A4471,1),Players!$A$2:$D$132,3),"")</f>
        <v/>
      </c>
      <c r="H4471" s="254"/>
      <c r="I4471" s="254"/>
      <c r="J4471" s="210" t="str">
        <f>IF(VLOOKUP($D4459&amp;RIGHT($A4471,1),Players!$A$2:$D$132,3)&lt;&gt;0,"("&amp;VLOOKUP($D4459&amp;RIGHT($A4471,1),Players!$A$2:$D$132,4)&amp;")","")</f>
        <v/>
      </c>
    </row>
    <row r="4472" spans="1:10" ht="25.5" customHeight="1">
      <c r="A4472" s="50" t="str">
        <f>CONCATENATE($I4459,"7")</f>
        <v>L7</v>
      </c>
      <c r="B4472" s="255" t="str">
        <f>IF(VLOOKUP($A4472,Players!$A$2:$C$132,3)&lt;&gt;0,VLOOKUP($A4472,Players!$A$2:$C$132,3),"")</f>
        <v/>
      </c>
      <c r="C4472" s="255"/>
      <c r="D4472" s="255"/>
      <c r="E4472" s="255"/>
      <c r="F4472" s="255"/>
      <c r="G4472" s="254" t="str">
        <f>IF(VLOOKUP($D4459&amp;RIGHT($A4472,1),Players!$A$2:$D$132,3)&lt;&gt;0,VLOOKUP($D4459&amp;RIGHT($A4472,1),Players!$A$2:$D$132,3),"")</f>
        <v/>
      </c>
      <c r="H4472" s="254"/>
      <c r="I4472" s="254"/>
      <c r="J4472" s="210" t="str">
        <f>IF(VLOOKUP($D4459&amp;RIGHT($A4472,1),Players!$A$2:$D$132,3)&lt;&gt;0,"("&amp;VLOOKUP($D4459&amp;RIGHT($A4472,1),Players!$A$2:$D$132,4)&amp;")","")</f>
        <v/>
      </c>
    </row>
    <row r="4473" spans="1:10" ht="25.5" customHeight="1">
      <c r="A4473" s="50" t="str">
        <f>CONCATENATE($I4459,"8")</f>
        <v>L8</v>
      </c>
      <c r="B4473" s="255" t="str">
        <f>IF(VLOOKUP($A4473,Players!$A$2:$C$132,3)&lt;&gt;0,VLOOKUP($A4473,Players!$A$2:$C$132,3),"")</f>
        <v/>
      </c>
      <c r="C4473" s="255"/>
      <c r="D4473" s="255"/>
      <c r="E4473" s="255"/>
      <c r="F4473" s="255"/>
      <c r="G4473" s="254" t="str">
        <f>IF(VLOOKUP($D4459&amp;RIGHT($A4473,1),Players!$A$2:$D$132,3)&lt;&gt;0,VLOOKUP($D4459&amp;RIGHT($A4473,1),Players!$A$2:$D$132,3),"")</f>
        <v/>
      </c>
      <c r="H4473" s="254"/>
      <c r="I4473" s="254"/>
      <c r="J4473" s="210" t="str">
        <f>IF(VLOOKUP($D4459&amp;RIGHT($A4473,1),Players!$A$2:$D$132,3)&lt;&gt;0,"("&amp;VLOOKUP($D4459&amp;RIGHT($A4473,1),Players!$A$2:$D$132,4)&amp;")","")</f>
        <v/>
      </c>
    </row>
    <row r="4474" spans="1:10" ht="25.5" customHeight="1">
      <c r="A4474" s="50"/>
      <c r="B4474" s="26"/>
      <c r="C4474" s="26"/>
      <c r="D4474" s="26"/>
      <c r="E4474" s="26"/>
      <c r="F4474" s="27"/>
      <c r="G4474" s="43"/>
      <c r="H4474" s="43"/>
      <c r="I4474" s="43"/>
      <c r="J4474" s="43"/>
    </row>
    <row r="4475" spans="1:10">
      <c r="A4475" s="49" t="s">
        <v>1225</v>
      </c>
      <c r="B4475" s="46"/>
      <c r="C4475" s="46"/>
      <c r="D4475" s="46"/>
      <c r="E4475" s="46"/>
      <c r="F4475" s="46"/>
      <c r="G4475" s="43"/>
      <c r="H4475" s="43"/>
      <c r="I4475" s="43"/>
      <c r="J4475" s="43"/>
    </row>
    <row r="4476" spans="1:10">
      <c r="A4476" s="46" t="s">
        <v>1247</v>
      </c>
      <c r="B4476" s="46"/>
      <c r="C4476" s="46"/>
      <c r="D4476" s="46"/>
      <c r="E4476" s="46"/>
      <c r="F4476" s="46"/>
      <c r="G4476" s="43"/>
      <c r="H4476" s="43"/>
      <c r="I4476" s="43"/>
      <c r="J4476" s="43"/>
    </row>
    <row r="4477" spans="1:10">
      <c r="A4477" s="46" t="s">
        <v>1248</v>
      </c>
      <c r="B4477" s="46"/>
      <c r="C4477" s="46"/>
      <c r="D4477" s="46"/>
      <c r="E4477" s="46"/>
      <c r="F4477" s="46"/>
      <c r="G4477" s="43"/>
      <c r="H4477" s="43"/>
      <c r="I4477" s="43"/>
      <c r="J4477" s="43"/>
    </row>
    <row r="4478" spans="1:10" ht="13.5" thickBot="1">
      <c r="A4478" s="46"/>
      <c r="B4478" s="46"/>
      <c r="C4478" s="46"/>
      <c r="D4478" s="46"/>
      <c r="E4478" s="46"/>
      <c r="F4478" s="46"/>
      <c r="G4478" s="43"/>
      <c r="H4478" s="43"/>
      <c r="I4478" s="43"/>
      <c r="J4478" s="43"/>
    </row>
    <row r="4479" spans="1:10" ht="25.5" customHeight="1" thickBot="1">
      <c r="A4479" s="50"/>
      <c r="B4479" s="257"/>
      <c r="C4479" s="258"/>
      <c r="D4479" s="258"/>
      <c r="E4479" s="258"/>
      <c r="F4479" s="259"/>
      <c r="G4479" s="43"/>
      <c r="H4479" s="43"/>
      <c r="I4479" s="43"/>
      <c r="J4479" s="43"/>
    </row>
    <row r="4480" spans="1:10">
      <c r="A4480" s="43"/>
      <c r="B4480" s="43"/>
      <c r="C4480" s="43"/>
      <c r="D4480" s="43"/>
      <c r="E4480" s="43"/>
      <c r="F4480" s="43"/>
      <c r="G4480" s="43"/>
      <c r="H4480" s="43"/>
      <c r="I4480" s="43"/>
      <c r="J4480" s="43"/>
    </row>
    <row r="4481" spans="1:10">
      <c r="A4481" s="43"/>
      <c r="B4481" s="43"/>
      <c r="C4481" s="43"/>
      <c r="D4481" s="43"/>
      <c r="E4481" s="43"/>
      <c r="F4481" s="43"/>
      <c r="G4481" s="43"/>
      <c r="H4481" s="43"/>
      <c r="I4481" s="43"/>
      <c r="J4481" s="43"/>
    </row>
    <row r="4482" spans="1:10">
      <c r="A4482" s="43"/>
      <c r="B4482" s="43"/>
      <c r="C4482" s="43"/>
      <c r="D4482" s="43"/>
      <c r="E4482" s="43"/>
      <c r="F4482" s="43"/>
      <c r="G4482" s="43"/>
      <c r="H4482" s="43"/>
      <c r="I4482" s="43"/>
      <c r="J4482" s="43"/>
    </row>
    <row r="4483" spans="1:10">
      <c r="A4483" s="43"/>
      <c r="B4483" s="43"/>
      <c r="C4483" s="43"/>
      <c r="D4483" s="43"/>
      <c r="E4483" s="43"/>
      <c r="F4483" s="43"/>
      <c r="G4483" s="43"/>
      <c r="H4483" s="43"/>
      <c r="I4483" s="43"/>
      <c r="J4483" s="43"/>
    </row>
    <row r="4484" spans="1:10">
      <c r="A4484" s="43"/>
      <c r="B4484" s="43"/>
      <c r="C4484" s="43"/>
      <c r="D4484" s="43"/>
      <c r="E4484" s="43"/>
      <c r="F4484" s="43"/>
      <c r="G4484" s="43"/>
      <c r="H4484" s="43"/>
      <c r="I4484" s="43"/>
      <c r="J4484" s="43"/>
    </row>
    <row r="4485" spans="1:10" ht="25.5" customHeight="1">
      <c r="A4485" s="47"/>
      <c r="B4485" s="47"/>
      <c r="C4485" s="47"/>
      <c r="D4485" s="47"/>
      <c r="E4485" s="47"/>
      <c r="F4485" s="43"/>
      <c r="G4485" s="51"/>
      <c r="H4485" s="250" t="s">
        <v>1227</v>
      </c>
      <c r="I4485" s="251"/>
      <c r="J4485" s="43"/>
    </row>
    <row r="4486" spans="1:10">
      <c r="A4486" s="43" t="s">
        <v>1226</v>
      </c>
      <c r="B4486" s="43"/>
      <c r="C4486" s="43"/>
      <c r="D4486" s="43"/>
      <c r="E4486" s="43"/>
      <c r="F4486" s="43"/>
      <c r="G4486" s="43"/>
      <c r="H4486" s="43"/>
      <c r="I4486" s="43"/>
      <c r="J4486" s="43"/>
    </row>
    <row r="4487" spans="1:10">
      <c r="A4487" s="43"/>
      <c r="B4487" s="43"/>
      <c r="C4487" s="43"/>
      <c r="D4487" s="43"/>
      <c r="E4487" s="43"/>
      <c r="F4487" s="43"/>
      <c r="G4487" s="43"/>
      <c r="H4487" s="43"/>
      <c r="I4487" s="43"/>
      <c r="J4487" s="43"/>
    </row>
    <row r="4488" spans="1:10">
      <c r="A4488" s="43"/>
      <c r="B4488" s="43"/>
      <c r="C4488" s="43"/>
      <c r="D4488" s="43"/>
      <c r="E4488" s="256" t="str">
        <f>CONCATENATE("(",$D4459," vs ",$I4459,")")</f>
        <v>(H vs L)</v>
      </c>
      <c r="F4488" s="256"/>
      <c r="G4488" s="43"/>
      <c r="H4488" s="43"/>
      <c r="I4488" s="43"/>
      <c r="J4488" s="43"/>
    </row>
  </sheetData>
  <sheetProtection sheet="1" objects="1" scenarios="1"/>
  <mergeCells count="3037">
    <mergeCell ref="G4472:I4472"/>
    <mergeCell ref="G4473:I4473"/>
    <mergeCell ref="G4337:I4337"/>
    <mergeCell ref="G4397:J4397"/>
    <mergeCell ref="G4398:I4398"/>
    <mergeCell ref="G4399:I4399"/>
    <mergeCell ref="G4400:I4400"/>
    <mergeCell ref="G4401:I4401"/>
    <mergeCell ref="G4402:I4402"/>
    <mergeCell ref="G4403:I4403"/>
    <mergeCell ref="G4404:I4404"/>
    <mergeCell ref="G4405:I4405"/>
    <mergeCell ref="G4465:J4465"/>
    <mergeCell ref="G4466:I4466"/>
    <mergeCell ref="G4467:I4467"/>
    <mergeCell ref="G4468:I4468"/>
    <mergeCell ref="G4469:I4469"/>
    <mergeCell ref="G4470:I4470"/>
    <mergeCell ref="G4471:I4471"/>
    <mergeCell ref="G4439:I4439"/>
    <mergeCell ref="G4366:I4366"/>
    <mergeCell ref="G4367:I4367"/>
    <mergeCell ref="G4368:I4368"/>
    <mergeCell ref="G4369:I4369"/>
    <mergeCell ref="G4370:I4370"/>
    <mergeCell ref="G4371:I4371"/>
    <mergeCell ref="G4431:J4431"/>
    <mergeCell ref="G4432:I4432"/>
    <mergeCell ref="G4433:I4433"/>
    <mergeCell ref="G4434:I4434"/>
    <mergeCell ref="G4435:I4435"/>
    <mergeCell ref="G4436:I4436"/>
    <mergeCell ref="G4059:I4059"/>
    <mergeCell ref="G4060:I4060"/>
    <mergeCell ref="G4061:I4061"/>
    <mergeCell ref="G4062:I4062"/>
    <mergeCell ref="G4063:I4063"/>
    <mergeCell ref="G4064:I4064"/>
    <mergeCell ref="G4065:I4065"/>
    <mergeCell ref="G4125:J4125"/>
    <mergeCell ref="G4126:I4126"/>
    <mergeCell ref="G4127:I4127"/>
    <mergeCell ref="G4128:I4128"/>
    <mergeCell ref="G4129:I4129"/>
    <mergeCell ref="G4130:I4130"/>
    <mergeCell ref="G4131:I4131"/>
    <mergeCell ref="G4132:I4132"/>
    <mergeCell ref="H4111:I4111"/>
    <mergeCell ref="G4117:H4117"/>
    <mergeCell ref="G3720:I3720"/>
    <mergeCell ref="G3721:I3721"/>
    <mergeCell ref="G3722:I3722"/>
    <mergeCell ref="G3723:I3723"/>
    <mergeCell ref="G3724:I3724"/>
    <mergeCell ref="G3725:I3725"/>
    <mergeCell ref="G3785:J3785"/>
    <mergeCell ref="G3786:I3786"/>
    <mergeCell ref="G3787:I3787"/>
    <mergeCell ref="G3788:I3788"/>
    <mergeCell ref="G3789:I3789"/>
    <mergeCell ref="G3790:I3790"/>
    <mergeCell ref="G4057:J4057"/>
    <mergeCell ref="G3889:I3889"/>
    <mergeCell ref="G3890:I3890"/>
    <mergeCell ref="G3891:I3891"/>
    <mergeCell ref="G3892:I3892"/>
    <mergeCell ref="G3893:I3893"/>
    <mergeCell ref="G3894:I3894"/>
    <mergeCell ref="G3895:I3895"/>
    <mergeCell ref="G3955:J3955"/>
    <mergeCell ref="G3956:I3956"/>
    <mergeCell ref="G3957:I3957"/>
    <mergeCell ref="G3958:I3958"/>
    <mergeCell ref="G3959:I3959"/>
    <mergeCell ref="G3960:I3960"/>
    <mergeCell ref="G3961:I3961"/>
    <mergeCell ref="G3962:I3962"/>
    <mergeCell ref="G3378:I3378"/>
    <mergeCell ref="G3379:I3379"/>
    <mergeCell ref="G3380:I3380"/>
    <mergeCell ref="G3381:I3381"/>
    <mergeCell ref="G3382:I3382"/>
    <mergeCell ref="G3383:I3383"/>
    <mergeCell ref="G3384:I3384"/>
    <mergeCell ref="G3385:I3385"/>
    <mergeCell ref="G3445:J3445"/>
    <mergeCell ref="G3446:I3446"/>
    <mergeCell ref="G3447:I3447"/>
    <mergeCell ref="G3448:I3448"/>
    <mergeCell ref="G3449:I3449"/>
    <mergeCell ref="G3450:I3450"/>
    <mergeCell ref="G3451:I3451"/>
    <mergeCell ref="G3452:I3452"/>
    <mergeCell ref="G3453:I3453"/>
    <mergeCell ref="G3411:J3411"/>
    <mergeCell ref="G3412:I3412"/>
    <mergeCell ref="G3413:I3413"/>
    <mergeCell ref="G3414:I3414"/>
    <mergeCell ref="G3415:I3415"/>
    <mergeCell ref="G3416:I3416"/>
    <mergeCell ref="G3417:I3417"/>
    <mergeCell ref="G3418:I3418"/>
    <mergeCell ref="G3419:I3419"/>
    <mergeCell ref="H3431:I3431"/>
    <mergeCell ref="G3437:H3437"/>
    <mergeCell ref="G3043:I3043"/>
    <mergeCell ref="G3044:I3044"/>
    <mergeCell ref="G3045:I3045"/>
    <mergeCell ref="G3105:J3105"/>
    <mergeCell ref="G3106:I3106"/>
    <mergeCell ref="G3107:I3107"/>
    <mergeCell ref="G3108:I3108"/>
    <mergeCell ref="G3109:I3109"/>
    <mergeCell ref="G3110:I3110"/>
    <mergeCell ref="G3111:I3111"/>
    <mergeCell ref="G3112:I3112"/>
    <mergeCell ref="G3113:I3113"/>
    <mergeCell ref="G3173:J3173"/>
    <mergeCell ref="G3174:I3174"/>
    <mergeCell ref="G3175:I3175"/>
    <mergeCell ref="G3176:I3176"/>
    <mergeCell ref="G3177:I3177"/>
    <mergeCell ref="G2836:I2836"/>
    <mergeCell ref="G2837:I2837"/>
    <mergeCell ref="G2838:I2838"/>
    <mergeCell ref="G2839:I2839"/>
    <mergeCell ref="G2840:I2840"/>
    <mergeCell ref="G2841:I2841"/>
    <mergeCell ref="G2901:J2901"/>
    <mergeCell ref="G2902:I2902"/>
    <mergeCell ref="G2903:I2903"/>
    <mergeCell ref="G2904:I2904"/>
    <mergeCell ref="G2905:I2905"/>
    <mergeCell ref="G2806:I2806"/>
    <mergeCell ref="G2807:I2807"/>
    <mergeCell ref="G2867:J2867"/>
    <mergeCell ref="G2868:I2868"/>
    <mergeCell ref="G2869:I2869"/>
    <mergeCell ref="G2870:I2870"/>
    <mergeCell ref="G2871:I2871"/>
    <mergeCell ref="G2872:I2872"/>
    <mergeCell ref="G2873:I2873"/>
    <mergeCell ref="G2874:I2874"/>
    <mergeCell ref="G2875:I2875"/>
    <mergeCell ref="G2633:I2633"/>
    <mergeCell ref="G2771:I2771"/>
    <mergeCell ref="G2772:I2772"/>
    <mergeCell ref="G2773:I2773"/>
    <mergeCell ref="G2833:J2833"/>
    <mergeCell ref="G2702:I2702"/>
    <mergeCell ref="G2703:I2703"/>
    <mergeCell ref="G2704:I2704"/>
    <mergeCell ref="G2705:I2705"/>
    <mergeCell ref="G2765:J2765"/>
    <mergeCell ref="G2766:I2766"/>
    <mergeCell ref="G2767:I2767"/>
    <mergeCell ref="G2768:I2768"/>
    <mergeCell ref="G2769:I2769"/>
    <mergeCell ref="G2770:I2770"/>
    <mergeCell ref="G2834:I2834"/>
    <mergeCell ref="G2835:I2835"/>
    <mergeCell ref="G2399:I2399"/>
    <mergeCell ref="G2459:J2459"/>
    <mergeCell ref="G2460:I2460"/>
    <mergeCell ref="G2461:I2461"/>
    <mergeCell ref="G2462:I2462"/>
    <mergeCell ref="G2463:I2463"/>
    <mergeCell ref="G2464:I2464"/>
    <mergeCell ref="G2465:I2465"/>
    <mergeCell ref="G2466:I2466"/>
    <mergeCell ref="G2467:I2467"/>
    <mergeCell ref="G2391:J2391"/>
    <mergeCell ref="G2392:I2392"/>
    <mergeCell ref="G2393:I2393"/>
    <mergeCell ref="G2394:I2394"/>
    <mergeCell ref="G2395:I2395"/>
    <mergeCell ref="G2562:I2562"/>
    <mergeCell ref="G2563:I2563"/>
    <mergeCell ref="G2158:I2158"/>
    <mergeCell ref="G2159:I2159"/>
    <mergeCell ref="G2160:I2160"/>
    <mergeCell ref="G2161:I2161"/>
    <mergeCell ref="G2221:J2221"/>
    <mergeCell ref="G2289:J2289"/>
    <mergeCell ref="G2290:I2290"/>
    <mergeCell ref="G2291:I2291"/>
    <mergeCell ref="G2292:I2292"/>
    <mergeCell ref="G2293:I2293"/>
    <mergeCell ref="G2294:I2294"/>
    <mergeCell ref="G2295:I2295"/>
    <mergeCell ref="G2296:I2296"/>
    <mergeCell ref="G2297:I2297"/>
    <mergeCell ref="G2357:J2357"/>
    <mergeCell ref="G2358:I2358"/>
    <mergeCell ref="G2359:I2359"/>
    <mergeCell ref="G2323:J2323"/>
    <mergeCell ref="G2324:I2324"/>
    <mergeCell ref="G2325:I2325"/>
    <mergeCell ref="G2326:I2326"/>
    <mergeCell ref="G2327:I2327"/>
    <mergeCell ref="G2328:I2328"/>
    <mergeCell ref="G2329:I2329"/>
    <mergeCell ref="G2330:I2330"/>
    <mergeCell ref="G2331:I2331"/>
    <mergeCell ref="G2087:I2087"/>
    <mergeCell ref="G2088:I2088"/>
    <mergeCell ref="G2089:I2089"/>
    <mergeCell ref="G2090:I2090"/>
    <mergeCell ref="G2091:I2091"/>
    <mergeCell ref="G2092:I2092"/>
    <mergeCell ref="G2093:I2093"/>
    <mergeCell ref="G2153:J2153"/>
    <mergeCell ref="G2154:I2154"/>
    <mergeCell ref="G2155:I2155"/>
    <mergeCell ref="G2156:I2156"/>
    <mergeCell ref="G2157:I2157"/>
    <mergeCell ref="G1921:I1921"/>
    <mergeCell ref="G1922:I1922"/>
    <mergeCell ref="G1923:I1923"/>
    <mergeCell ref="G1983:J1983"/>
    <mergeCell ref="G1984:I1984"/>
    <mergeCell ref="G1985:I1985"/>
    <mergeCell ref="G1986:I1986"/>
    <mergeCell ref="G1987:I1987"/>
    <mergeCell ref="G1988:I1988"/>
    <mergeCell ref="G1989:I1989"/>
    <mergeCell ref="G1990:I1990"/>
    <mergeCell ref="G1991:I1991"/>
    <mergeCell ref="G2051:J2051"/>
    <mergeCell ref="G2052:I2052"/>
    <mergeCell ref="G2053:I2053"/>
    <mergeCell ref="G1614:I1614"/>
    <mergeCell ref="G1615:I1615"/>
    <mergeCell ref="G1616:I1616"/>
    <mergeCell ref="G1617:I1617"/>
    <mergeCell ref="G1677:J1677"/>
    <mergeCell ref="G1678:I1678"/>
    <mergeCell ref="G1679:I1679"/>
    <mergeCell ref="G1680:I1680"/>
    <mergeCell ref="G1681:I1681"/>
    <mergeCell ref="G1682:I1682"/>
    <mergeCell ref="G1683:I1683"/>
    <mergeCell ref="G1684:I1684"/>
    <mergeCell ref="G1651:I1651"/>
    <mergeCell ref="H1663:I1663"/>
    <mergeCell ref="G1887:I1887"/>
    <mergeCell ref="G1888:I1888"/>
    <mergeCell ref="G1889:I1889"/>
    <mergeCell ref="G1786:I1786"/>
    <mergeCell ref="G1787:I1787"/>
    <mergeCell ref="G1847:J1847"/>
    <mergeCell ref="G1848:I1848"/>
    <mergeCell ref="G1849:I1849"/>
    <mergeCell ref="G1850:I1850"/>
    <mergeCell ref="G1851:I1851"/>
    <mergeCell ref="G1852:I1852"/>
    <mergeCell ref="G1853:I1853"/>
    <mergeCell ref="G1854:I1854"/>
    <mergeCell ref="G1855:I1855"/>
    <mergeCell ref="G1711:J1711"/>
    <mergeCell ref="G1712:I1712"/>
    <mergeCell ref="G1713:I1713"/>
    <mergeCell ref="G1714:I1714"/>
    <mergeCell ref="G1478:I1478"/>
    <mergeCell ref="G1479:I1479"/>
    <mergeCell ref="G1480:I1480"/>
    <mergeCell ref="G1481:I1481"/>
    <mergeCell ref="G1541:J1541"/>
    <mergeCell ref="G1542:I1542"/>
    <mergeCell ref="G1543:I1543"/>
    <mergeCell ref="G1544:I1544"/>
    <mergeCell ref="G1545:I1545"/>
    <mergeCell ref="G1507:J1507"/>
    <mergeCell ref="G1508:I1508"/>
    <mergeCell ref="G1509:I1509"/>
    <mergeCell ref="G1510:I1510"/>
    <mergeCell ref="G1511:I1511"/>
    <mergeCell ref="G1512:I1512"/>
    <mergeCell ref="G1513:I1513"/>
    <mergeCell ref="G1514:I1514"/>
    <mergeCell ref="G1515:I1515"/>
    <mergeCell ref="G1499:H1499"/>
    <mergeCell ref="G1533:H1533"/>
    <mergeCell ref="G1140:I1140"/>
    <mergeCell ref="G1141:I1141"/>
    <mergeCell ref="G1201:J1201"/>
    <mergeCell ref="G1202:I1202"/>
    <mergeCell ref="G1203:I1203"/>
    <mergeCell ref="G1204:I1204"/>
    <mergeCell ref="G1205:I1205"/>
    <mergeCell ref="G1206:I1206"/>
    <mergeCell ref="G1207:I1207"/>
    <mergeCell ref="G1208:I1208"/>
    <mergeCell ref="G1209:I1209"/>
    <mergeCell ref="G1269:J1269"/>
    <mergeCell ref="G1270:I1270"/>
    <mergeCell ref="G1271:I1271"/>
    <mergeCell ref="G1272:I1272"/>
    <mergeCell ref="G1273:I1273"/>
    <mergeCell ref="G1274:I1274"/>
    <mergeCell ref="G1072:I1072"/>
    <mergeCell ref="G1073:I1073"/>
    <mergeCell ref="G1133:J1133"/>
    <mergeCell ref="G1134:I1134"/>
    <mergeCell ref="G1135:I1135"/>
    <mergeCell ref="G1136:I1136"/>
    <mergeCell ref="G1137:I1137"/>
    <mergeCell ref="G1138:I1138"/>
    <mergeCell ref="G1139:I1139"/>
    <mergeCell ref="G1032:I1032"/>
    <mergeCell ref="G1033:I1033"/>
    <mergeCell ref="G1034:I1034"/>
    <mergeCell ref="G1035:I1035"/>
    <mergeCell ref="G1036:I1036"/>
    <mergeCell ref="G1037:I1037"/>
    <mergeCell ref="G1038:I1038"/>
    <mergeCell ref="G1039:I1039"/>
    <mergeCell ref="G1099:J1099"/>
    <mergeCell ref="G1100:I1100"/>
    <mergeCell ref="G1101:I1101"/>
    <mergeCell ref="G1102:I1102"/>
    <mergeCell ref="G1103:I1103"/>
    <mergeCell ref="G1104:I1104"/>
    <mergeCell ref="G1105:I1105"/>
    <mergeCell ref="G1107:I1107"/>
    <mergeCell ref="G731:I731"/>
    <mergeCell ref="G732:I732"/>
    <mergeCell ref="G733:I733"/>
    <mergeCell ref="G793:J793"/>
    <mergeCell ref="G794:I794"/>
    <mergeCell ref="G795:I795"/>
    <mergeCell ref="G796:I796"/>
    <mergeCell ref="G797:I797"/>
    <mergeCell ref="G798:I798"/>
    <mergeCell ref="G799:I799"/>
    <mergeCell ref="G800:I800"/>
    <mergeCell ref="G801:I801"/>
    <mergeCell ref="G861:J861"/>
    <mergeCell ref="G862:I862"/>
    <mergeCell ref="G863:I863"/>
    <mergeCell ref="G864:I864"/>
    <mergeCell ref="G865:I865"/>
    <mergeCell ref="G754:J754"/>
    <mergeCell ref="G762:I762"/>
    <mergeCell ref="G763:I763"/>
    <mergeCell ref="G764:I764"/>
    <mergeCell ref="G765:I765"/>
    <mergeCell ref="G766:I766"/>
    <mergeCell ref="G767:I767"/>
    <mergeCell ref="G827:J827"/>
    <mergeCell ref="G828:I828"/>
    <mergeCell ref="G829:I829"/>
    <mergeCell ref="G830:I830"/>
    <mergeCell ref="G831:I831"/>
    <mergeCell ref="G832:I832"/>
    <mergeCell ref="G833:I833"/>
    <mergeCell ref="G834:I834"/>
    <mergeCell ref="G525:I525"/>
    <mergeCell ref="G526:I526"/>
    <mergeCell ref="G527:I527"/>
    <mergeCell ref="G528:I528"/>
    <mergeCell ref="G529:I529"/>
    <mergeCell ref="G589:J589"/>
    <mergeCell ref="G590:I590"/>
    <mergeCell ref="G591:I591"/>
    <mergeCell ref="G592:I592"/>
    <mergeCell ref="G593:I593"/>
    <mergeCell ref="G594:I594"/>
    <mergeCell ref="G595:I595"/>
    <mergeCell ref="G492:I492"/>
    <mergeCell ref="G493:I493"/>
    <mergeCell ref="G494:I494"/>
    <mergeCell ref="G495:I495"/>
    <mergeCell ref="G555:J555"/>
    <mergeCell ref="G556:I556"/>
    <mergeCell ref="G557:I557"/>
    <mergeCell ref="G558:I558"/>
    <mergeCell ref="G559:I559"/>
    <mergeCell ref="G560:I560"/>
    <mergeCell ref="G561:I561"/>
    <mergeCell ref="G562:I562"/>
    <mergeCell ref="G563:I563"/>
    <mergeCell ref="G390:I390"/>
    <mergeCell ref="G391:I391"/>
    <mergeCell ref="G392:I392"/>
    <mergeCell ref="G393:I393"/>
    <mergeCell ref="G453:J453"/>
    <mergeCell ref="G454:I454"/>
    <mergeCell ref="G455:I455"/>
    <mergeCell ref="G456:I456"/>
    <mergeCell ref="G457:I457"/>
    <mergeCell ref="G458:I458"/>
    <mergeCell ref="G459:I459"/>
    <mergeCell ref="G460:I460"/>
    <mergeCell ref="G461:I461"/>
    <mergeCell ref="G521:J521"/>
    <mergeCell ref="G522:I522"/>
    <mergeCell ref="G523:I523"/>
    <mergeCell ref="G524:I524"/>
    <mergeCell ref="G119:I119"/>
    <mergeCell ref="G120:I120"/>
    <mergeCell ref="G121:I121"/>
    <mergeCell ref="G181:J181"/>
    <mergeCell ref="G182:I182"/>
    <mergeCell ref="G183:I183"/>
    <mergeCell ref="G184:I184"/>
    <mergeCell ref="G185:I185"/>
    <mergeCell ref="G186:I186"/>
    <mergeCell ref="G187:I187"/>
    <mergeCell ref="G188:I188"/>
    <mergeCell ref="G147:J147"/>
    <mergeCell ref="G148:I148"/>
    <mergeCell ref="G149:I149"/>
    <mergeCell ref="G150:I150"/>
    <mergeCell ref="G151:I151"/>
    <mergeCell ref="G152:I152"/>
    <mergeCell ref="G153:I153"/>
    <mergeCell ref="G154:I154"/>
    <mergeCell ref="G155:I155"/>
    <mergeCell ref="G253:I253"/>
    <mergeCell ref="G254:I254"/>
    <mergeCell ref="G255:I255"/>
    <mergeCell ref="G256:I256"/>
    <mergeCell ref="G257:I257"/>
    <mergeCell ref="G317:J317"/>
    <mergeCell ref="G318:I318"/>
    <mergeCell ref="G319:I319"/>
    <mergeCell ref="G320:I320"/>
    <mergeCell ref="G4363:J4363"/>
    <mergeCell ref="G4364:I4364"/>
    <mergeCell ref="G4365:I4365"/>
    <mergeCell ref="G4091:J4091"/>
    <mergeCell ref="G4092:I4092"/>
    <mergeCell ref="G4093:I4093"/>
    <mergeCell ref="G4094:I4094"/>
    <mergeCell ref="G4095:I4095"/>
    <mergeCell ref="G4096:I4096"/>
    <mergeCell ref="G4097:I4097"/>
    <mergeCell ref="G4098:I4098"/>
    <mergeCell ref="G4099:I4099"/>
    <mergeCell ref="G4159:J4159"/>
    <mergeCell ref="G4160:I4160"/>
    <mergeCell ref="G4161:I4161"/>
    <mergeCell ref="G4162:I4162"/>
    <mergeCell ref="G4163:I4163"/>
    <mergeCell ref="G4164:I4164"/>
    <mergeCell ref="G385:J385"/>
    <mergeCell ref="G386:I386"/>
    <mergeCell ref="G387:I387"/>
    <mergeCell ref="G388:I388"/>
    <mergeCell ref="G389:I389"/>
    <mergeCell ref="G4437:I4437"/>
    <mergeCell ref="G4438:I4438"/>
    <mergeCell ref="G4227:J4227"/>
    <mergeCell ref="G4228:I4228"/>
    <mergeCell ref="G4229:I4229"/>
    <mergeCell ref="G4230:I4230"/>
    <mergeCell ref="G4231:I4231"/>
    <mergeCell ref="G4232:I4232"/>
    <mergeCell ref="G4233:I4233"/>
    <mergeCell ref="G4234:I4234"/>
    <mergeCell ref="G4235:I4235"/>
    <mergeCell ref="G4295:J4295"/>
    <mergeCell ref="G4296:I4296"/>
    <mergeCell ref="G4297:I4297"/>
    <mergeCell ref="G4298:I4298"/>
    <mergeCell ref="G4299:I4299"/>
    <mergeCell ref="G4300:I4300"/>
    <mergeCell ref="G4301:I4301"/>
    <mergeCell ref="G4302:I4302"/>
    <mergeCell ref="G4261:J4261"/>
    <mergeCell ref="G4262:I4262"/>
    <mergeCell ref="G4263:I4263"/>
    <mergeCell ref="G4264:I4264"/>
    <mergeCell ref="G4265:I4265"/>
    <mergeCell ref="G4266:I4266"/>
    <mergeCell ref="G4267:I4267"/>
    <mergeCell ref="G4268:I4268"/>
    <mergeCell ref="G4269:I4269"/>
    <mergeCell ref="G3963:I3963"/>
    <mergeCell ref="G4023:J4023"/>
    <mergeCell ref="G3921:J3921"/>
    <mergeCell ref="G3922:I3922"/>
    <mergeCell ref="G3923:I3923"/>
    <mergeCell ref="G3924:I3924"/>
    <mergeCell ref="G3925:I3925"/>
    <mergeCell ref="G3926:I3926"/>
    <mergeCell ref="G3927:I3927"/>
    <mergeCell ref="G3928:I3928"/>
    <mergeCell ref="G3929:I3929"/>
    <mergeCell ref="G3989:J3989"/>
    <mergeCell ref="G3990:I3990"/>
    <mergeCell ref="G3991:I3991"/>
    <mergeCell ref="G3992:I3992"/>
    <mergeCell ref="G3993:I3993"/>
    <mergeCell ref="G3994:I3994"/>
    <mergeCell ref="G3754:I3754"/>
    <mergeCell ref="G3755:I3755"/>
    <mergeCell ref="G3756:I3756"/>
    <mergeCell ref="G3757:I3757"/>
    <mergeCell ref="G3758:I3758"/>
    <mergeCell ref="G3759:I3759"/>
    <mergeCell ref="G3819:J3819"/>
    <mergeCell ref="G3820:I3820"/>
    <mergeCell ref="G3821:I3821"/>
    <mergeCell ref="G3822:I3822"/>
    <mergeCell ref="G3823:I3823"/>
    <mergeCell ref="G3824:I3824"/>
    <mergeCell ref="G3825:I3825"/>
    <mergeCell ref="G3826:I3826"/>
    <mergeCell ref="G3827:I3827"/>
    <mergeCell ref="G3887:J3887"/>
    <mergeCell ref="G3888:I3888"/>
    <mergeCell ref="G3791:I3791"/>
    <mergeCell ref="G3792:I3792"/>
    <mergeCell ref="G3793:I3793"/>
    <mergeCell ref="G3853:J3853"/>
    <mergeCell ref="G3854:I3854"/>
    <mergeCell ref="G3855:I3855"/>
    <mergeCell ref="G3856:I3856"/>
    <mergeCell ref="G3857:I3857"/>
    <mergeCell ref="G3858:I3858"/>
    <mergeCell ref="G3859:I3859"/>
    <mergeCell ref="G3860:I3860"/>
    <mergeCell ref="G3861:I3861"/>
    <mergeCell ref="H3839:I3839"/>
    <mergeCell ref="G3845:H3845"/>
    <mergeCell ref="G3487:I3487"/>
    <mergeCell ref="G3547:J3547"/>
    <mergeCell ref="G3548:I3548"/>
    <mergeCell ref="G3549:I3549"/>
    <mergeCell ref="G3550:I3550"/>
    <mergeCell ref="G3551:I3551"/>
    <mergeCell ref="G3552:I3552"/>
    <mergeCell ref="G3553:I3553"/>
    <mergeCell ref="G3554:I3554"/>
    <mergeCell ref="G3555:I3555"/>
    <mergeCell ref="G3615:J3615"/>
    <mergeCell ref="G3616:I3616"/>
    <mergeCell ref="G3617:I3617"/>
    <mergeCell ref="G3618:I3618"/>
    <mergeCell ref="G3619:I3619"/>
    <mergeCell ref="G3620:I3620"/>
    <mergeCell ref="G3621:I3621"/>
    <mergeCell ref="G3513:J3513"/>
    <mergeCell ref="G3514:I3514"/>
    <mergeCell ref="G3515:I3515"/>
    <mergeCell ref="G3516:I3516"/>
    <mergeCell ref="G3517:I3517"/>
    <mergeCell ref="G3518:I3518"/>
    <mergeCell ref="G3519:I3519"/>
    <mergeCell ref="G3520:I3520"/>
    <mergeCell ref="G3521:I3521"/>
    <mergeCell ref="G3581:J3581"/>
    <mergeCell ref="G3582:I3582"/>
    <mergeCell ref="G3583:I3583"/>
    <mergeCell ref="G3584:I3584"/>
    <mergeCell ref="G3585:I3585"/>
    <mergeCell ref="G3586:I3586"/>
    <mergeCell ref="G3479:J3479"/>
    <mergeCell ref="G3480:I3480"/>
    <mergeCell ref="G3481:I3481"/>
    <mergeCell ref="G3482:I3482"/>
    <mergeCell ref="G3483:I3483"/>
    <mergeCell ref="G3484:I3484"/>
    <mergeCell ref="G3485:I3485"/>
    <mergeCell ref="G3486:I3486"/>
    <mergeCell ref="G3211:I3211"/>
    <mergeCell ref="G3212:I3212"/>
    <mergeCell ref="G3213:I3213"/>
    <mergeCell ref="G3214:I3214"/>
    <mergeCell ref="G3215:I3215"/>
    <mergeCell ref="G3275:J3275"/>
    <mergeCell ref="G3276:I3276"/>
    <mergeCell ref="G3277:I3277"/>
    <mergeCell ref="G3278:I3278"/>
    <mergeCell ref="G3279:I3279"/>
    <mergeCell ref="G3280:I3280"/>
    <mergeCell ref="G3281:I3281"/>
    <mergeCell ref="G3282:I3282"/>
    <mergeCell ref="G3283:I3283"/>
    <mergeCell ref="G3343:J3343"/>
    <mergeCell ref="G3344:I3344"/>
    <mergeCell ref="G3345:I3345"/>
    <mergeCell ref="G3241:J3241"/>
    <mergeCell ref="G3242:I3242"/>
    <mergeCell ref="G3243:I3243"/>
    <mergeCell ref="G3244:I3244"/>
    <mergeCell ref="G3245:I3245"/>
    <mergeCell ref="G3246:I3246"/>
    <mergeCell ref="G3247:I3247"/>
    <mergeCell ref="G3248:I3248"/>
    <mergeCell ref="G3249:I3249"/>
    <mergeCell ref="G3309:J3309"/>
    <mergeCell ref="G3310:I3310"/>
    <mergeCell ref="G3311:I3311"/>
    <mergeCell ref="G3312:I3312"/>
    <mergeCell ref="G3313:I3313"/>
    <mergeCell ref="G3314:I3314"/>
    <mergeCell ref="G3076:I3076"/>
    <mergeCell ref="G3077:I3077"/>
    <mergeCell ref="G3078:I3078"/>
    <mergeCell ref="G3079:I3079"/>
    <mergeCell ref="G3139:J3139"/>
    <mergeCell ref="G3140:I3140"/>
    <mergeCell ref="G3141:I3141"/>
    <mergeCell ref="G3142:I3142"/>
    <mergeCell ref="G3143:I3143"/>
    <mergeCell ref="G3144:I3144"/>
    <mergeCell ref="G3145:I3145"/>
    <mergeCell ref="G3146:I3146"/>
    <mergeCell ref="G3147:I3147"/>
    <mergeCell ref="G3207:J3207"/>
    <mergeCell ref="G3208:I3208"/>
    <mergeCell ref="G3209:I3209"/>
    <mergeCell ref="G3210:I3210"/>
    <mergeCell ref="G3178:I3178"/>
    <mergeCell ref="G3179:I3179"/>
    <mergeCell ref="G3180:I3180"/>
    <mergeCell ref="G3181:I3181"/>
    <mergeCell ref="G2941:I2941"/>
    <mergeCell ref="G2942:I2942"/>
    <mergeCell ref="G2943:I2943"/>
    <mergeCell ref="G3003:J3003"/>
    <mergeCell ref="G3004:I3004"/>
    <mergeCell ref="G3005:I3005"/>
    <mergeCell ref="G3006:I3006"/>
    <mergeCell ref="G3007:I3007"/>
    <mergeCell ref="G3008:I3008"/>
    <mergeCell ref="G3009:I3009"/>
    <mergeCell ref="G3010:I3010"/>
    <mergeCell ref="G3011:I3011"/>
    <mergeCell ref="G3071:J3071"/>
    <mergeCell ref="G3072:I3072"/>
    <mergeCell ref="G3073:I3073"/>
    <mergeCell ref="G3074:I3074"/>
    <mergeCell ref="G3075:I3075"/>
    <mergeCell ref="G2969:J2969"/>
    <mergeCell ref="G2970:I2970"/>
    <mergeCell ref="G2971:I2971"/>
    <mergeCell ref="G2972:I2972"/>
    <mergeCell ref="G2973:I2973"/>
    <mergeCell ref="G2974:I2974"/>
    <mergeCell ref="G2975:I2975"/>
    <mergeCell ref="G2976:I2976"/>
    <mergeCell ref="G2977:I2977"/>
    <mergeCell ref="G3037:J3037"/>
    <mergeCell ref="G3038:I3038"/>
    <mergeCell ref="G3039:I3039"/>
    <mergeCell ref="G3040:I3040"/>
    <mergeCell ref="G3041:I3041"/>
    <mergeCell ref="G3042:I3042"/>
    <mergeCell ref="G2935:J2935"/>
    <mergeCell ref="G2936:I2936"/>
    <mergeCell ref="G2937:I2937"/>
    <mergeCell ref="G2938:I2938"/>
    <mergeCell ref="G2939:I2939"/>
    <mergeCell ref="G2940:I2940"/>
    <mergeCell ref="G2906:I2906"/>
    <mergeCell ref="G2907:I2907"/>
    <mergeCell ref="G2908:I2908"/>
    <mergeCell ref="G2909:I2909"/>
    <mergeCell ref="G2671:I2671"/>
    <mergeCell ref="G2731:J2731"/>
    <mergeCell ref="G2732:I2732"/>
    <mergeCell ref="G2733:I2733"/>
    <mergeCell ref="G2734:I2734"/>
    <mergeCell ref="G2735:I2735"/>
    <mergeCell ref="G2736:I2736"/>
    <mergeCell ref="G2737:I2737"/>
    <mergeCell ref="G2738:I2738"/>
    <mergeCell ref="G2739:I2739"/>
    <mergeCell ref="G2799:J2799"/>
    <mergeCell ref="G2800:I2800"/>
    <mergeCell ref="G2801:I2801"/>
    <mergeCell ref="G2802:I2802"/>
    <mergeCell ref="G2803:I2803"/>
    <mergeCell ref="G2804:I2804"/>
    <mergeCell ref="G2805:I2805"/>
    <mergeCell ref="G2697:J2697"/>
    <mergeCell ref="G2698:I2698"/>
    <mergeCell ref="G2699:I2699"/>
    <mergeCell ref="G2700:I2700"/>
    <mergeCell ref="G2701:I2701"/>
    <mergeCell ref="G2534:I2534"/>
    <mergeCell ref="G2535:I2535"/>
    <mergeCell ref="G2595:J2595"/>
    <mergeCell ref="G2596:I2596"/>
    <mergeCell ref="G2597:I2597"/>
    <mergeCell ref="G2598:I2598"/>
    <mergeCell ref="G2599:I2599"/>
    <mergeCell ref="G2600:I2600"/>
    <mergeCell ref="G2601:I2601"/>
    <mergeCell ref="G2602:I2602"/>
    <mergeCell ref="G2603:I2603"/>
    <mergeCell ref="G2663:J2663"/>
    <mergeCell ref="G2664:I2664"/>
    <mergeCell ref="G2665:I2665"/>
    <mergeCell ref="G2666:I2666"/>
    <mergeCell ref="G2667:I2667"/>
    <mergeCell ref="G2668:I2668"/>
    <mergeCell ref="G2634:I2634"/>
    <mergeCell ref="G2635:I2635"/>
    <mergeCell ref="G2636:I2636"/>
    <mergeCell ref="G2637:I2637"/>
    <mergeCell ref="G2561:J2561"/>
    <mergeCell ref="G2564:I2564"/>
    <mergeCell ref="G2565:I2565"/>
    <mergeCell ref="G2566:I2566"/>
    <mergeCell ref="G2567:I2567"/>
    <mergeCell ref="G2568:I2568"/>
    <mergeCell ref="G2569:I2569"/>
    <mergeCell ref="G2629:J2629"/>
    <mergeCell ref="G2630:I2630"/>
    <mergeCell ref="G2631:I2631"/>
    <mergeCell ref="G2632:I2632"/>
    <mergeCell ref="G2527:J2527"/>
    <mergeCell ref="G2528:I2528"/>
    <mergeCell ref="G2529:I2529"/>
    <mergeCell ref="G2530:I2530"/>
    <mergeCell ref="G2531:I2531"/>
    <mergeCell ref="G2532:I2532"/>
    <mergeCell ref="G2533:I2533"/>
    <mergeCell ref="G2425:J2425"/>
    <mergeCell ref="G2426:I2426"/>
    <mergeCell ref="G2427:I2427"/>
    <mergeCell ref="G2428:I2428"/>
    <mergeCell ref="G2429:I2429"/>
    <mergeCell ref="G2430:I2430"/>
    <mergeCell ref="G2431:I2431"/>
    <mergeCell ref="G2432:I2432"/>
    <mergeCell ref="G2433:I2433"/>
    <mergeCell ref="G2493:J2493"/>
    <mergeCell ref="G2494:I2494"/>
    <mergeCell ref="G2495:I2495"/>
    <mergeCell ref="G2496:I2496"/>
    <mergeCell ref="G2497:I2497"/>
    <mergeCell ref="G2498:I2498"/>
    <mergeCell ref="G2499:I2499"/>
    <mergeCell ref="G2500:I2500"/>
    <mergeCell ref="G2501:I2501"/>
    <mergeCell ref="G2396:I2396"/>
    <mergeCell ref="G2397:I2397"/>
    <mergeCell ref="G2398:I2398"/>
    <mergeCell ref="G2365:I2365"/>
    <mergeCell ref="G2187:J2187"/>
    <mergeCell ref="G2188:I2188"/>
    <mergeCell ref="G2189:I2189"/>
    <mergeCell ref="G2190:I2190"/>
    <mergeCell ref="G2191:I2191"/>
    <mergeCell ref="G2192:I2192"/>
    <mergeCell ref="G2193:I2193"/>
    <mergeCell ref="G2194:I2194"/>
    <mergeCell ref="G2195:I2195"/>
    <mergeCell ref="G2255:J2255"/>
    <mergeCell ref="G2256:I2256"/>
    <mergeCell ref="G2257:I2257"/>
    <mergeCell ref="G2258:I2258"/>
    <mergeCell ref="G2259:I2259"/>
    <mergeCell ref="G2260:I2260"/>
    <mergeCell ref="G2261:I2261"/>
    <mergeCell ref="G2262:I2262"/>
    <mergeCell ref="G2222:I2222"/>
    <mergeCell ref="G2223:I2223"/>
    <mergeCell ref="G2224:I2224"/>
    <mergeCell ref="G2225:I2225"/>
    <mergeCell ref="G2226:I2226"/>
    <mergeCell ref="G2227:I2227"/>
    <mergeCell ref="G2360:I2360"/>
    <mergeCell ref="G2361:I2361"/>
    <mergeCell ref="G2362:I2362"/>
    <mergeCell ref="G2363:I2363"/>
    <mergeCell ref="G2364:I2364"/>
    <mergeCell ref="G2054:I2054"/>
    <mergeCell ref="G2055:I2055"/>
    <mergeCell ref="G2022:I2022"/>
    <mergeCell ref="G2023:I2023"/>
    <mergeCell ref="G2024:I2024"/>
    <mergeCell ref="G2025:I2025"/>
    <mergeCell ref="G1978:J1978"/>
    <mergeCell ref="G1949:J1949"/>
    <mergeCell ref="G1950:I1950"/>
    <mergeCell ref="G1951:I1951"/>
    <mergeCell ref="G1952:I1952"/>
    <mergeCell ref="G1953:I1953"/>
    <mergeCell ref="G1954:I1954"/>
    <mergeCell ref="G1955:I1955"/>
    <mergeCell ref="G1956:I1956"/>
    <mergeCell ref="G1957:I1957"/>
    <mergeCell ref="G2017:J2017"/>
    <mergeCell ref="G2018:I2018"/>
    <mergeCell ref="G2019:I2019"/>
    <mergeCell ref="G2020:I2020"/>
    <mergeCell ref="G2021:I2021"/>
    <mergeCell ref="G1915:J1915"/>
    <mergeCell ref="G1916:I1916"/>
    <mergeCell ref="G1917:I1917"/>
    <mergeCell ref="G1918:I1918"/>
    <mergeCell ref="G1919:I1919"/>
    <mergeCell ref="G1920:I1920"/>
    <mergeCell ref="G1813:J1813"/>
    <mergeCell ref="G1814:I1814"/>
    <mergeCell ref="G1815:I1815"/>
    <mergeCell ref="G1816:I1816"/>
    <mergeCell ref="G1817:I1817"/>
    <mergeCell ref="G1818:I1818"/>
    <mergeCell ref="G1819:I1819"/>
    <mergeCell ref="G1820:I1820"/>
    <mergeCell ref="G1821:I1821"/>
    <mergeCell ref="G1881:J1881"/>
    <mergeCell ref="G1882:I1882"/>
    <mergeCell ref="G1883:I1883"/>
    <mergeCell ref="G1884:I1884"/>
    <mergeCell ref="G1885:I1885"/>
    <mergeCell ref="G1886:I1886"/>
    <mergeCell ref="G1839:H1839"/>
    <mergeCell ref="G1907:H1907"/>
    <mergeCell ref="G1715:I1715"/>
    <mergeCell ref="G1716:I1716"/>
    <mergeCell ref="G1717:I1717"/>
    <mergeCell ref="G1718:I1718"/>
    <mergeCell ref="G1719:I1719"/>
    <mergeCell ref="G1779:J1779"/>
    <mergeCell ref="G1780:I1780"/>
    <mergeCell ref="G1781:I1781"/>
    <mergeCell ref="G1782:I1782"/>
    <mergeCell ref="G1783:I1783"/>
    <mergeCell ref="G1784:I1784"/>
    <mergeCell ref="G1785:I1785"/>
    <mergeCell ref="G1685:I1685"/>
    <mergeCell ref="G1745:J1745"/>
    <mergeCell ref="G1746:I1746"/>
    <mergeCell ref="G1747:I1747"/>
    <mergeCell ref="G1748:I1748"/>
    <mergeCell ref="G1749:I1749"/>
    <mergeCell ref="G1750:I1750"/>
    <mergeCell ref="G1751:I1751"/>
    <mergeCell ref="G1752:I1752"/>
    <mergeCell ref="G1753:I1753"/>
    <mergeCell ref="G1546:I1546"/>
    <mergeCell ref="G1547:I1547"/>
    <mergeCell ref="G1548:I1548"/>
    <mergeCell ref="G1549:I1549"/>
    <mergeCell ref="G1310:I1310"/>
    <mergeCell ref="G1311:I1311"/>
    <mergeCell ref="G1371:J1371"/>
    <mergeCell ref="G1372:I1372"/>
    <mergeCell ref="G1373:I1373"/>
    <mergeCell ref="G1374:I1374"/>
    <mergeCell ref="G1375:I1375"/>
    <mergeCell ref="G1376:I1376"/>
    <mergeCell ref="G1377:I1377"/>
    <mergeCell ref="G1378:I1378"/>
    <mergeCell ref="G1379:I1379"/>
    <mergeCell ref="G1439:J1439"/>
    <mergeCell ref="G1440:I1440"/>
    <mergeCell ref="G1441:I1441"/>
    <mergeCell ref="G1442:I1442"/>
    <mergeCell ref="G1443:I1443"/>
    <mergeCell ref="G1444:I1444"/>
    <mergeCell ref="G1337:J1337"/>
    <mergeCell ref="G1338:I1338"/>
    <mergeCell ref="G1339:I1339"/>
    <mergeCell ref="G1411:I1411"/>
    <mergeCell ref="G1412:I1412"/>
    <mergeCell ref="G1413:I1413"/>
    <mergeCell ref="G1473:J1473"/>
    <mergeCell ref="G1474:I1474"/>
    <mergeCell ref="G1475:I1475"/>
    <mergeCell ref="G1476:I1476"/>
    <mergeCell ref="G1477:I1477"/>
    <mergeCell ref="G1340:I1340"/>
    <mergeCell ref="G1341:I1341"/>
    <mergeCell ref="G1342:I1342"/>
    <mergeCell ref="G1343:I1343"/>
    <mergeCell ref="G1344:I1344"/>
    <mergeCell ref="G1345:I1345"/>
    <mergeCell ref="G1405:J1405"/>
    <mergeCell ref="G1406:I1406"/>
    <mergeCell ref="G1407:I1407"/>
    <mergeCell ref="G1408:I1408"/>
    <mergeCell ref="G1409:I1409"/>
    <mergeCell ref="G1410:I1410"/>
    <mergeCell ref="G1175:I1175"/>
    <mergeCell ref="G1235:J1235"/>
    <mergeCell ref="G1236:I1236"/>
    <mergeCell ref="G1237:I1237"/>
    <mergeCell ref="G1238:I1238"/>
    <mergeCell ref="G1239:I1239"/>
    <mergeCell ref="G1240:I1240"/>
    <mergeCell ref="G1241:I1241"/>
    <mergeCell ref="G1242:I1242"/>
    <mergeCell ref="G1243:I1243"/>
    <mergeCell ref="G1303:J1303"/>
    <mergeCell ref="G1304:I1304"/>
    <mergeCell ref="G1305:I1305"/>
    <mergeCell ref="G1306:I1306"/>
    <mergeCell ref="G1307:I1307"/>
    <mergeCell ref="G1308:I1308"/>
    <mergeCell ref="G1309:I1309"/>
    <mergeCell ref="G1275:I1275"/>
    <mergeCell ref="G1276:I1276"/>
    <mergeCell ref="G1277:I1277"/>
    <mergeCell ref="G835:I835"/>
    <mergeCell ref="G895:J895"/>
    <mergeCell ref="G896:I896"/>
    <mergeCell ref="G866:I866"/>
    <mergeCell ref="G867:I867"/>
    <mergeCell ref="G868:I868"/>
    <mergeCell ref="G869:I869"/>
    <mergeCell ref="G788:J788"/>
    <mergeCell ref="G1094:J1094"/>
    <mergeCell ref="G929:J929"/>
    <mergeCell ref="G930:I930"/>
    <mergeCell ref="G931:I931"/>
    <mergeCell ref="G932:I932"/>
    <mergeCell ref="G933:I933"/>
    <mergeCell ref="G934:I934"/>
    <mergeCell ref="G935:I935"/>
    <mergeCell ref="G936:I936"/>
    <mergeCell ref="G998:I998"/>
    <mergeCell ref="G999:I999"/>
    <mergeCell ref="G1000:I1000"/>
    <mergeCell ref="G1001:I1001"/>
    <mergeCell ref="G1002:I1002"/>
    <mergeCell ref="G1003:I1003"/>
    <mergeCell ref="G1004:I1004"/>
    <mergeCell ref="G1005:I1005"/>
    <mergeCell ref="G1065:J1065"/>
    <mergeCell ref="G1066:I1066"/>
    <mergeCell ref="G1067:I1067"/>
    <mergeCell ref="G1068:I1068"/>
    <mergeCell ref="G1069:I1069"/>
    <mergeCell ref="G1070:I1070"/>
    <mergeCell ref="G1071:I1071"/>
    <mergeCell ref="G627:I627"/>
    <mergeCell ref="G628:I628"/>
    <mergeCell ref="G629:I629"/>
    <mergeCell ref="G630:I630"/>
    <mergeCell ref="G631:I631"/>
    <mergeCell ref="G691:J691"/>
    <mergeCell ref="G692:I692"/>
    <mergeCell ref="G693:I693"/>
    <mergeCell ref="G694:I694"/>
    <mergeCell ref="G695:I695"/>
    <mergeCell ref="G696:I696"/>
    <mergeCell ref="G697:I697"/>
    <mergeCell ref="G698:I698"/>
    <mergeCell ref="G699:I699"/>
    <mergeCell ref="G759:J759"/>
    <mergeCell ref="G760:I760"/>
    <mergeCell ref="G761:I761"/>
    <mergeCell ref="G657:J657"/>
    <mergeCell ref="G658:I658"/>
    <mergeCell ref="G659:I659"/>
    <mergeCell ref="G660:I660"/>
    <mergeCell ref="G661:I661"/>
    <mergeCell ref="G662:I662"/>
    <mergeCell ref="G663:I663"/>
    <mergeCell ref="G664:I664"/>
    <mergeCell ref="G665:I665"/>
    <mergeCell ref="G725:J725"/>
    <mergeCell ref="G726:I726"/>
    <mergeCell ref="G727:I727"/>
    <mergeCell ref="G728:I728"/>
    <mergeCell ref="G729:I729"/>
    <mergeCell ref="G730:I730"/>
    <mergeCell ref="G624:I624"/>
    <mergeCell ref="G625:I625"/>
    <mergeCell ref="G626:I626"/>
    <mergeCell ref="G596:I596"/>
    <mergeCell ref="G597:I597"/>
    <mergeCell ref="G223:I223"/>
    <mergeCell ref="G283:J283"/>
    <mergeCell ref="G284:I284"/>
    <mergeCell ref="G285:I285"/>
    <mergeCell ref="G286:I286"/>
    <mergeCell ref="G287:I287"/>
    <mergeCell ref="G288:I288"/>
    <mergeCell ref="G289:I289"/>
    <mergeCell ref="G290:I290"/>
    <mergeCell ref="G291:I291"/>
    <mergeCell ref="G351:J351"/>
    <mergeCell ref="G352:I352"/>
    <mergeCell ref="G353:I353"/>
    <mergeCell ref="G354:I354"/>
    <mergeCell ref="G355:I355"/>
    <mergeCell ref="G356:I356"/>
    <mergeCell ref="G357:I357"/>
    <mergeCell ref="G321:I321"/>
    <mergeCell ref="G322:I322"/>
    <mergeCell ref="G323:I323"/>
    <mergeCell ref="G324:I324"/>
    <mergeCell ref="G325:I325"/>
    <mergeCell ref="G241:H241"/>
    <mergeCell ref="G249:J249"/>
    <mergeCell ref="G250:I250"/>
    <mergeCell ref="G251:I251"/>
    <mergeCell ref="G252:I252"/>
    <mergeCell ref="G215:J215"/>
    <mergeCell ref="G216:I216"/>
    <mergeCell ref="G217:I217"/>
    <mergeCell ref="G218:I218"/>
    <mergeCell ref="G219:I219"/>
    <mergeCell ref="G220:I220"/>
    <mergeCell ref="G221:I221"/>
    <mergeCell ref="G222:I222"/>
    <mergeCell ref="G13:I13"/>
    <mergeCell ref="G14:I14"/>
    <mergeCell ref="G15:I15"/>
    <mergeCell ref="G16:I16"/>
    <mergeCell ref="G17:I17"/>
    <mergeCell ref="G18:I18"/>
    <mergeCell ref="G19:I19"/>
    <mergeCell ref="G45:J45"/>
    <mergeCell ref="G46:I46"/>
    <mergeCell ref="G47:I47"/>
    <mergeCell ref="G48:I48"/>
    <mergeCell ref="G49:I49"/>
    <mergeCell ref="G50:I50"/>
    <mergeCell ref="G51:I51"/>
    <mergeCell ref="G52:I52"/>
    <mergeCell ref="G53:I53"/>
    <mergeCell ref="G79:J79"/>
    <mergeCell ref="G189:I189"/>
    <mergeCell ref="G113:J113"/>
    <mergeCell ref="G114:I114"/>
    <mergeCell ref="G115:I115"/>
    <mergeCell ref="G116:I116"/>
    <mergeCell ref="G117:I117"/>
    <mergeCell ref="G118:I118"/>
    <mergeCell ref="H4485:I4485"/>
    <mergeCell ref="B4438:F4438"/>
    <mergeCell ref="B4439:F4439"/>
    <mergeCell ref="B4432:F4432"/>
    <mergeCell ref="B4436:F4436"/>
    <mergeCell ref="H4451:I4451"/>
    <mergeCell ref="E4454:F4454"/>
    <mergeCell ref="B4468:F4468"/>
    <mergeCell ref="B4469:F4469"/>
    <mergeCell ref="B4467:F4467"/>
    <mergeCell ref="G4389:H4389"/>
    <mergeCell ref="B4377:F4377"/>
    <mergeCell ref="B4404:F4404"/>
    <mergeCell ref="B4337:F4337"/>
    <mergeCell ref="B4300:F4300"/>
    <mergeCell ref="B4301:F4301"/>
    <mergeCell ref="B4426:E4426"/>
    <mergeCell ref="B4399:F4399"/>
    <mergeCell ref="B4400:F4400"/>
    <mergeCell ref="E4386:F4386"/>
    <mergeCell ref="B4392:E4392"/>
    <mergeCell ref="G4460:J4460"/>
    <mergeCell ref="B4411:F4411"/>
    <mergeCell ref="B4466:F4466"/>
    <mergeCell ref="B4460:E4460"/>
    <mergeCell ref="B4433:F4433"/>
    <mergeCell ref="B4434:F4434"/>
    <mergeCell ref="B4435:F4435"/>
    <mergeCell ref="B4437:F4437"/>
    <mergeCell ref="B4445:F4445"/>
    <mergeCell ref="E4420:F4420"/>
    <mergeCell ref="B4302:F4302"/>
    <mergeCell ref="B4275:F4275"/>
    <mergeCell ref="H4281:I4281"/>
    <mergeCell ref="E4284:F4284"/>
    <mergeCell ref="B4290:E4290"/>
    <mergeCell ref="G4290:J4290"/>
    <mergeCell ref="G4287:H4287"/>
    <mergeCell ref="B4364:F4364"/>
    <mergeCell ref="G3:H3"/>
    <mergeCell ref="E4488:F4488"/>
    <mergeCell ref="B4470:F4470"/>
    <mergeCell ref="B4471:F4471"/>
    <mergeCell ref="B4472:F4472"/>
    <mergeCell ref="B4473:F4473"/>
    <mergeCell ref="B4479:F4479"/>
    <mergeCell ref="B4401:F4401"/>
    <mergeCell ref="B4402:F4402"/>
    <mergeCell ref="B4398:F4398"/>
    <mergeCell ref="B4403:F4403"/>
    <mergeCell ref="B4343:F4343"/>
    <mergeCell ref="H4349:I4349"/>
    <mergeCell ref="E4352:F4352"/>
    <mergeCell ref="B4358:E4358"/>
    <mergeCell ref="G4358:J4358"/>
    <mergeCell ref="G4355:H4355"/>
    <mergeCell ref="B4365:F4365"/>
    <mergeCell ref="B4366:F4366"/>
    <mergeCell ref="B4367:F4367"/>
    <mergeCell ref="B4405:F4405"/>
    <mergeCell ref="B4368:F4368"/>
    <mergeCell ref="B4369:F4369"/>
    <mergeCell ref="B4370:F4370"/>
    <mergeCell ref="B4371:F4371"/>
    <mergeCell ref="B4303:F4303"/>
    <mergeCell ref="B4309:F4309"/>
    <mergeCell ref="B4336:F4336"/>
    <mergeCell ref="B4333:F4333"/>
    <mergeCell ref="B4334:F4334"/>
    <mergeCell ref="B4335:F4335"/>
    <mergeCell ref="G4324:J4324"/>
    <mergeCell ref="B4297:F4297"/>
    <mergeCell ref="B4298:F4298"/>
    <mergeCell ref="B4299:F4299"/>
    <mergeCell ref="H4315:I4315"/>
    <mergeCell ref="G4321:H4321"/>
    <mergeCell ref="B4296:F4296"/>
    <mergeCell ref="B4330:F4330"/>
    <mergeCell ref="B4331:F4331"/>
    <mergeCell ref="B4332:F4332"/>
    <mergeCell ref="E4318:F4318"/>
    <mergeCell ref="B4324:E4324"/>
    <mergeCell ref="G4303:I4303"/>
    <mergeCell ref="G4329:J4329"/>
    <mergeCell ref="G4330:I4330"/>
    <mergeCell ref="G4331:I4331"/>
    <mergeCell ref="G4332:I4332"/>
    <mergeCell ref="G4333:I4333"/>
    <mergeCell ref="G4334:I4334"/>
    <mergeCell ref="G4335:I4335"/>
    <mergeCell ref="G4336:I4336"/>
    <mergeCell ref="B4269:F4269"/>
    <mergeCell ref="B4232:F4232"/>
    <mergeCell ref="B4233:F4233"/>
    <mergeCell ref="B4234:F4234"/>
    <mergeCell ref="B4235:F4235"/>
    <mergeCell ref="B4241:F4241"/>
    <mergeCell ref="B4268:F4268"/>
    <mergeCell ref="B4265:F4265"/>
    <mergeCell ref="B4266:F4266"/>
    <mergeCell ref="B4267:F4267"/>
    <mergeCell ref="G4253:H4253"/>
    <mergeCell ref="B4228:F4228"/>
    <mergeCell ref="B4262:F4262"/>
    <mergeCell ref="B4263:F4263"/>
    <mergeCell ref="B4264:F4264"/>
    <mergeCell ref="E4250:F4250"/>
    <mergeCell ref="B4256:E4256"/>
    <mergeCell ref="G4256:J4256"/>
    <mergeCell ref="B4229:F4229"/>
    <mergeCell ref="B4230:F4230"/>
    <mergeCell ref="B4231:F4231"/>
    <mergeCell ref="H4247:I4247"/>
    <mergeCell ref="B4207:F4207"/>
    <mergeCell ref="H4213:I4213"/>
    <mergeCell ref="E4216:F4216"/>
    <mergeCell ref="B4222:E4222"/>
    <mergeCell ref="G4222:J4222"/>
    <mergeCell ref="G4219:H4219"/>
    <mergeCell ref="B4160:F4160"/>
    <mergeCell ref="B4194:F4194"/>
    <mergeCell ref="B4201:F4201"/>
    <mergeCell ref="B4164:F4164"/>
    <mergeCell ref="B4165:F4165"/>
    <mergeCell ref="B4166:F4166"/>
    <mergeCell ref="B4167:F4167"/>
    <mergeCell ref="B4173:F4173"/>
    <mergeCell ref="B4200:F4200"/>
    <mergeCell ref="B4197:F4197"/>
    <mergeCell ref="B4198:F4198"/>
    <mergeCell ref="B4199:F4199"/>
    <mergeCell ref="B4195:F4195"/>
    <mergeCell ref="B4196:F4196"/>
    <mergeCell ref="E4182:F4182"/>
    <mergeCell ref="B4188:E4188"/>
    <mergeCell ref="G4167:I4167"/>
    <mergeCell ref="G4193:J4193"/>
    <mergeCell ref="G4194:I4194"/>
    <mergeCell ref="G4195:I4195"/>
    <mergeCell ref="G4196:I4196"/>
    <mergeCell ref="G4197:I4197"/>
    <mergeCell ref="G4198:I4198"/>
    <mergeCell ref="G4199:I4199"/>
    <mergeCell ref="G4200:I4200"/>
    <mergeCell ref="G4201:I4201"/>
    <mergeCell ref="B4133:F4133"/>
    <mergeCell ref="B4096:F4096"/>
    <mergeCell ref="B4097:F4097"/>
    <mergeCell ref="B4098:F4098"/>
    <mergeCell ref="B4099:F4099"/>
    <mergeCell ref="B4105:F4105"/>
    <mergeCell ref="B4132:F4132"/>
    <mergeCell ref="B4129:F4129"/>
    <mergeCell ref="G4185:H4185"/>
    <mergeCell ref="G4188:J4188"/>
    <mergeCell ref="H4179:I4179"/>
    <mergeCell ref="B4126:F4126"/>
    <mergeCell ref="B4127:F4127"/>
    <mergeCell ref="B4128:F4128"/>
    <mergeCell ref="E4114:F4114"/>
    <mergeCell ref="B4120:E4120"/>
    <mergeCell ref="G4120:J4120"/>
    <mergeCell ref="B4139:F4139"/>
    <mergeCell ref="H4145:I4145"/>
    <mergeCell ref="E4148:F4148"/>
    <mergeCell ref="B4154:E4154"/>
    <mergeCell ref="G4154:J4154"/>
    <mergeCell ref="G4151:H4151"/>
    <mergeCell ref="B4161:F4161"/>
    <mergeCell ref="B4162:F4162"/>
    <mergeCell ref="B4163:F4163"/>
    <mergeCell ref="B4130:F4130"/>
    <mergeCell ref="B4131:F4131"/>
    <mergeCell ref="G4165:I4165"/>
    <mergeCell ref="G4166:I4166"/>
    <mergeCell ref="G4133:I4133"/>
    <mergeCell ref="E3978:F3978"/>
    <mergeCell ref="B3984:E3984"/>
    <mergeCell ref="B4065:F4065"/>
    <mergeCell ref="B4028:F4028"/>
    <mergeCell ref="B4029:F4029"/>
    <mergeCell ref="B4030:F4030"/>
    <mergeCell ref="B4031:F4031"/>
    <mergeCell ref="B4037:F4037"/>
    <mergeCell ref="B4064:F4064"/>
    <mergeCell ref="B4061:F4061"/>
    <mergeCell ref="B4062:F4062"/>
    <mergeCell ref="B4063:F4063"/>
    <mergeCell ref="H4077:I4077"/>
    <mergeCell ref="E4080:F4080"/>
    <mergeCell ref="B4086:E4086"/>
    <mergeCell ref="G4086:J4086"/>
    <mergeCell ref="G4083:H4083"/>
    <mergeCell ref="G4049:H4049"/>
    <mergeCell ref="G4052:J4052"/>
    <mergeCell ref="H4043:I4043"/>
    <mergeCell ref="G4024:I4024"/>
    <mergeCell ref="G4025:I4025"/>
    <mergeCell ref="G4026:I4026"/>
    <mergeCell ref="G4027:I4027"/>
    <mergeCell ref="G4028:I4028"/>
    <mergeCell ref="G4029:I4029"/>
    <mergeCell ref="G4030:I4030"/>
    <mergeCell ref="G4031:I4031"/>
    <mergeCell ref="G3995:I3995"/>
    <mergeCell ref="G3996:I3996"/>
    <mergeCell ref="G3997:I3997"/>
    <mergeCell ref="G4058:I4058"/>
    <mergeCell ref="B3950:E3950"/>
    <mergeCell ref="G3950:J3950"/>
    <mergeCell ref="G3947:H3947"/>
    <mergeCell ref="B4024:F4024"/>
    <mergeCell ref="B4058:F4058"/>
    <mergeCell ref="B4059:F4059"/>
    <mergeCell ref="B4060:F4060"/>
    <mergeCell ref="E4046:F4046"/>
    <mergeCell ref="B3994:F3994"/>
    <mergeCell ref="B3995:F3995"/>
    <mergeCell ref="B4071:F4071"/>
    <mergeCell ref="B4093:F4093"/>
    <mergeCell ref="B4094:F4094"/>
    <mergeCell ref="B4095:F4095"/>
    <mergeCell ref="B4052:E4052"/>
    <mergeCell ref="B4025:F4025"/>
    <mergeCell ref="B4026:F4026"/>
    <mergeCell ref="B4027:F4027"/>
    <mergeCell ref="B3958:F3958"/>
    <mergeCell ref="B3959:F3959"/>
    <mergeCell ref="B3997:F3997"/>
    <mergeCell ref="B3960:F3960"/>
    <mergeCell ref="B3961:F3961"/>
    <mergeCell ref="B3962:F3962"/>
    <mergeCell ref="B3963:F3963"/>
    <mergeCell ref="B3969:F3969"/>
    <mergeCell ref="B3996:F3996"/>
    <mergeCell ref="B3993:F3993"/>
    <mergeCell ref="B4092:F4092"/>
    <mergeCell ref="B3990:F3990"/>
    <mergeCell ref="B3991:F3991"/>
    <mergeCell ref="B3992:F3992"/>
    <mergeCell ref="B3857:F3857"/>
    <mergeCell ref="B3858:F3858"/>
    <mergeCell ref="B3859:F3859"/>
    <mergeCell ref="B3957:F3957"/>
    <mergeCell ref="B4003:F4003"/>
    <mergeCell ref="H4009:I4009"/>
    <mergeCell ref="E4012:F4012"/>
    <mergeCell ref="B4018:E4018"/>
    <mergeCell ref="G4018:J4018"/>
    <mergeCell ref="G4015:H4015"/>
    <mergeCell ref="B3929:F3929"/>
    <mergeCell ref="B3892:F3892"/>
    <mergeCell ref="B3893:F3893"/>
    <mergeCell ref="B3894:F3894"/>
    <mergeCell ref="B3895:F3895"/>
    <mergeCell ref="B3901:F3901"/>
    <mergeCell ref="B3928:F3928"/>
    <mergeCell ref="B3925:F3925"/>
    <mergeCell ref="B3926:F3926"/>
    <mergeCell ref="B3927:F3927"/>
    <mergeCell ref="G3981:H3981"/>
    <mergeCell ref="G3984:J3984"/>
    <mergeCell ref="H3975:I3975"/>
    <mergeCell ref="B3922:F3922"/>
    <mergeCell ref="B3923:F3923"/>
    <mergeCell ref="B3924:F3924"/>
    <mergeCell ref="E3910:F3910"/>
    <mergeCell ref="B3916:E3916"/>
    <mergeCell ref="G3916:J3916"/>
    <mergeCell ref="B3935:F3935"/>
    <mergeCell ref="H3941:I3941"/>
    <mergeCell ref="E3944:F3944"/>
    <mergeCell ref="G3777:H3777"/>
    <mergeCell ref="G3780:J3780"/>
    <mergeCell ref="H3771:I3771"/>
    <mergeCell ref="B3889:F3889"/>
    <mergeCell ref="B3890:F3890"/>
    <mergeCell ref="B3956:F3956"/>
    <mergeCell ref="B3891:F3891"/>
    <mergeCell ref="H3907:I3907"/>
    <mergeCell ref="G3913:H3913"/>
    <mergeCell ref="B3820:F3820"/>
    <mergeCell ref="B3854:F3854"/>
    <mergeCell ref="B3855:F3855"/>
    <mergeCell ref="B3856:F3856"/>
    <mergeCell ref="E3842:F3842"/>
    <mergeCell ref="B3848:E3848"/>
    <mergeCell ref="G3848:J3848"/>
    <mergeCell ref="B3867:F3867"/>
    <mergeCell ref="H3873:I3873"/>
    <mergeCell ref="E3876:F3876"/>
    <mergeCell ref="B3882:E3882"/>
    <mergeCell ref="G3882:J3882"/>
    <mergeCell ref="G3879:H3879"/>
    <mergeCell ref="B3888:F3888"/>
    <mergeCell ref="B3861:F3861"/>
    <mergeCell ref="B3824:F3824"/>
    <mergeCell ref="B3825:F3825"/>
    <mergeCell ref="B3826:F3826"/>
    <mergeCell ref="B3827:F3827"/>
    <mergeCell ref="B3833:F3833"/>
    <mergeCell ref="B3799:F3799"/>
    <mergeCell ref="B3821:F3821"/>
    <mergeCell ref="B3860:F3860"/>
    <mergeCell ref="B3822:F3822"/>
    <mergeCell ref="B3823:F3823"/>
    <mergeCell ref="B3780:E3780"/>
    <mergeCell ref="B3753:F3753"/>
    <mergeCell ref="B3754:F3754"/>
    <mergeCell ref="B3755:F3755"/>
    <mergeCell ref="H3805:I3805"/>
    <mergeCell ref="E3706:F3706"/>
    <mergeCell ref="B3712:E3712"/>
    <mergeCell ref="G3712:J3712"/>
    <mergeCell ref="B3731:F3731"/>
    <mergeCell ref="H3737:I3737"/>
    <mergeCell ref="E3740:F3740"/>
    <mergeCell ref="E3808:F3808"/>
    <mergeCell ref="B3814:E3814"/>
    <mergeCell ref="G3814:J3814"/>
    <mergeCell ref="G3811:H3811"/>
    <mergeCell ref="B3752:F3752"/>
    <mergeCell ref="B3786:F3786"/>
    <mergeCell ref="B3787:F3787"/>
    <mergeCell ref="B3788:F3788"/>
    <mergeCell ref="E3774:F3774"/>
    <mergeCell ref="B3793:F3793"/>
    <mergeCell ref="B3756:F3756"/>
    <mergeCell ref="B3757:F3757"/>
    <mergeCell ref="B3758:F3758"/>
    <mergeCell ref="B3759:F3759"/>
    <mergeCell ref="B3765:F3765"/>
    <mergeCell ref="B3792:F3792"/>
    <mergeCell ref="B3789:F3789"/>
    <mergeCell ref="B3790:F3790"/>
    <mergeCell ref="B3791:F3791"/>
    <mergeCell ref="B3718:F3718"/>
    <mergeCell ref="B3719:F3719"/>
    <mergeCell ref="B3720:F3720"/>
    <mergeCell ref="B3746:E3746"/>
    <mergeCell ref="G3746:J3746"/>
    <mergeCell ref="G3743:H3743"/>
    <mergeCell ref="B3657:F3657"/>
    <mergeCell ref="B3722:F3722"/>
    <mergeCell ref="B3723:F3723"/>
    <mergeCell ref="H3703:I3703"/>
    <mergeCell ref="G3709:H3709"/>
    <mergeCell ref="B3725:F3725"/>
    <mergeCell ref="B3688:F3688"/>
    <mergeCell ref="B3689:F3689"/>
    <mergeCell ref="B3690:F3690"/>
    <mergeCell ref="B3691:F3691"/>
    <mergeCell ref="B3697:F3697"/>
    <mergeCell ref="B3724:F3724"/>
    <mergeCell ref="G3683:J3683"/>
    <mergeCell ref="G3684:I3684"/>
    <mergeCell ref="G3685:I3685"/>
    <mergeCell ref="G3686:I3686"/>
    <mergeCell ref="G3687:I3687"/>
    <mergeCell ref="G3688:I3688"/>
    <mergeCell ref="G3689:I3689"/>
    <mergeCell ref="G3690:I3690"/>
    <mergeCell ref="G3691:I3691"/>
    <mergeCell ref="B3721:F3721"/>
    <mergeCell ref="G3657:I3657"/>
    <mergeCell ref="G3717:J3717"/>
    <mergeCell ref="G3718:I3718"/>
    <mergeCell ref="G3719:I3719"/>
    <mergeCell ref="G3751:J3751"/>
    <mergeCell ref="G3752:I3752"/>
    <mergeCell ref="G3753:I3753"/>
    <mergeCell ref="E3570:F3570"/>
    <mergeCell ref="B3576:E3576"/>
    <mergeCell ref="B3620:F3620"/>
    <mergeCell ref="B3621:F3621"/>
    <mergeCell ref="B3622:F3622"/>
    <mergeCell ref="B3623:F3623"/>
    <mergeCell ref="B3629:F3629"/>
    <mergeCell ref="B3656:F3656"/>
    <mergeCell ref="B3653:F3653"/>
    <mergeCell ref="B3654:F3654"/>
    <mergeCell ref="B3655:F3655"/>
    <mergeCell ref="H3669:I3669"/>
    <mergeCell ref="E3672:F3672"/>
    <mergeCell ref="B3678:E3678"/>
    <mergeCell ref="G3678:J3678"/>
    <mergeCell ref="G3675:H3675"/>
    <mergeCell ref="G3641:H3641"/>
    <mergeCell ref="G3644:J3644"/>
    <mergeCell ref="H3635:I3635"/>
    <mergeCell ref="G3622:I3622"/>
    <mergeCell ref="G3623:I3623"/>
    <mergeCell ref="G3587:I3587"/>
    <mergeCell ref="G3588:I3588"/>
    <mergeCell ref="G3589:I3589"/>
    <mergeCell ref="G3649:J3649"/>
    <mergeCell ref="G3650:I3650"/>
    <mergeCell ref="G3651:I3651"/>
    <mergeCell ref="G3652:I3652"/>
    <mergeCell ref="G3653:I3653"/>
    <mergeCell ref="G3654:I3654"/>
    <mergeCell ref="G3655:I3655"/>
    <mergeCell ref="G3656:I3656"/>
    <mergeCell ref="B3542:E3542"/>
    <mergeCell ref="G3542:J3542"/>
    <mergeCell ref="G3539:H3539"/>
    <mergeCell ref="B3616:F3616"/>
    <mergeCell ref="B3650:F3650"/>
    <mergeCell ref="B3651:F3651"/>
    <mergeCell ref="B3652:F3652"/>
    <mergeCell ref="E3638:F3638"/>
    <mergeCell ref="B3586:F3586"/>
    <mergeCell ref="B3587:F3587"/>
    <mergeCell ref="B3663:F3663"/>
    <mergeCell ref="B3685:F3685"/>
    <mergeCell ref="B3686:F3686"/>
    <mergeCell ref="B3687:F3687"/>
    <mergeCell ref="B3644:E3644"/>
    <mergeCell ref="B3617:F3617"/>
    <mergeCell ref="B3618:F3618"/>
    <mergeCell ref="B3619:F3619"/>
    <mergeCell ref="B3550:F3550"/>
    <mergeCell ref="B3551:F3551"/>
    <mergeCell ref="B3589:F3589"/>
    <mergeCell ref="B3552:F3552"/>
    <mergeCell ref="B3553:F3553"/>
    <mergeCell ref="B3554:F3554"/>
    <mergeCell ref="B3555:F3555"/>
    <mergeCell ref="B3561:F3561"/>
    <mergeCell ref="B3588:F3588"/>
    <mergeCell ref="B3585:F3585"/>
    <mergeCell ref="B3684:F3684"/>
    <mergeCell ref="B3582:F3582"/>
    <mergeCell ref="B3583:F3583"/>
    <mergeCell ref="B3584:F3584"/>
    <mergeCell ref="B3449:F3449"/>
    <mergeCell ref="B3450:F3450"/>
    <mergeCell ref="B3451:F3451"/>
    <mergeCell ref="B3549:F3549"/>
    <mergeCell ref="B3595:F3595"/>
    <mergeCell ref="H3601:I3601"/>
    <mergeCell ref="E3604:F3604"/>
    <mergeCell ref="B3610:E3610"/>
    <mergeCell ref="G3610:J3610"/>
    <mergeCell ref="G3607:H3607"/>
    <mergeCell ref="B3521:F3521"/>
    <mergeCell ref="B3484:F3484"/>
    <mergeCell ref="B3485:F3485"/>
    <mergeCell ref="B3486:F3486"/>
    <mergeCell ref="B3487:F3487"/>
    <mergeCell ref="B3493:F3493"/>
    <mergeCell ref="B3520:F3520"/>
    <mergeCell ref="B3517:F3517"/>
    <mergeCell ref="B3518:F3518"/>
    <mergeCell ref="B3519:F3519"/>
    <mergeCell ref="G3573:H3573"/>
    <mergeCell ref="G3576:J3576"/>
    <mergeCell ref="H3567:I3567"/>
    <mergeCell ref="B3514:F3514"/>
    <mergeCell ref="B3515:F3515"/>
    <mergeCell ref="B3516:F3516"/>
    <mergeCell ref="E3502:F3502"/>
    <mergeCell ref="B3508:E3508"/>
    <mergeCell ref="G3508:J3508"/>
    <mergeCell ref="B3527:F3527"/>
    <mergeCell ref="H3533:I3533"/>
    <mergeCell ref="E3536:F3536"/>
    <mergeCell ref="G3369:H3369"/>
    <mergeCell ref="G3372:J3372"/>
    <mergeCell ref="H3363:I3363"/>
    <mergeCell ref="B3481:F3481"/>
    <mergeCell ref="B3482:F3482"/>
    <mergeCell ref="B3548:F3548"/>
    <mergeCell ref="B3483:F3483"/>
    <mergeCell ref="H3499:I3499"/>
    <mergeCell ref="G3505:H3505"/>
    <mergeCell ref="B3412:F3412"/>
    <mergeCell ref="B3446:F3446"/>
    <mergeCell ref="B3447:F3447"/>
    <mergeCell ref="B3448:F3448"/>
    <mergeCell ref="E3434:F3434"/>
    <mergeCell ref="B3440:E3440"/>
    <mergeCell ref="G3440:J3440"/>
    <mergeCell ref="B3459:F3459"/>
    <mergeCell ref="H3465:I3465"/>
    <mergeCell ref="E3468:F3468"/>
    <mergeCell ref="B3474:E3474"/>
    <mergeCell ref="G3474:J3474"/>
    <mergeCell ref="G3471:H3471"/>
    <mergeCell ref="B3480:F3480"/>
    <mergeCell ref="B3453:F3453"/>
    <mergeCell ref="B3416:F3416"/>
    <mergeCell ref="B3417:F3417"/>
    <mergeCell ref="B3418:F3418"/>
    <mergeCell ref="B3419:F3419"/>
    <mergeCell ref="B3425:F3425"/>
    <mergeCell ref="B3391:F3391"/>
    <mergeCell ref="B3413:F3413"/>
    <mergeCell ref="B3452:F3452"/>
    <mergeCell ref="B3414:F3414"/>
    <mergeCell ref="B3415:F3415"/>
    <mergeCell ref="B3372:E3372"/>
    <mergeCell ref="B3345:F3345"/>
    <mergeCell ref="B3346:F3346"/>
    <mergeCell ref="B3347:F3347"/>
    <mergeCell ref="H3397:I3397"/>
    <mergeCell ref="E3298:F3298"/>
    <mergeCell ref="B3304:E3304"/>
    <mergeCell ref="G3304:J3304"/>
    <mergeCell ref="B3323:F3323"/>
    <mergeCell ref="H3329:I3329"/>
    <mergeCell ref="E3332:F3332"/>
    <mergeCell ref="E3400:F3400"/>
    <mergeCell ref="B3406:E3406"/>
    <mergeCell ref="G3406:J3406"/>
    <mergeCell ref="G3403:H3403"/>
    <mergeCell ref="B3344:F3344"/>
    <mergeCell ref="B3378:F3378"/>
    <mergeCell ref="B3379:F3379"/>
    <mergeCell ref="B3380:F3380"/>
    <mergeCell ref="E3366:F3366"/>
    <mergeCell ref="B3385:F3385"/>
    <mergeCell ref="B3348:F3348"/>
    <mergeCell ref="B3349:F3349"/>
    <mergeCell ref="B3350:F3350"/>
    <mergeCell ref="B3351:F3351"/>
    <mergeCell ref="B3357:F3357"/>
    <mergeCell ref="B3384:F3384"/>
    <mergeCell ref="B3381:F3381"/>
    <mergeCell ref="B3382:F3382"/>
    <mergeCell ref="B3383:F3383"/>
    <mergeCell ref="B3311:F3311"/>
    <mergeCell ref="B3312:F3312"/>
    <mergeCell ref="B3338:E3338"/>
    <mergeCell ref="G3338:J3338"/>
    <mergeCell ref="G3335:H3335"/>
    <mergeCell ref="B3249:F3249"/>
    <mergeCell ref="B3314:F3314"/>
    <mergeCell ref="B3315:F3315"/>
    <mergeCell ref="H3295:I3295"/>
    <mergeCell ref="G3301:H3301"/>
    <mergeCell ref="B3317:F3317"/>
    <mergeCell ref="B3280:F3280"/>
    <mergeCell ref="B3281:F3281"/>
    <mergeCell ref="B3282:F3282"/>
    <mergeCell ref="B3283:F3283"/>
    <mergeCell ref="B3289:F3289"/>
    <mergeCell ref="B3316:F3316"/>
    <mergeCell ref="B3278:F3278"/>
    <mergeCell ref="B3279:F3279"/>
    <mergeCell ref="B3313:F3313"/>
    <mergeCell ref="G3347:I3347"/>
    <mergeCell ref="G3348:I3348"/>
    <mergeCell ref="G3349:I3349"/>
    <mergeCell ref="G3350:I3350"/>
    <mergeCell ref="G3351:I3351"/>
    <mergeCell ref="G3315:I3315"/>
    <mergeCell ref="G3316:I3316"/>
    <mergeCell ref="G3317:I3317"/>
    <mergeCell ref="G3377:J3377"/>
    <mergeCell ref="B3143:F3143"/>
    <mergeCell ref="B3181:F3181"/>
    <mergeCell ref="B3145:F3145"/>
    <mergeCell ref="B3146:F3146"/>
    <mergeCell ref="B3147:F3147"/>
    <mergeCell ref="B3153:F3153"/>
    <mergeCell ref="B3180:F3180"/>
    <mergeCell ref="B3177:F3177"/>
    <mergeCell ref="B3276:F3276"/>
    <mergeCell ref="B3174:F3174"/>
    <mergeCell ref="B3175:F3175"/>
    <mergeCell ref="B3176:F3176"/>
    <mergeCell ref="E3162:F3162"/>
    <mergeCell ref="B3168:E3168"/>
    <mergeCell ref="B3212:F3212"/>
    <mergeCell ref="B3213:F3213"/>
    <mergeCell ref="B3214:F3214"/>
    <mergeCell ref="B3215:F3215"/>
    <mergeCell ref="B3221:F3221"/>
    <mergeCell ref="B3248:F3248"/>
    <mergeCell ref="B3245:F3245"/>
    <mergeCell ref="B3246:F3246"/>
    <mergeCell ref="B3247:F3247"/>
    <mergeCell ref="E3264:F3264"/>
    <mergeCell ref="B3107:F3107"/>
    <mergeCell ref="B3108:F3108"/>
    <mergeCell ref="B3310:F3310"/>
    <mergeCell ref="B3100:E3100"/>
    <mergeCell ref="G3100:J3100"/>
    <mergeCell ref="B3119:F3119"/>
    <mergeCell ref="H3125:I3125"/>
    <mergeCell ref="E3128:F3128"/>
    <mergeCell ref="B3134:E3134"/>
    <mergeCell ref="G3134:J3134"/>
    <mergeCell ref="G3131:H3131"/>
    <mergeCell ref="B3208:F3208"/>
    <mergeCell ref="B3242:F3242"/>
    <mergeCell ref="B3243:F3243"/>
    <mergeCell ref="B3244:F3244"/>
    <mergeCell ref="E3230:F3230"/>
    <mergeCell ref="B3178:F3178"/>
    <mergeCell ref="B3179:F3179"/>
    <mergeCell ref="B3255:F3255"/>
    <mergeCell ref="B3277:F3277"/>
    <mergeCell ref="H3261:I3261"/>
    <mergeCell ref="B3270:E3270"/>
    <mergeCell ref="G3270:J3270"/>
    <mergeCell ref="G3267:H3267"/>
    <mergeCell ref="G3233:H3233"/>
    <mergeCell ref="G3236:J3236"/>
    <mergeCell ref="H3227:I3227"/>
    <mergeCell ref="B3236:E3236"/>
    <mergeCell ref="B3209:F3209"/>
    <mergeCell ref="B3210:F3210"/>
    <mergeCell ref="B3211:F3211"/>
    <mergeCell ref="B3142:F3142"/>
    <mergeCell ref="B3072:F3072"/>
    <mergeCell ref="B3045:F3045"/>
    <mergeCell ref="B3144:F3144"/>
    <mergeCell ref="B3009:F3009"/>
    <mergeCell ref="B3010:F3010"/>
    <mergeCell ref="B3011:F3011"/>
    <mergeCell ref="B3017:F3017"/>
    <mergeCell ref="B3044:F3044"/>
    <mergeCell ref="B3041:F3041"/>
    <mergeCell ref="B3042:F3042"/>
    <mergeCell ref="B3043:F3043"/>
    <mergeCell ref="B3141:F3141"/>
    <mergeCell ref="B3187:F3187"/>
    <mergeCell ref="H3193:I3193"/>
    <mergeCell ref="E3196:F3196"/>
    <mergeCell ref="B3202:E3202"/>
    <mergeCell ref="G3202:J3202"/>
    <mergeCell ref="G3199:H3199"/>
    <mergeCell ref="B3113:F3113"/>
    <mergeCell ref="B3076:F3076"/>
    <mergeCell ref="B3077:F3077"/>
    <mergeCell ref="B3078:F3078"/>
    <mergeCell ref="B3079:F3079"/>
    <mergeCell ref="B3085:F3085"/>
    <mergeCell ref="B3112:F3112"/>
    <mergeCell ref="B3109:F3109"/>
    <mergeCell ref="B3110:F3110"/>
    <mergeCell ref="B3111:F3111"/>
    <mergeCell ref="G3165:H3165"/>
    <mergeCell ref="G3168:J3168"/>
    <mergeCell ref="H3159:I3159"/>
    <mergeCell ref="B3106:F3106"/>
    <mergeCell ref="G2998:J2998"/>
    <mergeCell ref="G2995:H2995"/>
    <mergeCell ref="E3094:F3094"/>
    <mergeCell ref="B2970:F2970"/>
    <mergeCell ref="B2971:F2971"/>
    <mergeCell ref="B2972:F2972"/>
    <mergeCell ref="E2958:F2958"/>
    <mergeCell ref="H3023:I3023"/>
    <mergeCell ref="G3029:H3029"/>
    <mergeCell ref="B2905:F2905"/>
    <mergeCell ref="G2961:H2961"/>
    <mergeCell ref="G2964:J2964"/>
    <mergeCell ref="H2955:I2955"/>
    <mergeCell ref="B3073:F3073"/>
    <mergeCell ref="B3074:F3074"/>
    <mergeCell ref="B3140:F3140"/>
    <mergeCell ref="B3075:F3075"/>
    <mergeCell ref="H3091:I3091"/>
    <mergeCell ref="G3097:H3097"/>
    <mergeCell ref="B3004:F3004"/>
    <mergeCell ref="B3038:F3038"/>
    <mergeCell ref="B3039:F3039"/>
    <mergeCell ref="B3040:F3040"/>
    <mergeCell ref="E3026:F3026"/>
    <mergeCell ref="B3032:E3032"/>
    <mergeCell ref="G3032:J3032"/>
    <mergeCell ref="B3051:F3051"/>
    <mergeCell ref="H3057:I3057"/>
    <mergeCell ref="E3060:F3060"/>
    <mergeCell ref="B3066:E3066"/>
    <mergeCell ref="G3066:J3066"/>
    <mergeCell ref="G3063:H3063"/>
    <mergeCell ref="G2828:J2828"/>
    <mergeCell ref="H2819:I2819"/>
    <mergeCell ref="B3008:F3008"/>
    <mergeCell ref="B2841:F2841"/>
    <mergeCell ref="B2906:F2906"/>
    <mergeCell ref="B2907:F2907"/>
    <mergeCell ref="H2887:I2887"/>
    <mergeCell ref="G2893:H2893"/>
    <mergeCell ref="B2909:F2909"/>
    <mergeCell ref="B2872:F2872"/>
    <mergeCell ref="B2873:F2873"/>
    <mergeCell ref="B2874:F2874"/>
    <mergeCell ref="B2875:F2875"/>
    <mergeCell ref="B2881:F2881"/>
    <mergeCell ref="B2908:F2908"/>
    <mergeCell ref="B2983:F2983"/>
    <mergeCell ref="B3005:F3005"/>
    <mergeCell ref="B3006:F3006"/>
    <mergeCell ref="B3007:F3007"/>
    <mergeCell ref="B2964:E2964"/>
    <mergeCell ref="B2937:F2937"/>
    <mergeCell ref="B2938:F2938"/>
    <mergeCell ref="B2939:F2939"/>
    <mergeCell ref="H2989:I2989"/>
    <mergeCell ref="E2890:F2890"/>
    <mergeCell ref="B2896:E2896"/>
    <mergeCell ref="G2896:J2896"/>
    <mergeCell ref="B2915:F2915"/>
    <mergeCell ref="H2921:I2921"/>
    <mergeCell ref="E2924:F2924"/>
    <mergeCell ref="E2992:F2992"/>
    <mergeCell ref="B2998:E2998"/>
    <mergeCell ref="B2977:F2977"/>
    <mergeCell ref="B2940:F2940"/>
    <mergeCell ref="B2941:F2941"/>
    <mergeCell ref="B2942:F2942"/>
    <mergeCell ref="B2943:F2943"/>
    <mergeCell ref="B2949:F2949"/>
    <mergeCell ref="B2976:F2976"/>
    <mergeCell ref="B2973:F2973"/>
    <mergeCell ref="B2974:F2974"/>
    <mergeCell ref="B2975:F2975"/>
    <mergeCell ref="B2902:F2902"/>
    <mergeCell ref="B2903:F2903"/>
    <mergeCell ref="B2904:F2904"/>
    <mergeCell ref="B2930:E2930"/>
    <mergeCell ref="G2930:J2930"/>
    <mergeCell ref="G2927:H2927"/>
    <mergeCell ref="B2800:F2800"/>
    <mergeCell ref="B2834:F2834"/>
    <mergeCell ref="B2835:F2835"/>
    <mergeCell ref="B2836:F2836"/>
    <mergeCell ref="E2822:F2822"/>
    <mergeCell ref="B2936:F2936"/>
    <mergeCell ref="B2805:F2805"/>
    <mergeCell ref="B2806:F2806"/>
    <mergeCell ref="B2807:F2807"/>
    <mergeCell ref="B2813:F2813"/>
    <mergeCell ref="B2840:F2840"/>
    <mergeCell ref="B2837:F2837"/>
    <mergeCell ref="B2838:F2838"/>
    <mergeCell ref="B2839:F2839"/>
    <mergeCell ref="H2853:I2853"/>
    <mergeCell ref="E2856:F2856"/>
    <mergeCell ref="B2770:F2770"/>
    <mergeCell ref="B2771:F2771"/>
    <mergeCell ref="B2847:F2847"/>
    <mergeCell ref="B2869:F2869"/>
    <mergeCell ref="B2870:F2870"/>
    <mergeCell ref="B2871:F2871"/>
    <mergeCell ref="B2828:E2828"/>
    <mergeCell ref="B2801:F2801"/>
    <mergeCell ref="B2802:F2802"/>
    <mergeCell ref="B2803:F2803"/>
    <mergeCell ref="B2734:F2734"/>
    <mergeCell ref="B2735:F2735"/>
    <mergeCell ref="B2773:F2773"/>
    <mergeCell ref="B2736:F2736"/>
    <mergeCell ref="B2737:F2737"/>
    <mergeCell ref="B2738:F2738"/>
    <mergeCell ref="B2739:F2739"/>
    <mergeCell ref="B2745:F2745"/>
    <mergeCell ref="B2772:F2772"/>
    <mergeCell ref="B2769:F2769"/>
    <mergeCell ref="B2868:F2868"/>
    <mergeCell ref="B2766:F2766"/>
    <mergeCell ref="B2767:F2767"/>
    <mergeCell ref="B2768:F2768"/>
    <mergeCell ref="E2754:F2754"/>
    <mergeCell ref="B2760:E2760"/>
    <mergeCell ref="B2804:F2804"/>
    <mergeCell ref="B2862:E2862"/>
    <mergeCell ref="B2733:F2733"/>
    <mergeCell ref="B2779:F2779"/>
    <mergeCell ref="H2785:I2785"/>
    <mergeCell ref="E2788:F2788"/>
    <mergeCell ref="B2794:E2794"/>
    <mergeCell ref="G2794:J2794"/>
    <mergeCell ref="G2791:H2791"/>
    <mergeCell ref="B2705:F2705"/>
    <mergeCell ref="B2668:F2668"/>
    <mergeCell ref="B2669:F2669"/>
    <mergeCell ref="B2670:F2670"/>
    <mergeCell ref="B2671:F2671"/>
    <mergeCell ref="B2677:F2677"/>
    <mergeCell ref="B2704:F2704"/>
    <mergeCell ref="B2701:F2701"/>
    <mergeCell ref="B2702:F2702"/>
    <mergeCell ref="B2703:F2703"/>
    <mergeCell ref="G2757:H2757"/>
    <mergeCell ref="G2760:J2760"/>
    <mergeCell ref="H2751:I2751"/>
    <mergeCell ref="B2698:F2698"/>
    <mergeCell ref="B2699:F2699"/>
    <mergeCell ref="B2700:F2700"/>
    <mergeCell ref="E2686:F2686"/>
    <mergeCell ref="B2692:E2692"/>
    <mergeCell ref="G2692:J2692"/>
    <mergeCell ref="B2711:F2711"/>
    <mergeCell ref="H2717:I2717"/>
    <mergeCell ref="E2720:F2720"/>
    <mergeCell ref="B2726:E2726"/>
    <mergeCell ref="G2726:J2726"/>
    <mergeCell ref="G2723:H2723"/>
    <mergeCell ref="B2665:F2665"/>
    <mergeCell ref="B2666:F2666"/>
    <mergeCell ref="B2732:F2732"/>
    <mergeCell ref="B2637:F2637"/>
    <mergeCell ref="B2600:F2600"/>
    <mergeCell ref="B2601:F2601"/>
    <mergeCell ref="B2602:F2602"/>
    <mergeCell ref="B2603:F2603"/>
    <mergeCell ref="B2609:F2609"/>
    <mergeCell ref="B2636:F2636"/>
    <mergeCell ref="B2633:F2633"/>
    <mergeCell ref="B2667:F2667"/>
    <mergeCell ref="H2683:I2683"/>
    <mergeCell ref="G2689:H2689"/>
    <mergeCell ref="B2596:F2596"/>
    <mergeCell ref="B2630:F2630"/>
    <mergeCell ref="B2631:F2631"/>
    <mergeCell ref="B2632:F2632"/>
    <mergeCell ref="E2618:F2618"/>
    <mergeCell ref="B2624:E2624"/>
    <mergeCell ref="G2624:J2624"/>
    <mergeCell ref="B2643:F2643"/>
    <mergeCell ref="H2649:I2649"/>
    <mergeCell ref="E2652:F2652"/>
    <mergeCell ref="B2658:E2658"/>
    <mergeCell ref="G2658:J2658"/>
    <mergeCell ref="G2655:H2655"/>
    <mergeCell ref="B2664:F2664"/>
    <mergeCell ref="B2598:F2598"/>
    <mergeCell ref="B2599:F2599"/>
    <mergeCell ref="G2669:I2669"/>
    <mergeCell ref="G2670:I2670"/>
    <mergeCell ref="B2556:E2556"/>
    <mergeCell ref="H2581:I2581"/>
    <mergeCell ref="E2584:F2584"/>
    <mergeCell ref="B2590:E2590"/>
    <mergeCell ref="B2634:F2634"/>
    <mergeCell ref="B2635:F2635"/>
    <mergeCell ref="G2485:H2485"/>
    <mergeCell ref="B2501:F2501"/>
    <mergeCell ref="B2464:F2464"/>
    <mergeCell ref="B2465:F2465"/>
    <mergeCell ref="B2466:F2466"/>
    <mergeCell ref="B2467:F2467"/>
    <mergeCell ref="B2473:F2473"/>
    <mergeCell ref="B2500:F2500"/>
    <mergeCell ref="B2497:F2497"/>
    <mergeCell ref="G2553:H2553"/>
    <mergeCell ref="G2556:J2556"/>
    <mergeCell ref="H2547:I2547"/>
    <mergeCell ref="B2569:F2569"/>
    <mergeCell ref="B2532:F2532"/>
    <mergeCell ref="B2533:F2533"/>
    <mergeCell ref="B2534:F2534"/>
    <mergeCell ref="B2535:F2535"/>
    <mergeCell ref="B2541:F2541"/>
    <mergeCell ref="B2568:F2568"/>
    <mergeCell ref="B2565:F2565"/>
    <mergeCell ref="B2566:F2566"/>
    <mergeCell ref="B2567:F2567"/>
    <mergeCell ref="B2522:E2522"/>
    <mergeCell ref="G2522:J2522"/>
    <mergeCell ref="G2519:H2519"/>
    <mergeCell ref="E2482:F2482"/>
    <mergeCell ref="B2488:E2488"/>
    <mergeCell ref="G2488:J2488"/>
    <mergeCell ref="B2399:F2399"/>
    <mergeCell ref="B2405:F2405"/>
    <mergeCell ref="B2432:F2432"/>
    <mergeCell ref="B2429:F2429"/>
    <mergeCell ref="B2430:F2430"/>
    <mergeCell ref="B2431:F2431"/>
    <mergeCell ref="B2498:F2498"/>
    <mergeCell ref="B2499:F2499"/>
    <mergeCell ref="B2575:F2575"/>
    <mergeCell ref="B2597:F2597"/>
    <mergeCell ref="G2590:J2590"/>
    <mergeCell ref="G2587:H2587"/>
    <mergeCell ref="B2528:F2528"/>
    <mergeCell ref="B2562:F2562"/>
    <mergeCell ref="B2563:F2563"/>
    <mergeCell ref="B2564:F2564"/>
    <mergeCell ref="E2550:F2550"/>
    <mergeCell ref="B2462:F2462"/>
    <mergeCell ref="B2463:F2463"/>
    <mergeCell ref="H2445:I2445"/>
    <mergeCell ref="E2448:F2448"/>
    <mergeCell ref="B2454:E2454"/>
    <mergeCell ref="G2454:J2454"/>
    <mergeCell ref="G2451:H2451"/>
    <mergeCell ref="B2460:F2460"/>
    <mergeCell ref="B2494:F2494"/>
    <mergeCell ref="B2495:F2495"/>
    <mergeCell ref="B2496:F2496"/>
    <mergeCell ref="B2529:F2529"/>
    <mergeCell ref="B2530:F2530"/>
    <mergeCell ref="B2531:F2531"/>
    <mergeCell ref="H2479:I2479"/>
    <mergeCell ref="B2507:F2507"/>
    <mergeCell ref="H2513:I2513"/>
    <mergeCell ref="E2516:F2516"/>
    <mergeCell ref="B2358:F2358"/>
    <mergeCell ref="B2359:F2359"/>
    <mergeCell ref="B2360:F2360"/>
    <mergeCell ref="E2346:F2346"/>
    <mergeCell ref="B2352:E2352"/>
    <mergeCell ref="B2325:F2325"/>
    <mergeCell ref="B2392:F2392"/>
    <mergeCell ref="B2426:F2426"/>
    <mergeCell ref="B2427:F2427"/>
    <mergeCell ref="B2428:F2428"/>
    <mergeCell ref="E2414:F2414"/>
    <mergeCell ref="B2420:E2420"/>
    <mergeCell ref="B2393:F2393"/>
    <mergeCell ref="B2394:F2394"/>
    <mergeCell ref="B2395:F2395"/>
    <mergeCell ref="B2439:F2439"/>
    <mergeCell ref="B2461:F2461"/>
    <mergeCell ref="B2371:F2371"/>
    <mergeCell ref="H2377:I2377"/>
    <mergeCell ref="E2380:F2380"/>
    <mergeCell ref="B2386:E2386"/>
    <mergeCell ref="G2386:J2386"/>
    <mergeCell ref="G2383:H2383"/>
    <mergeCell ref="B2326:F2326"/>
    <mergeCell ref="B2327:F2327"/>
    <mergeCell ref="B2433:F2433"/>
    <mergeCell ref="B2396:F2396"/>
    <mergeCell ref="B2397:F2397"/>
    <mergeCell ref="B2398:F2398"/>
    <mergeCell ref="B2297:F2297"/>
    <mergeCell ref="B2260:F2260"/>
    <mergeCell ref="B2261:F2261"/>
    <mergeCell ref="B2262:F2262"/>
    <mergeCell ref="B2263:F2263"/>
    <mergeCell ref="B2269:F2269"/>
    <mergeCell ref="B2296:F2296"/>
    <mergeCell ref="B2293:F2293"/>
    <mergeCell ref="G2349:H2349"/>
    <mergeCell ref="G2352:J2352"/>
    <mergeCell ref="H2343:I2343"/>
    <mergeCell ref="B2365:F2365"/>
    <mergeCell ref="B2328:F2328"/>
    <mergeCell ref="B2329:F2329"/>
    <mergeCell ref="B2330:F2330"/>
    <mergeCell ref="B2331:F2331"/>
    <mergeCell ref="B2337:F2337"/>
    <mergeCell ref="B2364:F2364"/>
    <mergeCell ref="B2361:F2361"/>
    <mergeCell ref="B2362:F2362"/>
    <mergeCell ref="B2363:F2363"/>
    <mergeCell ref="B2324:F2324"/>
    <mergeCell ref="B2303:F2303"/>
    <mergeCell ref="H2309:I2309"/>
    <mergeCell ref="E2312:F2312"/>
    <mergeCell ref="B2318:E2318"/>
    <mergeCell ref="G2318:J2318"/>
    <mergeCell ref="G2315:H2315"/>
    <mergeCell ref="B2294:F2294"/>
    <mergeCell ref="B2295:F2295"/>
    <mergeCell ref="B2188:F2188"/>
    <mergeCell ref="E2210:F2210"/>
    <mergeCell ref="B2201:F2201"/>
    <mergeCell ref="B2228:F2228"/>
    <mergeCell ref="B2225:F2225"/>
    <mergeCell ref="B2226:F2226"/>
    <mergeCell ref="B2227:F2227"/>
    <mergeCell ref="B2222:F2222"/>
    <mergeCell ref="B2223:F2223"/>
    <mergeCell ref="B2224:F2224"/>
    <mergeCell ref="B2259:F2259"/>
    <mergeCell ref="H2275:I2275"/>
    <mergeCell ref="G2281:H2281"/>
    <mergeCell ref="B2189:F2189"/>
    <mergeCell ref="B2190:F2190"/>
    <mergeCell ref="B2191:F2191"/>
    <mergeCell ref="H2207:I2207"/>
    <mergeCell ref="G2213:H2213"/>
    <mergeCell ref="G2216:J2216"/>
    <mergeCell ref="G2250:J2250"/>
    <mergeCell ref="G2247:H2247"/>
    <mergeCell ref="B2257:F2257"/>
    <mergeCell ref="B2258:F2258"/>
    <mergeCell ref="G2263:I2263"/>
    <mergeCell ref="G2228:I2228"/>
    <mergeCell ref="G2229:I2229"/>
    <mergeCell ref="B2161:F2161"/>
    <mergeCell ref="B2124:F2124"/>
    <mergeCell ref="B2125:F2125"/>
    <mergeCell ref="B2126:F2126"/>
    <mergeCell ref="B2127:F2127"/>
    <mergeCell ref="B2133:F2133"/>
    <mergeCell ref="B2160:F2160"/>
    <mergeCell ref="B2157:F2157"/>
    <mergeCell ref="B2158:F2158"/>
    <mergeCell ref="B2159:F2159"/>
    <mergeCell ref="B2256:F2256"/>
    <mergeCell ref="B2290:F2290"/>
    <mergeCell ref="B2291:F2291"/>
    <mergeCell ref="B2292:F2292"/>
    <mergeCell ref="E2278:F2278"/>
    <mergeCell ref="B2284:E2284"/>
    <mergeCell ref="G2284:J2284"/>
    <mergeCell ref="B2167:F2167"/>
    <mergeCell ref="H2173:I2173"/>
    <mergeCell ref="E2176:F2176"/>
    <mergeCell ref="B2182:E2182"/>
    <mergeCell ref="G2182:J2182"/>
    <mergeCell ref="B2229:F2229"/>
    <mergeCell ref="B2192:F2192"/>
    <mergeCell ref="B2193:F2193"/>
    <mergeCell ref="B2194:F2194"/>
    <mergeCell ref="B2195:F2195"/>
    <mergeCell ref="B2216:E2216"/>
    <mergeCell ref="B2235:F2235"/>
    <mergeCell ref="H2241:I2241"/>
    <mergeCell ref="E2244:F2244"/>
    <mergeCell ref="B2250:E2250"/>
    <mergeCell ref="B2114:E2114"/>
    <mergeCell ref="G2114:J2114"/>
    <mergeCell ref="H2139:I2139"/>
    <mergeCell ref="B2054:F2054"/>
    <mergeCell ref="B2055:F2055"/>
    <mergeCell ref="H2071:I2071"/>
    <mergeCell ref="G2077:H2077"/>
    <mergeCell ref="B2092:F2092"/>
    <mergeCell ref="B2086:F2086"/>
    <mergeCell ref="B2087:F2087"/>
    <mergeCell ref="B2120:F2120"/>
    <mergeCell ref="B2154:F2154"/>
    <mergeCell ref="B2155:F2155"/>
    <mergeCell ref="B2156:F2156"/>
    <mergeCell ref="E2142:F2142"/>
    <mergeCell ref="B2148:E2148"/>
    <mergeCell ref="B2121:F2121"/>
    <mergeCell ref="B2122:F2122"/>
    <mergeCell ref="B2123:F2123"/>
    <mergeCell ref="G2056:I2056"/>
    <mergeCell ref="G2057:I2057"/>
    <mergeCell ref="G2058:I2058"/>
    <mergeCell ref="G2059:I2059"/>
    <mergeCell ref="G2119:J2119"/>
    <mergeCell ref="G2120:I2120"/>
    <mergeCell ref="G2121:I2121"/>
    <mergeCell ref="G2122:I2122"/>
    <mergeCell ref="G2123:I2123"/>
    <mergeCell ref="G2124:I2124"/>
    <mergeCell ref="G2125:I2125"/>
    <mergeCell ref="G2126:I2126"/>
    <mergeCell ref="G2127:I2127"/>
    <mergeCell ref="B1985:F1985"/>
    <mergeCell ref="B1986:F1986"/>
    <mergeCell ref="B1987:F1987"/>
    <mergeCell ref="B2099:F2099"/>
    <mergeCell ref="H2105:I2105"/>
    <mergeCell ref="E2108:F2108"/>
    <mergeCell ref="B2052:F2052"/>
    <mergeCell ref="B2088:F2088"/>
    <mergeCell ref="B2089:F2089"/>
    <mergeCell ref="B2046:E2046"/>
    <mergeCell ref="B2024:F2024"/>
    <mergeCell ref="G2009:H2009"/>
    <mergeCell ref="E2074:F2074"/>
    <mergeCell ref="B2080:E2080"/>
    <mergeCell ref="B2090:F2090"/>
    <mergeCell ref="B1984:F1984"/>
    <mergeCell ref="B2018:F2018"/>
    <mergeCell ref="B2019:F2019"/>
    <mergeCell ref="B2020:F2020"/>
    <mergeCell ref="B2021:F2021"/>
    <mergeCell ref="G2043:H2043"/>
    <mergeCell ref="G2046:J2046"/>
    <mergeCell ref="B2093:F2093"/>
    <mergeCell ref="B2056:F2056"/>
    <mergeCell ref="B2057:F2057"/>
    <mergeCell ref="B2058:F2058"/>
    <mergeCell ref="B2059:F2059"/>
    <mergeCell ref="B2065:F2065"/>
    <mergeCell ref="B2091:F2091"/>
    <mergeCell ref="B2053:F2053"/>
    <mergeCell ref="G2085:J2085"/>
    <mergeCell ref="G2086:I2086"/>
    <mergeCell ref="B1950:F1950"/>
    <mergeCell ref="B1951:F1951"/>
    <mergeCell ref="B1944:E1944"/>
    <mergeCell ref="B2031:F2031"/>
    <mergeCell ref="H2037:I2037"/>
    <mergeCell ref="E2040:F2040"/>
    <mergeCell ref="E2006:F2006"/>
    <mergeCell ref="B2012:E2012"/>
    <mergeCell ref="B2022:F2022"/>
    <mergeCell ref="B2023:F2023"/>
    <mergeCell ref="B1917:F1917"/>
    <mergeCell ref="B1957:F1957"/>
    <mergeCell ref="B1921:F1921"/>
    <mergeCell ref="B1922:F1922"/>
    <mergeCell ref="E1972:F1972"/>
    <mergeCell ref="B1978:E1978"/>
    <mergeCell ref="B1920:F1920"/>
    <mergeCell ref="B1955:F1955"/>
    <mergeCell ref="B1956:F1956"/>
    <mergeCell ref="B1952:F1952"/>
    <mergeCell ref="E1938:F1938"/>
    <mergeCell ref="B1963:F1963"/>
    <mergeCell ref="B1923:F1923"/>
    <mergeCell ref="B2025:F2025"/>
    <mergeCell ref="B1988:F1988"/>
    <mergeCell ref="B1989:F1989"/>
    <mergeCell ref="B1990:F1990"/>
    <mergeCell ref="B1991:F1991"/>
    <mergeCell ref="B1997:F1997"/>
    <mergeCell ref="B1929:F1929"/>
    <mergeCell ref="G2012:J2012"/>
    <mergeCell ref="H2003:I2003"/>
    <mergeCell ref="B1861:F1861"/>
    <mergeCell ref="B1876:E1876"/>
    <mergeCell ref="B1882:F1882"/>
    <mergeCell ref="B1889:F1889"/>
    <mergeCell ref="B116:F116"/>
    <mergeCell ref="B117:F117"/>
    <mergeCell ref="B1850:F1850"/>
    <mergeCell ref="B114:F114"/>
    <mergeCell ref="B115:F115"/>
    <mergeCell ref="B120:F120"/>
    <mergeCell ref="B93:F93"/>
    <mergeCell ref="B82:F82"/>
    <mergeCell ref="B108:E108"/>
    <mergeCell ref="B118:F118"/>
    <mergeCell ref="B119:F119"/>
    <mergeCell ref="B1883:F1883"/>
    <mergeCell ref="B1884:F1884"/>
    <mergeCell ref="B1885:F1885"/>
    <mergeCell ref="B1886:F1886"/>
    <mergeCell ref="B86:F86"/>
    <mergeCell ref="B1851:F1851"/>
    <mergeCell ref="B393:F393"/>
    <mergeCell ref="B399:F399"/>
    <mergeCell ref="B425:F425"/>
    <mergeCell ref="B414:E414"/>
    <mergeCell ref="B390:F390"/>
    <mergeCell ref="B391:F391"/>
    <mergeCell ref="B388:F388"/>
    <mergeCell ref="B389:F389"/>
    <mergeCell ref="B392:F392"/>
    <mergeCell ref="B356:F356"/>
    <mergeCell ref="B357:F357"/>
    <mergeCell ref="B1895:F1895"/>
    <mergeCell ref="B1887:F1887"/>
    <mergeCell ref="B1888:F1888"/>
    <mergeCell ref="H1969:I1969"/>
    <mergeCell ref="H1901:I1901"/>
    <mergeCell ref="E1904:F1904"/>
    <mergeCell ref="B1910:E1910"/>
    <mergeCell ref="G1910:J1910"/>
    <mergeCell ref="B1916:F1916"/>
    <mergeCell ref="B1954:F1954"/>
    <mergeCell ref="B1918:F1918"/>
    <mergeCell ref="B1919:F1919"/>
    <mergeCell ref="B1953:F1953"/>
    <mergeCell ref="G142:J142"/>
    <mergeCell ref="B223:F223"/>
    <mergeCell ref="B229:F229"/>
    <mergeCell ref="E204:F204"/>
    <mergeCell ref="B183:F183"/>
    <mergeCell ref="H235:I235"/>
    <mergeCell ref="B219:F219"/>
    <mergeCell ref="B217:F217"/>
    <mergeCell ref="B218:F218"/>
    <mergeCell ref="B220:F220"/>
    <mergeCell ref="B331:F331"/>
    <mergeCell ref="B346:E346"/>
    <mergeCell ref="H1867:I1867"/>
    <mergeCell ref="E1870:F1870"/>
    <mergeCell ref="B1852:F1852"/>
    <mergeCell ref="B1853:F1853"/>
    <mergeCell ref="B1854:F1854"/>
    <mergeCell ref="B1855:F1855"/>
    <mergeCell ref="B1849:F1849"/>
    <mergeCell ref="B216:F216"/>
    <mergeCell ref="B121:F121"/>
    <mergeCell ref="B244:E244"/>
    <mergeCell ref="B257:F257"/>
    <mergeCell ref="B263:F263"/>
    <mergeCell ref="B325:F325"/>
    <mergeCell ref="B221:F221"/>
    <mergeCell ref="B222:F222"/>
    <mergeCell ref="B256:F256"/>
    <mergeCell ref="B155:F155"/>
    <mergeCell ref="B186:F186"/>
    <mergeCell ref="B161:F161"/>
    <mergeCell ref="B182:F182"/>
    <mergeCell ref="E238:F238"/>
    <mergeCell ref="B320:F320"/>
    <mergeCell ref="B321:F321"/>
    <mergeCell ref="B278:E278"/>
    <mergeCell ref="B284:F284"/>
    <mergeCell ref="B324:F324"/>
    <mergeCell ref="B288:F288"/>
    <mergeCell ref="B289:F289"/>
    <mergeCell ref="E136:F136"/>
    <mergeCell ref="B142:E142"/>
    <mergeCell ref="B122:F122"/>
    <mergeCell ref="B154:F154"/>
    <mergeCell ref="B149:F149"/>
    <mergeCell ref="B150:F150"/>
    <mergeCell ref="B148:F148"/>
    <mergeCell ref="B176:E176"/>
    <mergeCell ref="B195:F195"/>
    <mergeCell ref="B189:F189"/>
    <mergeCell ref="B184:F184"/>
    <mergeCell ref="B40:E40"/>
    <mergeCell ref="B51:F51"/>
    <mergeCell ref="E68:F68"/>
    <mergeCell ref="B48:F48"/>
    <mergeCell ref="B49:F49"/>
    <mergeCell ref="B50:F50"/>
    <mergeCell ref="B53:F53"/>
    <mergeCell ref="B59:F59"/>
    <mergeCell ref="G6:J6"/>
    <mergeCell ref="B12:F12"/>
    <mergeCell ref="B13:F13"/>
    <mergeCell ref="B14:F14"/>
    <mergeCell ref="B15:F15"/>
    <mergeCell ref="E34:F34"/>
    <mergeCell ref="B6:E6"/>
    <mergeCell ref="B19:F19"/>
    <mergeCell ref="B25:F25"/>
    <mergeCell ref="B16:F16"/>
    <mergeCell ref="G37:H37"/>
    <mergeCell ref="B46:F46"/>
    <mergeCell ref="B47:F47"/>
    <mergeCell ref="B52:F52"/>
    <mergeCell ref="G11:J11"/>
    <mergeCell ref="G12:I12"/>
    <mergeCell ref="B185:F185"/>
    <mergeCell ref="B187:F187"/>
    <mergeCell ref="B188:F188"/>
    <mergeCell ref="B210:E210"/>
    <mergeCell ref="B84:F84"/>
    <mergeCell ref="B85:F85"/>
    <mergeCell ref="G71:H71"/>
    <mergeCell ref="B74:E74"/>
    <mergeCell ref="G74:J74"/>
    <mergeCell ref="B81:F81"/>
    <mergeCell ref="G105:H105"/>
    <mergeCell ref="H65:I65"/>
    <mergeCell ref="H99:I99"/>
    <mergeCell ref="B153:F153"/>
    <mergeCell ref="B152:F152"/>
    <mergeCell ref="E170:F170"/>
    <mergeCell ref="E102:F102"/>
    <mergeCell ref="B151:F151"/>
    <mergeCell ref="B127:F127"/>
    <mergeCell ref="H133:I133"/>
    <mergeCell ref="G210:J210"/>
    <mergeCell ref="H167:I167"/>
    <mergeCell ref="G108:J108"/>
    <mergeCell ref="G139:H139"/>
    <mergeCell ref="G80:I80"/>
    <mergeCell ref="G81:I81"/>
    <mergeCell ref="G82:I82"/>
    <mergeCell ref="G83:I83"/>
    <mergeCell ref="G84:I84"/>
    <mergeCell ref="G85:I85"/>
    <mergeCell ref="G86:I86"/>
    <mergeCell ref="G87:I87"/>
    <mergeCell ref="E340:F340"/>
    <mergeCell ref="B253:F253"/>
    <mergeCell ref="G346:J346"/>
    <mergeCell ref="G40:J40"/>
    <mergeCell ref="B17:F17"/>
    <mergeCell ref="B18:F18"/>
    <mergeCell ref="H31:I31"/>
    <mergeCell ref="B87:F87"/>
    <mergeCell ref="B83:F83"/>
    <mergeCell ref="B285:F285"/>
    <mergeCell ref="B286:F286"/>
    <mergeCell ref="B287:F287"/>
    <mergeCell ref="H269:I269"/>
    <mergeCell ref="E306:F306"/>
    <mergeCell ref="B312:E312"/>
    <mergeCell ref="G278:J278"/>
    <mergeCell ref="G312:J312"/>
    <mergeCell ref="B323:F323"/>
    <mergeCell ref="H303:I303"/>
    <mergeCell ref="E272:F272"/>
    <mergeCell ref="B250:F250"/>
    <mergeCell ref="B255:F255"/>
    <mergeCell ref="B254:F254"/>
    <mergeCell ref="B251:F251"/>
    <mergeCell ref="B252:F252"/>
    <mergeCell ref="B290:F290"/>
    <mergeCell ref="B291:F291"/>
    <mergeCell ref="B297:F297"/>
    <mergeCell ref="B318:F318"/>
    <mergeCell ref="B319:F319"/>
    <mergeCell ref="B322:F322"/>
    <mergeCell ref="B80:F80"/>
    <mergeCell ref="B458:F458"/>
    <mergeCell ref="B459:F459"/>
    <mergeCell ref="B556:F556"/>
    <mergeCell ref="B490:F490"/>
    <mergeCell ref="B491:F491"/>
    <mergeCell ref="E510:F510"/>
    <mergeCell ref="B516:E516"/>
    <mergeCell ref="B535:F535"/>
    <mergeCell ref="E544:F544"/>
    <mergeCell ref="B358:F358"/>
    <mergeCell ref="B359:F359"/>
    <mergeCell ref="B365:F365"/>
    <mergeCell ref="G380:J380"/>
    <mergeCell ref="B352:F352"/>
    <mergeCell ref="B353:F353"/>
    <mergeCell ref="B354:F354"/>
    <mergeCell ref="B355:F355"/>
    <mergeCell ref="H371:I371"/>
    <mergeCell ref="E374:F374"/>
    <mergeCell ref="B380:E380"/>
    <mergeCell ref="G414:J414"/>
    <mergeCell ref="G448:J448"/>
    <mergeCell ref="B420:F420"/>
    <mergeCell ref="B421:F421"/>
    <mergeCell ref="B422:F422"/>
    <mergeCell ref="B423:F423"/>
    <mergeCell ref="H439:I439"/>
    <mergeCell ref="E442:F442"/>
    <mergeCell ref="B448:E448"/>
    <mergeCell ref="B424:F424"/>
    <mergeCell ref="G358:I358"/>
    <mergeCell ref="G359:I359"/>
    <mergeCell ref="E612:F612"/>
    <mergeCell ref="B592:F592"/>
    <mergeCell ref="B593:F593"/>
    <mergeCell ref="B596:F596"/>
    <mergeCell ref="B594:F594"/>
    <mergeCell ref="B624:F624"/>
    <mergeCell ref="B625:F625"/>
    <mergeCell ref="B626:F626"/>
    <mergeCell ref="B627:F627"/>
    <mergeCell ref="B493:F493"/>
    <mergeCell ref="B494:F494"/>
    <mergeCell ref="B495:F495"/>
    <mergeCell ref="B501:F501"/>
    <mergeCell ref="E408:F408"/>
    <mergeCell ref="B386:F386"/>
    <mergeCell ref="B461:F461"/>
    <mergeCell ref="B467:F467"/>
    <mergeCell ref="B426:F426"/>
    <mergeCell ref="B387:F387"/>
    <mergeCell ref="B557:F557"/>
    <mergeCell ref="B558:F558"/>
    <mergeCell ref="B559:F559"/>
    <mergeCell ref="B427:F427"/>
    <mergeCell ref="B433:F433"/>
    <mergeCell ref="B454:F454"/>
    <mergeCell ref="B455:F455"/>
    <mergeCell ref="B482:E482"/>
    <mergeCell ref="B488:F488"/>
    <mergeCell ref="B489:F489"/>
    <mergeCell ref="B456:F456"/>
    <mergeCell ref="B457:F457"/>
    <mergeCell ref="B460:F460"/>
    <mergeCell ref="B695:F695"/>
    <mergeCell ref="E714:F714"/>
    <mergeCell ref="B720:E720"/>
    <mergeCell ref="B664:F664"/>
    <mergeCell ref="B671:F671"/>
    <mergeCell ref="E680:F680"/>
    <mergeCell ref="B665:F665"/>
    <mergeCell ref="B658:F658"/>
    <mergeCell ref="B659:F659"/>
    <mergeCell ref="B662:F662"/>
    <mergeCell ref="B522:F522"/>
    <mergeCell ref="G550:J550"/>
    <mergeCell ref="H473:I473"/>
    <mergeCell ref="E476:F476"/>
    <mergeCell ref="G482:J482"/>
    <mergeCell ref="G516:J516"/>
    <mergeCell ref="H507:I507"/>
    <mergeCell ref="B492:F492"/>
    <mergeCell ref="B595:F595"/>
    <mergeCell ref="E646:F646"/>
    <mergeCell ref="B523:F523"/>
    <mergeCell ref="B526:F526"/>
    <mergeCell ref="B527:F527"/>
    <mergeCell ref="B524:F524"/>
    <mergeCell ref="B525:F525"/>
    <mergeCell ref="B528:F528"/>
    <mergeCell ref="B550:E550"/>
    <mergeCell ref="B529:F529"/>
    <mergeCell ref="H575:I575"/>
    <mergeCell ref="E578:F578"/>
    <mergeCell ref="B584:E584"/>
    <mergeCell ref="B560:F560"/>
    <mergeCell ref="B754:E754"/>
    <mergeCell ref="B696:F696"/>
    <mergeCell ref="B697:F697"/>
    <mergeCell ref="B698:F698"/>
    <mergeCell ref="B699:F699"/>
    <mergeCell ref="B705:F705"/>
    <mergeCell ref="B726:F726"/>
    <mergeCell ref="B733:F733"/>
    <mergeCell ref="B739:F739"/>
    <mergeCell ref="B788:E788"/>
    <mergeCell ref="B628:F628"/>
    <mergeCell ref="B629:F629"/>
    <mergeCell ref="B630:F630"/>
    <mergeCell ref="B631:F631"/>
    <mergeCell ref="B637:F637"/>
    <mergeCell ref="B652:E652"/>
    <mergeCell ref="B561:F561"/>
    <mergeCell ref="B562:F562"/>
    <mergeCell ref="B563:F563"/>
    <mergeCell ref="B569:F569"/>
    <mergeCell ref="B590:F590"/>
    <mergeCell ref="B591:F591"/>
    <mergeCell ref="B597:F597"/>
    <mergeCell ref="B603:F603"/>
    <mergeCell ref="B618:E618"/>
    <mergeCell ref="E748:F748"/>
    <mergeCell ref="B728:F728"/>
    <mergeCell ref="B729:F729"/>
    <mergeCell ref="B732:F732"/>
    <mergeCell ref="B686:E686"/>
    <mergeCell ref="B692:F692"/>
    <mergeCell ref="B693:F693"/>
    <mergeCell ref="B832:F832"/>
    <mergeCell ref="B833:F833"/>
    <mergeCell ref="B834:F834"/>
    <mergeCell ref="B835:F835"/>
    <mergeCell ref="B841:F841"/>
    <mergeCell ref="B862:F862"/>
    <mergeCell ref="E884:F884"/>
    <mergeCell ref="B864:F864"/>
    <mergeCell ref="B865:F865"/>
    <mergeCell ref="B868:F868"/>
    <mergeCell ref="B867:F867"/>
    <mergeCell ref="B863:F863"/>
    <mergeCell ref="B663:F663"/>
    <mergeCell ref="B694:F694"/>
    <mergeCell ref="B660:F660"/>
    <mergeCell ref="B661:F661"/>
    <mergeCell ref="B764:F764"/>
    <mergeCell ref="B765:F765"/>
    <mergeCell ref="B766:F766"/>
    <mergeCell ref="B767:F767"/>
    <mergeCell ref="B773:F773"/>
    <mergeCell ref="E782:F782"/>
    <mergeCell ref="B794:F794"/>
    <mergeCell ref="B795:F795"/>
    <mergeCell ref="B798:F798"/>
    <mergeCell ref="B799:F799"/>
    <mergeCell ref="B796:F796"/>
    <mergeCell ref="B797:F797"/>
    <mergeCell ref="B800:F800"/>
    <mergeCell ref="B727:F727"/>
    <mergeCell ref="B730:F730"/>
    <mergeCell ref="B731:F731"/>
    <mergeCell ref="B760:F760"/>
    <mergeCell ref="B761:F761"/>
    <mergeCell ref="B762:F762"/>
    <mergeCell ref="H881:I881"/>
    <mergeCell ref="B763:F763"/>
    <mergeCell ref="B866:F866"/>
    <mergeCell ref="B869:F869"/>
    <mergeCell ref="B875:F875"/>
    <mergeCell ref="B943:F943"/>
    <mergeCell ref="E952:F952"/>
    <mergeCell ref="B930:F930"/>
    <mergeCell ref="B931:F931"/>
    <mergeCell ref="B934:F934"/>
    <mergeCell ref="B935:F935"/>
    <mergeCell ref="B932:F932"/>
    <mergeCell ref="B933:F933"/>
    <mergeCell ref="B936:F936"/>
    <mergeCell ref="B822:E822"/>
    <mergeCell ref="G822:J822"/>
    <mergeCell ref="G856:J856"/>
    <mergeCell ref="B828:F828"/>
    <mergeCell ref="B829:F829"/>
    <mergeCell ref="B830:F830"/>
    <mergeCell ref="B831:F831"/>
    <mergeCell ref="H847:I847"/>
    <mergeCell ref="B856:E856"/>
    <mergeCell ref="E850:F850"/>
    <mergeCell ref="B801:F801"/>
    <mergeCell ref="B807:F807"/>
    <mergeCell ref="E816:F816"/>
    <mergeCell ref="B903:F903"/>
    <mergeCell ref="B909:F909"/>
    <mergeCell ref="E918:F918"/>
    <mergeCell ref="B924:E924"/>
    <mergeCell ref="G890:J890"/>
    <mergeCell ref="G924:J924"/>
    <mergeCell ref="B896:F896"/>
    <mergeCell ref="B897:F897"/>
    <mergeCell ref="B898:F898"/>
    <mergeCell ref="E986:F986"/>
    <mergeCell ref="B992:E992"/>
    <mergeCell ref="B958:E958"/>
    <mergeCell ref="B1011:F1011"/>
    <mergeCell ref="H1017:I1017"/>
    <mergeCell ref="E1020:F1020"/>
    <mergeCell ref="B1000:F1000"/>
    <mergeCell ref="B1001:F1001"/>
    <mergeCell ref="B1004:F1004"/>
    <mergeCell ref="B890:E890"/>
    <mergeCell ref="B899:F899"/>
    <mergeCell ref="B900:F900"/>
    <mergeCell ref="B901:F901"/>
    <mergeCell ref="B937:F937"/>
    <mergeCell ref="B902:F902"/>
    <mergeCell ref="G897:I897"/>
    <mergeCell ref="G898:I898"/>
    <mergeCell ref="G899:I899"/>
    <mergeCell ref="G900:I900"/>
    <mergeCell ref="G901:I901"/>
    <mergeCell ref="G902:I902"/>
    <mergeCell ref="G903:I903"/>
    <mergeCell ref="G963:J963"/>
    <mergeCell ref="G937:I937"/>
    <mergeCell ref="G997:J997"/>
    <mergeCell ref="B1038:F1038"/>
    <mergeCell ref="B1039:F1039"/>
    <mergeCell ref="B1045:F1045"/>
    <mergeCell ref="G958:J958"/>
    <mergeCell ref="G992:J992"/>
    <mergeCell ref="B964:F964"/>
    <mergeCell ref="B965:F965"/>
    <mergeCell ref="B966:F966"/>
    <mergeCell ref="B967:F967"/>
    <mergeCell ref="H983:I983"/>
    <mergeCell ref="B1032:F1032"/>
    <mergeCell ref="B1071:F1071"/>
    <mergeCell ref="B1068:F1068"/>
    <mergeCell ref="B1069:F1069"/>
    <mergeCell ref="B1072:F1072"/>
    <mergeCell ref="H1051:I1051"/>
    <mergeCell ref="E1054:F1054"/>
    <mergeCell ref="B1060:E1060"/>
    <mergeCell ref="B1036:F1036"/>
    <mergeCell ref="B1037:F1037"/>
    <mergeCell ref="B1005:F1005"/>
    <mergeCell ref="B1070:F1070"/>
    <mergeCell ref="B1033:F1033"/>
    <mergeCell ref="G964:I964"/>
    <mergeCell ref="G965:I965"/>
    <mergeCell ref="G966:I966"/>
    <mergeCell ref="G967:I967"/>
    <mergeCell ref="G968:I968"/>
    <mergeCell ref="G969:I969"/>
    <mergeCell ref="G970:I970"/>
    <mergeCell ref="G971:I971"/>
    <mergeCell ref="G1031:J1031"/>
    <mergeCell ref="B1073:F1073"/>
    <mergeCell ref="B1079:F1079"/>
    <mergeCell ref="H1085:I1085"/>
    <mergeCell ref="B999:F999"/>
    <mergeCell ref="B1002:F1002"/>
    <mergeCell ref="B1003:F1003"/>
    <mergeCell ref="B1026:E1026"/>
    <mergeCell ref="G1026:J1026"/>
    <mergeCell ref="G1060:J1060"/>
    <mergeCell ref="B1141:F1141"/>
    <mergeCell ref="B1147:F1147"/>
    <mergeCell ref="B1034:F1034"/>
    <mergeCell ref="B1035:F1035"/>
    <mergeCell ref="B968:F968"/>
    <mergeCell ref="B969:F969"/>
    <mergeCell ref="B970:F970"/>
    <mergeCell ref="B971:F971"/>
    <mergeCell ref="B977:F977"/>
    <mergeCell ref="B998:F998"/>
    <mergeCell ref="G1128:J1128"/>
    <mergeCell ref="B1100:F1100"/>
    <mergeCell ref="B1101:F1101"/>
    <mergeCell ref="B1102:F1102"/>
    <mergeCell ref="B1103:F1103"/>
    <mergeCell ref="H1119:I1119"/>
    <mergeCell ref="E1122:F1122"/>
    <mergeCell ref="B1128:E1128"/>
    <mergeCell ref="B1104:F1104"/>
    <mergeCell ref="B1094:E1094"/>
    <mergeCell ref="E1088:F1088"/>
    <mergeCell ref="B1066:F1066"/>
    <mergeCell ref="B1067:F1067"/>
    <mergeCell ref="B1135:F1135"/>
    <mergeCell ref="B1162:E1162"/>
    <mergeCell ref="G1162:J1162"/>
    <mergeCell ref="G1196:J1196"/>
    <mergeCell ref="B1168:F1168"/>
    <mergeCell ref="B1169:F1169"/>
    <mergeCell ref="B1170:F1170"/>
    <mergeCell ref="B1171:F1171"/>
    <mergeCell ref="H1187:I1187"/>
    <mergeCell ref="E1190:F1190"/>
    <mergeCell ref="B1136:F1136"/>
    <mergeCell ref="B1137:F1137"/>
    <mergeCell ref="B1140:F1140"/>
    <mergeCell ref="B1138:F1138"/>
    <mergeCell ref="B1139:F1139"/>
    <mergeCell ref="B1105:F1105"/>
    <mergeCell ref="B1106:F1106"/>
    <mergeCell ref="B1107:F1107"/>
    <mergeCell ref="B1113:F1113"/>
    <mergeCell ref="B1134:F1134"/>
    <mergeCell ref="G1193:H1193"/>
    <mergeCell ref="H1153:I1153"/>
    <mergeCell ref="E1156:F1156"/>
    <mergeCell ref="B1196:E1196"/>
    <mergeCell ref="G1159:H1159"/>
    <mergeCell ref="G1167:J1167"/>
    <mergeCell ref="G1168:I1168"/>
    <mergeCell ref="G1169:I1169"/>
    <mergeCell ref="G1170:I1170"/>
    <mergeCell ref="G1171:I1171"/>
    <mergeCell ref="G1172:I1172"/>
    <mergeCell ref="G1106:I1106"/>
    <mergeCell ref="B1338:F1338"/>
    <mergeCell ref="B1238:F1238"/>
    <mergeCell ref="B1239:F1239"/>
    <mergeCell ref="H1255:I1255"/>
    <mergeCell ref="E1258:F1258"/>
    <mergeCell ref="B1264:E1264"/>
    <mergeCell ref="B1240:F1240"/>
    <mergeCell ref="B1241:F1241"/>
    <mergeCell ref="B1172:F1172"/>
    <mergeCell ref="B1173:F1173"/>
    <mergeCell ref="B1174:F1174"/>
    <mergeCell ref="B1175:F1175"/>
    <mergeCell ref="B1181:F1181"/>
    <mergeCell ref="B1230:E1230"/>
    <mergeCell ref="B1209:F1209"/>
    <mergeCell ref="B1215:F1215"/>
    <mergeCell ref="E1224:F1224"/>
    <mergeCell ref="B1202:F1202"/>
    <mergeCell ref="G1261:H1261"/>
    <mergeCell ref="B1203:F1203"/>
    <mergeCell ref="B1206:F1206"/>
    <mergeCell ref="B1207:F1207"/>
    <mergeCell ref="B1204:F1204"/>
    <mergeCell ref="B1205:F1205"/>
    <mergeCell ref="B1208:F1208"/>
    <mergeCell ref="G1264:J1264"/>
    <mergeCell ref="B1236:F1236"/>
    <mergeCell ref="B1242:F1242"/>
    <mergeCell ref="B1243:F1243"/>
    <mergeCell ref="B1249:F1249"/>
    <mergeCell ref="G1173:I1173"/>
    <mergeCell ref="G1174:I1174"/>
    <mergeCell ref="B1543:F1543"/>
    <mergeCell ref="B1270:F1270"/>
    <mergeCell ref="B1271:F1271"/>
    <mergeCell ref="B1272:F1272"/>
    <mergeCell ref="B1273:F1273"/>
    <mergeCell ref="B1276:F1276"/>
    <mergeCell ref="B1274:F1274"/>
    <mergeCell ref="B1275:F1275"/>
    <mergeCell ref="B1307:F1307"/>
    <mergeCell ref="G1227:H1227"/>
    <mergeCell ref="H1221:I1221"/>
    <mergeCell ref="G1230:J1230"/>
    <mergeCell ref="B1379:F1379"/>
    <mergeCell ref="G1329:H1329"/>
    <mergeCell ref="G1366:J1366"/>
    <mergeCell ref="G1363:H1363"/>
    <mergeCell ref="B1298:E1298"/>
    <mergeCell ref="B1277:F1277"/>
    <mergeCell ref="B1283:F1283"/>
    <mergeCell ref="H1289:I1289"/>
    <mergeCell ref="E1292:F1292"/>
    <mergeCell ref="H1323:I1323"/>
    <mergeCell ref="E1326:F1326"/>
    <mergeCell ref="B1311:F1311"/>
    <mergeCell ref="B1317:F1317"/>
    <mergeCell ref="B1366:E1366"/>
    <mergeCell ref="B1345:F1345"/>
    <mergeCell ref="B1351:F1351"/>
    <mergeCell ref="E1360:F1360"/>
    <mergeCell ref="B1237:F1237"/>
    <mergeCell ref="G1295:H1295"/>
    <mergeCell ref="B1308:F1308"/>
    <mergeCell ref="B1408:F1408"/>
    <mergeCell ref="B1409:F1409"/>
    <mergeCell ref="B1412:F1412"/>
    <mergeCell ref="G1400:J1400"/>
    <mergeCell ref="G1397:H1397"/>
    <mergeCell ref="B1342:F1342"/>
    <mergeCell ref="B1343:F1343"/>
    <mergeCell ref="H1357:I1357"/>
    <mergeCell ref="B1434:E1434"/>
    <mergeCell ref="G1434:J1434"/>
    <mergeCell ref="B1413:F1413"/>
    <mergeCell ref="B1419:F1419"/>
    <mergeCell ref="H1425:I1425"/>
    <mergeCell ref="E1428:F1428"/>
    <mergeCell ref="B1410:F1410"/>
    <mergeCell ref="E1530:F1530"/>
    <mergeCell ref="B1536:E1536"/>
    <mergeCell ref="B1512:F1512"/>
    <mergeCell ref="B1513:F1513"/>
    <mergeCell ref="B1514:F1514"/>
    <mergeCell ref="B1515:F1515"/>
    <mergeCell ref="B1521:F1521"/>
    <mergeCell ref="E1496:F1496"/>
    <mergeCell ref="B1400:E1400"/>
    <mergeCell ref="H1391:I1391"/>
    <mergeCell ref="E1394:F1394"/>
    <mergeCell ref="B1376:F1376"/>
    <mergeCell ref="B1377:F1377"/>
    <mergeCell ref="B1378:F1378"/>
    <mergeCell ref="G1445:I1445"/>
    <mergeCell ref="G1446:I1446"/>
    <mergeCell ref="G1447:I1447"/>
    <mergeCell ref="B1339:F1339"/>
    <mergeCell ref="B1332:E1332"/>
    <mergeCell ref="B1340:F1340"/>
    <mergeCell ref="B1341:F1341"/>
    <mergeCell ref="B1344:F1344"/>
    <mergeCell ref="G1298:J1298"/>
    <mergeCell ref="G1332:J1332"/>
    <mergeCell ref="B1304:F1304"/>
    <mergeCell ref="B1305:F1305"/>
    <mergeCell ref="B1306:F1306"/>
    <mergeCell ref="B1309:F1309"/>
    <mergeCell ref="B1310:F1310"/>
    <mergeCell ref="B1446:F1446"/>
    <mergeCell ref="B1447:F1447"/>
    <mergeCell ref="B1453:F1453"/>
    <mergeCell ref="B1468:E1468"/>
    <mergeCell ref="H1493:I1493"/>
    <mergeCell ref="B1474:F1474"/>
    <mergeCell ref="B1475:F1475"/>
    <mergeCell ref="B1478:F1478"/>
    <mergeCell ref="B1479:F1479"/>
    <mergeCell ref="B1476:F1476"/>
    <mergeCell ref="B1477:F1477"/>
    <mergeCell ref="B1480:F1480"/>
    <mergeCell ref="B1411:F1411"/>
    <mergeCell ref="B1372:F1372"/>
    <mergeCell ref="B1373:F1373"/>
    <mergeCell ref="B1374:F1374"/>
    <mergeCell ref="B1375:F1375"/>
    <mergeCell ref="B1385:F1385"/>
    <mergeCell ref="B1406:F1406"/>
    <mergeCell ref="B1407:F1407"/>
    <mergeCell ref="B1546:F1546"/>
    <mergeCell ref="B1547:F1547"/>
    <mergeCell ref="B1570:E1570"/>
    <mergeCell ref="G1570:J1570"/>
    <mergeCell ref="G1604:J1604"/>
    <mergeCell ref="B1440:F1440"/>
    <mergeCell ref="B1441:F1441"/>
    <mergeCell ref="B1442:F1442"/>
    <mergeCell ref="B1443:F1443"/>
    <mergeCell ref="H1459:I1459"/>
    <mergeCell ref="E1462:F1462"/>
    <mergeCell ref="B1481:F1481"/>
    <mergeCell ref="B1487:F1487"/>
    <mergeCell ref="B1555:F1555"/>
    <mergeCell ref="H1561:I1561"/>
    <mergeCell ref="E1564:F1564"/>
    <mergeCell ref="B1544:F1544"/>
    <mergeCell ref="B1545:F1545"/>
    <mergeCell ref="B1548:F1548"/>
    <mergeCell ref="B1502:E1502"/>
    <mergeCell ref="G1502:J1502"/>
    <mergeCell ref="G1536:J1536"/>
    <mergeCell ref="B1508:F1508"/>
    <mergeCell ref="B1509:F1509"/>
    <mergeCell ref="B1510:F1510"/>
    <mergeCell ref="B1511:F1511"/>
    <mergeCell ref="H1527:I1527"/>
    <mergeCell ref="B1542:F1542"/>
    <mergeCell ref="G1465:H1465"/>
    <mergeCell ref="B1444:F1444"/>
    <mergeCell ref="B1445:F1445"/>
    <mergeCell ref="G1468:J1468"/>
    <mergeCell ref="B1648:F1648"/>
    <mergeCell ref="B1649:F1649"/>
    <mergeCell ref="B1549:F1549"/>
    <mergeCell ref="B1617:F1617"/>
    <mergeCell ref="B1623:F1623"/>
    <mergeCell ref="H1629:I1629"/>
    <mergeCell ref="B1577:F1577"/>
    <mergeCell ref="B1651:F1651"/>
    <mergeCell ref="B1657:F1657"/>
    <mergeCell ref="B1576:F1576"/>
    <mergeCell ref="G1583:I1583"/>
    <mergeCell ref="G1643:J1643"/>
    <mergeCell ref="G1644:I1644"/>
    <mergeCell ref="G1645:I1645"/>
    <mergeCell ref="G1646:I1646"/>
    <mergeCell ref="G1647:I1647"/>
    <mergeCell ref="G1648:I1648"/>
    <mergeCell ref="G1649:I1649"/>
    <mergeCell ref="G1650:I1650"/>
    <mergeCell ref="G1575:J1575"/>
    <mergeCell ref="G1576:I1576"/>
    <mergeCell ref="G1577:I1577"/>
    <mergeCell ref="G1578:I1578"/>
    <mergeCell ref="G1579:I1579"/>
    <mergeCell ref="G1580:I1580"/>
    <mergeCell ref="G1581:I1581"/>
    <mergeCell ref="G1582:I1582"/>
    <mergeCell ref="G1609:J1609"/>
    <mergeCell ref="G1610:I1610"/>
    <mergeCell ref="G1611:I1611"/>
    <mergeCell ref="G1612:I1612"/>
    <mergeCell ref="G1613:I1613"/>
    <mergeCell ref="B1678:F1678"/>
    <mergeCell ref="B1679:F1679"/>
    <mergeCell ref="B1685:F1685"/>
    <mergeCell ref="B1691:F1691"/>
    <mergeCell ref="B1782:F1782"/>
    <mergeCell ref="B1752:F1752"/>
    <mergeCell ref="E1768:F1768"/>
    <mergeCell ref="B1774:E1774"/>
    <mergeCell ref="B1578:F1578"/>
    <mergeCell ref="B1579:F1579"/>
    <mergeCell ref="B1582:F1582"/>
    <mergeCell ref="B1583:F1583"/>
    <mergeCell ref="B1589:F1589"/>
    <mergeCell ref="E1632:F1632"/>
    <mergeCell ref="B1610:F1610"/>
    <mergeCell ref="B1611:F1611"/>
    <mergeCell ref="B1614:F1614"/>
    <mergeCell ref="B1644:F1644"/>
    <mergeCell ref="B1645:F1645"/>
    <mergeCell ref="B1646:F1646"/>
    <mergeCell ref="B1647:F1647"/>
    <mergeCell ref="B1615:F1615"/>
    <mergeCell ref="B1612:F1612"/>
    <mergeCell ref="B1613:F1613"/>
    <mergeCell ref="B1616:F1616"/>
    <mergeCell ref="E1598:F1598"/>
    <mergeCell ref="B1604:E1604"/>
    <mergeCell ref="B1580:F1580"/>
    <mergeCell ref="B1581:F1581"/>
    <mergeCell ref="B1638:E1638"/>
    <mergeCell ref="E1666:F1666"/>
    <mergeCell ref="B1672:E1672"/>
    <mergeCell ref="G649:H649"/>
    <mergeCell ref="G275:H275"/>
    <mergeCell ref="G309:H309"/>
    <mergeCell ref="G343:H343"/>
    <mergeCell ref="G377:H377"/>
    <mergeCell ref="G411:H411"/>
    <mergeCell ref="G244:J244"/>
    <mergeCell ref="H405:I405"/>
    <mergeCell ref="G479:H479"/>
    <mergeCell ref="G513:H513"/>
    <mergeCell ref="H643:I643"/>
    <mergeCell ref="G686:J686"/>
    <mergeCell ref="G720:J720"/>
    <mergeCell ref="H711:I711"/>
    <mergeCell ref="H677:I677"/>
    <mergeCell ref="H337:I337"/>
    <mergeCell ref="H609:I609"/>
    <mergeCell ref="G419:J419"/>
    <mergeCell ref="G420:I420"/>
    <mergeCell ref="G421:I421"/>
    <mergeCell ref="G422:I422"/>
    <mergeCell ref="G423:I423"/>
    <mergeCell ref="G424:I424"/>
    <mergeCell ref="G425:I425"/>
    <mergeCell ref="G426:I426"/>
    <mergeCell ref="G427:I427"/>
    <mergeCell ref="G487:J487"/>
    <mergeCell ref="G488:I488"/>
    <mergeCell ref="G489:I489"/>
    <mergeCell ref="G490:I490"/>
    <mergeCell ref="G491:I491"/>
    <mergeCell ref="G623:J623"/>
    <mergeCell ref="B1786:F1786"/>
    <mergeCell ref="B1787:F1787"/>
    <mergeCell ref="E1802:F1802"/>
    <mergeCell ref="B1808:E1808"/>
    <mergeCell ref="B1793:F1793"/>
    <mergeCell ref="H949:I949"/>
    <mergeCell ref="H813:I813"/>
    <mergeCell ref="G887:H887"/>
    <mergeCell ref="G921:H921"/>
    <mergeCell ref="G547:H547"/>
    <mergeCell ref="B1784:F1784"/>
    <mergeCell ref="B1718:F1718"/>
    <mergeCell ref="B1719:F1719"/>
    <mergeCell ref="B1746:F1746"/>
    <mergeCell ref="B1747:F1747"/>
    <mergeCell ref="B1725:F1725"/>
    <mergeCell ref="E1734:F1734"/>
    <mergeCell ref="B1780:F1780"/>
    <mergeCell ref="B1740:E1740"/>
    <mergeCell ref="B1717:F1717"/>
    <mergeCell ref="G1669:H1669"/>
    <mergeCell ref="G1706:J1706"/>
    <mergeCell ref="G581:H581"/>
    <mergeCell ref="G683:H683"/>
    <mergeCell ref="G717:H717"/>
    <mergeCell ref="G751:H751"/>
    <mergeCell ref="H745:I745"/>
    <mergeCell ref="G618:J618"/>
    <mergeCell ref="G652:J652"/>
    <mergeCell ref="G584:J584"/>
    <mergeCell ref="B1683:F1683"/>
    <mergeCell ref="B1650:F1650"/>
    <mergeCell ref="B1815:F1815"/>
    <mergeCell ref="G785:H785"/>
    <mergeCell ref="G955:H955"/>
    <mergeCell ref="G989:H989"/>
    <mergeCell ref="G1431:H1431"/>
    <mergeCell ref="G819:H819"/>
    <mergeCell ref="G853:H853"/>
    <mergeCell ref="G1091:H1091"/>
    <mergeCell ref="G1125:H1125"/>
    <mergeCell ref="B1748:F1748"/>
    <mergeCell ref="B1749:F1749"/>
    <mergeCell ref="B1783:F1783"/>
    <mergeCell ref="H1697:I1697"/>
    <mergeCell ref="E1700:F1700"/>
    <mergeCell ref="B1680:F1680"/>
    <mergeCell ref="B1681:F1681"/>
    <mergeCell ref="B1785:F1785"/>
    <mergeCell ref="B1750:F1750"/>
    <mergeCell ref="B1751:F1751"/>
    <mergeCell ref="B1753:F1753"/>
    <mergeCell ref="B1759:F1759"/>
    <mergeCell ref="B1781:F1781"/>
    <mergeCell ref="G1703:H1703"/>
    <mergeCell ref="G1737:H1737"/>
    <mergeCell ref="B1706:E1706"/>
    <mergeCell ref="B1712:F1712"/>
    <mergeCell ref="B1713:F1713"/>
    <mergeCell ref="B1714:F1714"/>
    <mergeCell ref="B1715:F1715"/>
    <mergeCell ref="B1716:F1716"/>
    <mergeCell ref="B1684:F1684"/>
    <mergeCell ref="B1682:F1682"/>
    <mergeCell ref="B1819:F1819"/>
    <mergeCell ref="G615:H615"/>
    <mergeCell ref="B1817:F1817"/>
    <mergeCell ref="B1818:F1818"/>
    <mergeCell ref="G1774:J1774"/>
    <mergeCell ref="G1023:H1023"/>
    <mergeCell ref="G1057:H1057"/>
    <mergeCell ref="G173:H173"/>
    <mergeCell ref="G207:H207"/>
    <mergeCell ref="H201:I201"/>
    <mergeCell ref="G176:J176"/>
    <mergeCell ref="G445:H445"/>
    <mergeCell ref="H541:I541"/>
    <mergeCell ref="H915:I915"/>
    <mergeCell ref="H779:I779"/>
    <mergeCell ref="G1941:H1941"/>
    <mergeCell ref="G1975:H1975"/>
    <mergeCell ref="E1836:F1836"/>
    <mergeCell ref="B1842:E1842"/>
    <mergeCell ref="G1842:J1842"/>
    <mergeCell ref="B1820:F1820"/>
    <mergeCell ref="B1821:F1821"/>
    <mergeCell ref="B1827:F1827"/>
    <mergeCell ref="H1833:I1833"/>
    <mergeCell ref="B1848:F1848"/>
    <mergeCell ref="G1873:H1873"/>
    <mergeCell ref="G1808:J1808"/>
    <mergeCell ref="G1876:J1876"/>
    <mergeCell ref="G1944:J1944"/>
    <mergeCell ref="H1935:I1935"/>
    <mergeCell ref="B1816:F1816"/>
    <mergeCell ref="B1814:F1814"/>
    <mergeCell ref="G1567:H1567"/>
    <mergeCell ref="G1601:H1601"/>
    <mergeCell ref="G1771:H1771"/>
    <mergeCell ref="G1805:H1805"/>
    <mergeCell ref="G1740:J1740"/>
    <mergeCell ref="H1731:I1731"/>
    <mergeCell ref="H1765:I1765"/>
    <mergeCell ref="G4423:H4423"/>
    <mergeCell ref="G4457:H4457"/>
    <mergeCell ref="G4392:J4392"/>
    <mergeCell ref="H4417:I4417"/>
    <mergeCell ref="G4426:J4426"/>
    <mergeCell ref="G2080:J2080"/>
    <mergeCell ref="G2111:H2111"/>
    <mergeCell ref="G2145:H2145"/>
    <mergeCell ref="G2179:H2179"/>
    <mergeCell ref="G2148:J2148"/>
    <mergeCell ref="H1799:I1799"/>
    <mergeCell ref="G1635:H1635"/>
    <mergeCell ref="G1638:J1638"/>
    <mergeCell ref="G2417:H2417"/>
    <mergeCell ref="G2420:J2420"/>
    <mergeCell ref="H2411:I2411"/>
    <mergeCell ref="H2615:I2615"/>
    <mergeCell ref="G2621:H2621"/>
    <mergeCell ref="H4383:I4383"/>
    <mergeCell ref="G1672:J1672"/>
    <mergeCell ref="H1595:I1595"/>
    <mergeCell ref="G3346:I3346"/>
    <mergeCell ref="G2862:J2862"/>
    <mergeCell ref="G2859:H2859"/>
    <mergeCell ref="G2825:H2825"/>
  </mergeCells>
  <phoneticPr fontId="1" type="noConversion"/>
  <pageMargins left="0.75" right="0.75" top="1" bottom="1" header="0.5" footer="0.5"/>
  <pageSetup orientation="portrait" r:id="rId1"/>
  <headerFooter alignWithMargins="0"/>
  <rowBreaks count="131" manualBreakCount="131">
    <brk id="34" max="16383" man="1"/>
    <brk id="68" max="16383" man="1"/>
    <brk id="102" max="16383" man="1"/>
    <brk id="136" max="16383" man="1"/>
    <brk id="170" max="16383" man="1"/>
    <brk id="204" max="16383" man="1"/>
    <brk id="238" max="16383" man="1"/>
    <brk id="272" max="16383" man="1"/>
    <brk id="306" max="16383" man="1"/>
    <brk id="340" max="16383" man="1"/>
    <brk id="374" max="16383" man="1"/>
    <brk id="408" max="16383" man="1"/>
    <brk id="442" max="16383" man="1"/>
    <brk id="476" max="16383" man="1"/>
    <brk id="510" max="16383" man="1"/>
    <brk id="544" max="16383" man="1"/>
    <brk id="578" max="16383" man="1"/>
    <brk id="612" max="16383" man="1"/>
    <brk id="646" max="16383" man="1"/>
    <brk id="680" max="16383" man="1"/>
    <brk id="714" max="16383" man="1"/>
    <brk id="748" max="16383" man="1"/>
    <brk id="782" max="16383" man="1"/>
    <brk id="816" max="16383" man="1"/>
    <brk id="850" max="16383" man="1"/>
    <brk id="884" max="16383" man="1"/>
    <brk id="918" max="16383" man="1"/>
    <brk id="952" max="16383" man="1"/>
    <brk id="986" max="16383" man="1"/>
    <brk id="1020" max="16383" man="1"/>
    <brk id="1054" max="16383" man="1"/>
    <brk id="1088" max="16383" man="1"/>
    <brk id="1122" max="16383" man="1"/>
    <brk id="1156" max="16383" man="1"/>
    <brk id="1190" max="16383" man="1"/>
    <brk id="1224" max="16383" man="1"/>
    <brk id="1258" max="16383" man="1"/>
    <brk id="1292" max="16383" man="1"/>
    <brk id="1326" max="16383" man="1"/>
    <brk id="1360" max="16383" man="1"/>
    <brk id="1394" max="16383" man="1"/>
    <brk id="1428" max="16383" man="1"/>
    <brk id="1462" max="16383" man="1"/>
    <brk id="1496" max="16383" man="1"/>
    <brk id="1530" max="16383" man="1"/>
    <brk id="1564" max="16383" man="1"/>
    <brk id="1598" max="16383" man="1"/>
    <brk id="1632" max="16383" man="1"/>
    <brk id="1666" max="16383" man="1"/>
    <brk id="1700" max="16383" man="1"/>
    <brk id="1734" max="16383" man="1"/>
    <brk id="1768" max="16383" man="1"/>
    <brk id="1802" max="16383" man="1"/>
    <brk id="1836" max="16383" man="1"/>
    <brk id="1870" max="16383" man="1"/>
    <brk id="1904" max="16383" man="1"/>
    <brk id="1938" max="16383" man="1"/>
    <brk id="1972" max="16383" man="1"/>
    <brk id="2006" max="16383" man="1"/>
    <brk id="2040" max="16383" man="1"/>
    <brk id="2074" max="16383" man="1"/>
    <brk id="2108" max="16383" man="1"/>
    <brk id="2142" max="16383" man="1"/>
    <brk id="2176" max="16383" man="1"/>
    <brk id="2210" max="16383" man="1"/>
    <brk id="2244" max="16383" man="1"/>
    <brk id="2278" max="16383" man="1"/>
    <brk id="2312" max="16383" man="1"/>
    <brk id="2346" max="16383" man="1"/>
    <brk id="2380" max="16383" man="1"/>
    <brk id="2414" max="16383" man="1"/>
    <brk id="2448" max="16383" man="1"/>
    <brk id="2482" max="16383" man="1"/>
    <brk id="2516" max="16383" man="1"/>
    <brk id="2550" max="16383" man="1"/>
    <brk id="2584" max="16383" man="1"/>
    <brk id="2618" max="16383" man="1"/>
    <brk id="2652" max="16383" man="1"/>
    <brk id="2686" max="16383" man="1"/>
    <brk id="2720" max="16383" man="1"/>
    <brk id="2754" max="16383" man="1"/>
    <brk id="2788" max="16383" man="1"/>
    <brk id="2822" max="16383" man="1"/>
    <brk id="2856" max="16383" man="1"/>
    <brk id="2890" max="16383" man="1"/>
    <brk id="2924" max="16383" man="1"/>
    <brk id="2958" max="16383" man="1"/>
    <brk id="2992" max="16383" man="1"/>
    <brk id="3026" max="16383" man="1"/>
    <brk id="3060" max="16383" man="1"/>
    <brk id="3094" max="16383" man="1"/>
    <brk id="3128" max="16383" man="1"/>
    <brk id="3162" max="16383" man="1"/>
    <brk id="3196" max="16383" man="1"/>
    <brk id="3230" max="16383" man="1"/>
    <brk id="3264" max="16383" man="1"/>
    <brk id="3298" max="16383" man="1"/>
    <brk id="3332" max="16383" man="1"/>
    <brk id="3366" max="16383" man="1"/>
    <brk id="3400" max="16383" man="1"/>
    <brk id="3434" max="16383" man="1"/>
    <brk id="3468" max="16383" man="1"/>
    <brk id="3502" max="16383" man="1"/>
    <brk id="3536" max="16383" man="1"/>
    <brk id="3570" max="16383" man="1"/>
    <brk id="3604" max="16383" man="1"/>
    <brk id="3638" max="16383" man="1"/>
    <brk id="3672" max="16383" man="1"/>
    <brk id="3706" max="16383" man="1"/>
    <brk id="3740" max="16383" man="1"/>
    <brk id="3774" max="16383" man="1"/>
    <brk id="3808" max="16383" man="1"/>
    <brk id="3842" max="16383" man="1"/>
    <brk id="3876" max="16383" man="1"/>
    <brk id="3910" max="16383" man="1"/>
    <brk id="3944" max="16383" man="1"/>
    <brk id="3978" max="16383" man="1"/>
    <brk id="4012" max="16383" man="1"/>
    <brk id="4046" max="16383" man="1"/>
    <brk id="4080" max="16383" man="1"/>
    <brk id="4114" max="16383" man="1"/>
    <brk id="4148" max="16383" man="1"/>
    <brk id="4182" max="16383" man="1"/>
    <brk id="4216" max="16383" man="1"/>
    <brk id="4250" max="16383" man="1"/>
    <brk id="4284" max="16383" man="1"/>
    <brk id="4318" max="16383" man="1"/>
    <brk id="4352" max="16383" man="1"/>
    <brk id="4386" max="16383" man="1"/>
    <brk id="4420" max="16383" man="1"/>
    <brk id="4454" max="16383" man="1"/>
  </rowBreaks>
  <colBreaks count="1" manualBreakCount="1">
    <brk id="10" max="1048575" man="1"/>
  </colBreaks>
</worksheet>
</file>

<file path=xl/worksheets/sheet4.xml><?xml version="1.0" encoding="utf-8"?>
<worksheet xmlns="http://schemas.openxmlformats.org/spreadsheetml/2006/main" xmlns:r="http://schemas.openxmlformats.org/officeDocument/2006/relationships">
  <sheetPr codeName="Sheet4"/>
  <dimension ref="A1:AY3366"/>
  <sheetViews>
    <sheetView zoomScaleNormal="100" workbookViewId="0">
      <selection activeCell="B15" sqref="B15:G16"/>
    </sheetView>
  </sheetViews>
  <sheetFormatPr defaultRowHeight="12.75"/>
  <cols>
    <col min="1" max="15" width="5.7109375" style="3" customWidth="1"/>
    <col min="16" max="16" width="5.28515625" style="3" customWidth="1"/>
    <col min="17" max="30" width="5.7109375" style="3" customWidth="1"/>
    <col min="31" max="31" width="5.28515625" style="3" customWidth="1"/>
    <col min="32" max="32" width="5.7109375" style="3" customWidth="1"/>
    <col min="33" max="33" width="9.140625" style="3"/>
    <col min="34" max="34" width="3.5703125" style="65" bestFit="1" customWidth="1"/>
    <col min="35" max="36" width="2" style="65" bestFit="1" customWidth="1"/>
    <col min="37" max="37" width="6.28515625" style="65" bestFit="1" customWidth="1"/>
    <col min="38" max="38" width="6.28515625" style="65" customWidth="1"/>
    <col min="39" max="40" width="5.7109375" style="3" customWidth="1"/>
    <col min="41" max="49" width="9.140625" style="3"/>
    <col min="50" max="50" width="5" style="3" customWidth="1"/>
    <col min="51" max="16384" width="9.140625" style="3"/>
  </cols>
  <sheetData>
    <row r="1" spans="1:51" ht="12.75" customHeight="1">
      <c r="R1" s="1"/>
      <c r="S1" s="110"/>
      <c r="T1" s="110"/>
      <c r="U1" s="110"/>
      <c r="V1" s="110"/>
      <c r="W1" s="110"/>
      <c r="X1" s="111"/>
      <c r="Y1" s="111"/>
      <c r="Z1" s="111"/>
      <c r="AA1" s="111"/>
      <c r="AH1" s="150" t="str">
        <f>LEFT(F50,1)&amp;RIGHT(F50,1)</f>
        <v>AC</v>
      </c>
      <c r="AI1" s="150" t="str">
        <f ca="1">G50</f>
        <v/>
      </c>
      <c r="AJ1" s="150" t="str">
        <f ca="1">I50</f>
        <v/>
      </c>
      <c r="AK1" s="150" t="s">
        <v>3868</v>
      </c>
      <c r="AL1" s="150" t="s">
        <v>3934</v>
      </c>
      <c r="AM1" s="140" t="s">
        <v>1112</v>
      </c>
      <c r="AN1" s="141">
        <v>1</v>
      </c>
      <c r="AO1" s="142" t="str">
        <f>IF(Players!$C4&lt;&gt;"",Players!$C4,"")</f>
        <v/>
      </c>
      <c r="AP1" s="142" t="str">
        <f>IF(Players!$C5&lt;&gt;"",Players!$C5,"")</f>
        <v/>
      </c>
      <c r="AQ1" s="142" t="str">
        <f>IF(Players!$C6&lt;&gt;"",Players!$C6,"")</f>
        <v/>
      </c>
      <c r="AR1" s="142" t="str">
        <f>IF(Players!$C7&lt;&gt;"",Players!$C7,"")</f>
        <v/>
      </c>
      <c r="AS1" s="142" t="str">
        <f>IF(Players!$C8&lt;&gt;"",Players!$C8,"")</f>
        <v/>
      </c>
      <c r="AT1" s="142" t="str">
        <f>IF(Players!$C9&lt;&gt;"",Players!$C9,"")</f>
        <v/>
      </c>
      <c r="AU1" s="142" t="str">
        <f>IF(Players!$C10&lt;&gt;"",Players!$C10,"")</f>
        <v/>
      </c>
      <c r="AV1" s="142" t="str">
        <f>IF(Players!$C11&lt;&gt;"",Players!$C11,"")</f>
        <v/>
      </c>
      <c r="AW1" s="142" t="b">
        <f>IF(LEN(AS1)=0,TRUE,FALSE)</f>
        <v>1</v>
      </c>
      <c r="AX1" s="165">
        <f>Players!$E2</f>
        <v>0</v>
      </c>
      <c r="AY1" s="124"/>
    </row>
    <row r="2" spans="1:51" ht="12.75" customHeight="1">
      <c r="F2" s="246" t="s">
        <v>4929</v>
      </c>
      <c r="G2" s="246"/>
      <c r="H2" s="246"/>
      <c r="I2" s="246"/>
      <c r="R2" s="1"/>
      <c r="S2" s="110"/>
      <c r="T2" s="110"/>
      <c r="U2" s="110"/>
      <c r="V2" s="110"/>
      <c r="W2" s="110"/>
      <c r="X2" s="111"/>
      <c r="Y2" s="111"/>
      <c r="Z2" s="111"/>
      <c r="AA2" s="111"/>
      <c r="AH2" s="150" t="str">
        <f>LEFT(F101,1)&amp;RIGHT(F101,1)</f>
        <v>BD</v>
      </c>
      <c r="AI2" s="150" t="str">
        <f ca="1">G101</f>
        <v/>
      </c>
      <c r="AJ2" s="150" t="str">
        <f ca="1">I101</f>
        <v/>
      </c>
      <c r="AK2" s="150" t="s">
        <v>3869</v>
      </c>
      <c r="AL2" s="150" t="s">
        <v>5407</v>
      </c>
      <c r="AM2" s="140" t="s">
        <v>1113</v>
      </c>
      <c r="AN2" s="141">
        <v>2</v>
      </c>
      <c r="AO2" s="142" t="str">
        <f>IF(Players!$C15&lt;&gt;"",Players!$C15,"")</f>
        <v/>
      </c>
      <c r="AP2" s="142" t="str">
        <f>IF(Players!$C16&lt;&gt;"",Players!$C16,"")</f>
        <v/>
      </c>
      <c r="AQ2" s="142" t="str">
        <f>IF(Players!$C17&lt;&gt;"",Players!$C17,"")</f>
        <v/>
      </c>
      <c r="AR2" s="142" t="str">
        <f>IF(Players!$C18&lt;&gt;"",Players!$C18,"")</f>
        <v/>
      </c>
      <c r="AS2" s="142" t="str">
        <f>IF(Players!$C19&lt;&gt;"",Players!$C19,"")</f>
        <v/>
      </c>
      <c r="AT2" s="142" t="str">
        <f>IF(Players!$C20&lt;&gt;"",Players!$C20,"")</f>
        <v/>
      </c>
      <c r="AU2" s="142" t="str">
        <f>IF(Players!$C21&lt;&gt;"",Players!$C21,"")</f>
        <v/>
      </c>
      <c r="AV2" s="142" t="str">
        <f>IF(Players!$C22&lt;&gt;"",Players!$C22,"")</f>
        <v/>
      </c>
      <c r="AW2" s="142" t="b">
        <f t="shared" ref="AW2:AW12" si="0">IF(LEN(AS2)=0,TRUE,FALSE)</f>
        <v>1</v>
      </c>
      <c r="AX2" s="165">
        <f>Players!$E13</f>
        <v>0</v>
      </c>
      <c r="AY2" s="124"/>
    </row>
    <row r="3" spans="1:51" ht="12.75" customHeight="1">
      <c r="F3" s="246" t="s">
        <v>4930</v>
      </c>
      <c r="G3" s="246"/>
      <c r="H3" s="246"/>
      <c r="I3" s="246"/>
      <c r="R3" s="1"/>
      <c r="S3" s="110"/>
      <c r="T3" s="110"/>
      <c r="U3" s="110"/>
      <c r="V3" s="110"/>
      <c r="W3" s="110"/>
      <c r="X3" s="111"/>
      <c r="Y3" s="111"/>
      <c r="Z3" s="111"/>
      <c r="AA3" s="111"/>
      <c r="AH3" s="150" t="str">
        <f>LEFT(F152,1)&amp;RIGHT(F152,1)</f>
        <v>AB</v>
      </c>
      <c r="AI3" s="150" t="str">
        <f ca="1">G152</f>
        <v/>
      </c>
      <c r="AJ3" s="150" t="str">
        <f ca="1">I152</f>
        <v/>
      </c>
      <c r="AK3" s="150" t="s">
        <v>3870</v>
      </c>
      <c r="AL3" s="150" t="s">
        <v>5408</v>
      </c>
      <c r="AM3" s="140" t="s">
        <v>1114</v>
      </c>
      <c r="AN3" s="141">
        <v>3</v>
      </c>
      <c r="AO3" s="142" t="str">
        <f>IF(Players!$C26&lt;&gt;"",Players!$C26,"")</f>
        <v/>
      </c>
      <c r="AP3" s="142" t="str">
        <f>IF(Players!$C27&lt;&gt;"",Players!$C27,"")</f>
        <v/>
      </c>
      <c r="AQ3" s="142" t="str">
        <f>IF(Players!$C28&lt;&gt;"",Players!$C28,"")</f>
        <v/>
      </c>
      <c r="AR3" s="142" t="str">
        <f>IF(Players!$C29&lt;&gt;"",Players!$C29,"")</f>
        <v/>
      </c>
      <c r="AS3" s="142" t="str">
        <f>IF(Players!$C30&lt;&gt;"",Players!$C30,"")</f>
        <v/>
      </c>
      <c r="AT3" s="142" t="str">
        <f>IF(Players!$C31&lt;&gt;"",Players!$C31,"")</f>
        <v/>
      </c>
      <c r="AU3" s="142" t="str">
        <f>IF(Players!$C32&lt;&gt;"",Players!$C32,"")</f>
        <v/>
      </c>
      <c r="AV3" s="142" t="str">
        <f>IF(Players!$C33&lt;&gt;"",Players!$C33,"")</f>
        <v/>
      </c>
      <c r="AW3" s="142" t="b">
        <f t="shared" si="0"/>
        <v>1</v>
      </c>
      <c r="AX3" s="165">
        <f>Players!$E24</f>
        <v>0</v>
      </c>
      <c r="AY3" s="124"/>
    </row>
    <row r="4" spans="1:51" ht="12.75" customHeight="1">
      <c r="K4" s="281" t="s">
        <v>1244</v>
      </c>
      <c r="L4" s="281"/>
      <c r="M4" s="281"/>
      <c r="N4" s="281"/>
      <c r="O4" s="281"/>
      <c r="P4" s="281"/>
      <c r="R4" s="1"/>
      <c r="S4" s="110"/>
      <c r="T4" s="110"/>
      <c r="U4" s="110"/>
      <c r="V4" s="110"/>
      <c r="W4" s="110"/>
      <c r="X4" s="111"/>
      <c r="Y4" s="111"/>
      <c r="Z4" s="111"/>
      <c r="AA4" s="111"/>
      <c r="AH4" s="150" t="str">
        <f>LEFT(F203,1)&amp;RIGHT(F203,1)</f>
        <v>CD</v>
      </c>
      <c r="AI4" s="150" t="str">
        <f ca="1">G203</f>
        <v/>
      </c>
      <c r="AJ4" s="150" t="str">
        <f ca="1">I203</f>
        <v/>
      </c>
      <c r="AK4" s="150" t="s">
        <v>3871</v>
      </c>
      <c r="AL4" s="150" t="s">
        <v>5409</v>
      </c>
      <c r="AM4" s="140" t="s">
        <v>1115</v>
      </c>
      <c r="AN4" s="141">
        <v>4</v>
      </c>
      <c r="AO4" s="142" t="str">
        <f>IF(Players!$C37&lt;&gt;"",Players!$C37,"")</f>
        <v/>
      </c>
      <c r="AP4" s="142" t="str">
        <f>IF(Players!$C38&lt;&gt;"",Players!$C38,"")</f>
        <v/>
      </c>
      <c r="AQ4" s="142" t="str">
        <f>IF(Players!$C39&lt;&gt;"",Players!$C39,"")</f>
        <v/>
      </c>
      <c r="AR4" s="142" t="str">
        <f>IF(Players!$C40&lt;&gt;"",Players!$C40,"")</f>
        <v/>
      </c>
      <c r="AS4" s="142" t="str">
        <f>IF(Players!$C41&lt;&gt;"",Players!$C41,"")</f>
        <v/>
      </c>
      <c r="AT4" s="142" t="str">
        <f>IF(Players!$C42&lt;&gt;"",Players!$C42,"")</f>
        <v/>
      </c>
      <c r="AU4" s="142" t="str">
        <f>IF(Players!$C43&lt;&gt;"",Players!$C43,"")</f>
        <v/>
      </c>
      <c r="AV4" s="142" t="str">
        <f>IF(Players!$C44&lt;&gt;"",Players!$C44,"")</f>
        <v/>
      </c>
      <c r="AW4" s="142" t="b">
        <f t="shared" si="0"/>
        <v>1</v>
      </c>
      <c r="AX4" s="165">
        <f>Players!$E35</f>
        <v>0</v>
      </c>
      <c r="AY4" s="124"/>
    </row>
    <row r="5" spans="1:51" ht="12.75" customHeight="1">
      <c r="A5" s="12" t="s">
        <v>1229</v>
      </c>
      <c r="B5" s="11"/>
      <c r="C5" s="11"/>
      <c r="D5" s="11" t="str">
        <f>Draw!$B$1</f>
        <v>Enter Division Name</v>
      </c>
      <c r="E5" s="11"/>
      <c r="F5" s="7"/>
      <c r="G5" s="6"/>
      <c r="H5" s="7"/>
      <c r="I5" s="11"/>
      <c r="J5" s="11"/>
      <c r="K5" s="11"/>
      <c r="L5" s="11"/>
      <c r="N5" s="11"/>
      <c r="O5" s="11"/>
      <c r="P5" s="11"/>
      <c r="R5" s="1"/>
      <c r="S5" s="110"/>
      <c r="T5" s="110"/>
      <c r="U5" s="110"/>
      <c r="V5" s="110"/>
      <c r="W5" s="110"/>
      <c r="X5" s="111"/>
      <c r="Y5" s="111"/>
      <c r="Z5" s="111"/>
      <c r="AA5" s="111"/>
      <c r="AH5" s="150" t="str">
        <f>LEFT(F254,1)&amp;RIGHT(F254,1)</f>
        <v>AD</v>
      </c>
      <c r="AI5" s="150" t="str">
        <f ca="1">G254</f>
        <v/>
      </c>
      <c r="AJ5" s="150" t="str">
        <f ca="1">I254</f>
        <v/>
      </c>
      <c r="AK5" s="150" t="s">
        <v>3872</v>
      </c>
      <c r="AL5" s="150" t="s">
        <v>5410</v>
      </c>
      <c r="AM5" s="140" t="s">
        <v>1116</v>
      </c>
      <c r="AN5" s="141">
        <v>5</v>
      </c>
      <c r="AO5" s="142" t="str">
        <f>IF(Players!$C48&lt;&gt;"",Players!$C48,"")</f>
        <v/>
      </c>
      <c r="AP5" s="142" t="str">
        <f>IF(Players!$C49&lt;&gt;"",Players!$C49,"")</f>
        <v/>
      </c>
      <c r="AQ5" s="142" t="str">
        <f>IF(Players!$C50&lt;&gt;"",Players!$C50,"")</f>
        <v/>
      </c>
      <c r="AR5" s="142" t="str">
        <f>IF(Players!$C51&lt;&gt;"",Players!$C51,"")</f>
        <v/>
      </c>
      <c r="AS5" s="142" t="str">
        <f>IF(Players!$C52&lt;&gt;"",Players!$C52,"")</f>
        <v/>
      </c>
      <c r="AT5" s="142" t="str">
        <f>IF(Players!$C53&lt;&gt;"",Players!$C53,"")</f>
        <v/>
      </c>
      <c r="AU5" s="142" t="str">
        <f>IF(Players!$C54&lt;&gt;"",Players!$C54,"")</f>
        <v/>
      </c>
      <c r="AV5" s="142" t="str">
        <f>IF(Players!$C55&lt;&gt;"",Players!$C55,"")</f>
        <v/>
      </c>
      <c r="AW5" s="142" t="b">
        <f t="shared" si="0"/>
        <v>1</v>
      </c>
      <c r="AX5" s="165">
        <f>Players!$E46</f>
        <v>0</v>
      </c>
      <c r="AY5" s="124"/>
    </row>
    <row r="6" spans="1:51">
      <c r="A6" s="2" t="s">
        <v>1230</v>
      </c>
      <c r="D6" s="43" t="str">
        <f>Draw!$D$1</f>
        <v>Enter Hosting Location (City, ST)</v>
      </c>
      <c r="J6" s="43" t="str">
        <f ca="1">MID(CELL("filename",$J$6),SEARCH("[",CELL("filename",$J$6)),SEARCH("]",CELL("filename",$J$6))-SEARCH("[",CELL("filename",$J$6))+1)</f>
        <v>[NCTTA Teams Template (v2.06).xlsx]</v>
      </c>
      <c r="R6" s="1"/>
      <c r="S6" s="110"/>
      <c r="T6" s="110"/>
      <c r="U6" s="110"/>
      <c r="V6" s="110"/>
      <c r="W6" s="110"/>
      <c r="X6" s="111"/>
      <c r="Y6" s="111"/>
      <c r="Z6" s="111"/>
      <c r="AA6" s="111"/>
      <c r="AH6" s="150" t="str">
        <f>LEFT(F305,1)&amp;RIGHT(F305,1)</f>
        <v>BC</v>
      </c>
      <c r="AI6" s="150" t="str">
        <f ca="1">G305</f>
        <v/>
      </c>
      <c r="AJ6" s="150" t="str">
        <f ca="1">I305</f>
        <v/>
      </c>
      <c r="AK6" s="150" t="s">
        <v>3873</v>
      </c>
      <c r="AL6" s="150" t="s">
        <v>5411</v>
      </c>
      <c r="AM6" s="140" t="s">
        <v>1117</v>
      </c>
      <c r="AN6" s="141">
        <v>6</v>
      </c>
      <c r="AO6" s="142" t="str">
        <f>IF(Players!$C59&lt;&gt;"",Players!$C59,"")</f>
        <v/>
      </c>
      <c r="AP6" s="142" t="str">
        <f>IF(Players!$C60&lt;&gt;"",Players!$C60,"")</f>
        <v/>
      </c>
      <c r="AQ6" s="142" t="str">
        <f>IF(Players!$C61&lt;&gt;"",Players!$C61,"")</f>
        <v/>
      </c>
      <c r="AR6" s="142" t="str">
        <f>IF(Players!$C62&lt;&gt;"",Players!$C62,"")</f>
        <v/>
      </c>
      <c r="AS6" s="142" t="str">
        <f>IF(Players!$C63&lt;&gt;"",Players!$C63,"")</f>
        <v/>
      </c>
      <c r="AT6" s="142" t="str">
        <f>IF(Players!$C64&lt;&gt;"",Players!$C64,"")</f>
        <v/>
      </c>
      <c r="AU6" s="142" t="str">
        <f>IF(Players!$C65&lt;&gt;"",Players!$C65,"")</f>
        <v/>
      </c>
      <c r="AV6" s="142" t="str">
        <f>IF(Players!$C66&lt;&gt;"",Players!$C66,"")</f>
        <v/>
      </c>
      <c r="AW6" s="142" t="b">
        <f t="shared" si="0"/>
        <v>1</v>
      </c>
      <c r="AX6" s="165">
        <f>Players!$E57</f>
        <v>0</v>
      </c>
      <c r="AY6" s="124"/>
    </row>
    <row r="7" spans="1:51" ht="12.75" customHeight="1">
      <c r="A7" s="2" t="s">
        <v>1231</v>
      </c>
      <c r="D7" s="337" t="str">
        <f>Draw!$P$1</f>
        <v>Enter Date</v>
      </c>
      <c r="E7" s="337"/>
      <c r="F7" s="337"/>
      <c r="G7" s="337"/>
      <c r="J7" s="280" t="str">
        <f>CHOOSE(Draw!$T$1,"Round 1, Match 1","Round 1, Match 1","Round 1, Match 1","Round 1, Match 1","Round 1, Match 1","Round 1, Match 1","Round 1, Match 1","Round 1, Match 1","Round 1, Match 1","Round 1, Match 1","Round 1, Match 1")</f>
        <v>Round 1, Match 1</v>
      </c>
      <c r="K7" s="280"/>
      <c r="L7" s="280"/>
      <c r="M7" s="276" t="str">
        <f>IF(AND($J7&lt;&gt;"",Draw!$AC$10&lt;&gt;"",Draw!$AC$13&lt;&gt;""),Draw!$AC$10+TIME(0,VALUE(MID($J7,7,FIND(",",$J7)-FIND(" ",$J7)-1)-1)*Draw!$AC$13,0),"")</f>
        <v/>
      </c>
      <c r="N7" s="276"/>
      <c r="O7" s="157" t="str">
        <f>$F50</f>
        <v>A-C</v>
      </c>
      <c r="R7" s="1"/>
      <c r="S7" s="110"/>
      <c r="T7" s="110"/>
      <c r="U7" s="110"/>
      <c r="V7" s="110"/>
      <c r="W7" s="110"/>
      <c r="X7" s="111"/>
      <c r="Y7" s="111"/>
      <c r="Z7" s="111"/>
      <c r="AA7" s="111"/>
      <c r="AH7" s="150" t="str">
        <f>LEFT(F356,1)&amp;RIGHT(F356,1)</f>
        <v>EG</v>
      </c>
      <c r="AI7" s="150" t="str">
        <f ca="1">G356</f>
        <v/>
      </c>
      <c r="AJ7" s="150" t="str">
        <f ca="1">I356</f>
        <v/>
      </c>
      <c r="AK7" s="150" t="s">
        <v>3874</v>
      </c>
      <c r="AL7" s="150" t="s">
        <v>5412</v>
      </c>
      <c r="AM7" s="140" t="s">
        <v>1118</v>
      </c>
      <c r="AN7" s="141">
        <v>7</v>
      </c>
      <c r="AO7" s="142" t="str">
        <f>IF(Players!$C70&lt;&gt;"",Players!$C70,"")</f>
        <v/>
      </c>
      <c r="AP7" s="142" t="str">
        <f>IF(Players!$C71&lt;&gt;"",Players!$C71,"")</f>
        <v/>
      </c>
      <c r="AQ7" s="142" t="str">
        <f>IF(Players!$C72&lt;&gt;"",Players!$C72,"")</f>
        <v/>
      </c>
      <c r="AR7" s="142" t="str">
        <f>IF(Players!$C73&lt;&gt;"",Players!$C73,"")</f>
        <v/>
      </c>
      <c r="AS7" s="142" t="str">
        <f>IF(Players!$C74&lt;&gt;"",Players!$C74,"")</f>
        <v/>
      </c>
      <c r="AT7" s="142" t="str">
        <f>IF(Players!$C75&lt;&gt;"",Players!$C75,"")</f>
        <v/>
      </c>
      <c r="AU7" s="142" t="str">
        <f>IF(Players!$C76&lt;&gt;"",Players!$C76,"")</f>
        <v/>
      </c>
      <c r="AV7" s="142" t="str">
        <f>IF(Players!$C77&lt;&gt;"",Players!$C77,"")</f>
        <v/>
      </c>
      <c r="AW7" s="142" t="b">
        <f t="shared" si="0"/>
        <v>1</v>
      </c>
      <c r="AX7" s="165">
        <f>Players!$E68</f>
        <v>0</v>
      </c>
      <c r="AY7" s="124"/>
    </row>
    <row r="8" spans="1:51" ht="12.75" customHeight="1">
      <c r="A8" s="14"/>
      <c r="B8" s="15"/>
      <c r="C8" s="15"/>
      <c r="D8" s="15"/>
      <c r="E8" s="15"/>
      <c r="F8" s="14"/>
      <c r="G8" s="14"/>
      <c r="H8" s="16"/>
      <c r="I8" s="14"/>
      <c r="J8" s="15"/>
      <c r="K8" s="15"/>
      <c r="L8" s="15"/>
      <c r="M8" s="15"/>
      <c r="N8" s="15"/>
      <c r="O8" s="364" t="str">
        <f>IF(OR(AND(VLOOKUP($B9,$AM$1:$AX$12,12,FALSE)="C",VLOOKUP($K9,$AM$1:$AX$12,12,FALSE)="C"),AND(VLOOKUP($B9,$AM$1:$AX$12,12,FALSE)="W",VLOOKUP($K9,$AM$1:$AX$12,12,FALSE)="W")),"Official",IF(AND($A10="",$J10=""),"","Scrimmage"))</f>
        <v/>
      </c>
      <c r="P8" s="364"/>
      <c r="R8" s="1"/>
      <c r="S8" s="110"/>
      <c r="T8" s="110"/>
      <c r="U8" s="110"/>
      <c r="V8" s="110"/>
      <c r="W8" s="110"/>
      <c r="X8" s="111"/>
      <c r="Y8" s="111"/>
      <c r="Z8" s="111"/>
      <c r="AA8" s="111"/>
      <c r="AH8" s="150" t="str">
        <f>LEFT(F407,1)&amp;RIGHT(F407,1)</f>
        <v>FH</v>
      </c>
      <c r="AI8" s="150" t="str">
        <f ca="1">G407</f>
        <v/>
      </c>
      <c r="AJ8" s="150" t="str">
        <f ca="1">I407</f>
        <v/>
      </c>
      <c r="AK8" s="150" t="s">
        <v>3875</v>
      </c>
      <c r="AL8" s="150" t="s">
        <v>5413</v>
      </c>
      <c r="AM8" s="140" t="s">
        <v>1119</v>
      </c>
      <c r="AN8" s="141">
        <v>8</v>
      </c>
      <c r="AO8" s="142" t="str">
        <f>IF(Players!$C81&lt;&gt;"",Players!$C81,"")</f>
        <v/>
      </c>
      <c r="AP8" s="142" t="str">
        <f>IF(Players!$C82&lt;&gt;"",Players!$C82,"")</f>
        <v/>
      </c>
      <c r="AQ8" s="142" t="str">
        <f>IF(Players!$C83&lt;&gt;"",Players!$C83,"")</f>
        <v/>
      </c>
      <c r="AR8" s="142" t="str">
        <f>IF(Players!$C84&lt;&gt;"",Players!$C84,"")</f>
        <v/>
      </c>
      <c r="AS8" s="142" t="str">
        <f>IF(Players!$C85&lt;&gt;"",Players!$C85,"")</f>
        <v/>
      </c>
      <c r="AT8" s="142" t="str">
        <f>IF(Players!$C86&lt;&gt;"",Players!$C86,"")</f>
        <v/>
      </c>
      <c r="AU8" s="142" t="str">
        <f>IF(Players!$C87&lt;&gt;"",Players!$C87,"")</f>
        <v/>
      </c>
      <c r="AV8" s="142" t="str">
        <f>IF(Players!$C88&lt;&gt;"",Players!$C88,"")</f>
        <v/>
      </c>
      <c r="AW8" s="142" t="b">
        <f t="shared" si="0"/>
        <v>1</v>
      </c>
      <c r="AX8" s="165">
        <f>Players!$E79</f>
        <v>0</v>
      </c>
      <c r="AY8" s="124"/>
    </row>
    <row r="9" spans="1:51" ht="12.75" customHeight="1">
      <c r="A9" s="17" t="s">
        <v>1228</v>
      </c>
      <c r="B9" s="119" t="str">
        <f>CHOOSE(Draw!$T$1,"A","A","A","A","B","A","B","A","B","A","B")</f>
        <v>A</v>
      </c>
      <c r="C9" s="135">
        <f>VLOOKUP($B9,$AM$1:$AN$12,2)</f>
        <v>1</v>
      </c>
      <c r="D9" s="13"/>
      <c r="E9" s="13"/>
      <c r="F9" s="10"/>
      <c r="H9" s="19" t="s">
        <v>1232</v>
      </c>
      <c r="J9" s="17" t="s">
        <v>1228</v>
      </c>
      <c r="K9" s="119" t="str">
        <f>CHOOSE(Draw!$T$1,"L","F","C","C","E","F","G","H","I","J","K")</f>
        <v>C</v>
      </c>
      <c r="L9" s="135">
        <f>VLOOKUP($K9,$AM$1:$AN$12,2)</f>
        <v>3</v>
      </c>
      <c r="M9" s="13"/>
      <c r="N9" s="13"/>
      <c r="O9" s="18"/>
      <c r="P9" s="205"/>
      <c r="Q9" s="206"/>
      <c r="R9" s="1"/>
      <c r="S9" s="110"/>
      <c r="T9" s="110"/>
      <c r="U9" s="110"/>
      <c r="V9" s="110"/>
      <c r="W9" s="110"/>
      <c r="X9" s="111"/>
      <c r="Y9" s="111"/>
      <c r="Z9" s="111"/>
      <c r="AA9" s="111"/>
      <c r="AH9" s="150" t="str">
        <f>LEFT(F458,1)&amp;RIGHT(F458,1)</f>
        <v>EF</v>
      </c>
      <c r="AI9" s="150" t="str">
        <f ca="1">G458</f>
        <v/>
      </c>
      <c r="AJ9" s="150" t="str">
        <f ca="1">I458</f>
        <v/>
      </c>
      <c r="AK9" s="150" t="s">
        <v>3876</v>
      </c>
      <c r="AL9" s="150" t="s">
        <v>5414</v>
      </c>
      <c r="AM9" s="140" t="s">
        <v>1120</v>
      </c>
      <c r="AN9" s="141">
        <v>9</v>
      </c>
      <c r="AO9" s="142" t="str">
        <f>IF(Players!$C92&lt;&gt;"",Players!$C92,"")</f>
        <v/>
      </c>
      <c r="AP9" s="142" t="str">
        <f>IF(Players!$C93&lt;&gt;"",Players!$C93,"")</f>
        <v/>
      </c>
      <c r="AQ9" s="142" t="str">
        <f>IF(Players!$C94&lt;&gt;"",Players!$C94,"")</f>
        <v/>
      </c>
      <c r="AR9" s="142" t="str">
        <f>IF(Players!$C95&lt;&gt;"",Players!$C95,"")</f>
        <v/>
      </c>
      <c r="AS9" s="142" t="str">
        <f>IF(Players!$C96&lt;&gt;"",Players!$C96,"")</f>
        <v/>
      </c>
      <c r="AT9" s="142" t="str">
        <f>IF(Players!$C97&lt;&gt;"",Players!$C97,"")</f>
        <v/>
      </c>
      <c r="AU9" s="142" t="str">
        <f>IF(Players!$C98&lt;&gt;"",Players!$C98,"")</f>
        <v/>
      </c>
      <c r="AV9" s="142" t="str">
        <f>IF(Players!$C99&lt;&gt;"",Players!$C99,"")</f>
        <v/>
      </c>
      <c r="AW9" s="142" t="b">
        <f t="shared" si="0"/>
        <v>1</v>
      </c>
      <c r="AX9" s="165">
        <f>Players!$E90</f>
        <v>0</v>
      </c>
    </row>
    <row r="10" spans="1:51" ht="12.75" customHeight="1">
      <c r="A10" s="277" t="str">
        <f>IF(VLOOKUP($B9,Draw!$A$4:$B$27,2)&lt;&gt;0,VLOOKUP($B9,Draw!$A$4:$B$27,2),"")</f>
        <v/>
      </c>
      <c r="B10" s="278"/>
      <c r="C10" s="278"/>
      <c r="D10" s="278"/>
      <c r="E10" s="278"/>
      <c r="F10" s="279"/>
      <c r="G10" s="306" t="s">
        <v>4152</v>
      </c>
      <c r="H10" s="289"/>
      <c r="I10" s="307"/>
      <c r="J10" s="277" t="str">
        <f>IF(VLOOKUP($K9,Draw!$A$4:$B$27,2)&lt;&gt;0,VLOOKUP($K9,Draw!$A$4:$B$27,2),"")</f>
        <v/>
      </c>
      <c r="K10" s="278"/>
      <c r="L10" s="278"/>
      <c r="M10" s="278"/>
      <c r="N10" s="278"/>
      <c r="O10" s="279"/>
      <c r="P10" s="15"/>
      <c r="R10" s="1"/>
      <c r="S10" s="110"/>
      <c r="T10" s="110"/>
      <c r="U10" s="110"/>
      <c r="V10" s="110"/>
      <c r="W10" s="110"/>
      <c r="X10" s="111"/>
      <c r="Y10" s="111"/>
      <c r="Z10" s="111"/>
      <c r="AA10" s="111"/>
      <c r="AH10" s="150" t="str">
        <f>LEFT(F509,1)&amp;RIGHT(F509,1)</f>
        <v>GH</v>
      </c>
      <c r="AI10" s="150" t="str">
        <f ca="1">G509</f>
        <v/>
      </c>
      <c r="AJ10" s="150" t="str">
        <f ca="1">I509</f>
        <v/>
      </c>
      <c r="AK10" s="150" t="s">
        <v>3877</v>
      </c>
      <c r="AL10" s="150" t="s">
        <v>5415</v>
      </c>
      <c r="AM10" s="140" t="s">
        <v>1121</v>
      </c>
      <c r="AN10" s="141">
        <v>10</v>
      </c>
      <c r="AO10" s="142" t="str">
        <f>IF(Players!$C103&lt;&gt;"",Players!$C103,"")</f>
        <v/>
      </c>
      <c r="AP10" s="142" t="str">
        <f>IF(Players!$C104&lt;&gt;"",Players!$C104,"")</f>
        <v/>
      </c>
      <c r="AQ10" s="142" t="str">
        <f>IF(Players!$C105&lt;&gt;"",Players!$C105,"")</f>
        <v/>
      </c>
      <c r="AR10" s="142" t="str">
        <f>IF(Players!$C106&lt;&gt;"",Players!$C106,"")</f>
        <v/>
      </c>
      <c r="AS10" s="142" t="str">
        <f>IF(Players!$C107&lt;&gt;"",Players!$C107,"")</f>
        <v/>
      </c>
      <c r="AT10" s="142" t="str">
        <f>IF(Players!$C108&lt;&gt;"",Players!$C108,"")</f>
        <v/>
      </c>
      <c r="AU10" s="142" t="str">
        <f>IF(Players!$C109&lt;&gt;"",Players!$C109,"")</f>
        <v/>
      </c>
      <c r="AV10" s="142" t="str">
        <f>IF(Players!$C110&lt;&gt;"",Players!$C110,"")</f>
        <v/>
      </c>
      <c r="AW10" s="142" t="b">
        <f t="shared" si="0"/>
        <v>1</v>
      </c>
      <c r="AX10" s="165">
        <f>Players!$E101</f>
        <v>0</v>
      </c>
    </row>
    <row r="11" spans="1:51" ht="12.75" customHeight="1">
      <c r="A11" s="14"/>
      <c r="B11" s="15"/>
      <c r="C11" s="15"/>
      <c r="D11" s="15"/>
      <c r="E11" s="15"/>
      <c r="F11" s="14"/>
      <c r="G11" s="288" t="str">
        <f>"Page "&amp;VALUE(RIGHT($G10,LEN($G10)-SEARCH("-",$G10)))/2</f>
        <v>Page 1</v>
      </c>
      <c r="H11" s="289"/>
      <c r="I11" s="289"/>
      <c r="J11" s="15"/>
      <c r="K11" s="15"/>
      <c r="L11" s="15"/>
      <c r="M11" s="15"/>
      <c r="N11" s="15"/>
      <c r="O11" s="207"/>
      <c r="P11" s="207"/>
      <c r="R11" s="1"/>
      <c r="S11" s="110"/>
      <c r="T11" s="110"/>
      <c r="U11" s="110"/>
      <c r="V11" s="110"/>
      <c r="W11" s="110"/>
      <c r="X11" s="111"/>
      <c r="Y11" s="111"/>
      <c r="Z11" s="111"/>
      <c r="AA11" s="111"/>
      <c r="AF11" s="27"/>
      <c r="AH11" s="150" t="str">
        <f>LEFT(F560,1)&amp;RIGHT(F560,1)</f>
        <v>EH</v>
      </c>
      <c r="AI11" s="150" t="str">
        <f ca="1">G560</f>
        <v/>
      </c>
      <c r="AJ11" s="150" t="str">
        <f ca="1">I560</f>
        <v/>
      </c>
      <c r="AK11" s="150" t="s">
        <v>3878</v>
      </c>
      <c r="AL11" s="150" t="s">
        <v>5416</v>
      </c>
      <c r="AM11" s="140" t="s">
        <v>1122</v>
      </c>
      <c r="AN11" s="141">
        <v>11</v>
      </c>
      <c r="AO11" s="142" t="str">
        <f>IF(Players!$C114&lt;&gt;"",Players!$C114,"")</f>
        <v/>
      </c>
      <c r="AP11" s="142" t="str">
        <f>IF(Players!$C115&lt;&gt;"",Players!$C115,"")</f>
        <v/>
      </c>
      <c r="AQ11" s="142" t="str">
        <f>IF(Players!$C116&lt;&gt;"",Players!$C116,"")</f>
        <v/>
      </c>
      <c r="AR11" s="142" t="str">
        <f>IF(Players!$C117&lt;&gt;"",Players!$C117,"")</f>
        <v/>
      </c>
      <c r="AS11" s="142" t="str">
        <f>IF(Players!$C118&lt;&gt;"",Players!$C118,"")</f>
        <v/>
      </c>
      <c r="AT11" s="142" t="str">
        <f>IF(Players!$C119&lt;&gt;"",Players!$C119,"")</f>
        <v/>
      </c>
      <c r="AU11" s="142" t="str">
        <f>IF(Players!$C120&lt;&gt;"",Players!$C120,"")</f>
        <v/>
      </c>
      <c r="AV11" s="142" t="str">
        <f>IF(Players!$C121&lt;&gt;"",Players!$C121,"")</f>
        <v/>
      </c>
      <c r="AW11" s="142" t="b">
        <f t="shared" si="0"/>
        <v>1</v>
      </c>
      <c r="AX11" s="165">
        <f>Players!$E112</f>
        <v>0</v>
      </c>
    </row>
    <row r="12" spans="1:51" ht="12.75" customHeight="1">
      <c r="A12" s="327" t="s">
        <v>1245</v>
      </c>
      <c r="B12" s="327"/>
      <c r="C12" s="327"/>
      <c r="D12" s="327"/>
      <c r="E12" s="327"/>
      <c r="F12" s="327"/>
      <c r="G12" s="327"/>
      <c r="H12" s="327"/>
      <c r="I12" s="327"/>
      <c r="J12" s="327"/>
      <c r="K12" s="327"/>
      <c r="L12" s="327"/>
      <c r="M12" s="327"/>
      <c r="N12" s="327"/>
      <c r="O12" s="327"/>
      <c r="P12" s="327"/>
      <c r="Q12" s="7"/>
      <c r="R12" s="1"/>
      <c r="S12" s="110"/>
      <c r="T12" s="110"/>
      <c r="U12" s="110"/>
      <c r="V12" s="110"/>
      <c r="W12" s="110"/>
      <c r="X12" s="111"/>
      <c r="Y12" s="111"/>
      <c r="Z12" s="111"/>
      <c r="AA12" s="111"/>
      <c r="AF12" s="20"/>
      <c r="AH12" s="150" t="str">
        <f>LEFT(F611,1)&amp;RIGHT(F611,1)</f>
        <v>FG</v>
      </c>
      <c r="AI12" s="150" t="str">
        <f ca="1">G611</f>
        <v/>
      </c>
      <c r="AJ12" s="150" t="str">
        <f ca="1">I611</f>
        <v/>
      </c>
      <c r="AK12" s="150" t="s">
        <v>3879</v>
      </c>
      <c r="AL12" s="150" t="s">
        <v>5417</v>
      </c>
      <c r="AM12" s="140" t="s">
        <v>1123</v>
      </c>
      <c r="AN12" s="141">
        <v>12</v>
      </c>
      <c r="AO12" s="142" t="str">
        <f>IF(Players!$C125&lt;&gt;"",Players!$C125,"")</f>
        <v/>
      </c>
      <c r="AP12" s="142" t="str">
        <f>IF(Players!$C126&lt;&gt;"",Players!$C126,"")</f>
        <v/>
      </c>
      <c r="AQ12" s="142" t="str">
        <f>IF(Players!$C127&lt;&gt;"",Players!$C127,"")</f>
        <v/>
      </c>
      <c r="AR12" s="142" t="str">
        <f>IF(Players!$C128&lt;&gt;"",Players!$C128,"")</f>
        <v/>
      </c>
      <c r="AS12" s="142" t="str">
        <f>IF(Players!$C129&lt;&gt;"",Players!$C129,"")</f>
        <v/>
      </c>
      <c r="AT12" s="142" t="str">
        <f>IF(Players!$C130&lt;&gt;"",Players!$C130,"")</f>
        <v/>
      </c>
      <c r="AU12" s="142" t="str">
        <f>IF(Players!$C131&lt;&gt;"",Players!$C131,"")</f>
        <v/>
      </c>
      <c r="AV12" s="142" t="str">
        <f>IF(Players!$C132&lt;&gt;"",Players!$C132,"")</f>
        <v/>
      </c>
      <c r="AW12" s="142" t="b">
        <f t="shared" si="0"/>
        <v>1</v>
      </c>
      <c r="AX12" s="165">
        <f>Players!$E123</f>
        <v>0</v>
      </c>
    </row>
    <row r="13" spans="1:51" ht="12.75" customHeight="1">
      <c r="A13" s="21" t="s">
        <v>1233</v>
      </c>
      <c r="H13" s="136" t="str">
        <f>IF($Q15&lt;&gt;"",IF(AND(AND($H15&gt;-1,$H17&gt;-1),OR($H15&gt;10,$H17&gt;10),ABS($H15-$H17)&gt;1,IF(OR($H15&gt;11,$H17&gt;11),ABS($H15-$H17)=2,TRUE),$H15=INT($H15),$H17=INT($H17)),"","Error"),"")</f>
        <v/>
      </c>
      <c r="I13" s="136" t="str">
        <f>IF($Q15&lt;&gt;"",IF(AND(AND($I15&gt;-1,$I17&gt;-1),OR($I15&gt;10,$I17&gt;10),ABS($I15-$I17)&gt;1,IF(OR($I15&gt;11,$I17&gt;11),ABS($I15-$I17)=2,TRUE),$I15=INT($I15),$I17=INT($I17)),"","Error"),"")</f>
        <v/>
      </c>
      <c r="J13" s="136" t="str">
        <f>IF($Q15&lt;&gt;"",IF(AND(AND($J15&gt;-1,$J17&gt;-1),OR($J15&gt;10,$J17&gt;10),ABS($J15-$J17)&gt;1,IF(OR($J15&gt;11,$J17&gt;11),ABS($J15-$J17)=2,TRUE),$J15=INT($J15),$J17=INT($J17)),"","Error"),"")</f>
        <v/>
      </c>
      <c r="K13" s="136" t="str">
        <f>IF($Q15&lt;&gt;"",IF(AND($K15&lt;&gt;"",$K17&lt;&gt;""), IF(AND(AND($K15&gt;-1,$K17&gt;-1),OR($K15&gt;10,$K17&gt;10),ABS($K15-$K17)&gt;1,IF(OR($K15&gt;11,$K17&gt;11),ABS($K15-$K17)=2,TRUE),$K15=INT($K15),$K17=INT($K17)),"","Error"),""),"")</f>
        <v/>
      </c>
      <c r="L13" s="136" t="str">
        <f>IF($Q15&lt;&gt;"",IF(AND($L15&lt;&gt;"",$L17&lt;&gt;""), IF(AND(AND($L15&gt;-1,$L17&gt;-1),OR($L15&gt;10,$L17&gt;10),ABS($L15-$L17)&gt;1,IF(OR($L15&gt;11,$L17&gt;11),ABS($L15-$L17)=2,TRUE),$L15=INT($L15),$L17=INT($L17)),"","Error"),""),"")</f>
        <v/>
      </c>
      <c r="R13" s="1"/>
      <c r="S13" s="110"/>
      <c r="T13" s="110"/>
      <c r="U13" s="110"/>
      <c r="V13" s="110"/>
      <c r="W13" s="110"/>
      <c r="X13" s="111"/>
      <c r="Y13" s="111"/>
      <c r="Z13" s="111"/>
      <c r="AA13" s="111"/>
      <c r="AH13" s="150" t="str">
        <f>LEFT(F662,1)&amp;RIGHT(F662,1)</f>
        <v>IK</v>
      </c>
      <c r="AI13" s="151" t="str">
        <f ca="1">G662</f>
        <v/>
      </c>
      <c r="AJ13" s="151" t="str">
        <f ca="1">I662</f>
        <v/>
      </c>
      <c r="AK13" s="150" t="s">
        <v>3880</v>
      </c>
      <c r="AL13" s="150" t="s">
        <v>5418</v>
      </c>
      <c r="AM13" s="150"/>
      <c r="AN13" s="152"/>
      <c r="AO13" s="152"/>
      <c r="AP13" s="152"/>
      <c r="AQ13" s="152"/>
      <c r="AR13" s="152"/>
      <c r="AS13" s="152"/>
      <c r="AT13" s="152"/>
      <c r="AU13" s="152"/>
      <c r="AV13" s="152"/>
      <c r="AW13" s="152"/>
      <c r="AX13" s="146"/>
    </row>
    <row r="14" spans="1:51" ht="12.75" customHeight="1">
      <c r="A14" s="5" t="s">
        <v>1228</v>
      </c>
      <c r="B14" s="290" t="s">
        <v>1126</v>
      </c>
      <c r="C14" s="291"/>
      <c r="D14" s="291"/>
      <c r="E14" s="291"/>
      <c r="F14" s="291"/>
      <c r="G14" s="292"/>
      <c r="H14" s="5">
        <v>1</v>
      </c>
      <c r="I14" s="5">
        <v>2</v>
      </c>
      <c r="J14" s="5">
        <v>3</v>
      </c>
      <c r="K14" s="5">
        <v>4</v>
      </c>
      <c r="L14" s="5">
        <v>5</v>
      </c>
      <c r="M14" s="271"/>
      <c r="N14" s="272"/>
      <c r="O14" s="272"/>
      <c r="P14" s="273"/>
      <c r="R14" s="1"/>
      <c r="S14" s="110"/>
      <c r="T14" s="110"/>
      <c r="U14" s="110"/>
      <c r="V14" s="110"/>
      <c r="W14" s="110"/>
      <c r="X14" s="111"/>
      <c r="Y14" s="111"/>
      <c r="Z14" s="111"/>
      <c r="AA14" s="111"/>
      <c r="AH14" s="150" t="str">
        <f>LEFT(F713,1)&amp;RIGHT(F713,1)</f>
        <v>JL</v>
      </c>
      <c r="AI14" s="151" t="str">
        <f ca="1">G713</f>
        <v/>
      </c>
      <c r="AJ14" s="151" t="str">
        <f ca="1">I713</f>
        <v/>
      </c>
      <c r="AK14" s="150" t="s">
        <v>3881</v>
      </c>
      <c r="AL14" s="150" t="s">
        <v>5419</v>
      </c>
      <c r="AM14" s="150"/>
      <c r="AN14" s="152"/>
      <c r="AO14" s="152"/>
      <c r="AP14" s="152"/>
      <c r="AQ14" s="152"/>
      <c r="AR14" s="152"/>
      <c r="AS14" s="152"/>
      <c r="AT14" s="152"/>
      <c r="AU14" s="152"/>
      <c r="AV14" s="152"/>
      <c r="AW14" s="152"/>
      <c r="AX14" s="146"/>
    </row>
    <row r="15" spans="1:51" ht="12.75" customHeight="1">
      <c r="A15" s="300" t="str">
        <f>B9</f>
        <v>A</v>
      </c>
      <c r="B15" s="293" t="s">
        <v>6336</v>
      </c>
      <c r="C15" s="294"/>
      <c r="D15" s="294"/>
      <c r="E15" s="294"/>
      <c r="F15" s="294"/>
      <c r="G15" s="294"/>
      <c r="H15" s="265"/>
      <c r="I15" s="265"/>
      <c r="J15" s="265"/>
      <c r="K15" s="265"/>
      <c r="L15" s="265"/>
      <c r="M15" s="297"/>
      <c r="N15" s="298"/>
      <c r="O15" s="298"/>
      <c r="P15" s="299"/>
      <c r="Q15" s="137" t="str">
        <f>IF($L15=$L17,IF($K15=$K17,IF($J15&lt;&gt;"",IF($J15&gt;$J17,"W","L"),""),IF($K15&gt;$K17,"W","L")),IF($L15&gt;$L17,"W","L"))</f>
        <v/>
      </c>
      <c r="R15" s="1"/>
      <c r="S15" s="110"/>
      <c r="T15" s="110"/>
      <c r="U15" s="110"/>
      <c r="V15" s="110"/>
      <c r="W15" s="110"/>
      <c r="X15" s="111"/>
      <c r="Y15" s="111"/>
      <c r="Z15" s="111"/>
      <c r="AA15" s="111"/>
      <c r="AH15" s="150" t="str">
        <f>LEFT(F764,1)&amp;RIGHT(F764,1)</f>
        <v>IJ</v>
      </c>
      <c r="AI15" s="151" t="str">
        <f ca="1">G764</f>
        <v/>
      </c>
      <c r="AJ15" s="151" t="str">
        <f ca="1">I764</f>
        <v/>
      </c>
      <c r="AK15" s="150" t="s">
        <v>3882</v>
      </c>
      <c r="AL15" s="150" t="s">
        <v>5420</v>
      </c>
      <c r="AM15" s="150"/>
      <c r="AN15" s="152"/>
      <c r="AO15" s="152"/>
      <c r="AP15" s="152"/>
      <c r="AQ15" s="152"/>
      <c r="AR15" s="152"/>
      <c r="AS15" s="152"/>
      <c r="AT15" s="152"/>
      <c r="AU15" s="152"/>
      <c r="AV15" s="152"/>
      <c r="AW15" s="152"/>
      <c r="AX15" s="146"/>
    </row>
    <row r="16" spans="1:51" ht="12.75" customHeight="1">
      <c r="A16" s="301"/>
      <c r="B16" s="295"/>
      <c r="C16" s="296"/>
      <c r="D16" s="296"/>
      <c r="E16" s="296"/>
      <c r="F16" s="296"/>
      <c r="G16" s="296"/>
      <c r="H16" s="270"/>
      <c r="I16" s="270"/>
      <c r="J16" s="270"/>
      <c r="K16" s="270"/>
      <c r="L16" s="270"/>
      <c r="M16" s="297"/>
      <c r="N16" s="298"/>
      <c r="O16" s="298"/>
      <c r="P16" s="299"/>
      <c r="Q16" s="139" t="str">
        <f>IF($Q15&lt;&gt;"",IF($Q15="W",IF(SUM(IF($H15&gt;$H17,1,0),IF($I15&gt;$I17,1,0),IF($J15&gt;$J17,1,0),IF($K15&gt;$K17,1,0),IF($L15&gt;$L17,1,0))&lt;&gt;3,"Error",""),""),"")</f>
        <v/>
      </c>
      <c r="R16" s="328" t="str">
        <f>$A10</f>
        <v/>
      </c>
      <c r="S16" s="328"/>
      <c r="T16" s="328"/>
      <c r="U16" s="328"/>
      <c r="V16" s="328"/>
      <c r="W16" s="328"/>
      <c r="X16" s="256" t="str">
        <f>CONCATENATE("(",$B9," vs ",$K9,")")</f>
        <v>(A vs C)</v>
      </c>
      <c r="Y16" s="256"/>
      <c r="Z16" s="328" t="str">
        <f>$J10</f>
        <v/>
      </c>
      <c r="AA16" s="328"/>
      <c r="AB16" s="328"/>
      <c r="AC16" s="328"/>
      <c r="AD16" s="328"/>
      <c r="AE16" s="328"/>
      <c r="AF16" s="43"/>
      <c r="AH16" s="150" t="str">
        <f>LEFT(F815,1)&amp;RIGHT(F815,1)</f>
        <v>KL</v>
      </c>
      <c r="AI16" s="151" t="str">
        <f ca="1">G815</f>
        <v/>
      </c>
      <c r="AJ16" s="151" t="str">
        <f ca="1">I815</f>
        <v/>
      </c>
      <c r="AK16" s="150" t="s">
        <v>3883</v>
      </c>
      <c r="AL16" s="150" t="s">
        <v>5421</v>
      </c>
      <c r="AM16" s="150"/>
      <c r="AN16" s="152"/>
      <c r="AO16" s="152"/>
      <c r="AP16" s="152"/>
      <c r="AQ16" s="152"/>
      <c r="AR16" s="152"/>
      <c r="AS16" s="152"/>
      <c r="AT16" s="152"/>
      <c r="AU16" s="152"/>
      <c r="AV16" s="152"/>
      <c r="AW16" s="152"/>
      <c r="AX16" s="146"/>
    </row>
    <row r="17" spans="1:50" ht="12.75" customHeight="1">
      <c r="A17" s="300" t="str">
        <f>K9</f>
        <v>C</v>
      </c>
      <c r="B17" s="293" t="str">
        <f ca="1">IF(AND(OFFSET($AO$1,$L9-1,8,1,1),$A10&lt;&gt;"",$J10&lt;&gt;""),CHOOSE($L9,$AO$1,$AO$2,$AO$3,$AO$4,$AO$5,$AO$6,$AO$7,$AO$8,$AO$9,$AO$10,$AO$11,$AO$12),"")</f>
        <v/>
      </c>
      <c r="C17" s="294"/>
      <c r="D17" s="294"/>
      <c r="E17" s="294"/>
      <c r="F17" s="294"/>
      <c r="G17" s="294"/>
      <c r="H17" s="265"/>
      <c r="I17" s="265"/>
      <c r="J17" s="265"/>
      <c r="K17" s="265"/>
      <c r="L17" s="265"/>
      <c r="M17" s="267" t="s">
        <v>1237</v>
      </c>
      <c r="N17" s="268"/>
      <c r="O17" s="268"/>
      <c r="P17" s="269"/>
      <c r="Q17" s="137" t="str">
        <f>IF($Q15&lt;&gt;"",IF($Q15="W","L","W"),"")</f>
        <v/>
      </c>
      <c r="R17" s="43"/>
      <c r="S17" s="43"/>
      <c r="T17" s="43"/>
      <c r="U17" s="43"/>
      <c r="V17" s="43"/>
      <c r="W17" s="43"/>
      <c r="X17" s="43"/>
      <c r="Y17" s="43"/>
      <c r="Z17" s="43"/>
      <c r="AA17" s="43"/>
      <c r="AB17" s="43"/>
      <c r="AC17" s="43"/>
      <c r="AD17" s="43"/>
      <c r="AE17" s="43"/>
      <c r="AF17" s="43"/>
      <c r="AH17" s="150" t="str">
        <f>LEFT(F866,1)&amp;RIGHT(F866,1)</f>
        <v>IL</v>
      </c>
      <c r="AI17" s="151" t="str">
        <f ca="1">G866</f>
        <v/>
      </c>
      <c r="AJ17" s="151" t="str">
        <f ca="1">I866</f>
        <v/>
      </c>
      <c r="AK17" s="150" t="s">
        <v>3884</v>
      </c>
      <c r="AL17" s="150" t="s">
        <v>3935</v>
      </c>
      <c r="AM17" s="150"/>
      <c r="AN17" s="152"/>
      <c r="AO17" s="152"/>
      <c r="AP17" s="152"/>
      <c r="AQ17" s="152"/>
      <c r="AR17" s="152"/>
      <c r="AS17" s="152"/>
      <c r="AT17" s="152"/>
      <c r="AU17" s="152"/>
      <c r="AV17" s="152"/>
      <c r="AW17" s="152"/>
      <c r="AX17" s="146"/>
    </row>
    <row r="18" spans="1:50" ht="12.75" customHeight="1">
      <c r="A18" s="301"/>
      <c r="B18" s="295"/>
      <c r="C18" s="296"/>
      <c r="D18" s="296"/>
      <c r="E18" s="296"/>
      <c r="F18" s="296"/>
      <c r="G18" s="296"/>
      <c r="H18" s="270"/>
      <c r="I18" s="270"/>
      <c r="J18" s="266"/>
      <c r="K18" s="266"/>
      <c r="L18" s="266"/>
      <c r="M18" s="267"/>
      <c r="N18" s="268"/>
      <c r="O18" s="268"/>
      <c r="P18" s="269"/>
      <c r="Q18" s="139" t="str">
        <f>IF($Q17&lt;&gt;"",IF($Q17="W",IF(SUM(IF($H17&gt;$H15,1,0),IF($I17&gt;$I15,1,0),IF($J17&gt;$J15,1,0),IF($K17&gt;$K15,1,0),IF($L17&gt;$L15,1,0))&lt;&gt;3,"Error",""),""),"")</f>
        <v/>
      </c>
      <c r="R18" s="43" t="str">
        <f>$A20</f>
        <v>2nd Singles</v>
      </c>
      <c r="S18" s="43"/>
      <c r="T18" s="43"/>
      <c r="U18" s="43"/>
      <c r="V18" s="43"/>
      <c r="W18" s="43"/>
      <c r="X18" s="43"/>
      <c r="Y18" s="43"/>
      <c r="Z18" s="43"/>
      <c r="AA18" s="43"/>
      <c r="AB18" s="43"/>
      <c r="AC18" s="43"/>
      <c r="AD18" s="43"/>
      <c r="AE18" s="43"/>
      <c r="AF18" s="43"/>
      <c r="AH18" s="150" t="str">
        <f>LEFT(F917,1)&amp;RIGHT(F917,1)</f>
        <v>JK</v>
      </c>
      <c r="AI18" s="151" t="str">
        <f ca="1">G917</f>
        <v/>
      </c>
      <c r="AJ18" s="151" t="str">
        <f ca="1">I917</f>
        <v/>
      </c>
      <c r="AK18" s="150" t="s">
        <v>3885</v>
      </c>
      <c r="AL18" s="150" t="s">
        <v>5422</v>
      </c>
      <c r="AM18" s="150"/>
      <c r="AN18" s="152"/>
      <c r="AO18" s="152"/>
      <c r="AP18" s="152"/>
      <c r="AQ18" s="152"/>
      <c r="AR18" s="152"/>
      <c r="AS18" s="152"/>
      <c r="AT18" s="152"/>
      <c r="AU18" s="152"/>
      <c r="AV18" s="152"/>
      <c r="AW18" s="152"/>
      <c r="AX18" s="146"/>
    </row>
    <row r="19" spans="1:50" ht="12.75" customHeight="1">
      <c r="Q19" s="7"/>
      <c r="R19" s="60" t="s">
        <v>1228</v>
      </c>
      <c r="S19" s="339" t="s">
        <v>1126</v>
      </c>
      <c r="T19" s="340"/>
      <c r="U19" s="340"/>
      <c r="V19" s="340"/>
      <c r="W19" s="340"/>
      <c r="X19" s="341"/>
      <c r="Y19" s="60">
        <v>1</v>
      </c>
      <c r="Z19" s="60">
        <v>2</v>
      </c>
      <c r="AA19" s="60">
        <v>3</v>
      </c>
      <c r="AB19" s="60">
        <v>4</v>
      </c>
      <c r="AC19" s="60">
        <v>5</v>
      </c>
      <c r="AD19" s="342"/>
      <c r="AE19" s="343"/>
      <c r="AF19" s="344"/>
      <c r="AH19" s="150" t="str">
        <f>LEFT(F968,1)&amp;RIGHT(F968,1)</f>
        <v>AE</v>
      </c>
      <c r="AI19" s="151" t="str">
        <f ca="1">G968</f>
        <v/>
      </c>
      <c r="AJ19" s="151" t="str">
        <f ca="1">I968</f>
        <v/>
      </c>
      <c r="AK19" s="150" t="s">
        <v>3886</v>
      </c>
      <c r="AL19" s="150" t="s">
        <v>5423</v>
      </c>
      <c r="AM19" s="150"/>
      <c r="AN19" s="152"/>
      <c r="AO19" s="152"/>
      <c r="AP19" s="152"/>
      <c r="AQ19" s="152"/>
      <c r="AR19" s="152"/>
      <c r="AS19" s="152"/>
      <c r="AT19" s="152"/>
      <c r="AU19" s="152"/>
      <c r="AV19" s="152"/>
      <c r="AW19" s="152"/>
      <c r="AX19" s="146"/>
    </row>
    <row r="20" spans="1:50" ht="12.75" customHeight="1">
      <c r="A20" s="21" t="s">
        <v>1234</v>
      </c>
      <c r="H20" s="136" t="str">
        <f>IF($Q22&lt;&gt;"",IF(AND(AND($H22&gt;-1,$H24&gt;-1),OR($H22&gt;10,$H24&gt;10),ABS($H22-$H24)&gt;1,IF(OR($H22&gt;11,$H24&gt;11),ABS($H22-$H24)=2,TRUE),$H22=INT($H22),$H24=INT($H24)),"","Error"),"")</f>
        <v/>
      </c>
      <c r="I20" s="136" t="str">
        <f>IF($Q22&lt;&gt;"",IF(AND(AND($I22&gt;-1,$I24&gt;-1),OR($I22&gt;10,$I24&gt;10),ABS($I22-$I24)&gt;1,IF(OR($I22&gt;11,$I24&gt;11),ABS($I22-$I24)=2,TRUE),$I22=INT($I22),$I24=INT($I24)),"","Error"),"")</f>
        <v/>
      </c>
      <c r="J20" s="136" t="str">
        <f>IF($Q22&lt;&gt;"",IF(AND(AND($J22&gt;-1,$J24&gt;-1),OR($J22&gt;10,$J24&gt;10),ABS($J22-$J24)&gt;1,IF(OR($J22&gt;11,$J24&gt;11),ABS($J22-$J24)=2,TRUE),$J22=INT($J22),$J24=INT($J24)),"","Error"),"")</f>
        <v/>
      </c>
      <c r="K20" s="136" t="str">
        <f>IF($Q22&lt;&gt;"",IF(AND($K22&lt;&gt;"",$K24&lt;&gt;""), IF(AND(AND($K22&gt;-1,$K24&gt;-1),OR($K22&gt;10,$K24&gt;10),ABS($K22-$K24)&gt;1,IF(OR($K22&gt;11,$K24&gt;11),ABS($K22-$K24)=2,TRUE),$K22=INT($K22),$K24=INT($K24)),"","Error"),""),"")</f>
        <v/>
      </c>
      <c r="L20" s="136" t="str">
        <f>IF($Q22&lt;&gt;"",IF(AND($L22&lt;&gt;"",$L24&lt;&gt;""), IF(AND(AND($L22&gt;-1,$L24&gt;-1),OR($L22&gt;10,$L24&gt;10),ABS($L22-$L24)&gt;1,IF(OR($L22&gt;11,$L24&gt;11),ABS($L22-$L24)=2,TRUE),$L22=INT($L22),$L24=INT($L24)),"","Error"),""),"")</f>
        <v/>
      </c>
      <c r="Q20" s="7"/>
      <c r="R20" s="300" t="str">
        <f>$B9</f>
        <v>A</v>
      </c>
      <c r="S20" s="331" t="str">
        <f ca="1">IF($B22&lt;&gt;"",$B22,"")</f>
        <v/>
      </c>
      <c r="T20" s="332"/>
      <c r="U20" s="332"/>
      <c r="V20" s="332"/>
      <c r="W20" s="332"/>
      <c r="X20" s="333"/>
      <c r="Y20" s="329"/>
      <c r="Z20" s="329"/>
      <c r="AA20" s="329"/>
      <c r="AB20" s="329"/>
      <c r="AC20" s="329"/>
      <c r="AD20" s="345"/>
      <c r="AE20" s="358"/>
      <c r="AF20" s="359"/>
      <c r="AH20" s="150" t="str">
        <f>LEFT(F1019,1)&amp;RIGHT(F1019,1)</f>
        <v>AF</v>
      </c>
      <c r="AI20" s="151" t="str">
        <f ca="1">G1019</f>
        <v/>
      </c>
      <c r="AJ20" s="151" t="str">
        <f ca="1">I1019</f>
        <v/>
      </c>
      <c r="AK20" s="150" t="s">
        <v>3887</v>
      </c>
      <c r="AL20" s="150" t="s">
        <v>5424</v>
      </c>
      <c r="AM20" s="150"/>
      <c r="AN20" s="152"/>
      <c r="AO20" s="152"/>
      <c r="AP20" s="152"/>
      <c r="AQ20" s="152"/>
      <c r="AR20" s="152"/>
      <c r="AS20" s="152"/>
      <c r="AT20" s="152"/>
      <c r="AU20" s="152"/>
      <c r="AV20" s="152"/>
      <c r="AW20" s="152"/>
      <c r="AX20" s="146"/>
    </row>
    <row r="21" spans="1:50" ht="12.75" customHeight="1">
      <c r="A21" s="5" t="s">
        <v>1228</v>
      </c>
      <c r="B21" s="290" t="s">
        <v>1126</v>
      </c>
      <c r="C21" s="291"/>
      <c r="D21" s="291"/>
      <c r="E21" s="291"/>
      <c r="F21" s="291"/>
      <c r="G21" s="292"/>
      <c r="H21" s="5">
        <v>1</v>
      </c>
      <c r="I21" s="5">
        <v>2</v>
      </c>
      <c r="J21" s="5">
        <v>3</v>
      </c>
      <c r="K21" s="5">
        <v>4</v>
      </c>
      <c r="L21" s="5">
        <v>5</v>
      </c>
      <c r="M21" s="271"/>
      <c r="N21" s="272"/>
      <c r="O21" s="272"/>
      <c r="P21" s="273"/>
      <c r="Q21" s="7"/>
      <c r="R21" s="330"/>
      <c r="S21" s="334"/>
      <c r="T21" s="335"/>
      <c r="U21" s="335"/>
      <c r="V21" s="335"/>
      <c r="W21" s="335"/>
      <c r="X21" s="336"/>
      <c r="Y21" s="330"/>
      <c r="Z21" s="330"/>
      <c r="AA21" s="330"/>
      <c r="AB21" s="330"/>
      <c r="AC21" s="330"/>
      <c r="AD21" s="360"/>
      <c r="AE21" s="361"/>
      <c r="AF21" s="362"/>
      <c r="AH21" s="150" t="str">
        <f>LEFT(F1070,1)&amp;RIGHT(F1070,1)</f>
        <v>AG</v>
      </c>
      <c r="AI21" s="151" t="str">
        <f ca="1">G1070</f>
        <v/>
      </c>
      <c r="AJ21" s="151" t="str">
        <f ca="1">I1070</f>
        <v/>
      </c>
      <c r="AK21" s="150" t="s">
        <v>3888</v>
      </c>
      <c r="AL21" s="150" t="s">
        <v>5425</v>
      </c>
      <c r="AM21" s="150"/>
      <c r="AN21" s="152"/>
      <c r="AO21" s="152"/>
      <c r="AP21" s="152"/>
      <c r="AQ21" s="152"/>
      <c r="AR21" s="152"/>
      <c r="AS21" s="152"/>
      <c r="AT21" s="152"/>
      <c r="AU21" s="152"/>
      <c r="AV21" s="152"/>
      <c r="AW21" s="152"/>
    </row>
    <row r="22" spans="1:50" ht="12.75" customHeight="1">
      <c r="A22" s="300" t="str">
        <f>B9</f>
        <v>A</v>
      </c>
      <c r="B22" s="293" t="str">
        <f ca="1">IF(AND(OFFSET($AO$1,$C9-1,8,1,1),$A10&lt;&gt;"",$J10&lt;&gt;""),CHOOSE($C9,$AP$1,$AP$2,$AP$3,$AP$4,$AP$5,$AP$6,$AP$7,$AP$8,$AP$9,$AP$10,$AP$11,$AP$12),"")</f>
        <v/>
      </c>
      <c r="C22" s="294"/>
      <c r="D22" s="294"/>
      <c r="E22" s="294"/>
      <c r="F22" s="294"/>
      <c r="G22" s="294"/>
      <c r="H22" s="265"/>
      <c r="I22" s="265"/>
      <c r="J22" s="265"/>
      <c r="K22" s="265"/>
      <c r="L22" s="265"/>
      <c r="M22" s="262" t="str">
        <f ca="1">IF(OR(AND($B15&lt;&gt;"",$B22&lt;&gt;"",$C40&lt;=$B40),AND($B17&lt;&gt;"",$B24&lt;&gt;"",$G40&lt;=$F40)),"Invalid Lineup","")</f>
        <v/>
      </c>
      <c r="N22" s="263"/>
      <c r="O22" s="263"/>
      <c r="P22" s="264"/>
      <c r="Q22" s="137" t="str">
        <f>IF($L22=$L24,IF($K22=$K24,IF($J22&lt;&gt;"",IF($J22&gt;$J24,"W","L"),""),IF($K22&gt;$K24,"W","L")),IF($L22&gt;$L24,"W","L"))</f>
        <v/>
      </c>
      <c r="R22" s="300" t="str">
        <f>$K9</f>
        <v>C</v>
      </c>
      <c r="S22" s="331" t="str">
        <f ca="1">IF($B24&lt;&gt;"",$B24,"")</f>
        <v/>
      </c>
      <c r="T22" s="332"/>
      <c r="U22" s="332"/>
      <c r="V22" s="332"/>
      <c r="W22" s="332"/>
      <c r="X22" s="333"/>
      <c r="Y22" s="329"/>
      <c r="Z22" s="329"/>
      <c r="AA22" s="329"/>
      <c r="AB22" s="329"/>
      <c r="AC22" s="351"/>
      <c r="AD22" s="363" t="s">
        <v>1237</v>
      </c>
      <c r="AE22" s="358"/>
      <c r="AF22" s="359"/>
      <c r="AH22" s="150" t="str">
        <f>LEFT(F1121,1)&amp;RIGHT(F1121,1)</f>
        <v>AH</v>
      </c>
      <c r="AI22" s="151" t="str">
        <f ca="1">G1121</f>
        <v/>
      </c>
      <c r="AJ22" s="151" t="str">
        <f ca="1">I1121</f>
        <v/>
      </c>
      <c r="AK22" s="150" t="s">
        <v>3889</v>
      </c>
      <c r="AL22" s="150" t="s">
        <v>5426</v>
      </c>
      <c r="AM22" s="150"/>
      <c r="AN22" s="152"/>
      <c r="AO22" s="152"/>
      <c r="AP22" s="152"/>
      <c r="AQ22" s="152"/>
      <c r="AR22" s="152"/>
      <c r="AS22" s="152"/>
      <c r="AT22" s="152"/>
      <c r="AU22" s="152"/>
      <c r="AV22" s="152"/>
      <c r="AW22" s="152"/>
    </row>
    <row r="23" spans="1:50" ht="12.75" customHeight="1">
      <c r="A23" s="301"/>
      <c r="B23" s="295"/>
      <c r="C23" s="296"/>
      <c r="D23" s="296"/>
      <c r="E23" s="296"/>
      <c r="F23" s="296"/>
      <c r="G23" s="296"/>
      <c r="H23" s="270"/>
      <c r="I23" s="270"/>
      <c r="J23" s="270"/>
      <c r="K23" s="270"/>
      <c r="L23" s="270"/>
      <c r="M23" s="262"/>
      <c r="N23" s="263"/>
      <c r="O23" s="263"/>
      <c r="P23" s="264"/>
      <c r="Q23" s="139" t="str">
        <f>IF($Q22&lt;&gt;"",IF($Q22="W",IF(SUM(IF($H22&gt;$H24,1,0),IF($I22&gt;$I24,1,0),IF($J22&gt;$J24,1,0),IF($K22&gt;$K24,1,0),IF($L22&gt;$L24,1,0))&lt;&gt;3,"Error",""),""),"")</f>
        <v/>
      </c>
      <c r="R23" s="330"/>
      <c r="S23" s="334"/>
      <c r="T23" s="335"/>
      <c r="U23" s="335"/>
      <c r="V23" s="335"/>
      <c r="W23" s="335"/>
      <c r="X23" s="336"/>
      <c r="Y23" s="330"/>
      <c r="Z23" s="330"/>
      <c r="AA23" s="330"/>
      <c r="AB23" s="330"/>
      <c r="AC23" s="330"/>
      <c r="AD23" s="360"/>
      <c r="AE23" s="361"/>
      <c r="AF23" s="362"/>
      <c r="AH23" s="150" t="str">
        <f>LEFT(F1172,1)&amp;RIGHT(F1172,1)</f>
        <v>AI</v>
      </c>
      <c r="AI23" s="151" t="str">
        <f ca="1">G1172</f>
        <v/>
      </c>
      <c r="AJ23" s="151" t="str">
        <f ca="1">I1172</f>
        <v/>
      </c>
      <c r="AK23" s="150" t="s">
        <v>3890</v>
      </c>
      <c r="AL23" s="150" t="s">
        <v>5427</v>
      </c>
      <c r="AM23" s="150"/>
      <c r="AN23" s="152"/>
      <c r="AO23" s="152"/>
      <c r="AP23" s="152"/>
      <c r="AQ23" s="152"/>
      <c r="AR23" s="152"/>
      <c r="AS23" s="152"/>
      <c r="AT23" s="152"/>
      <c r="AU23" s="152"/>
      <c r="AV23" s="152"/>
      <c r="AW23" s="152"/>
    </row>
    <row r="24" spans="1:50" ht="12.75" customHeight="1">
      <c r="A24" s="300" t="str">
        <f>K9</f>
        <v>C</v>
      </c>
      <c r="B24" s="293" t="str">
        <f ca="1">IF(AND(OFFSET($AO$1,$L9-1,8,1,1),$A10&lt;&gt;"",$J10&lt;&gt;""),CHOOSE($L9,$AP$1,$AP$2,$AP$3,$AP$4,$AP$5,$AP$6,$AP$7,$AP$8,$AP$9,$AP$10,$AP$11,$AP$12),"")</f>
        <v/>
      </c>
      <c r="C24" s="294"/>
      <c r="D24" s="294"/>
      <c r="E24" s="294"/>
      <c r="F24" s="294"/>
      <c r="G24" s="294"/>
      <c r="H24" s="265"/>
      <c r="I24" s="265"/>
      <c r="J24" s="265"/>
      <c r="K24" s="265"/>
      <c r="L24" s="265"/>
      <c r="M24" s="267" t="s">
        <v>1237</v>
      </c>
      <c r="N24" s="268"/>
      <c r="O24" s="268"/>
      <c r="P24" s="269"/>
      <c r="Q24" s="137" t="str">
        <f>IF($Q22&lt;&gt;"",IF($Q22="W","L","W"),"")</f>
        <v/>
      </c>
      <c r="R24" s="20"/>
      <c r="S24" s="20"/>
      <c r="T24" s="20"/>
      <c r="U24" s="20"/>
      <c r="V24" s="20"/>
      <c r="W24" s="20"/>
      <c r="X24" s="26"/>
      <c r="Y24" s="26"/>
      <c r="Z24" s="20"/>
      <c r="AA24" s="20"/>
      <c r="AB24" s="20"/>
      <c r="AC24" s="20"/>
      <c r="AD24" s="20"/>
      <c r="AE24" s="20"/>
      <c r="AF24" s="27"/>
      <c r="AH24" s="150" t="str">
        <f>LEFT(F1223,1)&amp;RIGHT(F1223,1)</f>
        <v>AJ</v>
      </c>
      <c r="AI24" s="151" t="str">
        <f ca="1">G1223</f>
        <v/>
      </c>
      <c r="AJ24" s="151" t="str">
        <f ca="1">I1223</f>
        <v/>
      </c>
      <c r="AK24" s="150" t="s">
        <v>3891</v>
      </c>
      <c r="AL24" s="150" t="s">
        <v>5428</v>
      </c>
      <c r="AM24" s="150"/>
      <c r="AN24" s="152"/>
      <c r="AO24" s="152"/>
      <c r="AP24" s="152"/>
      <c r="AQ24" s="152"/>
      <c r="AR24" s="152"/>
      <c r="AS24" s="152"/>
      <c r="AT24" s="152"/>
      <c r="AU24" s="152"/>
      <c r="AV24" s="152"/>
      <c r="AW24" s="152"/>
    </row>
    <row r="25" spans="1:50" ht="12.75" customHeight="1">
      <c r="A25" s="301"/>
      <c r="B25" s="295"/>
      <c r="C25" s="296"/>
      <c r="D25" s="296"/>
      <c r="E25" s="296"/>
      <c r="F25" s="296"/>
      <c r="G25" s="296"/>
      <c r="H25" s="270"/>
      <c r="I25" s="270"/>
      <c r="J25" s="266"/>
      <c r="K25" s="266"/>
      <c r="L25" s="266"/>
      <c r="M25" s="267"/>
      <c r="N25" s="268"/>
      <c r="O25" s="268"/>
      <c r="P25" s="269"/>
      <c r="Q25" s="139" t="str">
        <f>IF($Q24&lt;&gt;"",IF($Q24="W",IF(SUM(IF($H24&gt;$H22,1,0),IF($I24&gt;$I22,1,0),IF($J24&gt;$J22,1,0),IF($K24&gt;$K22,1,0),IF($L24&gt;$L22,1,0))&lt;&gt;3,"Error",""),""),"")</f>
        <v/>
      </c>
      <c r="R25" s="20"/>
      <c r="S25" s="144"/>
      <c r="T25" s="20"/>
      <c r="U25" s="20"/>
      <c r="V25" s="20"/>
      <c r="W25" s="20"/>
      <c r="X25" s="26"/>
      <c r="Y25" s="26"/>
      <c r="Z25" s="20"/>
      <c r="AA25" s="20"/>
      <c r="AB25" s="20"/>
      <c r="AC25" s="20"/>
      <c r="AD25" s="20"/>
      <c r="AE25" s="20"/>
      <c r="AF25" s="27"/>
      <c r="AH25" s="150" t="str">
        <f>LEFT(F1274,1)&amp;RIGHT(F1274,1)</f>
        <v>AK</v>
      </c>
      <c r="AI25" s="151" t="str">
        <f ca="1">G1274</f>
        <v/>
      </c>
      <c r="AJ25" s="151" t="str">
        <f ca="1">I1274</f>
        <v/>
      </c>
      <c r="AK25" s="150" t="s">
        <v>3892</v>
      </c>
      <c r="AL25" s="150" t="s">
        <v>5429</v>
      </c>
      <c r="AM25" s="150"/>
      <c r="AN25" s="152"/>
      <c r="AO25" s="152"/>
      <c r="AP25" s="152"/>
      <c r="AQ25" s="152"/>
      <c r="AR25" s="152"/>
      <c r="AS25" s="152"/>
      <c r="AT25" s="152"/>
      <c r="AU25" s="152"/>
      <c r="AV25" s="152"/>
      <c r="AW25" s="152"/>
    </row>
    <row r="26" spans="1:50" ht="12.75" customHeight="1">
      <c r="Q26" s="7"/>
      <c r="R26" s="20"/>
      <c r="S26" s="20"/>
      <c r="T26" s="20"/>
      <c r="U26" s="20"/>
      <c r="V26" s="20"/>
      <c r="W26" s="20"/>
      <c r="X26" s="26"/>
      <c r="Y26" s="26"/>
      <c r="Z26" s="20"/>
      <c r="AA26" s="20"/>
      <c r="AB26" s="20"/>
      <c r="AC26" s="20"/>
      <c r="AD26" s="20"/>
      <c r="AE26" s="20"/>
      <c r="AF26" s="27"/>
      <c r="AH26" s="150" t="str">
        <f>LEFT(F1325,1)&amp;RIGHT(F1325,1)</f>
        <v>AL</v>
      </c>
      <c r="AI26" s="151" t="str">
        <f ca="1">G1325</f>
        <v/>
      </c>
      <c r="AJ26" s="151" t="str">
        <f ca="1">I1325</f>
        <v/>
      </c>
      <c r="AK26" s="150" t="s">
        <v>3893</v>
      </c>
      <c r="AL26" s="150" t="s">
        <v>5430</v>
      </c>
      <c r="AM26" s="150"/>
      <c r="AN26" s="152"/>
      <c r="AO26" s="152"/>
      <c r="AP26" s="152"/>
      <c r="AQ26" s="152"/>
      <c r="AR26" s="152"/>
      <c r="AS26" s="152"/>
      <c r="AT26" s="152"/>
      <c r="AU26" s="152"/>
      <c r="AV26" s="152"/>
      <c r="AW26" s="152"/>
    </row>
    <row r="27" spans="1:50" ht="12.75" customHeight="1">
      <c r="A27" s="21" t="s">
        <v>1235</v>
      </c>
      <c r="H27" s="136" t="str">
        <f>IF($Q29&lt;&gt;"",IF(AND(AND($H29&gt;-1,$H31&gt;-1),OR($H29&gt;10,$H31&gt;10),ABS($H29-$H31)&gt;1,IF(OR($H29&gt;11,$H31&gt;11),ABS($H29-$H31)=2,TRUE),$H29=INT($H29),$H31=INT($H31)),"","Error"),"")</f>
        <v/>
      </c>
      <c r="I27" s="136" t="str">
        <f>IF($Q29&lt;&gt;"",IF(AND(AND($I29&gt;-1,$I31&gt;-1),OR($I29&gt;10,$I31&gt;10),ABS($I29-$I31)&gt;1,IF(OR($I29&gt;11,$I31&gt;11),ABS($I29-$I31)=2,TRUE),$I29=INT($I29),$I31=INT($I31)),"","Error"),"")</f>
        <v/>
      </c>
      <c r="J27" s="136" t="str">
        <f>IF($Q29&lt;&gt;"",IF(AND(AND($J29&gt;-1,$J31&gt;-1),OR($J29&gt;10,$J31&gt;10),ABS($J29-$J31)&gt;1,IF(OR($J29&gt;11,$J31&gt;11),ABS($J29-$J31)=2,TRUE),$J29=INT($J29),$J31=INT($J31)),"","Error"),"")</f>
        <v/>
      </c>
      <c r="K27" s="136" t="str">
        <f>IF($Q29&lt;&gt;"",IF(AND($K29&lt;&gt;"",$K31&lt;&gt;""), IF(AND(AND($K29&gt;-1,$K31&gt;-1),OR($K29&gt;10,$K31&gt;10),ABS($K29-$K31)&gt;1,IF(OR($K29&gt;11,$K31&gt;11),ABS($K29-$K31)=2,TRUE),$K29=INT($K29),$K31=INT($K31)),"","Error"),""),"")</f>
        <v/>
      </c>
      <c r="L27" s="136" t="str">
        <f>IF($Q29&lt;&gt;"",IF(AND($L29&lt;&gt;"",$L31&lt;&gt;""), IF(AND(AND($L29&gt;-1,$L31&gt;-1),OR($L29&gt;10,$L31&gt;10),ABS($L29-$L31)&gt;1,IF(OR($L29&gt;11,$L31&gt;11),ABS($L29-$L31)=2,TRUE),$L29=INT($L29),$L31=INT($L31)),"","Error"),""),"")</f>
        <v/>
      </c>
      <c r="Q27" s="7"/>
      <c r="R27" s="20"/>
      <c r="S27" s="20"/>
      <c r="T27" s="20"/>
      <c r="U27" s="20"/>
      <c r="V27" s="20"/>
      <c r="W27" s="20"/>
      <c r="X27" s="26"/>
      <c r="Y27" s="26"/>
      <c r="Z27" s="20"/>
      <c r="AA27" s="20"/>
      <c r="AB27" s="20"/>
      <c r="AC27" s="20"/>
      <c r="AD27" s="20"/>
      <c r="AE27" s="20"/>
      <c r="AF27" s="27"/>
      <c r="AG27" s="24"/>
      <c r="AH27" s="150" t="str">
        <f>LEFT(F1376,1)&amp;RIGHT(F1376,1)</f>
        <v>BE</v>
      </c>
      <c r="AI27" s="151" t="str">
        <f ca="1">G1376</f>
        <v/>
      </c>
      <c r="AJ27" s="151" t="str">
        <f ca="1">I1376</f>
        <v/>
      </c>
      <c r="AK27" s="150" t="s">
        <v>3894</v>
      </c>
      <c r="AL27" s="150" t="s">
        <v>5431</v>
      </c>
      <c r="AM27" s="150"/>
      <c r="AN27" s="152"/>
      <c r="AO27" s="152"/>
      <c r="AP27" s="152"/>
      <c r="AQ27" s="152"/>
      <c r="AR27" s="152"/>
      <c r="AS27" s="152"/>
      <c r="AT27" s="152"/>
      <c r="AU27" s="152"/>
      <c r="AV27" s="152"/>
      <c r="AW27" s="152"/>
    </row>
    <row r="28" spans="1:50" ht="12.75" customHeight="1">
      <c r="A28" s="5" t="s">
        <v>1228</v>
      </c>
      <c r="B28" s="290" t="s">
        <v>1126</v>
      </c>
      <c r="C28" s="291"/>
      <c r="D28" s="291"/>
      <c r="E28" s="291"/>
      <c r="F28" s="291"/>
      <c r="G28" s="292"/>
      <c r="H28" s="5">
        <v>1</v>
      </c>
      <c r="I28" s="5">
        <v>2</v>
      </c>
      <c r="J28" s="5">
        <v>3</v>
      </c>
      <c r="K28" s="5">
        <v>4</v>
      </c>
      <c r="L28" s="5">
        <v>5</v>
      </c>
      <c r="M28" s="271"/>
      <c r="N28" s="272"/>
      <c r="O28" s="272"/>
      <c r="P28" s="273"/>
      <c r="Q28" s="7"/>
      <c r="R28" s="20"/>
      <c r="S28" s="20"/>
      <c r="T28" s="20"/>
      <c r="U28" s="20"/>
      <c r="V28" s="20"/>
      <c r="W28" s="20"/>
      <c r="X28" s="26"/>
      <c r="Y28" s="26"/>
      <c r="Z28" s="20"/>
      <c r="AA28" s="20"/>
      <c r="AB28" s="20"/>
      <c r="AC28" s="20"/>
      <c r="AD28" s="20"/>
      <c r="AE28" s="20"/>
      <c r="AF28" s="27"/>
      <c r="AG28" s="24"/>
      <c r="AH28" s="150" t="str">
        <f>LEFT(F1427,1)&amp;RIGHT(F1427,1)</f>
        <v>BF</v>
      </c>
      <c r="AI28" s="151" t="str">
        <f ca="1">G1427</f>
        <v/>
      </c>
      <c r="AJ28" s="151" t="str">
        <f ca="1">I1427</f>
        <v/>
      </c>
      <c r="AK28" s="150" t="s">
        <v>3895</v>
      </c>
      <c r="AL28" s="150" t="s">
        <v>5432</v>
      </c>
      <c r="AM28" s="150"/>
      <c r="AN28" s="152"/>
      <c r="AO28" s="152"/>
      <c r="AP28" s="152"/>
      <c r="AQ28" s="152"/>
      <c r="AR28" s="152"/>
      <c r="AS28" s="152"/>
      <c r="AT28" s="152"/>
      <c r="AU28" s="152"/>
      <c r="AV28" s="152"/>
      <c r="AW28" s="152"/>
    </row>
    <row r="29" spans="1:50" ht="12.75" customHeight="1">
      <c r="A29" s="300" t="str">
        <f>B9</f>
        <v>A</v>
      </c>
      <c r="B29" s="293" t="str">
        <f ca="1">IF(AND(OFFSET($AO$1,$C9-1,8,1,1),$A10&lt;&gt;"",$J10&lt;&gt;""),CHOOSE($C9,$AQ$1,$AQ$2,$AQ$3,$AQ$4,$AQ$5,$AQ$6,$AQ$7,$AQ$8,$AQ$9,$AQ$10,$AQ$11,$AQ$12),"")</f>
        <v/>
      </c>
      <c r="C29" s="294"/>
      <c r="D29" s="294"/>
      <c r="E29" s="294"/>
      <c r="F29" s="294"/>
      <c r="G29" s="294"/>
      <c r="H29" s="265"/>
      <c r="I29" s="265"/>
      <c r="J29" s="265"/>
      <c r="K29" s="265"/>
      <c r="L29" s="265"/>
      <c r="M29" s="262" t="str">
        <f ca="1">IF(OR(AND($B22&lt;&gt;"",$B29&lt;&gt;"",$D40&lt;=$C40),AND($B24&lt;&gt;"",$B31&lt;&gt;"",$H40&lt;=$G40)),"Invalid Lineup","")</f>
        <v/>
      </c>
      <c r="N29" s="263"/>
      <c r="O29" s="263"/>
      <c r="P29" s="264"/>
      <c r="Q29" s="137" t="str">
        <f>IF($L29=$L31,IF($K29=$K31,IF($J29&lt;&gt;"",IF($J29&gt;$J31,"W","L"),""),IF($K29&gt;$K31,"W","L")),IF($L29&gt;$L31,"W","L"))</f>
        <v/>
      </c>
      <c r="R29" s="20"/>
      <c r="S29" s="20"/>
      <c r="T29" s="20"/>
      <c r="U29" s="20"/>
      <c r="V29" s="20"/>
      <c r="W29" s="20"/>
      <c r="X29" s="26"/>
      <c r="Y29" s="26"/>
      <c r="Z29" s="20"/>
      <c r="AA29" s="20"/>
      <c r="AB29" s="20"/>
      <c r="AC29" s="20"/>
      <c r="AD29" s="20"/>
      <c r="AE29" s="20"/>
      <c r="AF29" s="27"/>
      <c r="AH29" s="150" t="str">
        <f>LEFT(F1478,1)&amp;RIGHT(F1478,1)</f>
        <v>BG</v>
      </c>
      <c r="AI29" s="151" t="str">
        <f ca="1">G1478</f>
        <v/>
      </c>
      <c r="AJ29" s="151" t="str">
        <f ca="1">I1478</f>
        <v/>
      </c>
      <c r="AK29" s="150" t="s">
        <v>3896</v>
      </c>
      <c r="AL29" s="150" t="s">
        <v>5433</v>
      </c>
      <c r="AM29" s="150"/>
      <c r="AN29" s="152"/>
      <c r="AO29" s="152"/>
      <c r="AP29" s="152"/>
      <c r="AQ29" s="152"/>
      <c r="AR29" s="152"/>
      <c r="AS29" s="152"/>
      <c r="AT29" s="152"/>
      <c r="AU29" s="152"/>
      <c r="AV29" s="152"/>
      <c r="AW29" s="152"/>
    </row>
    <row r="30" spans="1:50" ht="12.75" customHeight="1">
      <c r="A30" s="301"/>
      <c r="B30" s="295"/>
      <c r="C30" s="296"/>
      <c r="D30" s="296"/>
      <c r="E30" s="296"/>
      <c r="F30" s="296"/>
      <c r="G30" s="296"/>
      <c r="H30" s="270"/>
      <c r="I30" s="270"/>
      <c r="J30" s="270"/>
      <c r="K30" s="270"/>
      <c r="L30" s="270"/>
      <c r="M30" s="262"/>
      <c r="N30" s="263"/>
      <c r="O30" s="263"/>
      <c r="P30" s="264"/>
      <c r="Q30" s="139" t="str">
        <f>IF($Q29&lt;&gt;"",IF($Q29="W",IF(SUM(IF($H29&gt;$H31,1,0),IF($I29&gt;$I31,1,0),IF($J29&gt;$J31,1,0),IF($K29&gt;$K31,1,0),IF($L29&gt;$L31,1,0))&lt;&gt;3,"Error",""),""),"")</f>
        <v/>
      </c>
      <c r="R30" s="328" t="str">
        <f>$A10</f>
        <v/>
      </c>
      <c r="S30" s="328"/>
      <c r="T30" s="328"/>
      <c r="U30" s="328"/>
      <c r="V30" s="328"/>
      <c r="W30" s="328"/>
      <c r="X30" s="256" t="str">
        <f>CONCATENATE("(",$B9," vs ",$K9,")")</f>
        <v>(A vs C)</v>
      </c>
      <c r="Y30" s="256"/>
      <c r="Z30" s="328" t="str">
        <f>$J10</f>
        <v/>
      </c>
      <c r="AA30" s="328"/>
      <c r="AB30" s="328"/>
      <c r="AC30" s="328"/>
      <c r="AD30" s="328"/>
      <c r="AE30" s="328"/>
      <c r="AF30" s="100"/>
      <c r="AH30" s="150" t="str">
        <f>LEFT(F1529,1)&amp;RIGHT(F1529,1)</f>
        <v>BH</v>
      </c>
      <c r="AI30" s="151" t="str">
        <f ca="1">G1529</f>
        <v/>
      </c>
      <c r="AJ30" s="151" t="str">
        <f ca="1">I1529</f>
        <v/>
      </c>
      <c r="AK30" s="150" t="s">
        <v>3897</v>
      </c>
      <c r="AL30" s="150" t="s">
        <v>5434</v>
      </c>
      <c r="AM30" s="150"/>
      <c r="AN30" s="152"/>
      <c r="AO30" s="152"/>
      <c r="AP30" s="152"/>
      <c r="AQ30" s="152"/>
      <c r="AR30" s="152"/>
      <c r="AS30" s="152"/>
      <c r="AT30" s="152"/>
      <c r="AU30" s="152"/>
      <c r="AV30" s="152"/>
      <c r="AW30" s="152"/>
    </row>
    <row r="31" spans="1:50" ht="12.75" customHeight="1">
      <c r="A31" s="300" t="str">
        <f>K9</f>
        <v>C</v>
      </c>
      <c r="B31" s="293" t="str">
        <f ca="1">IF(AND(OFFSET($AO$1,$L9-1,8,1,1),$A10&lt;&gt;"",$J10&lt;&gt;""),CHOOSE($L9,$AQ$1,$AQ$2,$AQ$3,$AQ$4,$AQ$5,$AQ$6,$AQ$7,$AQ$8,$AQ$9,$AQ$10,$AQ$11,$AQ$12),"")</f>
        <v/>
      </c>
      <c r="C31" s="294"/>
      <c r="D31" s="294"/>
      <c r="E31" s="294"/>
      <c r="F31" s="294"/>
      <c r="G31" s="294"/>
      <c r="H31" s="265"/>
      <c r="I31" s="265"/>
      <c r="J31" s="265"/>
      <c r="K31" s="265"/>
      <c r="L31" s="265"/>
      <c r="M31" s="267" t="s">
        <v>1237</v>
      </c>
      <c r="N31" s="268"/>
      <c r="O31" s="268"/>
      <c r="P31" s="269"/>
      <c r="Q31" s="137" t="str">
        <f>IF($Q29&lt;&gt;"",IF($Q29="W","L","W"),"")</f>
        <v/>
      </c>
      <c r="R31" s="100"/>
      <c r="S31" s="100"/>
      <c r="T31" s="100"/>
      <c r="U31" s="100"/>
      <c r="V31" s="100"/>
      <c r="W31" s="100"/>
      <c r="X31" s="100"/>
      <c r="Y31" s="100"/>
      <c r="Z31" s="100"/>
      <c r="AA31" s="100"/>
      <c r="AB31" s="100"/>
      <c r="AC31" s="100"/>
      <c r="AD31" s="100"/>
      <c r="AE31" s="100"/>
      <c r="AF31" s="100"/>
      <c r="AH31" s="150" t="str">
        <f>LEFT(F1580,1)&amp;RIGHT(F1580,1)</f>
        <v>BI</v>
      </c>
      <c r="AI31" s="151" t="str">
        <f ca="1">G1580</f>
        <v/>
      </c>
      <c r="AJ31" s="151" t="str">
        <f ca="1">I1580</f>
        <v/>
      </c>
      <c r="AK31" s="150" t="s">
        <v>3898</v>
      </c>
      <c r="AL31" s="150" t="s">
        <v>5435</v>
      </c>
      <c r="AM31" s="150"/>
      <c r="AN31" s="152"/>
      <c r="AO31" s="152"/>
      <c r="AP31" s="152"/>
      <c r="AQ31" s="152"/>
      <c r="AR31" s="152"/>
      <c r="AS31" s="152"/>
      <c r="AT31" s="152"/>
      <c r="AU31" s="152"/>
      <c r="AV31" s="152"/>
      <c r="AW31" s="152"/>
    </row>
    <row r="32" spans="1:50" ht="12.75" customHeight="1">
      <c r="A32" s="301"/>
      <c r="B32" s="295"/>
      <c r="C32" s="296"/>
      <c r="D32" s="296"/>
      <c r="E32" s="296"/>
      <c r="F32" s="296"/>
      <c r="G32" s="296"/>
      <c r="H32" s="270"/>
      <c r="I32" s="270"/>
      <c r="J32" s="266"/>
      <c r="K32" s="266"/>
      <c r="L32" s="266"/>
      <c r="M32" s="267"/>
      <c r="N32" s="268"/>
      <c r="O32" s="268"/>
      <c r="P32" s="269"/>
      <c r="Q32" s="139" t="str">
        <f>IF($Q31&lt;&gt;"",IF($Q31="W",IF(SUM(IF($H31&gt;$H29,1,0),IF($I31&gt;$I29,1,0),IF($J31&gt;$J29,1,0),IF($K31&gt;$K29,1,0),IF($L31&gt;$L29,1,0))&lt;&gt;3,"Error",""),""),"")</f>
        <v/>
      </c>
      <c r="R32" s="43" t="str">
        <f>$A27</f>
        <v>3rd Singles</v>
      </c>
      <c r="S32" s="43"/>
      <c r="T32" s="43"/>
      <c r="U32" s="43"/>
      <c r="V32" s="43"/>
      <c r="W32" s="43"/>
      <c r="X32" s="43"/>
      <c r="Y32" s="43"/>
      <c r="Z32" s="43"/>
      <c r="AA32" s="43"/>
      <c r="AB32" s="43"/>
      <c r="AC32" s="43"/>
      <c r="AD32" s="43"/>
      <c r="AE32" s="43"/>
      <c r="AF32" s="43"/>
      <c r="AH32" s="150" t="str">
        <f>LEFT(F1631,1)&amp;RIGHT(F1631,1)</f>
        <v>BJ</v>
      </c>
      <c r="AI32" s="151" t="str">
        <f ca="1">G1631</f>
        <v/>
      </c>
      <c r="AJ32" s="151" t="str">
        <f ca="1">I1631</f>
        <v/>
      </c>
      <c r="AK32" s="150" t="s">
        <v>3899</v>
      </c>
      <c r="AL32" s="150" t="s">
        <v>5436</v>
      </c>
      <c r="AM32" s="150"/>
      <c r="AN32" s="152"/>
      <c r="AO32" s="152"/>
      <c r="AP32" s="152"/>
      <c r="AQ32" s="152"/>
      <c r="AR32" s="152"/>
      <c r="AS32" s="152"/>
      <c r="AT32" s="152"/>
      <c r="AU32" s="152"/>
      <c r="AV32" s="152"/>
      <c r="AW32" s="152"/>
    </row>
    <row r="33" spans="1:49" ht="12.75" customHeight="1">
      <c r="Q33" s="7"/>
      <c r="R33" s="60" t="s">
        <v>1228</v>
      </c>
      <c r="S33" s="101" t="s">
        <v>1126</v>
      </c>
      <c r="T33" s="102"/>
      <c r="U33" s="102"/>
      <c r="V33" s="102"/>
      <c r="W33" s="102"/>
      <c r="X33" s="103"/>
      <c r="Y33" s="60">
        <v>1</v>
      </c>
      <c r="Z33" s="60">
        <v>2</v>
      </c>
      <c r="AA33" s="60">
        <v>3</v>
      </c>
      <c r="AB33" s="60">
        <v>4</v>
      </c>
      <c r="AC33" s="60">
        <v>5</v>
      </c>
      <c r="AD33" s="104"/>
      <c r="AE33" s="105"/>
      <c r="AF33" s="106"/>
      <c r="AG33" s="24"/>
      <c r="AH33" s="150" t="str">
        <f>LEFT(F1682,1)&amp;RIGHT(F1682,1)</f>
        <v>BK</v>
      </c>
      <c r="AI33" s="151" t="str">
        <f ca="1">G1682</f>
        <v/>
      </c>
      <c r="AJ33" s="151" t="str">
        <f ca="1">I1682</f>
        <v/>
      </c>
      <c r="AK33" s="150" t="s">
        <v>3900</v>
      </c>
      <c r="AL33" s="150" t="s">
        <v>3936</v>
      </c>
      <c r="AM33" s="150"/>
      <c r="AN33" s="152"/>
      <c r="AO33" s="152"/>
      <c r="AP33" s="152"/>
      <c r="AQ33" s="152"/>
      <c r="AR33" s="152"/>
      <c r="AS33" s="152"/>
      <c r="AT33" s="152"/>
      <c r="AU33" s="152"/>
      <c r="AV33" s="152"/>
      <c r="AW33" s="152"/>
    </row>
    <row r="34" spans="1:49" ht="12.75" customHeight="1">
      <c r="A34" s="21" t="s">
        <v>1236</v>
      </c>
      <c r="H34" s="136" t="str">
        <f ca="1">IF($Q36&lt;&gt;"",IF(AND($B36&lt;&gt;"Missing Player",$B38&lt;&gt;"Missing Player"),IF(AND(AND($H36&gt;-1,$H38&gt;-1),OR($H36&gt;10,$H38&gt;10),ABS($H36-$H38)&gt;1,IF(OR($H36&gt;11,$H38&gt;11),ABS($H36-$H38)=2,TRUE),$H36=INT($H36),$H38=INT($H38)),"","Error"),""),"")</f>
        <v/>
      </c>
      <c r="I34" s="136" t="str">
        <f ca="1">IF($Q36&lt;&gt;"",IF(AND($B36&lt;&gt;"Missing Player",$B38&lt;&gt;"Missing Player"),IF(AND(AND($I36&gt;-1,$I38&gt;-1),OR($I36&gt;10,$I38&gt;10),ABS($I36-$I38)&gt;1,IF(OR($I36&gt;11,$I38&gt;11),ABS($I36-$I38)=2,TRUE),$I36=INT($I36),$I38=INT($I38)),"","Error"),""),"")</f>
        <v/>
      </c>
      <c r="J34" s="136" t="str">
        <f ca="1">IF($Q36&lt;&gt;"",IF(AND($B36&lt;&gt;"Missing Player",$B38&lt;&gt;"Missing Player"),IF(AND(AND($J36&gt;-1,$J38&gt;-1),OR($J36&gt;10,$J38&gt;10),ABS($J36-$J38)&gt;1,IF(OR($J36&gt;11,$J38&gt;11),ABS($J36-$J38)=2,TRUE),$J36=INT($J36),$J38=INT($J38)),"","Error"),""),"")</f>
        <v/>
      </c>
      <c r="K34" s="136" t="str">
        <f ca="1">IF($Q36&lt;&gt;"",IF(AND($K36&lt;&gt;"",$K38&lt;&gt;""), IF(AND(AND($K36&gt;-1,$K38&gt;-1),OR($K36&gt;10,$K38&gt;10),ABS($K36-$K38)&gt;1,IF(OR($K36&gt;11,$K38&gt;11),ABS($K36-$K38)=2,TRUE),$K36=INT($K36),$K38=INT($K38)),"","Error"),""),"")</f>
        <v/>
      </c>
      <c r="L34" s="136" t="str">
        <f ca="1">IF($Q36&lt;&gt;"",IF(AND($L36&lt;&gt;"",$L38&lt;&gt;""), IF(AND(AND($L36&gt;-1,$L38&gt;-1),OR($L36&gt;10,$L38&gt;10),ABS($L36-$L38)&gt;1,IF(OR($L36&gt;11,$L38&gt;11),ABS($L36-$L38)=2,TRUE),$L36=INT($L36),$L38=INT($L38)),"","Error"),""),"")</f>
        <v/>
      </c>
      <c r="Q34" s="7"/>
      <c r="R34" s="300" t="str">
        <f>$B9</f>
        <v>A</v>
      </c>
      <c r="S34" s="331" t="str">
        <f ca="1">IF($B29&lt;&gt;"",$B29,"")</f>
        <v/>
      </c>
      <c r="T34" s="332"/>
      <c r="U34" s="332"/>
      <c r="V34" s="332"/>
      <c r="W34" s="332"/>
      <c r="X34" s="333"/>
      <c r="Y34" s="329"/>
      <c r="Z34" s="329"/>
      <c r="AA34" s="329"/>
      <c r="AB34" s="329"/>
      <c r="AC34" s="329"/>
      <c r="AD34" s="345"/>
      <c r="AE34" s="358"/>
      <c r="AF34" s="359"/>
      <c r="AG34" s="24"/>
      <c r="AH34" s="150" t="str">
        <f>LEFT(F1733,1)&amp;RIGHT(F1733,1)</f>
        <v>BL</v>
      </c>
      <c r="AI34" s="151" t="str">
        <f ca="1">G1733</f>
        <v/>
      </c>
      <c r="AJ34" s="151" t="str">
        <f ca="1">I1733</f>
        <v/>
      </c>
      <c r="AK34" s="150" t="s">
        <v>3901</v>
      </c>
      <c r="AL34" s="150" t="s">
        <v>5437</v>
      </c>
      <c r="AM34" s="150"/>
      <c r="AN34" s="152"/>
      <c r="AO34" s="152"/>
      <c r="AP34" s="152"/>
      <c r="AQ34" s="152"/>
      <c r="AR34" s="152"/>
      <c r="AS34" s="152"/>
      <c r="AT34" s="152"/>
      <c r="AU34" s="152"/>
      <c r="AV34" s="152"/>
      <c r="AW34" s="152"/>
    </row>
    <row r="35" spans="1:49" ht="12.75" customHeight="1">
      <c r="A35" s="5" t="s">
        <v>1228</v>
      </c>
      <c r="B35" s="290" t="s">
        <v>1126</v>
      </c>
      <c r="C35" s="291"/>
      <c r="D35" s="291"/>
      <c r="E35" s="291"/>
      <c r="F35" s="291"/>
      <c r="G35" s="292"/>
      <c r="H35" s="5">
        <v>1</v>
      </c>
      <c r="I35" s="5">
        <v>2</v>
      </c>
      <c r="J35" s="5">
        <v>3</v>
      </c>
      <c r="K35" s="5">
        <v>4</v>
      </c>
      <c r="L35" s="5">
        <v>5</v>
      </c>
      <c r="M35" s="271"/>
      <c r="N35" s="272"/>
      <c r="O35" s="272"/>
      <c r="P35" s="273"/>
      <c r="Q35" s="7"/>
      <c r="R35" s="330"/>
      <c r="S35" s="334"/>
      <c r="T35" s="335"/>
      <c r="U35" s="335"/>
      <c r="V35" s="335"/>
      <c r="W35" s="335"/>
      <c r="X35" s="336"/>
      <c r="Y35" s="330"/>
      <c r="Z35" s="330"/>
      <c r="AA35" s="330"/>
      <c r="AB35" s="330"/>
      <c r="AC35" s="330"/>
      <c r="AD35" s="360"/>
      <c r="AE35" s="361"/>
      <c r="AF35" s="362"/>
      <c r="AH35" s="150" t="str">
        <f>LEFT(F1784,1)&amp;RIGHT(F1784,1)</f>
        <v>CE</v>
      </c>
      <c r="AI35" s="151" t="str">
        <f ca="1">G1784</f>
        <v/>
      </c>
      <c r="AJ35" s="151" t="str">
        <f ca="1">I1784</f>
        <v/>
      </c>
      <c r="AK35" s="150" t="s">
        <v>3902</v>
      </c>
      <c r="AL35" s="150" t="s">
        <v>5438</v>
      </c>
      <c r="AM35" s="150"/>
      <c r="AN35" s="152"/>
      <c r="AO35" s="152"/>
      <c r="AP35" s="152"/>
      <c r="AQ35" s="152"/>
      <c r="AR35" s="152"/>
      <c r="AS35" s="152"/>
      <c r="AT35" s="152"/>
      <c r="AU35" s="152"/>
      <c r="AV35" s="152"/>
      <c r="AW35" s="152"/>
    </row>
    <row r="36" spans="1:49" ht="12.75" customHeight="1">
      <c r="A36" s="300" t="str">
        <f>B9</f>
        <v>A</v>
      </c>
      <c r="B36" s="293" t="str">
        <f ca="1">IF(AND(OFFSET($AO$1,$C9-1,8,1,1),$A10&lt;&gt;"",$J10&lt;&gt;""),CHOOSE($C9,$AR$1,$AR$2,$AR$3,$AR$4,$AR$5,$AR$6,$AR$7,$AR$8,$AR$9,$AR$10,$AR$11,$AR$12),"")</f>
        <v/>
      </c>
      <c r="C36" s="294"/>
      <c r="D36" s="294"/>
      <c r="E36" s="294"/>
      <c r="F36" s="294"/>
      <c r="G36" s="294"/>
      <c r="H36" s="265"/>
      <c r="I36" s="265"/>
      <c r="J36" s="265"/>
      <c r="K36" s="265"/>
      <c r="L36" s="265" t="str">
        <f ca="1">IF(AND($B36&lt;&gt;"",$Q15&lt;&gt;""),IF($B36="Missing Player",0,IF($B38="Missing Player",11,"")),"")</f>
        <v/>
      </c>
      <c r="M36" s="262" t="str">
        <f ca="1">IF(OR(AND($B29&lt;&gt;"",$B36&lt;&gt;"",$E40&lt;=$D40),AND($B31&lt;&gt;"",$B38&lt;&gt;"",$I40&lt;=$H40)),"Invalid Lineup","")</f>
        <v/>
      </c>
      <c r="N36" s="263"/>
      <c r="O36" s="263"/>
      <c r="P36" s="264"/>
      <c r="Q36" s="137" t="str">
        <f ca="1">IF($L36=$L38,IF($K36=$K38,IF($J36&lt;&gt;"",IF($J36&gt;$J38,"W","L"),""),IF($K36&gt;$K38,"W","L")),IF($L36&gt;$L38,"W","L"))</f>
        <v/>
      </c>
      <c r="R36" s="300" t="str">
        <f>$K9</f>
        <v>C</v>
      </c>
      <c r="S36" s="331" t="str">
        <f ca="1">IF($B31&lt;&gt;"",$B31,"")</f>
        <v/>
      </c>
      <c r="T36" s="332"/>
      <c r="U36" s="332"/>
      <c r="V36" s="332"/>
      <c r="W36" s="332"/>
      <c r="X36" s="333"/>
      <c r="Y36" s="329"/>
      <c r="Z36" s="329"/>
      <c r="AA36" s="329"/>
      <c r="AB36" s="329"/>
      <c r="AC36" s="351"/>
      <c r="AD36" s="363" t="s">
        <v>1237</v>
      </c>
      <c r="AE36" s="358"/>
      <c r="AF36" s="359"/>
      <c r="AH36" s="150" t="str">
        <f>LEFT(F1835,1)&amp;RIGHT(F1835,1)</f>
        <v>CF</v>
      </c>
      <c r="AI36" s="151" t="str">
        <f ca="1">G1835</f>
        <v/>
      </c>
      <c r="AJ36" s="151" t="str">
        <f ca="1">I1835</f>
        <v/>
      </c>
      <c r="AK36" s="150" t="s">
        <v>3903</v>
      </c>
      <c r="AL36" s="150" t="s">
        <v>5439</v>
      </c>
      <c r="AM36" s="150"/>
      <c r="AN36" s="152"/>
      <c r="AO36" s="152"/>
      <c r="AP36" s="152"/>
      <c r="AQ36" s="152"/>
      <c r="AR36" s="152"/>
      <c r="AS36" s="152"/>
      <c r="AT36" s="152"/>
      <c r="AU36" s="152"/>
      <c r="AV36" s="152"/>
      <c r="AW36" s="152"/>
    </row>
    <row r="37" spans="1:49" ht="12.75" customHeight="1">
      <c r="A37" s="301"/>
      <c r="B37" s="295"/>
      <c r="C37" s="296"/>
      <c r="D37" s="296"/>
      <c r="E37" s="296"/>
      <c r="F37" s="296"/>
      <c r="G37" s="296"/>
      <c r="H37" s="270"/>
      <c r="I37" s="270"/>
      <c r="J37" s="270"/>
      <c r="K37" s="270"/>
      <c r="L37" s="270"/>
      <c r="M37" s="262"/>
      <c r="N37" s="263"/>
      <c r="O37" s="263"/>
      <c r="P37" s="264"/>
      <c r="Q37" s="139" t="str">
        <f ca="1">IF($Q36&lt;&gt;"",IF($B38&lt;&gt;"Missing Player",IF($Q36="W",IF(SUM(IF($H36&gt;$H38,1,0),IF($I36&gt;$I38,1,0),IF($J36&gt;$J38,1,0),IF($K36&gt;$K38,1,0),IF($L36&gt;$L38,1,0))&lt;&gt;3,"Error",""),""),""),"")</f>
        <v/>
      </c>
      <c r="R37" s="330"/>
      <c r="S37" s="334"/>
      <c r="T37" s="335"/>
      <c r="U37" s="335"/>
      <c r="V37" s="335"/>
      <c r="W37" s="335"/>
      <c r="X37" s="336"/>
      <c r="Y37" s="330"/>
      <c r="Z37" s="330"/>
      <c r="AA37" s="330"/>
      <c r="AB37" s="330"/>
      <c r="AC37" s="330"/>
      <c r="AD37" s="360"/>
      <c r="AE37" s="361"/>
      <c r="AF37" s="362"/>
      <c r="AH37" s="150" t="str">
        <f>LEFT(F1886,1)&amp;RIGHT(F1886,1)</f>
        <v>CG</v>
      </c>
      <c r="AI37" s="151" t="str">
        <f ca="1">G1886</f>
        <v/>
      </c>
      <c r="AJ37" s="151" t="str">
        <f ca="1">I1886</f>
        <v/>
      </c>
      <c r="AK37" s="150" t="s">
        <v>3904</v>
      </c>
      <c r="AL37" s="150" t="s">
        <v>5440</v>
      </c>
      <c r="AM37" s="150"/>
      <c r="AN37" s="152"/>
      <c r="AO37" s="152"/>
      <c r="AP37" s="152"/>
      <c r="AQ37" s="152"/>
      <c r="AR37" s="152"/>
      <c r="AS37" s="152"/>
      <c r="AT37" s="152"/>
      <c r="AU37" s="152"/>
      <c r="AV37" s="152"/>
      <c r="AW37" s="152"/>
    </row>
    <row r="38" spans="1:49" ht="12.75" customHeight="1">
      <c r="A38" s="300" t="str">
        <f>K9</f>
        <v>C</v>
      </c>
      <c r="B38" s="293" t="str">
        <f ca="1">IF(AND(OFFSET($AO$1,$L9-1,8,1,1),$A10&lt;&gt;"",$J10&lt;&gt;""),CHOOSE($L9,$AR$1,$AR$2,$AR$3,$AR$4,$AR$5,$AR$6,$AR$7,$AR$8,$AR$9,$AR$10,$AR$11,$AR$12),"")</f>
        <v/>
      </c>
      <c r="C38" s="294"/>
      <c r="D38" s="294"/>
      <c r="E38" s="294"/>
      <c r="F38" s="294"/>
      <c r="G38" s="294"/>
      <c r="H38" s="265"/>
      <c r="I38" s="265"/>
      <c r="J38" s="265"/>
      <c r="K38" s="265"/>
      <c r="L38" s="265" t="str">
        <f ca="1">IF(AND($B38&lt;&gt;"",$Q15&lt;&gt;""),IF($B38="Missing Player",0,IF($B36="Missing Player",11,"")),"")</f>
        <v/>
      </c>
      <c r="M38" s="267" t="s">
        <v>1237</v>
      </c>
      <c r="N38" s="268"/>
      <c r="O38" s="268"/>
      <c r="P38" s="269"/>
      <c r="Q38" s="137" t="str">
        <f ca="1">IF($Q36&lt;&gt;"",IF($Q36="W","L","W"),"")</f>
        <v/>
      </c>
      <c r="R38" s="112"/>
      <c r="S38" s="98"/>
      <c r="T38" s="108"/>
      <c r="U38" s="108"/>
      <c r="V38" s="108"/>
      <c r="W38" s="108"/>
      <c r="X38" s="108"/>
      <c r="Y38" s="113"/>
      <c r="Z38" s="113"/>
      <c r="AA38" s="113"/>
      <c r="AB38" s="113"/>
      <c r="AC38" s="113"/>
      <c r="AD38" s="107"/>
      <c r="AE38" s="109"/>
      <c r="AF38" s="109"/>
      <c r="AH38" s="150" t="str">
        <f>LEFT(F1937,1)&amp;RIGHT(F1937,1)</f>
        <v>CH</v>
      </c>
      <c r="AI38" s="151" t="str">
        <f ca="1">G1937</f>
        <v/>
      </c>
      <c r="AJ38" s="151" t="str">
        <f ca="1">I1937</f>
        <v/>
      </c>
      <c r="AK38" s="150" t="s">
        <v>3905</v>
      </c>
      <c r="AL38" s="150" t="s">
        <v>5441</v>
      </c>
      <c r="AM38" s="150"/>
      <c r="AN38" s="152"/>
      <c r="AO38" s="152"/>
      <c r="AP38" s="152"/>
      <c r="AQ38" s="152"/>
      <c r="AR38" s="152"/>
      <c r="AS38" s="152"/>
      <c r="AT38" s="152"/>
      <c r="AU38" s="152"/>
      <c r="AV38" s="152"/>
      <c r="AW38" s="152"/>
    </row>
    <row r="39" spans="1:49" ht="12.75" customHeight="1">
      <c r="A39" s="301"/>
      <c r="B39" s="295"/>
      <c r="C39" s="296"/>
      <c r="D39" s="296"/>
      <c r="E39" s="296"/>
      <c r="F39" s="296"/>
      <c r="G39" s="296"/>
      <c r="H39" s="270"/>
      <c r="I39" s="270"/>
      <c r="J39" s="266"/>
      <c r="K39" s="266"/>
      <c r="L39" s="266"/>
      <c r="M39" s="267"/>
      <c r="N39" s="268"/>
      <c r="O39" s="268"/>
      <c r="P39" s="269"/>
      <c r="Q39" s="139" t="str">
        <f ca="1">IF($Q38&lt;&gt;"",IF($B36&lt;&gt;"Missing Player",IF($Q38="W",IF(SUM(IF($H38&gt;$H36,1,0),IF($I38&gt;$I36,1,0),IF($J38&gt;$J36,1,0),IF($K38&gt;$K36,1,0),IF($L38&gt;$L36,1,0))&lt;&gt;3,"Error",""),""),""),"")</f>
        <v/>
      </c>
      <c r="R39" s="114"/>
      <c r="S39" s="115"/>
      <c r="T39" s="115"/>
      <c r="U39" s="115"/>
      <c r="V39" s="115"/>
      <c r="W39" s="115"/>
      <c r="X39" s="115"/>
      <c r="Y39" s="114"/>
      <c r="Z39" s="114"/>
      <c r="AA39" s="114"/>
      <c r="AB39" s="114"/>
      <c r="AC39" s="114"/>
      <c r="AD39" s="114"/>
      <c r="AE39" s="114"/>
      <c r="AF39" s="114"/>
      <c r="AG39" s="24"/>
      <c r="AH39" s="150" t="str">
        <f>LEFT(F1988,1)&amp;RIGHT(F1988,1)</f>
        <v>CI</v>
      </c>
      <c r="AI39" s="151" t="str">
        <f ca="1">G1988</f>
        <v/>
      </c>
      <c r="AJ39" s="151" t="str">
        <f ca="1">I1988</f>
        <v/>
      </c>
      <c r="AK39" s="150" t="s">
        <v>3906</v>
      </c>
      <c r="AL39" s="150" t="s">
        <v>5442</v>
      </c>
      <c r="AM39" s="150"/>
      <c r="AN39" s="152"/>
      <c r="AO39" s="152"/>
      <c r="AP39" s="152"/>
      <c r="AQ39" s="152"/>
      <c r="AR39" s="152"/>
      <c r="AS39" s="152"/>
      <c r="AT39" s="152"/>
      <c r="AU39" s="152"/>
      <c r="AV39" s="152"/>
      <c r="AW39" s="152"/>
    </row>
    <row r="40" spans="1:49" ht="12.75" customHeight="1">
      <c r="B40" s="140" t="str">
        <f>IF(ISERROR(VLOOKUP($B15&amp;"("&amp;$B9&amp;")",Players!$S$4:$T$132,2,FALSE)),"",VLOOKUP($B15&amp;"("&amp;$B9&amp;")",Players!$S$4:$T$132,2,FALSE))</f>
        <v>A1</v>
      </c>
      <c r="C40" s="140" t="str">
        <f ca="1">IF(ISERROR(VLOOKUP($B22&amp;"("&amp;$B9&amp;")",Players!$S$4:$T$132,2,FALSE)),"",VLOOKUP($B22&amp;"("&amp;$B9&amp;")",Players!$S$4:$T$132,2,FALSE))</f>
        <v>A1</v>
      </c>
      <c r="D40" s="141" t="str">
        <f ca="1">IF(ISERROR(VLOOKUP($B29&amp;"("&amp;$B9&amp;")",Players!$S$4:$T$132,2,FALSE)),"",VLOOKUP($B29&amp;"("&amp;$B9&amp;")",Players!$S$4:$T$132,2,FALSE))</f>
        <v>A1</v>
      </c>
      <c r="E40" s="141" t="str">
        <f ca="1">IF(ISERROR(VLOOKUP($B36&amp;"("&amp;$B9&amp;")",Players!$S$4:$T$132,2,FALSE)),"",VLOOKUP($B36&amp;"("&amp;$B9&amp;")",Players!$S$4:$T$132,2,FALSE))</f>
        <v>A1</v>
      </c>
      <c r="F40" s="141" t="str">
        <f ca="1">IF(ISERROR(VLOOKUP($B17&amp;"("&amp;$K9&amp;")",Players!$S$4:$T$132,2,FALSE)),"",VLOOKUP($B17&amp;"("&amp;$K9&amp;")",Players!$S$4:$T$132,2,FALSE))</f>
        <v>C1</v>
      </c>
      <c r="G40" s="141" t="str">
        <f ca="1">IF(ISERROR(VLOOKUP($B24&amp;"("&amp;$K9&amp;")",Players!$S$4:$T$132,2,FALSE)),"",VLOOKUP($B24&amp;"("&amp;$K9&amp;")",Players!$S$4:$T$132,2,FALSE))</f>
        <v>C1</v>
      </c>
      <c r="H40" s="141" t="str">
        <f ca="1">IF(ISERROR(VLOOKUP($B31&amp;"("&amp;$K9&amp;")",Players!$S$4:$T$132,2,FALSE)),"",VLOOKUP($B31&amp;"("&amp;$K9&amp;")",Players!$S$4:$T$132,2,FALSE))</f>
        <v>C1</v>
      </c>
      <c r="I40" s="141" t="str">
        <f ca="1">IF(ISERROR(VLOOKUP($B38&amp;"("&amp;$K9&amp;")",Players!$S$4:$T$132,2,FALSE)),"",VLOOKUP($B38&amp;"("&amp;$K9&amp;")",Players!$S$4:$T$132,2,FALSE))</f>
        <v>C1</v>
      </c>
      <c r="Q40" s="7"/>
      <c r="R40" s="50"/>
      <c r="S40" s="130"/>
      <c r="T40" s="115"/>
      <c r="U40" s="115"/>
      <c r="V40" s="115"/>
      <c r="W40" s="115"/>
      <c r="X40" s="115"/>
      <c r="Y40" s="99"/>
      <c r="Z40" s="99"/>
      <c r="AA40" s="99"/>
      <c r="AB40" s="99"/>
      <c r="AC40" s="117"/>
      <c r="AD40" s="118"/>
      <c r="AE40" s="114"/>
      <c r="AF40" s="114"/>
      <c r="AG40" s="24"/>
      <c r="AH40" s="150" t="str">
        <f>LEFT(F2039,1)&amp;RIGHT(F2039,1)</f>
        <v>CJ</v>
      </c>
      <c r="AI40" s="151" t="str">
        <f ca="1">G2039</f>
        <v/>
      </c>
      <c r="AJ40" s="151" t="str">
        <f ca="1">I2039</f>
        <v/>
      </c>
      <c r="AK40" s="150" t="s">
        <v>3907</v>
      </c>
      <c r="AL40" s="150" t="s">
        <v>5443</v>
      </c>
      <c r="AM40" s="150"/>
      <c r="AN40" s="152"/>
      <c r="AO40" s="152"/>
      <c r="AP40" s="152"/>
      <c r="AQ40" s="152"/>
      <c r="AR40" s="152"/>
      <c r="AS40" s="152"/>
      <c r="AT40" s="152"/>
      <c r="AU40" s="152"/>
      <c r="AV40" s="152"/>
      <c r="AW40" s="152"/>
    </row>
    <row r="41" spans="1:49" ht="12.75" customHeight="1">
      <c r="A41" s="21" t="s">
        <v>1225</v>
      </c>
      <c r="H41" s="136" t="str">
        <f ca="1">IF($Q43&lt;&gt;"",IF(AND($B44&lt;&gt;"Missing Player",$B46&lt;&gt;"Missing Player"),IF(AND(AND($H43&gt;-1,$H45&gt;-1),OR($H43&gt;10,$H45&gt;10),ABS($H43-$H45)&gt;1,IF(OR($H43&gt;11,$H45&gt;11),ABS($H43-$H45)=2,TRUE),$H43=INT($H43),$H45=INT($H45)),"","Error"),""),"")</f>
        <v/>
      </c>
      <c r="I41" s="136" t="str">
        <f ca="1">IF($Q43&lt;&gt;"",IF(AND($B44&lt;&gt;"Missing Player",$B46&lt;&gt;"Missing Player"),IF(AND(AND($I43&gt;-1,$I45&gt;-1),OR($I43&gt;10,$I45&gt;10),ABS($I43-$I45)&gt;1,IF(OR($I43&gt;11,$I45&gt;11),ABS($I43-$I45)=2,TRUE),$I43=INT($I43),$I45=INT($I45)),"","Error"),""),"")</f>
        <v/>
      </c>
      <c r="J41" s="136" t="str">
        <f ca="1">IF($Q43&lt;&gt;"",IF(AND($B44&lt;&gt;"Missing Player",$B46&lt;&gt;"Missing Player"),IF(AND(AND($J43&gt;-1,$J45&gt;-1),OR($J43&gt;10,$J45&gt;10),ABS($J43-$J45)&gt;1,IF(OR($J43&gt;11,$J45&gt;11),ABS($J43-$J45)=2,TRUE),$J43=INT($J43),$J45=INT($J45)),"","Error"),""),"")</f>
        <v/>
      </c>
      <c r="K41" s="136" t="str">
        <f ca="1">IF($Q43&lt;&gt;"",IF(AND($K43&lt;&gt;"",$K45&lt;&gt;""), IF(AND(AND($K43&gt;-1,$K45&gt;-1),OR($K43&gt;10,$K45&gt;10),ABS($K43-$K45)&gt;1,IF(OR($K43&gt;11,$K45&gt;11),ABS($K43-$K45)=2,TRUE),$K43=INT($K43),$K45=INT($K45)),"","Error"),""),"")</f>
        <v/>
      </c>
      <c r="L41" s="136" t="str">
        <f ca="1">IF($Q43&lt;&gt;"",IF(AND($L43&lt;&gt;"",$L45&lt;&gt;""), IF(AND(AND($L43&gt;-1,$L45&gt;-1),OR($L43&gt;10,$L45&gt;10),ABS($L43-$L45)&gt;1,IF(OR($L43&gt;11,$L45&gt;11),ABS($L43-$L45)=2,TRUE),$L43=INT($L43),$L45=INT($L45)),"","Error"),""),"")</f>
        <v/>
      </c>
      <c r="Q41" s="7"/>
      <c r="R41" s="114"/>
      <c r="S41" s="131"/>
      <c r="T41" s="115"/>
      <c r="U41" s="115"/>
      <c r="V41" s="115"/>
      <c r="W41" s="115"/>
      <c r="X41" s="115"/>
      <c r="Y41" s="114"/>
      <c r="Z41" s="114"/>
      <c r="AA41" s="114"/>
      <c r="AB41" s="114"/>
      <c r="AC41" s="114"/>
      <c r="AD41" s="114"/>
      <c r="AE41" s="114"/>
      <c r="AF41" s="114"/>
      <c r="AH41" s="150" t="str">
        <f>LEFT(F2090,1)&amp;RIGHT(F2090,1)</f>
        <v>CK</v>
      </c>
      <c r="AI41" s="151" t="str">
        <f ca="1">G2090</f>
        <v/>
      </c>
      <c r="AJ41" s="151" t="str">
        <f ca="1">I2090</f>
        <v/>
      </c>
      <c r="AK41" s="150" t="s">
        <v>3908</v>
      </c>
      <c r="AL41" s="150" t="s">
        <v>5444</v>
      </c>
      <c r="AM41" s="150"/>
      <c r="AN41" s="152"/>
      <c r="AO41" s="152"/>
      <c r="AP41" s="152"/>
      <c r="AQ41" s="152"/>
      <c r="AR41" s="152"/>
      <c r="AS41" s="152"/>
      <c r="AT41" s="152"/>
      <c r="AU41" s="152"/>
      <c r="AV41" s="152"/>
      <c r="AW41" s="152"/>
    </row>
    <row r="42" spans="1:49" ht="12.75" customHeight="1">
      <c r="A42" s="5" t="s">
        <v>1228</v>
      </c>
      <c r="B42" s="290" t="s">
        <v>1126</v>
      </c>
      <c r="C42" s="291"/>
      <c r="D42" s="291"/>
      <c r="E42" s="291"/>
      <c r="F42" s="291"/>
      <c r="G42" s="292"/>
      <c r="H42" s="5">
        <v>1</v>
      </c>
      <c r="I42" s="5">
        <v>2</v>
      </c>
      <c r="J42" s="5">
        <v>3</v>
      </c>
      <c r="K42" s="5">
        <v>4</v>
      </c>
      <c r="L42" s="5">
        <v>5</v>
      </c>
      <c r="M42" s="271"/>
      <c r="N42" s="272"/>
      <c r="O42" s="272"/>
      <c r="P42" s="273"/>
      <c r="Q42" s="8"/>
      <c r="S42" s="24"/>
      <c r="T42" s="26"/>
      <c r="AH42" s="150" t="str">
        <f>LEFT(F2141,1)&amp;RIGHT(F2141,1)</f>
        <v>CL</v>
      </c>
      <c r="AI42" s="151" t="str">
        <f ca="1">G2141</f>
        <v/>
      </c>
      <c r="AJ42" s="151" t="str">
        <f ca="1">I2141</f>
        <v/>
      </c>
      <c r="AK42" s="150" t="s">
        <v>3909</v>
      </c>
      <c r="AL42" s="150" t="s">
        <v>5445</v>
      </c>
      <c r="AM42" s="150"/>
      <c r="AN42" s="152"/>
      <c r="AO42" s="152"/>
      <c r="AP42" s="152"/>
      <c r="AQ42" s="152"/>
      <c r="AR42" s="152"/>
      <c r="AS42" s="152"/>
      <c r="AT42" s="152"/>
      <c r="AU42" s="152"/>
      <c r="AV42" s="152"/>
      <c r="AW42" s="152"/>
    </row>
    <row r="43" spans="1:49" ht="12.75" customHeight="1">
      <c r="A43" s="300" t="str">
        <f>B9</f>
        <v>A</v>
      </c>
      <c r="B43" s="311" t="str">
        <f>IF($B15&lt;&gt;"",$B15,"")</f>
        <v/>
      </c>
      <c r="C43" s="312"/>
      <c r="D43" s="312"/>
      <c r="E43" s="312"/>
      <c r="F43" s="312"/>
      <c r="G43" s="313"/>
      <c r="H43" s="265"/>
      <c r="I43" s="265"/>
      <c r="J43" s="265"/>
      <c r="K43" s="265"/>
      <c r="L43" s="265" t="str">
        <f ca="1">IF($B36&lt;&gt;"",IF(AND($B36="Missing Player",$G47=2,$J47=2),0,IF(AND($B38="Missing Player",$G47=2,$J47=2),11,"")),"")</f>
        <v/>
      </c>
      <c r="M43" s="262" t="str">
        <f ca="1">IF(OR(AND($B43&lt;&gt;"",$B44&lt;&gt;"",$B43=$B44),AND($B45&lt;&gt;"",$B46&lt;&gt;"",$B45=$B46)),"Invalid Partner","")</f>
        <v/>
      </c>
      <c r="N43" s="263"/>
      <c r="O43" s="263"/>
      <c r="P43" s="264"/>
      <c r="Q43" s="138" t="str">
        <f ca="1">IF(L43=L45,IF(K43=K45,IF(J43&lt;&gt;"",IF(J43&gt;J45,"W","L"),""),IF(K43&gt;K45,"W","L")),IF(L43&gt;L45,"W","L"))</f>
        <v/>
      </c>
      <c r="S43" s="24"/>
      <c r="T43" s="26"/>
      <c r="AH43" s="150" t="str">
        <f>LEFT(F2192,1)&amp;RIGHT(F2192,1)</f>
        <v>DE</v>
      </c>
      <c r="AI43" s="151" t="str">
        <f ca="1">G2192</f>
        <v/>
      </c>
      <c r="AJ43" s="151" t="str">
        <f ca="1">I2192</f>
        <v/>
      </c>
      <c r="AK43" s="150" t="s">
        <v>3910</v>
      </c>
      <c r="AL43" s="150" t="s">
        <v>5446</v>
      </c>
      <c r="AM43" s="150"/>
      <c r="AN43" s="152"/>
      <c r="AO43" s="152"/>
      <c r="AP43" s="152"/>
      <c r="AQ43" s="152"/>
      <c r="AR43" s="152"/>
      <c r="AS43" s="152"/>
      <c r="AT43" s="152"/>
      <c r="AU43" s="152"/>
      <c r="AV43" s="152"/>
      <c r="AW43" s="152"/>
    </row>
    <row r="44" spans="1:49" ht="12.75" customHeight="1">
      <c r="A44" s="324"/>
      <c r="B44" s="308" t="str">
        <f ca="1">IF($B36="Missing Player",$B36,"")</f>
        <v/>
      </c>
      <c r="C44" s="309"/>
      <c r="D44" s="309"/>
      <c r="E44" s="309"/>
      <c r="F44" s="309"/>
      <c r="G44" s="310"/>
      <c r="H44" s="270"/>
      <c r="I44" s="270"/>
      <c r="J44" s="270"/>
      <c r="K44" s="270"/>
      <c r="L44" s="270"/>
      <c r="M44" s="262"/>
      <c r="N44" s="263"/>
      <c r="O44" s="263"/>
      <c r="P44" s="264"/>
      <c r="Q44" s="139" t="str">
        <f ca="1">IF($Q43&lt;&gt;"",IF($B46&lt;&gt;"Missing Player",IF($Q43="W",IF(SUM(IF($H43&gt;$H45,1,0),IF($I43&gt;$I45,1,0),IF($J43&gt;$J45,1,0),IF($K43&gt;$K45,1,0),IF($L43&gt;$L45,1,0))&lt;&gt;3,"Error",""),""),""),"")</f>
        <v/>
      </c>
      <c r="R44" s="328" t="str">
        <f>$A10</f>
        <v/>
      </c>
      <c r="S44" s="328"/>
      <c r="T44" s="328"/>
      <c r="U44" s="328"/>
      <c r="V44" s="328"/>
      <c r="W44" s="328"/>
      <c r="X44" s="256" t="str">
        <f>CONCATENATE("(",$B9," vs ",$K9,")")</f>
        <v>(A vs C)</v>
      </c>
      <c r="Y44" s="256"/>
      <c r="Z44" s="328" t="str">
        <f>$J10</f>
        <v/>
      </c>
      <c r="AA44" s="328"/>
      <c r="AB44" s="328"/>
      <c r="AC44" s="328"/>
      <c r="AD44" s="328"/>
      <c r="AE44" s="328"/>
      <c r="AF44" s="43"/>
      <c r="AH44" s="150" t="str">
        <f>LEFT(F2243,1)&amp;RIGHT(F2243,1)</f>
        <v>DF</v>
      </c>
      <c r="AI44" s="151" t="str">
        <f ca="1">G2243</f>
        <v/>
      </c>
      <c r="AJ44" s="151" t="str">
        <f ca="1">I2243</f>
        <v/>
      </c>
      <c r="AK44" s="150" t="s">
        <v>3911</v>
      </c>
      <c r="AL44" s="150" t="s">
        <v>5447</v>
      </c>
      <c r="AM44" s="150"/>
      <c r="AN44" s="152"/>
      <c r="AO44" s="152"/>
      <c r="AP44" s="152"/>
      <c r="AQ44" s="152"/>
      <c r="AR44" s="152"/>
      <c r="AS44" s="152"/>
      <c r="AT44" s="152"/>
      <c r="AU44" s="152"/>
      <c r="AV44" s="152"/>
      <c r="AW44" s="152"/>
    </row>
    <row r="45" spans="1:49" ht="12.75" customHeight="1">
      <c r="A45" s="325" t="str">
        <f>K9</f>
        <v>C</v>
      </c>
      <c r="B45" s="311" t="str">
        <f ca="1">IF($B17&lt;&gt;"",$B17,"")</f>
        <v/>
      </c>
      <c r="C45" s="312"/>
      <c r="D45" s="312"/>
      <c r="E45" s="312"/>
      <c r="F45" s="312"/>
      <c r="G45" s="313"/>
      <c r="H45" s="265"/>
      <c r="I45" s="265"/>
      <c r="J45" s="265"/>
      <c r="K45" s="265"/>
      <c r="L45" s="265" t="str">
        <f ca="1">IF($B38&lt;&gt;"",IF(AND($B38="Missing Player",$G47=2,$J47=2),0,IF(AND($B36="Missing Player",$G47=2,$J47=2),11,"")),"")</f>
        <v/>
      </c>
      <c r="M45" s="267" t="s">
        <v>1237</v>
      </c>
      <c r="N45" s="268"/>
      <c r="O45" s="268"/>
      <c r="P45" s="269"/>
      <c r="Q45" s="138" t="str">
        <f ca="1">IF(Q43&lt;&gt;"",IF(Q43="W","L","W"),"")</f>
        <v/>
      </c>
      <c r="R45" s="43"/>
      <c r="S45" s="43"/>
      <c r="T45" s="43"/>
      <c r="U45" s="43"/>
      <c r="V45" s="43"/>
      <c r="W45" s="43"/>
      <c r="X45" s="43"/>
      <c r="Y45" s="43"/>
      <c r="Z45" s="43"/>
      <c r="AA45" s="43"/>
      <c r="AB45" s="43"/>
      <c r="AC45" s="43"/>
      <c r="AD45" s="43"/>
      <c r="AE45" s="43"/>
      <c r="AF45" s="43"/>
      <c r="AG45" s="24"/>
      <c r="AH45" s="150" t="str">
        <f>LEFT(F2294,1)&amp;RIGHT(F2294,1)</f>
        <v>DG</v>
      </c>
      <c r="AI45" s="151" t="str">
        <f ca="1">G2294</f>
        <v/>
      </c>
      <c r="AJ45" s="151" t="str">
        <f ca="1">I2294</f>
        <v/>
      </c>
      <c r="AK45" s="150" t="s">
        <v>3912</v>
      </c>
      <c r="AL45" s="150" t="s">
        <v>5448</v>
      </c>
      <c r="AM45" s="150"/>
      <c r="AN45" s="152"/>
      <c r="AO45" s="152"/>
      <c r="AP45" s="152"/>
      <c r="AQ45" s="152"/>
      <c r="AR45" s="152"/>
      <c r="AS45" s="152"/>
      <c r="AT45" s="152"/>
      <c r="AU45" s="152"/>
      <c r="AV45" s="152"/>
      <c r="AW45" s="152"/>
    </row>
    <row r="46" spans="1:49" ht="12.75" customHeight="1">
      <c r="A46" s="324"/>
      <c r="B46" s="308" t="str">
        <f ca="1">IF($B38="Missing Player",$B38,"")</f>
        <v/>
      </c>
      <c r="C46" s="309"/>
      <c r="D46" s="309"/>
      <c r="E46" s="309"/>
      <c r="F46" s="309"/>
      <c r="G46" s="310"/>
      <c r="H46" s="270"/>
      <c r="I46" s="270"/>
      <c r="J46" s="266"/>
      <c r="K46" s="266"/>
      <c r="L46" s="266"/>
      <c r="M46" s="267"/>
      <c r="N46" s="268"/>
      <c r="O46" s="268"/>
      <c r="P46" s="269"/>
      <c r="Q46" s="139" t="str">
        <f ca="1">IF($Q45&lt;&gt;"",IF($B44&lt;&gt;"Missing Player",IF($Q45="W",IF(SUM(IF($H45&gt;$H43,1,0),IF($I45&gt;$I43,1,0),IF($J45&gt;$J43,1,0),IF($K45&gt;$K43,1,0),IF($L45&gt;$L43,1,0))&lt;&gt;3,"Error",""),""),""),"")</f>
        <v/>
      </c>
      <c r="R46" s="43" t="str">
        <f>A34</f>
        <v>4th Singles</v>
      </c>
      <c r="S46" s="43"/>
      <c r="T46" s="43"/>
      <c r="U46" s="43"/>
      <c r="V46" s="43"/>
      <c r="W46" s="43"/>
      <c r="X46" s="43"/>
      <c r="Y46" s="43"/>
      <c r="Z46" s="43"/>
      <c r="AA46" s="43"/>
      <c r="AB46" s="43"/>
      <c r="AC46" s="43"/>
      <c r="AD46" s="43"/>
      <c r="AE46" s="43"/>
      <c r="AF46" s="43"/>
      <c r="AH46" s="150" t="str">
        <f>LEFT(F2345,1)&amp;RIGHT(F2345,1)</f>
        <v>DH</v>
      </c>
      <c r="AI46" s="151" t="str">
        <f ca="1">G2345</f>
        <v/>
      </c>
      <c r="AJ46" s="151" t="str">
        <f ca="1">I2345</f>
        <v/>
      </c>
      <c r="AK46" s="150" t="s">
        <v>3913</v>
      </c>
      <c r="AL46" s="150" t="s">
        <v>5449</v>
      </c>
      <c r="AM46" s="150"/>
      <c r="AN46" s="152"/>
      <c r="AO46" s="152"/>
      <c r="AP46" s="152"/>
      <c r="AQ46" s="152"/>
      <c r="AR46" s="152"/>
      <c r="AS46" s="152"/>
      <c r="AT46" s="152"/>
      <c r="AU46" s="152"/>
      <c r="AV46" s="152"/>
      <c r="AW46" s="152"/>
    </row>
    <row r="47" spans="1:49" ht="12.75" customHeight="1">
      <c r="G47" s="66">
        <f ca="1">COUNTIF($Q15:$Q15,"W")+COUNTIF($Q22:$Q22,"W")+COUNTIF($Q29:$Q29,"W")+COUNTIF($Q36:$Q36,"W")</f>
        <v>0</v>
      </c>
      <c r="J47" s="66">
        <f ca="1">COUNTIF($Q17:$Q17,"W")+COUNTIF($Q24:$Q24,"W")+COUNTIF($Q31:$Q31,"W")+COUNTIF($Q38:$Q38,"W")</f>
        <v>0</v>
      </c>
      <c r="R47" s="60" t="s">
        <v>1228</v>
      </c>
      <c r="S47" s="339" t="s">
        <v>1126</v>
      </c>
      <c r="T47" s="340"/>
      <c r="U47" s="340"/>
      <c r="V47" s="340"/>
      <c r="W47" s="340"/>
      <c r="X47" s="341"/>
      <c r="Y47" s="60">
        <v>1</v>
      </c>
      <c r="Z47" s="60">
        <v>2</v>
      </c>
      <c r="AA47" s="60">
        <v>3</v>
      </c>
      <c r="AB47" s="60">
        <v>4</v>
      </c>
      <c r="AC47" s="60">
        <v>5</v>
      </c>
      <c r="AD47" s="342"/>
      <c r="AE47" s="343"/>
      <c r="AF47" s="344"/>
      <c r="AH47" s="150" t="str">
        <f>LEFT(F2396,1)&amp;RIGHT(F2396,1)</f>
        <v>DI</v>
      </c>
      <c r="AI47" s="151" t="str">
        <f ca="1">G2396</f>
        <v/>
      </c>
      <c r="AJ47" s="151" t="str">
        <f ca="1">I2396</f>
        <v/>
      </c>
      <c r="AK47" s="150" t="s">
        <v>3914</v>
      </c>
      <c r="AL47" s="150" t="s">
        <v>5450</v>
      </c>
      <c r="AM47" s="150"/>
      <c r="AN47" s="152"/>
      <c r="AO47" s="152"/>
      <c r="AP47" s="152"/>
      <c r="AQ47" s="152"/>
      <c r="AR47" s="152"/>
      <c r="AS47" s="152"/>
      <c r="AT47" s="152"/>
      <c r="AU47" s="152"/>
      <c r="AV47" s="152"/>
      <c r="AW47" s="152"/>
    </row>
    <row r="48" spans="1:49" ht="12.75" customHeight="1" thickBot="1">
      <c r="F48" s="246" t="s">
        <v>1238</v>
      </c>
      <c r="G48" s="246"/>
      <c r="H48" s="246"/>
      <c r="I48" s="246"/>
      <c r="J48" s="246"/>
      <c r="K48" s="246"/>
      <c r="R48" s="300" t="str">
        <f>B9</f>
        <v>A</v>
      </c>
      <c r="S48" s="331" t="str">
        <f ca="1">IF($B36&lt;&gt;"",$B36,"")</f>
        <v/>
      </c>
      <c r="T48" s="353"/>
      <c r="U48" s="353"/>
      <c r="V48" s="353"/>
      <c r="W48" s="353"/>
      <c r="X48" s="354"/>
      <c r="Y48" s="329"/>
      <c r="Z48" s="329"/>
      <c r="AA48" s="351"/>
      <c r="AB48" s="351"/>
      <c r="AC48" s="351"/>
      <c r="AD48" s="345"/>
      <c r="AE48" s="346"/>
      <c r="AF48" s="347"/>
      <c r="AH48" s="150" t="str">
        <f>LEFT(F2447,1)&amp;RIGHT(F2447,1)</f>
        <v>DJ</v>
      </c>
      <c r="AI48" s="151" t="str">
        <f ca="1">G2447</f>
        <v/>
      </c>
      <c r="AJ48" s="151" t="str">
        <f ca="1">I2447</f>
        <v/>
      </c>
      <c r="AK48" s="150" t="s">
        <v>3915</v>
      </c>
      <c r="AL48" s="150" t="s">
        <v>5451</v>
      </c>
      <c r="AM48" s="150"/>
      <c r="AN48" s="152"/>
      <c r="AO48" s="152"/>
      <c r="AP48" s="152"/>
      <c r="AQ48" s="152"/>
      <c r="AR48" s="152"/>
      <c r="AS48" s="152"/>
      <c r="AT48" s="152"/>
      <c r="AU48" s="152"/>
      <c r="AV48" s="152"/>
      <c r="AW48" s="152"/>
    </row>
    <row r="49" spans="1:49" ht="12.75" customHeight="1">
      <c r="A49" s="22"/>
      <c r="B49" s="22"/>
      <c r="C49" s="22"/>
      <c r="D49" s="22"/>
      <c r="E49" s="22"/>
      <c r="G49" s="304" t="str">
        <f>B9</f>
        <v>A</v>
      </c>
      <c r="H49" s="305"/>
      <c r="I49" s="302" t="str">
        <f>K9</f>
        <v>C</v>
      </c>
      <c r="J49" s="303"/>
      <c r="L49" s="22"/>
      <c r="M49" s="22"/>
      <c r="N49" s="22"/>
      <c r="O49" s="22"/>
      <c r="P49" s="22"/>
      <c r="R49" s="301"/>
      <c r="S49" s="355"/>
      <c r="T49" s="356"/>
      <c r="U49" s="356"/>
      <c r="V49" s="356"/>
      <c r="W49" s="356"/>
      <c r="X49" s="357"/>
      <c r="Y49" s="338"/>
      <c r="Z49" s="338"/>
      <c r="AA49" s="352"/>
      <c r="AB49" s="352"/>
      <c r="AC49" s="352"/>
      <c r="AD49" s="348"/>
      <c r="AE49" s="349"/>
      <c r="AF49" s="350"/>
      <c r="AH49" s="150" t="str">
        <f>LEFT(F2498,1)&amp;RIGHT(F2498,1)</f>
        <v>DK</v>
      </c>
      <c r="AI49" s="151" t="str">
        <f ca="1">G2498</f>
        <v/>
      </c>
      <c r="AJ49" s="151" t="str">
        <f ca="1">I2498</f>
        <v/>
      </c>
      <c r="AK49" s="150" t="s">
        <v>3916</v>
      </c>
      <c r="AL49" s="150" t="s">
        <v>3937</v>
      </c>
      <c r="AM49" s="150"/>
      <c r="AN49" s="152"/>
      <c r="AO49" s="152"/>
      <c r="AP49" s="152"/>
      <c r="AQ49" s="152"/>
      <c r="AR49" s="152"/>
      <c r="AS49" s="152"/>
      <c r="AT49" s="152"/>
      <c r="AU49" s="152"/>
      <c r="AV49" s="152"/>
      <c r="AW49" s="152"/>
    </row>
    <row r="50" spans="1:49" ht="12.75" customHeight="1" thickBot="1">
      <c r="A50" s="2" t="s">
        <v>1228</v>
      </c>
      <c r="B50" s="53" t="str">
        <f>$B9</f>
        <v>A</v>
      </c>
      <c r="C50" s="3" t="s">
        <v>1226</v>
      </c>
      <c r="F50" s="66" t="str">
        <f>CONCATENATE($B9,"-",$K9)</f>
        <v>A-C</v>
      </c>
      <c r="G50" s="320" t="str">
        <f ca="1">IF(OR(Q15&lt;&gt;"",Q22&lt;&gt;"",Q29&lt;&gt;"",Q36&lt;&gt;"",Q43&lt;&gt;""),COUNTIF(Q15:Q15,"W")+COUNTIF(Q22:Q22,"W")+COUNTIF(Q29:Q29,"W")+COUNTIF(Q36:Q36,"W")+COUNTIF(Q43:Q43,"W"),"")</f>
        <v/>
      </c>
      <c r="H50" s="321"/>
      <c r="I50" s="322" t="str">
        <f ca="1">IF(OR(Q17&lt;&gt;"",Q24&lt;&gt;"",Q31&lt;&gt;"",Q38&lt;&gt;"",Q45&lt;&gt;""),COUNTIF(Q17:Q17,"W")+COUNTIF(Q24:Q24,"W")+COUNTIF(Q31:Q31,"W")+COUNTIF(Q38:Q38,"W")+COUNTIF(Q45:Q45,"W"),"")</f>
        <v/>
      </c>
      <c r="J50" s="323"/>
      <c r="L50" s="2" t="s">
        <v>1228</v>
      </c>
      <c r="M50" s="53" t="str">
        <f>$K9</f>
        <v>C</v>
      </c>
      <c r="N50" s="3" t="s">
        <v>1226</v>
      </c>
      <c r="R50" s="300" t="str">
        <f>K9</f>
        <v>C</v>
      </c>
      <c r="S50" s="331" t="str">
        <f ca="1">IF($B38&lt;&gt;"",$B38,"")</f>
        <v/>
      </c>
      <c r="T50" s="332"/>
      <c r="U50" s="332"/>
      <c r="V50" s="332"/>
      <c r="W50" s="332"/>
      <c r="X50" s="333"/>
      <c r="Y50" s="329"/>
      <c r="Z50" s="329"/>
      <c r="AA50" s="351"/>
      <c r="AB50" s="351"/>
      <c r="AC50" s="351"/>
      <c r="AD50" s="363" t="s">
        <v>1237</v>
      </c>
      <c r="AE50" s="358"/>
      <c r="AF50" s="359"/>
      <c r="AG50" s="27"/>
      <c r="AH50" s="150" t="str">
        <f>LEFT(F2549,1)&amp;RIGHT(F2549,1)</f>
        <v>DL</v>
      </c>
      <c r="AI50" s="151" t="str">
        <f ca="1">G2549</f>
        <v/>
      </c>
      <c r="AJ50" s="151" t="str">
        <f ca="1">I2549</f>
        <v/>
      </c>
      <c r="AK50" s="150" t="s">
        <v>3917</v>
      </c>
      <c r="AL50" s="150" t="s">
        <v>5452</v>
      </c>
      <c r="AM50" s="150"/>
      <c r="AN50" s="152"/>
      <c r="AO50" s="152"/>
      <c r="AP50" s="152"/>
      <c r="AQ50" s="152"/>
      <c r="AR50" s="152"/>
      <c r="AS50" s="152"/>
      <c r="AT50" s="152"/>
      <c r="AU50" s="152"/>
      <c r="AV50" s="152"/>
      <c r="AW50" s="152"/>
    </row>
    <row r="51" spans="1:49" ht="12.75" customHeight="1">
      <c r="F51" s="25" t="s">
        <v>3996</v>
      </c>
      <c r="G51" s="23"/>
      <c r="H51" s="23"/>
      <c r="I51" s="23"/>
      <c r="J51" s="23"/>
      <c r="K51" s="24"/>
      <c r="R51" s="330"/>
      <c r="S51" s="334"/>
      <c r="T51" s="335"/>
      <c r="U51" s="335"/>
      <c r="V51" s="335"/>
      <c r="W51" s="335"/>
      <c r="X51" s="336"/>
      <c r="Y51" s="330"/>
      <c r="Z51" s="330"/>
      <c r="AA51" s="330"/>
      <c r="AB51" s="330"/>
      <c r="AC51" s="330"/>
      <c r="AD51" s="360"/>
      <c r="AE51" s="361"/>
      <c r="AF51" s="362"/>
      <c r="AG51" s="24"/>
      <c r="AH51" s="150" t="str">
        <f>LEFT(F2600,1)&amp;RIGHT(F2600,1)</f>
        <v>EI</v>
      </c>
      <c r="AI51" s="151" t="str">
        <f ca="1">G2600</f>
        <v/>
      </c>
      <c r="AJ51" s="151" t="str">
        <f ca="1">I2600</f>
        <v/>
      </c>
      <c r="AK51" s="150" t="s">
        <v>3918</v>
      </c>
      <c r="AL51" s="150" t="s">
        <v>5453</v>
      </c>
      <c r="AM51" s="150"/>
      <c r="AN51" s="152"/>
      <c r="AO51" s="152"/>
      <c r="AP51" s="152"/>
      <c r="AQ51" s="152"/>
      <c r="AR51" s="152"/>
      <c r="AS51" s="152"/>
      <c r="AT51" s="152"/>
      <c r="AU51" s="152"/>
      <c r="AV51" s="152"/>
      <c r="AW51" s="152"/>
    </row>
    <row r="52" spans="1:49" ht="12.75" customHeight="1">
      <c r="R52" s="1"/>
      <c r="S52" s="110"/>
      <c r="T52" s="110"/>
      <c r="U52" s="110"/>
      <c r="V52" s="110"/>
      <c r="W52" s="110"/>
      <c r="X52" s="111"/>
      <c r="Y52" s="111"/>
      <c r="Z52" s="111"/>
      <c r="AA52" s="111"/>
      <c r="AH52" s="150" t="str">
        <f>LEFT(F2651,1)&amp;RIGHT(F2651,1)</f>
        <v>EJ</v>
      </c>
      <c r="AI52" s="151" t="str">
        <f ca="1">G2651</f>
        <v/>
      </c>
      <c r="AJ52" s="151" t="str">
        <f ca="1">I2651</f>
        <v/>
      </c>
      <c r="AK52" s="150" t="s">
        <v>3919</v>
      </c>
      <c r="AL52" s="150" t="s">
        <v>5454</v>
      </c>
      <c r="AM52" s="150"/>
      <c r="AN52" s="152"/>
      <c r="AO52" s="152"/>
      <c r="AP52" s="152"/>
      <c r="AQ52" s="152"/>
      <c r="AR52" s="152"/>
      <c r="AS52" s="152"/>
      <c r="AT52" s="152"/>
      <c r="AU52" s="152"/>
      <c r="AV52" s="152"/>
      <c r="AW52" s="152"/>
    </row>
    <row r="53" spans="1:49" ht="12.75" customHeight="1">
      <c r="F53" s="246" t="s">
        <v>4929</v>
      </c>
      <c r="G53" s="246"/>
      <c r="H53" s="246"/>
      <c r="I53" s="246"/>
      <c r="R53" s="1"/>
      <c r="S53" s="110"/>
      <c r="T53" s="110"/>
      <c r="U53" s="110"/>
      <c r="V53" s="110"/>
      <c r="W53" s="110"/>
      <c r="X53" s="111"/>
      <c r="Y53" s="111"/>
      <c r="Z53" s="111"/>
      <c r="AA53" s="111"/>
      <c r="AH53" s="150" t="str">
        <f>LEFT(F2702,1)&amp;RIGHT(F2702,1)</f>
        <v>EK</v>
      </c>
      <c r="AI53" s="151" t="str">
        <f ca="1">G2702</f>
        <v/>
      </c>
      <c r="AJ53" s="151" t="str">
        <f ca="1">I2702</f>
        <v/>
      </c>
      <c r="AK53" s="150" t="s">
        <v>3920</v>
      </c>
      <c r="AL53" s="150" t="s">
        <v>5455</v>
      </c>
      <c r="AM53" s="150"/>
      <c r="AN53" s="152"/>
      <c r="AO53" s="152"/>
      <c r="AP53" s="152"/>
      <c r="AQ53" s="152"/>
      <c r="AR53" s="152"/>
      <c r="AS53" s="152"/>
      <c r="AT53" s="152"/>
      <c r="AU53" s="152"/>
      <c r="AV53" s="152"/>
      <c r="AW53" s="152"/>
    </row>
    <row r="54" spans="1:49" ht="12.75" customHeight="1">
      <c r="F54" s="246" t="s">
        <v>4930</v>
      </c>
      <c r="G54" s="246"/>
      <c r="H54" s="246"/>
      <c r="I54" s="246"/>
      <c r="R54" s="1"/>
      <c r="S54" s="110"/>
      <c r="T54" s="110"/>
      <c r="U54" s="110"/>
      <c r="V54" s="110"/>
      <c r="W54" s="110"/>
      <c r="X54" s="111"/>
      <c r="Y54" s="111"/>
      <c r="Z54" s="111"/>
      <c r="AA54" s="111"/>
      <c r="AH54" s="150" t="str">
        <f>LEFT(F2753,1)&amp;RIGHT(F2753,1)</f>
        <v>EL</v>
      </c>
      <c r="AI54" s="151" t="str">
        <f ca="1">G2753</f>
        <v/>
      </c>
      <c r="AJ54" s="151" t="str">
        <f ca="1">I2753</f>
        <v/>
      </c>
      <c r="AK54" s="150" t="s">
        <v>3921</v>
      </c>
      <c r="AL54" s="150" t="s">
        <v>5456</v>
      </c>
      <c r="AM54" s="150"/>
      <c r="AN54" s="152"/>
      <c r="AO54" s="152"/>
      <c r="AP54" s="152"/>
      <c r="AQ54" s="152"/>
      <c r="AR54" s="152"/>
      <c r="AS54" s="152"/>
      <c r="AT54" s="152"/>
      <c r="AU54" s="152"/>
      <c r="AV54" s="152"/>
      <c r="AW54" s="152"/>
    </row>
    <row r="55" spans="1:49" ht="12.75" customHeight="1">
      <c r="K55" s="281" t="s">
        <v>1244</v>
      </c>
      <c r="L55" s="281"/>
      <c r="M55" s="281"/>
      <c r="N55" s="281"/>
      <c r="O55" s="281"/>
      <c r="P55" s="281"/>
      <c r="R55" s="1"/>
      <c r="S55" s="110"/>
      <c r="T55" s="110"/>
      <c r="U55" s="110"/>
      <c r="V55" s="110"/>
      <c r="W55" s="110"/>
      <c r="X55" s="111"/>
      <c r="Y55" s="111"/>
      <c r="Z55" s="111"/>
      <c r="AA55" s="111"/>
      <c r="AH55" s="150" t="str">
        <f>LEFT(F2804,1)&amp;RIGHT(F2804,1)</f>
        <v>FI</v>
      </c>
      <c r="AI55" s="151" t="str">
        <f ca="1">G2804</f>
        <v/>
      </c>
      <c r="AJ55" s="151" t="str">
        <f ca="1">I2804</f>
        <v/>
      </c>
      <c r="AK55" s="150" t="s">
        <v>3922</v>
      </c>
      <c r="AL55" s="150" t="s">
        <v>5457</v>
      </c>
      <c r="AM55" s="150"/>
      <c r="AN55" s="152"/>
      <c r="AO55" s="152"/>
      <c r="AP55" s="152"/>
      <c r="AQ55" s="152"/>
      <c r="AR55" s="152"/>
      <c r="AS55" s="152"/>
      <c r="AT55" s="152"/>
      <c r="AU55" s="152"/>
      <c r="AV55" s="152"/>
      <c r="AW55" s="152"/>
    </row>
    <row r="56" spans="1:49" ht="12.75" customHeight="1">
      <c r="A56" s="12" t="s">
        <v>1229</v>
      </c>
      <c r="B56" s="11"/>
      <c r="C56" s="11"/>
      <c r="D56" s="11" t="str">
        <f>Draw!$B$1</f>
        <v>Enter Division Name</v>
      </c>
      <c r="E56" s="11"/>
      <c r="F56" s="7"/>
      <c r="G56" s="6"/>
      <c r="H56" s="7"/>
      <c r="I56" s="11"/>
      <c r="J56" s="11"/>
      <c r="K56" s="11"/>
      <c r="L56" s="11"/>
      <c r="M56" s="281"/>
      <c r="N56" s="281"/>
      <c r="O56" s="281"/>
      <c r="P56" s="281"/>
      <c r="R56" s="1"/>
      <c r="S56" s="110"/>
      <c r="T56" s="110"/>
      <c r="U56" s="110"/>
      <c r="V56" s="110"/>
      <c r="W56" s="110"/>
      <c r="X56" s="111"/>
      <c r="Y56" s="111"/>
      <c r="Z56" s="111"/>
      <c r="AA56" s="111"/>
      <c r="AH56" s="150" t="str">
        <f>LEFT(F2855,1)&amp;RIGHT(F2855,1)</f>
        <v>FJ</v>
      </c>
      <c r="AI56" s="151" t="str">
        <f ca="1">G2855</f>
        <v/>
      </c>
      <c r="AJ56" s="151" t="str">
        <f ca="1">I2855</f>
        <v/>
      </c>
      <c r="AK56" s="150" t="s">
        <v>3923</v>
      </c>
      <c r="AL56" s="150" t="s">
        <v>5458</v>
      </c>
      <c r="AM56" s="150"/>
      <c r="AN56" s="152"/>
      <c r="AO56" s="152"/>
      <c r="AP56" s="152"/>
      <c r="AQ56" s="152"/>
      <c r="AR56" s="152"/>
      <c r="AS56" s="152"/>
      <c r="AT56" s="152"/>
      <c r="AU56" s="152"/>
      <c r="AV56" s="152"/>
      <c r="AW56" s="152"/>
    </row>
    <row r="57" spans="1:49" ht="12.75" customHeight="1">
      <c r="A57" s="2" t="s">
        <v>1230</v>
      </c>
      <c r="D57" s="43" t="str">
        <f>Draw!$D$1</f>
        <v>Enter Hosting Location (City, ST)</v>
      </c>
      <c r="J57" s="43" t="str">
        <f ca="1">$J$6</f>
        <v>[NCTTA Teams Template (v2.06).xlsx]</v>
      </c>
      <c r="R57" s="1"/>
      <c r="S57" s="110"/>
      <c r="T57" s="110"/>
      <c r="U57" s="110"/>
      <c r="V57" s="110"/>
      <c r="W57" s="110"/>
      <c r="X57" s="111"/>
      <c r="Y57" s="111"/>
      <c r="Z57" s="111"/>
      <c r="AA57" s="111"/>
      <c r="AH57" s="150" t="str">
        <f>LEFT(F2906,1)&amp;RIGHT(F2906,1)</f>
        <v>FK</v>
      </c>
      <c r="AI57" s="151" t="str">
        <f ca="1">G2906</f>
        <v/>
      </c>
      <c r="AJ57" s="151" t="str">
        <f ca="1">I2906</f>
        <v/>
      </c>
      <c r="AK57" s="150" t="s">
        <v>3924</v>
      </c>
      <c r="AL57" s="150" t="s">
        <v>5459</v>
      </c>
      <c r="AM57" s="150"/>
      <c r="AN57" s="152"/>
      <c r="AO57" s="152"/>
      <c r="AP57" s="152"/>
      <c r="AQ57" s="152"/>
      <c r="AR57" s="152"/>
      <c r="AS57" s="152"/>
      <c r="AT57" s="152"/>
      <c r="AU57" s="152"/>
      <c r="AV57" s="152"/>
      <c r="AW57" s="152"/>
    </row>
    <row r="58" spans="1:49" ht="12.75" customHeight="1">
      <c r="A58" s="2" t="s">
        <v>1231</v>
      </c>
      <c r="D58" s="337" t="str">
        <f>Draw!$P$1</f>
        <v>Enter Date</v>
      </c>
      <c r="E58" s="337"/>
      <c r="F58" s="337"/>
      <c r="G58" s="337"/>
      <c r="J58" s="280" t="str">
        <f>CHOOSE(Draw!$T$1,"Round 1, Match 2","Round 1, Match 2","Round 1, Match 2","Round 2, Match 1","Round 1, Match 2","Round 1, Match 2","Round 1, Match 2","Round 1, Match 2","Round 1, Match 2","Round 1, Match 2","Round 1, Match 2")</f>
        <v>Round 1, Match 2</v>
      </c>
      <c r="K58" s="280"/>
      <c r="L58" s="280"/>
      <c r="M58" s="276" t="str">
        <f>IF(AND($J58&lt;&gt;"",Draw!$AC$10&lt;&gt;"",Draw!$AC$13&lt;&gt;""),Draw!$AC$10+TIME(0,VALUE(MID($J58,7,FIND(",",$J58)-FIND(" ",$J58)-1)-1)*Draw!$AC$13,0),"")</f>
        <v/>
      </c>
      <c r="N58" s="276"/>
      <c r="O58" s="157" t="str">
        <f>$F101</f>
        <v>B-D</v>
      </c>
      <c r="R58" s="1"/>
      <c r="S58" s="110"/>
      <c r="T58" s="110"/>
      <c r="U58" s="110"/>
      <c r="V58" s="110"/>
      <c r="W58" s="110"/>
      <c r="X58" s="111"/>
      <c r="Y58" s="111"/>
      <c r="Z58" s="111"/>
      <c r="AA58" s="111"/>
      <c r="AH58" s="150" t="str">
        <f>LEFT(F2957,1)&amp;RIGHT(F2957,1)</f>
        <v>FL</v>
      </c>
      <c r="AI58" s="151" t="str">
        <f ca="1">G2957</f>
        <v/>
      </c>
      <c r="AJ58" s="151" t="str">
        <f ca="1">I2957</f>
        <v/>
      </c>
      <c r="AK58" s="150" t="s">
        <v>3925</v>
      </c>
      <c r="AL58" s="150" t="s">
        <v>5460</v>
      </c>
      <c r="AM58" s="150"/>
      <c r="AN58" s="152"/>
      <c r="AO58" s="152"/>
      <c r="AP58" s="152"/>
      <c r="AQ58" s="152"/>
      <c r="AR58" s="152"/>
      <c r="AS58" s="152"/>
      <c r="AT58" s="152"/>
      <c r="AU58" s="152"/>
      <c r="AV58" s="152"/>
      <c r="AW58" s="152"/>
    </row>
    <row r="59" spans="1:49" ht="12.75" customHeight="1">
      <c r="A59" s="14"/>
      <c r="B59" s="15"/>
      <c r="C59" s="15"/>
      <c r="D59" s="15"/>
      <c r="E59" s="15"/>
      <c r="F59" s="14"/>
      <c r="G59" s="14"/>
      <c r="H59" s="16"/>
      <c r="I59" s="14"/>
      <c r="J59" s="15"/>
      <c r="K59" s="15"/>
      <c r="L59" s="15"/>
      <c r="M59" s="15"/>
      <c r="N59" s="15"/>
      <c r="O59" s="364" t="str">
        <f>IF(OR(AND(VLOOKUP($B60,$AM$1:$AX$12,12,FALSE)="C",VLOOKUP($K60,$AM$1:$AX$12,12,FALSE)="C"),AND(VLOOKUP($B60,$AM$1:$AX$12,12,FALSE)="W",VLOOKUP($K60,$AM$1:$AX$12,12,FALSE)="W")),"Official",IF(AND($A61="",$J61=""),"","Scrimmage"))</f>
        <v/>
      </c>
      <c r="P59" s="364"/>
      <c r="R59" s="1"/>
      <c r="S59" s="110"/>
      <c r="T59" s="110"/>
      <c r="U59" s="110"/>
      <c r="V59" s="110"/>
      <c r="W59" s="110"/>
      <c r="X59" s="111"/>
      <c r="Y59" s="111"/>
      <c r="Z59" s="111"/>
      <c r="AA59" s="111"/>
      <c r="AH59" s="150" t="str">
        <f>LEFT(F3008,1)&amp;RIGHT(F3008,1)</f>
        <v>GI</v>
      </c>
      <c r="AI59" s="151" t="str">
        <f ca="1">G3008</f>
        <v/>
      </c>
      <c r="AJ59" s="151" t="str">
        <f ca="1">I3008</f>
        <v/>
      </c>
      <c r="AK59" s="150" t="s">
        <v>3926</v>
      </c>
      <c r="AL59" s="150" t="s">
        <v>5461</v>
      </c>
      <c r="AM59" s="150"/>
      <c r="AN59" s="152"/>
      <c r="AO59" s="152"/>
      <c r="AP59" s="152"/>
      <c r="AQ59" s="152"/>
      <c r="AR59" s="152"/>
      <c r="AS59" s="152"/>
      <c r="AT59" s="152"/>
      <c r="AU59" s="152"/>
      <c r="AV59" s="152"/>
      <c r="AW59" s="152"/>
    </row>
    <row r="60" spans="1:49" ht="12.75" customHeight="1">
      <c r="A60" s="17" t="s">
        <v>1228</v>
      </c>
      <c r="B60" s="119" t="str">
        <f>CHOOSE(Draw!$T$1,"B","B","B","A","C","B","C","B","C","B","C")</f>
        <v>B</v>
      </c>
      <c r="C60" s="135">
        <f>VLOOKUP($B60,$AM$1:$AN$12,2)</f>
        <v>2</v>
      </c>
      <c r="D60" s="13"/>
      <c r="E60" s="13"/>
      <c r="F60" s="10"/>
      <c r="H60" s="19" t="s">
        <v>1232</v>
      </c>
      <c r="J60" s="17" t="s">
        <v>1228</v>
      </c>
      <c r="K60" s="119" t="str">
        <f>CHOOSE(Draw!$T$1,"K","E","D","B","D","E","F","G","H","I","J")</f>
        <v>D</v>
      </c>
      <c r="L60" s="135">
        <f>VLOOKUP($K60,$AM$1:$AN$12,2)</f>
        <v>4</v>
      </c>
      <c r="M60" s="13"/>
      <c r="N60" s="13"/>
      <c r="O60" s="18"/>
      <c r="P60" s="274"/>
      <c r="Q60" s="275"/>
      <c r="R60" s="1"/>
      <c r="S60" s="110"/>
      <c r="T60" s="110"/>
      <c r="U60" s="110"/>
      <c r="V60" s="110"/>
      <c r="W60" s="110"/>
      <c r="X60" s="111"/>
      <c r="Y60" s="111"/>
      <c r="Z60" s="111"/>
      <c r="AA60" s="111"/>
      <c r="AH60" s="150" t="str">
        <f>LEFT(F3059,1)&amp;RIGHT(F3059,1)</f>
        <v>GJ</v>
      </c>
      <c r="AI60" s="151" t="str">
        <f ca="1">G3059</f>
        <v/>
      </c>
      <c r="AJ60" s="151" t="str">
        <f ca="1">I3059</f>
        <v/>
      </c>
      <c r="AK60" s="150" t="s">
        <v>3927</v>
      </c>
      <c r="AL60" s="150" t="s">
        <v>5462</v>
      </c>
      <c r="AM60" s="150"/>
      <c r="AN60" s="152"/>
      <c r="AO60" s="152"/>
      <c r="AP60" s="152"/>
      <c r="AQ60" s="152"/>
      <c r="AR60" s="152"/>
      <c r="AS60" s="152"/>
      <c r="AT60" s="152"/>
      <c r="AU60" s="152"/>
      <c r="AV60" s="152"/>
      <c r="AW60" s="152"/>
    </row>
    <row r="61" spans="1:49" ht="12.75" customHeight="1">
      <c r="A61" s="277" t="str">
        <f>IF(VLOOKUP($B60,Draw!$A$4:$B$27,2)&lt;&gt;0,VLOOKUP($B60,Draw!$A$4:$B$27,2),"")</f>
        <v/>
      </c>
      <c r="B61" s="278"/>
      <c r="C61" s="278"/>
      <c r="D61" s="278"/>
      <c r="E61" s="278"/>
      <c r="F61" s="279"/>
      <c r="G61" s="306" t="s">
        <v>4153</v>
      </c>
      <c r="H61" s="288"/>
      <c r="I61" s="326"/>
      <c r="J61" s="277" t="str">
        <f>IF(VLOOKUP($K60,Draw!$A$4:$B$27,2)&lt;&gt;0,VLOOKUP($K60,Draw!$A$4:$B$27,2),"")</f>
        <v/>
      </c>
      <c r="K61" s="278"/>
      <c r="L61" s="278"/>
      <c r="M61" s="278"/>
      <c r="N61" s="278"/>
      <c r="O61" s="279"/>
      <c r="P61" s="15"/>
      <c r="R61" s="1"/>
      <c r="S61" s="110"/>
      <c r="T61" s="110"/>
      <c r="U61" s="110"/>
      <c r="V61" s="110"/>
      <c r="W61" s="110"/>
      <c r="X61" s="111"/>
      <c r="Y61" s="111"/>
      <c r="Z61" s="111"/>
      <c r="AA61" s="111"/>
      <c r="AH61" s="150" t="str">
        <f>LEFT(F3110,1)&amp;RIGHT(F3110,1)</f>
        <v>GK</v>
      </c>
      <c r="AI61" s="151" t="str">
        <f ca="1">G3110</f>
        <v/>
      </c>
      <c r="AJ61" s="151" t="str">
        <f ca="1">I3110</f>
        <v/>
      </c>
      <c r="AK61" s="150" t="s">
        <v>3928</v>
      </c>
      <c r="AL61" s="150" t="s">
        <v>5463</v>
      </c>
      <c r="AM61" s="150"/>
      <c r="AN61" s="152"/>
      <c r="AO61" s="152"/>
      <c r="AP61" s="152"/>
      <c r="AQ61" s="152"/>
      <c r="AR61" s="152"/>
      <c r="AS61" s="152"/>
      <c r="AT61" s="152"/>
      <c r="AU61" s="152"/>
      <c r="AV61" s="152"/>
      <c r="AW61" s="152"/>
    </row>
    <row r="62" spans="1:49" ht="12.75" customHeight="1">
      <c r="A62" s="14"/>
      <c r="B62" s="15"/>
      <c r="C62" s="15"/>
      <c r="D62" s="15"/>
      <c r="E62" s="15"/>
      <c r="F62" s="14"/>
      <c r="G62" s="288" t="str">
        <f>"Page "&amp;VALUE(RIGHT($G61,LEN($G61)-SEARCH("-",$G61)))/2</f>
        <v>Page 2</v>
      </c>
      <c r="H62" s="289"/>
      <c r="I62" s="289"/>
      <c r="J62" s="15"/>
      <c r="K62" s="15"/>
      <c r="L62" s="15"/>
      <c r="M62" s="15"/>
      <c r="N62" s="15"/>
      <c r="O62" s="207"/>
      <c r="P62" s="207"/>
      <c r="R62" s="1"/>
      <c r="S62" s="110"/>
      <c r="T62" s="110"/>
      <c r="U62" s="110"/>
      <c r="V62" s="110"/>
      <c r="W62" s="110"/>
      <c r="X62" s="111"/>
      <c r="Y62" s="111"/>
      <c r="Z62" s="111"/>
      <c r="AA62" s="111"/>
      <c r="AF62" s="27"/>
      <c r="AH62" s="150" t="str">
        <f>LEFT(F3161,1)&amp;RIGHT(F3161,1)</f>
        <v>GL</v>
      </c>
      <c r="AI62" s="151" t="str">
        <f ca="1">G3161</f>
        <v/>
      </c>
      <c r="AJ62" s="151" t="str">
        <f ca="1">I3161</f>
        <v/>
      </c>
      <c r="AK62" s="150" t="s">
        <v>3929</v>
      </c>
      <c r="AL62" s="150" t="s">
        <v>5464</v>
      </c>
      <c r="AM62" s="150"/>
      <c r="AN62" s="152"/>
      <c r="AO62" s="152"/>
      <c r="AP62" s="152"/>
      <c r="AQ62" s="152"/>
      <c r="AR62" s="152"/>
      <c r="AS62" s="152"/>
      <c r="AT62" s="152"/>
      <c r="AU62" s="152"/>
      <c r="AV62" s="152"/>
      <c r="AW62" s="152"/>
    </row>
    <row r="63" spans="1:49" ht="12.75" customHeight="1">
      <c r="A63" s="327" t="s">
        <v>1245</v>
      </c>
      <c r="B63" s="327"/>
      <c r="C63" s="327"/>
      <c r="D63" s="327"/>
      <c r="E63" s="327"/>
      <c r="F63" s="327"/>
      <c r="G63" s="327"/>
      <c r="H63" s="327"/>
      <c r="I63" s="327"/>
      <c r="J63" s="327"/>
      <c r="K63" s="327"/>
      <c r="L63" s="327"/>
      <c r="M63" s="327"/>
      <c r="N63" s="327"/>
      <c r="O63" s="327"/>
      <c r="P63" s="327"/>
      <c r="Q63" s="7"/>
      <c r="R63" s="1"/>
      <c r="S63" s="110"/>
      <c r="T63" s="110"/>
      <c r="U63" s="110"/>
      <c r="V63" s="110"/>
      <c r="W63" s="110"/>
      <c r="X63" s="111"/>
      <c r="Y63" s="111"/>
      <c r="Z63" s="111"/>
      <c r="AA63" s="111"/>
      <c r="AF63" s="20"/>
      <c r="AH63" s="150" t="str">
        <f>LEFT(F3212,1)&amp;RIGHT(F3212,1)</f>
        <v>HI</v>
      </c>
      <c r="AI63" s="151" t="str">
        <f ca="1">G3212</f>
        <v/>
      </c>
      <c r="AJ63" s="151" t="str">
        <f ca="1">I3212</f>
        <v/>
      </c>
      <c r="AK63" s="150" t="s">
        <v>3930</v>
      </c>
      <c r="AL63" s="150" t="s">
        <v>5465</v>
      </c>
      <c r="AM63" s="150"/>
      <c r="AN63" s="152"/>
      <c r="AO63" s="152"/>
      <c r="AP63" s="152"/>
      <c r="AQ63" s="152"/>
      <c r="AR63" s="152"/>
      <c r="AS63" s="152"/>
      <c r="AT63" s="152"/>
      <c r="AU63" s="152"/>
      <c r="AV63" s="152"/>
      <c r="AW63" s="152"/>
    </row>
    <row r="64" spans="1:49" ht="12.75" customHeight="1">
      <c r="A64" s="21" t="s">
        <v>1233</v>
      </c>
      <c r="H64" s="136" t="str">
        <f>IF($Q66&lt;&gt;"",IF(AND(AND($H66&gt;-1,$H68&gt;-1),OR($H66&gt;10,$H68&gt;10),ABS($H66-$H68)&gt;1,IF(OR($H66&gt;11,$H68&gt;11),ABS($H66-$H68)=2,TRUE),$H66=INT($H66),$H68=INT($H68)),"","Error"),"")</f>
        <v/>
      </c>
      <c r="I64" s="136" t="str">
        <f>IF($Q66&lt;&gt;"",IF(AND(AND($I66&gt;-1,$I68&gt;-1),OR($I66&gt;10,$I68&gt;10),ABS($I66-$I68)&gt;1,IF(OR($I66&gt;11,$I68&gt;11),ABS($I66-$I68)=2,TRUE),$I66=INT($I66),$I68=INT($I68)),"","Error"),"")</f>
        <v/>
      </c>
      <c r="J64" s="136" t="str">
        <f>IF($Q66&lt;&gt;"",IF(AND(AND($J66&gt;-1,$J68&gt;-1),OR($J66&gt;10,$J68&gt;10),ABS($J66-$J68)&gt;1,IF(OR($J66&gt;11,$J68&gt;11),ABS($J66-$J68)=2,TRUE),$J66=INT($J66),$J68=INT($J68)),"","Error"),"")</f>
        <v/>
      </c>
      <c r="K64" s="136" t="str">
        <f>IF($Q66&lt;&gt;"",IF(AND($K66&lt;&gt;"",$K68&lt;&gt;""), IF(AND(AND($K66&gt;-1,$K68&gt;-1),OR($K66&gt;10,$K68&gt;10),ABS($K66-$K68)&gt;1,IF(OR($K66&gt;11,$K68&gt;11),ABS($K66-$K68)=2,TRUE),$K66=INT($K66),$K68=INT($K68)),"","Error"),""),"")</f>
        <v/>
      </c>
      <c r="L64" s="136" t="str">
        <f>IF($Q66&lt;&gt;"",IF(AND($L66&lt;&gt;"",$L68&lt;&gt;""), IF(AND(AND($L66&gt;-1,$L68&gt;-1),OR($L66&gt;10,$L68&gt;10),ABS($L66-$L68)&gt;1,IF(OR($L66&gt;11,$L68&gt;11),ABS($L66-$L68)=2,TRUE),$L66=INT($L66),$L68=INT($L68)),"","Error"),""),"")</f>
        <v/>
      </c>
      <c r="R64" s="1"/>
      <c r="S64" s="110"/>
      <c r="T64" s="110"/>
      <c r="U64" s="110"/>
      <c r="V64" s="110"/>
      <c r="W64" s="110"/>
      <c r="X64" s="111"/>
      <c r="Y64" s="111"/>
      <c r="Z64" s="111"/>
      <c r="AA64" s="111"/>
      <c r="AH64" s="150" t="str">
        <f>LEFT(F3263,1)&amp;RIGHT(F3263,1)</f>
        <v>HJ</v>
      </c>
      <c r="AI64" s="151" t="str">
        <f ca="1">G3263</f>
        <v/>
      </c>
      <c r="AJ64" s="151" t="str">
        <f ca="1">I3263</f>
        <v/>
      </c>
      <c r="AK64" s="150" t="s">
        <v>3931</v>
      </c>
      <c r="AL64" s="150" t="s">
        <v>5466</v>
      </c>
      <c r="AM64" s="150"/>
      <c r="AN64" s="152"/>
      <c r="AO64" s="152"/>
      <c r="AP64" s="152"/>
      <c r="AQ64" s="152"/>
      <c r="AR64" s="152"/>
      <c r="AS64" s="152"/>
      <c r="AT64" s="152"/>
      <c r="AU64" s="152"/>
      <c r="AV64" s="152"/>
      <c r="AW64" s="152"/>
    </row>
    <row r="65" spans="1:49" ht="12.75" customHeight="1">
      <c r="A65" s="5" t="s">
        <v>1228</v>
      </c>
      <c r="B65" s="290" t="s">
        <v>1126</v>
      </c>
      <c r="C65" s="291"/>
      <c r="D65" s="291"/>
      <c r="E65" s="291"/>
      <c r="F65" s="291"/>
      <c r="G65" s="292"/>
      <c r="H65" s="5">
        <v>1</v>
      </c>
      <c r="I65" s="5">
        <v>2</v>
      </c>
      <c r="J65" s="5">
        <v>3</v>
      </c>
      <c r="K65" s="5">
        <v>4</v>
      </c>
      <c r="L65" s="5">
        <v>5</v>
      </c>
      <c r="M65" s="271"/>
      <c r="N65" s="272"/>
      <c r="O65" s="272"/>
      <c r="P65" s="273"/>
      <c r="R65" s="1"/>
      <c r="S65" s="110"/>
      <c r="T65" s="110"/>
      <c r="U65" s="110"/>
      <c r="V65" s="110"/>
      <c r="W65" s="110"/>
      <c r="X65" s="111"/>
      <c r="Y65" s="111"/>
      <c r="Z65" s="111"/>
      <c r="AA65" s="111"/>
      <c r="AH65" s="150" t="str">
        <f>LEFT(F3314,1)&amp;RIGHT(F3314,1)</f>
        <v>HK</v>
      </c>
      <c r="AI65" s="151" t="str">
        <f ca="1">G3314</f>
        <v/>
      </c>
      <c r="AJ65" s="151" t="str">
        <f ca="1">I3314</f>
        <v/>
      </c>
      <c r="AK65" s="150" t="s">
        <v>3932</v>
      </c>
      <c r="AL65" s="150" t="s">
        <v>5467</v>
      </c>
      <c r="AM65" s="152"/>
      <c r="AN65" s="152"/>
      <c r="AO65" s="152"/>
      <c r="AP65" s="152"/>
      <c r="AQ65" s="152"/>
      <c r="AR65" s="152"/>
      <c r="AS65" s="152"/>
      <c r="AT65" s="152"/>
      <c r="AU65" s="152"/>
      <c r="AV65" s="152"/>
      <c r="AW65" s="152"/>
    </row>
    <row r="66" spans="1:49" ht="12.75" customHeight="1">
      <c r="A66" s="300" t="str">
        <f>B60</f>
        <v>B</v>
      </c>
      <c r="B66" s="293" t="str">
        <f ca="1">IF(AND(OFFSET($AO$1,$C60-1,8,1,1),$A61&lt;&gt;"",$J61&lt;&gt;""),CHOOSE($C60,$AO$1,$AO$2,$AO$3,$AO$4,$AO$5,$AO$6,$AO$7,$AO$8,$AO$9,$AO$10,$AO$11,$AO$12),"")</f>
        <v/>
      </c>
      <c r="C66" s="294"/>
      <c r="D66" s="294"/>
      <c r="E66" s="294"/>
      <c r="F66" s="294"/>
      <c r="G66" s="294"/>
      <c r="H66" s="265"/>
      <c r="I66" s="265"/>
      <c r="J66" s="265"/>
      <c r="K66" s="265"/>
      <c r="L66" s="265"/>
      <c r="M66" s="314"/>
      <c r="N66" s="315"/>
      <c r="O66" s="315"/>
      <c r="P66" s="316"/>
      <c r="Q66" s="137" t="str">
        <f>IF($L66=$L68,IF($K66=$K68,IF($J66&lt;&gt;"",IF($J66&gt;$J68,"W","L"),""),IF($K66&gt;$K68,"W","L")),IF($L66&gt;$L68,"W","L"))</f>
        <v/>
      </c>
      <c r="R66" s="1"/>
      <c r="S66" s="110"/>
      <c r="T66" s="110"/>
      <c r="U66" s="110"/>
      <c r="V66" s="110"/>
      <c r="W66" s="110"/>
      <c r="X66" s="111"/>
      <c r="Y66" s="111"/>
      <c r="Z66" s="111"/>
      <c r="AA66" s="111"/>
      <c r="AH66" s="150" t="str">
        <f>LEFT(F3365,1)&amp;RIGHT(F3365,1)</f>
        <v>HL</v>
      </c>
      <c r="AI66" s="151" t="str">
        <f ca="1">G3365</f>
        <v/>
      </c>
      <c r="AJ66" s="151" t="str">
        <f ca="1">I3365</f>
        <v/>
      </c>
      <c r="AK66" s="150" t="s">
        <v>3933</v>
      </c>
      <c r="AL66" s="150" t="s">
        <v>5468</v>
      </c>
      <c r="AM66" s="152"/>
      <c r="AN66" s="152"/>
      <c r="AO66" s="152"/>
      <c r="AP66" s="152"/>
      <c r="AQ66" s="152"/>
      <c r="AR66" s="152"/>
      <c r="AS66" s="152"/>
      <c r="AT66" s="152"/>
      <c r="AU66" s="152"/>
      <c r="AV66" s="152"/>
      <c r="AW66" s="152"/>
    </row>
    <row r="67" spans="1:49" ht="12.75" customHeight="1">
      <c r="A67" s="301"/>
      <c r="B67" s="295"/>
      <c r="C67" s="296"/>
      <c r="D67" s="296"/>
      <c r="E67" s="296"/>
      <c r="F67" s="296"/>
      <c r="G67" s="296"/>
      <c r="H67" s="270"/>
      <c r="I67" s="270"/>
      <c r="J67" s="270"/>
      <c r="K67" s="270"/>
      <c r="L67" s="270"/>
      <c r="M67" s="317"/>
      <c r="N67" s="318"/>
      <c r="O67" s="318"/>
      <c r="P67" s="319"/>
      <c r="Q67" s="139" t="str">
        <f>IF($Q66&lt;&gt;"",IF($Q66="W",IF(SUM(IF($H66&gt;$H68,1,0),IF($I66&gt;$I68,1,0),IF($J66&gt;$J68,1,0),IF($K66&gt;$K68,1,0),IF($L66&gt;$L68,1,0))&lt;&gt;3,"Error",""),""),"")</f>
        <v/>
      </c>
      <c r="R67" s="328" t="str">
        <f>$A61</f>
        <v/>
      </c>
      <c r="S67" s="328"/>
      <c r="T67" s="328"/>
      <c r="U67" s="328"/>
      <c r="V67" s="328"/>
      <c r="W67" s="328"/>
      <c r="X67" s="256" t="str">
        <f>CONCATENATE("(",$B60," vs ",$K60,")")</f>
        <v>(B vs D)</v>
      </c>
      <c r="Y67" s="256"/>
      <c r="Z67" s="328" t="str">
        <f>$J61</f>
        <v/>
      </c>
      <c r="AA67" s="328"/>
      <c r="AB67" s="328"/>
      <c r="AC67" s="328"/>
      <c r="AD67" s="328"/>
      <c r="AE67" s="328"/>
      <c r="AF67" s="43"/>
      <c r="AI67" s="128"/>
      <c r="AJ67" s="128"/>
      <c r="AK67" s="128"/>
      <c r="AL67" s="128"/>
    </row>
    <row r="68" spans="1:49" ht="12.75" customHeight="1">
      <c r="A68" s="300" t="str">
        <f>K60</f>
        <v>D</v>
      </c>
      <c r="B68" s="293" t="str">
        <f ca="1">IF(AND(OFFSET($AO$1,$L60-1,8,1,1),$A61&lt;&gt;"",$J61&lt;&gt;""),CHOOSE($L60,$AO$1,$AO$2,$AO$3,$AO$4,$AO$5,$AO$6,$AO$7,$AO$8,$AO$9,$AO$10,$AO$11,$AO$12),"")</f>
        <v/>
      </c>
      <c r="C68" s="294"/>
      <c r="D68" s="294"/>
      <c r="E68" s="294"/>
      <c r="F68" s="294"/>
      <c r="G68" s="294"/>
      <c r="H68" s="265"/>
      <c r="I68" s="265"/>
      <c r="J68" s="265"/>
      <c r="K68" s="265"/>
      <c r="L68" s="265"/>
      <c r="M68" s="282" t="s">
        <v>1237</v>
      </c>
      <c r="N68" s="283"/>
      <c r="O68" s="283"/>
      <c r="P68" s="284"/>
      <c r="Q68" s="137" t="str">
        <f>IF($Q66&lt;&gt;"",IF($Q66="W","L","W"),"")</f>
        <v/>
      </c>
      <c r="R68" s="43"/>
      <c r="S68" s="43"/>
      <c r="T68" s="43"/>
      <c r="U68" s="43"/>
      <c r="V68" s="43"/>
      <c r="W68" s="43"/>
      <c r="X68" s="43"/>
      <c r="Y68" s="43"/>
      <c r="Z68" s="43"/>
      <c r="AA68" s="43"/>
      <c r="AB68" s="43"/>
      <c r="AC68" s="43"/>
      <c r="AD68" s="43"/>
      <c r="AE68" s="43"/>
      <c r="AF68" s="43"/>
      <c r="AI68" s="128"/>
      <c r="AJ68" s="128"/>
      <c r="AK68" s="128"/>
      <c r="AL68" s="128"/>
    </row>
    <row r="69" spans="1:49" ht="12.75" customHeight="1">
      <c r="A69" s="301"/>
      <c r="B69" s="295"/>
      <c r="C69" s="296"/>
      <c r="D69" s="296"/>
      <c r="E69" s="296"/>
      <c r="F69" s="296"/>
      <c r="G69" s="296"/>
      <c r="H69" s="270"/>
      <c r="I69" s="270"/>
      <c r="J69" s="266"/>
      <c r="K69" s="266"/>
      <c r="L69" s="266"/>
      <c r="M69" s="285"/>
      <c r="N69" s="286"/>
      <c r="O69" s="286"/>
      <c r="P69" s="287"/>
      <c r="Q69" s="139" t="str">
        <f>IF($Q68&lt;&gt;"",IF($Q68="W",IF(SUM(IF($H68&gt;$H66,1,0),IF($I68&gt;$I66,1,0),IF($J68&gt;$J66,1,0),IF($K68&gt;$K66,1,0),IF($L68&gt;$L66,1,0))&lt;&gt;3,"Error",""),""),"")</f>
        <v/>
      </c>
      <c r="R69" s="43" t="str">
        <f>$A71</f>
        <v>2nd Singles</v>
      </c>
      <c r="S69" s="43"/>
      <c r="T69" s="43"/>
      <c r="U69" s="43"/>
      <c r="V69" s="43"/>
      <c r="W69" s="43"/>
      <c r="X69" s="43"/>
      <c r="Y69" s="43"/>
      <c r="Z69" s="43"/>
      <c r="AA69" s="43"/>
      <c r="AB69" s="43"/>
      <c r="AC69" s="43"/>
      <c r="AD69" s="43"/>
      <c r="AE69" s="43"/>
      <c r="AF69" s="43"/>
      <c r="AI69" s="128"/>
      <c r="AJ69" s="128"/>
      <c r="AK69" s="128"/>
      <c r="AL69" s="128"/>
    </row>
    <row r="70" spans="1:49" ht="12.75" customHeight="1">
      <c r="Q70" s="7"/>
      <c r="R70" s="60" t="s">
        <v>1228</v>
      </c>
      <c r="S70" s="339" t="s">
        <v>1126</v>
      </c>
      <c r="T70" s="340"/>
      <c r="U70" s="340"/>
      <c r="V70" s="340"/>
      <c r="W70" s="340"/>
      <c r="X70" s="341"/>
      <c r="Y70" s="60">
        <v>1</v>
      </c>
      <c r="Z70" s="60">
        <v>2</v>
      </c>
      <c r="AA70" s="60">
        <v>3</v>
      </c>
      <c r="AB70" s="60">
        <v>4</v>
      </c>
      <c r="AC70" s="60">
        <v>5</v>
      </c>
      <c r="AD70" s="342"/>
      <c r="AE70" s="343"/>
      <c r="AF70" s="344"/>
      <c r="AI70" s="128"/>
      <c r="AJ70" s="128"/>
      <c r="AK70" s="128"/>
      <c r="AL70" s="128"/>
    </row>
    <row r="71" spans="1:49" ht="12.75" customHeight="1">
      <c r="A71" s="21" t="s">
        <v>1234</v>
      </c>
      <c r="H71" s="136" t="str">
        <f>IF($Q73&lt;&gt;"",IF(AND(AND($H73&gt;-1,$H75&gt;-1),OR($H73&gt;10,$H75&gt;10),ABS($H73-$H75)&gt;1,IF(OR($H73&gt;11,$H75&gt;11),ABS($H73-$H75)=2,TRUE),$H73=INT($H73),$H75=INT($H75)),"","Error"),"")</f>
        <v/>
      </c>
      <c r="I71" s="136" t="str">
        <f>IF($Q73&lt;&gt;"",IF(AND(AND($I73&gt;-1,$I75&gt;-1),OR($I73&gt;10,$I75&gt;10),ABS($I73-$I75)&gt;1,IF(OR($I73&gt;11,$I75&gt;11),ABS($I73-$I75)=2,TRUE),$I73=INT($I73),$I75=INT($I75)),"","Error"),"")</f>
        <v/>
      </c>
      <c r="J71" s="136" t="str">
        <f>IF($Q73&lt;&gt;"",IF(AND(AND($J73&gt;-1,$J75&gt;-1),OR($J73&gt;10,$J75&gt;10),ABS($J73-$J75)&gt;1,IF(OR($J73&gt;11,$J75&gt;11),ABS($J73-$J75)=2,TRUE),$J73=INT($J73),$J75=INT($J75)),"","Error"),"")</f>
        <v/>
      </c>
      <c r="K71" s="136" t="str">
        <f>IF($Q73&lt;&gt;"",IF(AND($K73&lt;&gt;"",$K75&lt;&gt;""), IF(AND(AND($K73&gt;-1,$K75&gt;-1),OR($K73&gt;10,$K75&gt;10),ABS($K73-$K75)&gt;1,IF(OR($K73&gt;11,$K75&gt;11),ABS($K73-$K75)=2,TRUE),$K73=INT($K73),$K75=INT($K75)),"","Error"),""),"")</f>
        <v/>
      </c>
      <c r="L71" s="136" t="str">
        <f>IF($Q73&lt;&gt;"",IF(AND($L73&lt;&gt;"",$L75&lt;&gt;""), IF(AND(AND($L73&gt;-1,$L75&gt;-1),OR($L73&gt;10,$L75&gt;10),ABS($L73-$L75)&gt;1,IF(OR($L73&gt;11,$L75&gt;11),ABS($L73-$L75)=2,TRUE),$L73=INT($L73),$L75=INT($L75)),"","Error"),""),"")</f>
        <v/>
      </c>
      <c r="Q71" s="7"/>
      <c r="R71" s="300" t="str">
        <f>$B60</f>
        <v>B</v>
      </c>
      <c r="S71" s="331" t="str">
        <f ca="1">IF($B73&lt;&gt;"",$B73,"")</f>
        <v/>
      </c>
      <c r="T71" s="332"/>
      <c r="U71" s="332"/>
      <c r="V71" s="332"/>
      <c r="W71" s="332"/>
      <c r="X71" s="333"/>
      <c r="Y71" s="329"/>
      <c r="Z71" s="329"/>
      <c r="AA71" s="329"/>
      <c r="AB71" s="329"/>
      <c r="AC71" s="329"/>
      <c r="AD71" s="345"/>
      <c r="AE71" s="358"/>
      <c r="AF71" s="359"/>
      <c r="AI71" s="128"/>
      <c r="AJ71" s="128"/>
      <c r="AK71" s="128"/>
      <c r="AL71" s="128"/>
    </row>
    <row r="72" spans="1:49" ht="12.75" customHeight="1">
      <c r="A72" s="5" t="s">
        <v>1228</v>
      </c>
      <c r="B72" s="290" t="s">
        <v>1126</v>
      </c>
      <c r="C72" s="291"/>
      <c r="D72" s="291"/>
      <c r="E72" s="291"/>
      <c r="F72" s="291"/>
      <c r="G72" s="292"/>
      <c r="H72" s="5">
        <v>1</v>
      </c>
      <c r="I72" s="5">
        <v>2</v>
      </c>
      <c r="J72" s="5">
        <v>3</v>
      </c>
      <c r="K72" s="5">
        <v>4</v>
      </c>
      <c r="L72" s="5">
        <v>5</v>
      </c>
      <c r="M72" s="271"/>
      <c r="N72" s="272"/>
      <c r="O72" s="272"/>
      <c r="P72" s="273"/>
      <c r="Q72" s="7"/>
      <c r="R72" s="330"/>
      <c r="S72" s="334"/>
      <c r="T72" s="335"/>
      <c r="U72" s="335"/>
      <c r="V72" s="335"/>
      <c r="W72" s="335"/>
      <c r="X72" s="336"/>
      <c r="Y72" s="330"/>
      <c r="Z72" s="330"/>
      <c r="AA72" s="330"/>
      <c r="AB72" s="330"/>
      <c r="AC72" s="330"/>
      <c r="AD72" s="360"/>
      <c r="AE72" s="361"/>
      <c r="AF72" s="362"/>
      <c r="AI72" s="128"/>
      <c r="AJ72" s="128"/>
      <c r="AK72" s="128"/>
      <c r="AL72" s="128"/>
    </row>
    <row r="73" spans="1:49" ht="12.75" customHeight="1">
      <c r="A73" s="300" t="str">
        <f>B60</f>
        <v>B</v>
      </c>
      <c r="B73" s="293" t="str">
        <f ca="1">IF(AND(OFFSET($AO$1,$C60-1,8,1,1),$A61&lt;&gt;"",$J61&lt;&gt;""),CHOOSE($C60,$AP$1,$AP$2,$AP$3,$AP$4,$AP$5,$AP$6,$AP$7,$AP$8,$AP$9,$AP$10,$AP$11,$AP$12),"")</f>
        <v/>
      </c>
      <c r="C73" s="294"/>
      <c r="D73" s="294"/>
      <c r="E73" s="294"/>
      <c r="F73" s="294"/>
      <c r="G73" s="294"/>
      <c r="H73" s="265"/>
      <c r="I73" s="265"/>
      <c r="J73" s="265"/>
      <c r="K73" s="265"/>
      <c r="L73" s="265"/>
      <c r="M73" s="262" t="str">
        <f ca="1">IF(OR(AND($B66&lt;&gt;"",$B73&lt;&gt;"",$C91&lt;=$B91),AND($B68&lt;&gt;"",$B75&lt;&gt;"",$G91&lt;=$F91)),"Invalid Lineup","")</f>
        <v/>
      </c>
      <c r="N73" s="263"/>
      <c r="O73" s="263"/>
      <c r="P73" s="264"/>
      <c r="Q73" s="137" t="str">
        <f>IF($L73=$L75,IF($K73=$K75,IF($J73&lt;&gt;"",IF($J73&gt;$J75,"W","L"),""),IF($K73&gt;$K75,"W","L")),IF($L73&gt;$L75,"W","L"))</f>
        <v/>
      </c>
      <c r="R73" s="300" t="str">
        <f>$K60</f>
        <v>D</v>
      </c>
      <c r="S73" s="331" t="str">
        <f ca="1">IF($B75&lt;&gt;"",$B75,"")</f>
        <v/>
      </c>
      <c r="T73" s="332"/>
      <c r="U73" s="332"/>
      <c r="V73" s="332"/>
      <c r="W73" s="332"/>
      <c r="X73" s="333"/>
      <c r="Y73" s="329"/>
      <c r="Z73" s="329"/>
      <c r="AA73" s="329"/>
      <c r="AB73" s="329"/>
      <c r="AC73" s="351"/>
      <c r="AD73" s="363" t="s">
        <v>1237</v>
      </c>
      <c r="AE73" s="358"/>
      <c r="AF73" s="359"/>
      <c r="AI73" s="128"/>
      <c r="AJ73" s="128"/>
      <c r="AK73" s="128"/>
      <c r="AL73" s="128"/>
    </row>
    <row r="74" spans="1:49" ht="12.75" customHeight="1">
      <c r="A74" s="301"/>
      <c r="B74" s="295"/>
      <c r="C74" s="296"/>
      <c r="D74" s="296"/>
      <c r="E74" s="296"/>
      <c r="F74" s="296"/>
      <c r="G74" s="296"/>
      <c r="H74" s="270"/>
      <c r="I74" s="270"/>
      <c r="J74" s="270"/>
      <c r="K74" s="270"/>
      <c r="L74" s="270"/>
      <c r="M74" s="262"/>
      <c r="N74" s="263"/>
      <c r="O74" s="263"/>
      <c r="P74" s="264"/>
      <c r="Q74" s="139" t="str">
        <f>IF($Q73&lt;&gt;"",IF($Q73="W",IF(SUM(IF($H73&gt;$H75,1,0),IF($I73&gt;$I75,1,0),IF($J73&gt;$J75,1,0),IF($K73&gt;$K75,1,0),IF($L73&gt;$L75,1,0))&lt;&gt;3,"Error",""),""),"")</f>
        <v/>
      </c>
      <c r="R74" s="330"/>
      <c r="S74" s="334"/>
      <c r="T74" s="335"/>
      <c r="U74" s="335"/>
      <c r="V74" s="335"/>
      <c r="W74" s="335"/>
      <c r="X74" s="336"/>
      <c r="Y74" s="330"/>
      <c r="Z74" s="330"/>
      <c r="AA74" s="330"/>
      <c r="AB74" s="330"/>
      <c r="AC74" s="330"/>
      <c r="AD74" s="360"/>
      <c r="AE74" s="361"/>
      <c r="AF74" s="362"/>
      <c r="AI74" s="128"/>
      <c r="AJ74" s="128"/>
      <c r="AK74" s="128"/>
      <c r="AL74" s="128"/>
    </row>
    <row r="75" spans="1:49" ht="12.75" customHeight="1">
      <c r="A75" s="300" t="str">
        <f>K60</f>
        <v>D</v>
      </c>
      <c r="B75" s="293" t="str">
        <f ca="1">IF(AND(OFFSET($AO$1,$L60-1,8,1,1),$A61&lt;&gt;"",$J61&lt;&gt;""),CHOOSE($L60,$AP$1,$AP$2,$AP$3,$AP$4,$AP$5,$AP$6,$AP$7,$AP$8,$AP$9,$AP$10,$AP$11,$AP$12),"")</f>
        <v/>
      </c>
      <c r="C75" s="294"/>
      <c r="D75" s="294"/>
      <c r="E75" s="294"/>
      <c r="F75" s="294"/>
      <c r="G75" s="294"/>
      <c r="H75" s="265"/>
      <c r="I75" s="265"/>
      <c r="J75" s="265"/>
      <c r="K75" s="265"/>
      <c r="L75" s="265"/>
      <c r="M75" s="267" t="s">
        <v>1237</v>
      </c>
      <c r="N75" s="268"/>
      <c r="O75" s="268"/>
      <c r="P75" s="269"/>
      <c r="Q75" s="137" t="str">
        <f>IF($Q73&lt;&gt;"",IF($Q73="W","L","W"),"")</f>
        <v/>
      </c>
      <c r="R75" s="20"/>
      <c r="S75" s="20"/>
      <c r="T75" s="20"/>
      <c r="U75" s="20"/>
      <c r="V75" s="20"/>
      <c r="W75" s="20"/>
      <c r="X75" s="26"/>
      <c r="Y75" s="26"/>
      <c r="Z75" s="20"/>
      <c r="AA75" s="20"/>
      <c r="AB75" s="20"/>
      <c r="AC75" s="20"/>
      <c r="AD75" s="20"/>
      <c r="AE75" s="20"/>
      <c r="AF75" s="27"/>
      <c r="AI75" s="128"/>
      <c r="AJ75" s="128"/>
      <c r="AK75" s="128"/>
      <c r="AL75" s="128"/>
    </row>
    <row r="76" spans="1:49" ht="12.75" customHeight="1">
      <c r="A76" s="301"/>
      <c r="B76" s="295"/>
      <c r="C76" s="296"/>
      <c r="D76" s="296"/>
      <c r="E76" s="296"/>
      <c r="F76" s="296"/>
      <c r="G76" s="296"/>
      <c r="H76" s="270"/>
      <c r="I76" s="270"/>
      <c r="J76" s="266"/>
      <c r="K76" s="266"/>
      <c r="L76" s="266"/>
      <c r="M76" s="267"/>
      <c r="N76" s="268"/>
      <c r="O76" s="268"/>
      <c r="P76" s="269"/>
      <c r="Q76" s="139" t="str">
        <f>IF($Q75&lt;&gt;"",IF($Q75="W",IF(SUM(IF($H75&gt;$H73,1,0),IF($I75&gt;$I73,1,0),IF($J75&gt;$J73,1,0),IF($K75&gt;$K73,1,0),IF($L75&gt;$L73,1,0))&lt;&gt;3,"Error",""),""),"")</f>
        <v/>
      </c>
      <c r="R76" s="20"/>
      <c r="S76" s="20"/>
      <c r="T76" s="20"/>
      <c r="U76" s="20"/>
      <c r="V76" s="20"/>
      <c r="W76" s="20"/>
      <c r="X76" s="26"/>
      <c r="Y76" s="26"/>
      <c r="Z76" s="20"/>
      <c r="AA76" s="20"/>
      <c r="AB76" s="20"/>
      <c r="AC76" s="20"/>
      <c r="AD76" s="20"/>
      <c r="AE76" s="20"/>
      <c r="AF76" s="27"/>
      <c r="AI76" s="128"/>
      <c r="AJ76" s="128"/>
      <c r="AK76" s="128"/>
      <c r="AL76" s="128"/>
    </row>
    <row r="77" spans="1:49" ht="12.75" customHeight="1">
      <c r="Q77" s="7"/>
      <c r="R77" s="20"/>
      <c r="S77" s="20"/>
      <c r="T77" s="20"/>
      <c r="U77" s="20"/>
      <c r="V77" s="20"/>
      <c r="W77" s="20"/>
      <c r="X77" s="26"/>
      <c r="Y77" s="26"/>
      <c r="Z77" s="20"/>
      <c r="AA77" s="20"/>
      <c r="AB77" s="20"/>
      <c r="AC77" s="20"/>
      <c r="AD77" s="20"/>
      <c r="AE77" s="20"/>
      <c r="AF77" s="27"/>
      <c r="AI77" s="128"/>
      <c r="AJ77" s="128"/>
      <c r="AK77" s="128"/>
      <c r="AL77" s="128"/>
    </row>
    <row r="78" spans="1:49" ht="12.75" customHeight="1">
      <c r="A78" s="21" t="s">
        <v>1235</v>
      </c>
      <c r="H78" s="136" t="str">
        <f>IF($Q80&lt;&gt;"",IF(AND(AND($H80&gt;-1,$H82&gt;-1),OR($H80&gt;10,$H82&gt;10),ABS($H80-$H82)&gt;1,IF(OR($H80&gt;11,$H82&gt;11),ABS($H80-$H82)=2,TRUE),$H80=INT($H80),$H82=INT($H82)),"","Error"),"")</f>
        <v/>
      </c>
      <c r="I78" s="136" t="str">
        <f>IF($Q80&lt;&gt;"",IF(AND(AND($I80&gt;-1,$I82&gt;-1),OR($I80&gt;10,$I82&gt;10),ABS($I80-$I82)&gt;1,IF(OR($I80&gt;11,$I82&gt;11),ABS($I80-$I82)=2,TRUE),$I80=INT($I80),$I82=INT($I82)),"","Error"),"")</f>
        <v/>
      </c>
      <c r="J78" s="136" t="str">
        <f>IF($Q80&lt;&gt;"",IF(AND(AND($J80&gt;-1,$J82&gt;-1),OR($J80&gt;10,$J82&gt;10),ABS($J80-$J82)&gt;1,IF(OR($J80&gt;11,$J82&gt;11),ABS($J80-$J82)=2,TRUE),$J80=INT($J80),$J82=INT($J82)),"","Error"),"")</f>
        <v/>
      </c>
      <c r="K78" s="136" t="str">
        <f>IF($Q80&lt;&gt;"",IF(AND($K80&lt;&gt;"",$K82&lt;&gt;""), IF(AND(AND($K80&gt;-1,$K82&gt;-1),OR($K80&gt;10,$K82&gt;10),ABS($K80-$K82)&gt;1,IF(OR($K80&gt;11,$K82&gt;11),ABS($K80-$K82)=2,TRUE),$K80=INT($K80),$K82=INT($K82)),"","Error"),""),"")</f>
        <v/>
      </c>
      <c r="L78" s="136" t="str">
        <f>IF($Q80&lt;&gt;"",IF(AND($L80&lt;&gt;"",$L82&lt;&gt;""), IF(AND(AND($L80&gt;-1,$L82&gt;-1),OR($L80&gt;10,$L82&gt;10),ABS($L80-$L82)&gt;1,IF(OR($L80&gt;11,$L82&gt;11),ABS($L80-$L82)=2,TRUE),$L80=INT($L80),$L82=INT($L82)),"","Error"),""),"")</f>
        <v/>
      </c>
      <c r="Q78" s="7"/>
      <c r="R78" s="20"/>
      <c r="S78" s="20"/>
      <c r="T78" s="20"/>
      <c r="U78" s="20"/>
      <c r="V78" s="20"/>
      <c r="W78" s="20"/>
      <c r="X78" s="26"/>
      <c r="Y78" s="26"/>
      <c r="Z78" s="20"/>
      <c r="AA78" s="20"/>
      <c r="AB78" s="20"/>
      <c r="AC78" s="20"/>
      <c r="AD78" s="20"/>
      <c r="AE78" s="20"/>
      <c r="AF78" s="27"/>
      <c r="AI78" s="128"/>
      <c r="AJ78" s="128"/>
      <c r="AK78" s="128"/>
      <c r="AL78" s="128"/>
    </row>
    <row r="79" spans="1:49" ht="12.75" customHeight="1">
      <c r="A79" s="5" t="s">
        <v>1228</v>
      </c>
      <c r="B79" s="290" t="s">
        <v>1126</v>
      </c>
      <c r="C79" s="291"/>
      <c r="D79" s="291"/>
      <c r="E79" s="291"/>
      <c r="F79" s="291"/>
      <c r="G79" s="292"/>
      <c r="H79" s="5">
        <v>1</v>
      </c>
      <c r="I79" s="5">
        <v>2</v>
      </c>
      <c r="J79" s="5">
        <v>3</v>
      </c>
      <c r="K79" s="5">
        <v>4</v>
      </c>
      <c r="L79" s="5">
        <v>5</v>
      </c>
      <c r="M79" s="271"/>
      <c r="N79" s="272"/>
      <c r="O79" s="272"/>
      <c r="P79" s="273"/>
      <c r="Q79" s="7"/>
      <c r="R79" s="20"/>
      <c r="S79" s="20"/>
      <c r="T79" s="20"/>
      <c r="U79" s="20"/>
      <c r="V79" s="20"/>
      <c r="W79" s="20"/>
      <c r="X79" s="26"/>
      <c r="Y79" s="26"/>
      <c r="Z79" s="20"/>
      <c r="AA79" s="20"/>
      <c r="AB79" s="20"/>
      <c r="AC79" s="20"/>
      <c r="AD79" s="20"/>
      <c r="AE79" s="20"/>
      <c r="AF79" s="27"/>
      <c r="AI79" s="129"/>
      <c r="AJ79" s="127"/>
      <c r="AK79" s="127"/>
      <c r="AL79" s="127"/>
    </row>
    <row r="80" spans="1:49" ht="12.75" customHeight="1">
      <c r="A80" s="300" t="str">
        <f>B60</f>
        <v>B</v>
      </c>
      <c r="B80" s="293" t="str">
        <f ca="1">IF(AND(OFFSET($AO$1,$C60-1,8,1,1),$A61&lt;&gt;"",$J61&lt;&gt;""),CHOOSE($C60,$AQ$1,$AQ$2,$AQ$3,$AQ$4,$AQ$5,$AQ$6,$AQ$7,$AQ$8,$AQ$9,$AQ$10,$AQ$11,$AQ$12),"")</f>
        <v/>
      </c>
      <c r="C80" s="294"/>
      <c r="D80" s="294"/>
      <c r="E80" s="294"/>
      <c r="F80" s="294"/>
      <c r="G80" s="294"/>
      <c r="H80" s="265"/>
      <c r="I80" s="265"/>
      <c r="J80" s="265"/>
      <c r="K80" s="265"/>
      <c r="L80" s="265"/>
      <c r="M80" s="262" t="str">
        <f ca="1">IF(OR(AND($B73&lt;&gt;"",$B80&lt;&gt;"",$D91&lt;=$C91),AND($B75&lt;&gt;"",$B82&lt;&gt;"",$H91&lt;=$G91)),"Invalid Lineup","")</f>
        <v/>
      </c>
      <c r="N80" s="263"/>
      <c r="O80" s="263"/>
      <c r="P80" s="264"/>
      <c r="Q80" s="137" t="str">
        <f>IF($L80=$L82,IF($K80=$K82,IF($J80&lt;&gt;"",IF($J80&gt;$J82,"W","L"),""),IF($K80&gt;$K82,"W","L")),IF($L80&gt;$L82,"W","L"))</f>
        <v/>
      </c>
      <c r="R80" s="20"/>
      <c r="S80" s="20"/>
      <c r="T80" s="20"/>
      <c r="U80" s="20"/>
      <c r="V80" s="20"/>
      <c r="W80" s="20"/>
      <c r="X80" s="26"/>
      <c r="Y80" s="26"/>
      <c r="Z80" s="20"/>
      <c r="AA80" s="20"/>
      <c r="AB80" s="20"/>
      <c r="AC80" s="20"/>
      <c r="AD80" s="20"/>
      <c r="AE80" s="20"/>
      <c r="AF80" s="27"/>
    </row>
    <row r="81" spans="1:32" ht="12.75" customHeight="1">
      <c r="A81" s="301"/>
      <c r="B81" s="295"/>
      <c r="C81" s="296"/>
      <c r="D81" s="296"/>
      <c r="E81" s="296"/>
      <c r="F81" s="296"/>
      <c r="G81" s="296"/>
      <c r="H81" s="270"/>
      <c r="I81" s="270"/>
      <c r="J81" s="270"/>
      <c r="K81" s="270"/>
      <c r="L81" s="270"/>
      <c r="M81" s="262"/>
      <c r="N81" s="263"/>
      <c r="O81" s="263"/>
      <c r="P81" s="264"/>
      <c r="Q81" s="139" t="str">
        <f>IF($Q80&lt;&gt;"",IF($Q80="W",IF(SUM(IF($H80&gt;$H82,1,0),IF($I80&gt;$I82,1,0),IF($J80&gt;$J82,1,0),IF($K80&gt;$K82,1,0),IF($L80&gt;$L82,1,0))&lt;&gt;3,"Error",""),""),"")</f>
        <v/>
      </c>
      <c r="R81" s="328" t="str">
        <f>$A61</f>
        <v/>
      </c>
      <c r="S81" s="328"/>
      <c r="T81" s="328"/>
      <c r="U81" s="328"/>
      <c r="V81" s="328"/>
      <c r="W81" s="328"/>
      <c r="X81" s="256" t="str">
        <f>CONCATENATE("(",$B60," vs ",$K60,")")</f>
        <v>(B vs D)</v>
      </c>
      <c r="Y81" s="256"/>
      <c r="Z81" s="328" t="str">
        <f>$J61</f>
        <v/>
      </c>
      <c r="AA81" s="328"/>
      <c r="AB81" s="328"/>
      <c r="AC81" s="328"/>
      <c r="AD81" s="328"/>
      <c r="AE81" s="328"/>
      <c r="AF81" s="100"/>
    </row>
    <row r="82" spans="1:32" ht="12.75" customHeight="1">
      <c r="A82" s="300" t="str">
        <f>K60</f>
        <v>D</v>
      </c>
      <c r="B82" s="293" t="str">
        <f ca="1">IF(AND(OFFSET($AO$1,$L60-1,8,1,1),$A61&lt;&gt;"",$J61&lt;&gt;""),CHOOSE($L60,$AQ$1,$AQ$2,$AQ$3,$AQ$4,$AQ$5,$AQ$6,$AQ$7,$AQ$8,$AQ$9,$AQ$10,$AQ$11,$AQ$12),"")</f>
        <v/>
      </c>
      <c r="C82" s="294"/>
      <c r="D82" s="294"/>
      <c r="E82" s="294"/>
      <c r="F82" s="294"/>
      <c r="G82" s="294"/>
      <c r="H82" s="265"/>
      <c r="I82" s="265"/>
      <c r="J82" s="265"/>
      <c r="K82" s="265"/>
      <c r="L82" s="265"/>
      <c r="M82" s="267" t="s">
        <v>1237</v>
      </c>
      <c r="N82" s="268"/>
      <c r="O82" s="268"/>
      <c r="P82" s="269"/>
      <c r="Q82" s="137" t="str">
        <f>IF($Q80&lt;&gt;"",IF($Q80="W","L","W"),"")</f>
        <v/>
      </c>
      <c r="R82" s="100"/>
      <c r="S82" s="100"/>
      <c r="T82" s="100"/>
      <c r="U82" s="100"/>
      <c r="V82" s="100"/>
      <c r="W82" s="100"/>
      <c r="X82" s="100"/>
      <c r="Y82" s="100"/>
      <c r="Z82" s="100"/>
      <c r="AA82" s="100"/>
      <c r="AB82" s="100"/>
      <c r="AC82" s="100"/>
      <c r="AD82" s="100"/>
      <c r="AE82" s="100"/>
      <c r="AF82" s="100"/>
    </row>
    <row r="83" spans="1:32" ht="12.75" customHeight="1">
      <c r="A83" s="301"/>
      <c r="B83" s="295"/>
      <c r="C83" s="296"/>
      <c r="D83" s="296"/>
      <c r="E83" s="296"/>
      <c r="F83" s="296"/>
      <c r="G83" s="296"/>
      <c r="H83" s="270"/>
      <c r="I83" s="270"/>
      <c r="J83" s="266"/>
      <c r="K83" s="266"/>
      <c r="L83" s="266"/>
      <c r="M83" s="267"/>
      <c r="N83" s="268"/>
      <c r="O83" s="268"/>
      <c r="P83" s="269"/>
      <c r="Q83" s="139" t="str">
        <f>IF($Q82&lt;&gt;"",IF($Q82="W",IF(SUM(IF($H82&gt;$H80,1,0),IF($I82&gt;$I80,1,0),IF($J82&gt;$J80,1,0),IF($K82&gt;$K80,1,0),IF($L82&gt;$L80,1,0))&lt;&gt;3,"Error",""),""),"")</f>
        <v/>
      </c>
      <c r="R83" s="43" t="str">
        <f>$A78</f>
        <v>3rd Singles</v>
      </c>
      <c r="S83" s="43"/>
      <c r="T83" s="43"/>
      <c r="U83" s="43"/>
      <c r="V83" s="43"/>
      <c r="W83" s="43"/>
      <c r="X83" s="43"/>
      <c r="Y83" s="43"/>
      <c r="Z83" s="43"/>
      <c r="AA83" s="43"/>
      <c r="AB83" s="43"/>
      <c r="AC83" s="43"/>
      <c r="AD83" s="43"/>
      <c r="AE83" s="43"/>
      <c r="AF83" s="43"/>
    </row>
    <row r="84" spans="1:32" ht="12.75" customHeight="1">
      <c r="Q84" s="7"/>
      <c r="R84" s="60" t="s">
        <v>1228</v>
      </c>
      <c r="S84" s="101" t="s">
        <v>1126</v>
      </c>
      <c r="T84" s="102"/>
      <c r="U84" s="102"/>
      <c r="V84" s="102"/>
      <c r="W84" s="102"/>
      <c r="X84" s="103"/>
      <c r="Y84" s="60">
        <v>1</v>
      </c>
      <c r="Z84" s="60">
        <v>2</v>
      </c>
      <c r="AA84" s="60">
        <v>3</v>
      </c>
      <c r="AB84" s="60">
        <v>4</v>
      </c>
      <c r="AC84" s="60">
        <v>5</v>
      </c>
      <c r="AD84" s="104"/>
      <c r="AE84" s="105"/>
      <c r="AF84" s="106"/>
    </row>
    <row r="85" spans="1:32" ht="12.75" customHeight="1">
      <c r="A85" s="21" t="s">
        <v>1236</v>
      </c>
      <c r="H85" s="136" t="str">
        <f ca="1">IF($Q87&lt;&gt;"",IF(AND($B87&lt;&gt;"Missing Player",$B89&lt;&gt;"Missing Player"),IF(AND(AND($H87&gt;-1,$H89&gt;-1),OR($H87&gt;10,$H89&gt;10),ABS($H87-$H89)&gt;1,IF(OR($H87&gt;11,$H89&gt;11),ABS($H87-$H89)=2,TRUE),$H87=INT($H87),$H89=INT($H89)),"","Error"),""),"")</f>
        <v/>
      </c>
      <c r="I85" s="136" t="str">
        <f ca="1">IF($Q87&lt;&gt;"",IF(AND($B87&lt;&gt;"Missing Player",$B89&lt;&gt;"Missing Player"),IF(AND(AND($I87&gt;-1,$I89&gt;-1),OR($I87&gt;10,$I89&gt;10),ABS($I87-$I89)&gt;1,IF(OR($I87&gt;11,$I89&gt;11),ABS($I87-$I89)=2,TRUE),$I87=INT($I87),$I89=INT($I89)),"","Error"),""),"")</f>
        <v/>
      </c>
      <c r="J85" s="136" t="str">
        <f ca="1">IF($Q87&lt;&gt;"",IF(AND($B87&lt;&gt;"Missing Player",$B89&lt;&gt;"Missing Player"),IF(AND(AND($J87&gt;-1,$J89&gt;-1),OR($J87&gt;10,$J89&gt;10),ABS($J87-$J89)&gt;1,IF(OR($J87&gt;11,$J89&gt;11),ABS($J87-$J89)=2,TRUE),$J87=INT($J87),$J89=INT($J89)),"","Error"),""),"")</f>
        <v/>
      </c>
      <c r="K85" s="136" t="str">
        <f ca="1">IF($Q87&lt;&gt;"",IF(AND($K87&lt;&gt;"",$K89&lt;&gt;""), IF(AND(AND($K87&gt;-1,$K89&gt;-1),OR($K87&gt;10,$K89&gt;10),ABS($K87-$K89)&gt;1,IF(OR($K87&gt;11,$K89&gt;11),ABS($K87-$K89)=2,TRUE),$K87=INT($K87),$K89=INT($K89)),"","Error"),""),"")</f>
        <v/>
      </c>
      <c r="L85" s="136" t="str">
        <f ca="1">IF($Q87&lt;&gt;"",IF(AND($L87&lt;&gt;"",$L89&lt;&gt;""), IF(AND(AND($L87&gt;-1,$L89&gt;-1),OR($L87&gt;10,$L89&gt;10),ABS($L87-$L89)&gt;1,IF(OR($L87&gt;11,$L89&gt;11),ABS($L87-$L89)=2,TRUE),$L87=INT($L87),$L89=INT($L89)),"","Error"),""),"")</f>
        <v/>
      </c>
      <c r="Q85" s="7"/>
      <c r="R85" s="300" t="str">
        <f>$B60</f>
        <v>B</v>
      </c>
      <c r="S85" s="331" t="str">
        <f ca="1">IF($B80&lt;&gt;"",$B80,"")</f>
        <v/>
      </c>
      <c r="T85" s="332"/>
      <c r="U85" s="332"/>
      <c r="V85" s="332"/>
      <c r="W85" s="332"/>
      <c r="X85" s="333"/>
      <c r="Y85" s="329"/>
      <c r="Z85" s="329"/>
      <c r="AA85" s="329"/>
      <c r="AB85" s="329"/>
      <c r="AC85" s="329"/>
      <c r="AD85" s="345"/>
      <c r="AE85" s="358"/>
      <c r="AF85" s="359"/>
    </row>
    <row r="86" spans="1:32" ht="12.75" customHeight="1">
      <c r="A86" s="5" t="s">
        <v>1228</v>
      </c>
      <c r="B86" s="290" t="s">
        <v>1126</v>
      </c>
      <c r="C86" s="291"/>
      <c r="D86" s="291"/>
      <c r="E86" s="291"/>
      <c r="F86" s="291"/>
      <c r="G86" s="292"/>
      <c r="H86" s="5">
        <v>1</v>
      </c>
      <c r="I86" s="5">
        <v>2</v>
      </c>
      <c r="J86" s="5">
        <v>3</v>
      </c>
      <c r="K86" s="5">
        <v>4</v>
      </c>
      <c r="L86" s="5">
        <v>5</v>
      </c>
      <c r="M86" s="271"/>
      <c r="N86" s="272"/>
      <c r="O86" s="272"/>
      <c r="P86" s="273"/>
      <c r="Q86" s="7"/>
      <c r="R86" s="330"/>
      <c r="S86" s="334"/>
      <c r="T86" s="335"/>
      <c r="U86" s="335"/>
      <c r="V86" s="335"/>
      <c r="W86" s="335"/>
      <c r="X86" s="336"/>
      <c r="Y86" s="330"/>
      <c r="Z86" s="330"/>
      <c r="AA86" s="330"/>
      <c r="AB86" s="330"/>
      <c r="AC86" s="330"/>
      <c r="AD86" s="360"/>
      <c r="AE86" s="361"/>
      <c r="AF86" s="362"/>
    </row>
    <row r="87" spans="1:32" ht="12.75" customHeight="1">
      <c r="A87" s="300" t="str">
        <f>B60</f>
        <v>B</v>
      </c>
      <c r="B87" s="293" t="str">
        <f ca="1">IF(AND(OFFSET($AO$1,$C60-1,8,1,1),$A61&lt;&gt;"",$J61&lt;&gt;""),CHOOSE($C60,$AR$1,$AR$2,$AR$3,$AR$4,$AR$5,$AR$6,$AR$7,$AR$8,$AR$9,$AR$10,$AR$11,$AR$12),"")</f>
        <v/>
      </c>
      <c r="C87" s="294"/>
      <c r="D87" s="294"/>
      <c r="E87" s="294"/>
      <c r="F87" s="294"/>
      <c r="G87" s="294"/>
      <c r="H87" s="265"/>
      <c r="I87" s="265"/>
      <c r="J87" s="265"/>
      <c r="K87" s="265"/>
      <c r="L87" s="265" t="str">
        <f ca="1">IF(AND($B87&lt;&gt;"",$Q66&lt;&gt;""),IF($B87="Missing Player",0,IF($B89="Missing Player",11,"")),"")</f>
        <v/>
      </c>
      <c r="M87" s="262" t="str">
        <f ca="1">IF(OR(AND($B80&lt;&gt;"",$B87&lt;&gt;"",$E91&lt;=$D91),AND($B82&lt;&gt;"",$B89&lt;&gt;"",$I91&lt;=$H91)),"Invalid Lineup","")</f>
        <v/>
      </c>
      <c r="N87" s="263"/>
      <c r="O87" s="263"/>
      <c r="P87" s="264"/>
      <c r="Q87" s="137" t="str">
        <f ca="1">IF($L87=$L89,IF($K87=$K89,IF($J87&lt;&gt;"",IF($J87&gt;$J89,"W","L"),""),IF($K87&gt;$K89,"W","L")),IF($L87&gt;$L89,"W","L"))</f>
        <v/>
      </c>
      <c r="R87" s="300" t="str">
        <f>$K60</f>
        <v>D</v>
      </c>
      <c r="S87" s="331" t="str">
        <f ca="1">IF($B82&lt;&gt;"",$B82,"")</f>
        <v/>
      </c>
      <c r="T87" s="332"/>
      <c r="U87" s="332"/>
      <c r="V87" s="332"/>
      <c r="W87" s="332"/>
      <c r="X87" s="333"/>
      <c r="Y87" s="329"/>
      <c r="Z87" s="329"/>
      <c r="AA87" s="329"/>
      <c r="AB87" s="329"/>
      <c r="AC87" s="351"/>
      <c r="AD87" s="363" t="s">
        <v>1237</v>
      </c>
      <c r="AE87" s="358"/>
      <c r="AF87" s="359"/>
    </row>
    <row r="88" spans="1:32" ht="12.75" customHeight="1">
      <c r="A88" s="301"/>
      <c r="B88" s="295"/>
      <c r="C88" s="296"/>
      <c r="D88" s="296"/>
      <c r="E88" s="296"/>
      <c r="F88" s="296"/>
      <c r="G88" s="296"/>
      <c r="H88" s="270"/>
      <c r="I88" s="270"/>
      <c r="J88" s="270"/>
      <c r="K88" s="270"/>
      <c r="L88" s="270"/>
      <c r="M88" s="262"/>
      <c r="N88" s="263"/>
      <c r="O88" s="263"/>
      <c r="P88" s="264"/>
      <c r="Q88" s="139" t="str">
        <f ca="1">IF($Q87&lt;&gt;"",IF($B89&lt;&gt;"Missing Player",IF($Q87="W",IF(SUM(IF($H87&gt;$H89,1,0),IF($I87&gt;$I89,1,0),IF($J87&gt;$J89,1,0),IF($K87&gt;$K89,1,0),IF($L87&gt;$L89,1,0))&lt;&gt;3,"Error",""),""),""),"")</f>
        <v/>
      </c>
      <c r="R88" s="330"/>
      <c r="S88" s="334"/>
      <c r="T88" s="335"/>
      <c r="U88" s="335"/>
      <c r="V88" s="335"/>
      <c r="W88" s="335"/>
      <c r="X88" s="336"/>
      <c r="Y88" s="330"/>
      <c r="Z88" s="330"/>
      <c r="AA88" s="330"/>
      <c r="AB88" s="330"/>
      <c r="AC88" s="330"/>
      <c r="AD88" s="360"/>
      <c r="AE88" s="361"/>
      <c r="AF88" s="362"/>
    </row>
    <row r="89" spans="1:32" ht="12.75" customHeight="1">
      <c r="A89" s="300" t="str">
        <f>K60</f>
        <v>D</v>
      </c>
      <c r="B89" s="293" t="str">
        <f ca="1">IF(AND(OFFSET($AO$1,$L60-1,8,1,1),$A61&lt;&gt;"",$J61&lt;&gt;""),CHOOSE($L60,$AR$1,$AR$2,$AR$3,$AR$4,$AR$5,$AR$6,$AR$7,$AR$8,$AR$9,$AR$10,$AR$11,$AR$12),"")</f>
        <v/>
      </c>
      <c r="C89" s="294"/>
      <c r="D89" s="294"/>
      <c r="E89" s="294"/>
      <c r="F89" s="294"/>
      <c r="G89" s="294"/>
      <c r="H89" s="265"/>
      <c r="I89" s="265"/>
      <c r="J89" s="265"/>
      <c r="K89" s="265"/>
      <c r="L89" s="265" t="str">
        <f ca="1">IF(AND($B89&lt;&gt;"",$Q66&lt;&gt;""),IF($B89="Missing Player",0,IF($B87="Missing Player",11,"")),"")</f>
        <v/>
      </c>
      <c r="M89" s="267" t="s">
        <v>1237</v>
      </c>
      <c r="N89" s="268"/>
      <c r="O89" s="268"/>
      <c r="P89" s="269"/>
      <c r="Q89" s="137" t="str">
        <f ca="1">IF($Q87&lt;&gt;"",IF($Q87="W","L","W"),"")</f>
        <v/>
      </c>
      <c r="R89" s="112"/>
      <c r="S89" s="98"/>
      <c r="T89" s="108"/>
      <c r="U89" s="108"/>
      <c r="V89" s="108"/>
      <c r="W89" s="108"/>
      <c r="X89" s="108"/>
      <c r="Y89" s="113"/>
      <c r="Z89" s="113"/>
      <c r="AA89" s="113"/>
      <c r="AB89" s="113"/>
      <c r="AC89" s="113"/>
      <c r="AD89" s="107"/>
      <c r="AE89" s="109"/>
      <c r="AF89" s="109"/>
    </row>
    <row r="90" spans="1:32" ht="12.75" customHeight="1">
      <c r="A90" s="301"/>
      <c r="B90" s="295"/>
      <c r="C90" s="296"/>
      <c r="D90" s="296"/>
      <c r="E90" s="296"/>
      <c r="F90" s="296"/>
      <c r="G90" s="296"/>
      <c r="H90" s="270"/>
      <c r="I90" s="270"/>
      <c r="J90" s="266"/>
      <c r="K90" s="266"/>
      <c r="L90" s="266"/>
      <c r="M90" s="267"/>
      <c r="N90" s="268"/>
      <c r="O90" s="268"/>
      <c r="P90" s="269"/>
      <c r="Q90" s="139" t="str">
        <f ca="1">IF($Q89&lt;&gt;"",IF($B87&lt;&gt;"Missing Player",IF($Q89="W",IF(SUM(IF($H89&gt;$H87,1,0),IF($I89&gt;$I87,1,0),IF($J89&gt;$J87,1,0),IF($K89&gt;$K87,1,0),IF($L89&gt;$L87,1,0))&lt;&gt;3,"Error",""),""),""),"")</f>
        <v/>
      </c>
      <c r="R90" s="114"/>
      <c r="S90" s="115"/>
      <c r="T90" s="115"/>
      <c r="U90" s="115"/>
      <c r="V90" s="115"/>
      <c r="W90" s="115"/>
      <c r="X90" s="115"/>
      <c r="Y90" s="114"/>
      <c r="Z90" s="114"/>
      <c r="AA90" s="114"/>
      <c r="AB90" s="114"/>
      <c r="AC90" s="114"/>
      <c r="AD90" s="114"/>
      <c r="AE90" s="114"/>
      <c r="AF90" s="114"/>
    </row>
    <row r="91" spans="1:32" ht="12.75" customHeight="1">
      <c r="B91" s="140" t="str">
        <f ca="1">IF(ISERROR(VLOOKUP($B66&amp;"("&amp;$B60&amp;")",Players!$S$4:$T$132,2,FALSE)),"",VLOOKUP($B66&amp;"("&amp;$B60&amp;")",Players!$S$4:$T$132,2,FALSE))</f>
        <v>B1</v>
      </c>
      <c r="C91" s="140" t="str">
        <f ca="1">IF(ISERROR(VLOOKUP($B73&amp;"("&amp;$B60&amp;")",Players!$S$4:$T$132,2,FALSE)),"",VLOOKUP($B73&amp;"("&amp;$B60&amp;")",Players!$S$4:$T$132,2,FALSE))</f>
        <v>B1</v>
      </c>
      <c r="D91" s="141" t="str">
        <f ca="1">IF(ISERROR(VLOOKUP($B80&amp;"("&amp;$B60&amp;")",Players!$S$4:$T$132,2,FALSE)),"",VLOOKUP($B80&amp;"("&amp;$B60&amp;")",Players!$S$4:$T$132,2,FALSE))</f>
        <v>B1</v>
      </c>
      <c r="E91" s="141" t="str">
        <f ca="1">IF(ISERROR(VLOOKUP($B87&amp;"("&amp;$B60&amp;")",Players!$S$4:$T$132,2,FALSE)),"",VLOOKUP($B87&amp;"("&amp;$B60&amp;")",Players!$S$4:$T$132,2,FALSE))</f>
        <v>B1</v>
      </c>
      <c r="F91" s="141" t="str">
        <f ca="1">IF(ISERROR(VLOOKUP($B68&amp;"("&amp;$K60&amp;")",Players!$S$4:$T$132,2,FALSE)),"",VLOOKUP($B68&amp;"("&amp;$K60&amp;")",Players!$S$4:$T$132,2,FALSE))</f>
        <v>D1</v>
      </c>
      <c r="G91" s="141" t="str">
        <f ca="1">IF(ISERROR(VLOOKUP($B75&amp;"("&amp;$K60&amp;")",Players!$S$4:$T$132,2,FALSE)),"",VLOOKUP($B75&amp;"("&amp;$K60&amp;")",Players!$S$4:$T$132,2,FALSE))</f>
        <v>D1</v>
      </c>
      <c r="H91" s="141" t="str">
        <f ca="1">IF(ISERROR(VLOOKUP($B82&amp;"("&amp;$K60&amp;")",Players!$S$4:$T$132,2,FALSE)),"",VLOOKUP($B82&amp;"("&amp;$K60&amp;")",Players!$S$4:$T$132,2,FALSE))</f>
        <v>D1</v>
      </c>
      <c r="I91" s="141" t="str">
        <f ca="1">IF(ISERROR(VLOOKUP($B89&amp;"("&amp;$K60&amp;")",Players!$S$4:$T$132,2,FALSE)),"",VLOOKUP($B89&amp;"("&amp;$K60&amp;")",Players!$S$4:$T$132,2,FALSE))</f>
        <v>D1</v>
      </c>
      <c r="Q91" s="7"/>
      <c r="R91" s="50"/>
      <c r="S91" s="116"/>
      <c r="T91" s="115"/>
      <c r="U91" s="115"/>
      <c r="V91" s="115"/>
      <c r="W91" s="115"/>
      <c r="X91" s="115"/>
      <c r="Y91" s="99"/>
      <c r="Z91" s="99"/>
      <c r="AA91" s="99"/>
      <c r="AB91" s="99"/>
      <c r="AC91" s="117"/>
      <c r="AD91" s="118"/>
      <c r="AE91" s="114"/>
      <c r="AF91" s="114"/>
    </row>
    <row r="92" spans="1:32" ht="12.75" customHeight="1">
      <c r="A92" s="21" t="s">
        <v>1225</v>
      </c>
      <c r="H92" s="136" t="str">
        <f ca="1">IF($Q94&lt;&gt;"",IF(AND($B95&lt;&gt;"Missing Player",$B97&lt;&gt;"Missing Player"),IF(AND(AND($H94&gt;-1,$H96&gt;-1),OR($H94&gt;10,$H96&gt;10),ABS($H94-$H96)&gt;1,IF(OR($H94&gt;11,$H96&gt;11),ABS($H94-$H96)=2,TRUE),$H94=INT($H94),$H96=INT($H96)),"","Error"),""),"")</f>
        <v/>
      </c>
      <c r="I92" s="136" t="str">
        <f ca="1">IF($Q94&lt;&gt;"",IF(AND($B95&lt;&gt;"Missing Player",$B97&lt;&gt;"Missing Player"),IF(AND(AND($I94&gt;-1,$I96&gt;-1),OR($I94&gt;10,$I96&gt;10),ABS($I94-$I96)&gt;1,IF(OR($I94&gt;11,$I96&gt;11),ABS($I94-$I96)=2,TRUE),$I94=INT($I94),$I96=INT($I96)),"","Error"),""),"")</f>
        <v/>
      </c>
      <c r="J92" s="136" t="str">
        <f ca="1">IF($Q94&lt;&gt;"",IF(AND($B95&lt;&gt;"Missing Player",$B97&lt;&gt;"Missing Player"),IF(AND(AND($J94&gt;-1,$J96&gt;-1),OR($J94&gt;10,$J96&gt;10),ABS($J94-$J96)&gt;1,IF(OR($J94&gt;11,$J96&gt;11),ABS($J94-$J96)=2,TRUE),$J94=INT($J94),$J96=INT($J96)),"","Error"),""),"")</f>
        <v/>
      </c>
      <c r="K92" s="136" t="str">
        <f ca="1">IF($Q94&lt;&gt;"",IF(AND($K94&lt;&gt;"",$K96&lt;&gt;""), IF(AND(AND($K94&gt;-1,$K96&gt;-1),OR($K94&gt;10,$K96&gt;10),ABS($K94-$K96)&gt;1,IF(OR($K94&gt;11,$K96&gt;11),ABS($K94-$K96)=2,TRUE),$K94=INT($K94),$K96=INT($K96)),"","Error"),""),"")</f>
        <v/>
      </c>
      <c r="L92" s="136" t="str">
        <f ca="1">IF($Q94&lt;&gt;"",IF(AND($L94&lt;&gt;"",$L96&lt;&gt;""), IF(AND(AND($L94&gt;-1,$L96&gt;-1),OR($L94&gt;10,$L96&gt;10),ABS($L94-$L96)&gt;1,IF(OR($L94&gt;11,$L96&gt;11),ABS($L94-$L96)=2,TRUE),$L94=INT($L94),$L96=INT($L96)),"","Error"),""),"")</f>
        <v/>
      </c>
      <c r="Q92" s="7"/>
      <c r="R92" s="114"/>
      <c r="S92" s="115"/>
      <c r="T92" s="115"/>
      <c r="U92" s="115"/>
      <c r="V92" s="115"/>
      <c r="W92" s="115"/>
      <c r="X92" s="115"/>
      <c r="Y92" s="114"/>
      <c r="Z92" s="114"/>
      <c r="AA92" s="114"/>
      <c r="AB92" s="114"/>
      <c r="AC92" s="114"/>
      <c r="AD92" s="114"/>
      <c r="AE92" s="114"/>
      <c r="AF92" s="114"/>
    </row>
    <row r="93" spans="1:32" ht="12.75" customHeight="1">
      <c r="A93" s="5" t="s">
        <v>1228</v>
      </c>
      <c r="B93" s="290" t="s">
        <v>1126</v>
      </c>
      <c r="C93" s="291"/>
      <c r="D93" s="291"/>
      <c r="E93" s="291"/>
      <c r="F93" s="291"/>
      <c r="G93" s="292"/>
      <c r="H93" s="5">
        <v>1</v>
      </c>
      <c r="I93" s="5">
        <v>2</v>
      </c>
      <c r="J93" s="5">
        <v>3</v>
      </c>
      <c r="K93" s="5">
        <v>4</v>
      </c>
      <c r="L93" s="5">
        <v>5</v>
      </c>
      <c r="M93" s="271"/>
      <c r="N93" s="272"/>
      <c r="O93" s="272"/>
      <c r="P93" s="273"/>
      <c r="Q93" s="8"/>
      <c r="S93" s="24"/>
      <c r="T93" s="26"/>
    </row>
    <row r="94" spans="1:32" ht="12.75" customHeight="1">
      <c r="A94" s="300" t="str">
        <f>B60</f>
        <v>B</v>
      </c>
      <c r="B94" s="311" t="str">
        <f ca="1">IF($B66&lt;&gt;"",$B66,"")</f>
        <v/>
      </c>
      <c r="C94" s="312"/>
      <c r="D94" s="312"/>
      <c r="E94" s="312"/>
      <c r="F94" s="312"/>
      <c r="G94" s="313"/>
      <c r="H94" s="265"/>
      <c r="I94" s="265"/>
      <c r="J94" s="265"/>
      <c r="K94" s="265"/>
      <c r="L94" s="265" t="str">
        <f ca="1">IF($B87&lt;&gt;"",IF(AND($B87="Missing Player",$G98=2,$J98=2),0,IF(AND($B89="Missing Player",$G98=2,$J98=2),11,"")),"")</f>
        <v/>
      </c>
      <c r="M94" s="262" t="str">
        <f ca="1">IF(OR(AND($B94&lt;&gt;"",$B95&lt;&gt;"",$B94=$B95),AND($B96&lt;&gt;"",$B97&lt;&gt;"",$B96=$B97)),"Invalid Partner","")</f>
        <v/>
      </c>
      <c r="N94" s="263"/>
      <c r="O94" s="263"/>
      <c r="P94" s="264"/>
      <c r="Q94" s="138" t="str">
        <f ca="1">IF(L94=L96,IF(K94=K96,IF(J94&lt;&gt;"",IF(J94&gt;J96,"W","L"),""),IF(K94&gt;K96,"W","L")),IF(L94&gt;L96,"W","L"))</f>
        <v/>
      </c>
      <c r="S94" s="24"/>
      <c r="T94" s="26"/>
    </row>
    <row r="95" spans="1:32" ht="12.75" customHeight="1">
      <c r="A95" s="301"/>
      <c r="B95" s="308" t="str">
        <f ca="1">IF($B87="Missing Player",$B87,"")</f>
        <v/>
      </c>
      <c r="C95" s="309"/>
      <c r="D95" s="309"/>
      <c r="E95" s="309"/>
      <c r="F95" s="309"/>
      <c r="G95" s="310"/>
      <c r="H95" s="270"/>
      <c r="I95" s="270"/>
      <c r="J95" s="270"/>
      <c r="K95" s="270"/>
      <c r="L95" s="270"/>
      <c r="M95" s="262"/>
      <c r="N95" s="263"/>
      <c r="O95" s="263"/>
      <c r="P95" s="264"/>
      <c r="Q95" s="139" t="str">
        <f ca="1">IF($Q94&lt;&gt;"",IF($B97&lt;&gt;"Missing Player",IF($Q94="W",IF(SUM(IF($H94&gt;$H96,1,0),IF($I94&gt;$I96,1,0),IF($J94&gt;$J96,1,0),IF($K94&gt;$K96,1,0),IF($L94&gt;$L96,1,0))&lt;&gt;3,"Error",""),""),""),"")</f>
        <v/>
      </c>
      <c r="R95" s="328" t="str">
        <f>$A61</f>
        <v/>
      </c>
      <c r="S95" s="328"/>
      <c r="T95" s="328"/>
      <c r="U95" s="328"/>
      <c r="V95" s="328"/>
      <c r="W95" s="328"/>
      <c r="X95" s="256" t="str">
        <f>CONCATENATE("(",$B60," vs ",$K60,")")</f>
        <v>(B vs D)</v>
      </c>
      <c r="Y95" s="256"/>
      <c r="Z95" s="328" t="str">
        <f>$J61</f>
        <v/>
      </c>
      <c r="AA95" s="328"/>
      <c r="AB95" s="328"/>
      <c r="AC95" s="328"/>
      <c r="AD95" s="328"/>
      <c r="AE95" s="328"/>
      <c r="AF95" s="43"/>
    </row>
    <row r="96" spans="1:32" ht="12.75" customHeight="1">
      <c r="A96" s="300" t="str">
        <f>K60</f>
        <v>D</v>
      </c>
      <c r="B96" s="311" t="str">
        <f ca="1">IF($B68&lt;&gt;"",$B68,"")</f>
        <v/>
      </c>
      <c r="C96" s="312"/>
      <c r="D96" s="312"/>
      <c r="E96" s="312"/>
      <c r="F96" s="312"/>
      <c r="G96" s="313"/>
      <c r="H96" s="265"/>
      <c r="I96" s="265"/>
      <c r="J96" s="265"/>
      <c r="K96" s="265"/>
      <c r="L96" s="265" t="str">
        <f ca="1">IF($B89&lt;&gt;"",IF(AND($B89="Missing Player",$G98=2,$J98=2),0,IF(AND($B87="Missing Player",$G98=2,$J98=2),11,"")),"")</f>
        <v/>
      </c>
      <c r="M96" s="282" t="s">
        <v>1237</v>
      </c>
      <c r="N96" s="283"/>
      <c r="O96" s="283"/>
      <c r="P96" s="284"/>
      <c r="Q96" s="138" t="str">
        <f ca="1">IF(Q94&lt;&gt;"",IF(Q94="W","L","W"),"")</f>
        <v/>
      </c>
      <c r="R96" s="43"/>
      <c r="S96" s="43"/>
      <c r="T96" s="43"/>
      <c r="U96" s="43"/>
      <c r="V96" s="43"/>
      <c r="W96" s="43"/>
      <c r="X96" s="43"/>
      <c r="Y96" s="43"/>
      <c r="Z96" s="43"/>
      <c r="AA96" s="43"/>
      <c r="AB96" s="43"/>
      <c r="AC96" s="43"/>
      <c r="AD96" s="43"/>
      <c r="AE96" s="43"/>
      <c r="AF96" s="43"/>
    </row>
    <row r="97" spans="1:32" ht="12.75" customHeight="1">
      <c r="A97" s="301"/>
      <c r="B97" s="308" t="str">
        <f ca="1">IF($B89="Missing Player",$B89,"")</f>
        <v/>
      </c>
      <c r="C97" s="309"/>
      <c r="D97" s="309"/>
      <c r="E97" s="309"/>
      <c r="F97" s="309"/>
      <c r="G97" s="310"/>
      <c r="H97" s="270"/>
      <c r="I97" s="270"/>
      <c r="J97" s="266"/>
      <c r="K97" s="266"/>
      <c r="L97" s="266"/>
      <c r="M97" s="285"/>
      <c r="N97" s="286"/>
      <c r="O97" s="286"/>
      <c r="P97" s="287"/>
      <c r="Q97" s="139" t="str">
        <f ca="1">IF($Q96&lt;&gt;"",IF($B95&lt;&gt;"Missing Player",IF($Q96="W",IF(SUM(IF($H96&gt;$H94,1,0),IF($I96&gt;$I94,1,0),IF($J96&gt;$J94,1,0),IF($K96&gt;$K94,1,0),IF($L96&gt;$L94,1,0))&lt;&gt;3,"Error",""),""),""),"")</f>
        <v/>
      </c>
      <c r="R97" s="43" t="str">
        <f>A85</f>
        <v>4th Singles</v>
      </c>
      <c r="S97" s="43"/>
      <c r="T97" s="43"/>
      <c r="U97" s="43"/>
      <c r="V97" s="43"/>
      <c r="W97" s="43"/>
      <c r="X97" s="43"/>
      <c r="Y97" s="43"/>
      <c r="Z97" s="43"/>
      <c r="AA97" s="43"/>
      <c r="AB97" s="43"/>
      <c r="AC97" s="43"/>
      <c r="AD97" s="43"/>
      <c r="AE97" s="43"/>
      <c r="AF97" s="43"/>
    </row>
    <row r="98" spans="1:32" ht="12.75" customHeight="1">
      <c r="G98" s="66">
        <f ca="1">COUNTIF($Q66:$Q66,"W")+COUNTIF($Q73:$Q73,"W")+COUNTIF($Q80:$Q80,"W")+COUNTIF($Q87:$Q87,"W")</f>
        <v>0</v>
      </c>
      <c r="J98" s="66">
        <f ca="1">COUNTIF($Q68:$Q68,"W")+COUNTIF($Q75:$Q75,"W")+COUNTIF($Q82:$Q82,"W")+COUNTIF($Q89:$Q89,"W")</f>
        <v>0</v>
      </c>
      <c r="R98" s="60" t="s">
        <v>1228</v>
      </c>
      <c r="S98" s="339" t="s">
        <v>1126</v>
      </c>
      <c r="T98" s="340"/>
      <c r="U98" s="340"/>
      <c r="V98" s="340"/>
      <c r="W98" s="340"/>
      <c r="X98" s="341"/>
      <c r="Y98" s="60">
        <v>1</v>
      </c>
      <c r="Z98" s="60">
        <v>2</v>
      </c>
      <c r="AA98" s="60">
        <v>3</v>
      </c>
      <c r="AB98" s="60">
        <v>4</v>
      </c>
      <c r="AC98" s="60">
        <v>5</v>
      </c>
      <c r="AD98" s="342"/>
      <c r="AE98" s="343"/>
      <c r="AF98" s="344"/>
    </row>
    <row r="99" spans="1:32" ht="12.75" customHeight="1" thickBot="1">
      <c r="F99" s="246" t="s">
        <v>1238</v>
      </c>
      <c r="G99" s="246"/>
      <c r="H99" s="246"/>
      <c r="I99" s="246"/>
      <c r="J99" s="246"/>
      <c r="K99" s="246"/>
      <c r="R99" s="300" t="str">
        <f>B60</f>
        <v>B</v>
      </c>
      <c r="S99" s="331" t="str">
        <f ca="1">IF($B87&lt;&gt;"",$B87,"")</f>
        <v/>
      </c>
      <c r="T99" s="353"/>
      <c r="U99" s="353"/>
      <c r="V99" s="353"/>
      <c r="W99" s="353"/>
      <c r="X99" s="354"/>
      <c r="Y99" s="329"/>
      <c r="Z99" s="329"/>
      <c r="AA99" s="351"/>
      <c r="AB99" s="351"/>
      <c r="AC99" s="351"/>
      <c r="AD99" s="345"/>
      <c r="AE99" s="346"/>
      <c r="AF99" s="347"/>
    </row>
    <row r="100" spans="1:32" ht="12.75" customHeight="1">
      <c r="A100" s="22"/>
      <c r="B100" s="22"/>
      <c r="C100" s="22"/>
      <c r="D100" s="22"/>
      <c r="E100" s="22"/>
      <c r="G100" s="304" t="str">
        <f>B60</f>
        <v>B</v>
      </c>
      <c r="H100" s="305"/>
      <c r="I100" s="302" t="str">
        <f>K60</f>
        <v>D</v>
      </c>
      <c r="J100" s="303"/>
      <c r="L100" s="22"/>
      <c r="M100" s="22"/>
      <c r="N100" s="22"/>
      <c r="O100" s="22"/>
      <c r="P100" s="22"/>
      <c r="R100" s="301"/>
      <c r="S100" s="355"/>
      <c r="T100" s="356"/>
      <c r="U100" s="356"/>
      <c r="V100" s="356"/>
      <c r="W100" s="356"/>
      <c r="X100" s="357"/>
      <c r="Y100" s="338"/>
      <c r="Z100" s="338"/>
      <c r="AA100" s="352"/>
      <c r="AB100" s="352"/>
      <c r="AC100" s="352"/>
      <c r="AD100" s="348"/>
      <c r="AE100" s="349"/>
      <c r="AF100" s="350"/>
    </row>
    <row r="101" spans="1:32" ht="12.75" customHeight="1" thickBot="1">
      <c r="A101" s="120" t="s">
        <v>1228</v>
      </c>
      <c r="B101" s="53" t="str">
        <f>B60</f>
        <v>B</v>
      </c>
      <c r="C101" s="3" t="s">
        <v>1226</v>
      </c>
      <c r="F101" s="66" t="str">
        <f>CONCATENATE($B60,"-",$K60)</f>
        <v>B-D</v>
      </c>
      <c r="G101" s="320" t="str">
        <f ca="1">IF(OR(Q66&lt;&gt;"",Q73&lt;&gt;"",Q80&lt;&gt;"",Q87&lt;&gt;"",Q94&lt;&gt;""),COUNTIF(Q66:Q66,"W")+COUNTIF(Q73:Q73,"W")+COUNTIF(Q80:Q80,"W")+COUNTIF(Q87:Q87,"W")+COUNTIF(Q94:Q94,"W"),"")</f>
        <v/>
      </c>
      <c r="H101" s="321"/>
      <c r="I101" s="322" t="str">
        <f ca="1">IF(OR(Q68&lt;&gt;"",Q75&lt;&gt;"",Q82&lt;&gt;"",Q89&lt;&gt;"",Q96&lt;&gt;""),COUNTIF(Q68:Q68,"W")+COUNTIF(Q75:Q75,"W")+COUNTIF(Q82:Q82,"W")+COUNTIF(Q89:Q89,"W")+COUNTIF(Q96:Q96,"W"),"")</f>
        <v/>
      </c>
      <c r="J101" s="323"/>
      <c r="L101" s="2" t="s">
        <v>1228</v>
      </c>
      <c r="M101" s="53" t="str">
        <f>K60</f>
        <v>D</v>
      </c>
      <c r="N101" s="3" t="s">
        <v>1226</v>
      </c>
      <c r="R101" s="300" t="str">
        <f>K60</f>
        <v>D</v>
      </c>
      <c r="S101" s="331" t="str">
        <f ca="1">IF($B89&lt;&gt;"",$B89,"")</f>
        <v/>
      </c>
      <c r="T101" s="332"/>
      <c r="U101" s="332"/>
      <c r="V101" s="332"/>
      <c r="W101" s="332"/>
      <c r="X101" s="333"/>
      <c r="Y101" s="329"/>
      <c r="Z101" s="329"/>
      <c r="AA101" s="351"/>
      <c r="AB101" s="351"/>
      <c r="AC101" s="351"/>
      <c r="AD101" s="363" t="s">
        <v>1237</v>
      </c>
      <c r="AE101" s="358"/>
      <c r="AF101" s="359"/>
    </row>
    <row r="102" spans="1:32" ht="12.75" customHeight="1">
      <c r="F102" s="25" t="s">
        <v>3996</v>
      </c>
      <c r="G102" s="23"/>
      <c r="H102" s="23"/>
      <c r="I102" s="23"/>
      <c r="J102" s="23"/>
      <c r="K102" s="24"/>
      <c r="R102" s="330"/>
      <c r="S102" s="334"/>
      <c r="T102" s="335"/>
      <c r="U102" s="335"/>
      <c r="V102" s="335"/>
      <c r="W102" s="335"/>
      <c r="X102" s="336"/>
      <c r="Y102" s="330"/>
      <c r="Z102" s="330"/>
      <c r="AA102" s="330"/>
      <c r="AB102" s="330"/>
      <c r="AC102" s="330"/>
      <c r="AD102" s="360"/>
      <c r="AE102" s="361"/>
      <c r="AF102" s="362"/>
    </row>
    <row r="103" spans="1:32" ht="12.75" customHeight="1">
      <c r="R103" s="1"/>
      <c r="S103" s="110"/>
      <c r="T103" s="110"/>
      <c r="U103" s="110"/>
      <c r="V103" s="110"/>
      <c r="W103" s="110"/>
      <c r="X103" s="111"/>
      <c r="Y103" s="111"/>
      <c r="Z103" s="111"/>
      <c r="AA103" s="111"/>
    </row>
    <row r="104" spans="1:32" ht="12.75" customHeight="1">
      <c r="F104" s="246" t="s">
        <v>4929</v>
      </c>
      <c r="G104" s="246"/>
      <c r="H104" s="246"/>
      <c r="I104" s="246"/>
      <c r="R104" s="1"/>
      <c r="S104" s="110"/>
      <c r="T104" s="110"/>
      <c r="U104" s="110"/>
      <c r="V104" s="110"/>
      <c r="W104" s="110"/>
      <c r="X104" s="111"/>
      <c r="Y104" s="111"/>
      <c r="Z104" s="111"/>
      <c r="AA104" s="111"/>
    </row>
    <row r="105" spans="1:32" ht="12.75" customHeight="1">
      <c r="F105" s="246" t="s">
        <v>4930</v>
      </c>
      <c r="G105" s="246"/>
      <c r="H105" s="246"/>
      <c r="I105" s="246"/>
      <c r="R105" s="1"/>
      <c r="S105" s="110"/>
      <c r="T105" s="110"/>
      <c r="U105" s="110"/>
      <c r="V105" s="110"/>
      <c r="W105" s="110"/>
      <c r="X105" s="111"/>
      <c r="Y105" s="111"/>
      <c r="Z105" s="111"/>
      <c r="AA105" s="111"/>
    </row>
    <row r="106" spans="1:32" ht="12.75" customHeight="1">
      <c r="K106" s="281" t="s">
        <v>1244</v>
      </c>
      <c r="L106" s="281"/>
      <c r="M106" s="281"/>
      <c r="N106" s="281"/>
      <c r="O106" s="281"/>
      <c r="P106" s="281"/>
      <c r="R106" s="1"/>
      <c r="S106" s="110"/>
      <c r="T106" s="110"/>
      <c r="U106" s="110"/>
      <c r="V106" s="110"/>
      <c r="W106" s="110"/>
      <c r="X106" s="111"/>
      <c r="Y106" s="111"/>
      <c r="Z106" s="111"/>
      <c r="AA106" s="111"/>
    </row>
    <row r="107" spans="1:32" ht="12.75" customHeight="1">
      <c r="A107" s="12" t="s">
        <v>1229</v>
      </c>
      <c r="B107" s="11"/>
      <c r="C107" s="11"/>
      <c r="D107" s="11" t="str">
        <f>Draw!$B$1</f>
        <v>Enter Division Name</v>
      </c>
      <c r="E107" s="11"/>
      <c r="F107" s="7"/>
      <c r="G107" s="6"/>
      <c r="H107" s="7"/>
      <c r="I107" s="11"/>
      <c r="J107" s="11"/>
      <c r="K107" s="11"/>
      <c r="L107" s="11"/>
      <c r="M107" s="281"/>
      <c r="N107" s="281"/>
      <c r="O107" s="281"/>
      <c r="P107" s="281"/>
      <c r="R107" s="1"/>
      <c r="S107" s="110"/>
      <c r="T107" s="110"/>
      <c r="U107" s="110"/>
      <c r="V107" s="110"/>
      <c r="W107" s="110"/>
      <c r="X107" s="111"/>
      <c r="Y107" s="111"/>
      <c r="Z107" s="111"/>
      <c r="AA107" s="111"/>
    </row>
    <row r="108" spans="1:32" ht="12.75" customHeight="1">
      <c r="A108" s="2" t="s">
        <v>1230</v>
      </c>
      <c r="D108" s="43" t="str">
        <f>Draw!$D$1</f>
        <v>Enter Hosting Location (City, ST)</v>
      </c>
      <c r="J108" s="43" t="str">
        <f ca="1">$J$6</f>
        <v>[NCTTA Teams Template (v2.06).xlsx]</v>
      </c>
      <c r="R108" s="1"/>
      <c r="S108" s="110"/>
      <c r="T108" s="110"/>
      <c r="U108" s="110"/>
      <c r="V108" s="110"/>
      <c r="W108" s="110"/>
      <c r="X108" s="111"/>
      <c r="Y108" s="111"/>
      <c r="Z108" s="111"/>
      <c r="AA108" s="111"/>
    </row>
    <row r="109" spans="1:32" ht="12.75" customHeight="1">
      <c r="A109" s="2" t="s">
        <v>1231</v>
      </c>
      <c r="D109" s="337" t="str">
        <f>Draw!$P$1</f>
        <v>Enter Date</v>
      </c>
      <c r="E109" s="337"/>
      <c r="F109" s="337"/>
      <c r="G109" s="337"/>
      <c r="J109" s="280" t="str">
        <f>CHOOSE(Draw!$T$1,"Round 1, Match 3","Round 1, Match 3","Round 2, Match 1","Round 3, Match 1","Round 2, Match 1","Round 1, Match 3","Round 1, Match 3","Round 1, Match 3","Round 1, Match 3","Round 1, Match 3","Round 1, Match 3")</f>
        <v>Round 2, Match 1</v>
      </c>
      <c r="K109" s="280"/>
      <c r="L109" s="280"/>
      <c r="M109" s="276" t="str">
        <f>IF(AND($J109&lt;&gt;"",Draw!$AC$10&lt;&gt;"",Draw!$AC$13&lt;&gt;""),Draw!$AC$10+TIME(0,VALUE(MID($J109,7,FIND(",",$J109)-FIND(" ",$J109)-1)-1)*Draw!$AC$13,0),"")</f>
        <v/>
      </c>
      <c r="N109" s="276"/>
      <c r="O109" s="157" t="str">
        <f>$F152</f>
        <v>A-B</v>
      </c>
      <c r="R109" s="1"/>
      <c r="S109" s="110"/>
      <c r="T109" s="110"/>
      <c r="U109" s="110"/>
      <c r="V109" s="110"/>
      <c r="W109" s="110"/>
      <c r="X109" s="111"/>
      <c r="Y109" s="111"/>
      <c r="Z109" s="111"/>
      <c r="AA109" s="111"/>
    </row>
    <row r="110" spans="1:32" ht="12.75" customHeight="1">
      <c r="A110" s="14"/>
      <c r="B110" s="15"/>
      <c r="C110" s="15"/>
      <c r="D110" s="15"/>
      <c r="E110" s="15"/>
      <c r="F110" s="14"/>
      <c r="G110" s="14"/>
      <c r="H110" s="16"/>
      <c r="I110" s="14"/>
      <c r="J110" s="15"/>
      <c r="K110" s="15"/>
      <c r="L110" s="15"/>
      <c r="M110" s="15"/>
      <c r="N110" s="15"/>
      <c r="O110" s="364" t="str">
        <f>IF(OR(AND(VLOOKUP($B111,$AM$1:$AX$12,12,FALSE)="C",VLOOKUP($K111,$AM$1:$AX$12,12,FALSE)="C"),AND(VLOOKUP($B111,$AM$1:$AX$12,12,FALSE)="W",VLOOKUP($K111,$AM$1:$AX$12,12,FALSE)="W")),"Official",IF(AND($A112="",$J112=""),"","Scrimmage"))</f>
        <v/>
      </c>
      <c r="P110" s="364"/>
      <c r="R110" s="1"/>
      <c r="S110" s="110"/>
      <c r="T110" s="110"/>
      <c r="U110" s="110"/>
      <c r="V110" s="110"/>
      <c r="W110" s="110"/>
      <c r="X110" s="111"/>
      <c r="Y110" s="111"/>
      <c r="Z110" s="111"/>
      <c r="AA110" s="111"/>
    </row>
    <row r="111" spans="1:32" ht="12.75" customHeight="1">
      <c r="A111" s="17" t="s">
        <v>1228</v>
      </c>
      <c r="B111" s="119" t="str">
        <f>CHOOSE(Draw!$T$1,"C","C","A","B","A","C","D","C","D","C","D")</f>
        <v>A</v>
      </c>
      <c r="C111" s="135">
        <f>VLOOKUP($B111,$AM$1:$AN$12,2)</f>
        <v>1</v>
      </c>
      <c r="D111" s="13"/>
      <c r="E111" s="13"/>
      <c r="F111" s="10"/>
      <c r="H111" s="19" t="s">
        <v>1232</v>
      </c>
      <c r="J111" s="17" t="s">
        <v>1228</v>
      </c>
      <c r="K111" s="119" t="str">
        <f>CHOOSE(Draw!$T$1,"J","D","B","C","D","D","E","F","G","H","I")</f>
        <v>B</v>
      </c>
      <c r="L111" s="135">
        <f>VLOOKUP($K111,$AM$1:$AN$12,2)</f>
        <v>2</v>
      </c>
      <c r="M111" s="13"/>
      <c r="N111" s="13"/>
      <c r="O111" s="18"/>
      <c r="P111" s="274"/>
      <c r="Q111" s="275"/>
      <c r="R111" s="1"/>
      <c r="S111" s="110"/>
      <c r="T111" s="110"/>
      <c r="U111" s="110"/>
      <c r="V111" s="110"/>
      <c r="W111" s="110"/>
      <c r="X111" s="111"/>
      <c r="Y111" s="111"/>
      <c r="Z111" s="111"/>
      <c r="AA111" s="111"/>
    </row>
    <row r="112" spans="1:32" ht="12.75" customHeight="1">
      <c r="A112" s="277" t="str">
        <f>IF(VLOOKUP($B111,Draw!$A$4:$B$27,2)&lt;&gt;0,VLOOKUP($B111,Draw!$A$4:$B$27,2),"")</f>
        <v/>
      </c>
      <c r="B112" s="278"/>
      <c r="C112" s="278"/>
      <c r="D112" s="278"/>
      <c r="E112" s="278"/>
      <c r="F112" s="279"/>
      <c r="G112" s="306" t="s">
        <v>4154</v>
      </c>
      <c r="H112" s="289"/>
      <c r="I112" s="307"/>
      <c r="J112" s="277" t="str">
        <f>IF(VLOOKUP($K111,Draw!$A$4:$B$27,2)&lt;&gt;0,VLOOKUP($K111,Draw!$A$4:$B$27,2),"")</f>
        <v/>
      </c>
      <c r="K112" s="278"/>
      <c r="L112" s="278"/>
      <c r="M112" s="278"/>
      <c r="N112" s="278"/>
      <c r="O112" s="279"/>
      <c r="P112" s="15"/>
      <c r="R112" s="1"/>
      <c r="S112" s="110"/>
      <c r="T112" s="110"/>
      <c r="U112" s="110"/>
      <c r="V112" s="110"/>
      <c r="W112" s="110"/>
      <c r="X112" s="111"/>
      <c r="Y112" s="111"/>
      <c r="Z112" s="111"/>
      <c r="AA112" s="111"/>
    </row>
    <row r="113" spans="1:32" ht="12.75" customHeight="1">
      <c r="A113" s="14"/>
      <c r="B113" s="15"/>
      <c r="C113" s="15"/>
      <c r="D113" s="15"/>
      <c r="E113" s="15"/>
      <c r="F113" s="14"/>
      <c r="G113" s="288" t="str">
        <f>"Page "&amp;VALUE(RIGHT($G112,LEN($G112)-SEARCH("-",$G112)))/2</f>
        <v>Page 3</v>
      </c>
      <c r="H113" s="289"/>
      <c r="I113" s="289"/>
      <c r="J113" s="15"/>
      <c r="K113" s="15"/>
      <c r="L113" s="15"/>
      <c r="M113" s="15"/>
      <c r="N113" s="15"/>
      <c r="O113" s="15"/>
      <c r="P113" s="15"/>
      <c r="R113" s="1"/>
      <c r="S113" s="110"/>
      <c r="T113" s="110"/>
      <c r="U113" s="110"/>
      <c r="V113" s="110"/>
      <c r="W113" s="110"/>
      <c r="X113" s="111"/>
      <c r="Y113" s="111"/>
      <c r="Z113" s="111"/>
      <c r="AA113" s="111"/>
      <c r="AF113" s="27"/>
    </row>
    <row r="114" spans="1:32" ht="12.75" customHeight="1">
      <c r="A114" s="327" t="s">
        <v>1245</v>
      </c>
      <c r="B114" s="327"/>
      <c r="C114" s="327"/>
      <c r="D114" s="327"/>
      <c r="E114" s="327"/>
      <c r="F114" s="327"/>
      <c r="G114" s="327"/>
      <c r="H114" s="327"/>
      <c r="I114" s="327"/>
      <c r="J114" s="327"/>
      <c r="K114" s="327"/>
      <c r="L114" s="327"/>
      <c r="M114" s="327"/>
      <c r="N114" s="327"/>
      <c r="O114" s="327"/>
      <c r="P114" s="327"/>
      <c r="Q114" s="7"/>
      <c r="R114" s="1"/>
      <c r="S114" s="110"/>
      <c r="T114" s="110"/>
      <c r="U114" s="110"/>
      <c r="V114" s="110"/>
      <c r="W114" s="110"/>
      <c r="X114" s="111"/>
      <c r="Y114" s="111"/>
      <c r="Z114" s="111"/>
      <c r="AA114" s="111"/>
      <c r="AF114" s="20"/>
    </row>
    <row r="115" spans="1:32" ht="12.75" customHeight="1">
      <c r="A115" s="21" t="s">
        <v>1233</v>
      </c>
      <c r="H115" s="136" t="str">
        <f>IF($Q117&lt;&gt;"",IF(AND(AND($H117&gt;-1,$H119&gt;-1),OR($H117&gt;10,$H119&gt;10),ABS($H117-$H119)&gt;1,IF(OR($H117&gt;11,$H119&gt;11),ABS($H117-$H119)=2,TRUE),$H117=INT($H117),$H119=INT($H119)),"","Error"),"")</f>
        <v/>
      </c>
      <c r="I115" s="136" t="str">
        <f>IF($Q117&lt;&gt;"",IF(AND(AND($I117&gt;-1,$I119&gt;-1),OR($I117&gt;10,$I119&gt;10),ABS($I117-$I119)&gt;1,IF(OR($I117&gt;11,$I119&gt;11),ABS($I117-$I119)=2,TRUE),$I117=INT($I117),$I119=INT($I119)),"","Error"),"")</f>
        <v/>
      </c>
      <c r="J115" s="136" t="str">
        <f>IF($Q117&lt;&gt;"",IF(AND(AND($J117&gt;-1,$J119&gt;-1),OR($J117&gt;10,$J119&gt;10),ABS($J117-$J119)&gt;1,IF(OR($J117&gt;11,$J119&gt;11),ABS($J117-$J119)=2,TRUE),$J117=INT($J117),$J119=INT($J119)),"","Error"),"")</f>
        <v/>
      </c>
      <c r="K115" s="136" t="str">
        <f>IF($Q117&lt;&gt;"",IF(AND($K117&lt;&gt;"",$K119&lt;&gt;""), IF(AND(AND($K117&gt;-1,$K119&gt;-1),OR($K117&gt;10,$K119&gt;10),ABS($K117-$K119)&gt;1,IF(OR($K117&gt;11,$K119&gt;11),ABS($K117-$K119)=2,TRUE),$K117=INT($K117),$K119=INT($K119)),"","Error"),""),"")</f>
        <v/>
      </c>
      <c r="L115" s="136" t="str">
        <f>IF($Q117&lt;&gt;"",IF(AND($L117&lt;&gt;"",$L119&lt;&gt;""), IF(AND(AND($L117&gt;-1,$L119&gt;-1),OR($L117&gt;10,$L119&gt;10),ABS($L117-$L119)&gt;1,IF(OR($L117&gt;11,$L119&gt;11),ABS($L117-$L119)=2,TRUE),$L117=INT($L117),$L119=INT($L119)),"","Error"),""),"")</f>
        <v/>
      </c>
      <c r="R115" s="1"/>
      <c r="S115" s="110"/>
      <c r="T115" s="110"/>
      <c r="U115" s="110"/>
      <c r="V115" s="110"/>
      <c r="W115" s="110"/>
      <c r="X115" s="111"/>
      <c r="Y115" s="111"/>
      <c r="Z115" s="111"/>
      <c r="AA115" s="111"/>
    </row>
    <row r="116" spans="1:32" ht="12.75" customHeight="1">
      <c r="A116" s="5" t="s">
        <v>1228</v>
      </c>
      <c r="B116" s="290" t="s">
        <v>1126</v>
      </c>
      <c r="C116" s="291"/>
      <c r="D116" s="291"/>
      <c r="E116" s="291"/>
      <c r="F116" s="291"/>
      <c r="G116" s="292"/>
      <c r="H116" s="5">
        <v>1</v>
      </c>
      <c r="I116" s="5">
        <v>2</v>
      </c>
      <c r="J116" s="5">
        <v>3</v>
      </c>
      <c r="K116" s="5">
        <v>4</v>
      </c>
      <c r="L116" s="5">
        <v>5</v>
      </c>
      <c r="M116" s="271"/>
      <c r="N116" s="272"/>
      <c r="O116" s="272"/>
      <c r="P116" s="273"/>
      <c r="R116" s="1"/>
      <c r="S116" s="110"/>
      <c r="T116" s="110"/>
      <c r="U116" s="110"/>
      <c r="V116" s="110"/>
      <c r="W116" s="110"/>
      <c r="X116" s="111"/>
      <c r="Y116" s="111"/>
      <c r="Z116" s="111"/>
      <c r="AA116" s="111"/>
    </row>
    <row r="117" spans="1:32" ht="12.75" customHeight="1">
      <c r="A117" s="300" t="str">
        <f>B111</f>
        <v>A</v>
      </c>
      <c r="B117" s="293" t="str">
        <f ca="1">IF(AND(OFFSET($AO$1,$C111-1,8,1,1),$A112&lt;&gt;"",$J112&lt;&gt;""),CHOOSE($C111,$AO$1,$AO$2,$AO$3,$AO$4,$AO$5,$AO$6,$AO$7,$AO$8,$AO$9,$AO$10,$AO$11,$AO$12),"")</f>
        <v/>
      </c>
      <c r="C117" s="294"/>
      <c r="D117" s="294"/>
      <c r="E117" s="294"/>
      <c r="F117" s="294"/>
      <c r="G117" s="294"/>
      <c r="H117" s="265"/>
      <c r="I117" s="265"/>
      <c r="J117" s="265"/>
      <c r="K117" s="265"/>
      <c r="L117" s="265"/>
      <c r="M117" s="297"/>
      <c r="N117" s="298"/>
      <c r="O117" s="298"/>
      <c r="P117" s="299"/>
      <c r="Q117" s="137" t="str">
        <f>IF($L117=$L119,IF($K117=$K119,IF($J117&lt;&gt;"",IF($J117&gt;$J119,"W","L"),""),IF($K117&gt;$K119,"W","L")),IF($L117&gt;$L119,"W","L"))</f>
        <v/>
      </c>
      <c r="R117" s="1"/>
      <c r="S117" s="110"/>
      <c r="T117" s="110"/>
      <c r="U117" s="110"/>
      <c r="V117" s="110"/>
      <c r="W117" s="110"/>
      <c r="X117" s="111"/>
      <c r="Y117" s="111"/>
      <c r="Z117" s="111"/>
      <c r="AA117" s="111"/>
    </row>
    <row r="118" spans="1:32" ht="12.75" customHeight="1">
      <c r="A118" s="301"/>
      <c r="B118" s="295"/>
      <c r="C118" s="296"/>
      <c r="D118" s="296"/>
      <c r="E118" s="296"/>
      <c r="F118" s="296"/>
      <c r="G118" s="296"/>
      <c r="H118" s="270"/>
      <c r="I118" s="270"/>
      <c r="J118" s="270"/>
      <c r="K118" s="270"/>
      <c r="L118" s="270"/>
      <c r="M118" s="297"/>
      <c r="N118" s="298"/>
      <c r="O118" s="298"/>
      <c r="P118" s="299"/>
      <c r="Q118" s="139" t="str">
        <f>IF($Q117&lt;&gt;"",IF($Q117="W",IF(SUM(IF($H117&gt;$H119,1,0),IF($I117&gt;$I119,1,0),IF($J117&gt;$J119,1,0),IF($K117&gt;$K119,1,0),IF($L117&gt;$L119,1,0))&lt;&gt;3,"Error",""),""),"")</f>
        <v/>
      </c>
      <c r="R118" s="328" t="str">
        <f>$A112</f>
        <v/>
      </c>
      <c r="S118" s="328"/>
      <c r="T118" s="328"/>
      <c r="U118" s="328"/>
      <c r="V118" s="328"/>
      <c r="W118" s="328"/>
      <c r="X118" s="256" t="str">
        <f>CONCATENATE("(",$B111," vs ",$K111,")")</f>
        <v>(A vs B)</v>
      </c>
      <c r="Y118" s="256"/>
      <c r="Z118" s="328" t="str">
        <f>$J112</f>
        <v/>
      </c>
      <c r="AA118" s="328"/>
      <c r="AB118" s="328"/>
      <c r="AC118" s="328"/>
      <c r="AD118" s="328"/>
      <c r="AE118" s="328"/>
      <c r="AF118" s="43"/>
    </row>
    <row r="119" spans="1:32" ht="12.75" customHeight="1">
      <c r="A119" s="300" t="str">
        <f>K111</f>
        <v>B</v>
      </c>
      <c r="B119" s="293" t="str">
        <f ca="1">IF(AND(OFFSET($AO$1,$L111-1,8,1,1),$A112&lt;&gt;"",$J112&lt;&gt;""),CHOOSE($L111,$AO$1,$AO$2,$AO$3,$AO$4,$AO$5,$AO$6,$AO$7,$AO$8,$AO$9,$AO$10,$AO$11,$AO$12),"")</f>
        <v/>
      </c>
      <c r="C119" s="294"/>
      <c r="D119" s="294"/>
      <c r="E119" s="294"/>
      <c r="F119" s="294"/>
      <c r="G119" s="294"/>
      <c r="H119" s="265"/>
      <c r="I119" s="265"/>
      <c r="J119" s="265"/>
      <c r="K119" s="265"/>
      <c r="L119" s="265"/>
      <c r="M119" s="267" t="s">
        <v>1237</v>
      </c>
      <c r="N119" s="268"/>
      <c r="O119" s="268"/>
      <c r="P119" s="269"/>
      <c r="Q119" s="137" t="str">
        <f>IF($Q117&lt;&gt;"",IF($Q117="W","L","W"),"")</f>
        <v/>
      </c>
      <c r="R119" s="43"/>
      <c r="S119" s="43"/>
      <c r="T119" s="43"/>
      <c r="U119" s="43"/>
      <c r="V119" s="43"/>
      <c r="W119" s="43"/>
      <c r="X119" s="43"/>
      <c r="Y119" s="43"/>
      <c r="Z119" s="43"/>
      <c r="AA119" s="43"/>
      <c r="AB119" s="43"/>
      <c r="AC119" s="43"/>
      <c r="AD119" s="43"/>
      <c r="AE119" s="43"/>
      <c r="AF119" s="43"/>
    </row>
    <row r="120" spans="1:32" ht="12.75" customHeight="1">
      <c r="A120" s="301"/>
      <c r="B120" s="295"/>
      <c r="C120" s="296"/>
      <c r="D120" s="296"/>
      <c r="E120" s="296"/>
      <c r="F120" s="296"/>
      <c r="G120" s="296"/>
      <c r="H120" s="270"/>
      <c r="I120" s="270"/>
      <c r="J120" s="266"/>
      <c r="K120" s="266"/>
      <c r="L120" s="266"/>
      <c r="M120" s="267"/>
      <c r="N120" s="268"/>
      <c r="O120" s="268"/>
      <c r="P120" s="269"/>
      <c r="Q120" s="139" t="str">
        <f>IF($Q119&lt;&gt;"",IF($Q119="W",IF(SUM(IF($H119&gt;$H117,1,0),IF($I119&gt;$I117,1,0),IF($J119&gt;$J117,1,0),IF($K119&gt;$K117,1,0),IF($L119&gt;$L117,1,0))&lt;&gt;3,"Error",""),""),"")</f>
        <v/>
      </c>
      <c r="R120" s="43" t="str">
        <f>$A122</f>
        <v>2nd Singles</v>
      </c>
      <c r="S120" s="43"/>
      <c r="T120" s="43"/>
      <c r="U120" s="43"/>
      <c r="V120" s="43"/>
      <c r="W120" s="43"/>
      <c r="X120" s="43"/>
      <c r="Y120" s="43"/>
      <c r="Z120" s="43"/>
      <c r="AA120" s="43"/>
      <c r="AB120" s="43"/>
      <c r="AC120" s="43"/>
      <c r="AD120" s="43"/>
      <c r="AE120" s="43"/>
      <c r="AF120" s="43"/>
    </row>
    <row r="121" spans="1:32" ht="12.75" customHeight="1">
      <c r="Q121" s="7"/>
      <c r="R121" s="60" t="s">
        <v>1228</v>
      </c>
      <c r="S121" s="339" t="s">
        <v>1126</v>
      </c>
      <c r="T121" s="340"/>
      <c r="U121" s="340"/>
      <c r="V121" s="340"/>
      <c r="W121" s="340"/>
      <c r="X121" s="341"/>
      <c r="Y121" s="60">
        <v>1</v>
      </c>
      <c r="Z121" s="60">
        <v>2</v>
      </c>
      <c r="AA121" s="60">
        <v>3</v>
      </c>
      <c r="AB121" s="60">
        <v>4</v>
      </c>
      <c r="AC121" s="60">
        <v>5</v>
      </c>
      <c r="AD121" s="342"/>
      <c r="AE121" s="343"/>
      <c r="AF121" s="344"/>
    </row>
    <row r="122" spans="1:32" ht="12.75" customHeight="1">
      <c r="A122" s="21" t="s">
        <v>1234</v>
      </c>
      <c r="H122" s="136" t="str">
        <f>IF($Q124&lt;&gt;"",IF(AND(AND($H124&gt;-1,$H126&gt;-1),OR($H124&gt;10,$H126&gt;10),ABS($H124-$H126)&gt;1,IF(OR($H124&gt;11,$H126&gt;11),ABS($H124-$H126)=2,TRUE),$H124=INT($H124),$H126=INT($H126)),"","Error"),"")</f>
        <v/>
      </c>
      <c r="I122" s="136" t="str">
        <f>IF($Q124&lt;&gt;"",IF(AND(AND($I124&gt;-1,$I126&gt;-1),OR($I124&gt;10,$I126&gt;10),ABS($I124-$I126)&gt;1,IF(OR($I124&gt;11,$I126&gt;11),ABS($I124-$I126)=2,TRUE),$I124=INT($I124),$I126=INT($I126)),"","Error"),"")</f>
        <v/>
      </c>
      <c r="J122" s="136" t="str">
        <f>IF($Q124&lt;&gt;"",IF(AND(AND($J124&gt;-1,$J126&gt;-1),OR($J124&gt;10,$J126&gt;10),ABS($J124-$J126)&gt;1,IF(OR($J124&gt;11,$J126&gt;11),ABS($J124-$J126)=2,TRUE),$J124=INT($J124),$J126=INT($J126)),"","Error"),"")</f>
        <v/>
      </c>
      <c r="K122" s="136" t="str">
        <f>IF($Q124&lt;&gt;"",IF(AND($K124&lt;&gt;"",$K126&lt;&gt;""), IF(AND(AND($K124&gt;-1,$K126&gt;-1),OR($K124&gt;10,$K126&gt;10),ABS($K124-$K126)&gt;1,IF(OR($K124&gt;11,$K126&gt;11),ABS($K124-$K126)=2,TRUE),$K124=INT($K124),$K126=INT($K126)),"","Error"),""),"")</f>
        <v/>
      </c>
      <c r="L122" s="136" t="str">
        <f>IF($Q124&lt;&gt;"",IF(AND($L124&lt;&gt;"",$L126&lt;&gt;""), IF(AND(AND($L124&gt;-1,$L126&gt;-1),OR($L124&gt;10,$L126&gt;10),ABS($L124-$L126)&gt;1,IF(OR($L124&gt;11,$L126&gt;11),ABS($L124-$L126)=2,TRUE),$L124=INT($L124),$L126=INT($L126)),"","Error"),""),"")</f>
        <v/>
      </c>
      <c r="Q122" s="7"/>
      <c r="R122" s="300" t="str">
        <f>$B111</f>
        <v>A</v>
      </c>
      <c r="S122" s="331" t="str">
        <f ca="1">IF($B124&lt;&gt;"",$B124,"")</f>
        <v/>
      </c>
      <c r="T122" s="332"/>
      <c r="U122" s="332"/>
      <c r="V122" s="332"/>
      <c r="W122" s="332"/>
      <c r="X122" s="333"/>
      <c r="Y122" s="329"/>
      <c r="Z122" s="329"/>
      <c r="AA122" s="329"/>
      <c r="AB122" s="329"/>
      <c r="AC122" s="329"/>
      <c r="AD122" s="345"/>
      <c r="AE122" s="358"/>
      <c r="AF122" s="359"/>
    </row>
    <row r="123" spans="1:32" ht="12.75" customHeight="1">
      <c r="A123" s="5" t="s">
        <v>1228</v>
      </c>
      <c r="B123" s="290" t="s">
        <v>1126</v>
      </c>
      <c r="C123" s="291"/>
      <c r="D123" s="291"/>
      <c r="E123" s="291"/>
      <c r="F123" s="291"/>
      <c r="G123" s="292"/>
      <c r="H123" s="5">
        <v>1</v>
      </c>
      <c r="I123" s="5">
        <v>2</v>
      </c>
      <c r="J123" s="5">
        <v>3</v>
      </c>
      <c r="K123" s="5">
        <v>4</v>
      </c>
      <c r="L123" s="5">
        <v>5</v>
      </c>
      <c r="M123" s="271"/>
      <c r="N123" s="272"/>
      <c r="O123" s="272"/>
      <c r="P123" s="273"/>
      <c r="Q123" s="7"/>
      <c r="R123" s="330"/>
      <c r="S123" s="334"/>
      <c r="T123" s="335"/>
      <c r="U123" s="335"/>
      <c r="V123" s="335"/>
      <c r="W123" s="335"/>
      <c r="X123" s="336"/>
      <c r="Y123" s="330"/>
      <c r="Z123" s="330"/>
      <c r="AA123" s="330"/>
      <c r="AB123" s="330"/>
      <c r="AC123" s="330"/>
      <c r="AD123" s="360"/>
      <c r="AE123" s="361"/>
      <c r="AF123" s="362"/>
    </row>
    <row r="124" spans="1:32" ht="12.75" customHeight="1">
      <c r="A124" s="300" t="str">
        <f>B111</f>
        <v>A</v>
      </c>
      <c r="B124" s="293" t="str">
        <f ca="1">IF(AND(OFFSET($AO$1,$C111-1,8,1,1),$A112&lt;&gt;"",$J112&lt;&gt;""),CHOOSE($C111,$AP$1,$AP$2,$AP$3,$AP$4,$AP$5,$AP$6,$AP$7,$AP$8,$AP$9,$AP$10,$AP$11,$AP$12),"")</f>
        <v/>
      </c>
      <c r="C124" s="294"/>
      <c r="D124" s="294"/>
      <c r="E124" s="294"/>
      <c r="F124" s="294"/>
      <c r="G124" s="294"/>
      <c r="H124" s="265"/>
      <c r="I124" s="265"/>
      <c r="J124" s="265"/>
      <c r="K124" s="265"/>
      <c r="L124" s="265"/>
      <c r="M124" s="262" t="str">
        <f ca="1">IF(OR(AND($B117&lt;&gt;"",$B124&lt;&gt;"",$C142&lt;=$B142),AND($B119&lt;&gt;"",$B126&lt;&gt;"",$G142&lt;=$F142)),"Invalid Lineup","")</f>
        <v/>
      </c>
      <c r="N124" s="263"/>
      <c r="O124" s="263"/>
      <c r="P124" s="264"/>
      <c r="Q124" s="137" t="str">
        <f>IF($L124=$L126,IF($K124=$K126,IF($J124&lt;&gt;"",IF($J124&gt;$J126,"W","L"),""),IF($K124&gt;$K126,"W","L")),IF($L124&gt;$L126,"W","L"))</f>
        <v/>
      </c>
      <c r="R124" s="300" t="str">
        <f>$K111</f>
        <v>B</v>
      </c>
      <c r="S124" s="331" t="str">
        <f ca="1">IF($B126&lt;&gt;"",$B126,"")</f>
        <v/>
      </c>
      <c r="T124" s="332"/>
      <c r="U124" s="332"/>
      <c r="V124" s="332"/>
      <c r="W124" s="332"/>
      <c r="X124" s="333"/>
      <c r="Y124" s="329"/>
      <c r="Z124" s="329"/>
      <c r="AA124" s="329"/>
      <c r="AB124" s="329"/>
      <c r="AC124" s="351"/>
      <c r="AD124" s="363" t="s">
        <v>1237</v>
      </c>
      <c r="AE124" s="358"/>
      <c r="AF124" s="359"/>
    </row>
    <row r="125" spans="1:32" ht="12.75" customHeight="1">
      <c r="A125" s="301"/>
      <c r="B125" s="295"/>
      <c r="C125" s="296"/>
      <c r="D125" s="296"/>
      <c r="E125" s="296"/>
      <c r="F125" s="296"/>
      <c r="G125" s="296"/>
      <c r="H125" s="270"/>
      <c r="I125" s="270"/>
      <c r="J125" s="270"/>
      <c r="K125" s="270"/>
      <c r="L125" s="270"/>
      <c r="M125" s="262"/>
      <c r="N125" s="263"/>
      <c r="O125" s="263"/>
      <c r="P125" s="264"/>
      <c r="Q125" s="139" t="str">
        <f>IF($Q124&lt;&gt;"",IF($Q124="W",IF(SUM(IF($H124&gt;$H126,1,0),IF($I124&gt;$I126,1,0),IF($J124&gt;$J126,1,0),IF($K124&gt;$K126,1,0),IF($L124&gt;$L126,1,0))&lt;&gt;3,"Error",""),""),"")</f>
        <v/>
      </c>
      <c r="R125" s="330"/>
      <c r="S125" s="334"/>
      <c r="T125" s="335"/>
      <c r="U125" s="335"/>
      <c r="V125" s="335"/>
      <c r="W125" s="335"/>
      <c r="X125" s="336"/>
      <c r="Y125" s="330"/>
      <c r="Z125" s="330"/>
      <c r="AA125" s="330"/>
      <c r="AB125" s="330"/>
      <c r="AC125" s="330"/>
      <c r="AD125" s="360"/>
      <c r="AE125" s="361"/>
      <c r="AF125" s="362"/>
    </row>
    <row r="126" spans="1:32" ht="12.75" customHeight="1">
      <c r="A126" s="300" t="str">
        <f>K111</f>
        <v>B</v>
      </c>
      <c r="B126" s="293" t="str">
        <f ca="1">IF(AND(OFFSET($AO$1,$L111-1,8,1,1),$A112&lt;&gt;"",$J112&lt;&gt;""),CHOOSE($L111,$AP$1,$AP$2,$AP$3,$AP$4,$AP$5,$AP$6,$AP$7,$AP$8,$AP$9,$AP$10,$AP$11,$AP$12),"")</f>
        <v/>
      </c>
      <c r="C126" s="294"/>
      <c r="D126" s="294"/>
      <c r="E126" s="294"/>
      <c r="F126" s="294"/>
      <c r="G126" s="294"/>
      <c r="H126" s="265"/>
      <c r="I126" s="265"/>
      <c r="J126" s="265"/>
      <c r="K126" s="265"/>
      <c r="L126" s="265"/>
      <c r="M126" s="267" t="s">
        <v>1237</v>
      </c>
      <c r="N126" s="268"/>
      <c r="O126" s="268"/>
      <c r="P126" s="269"/>
      <c r="Q126" s="137" t="str">
        <f>IF($Q124&lt;&gt;"",IF($Q124="W","L","W"),"")</f>
        <v/>
      </c>
      <c r="R126" s="20"/>
      <c r="S126" s="20"/>
      <c r="T126" s="20"/>
      <c r="U126" s="20"/>
      <c r="V126" s="20"/>
      <c r="W126" s="20"/>
      <c r="X126" s="26"/>
      <c r="Y126" s="26"/>
      <c r="Z126" s="20"/>
      <c r="AA126" s="20"/>
      <c r="AB126" s="20"/>
      <c r="AC126" s="20"/>
      <c r="AD126" s="20"/>
      <c r="AE126" s="20"/>
      <c r="AF126" s="27"/>
    </row>
    <row r="127" spans="1:32" ht="12.75" customHeight="1">
      <c r="A127" s="301"/>
      <c r="B127" s="295"/>
      <c r="C127" s="296"/>
      <c r="D127" s="296"/>
      <c r="E127" s="296"/>
      <c r="F127" s="296"/>
      <c r="G127" s="296"/>
      <c r="H127" s="270"/>
      <c r="I127" s="270"/>
      <c r="J127" s="266"/>
      <c r="K127" s="266"/>
      <c r="L127" s="266"/>
      <c r="M127" s="267"/>
      <c r="N127" s="268"/>
      <c r="O127" s="268"/>
      <c r="P127" s="269"/>
      <c r="Q127" s="139" t="str">
        <f>IF($Q126&lt;&gt;"",IF($Q126="W",IF(SUM(IF($H126&gt;$H124,1,0),IF($I126&gt;$I124,1,0),IF($J126&gt;$J124,1,0),IF($K126&gt;$K124,1,0),IF($L126&gt;$L124,1,0))&lt;&gt;3,"Error",""),""),"")</f>
        <v/>
      </c>
      <c r="R127" s="20"/>
      <c r="S127" s="20"/>
      <c r="T127" s="20"/>
      <c r="U127" s="20"/>
      <c r="V127" s="20"/>
      <c r="W127" s="20"/>
      <c r="X127" s="26"/>
      <c r="Y127" s="26"/>
      <c r="Z127" s="20"/>
      <c r="AA127" s="20"/>
      <c r="AB127" s="20"/>
      <c r="AC127" s="20"/>
      <c r="AD127" s="20"/>
      <c r="AE127" s="20"/>
      <c r="AF127" s="27"/>
    </row>
    <row r="128" spans="1:32" ht="12.75" customHeight="1">
      <c r="Q128" s="7"/>
      <c r="R128" s="20"/>
      <c r="S128" s="20"/>
      <c r="T128" s="20"/>
      <c r="U128" s="20"/>
      <c r="V128" s="20"/>
      <c r="W128" s="20"/>
      <c r="X128" s="26"/>
      <c r="Y128" s="26"/>
      <c r="Z128" s="20"/>
      <c r="AA128" s="20"/>
      <c r="AB128" s="20"/>
      <c r="AC128" s="20"/>
      <c r="AD128" s="20"/>
      <c r="AE128" s="20"/>
      <c r="AF128" s="27"/>
    </row>
    <row r="129" spans="1:32" ht="12.75" customHeight="1">
      <c r="A129" s="21" t="s">
        <v>1235</v>
      </c>
      <c r="H129" s="136" t="str">
        <f>IF($Q131&lt;&gt;"",IF(AND(AND($H131&gt;-1,$H133&gt;-1),OR($H131&gt;10,$H133&gt;10),ABS($H131-$H133)&gt;1,IF(OR($H131&gt;11,$H133&gt;11),ABS($H131-$H133)=2,TRUE),$H131=INT($H131),$H133=INT($H133)),"","Error"),"")</f>
        <v/>
      </c>
      <c r="I129" s="136" t="str">
        <f>IF($Q131&lt;&gt;"",IF(AND(AND($I131&gt;-1,$I133&gt;-1),OR($I131&gt;10,$I133&gt;10),ABS($I131-$I133)&gt;1,IF(OR($I131&gt;11,$I133&gt;11),ABS($I131-$I133)=2,TRUE),$I131=INT($I131),$I133=INT($I133)),"","Error"),"")</f>
        <v/>
      </c>
      <c r="J129" s="136" t="str">
        <f>IF($Q131&lt;&gt;"",IF(AND(AND($J131&gt;-1,$J133&gt;-1),OR($J131&gt;10,$J133&gt;10),ABS($J131-$J133)&gt;1,IF(OR($J131&gt;11,$J133&gt;11),ABS($J131-$J133)=2,TRUE),$J131=INT($J131),$J133=INT($J133)),"","Error"),"")</f>
        <v/>
      </c>
      <c r="K129" s="136" t="str">
        <f>IF($Q131&lt;&gt;"",IF(AND($K131&lt;&gt;"",$K133&lt;&gt;""), IF(AND(AND($K131&gt;-1,$K133&gt;-1),OR($K131&gt;10,$K133&gt;10),ABS($K131-$K133)&gt;1,IF(OR($K131&gt;11,$K133&gt;11),ABS($K131-$K133)=2,TRUE),$K131=INT($K131),$K133=INT($K133)),"","Error"),""),"")</f>
        <v/>
      </c>
      <c r="L129" s="136" t="str">
        <f>IF($Q131&lt;&gt;"",IF(AND($L131&lt;&gt;"",$L133&lt;&gt;""), IF(AND(AND($L131&gt;-1,$L133&gt;-1),OR($L131&gt;10,$L133&gt;10),ABS($L131-$L133)&gt;1,IF(OR($L131&gt;11,$L133&gt;11),ABS($L131-$L133)=2,TRUE),$L131=INT($L131),$L133=INT($L133)),"","Error"),""),"")</f>
        <v/>
      </c>
      <c r="Q129" s="7"/>
      <c r="R129" s="20"/>
      <c r="S129" s="20"/>
      <c r="T129" s="20"/>
      <c r="U129" s="20"/>
      <c r="V129" s="20"/>
      <c r="W129" s="20"/>
      <c r="X129" s="26"/>
      <c r="Y129" s="26"/>
      <c r="Z129" s="20"/>
      <c r="AA129" s="20"/>
      <c r="AB129" s="20"/>
      <c r="AC129" s="20"/>
      <c r="AD129" s="20"/>
      <c r="AE129" s="20"/>
      <c r="AF129" s="27"/>
    </row>
    <row r="130" spans="1:32" ht="12.75" customHeight="1">
      <c r="A130" s="5" t="s">
        <v>1228</v>
      </c>
      <c r="B130" s="290" t="s">
        <v>1126</v>
      </c>
      <c r="C130" s="291"/>
      <c r="D130" s="291"/>
      <c r="E130" s="291"/>
      <c r="F130" s="291"/>
      <c r="G130" s="292"/>
      <c r="H130" s="5">
        <v>1</v>
      </c>
      <c r="I130" s="5">
        <v>2</v>
      </c>
      <c r="J130" s="5">
        <v>3</v>
      </c>
      <c r="K130" s="5">
        <v>4</v>
      </c>
      <c r="L130" s="5">
        <v>5</v>
      </c>
      <c r="M130" s="271"/>
      <c r="N130" s="272"/>
      <c r="O130" s="272"/>
      <c r="P130" s="273"/>
      <c r="Q130" s="7"/>
      <c r="R130" s="20"/>
      <c r="S130" s="20"/>
      <c r="T130" s="20"/>
      <c r="U130" s="20"/>
      <c r="V130" s="20"/>
      <c r="W130" s="20"/>
      <c r="X130" s="26"/>
      <c r="Y130" s="26"/>
      <c r="Z130" s="20"/>
      <c r="AA130" s="20"/>
      <c r="AB130" s="20"/>
      <c r="AC130" s="20"/>
      <c r="AD130" s="20"/>
      <c r="AE130" s="20"/>
      <c r="AF130" s="27"/>
    </row>
    <row r="131" spans="1:32" ht="12.75" customHeight="1">
      <c r="A131" s="300" t="str">
        <f>B111</f>
        <v>A</v>
      </c>
      <c r="B131" s="293" t="str">
        <f ca="1">IF(AND(OFFSET($AO$1,$C111-1,8,1,1),$A112&lt;&gt;"",$J112&lt;&gt;""),CHOOSE($C111,$AQ$1,$AQ$2,$AQ$3,$AQ$4,$AQ$5,$AQ$6,$AQ$7,$AQ$8,$AQ$9,$AQ$10,$AQ$11,$AQ$12),"")</f>
        <v/>
      </c>
      <c r="C131" s="294"/>
      <c r="D131" s="294"/>
      <c r="E131" s="294"/>
      <c r="F131" s="294"/>
      <c r="G131" s="294"/>
      <c r="H131" s="265"/>
      <c r="I131" s="265"/>
      <c r="J131" s="265"/>
      <c r="K131" s="265"/>
      <c r="L131" s="265"/>
      <c r="M131" s="262" t="str">
        <f ca="1">IF(OR(AND($B124&lt;&gt;"",$B131&lt;&gt;"",$D142&lt;=$C142),AND($B126&lt;&gt;"",$B133&lt;&gt;"",$H142&lt;=$G142)),"Invalid Lineup","")</f>
        <v/>
      </c>
      <c r="N131" s="263"/>
      <c r="O131" s="263"/>
      <c r="P131" s="264"/>
      <c r="Q131" s="137" t="str">
        <f>IF($L131=$L133,IF($K131=$K133,IF($J131&lt;&gt;"",IF($J131&gt;$J133,"W","L"),""),IF($K131&gt;$K133,"W","L")),IF($L131&gt;$L133,"W","L"))</f>
        <v/>
      </c>
      <c r="R131" s="20"/>
      <c r="S131" s="20"/>
      <c r="T131" s="20"/>
      <c r="U131" s="20"/>
      <c r="V131" s="20"/>
      <c r="W131" s="20"/>
      <c r="X131" s="26"/>
      <c r="Y131" s="26"/>
      <c r="Z131" s="20"/>
      <c r="AA131" s="20"/>
      <c r="AB131" s="20"/>
      <c r="AC131" s="20"/>
      <c r="AD131" s="20"/>
      <c r="AE131" s="20"/>
      <c r="AF131" s="27"/>
    </row>
    <row r="132" spans="1:32" ht="12.75" customHeight="1">
      <c r="A132" s="301"/>
      <c r="B132" s="295"/>
      <c r="C132" s="296"/>
      <c r="D132" s="296"/>
      <c r="E132" s="296"/>
      <c r="F132" s="296"/>
      <c r="G132" s="296"/>
      <c r="H132" s="270"/>
      <c r="I132" s="270"/>
      <c r="J132" s="270"/>
      <c r="K132" s="270"/>
      <c r="L132" s="270"/>
      <c r="M132" s="262"/>
      <c r="N132" s="263"/>
      <c r="O132" s="263"/>
      <c r="P132" s="264"/>
      <c r="Q132" s="139" t="str">
        <f>IF($Q131&lt;&gt;"",IF($Q131="W",IF(SUM(IF($H131&gt;$H133,1,0),IF($I131&gt;$I133,1,0),IF($J131&gt;$J133,1,0),IF($K131&gt;$K133,1,0),IF($L131&gt;$L133,1,0))&lt;&gt;3,"Error",""),""),"")</f>
        <v/>
      </c>
      <c r="R132" s="328" t="str">
        <f>$A112</f>
        <v/>
      </c>
      <c r="S132" s="328"/>
      <c r="T132" s="328"/>
      <c r="U132" s="328"/>
      <c r="V132" s="328"/>
      <c r="W132" s="328"/>
      <c r="X132" s="256" t="str">
        <f>CONCATENATE("(",$B111," vs ",$K111,")")</f>
        <v>(A vs B)</v>
      </c>
      <c r="Y132" s="256"/>
      <c r="Z132" s="328" t="str">
        <f>$J112</f>
        <v/>
      </c>
      <c r="AA132" s="328"/>
      <c r="AB132" s="328"/>
      <c r="AC132" s="328"/>
      <c r="AD132" s="328"/>
      <c r="AE132" s="328"/>
      <c r="AF132" s="100"/>
    </row>
    <row r="133" spans="1:32" ht="12.75" customHeight="1">
      <c r="A133" s="300" t="str">
        <f>K111</f>
        <v>B</v>
      </c>
      <c r="B133" s="293" t="str">
        <f ca="1">IF(AND(OFFSET($AO$1,$L111-1,8,1,1),$A112&lt;&gt;"",$J112&lt;&gt;""),CHOOSE($L111,$AQ$1,$AQ$2,$AQ$3,$AQ$4,$AQ$5,$AQ$6,$AQ$7,$AQ$8,$AQ$9,$AQ$10,$AQ$11,$AQ$12),"")</f>
        <v/>
      </c>
      <c r="C133" s="294"/>
      <c r="D133" s="294"/>
      <c r="E133" s="294"/>
      <c r="F133" s="294"/>
      <c r="G133" s="294"/>
      <c r="H133" s="265"/>
      <c r="I133" s="265"/>
      <c r="J133" s="265"/>
      <c r="K133" s="265"/>
      <c r="L133" s="265"/>
      <c r="M133" s="267" t="s">
        <v>1237</v>
      </c>
      <c r="N133" s="268"/>
      <c r="O133" s="268"/>
      <c r="P133" s="269"/>
      <c r="Q133" s="137" t="str">
        <f>IF($Q131&lt;&gt;"",IF($Q131="W","L","W"),"")</f>
        <v/>
      </c>
      <c r="R133" s="100"/>
      <c r="S133" s="100"/>
      <c r="T133" s="100"/>
      <c r="U133" s="100"/>
      <c r="V133" s="100"/>
      <c r="W133" s="100"/>
      <c r="X133" s="100"/>
      <c r="Y133" s="100"/>
      <c r="Z133" s="100"/>
      <c r="AA133" s="100"/>
      <c r="AB133" s="100"/>
      <c r="AC133" s="100"/>
      <c r="AD133" s="100"/>
      <c r="AE133" s="100"/>
      <c r="AF133" s="100"/>
    </row>
    <row r="134" spans="1:32" ht="12.75" customHeight="1">
      <c r="A134" s="301"/>
      <c r="B134" s="295"/>
      <c r="C134" s="296"/>
      <c r="D134" s="296"/>
      <c r="E134" s="296"/>
      <c r="F134" s="296"/>
      <c r="G134" s="296"/>
      <c r="H134" s="270"/>
      <c r="I134" s="270"/>
      <c r="J134" s="266"/>
      <c r="K134" s="266"/>
      <c r="L134" s="266"/>
      <c r="M134" s="267"/>
      <c r="N134" s="268"/>
      <c r="O134" s="268"/>
      <c r="P134" s="269"/>
      <c r="Q134" s="139" t="str">
        <f>IF($Q133&lt;&gt;"",IF($Q133="W",IF(SUM(IF($H133&gt;$H131,1,0),IF($I133&gt;$I131,1,0),IF($J133&gt;$J131,1,0),IF($K133&gt;$K131,1,0),IF($L133&gt;$L131,1,0))&lt;&gt;3,"Error",""),""),"")</f>
        <v/>
      </c>
      <c r="R134" s="43" t="str">
        <f>$A129</f>
        <v>3rd Singles</v>
      </c>
      <c r="S134" s="43"/>
      <c r="T134" s="43"/>
      <c r="U134" s="43"/>
      <c r="V134" s="43"/>
      <c r="W134" s="43"/>
      <c r="X134" s="43"/>
      <c r="Y134" s="43"/>
      <c r="Z134" s="43"/>
      <c r="AA134" s="43"/>
      <c r="AB134" s="43"/>
      <c r="AC134" s="43"/>
      <c r="AD134" s="43"/>
      <c r="AE134" s="43"/>
      <c r="AF134" s="43"/>
    </row>
    <row r="135" spans="1:32" ht="12.75" customHeight="1">
      <c r="Q135" s="7"/>
      <c r="R135" s="60" t="s">
        <v>1228</v>
      </c>
      <c r="S135" s="101" t="s">
        <v>1126</v>
      </c>
      <c r="T135" s="102"/>
      <c r="U135" s="102"/>
      <c r="V135" s="102"/>
      <c r="W135" s="102"/>
      <c r="X135" s="103"/>
      <c r="Y135" s="60">
        <v>1</v>
      </c>
      <c r="Z135" s="60">
        <v>2</v>
      </c>
      <c r="AA135" s="60">
        <v>3</v>
      </c>
      <c r="AB135" s="60">
        <v>4</v>
      </c>
      <c r="AC135" s="60">
        <v>5</v>
      </c>
      <c r="AD135" s="104"/>
      <c r="AE135" s="105"/>
      <c r="AF135" s="106"/>
    </row>
    <row r="136" spans="1:32" ht="12.75" customHeight="1">
      <c r="A136" s="21" t="s">
        <v>1236</v>
      </c>
      <c r="H136" s="136" t="str">
        <f ca="1">IF($Q138&lt;&gt;"",IF(AND($B138&lt;&gt;"Missing Player",$B140&lt;&gt;"Missing Player"),IF(AND(AND($H138&gt;-1,$H140&gt;-1),OR($H138&gt;10,$H140&gt;10),ABS($H138-$H140)&gt;1,IF(OR($H138&gt;11,$H140&gt;11),ABS($H138-$H140)=2,TRUE),$H138=INT($H138),$H140=INT($H140)),"","Error"),""),"")</f>
        <v/>
      </c>
      <c r="I136" s="136" t="str">
        <f ca="1">IF($Q138&lt;&gt;"",IF(AND($B138&lt;&gt;"Missing Player",$B140&lt;&gt;"Missing Player"),IF(AND(AND($I138&gt;-1,$I140&gt;-1),OR($I138&gt;10,$I140&gt;10),ABS($I138-$I140)&gt;1,IF(OR($I138&gt;11,$I140&gt;11),ABS($I138-$I140)=2,TRUE),$I138=INT($I138),$I140=INT($I140)),"","Error"),""),"")</f>
        <v/>
      </c>
      <c r="J136" s="136" t="str">
        <f ca="1">IF($Q138&lt;&gt;"",IF(AND($B138&lt;&gt;"Missing Player",$B140&lt;&gt;"Missing Player"),IF(AND(AND($J138&gt;-1,$J140&gt;-1),OR($J138&gt;10,$J140&gt;10),ABS($J138-$J140)&gt;1,IF(OR($J138&gt;11,$J140&gt;11),ABS($J138-$J140)=2,TRUE),$J138=INT($J138),$J140=INT($J140)),"","Error"),""),"")</f>
        <v/>
      </c>
      <c r="K136" s="136" t="str">
        <f ca="1">IF($Q138&lt;&gt;"",IF(AND($K138&lt;&gt;"",$K140&lt;&gt;""), IF(AND(AND($K138&gt;-1,$K140&gt;-1),OR($K138&gt;10,$K140&gt;10),ABS($K138-$K140)&gt;1,IF(OR($K138&gt;11,$K140&gt;11),ABS($K138-$K140)=2,TRUE),$K138=INT($K138),$K140=INT($K140)),"","Error"),""),"")</f>
        <v/>
      </c>
      <c r="L136" s="136" t="str">
        <f ca="1">IF($Q138&lt;&gt;"",IF(AND($L138&lt;&gt;"",$L140&lt;&gt;""), IF(AND(AND($L138&gt;-1,$L140&gt;-1),OR($L138&gt;10,$L140&gt;10),ABS($L138-$L140)&gt;1,IF(OR($L138&gt;11,$L140&gt;11),ABS($L138-$L140)=2,TRUE),$L138=INT($L138),$L140=INT($L140)),"","Error"),""),"")</f>
        <v/>
      </c>
      <c r="Q136" s="7"/>
      <c r="R136" s="300" t="str">
        <f>$B111</f>
        <v>A</v>
      </c>
      <c r="S136" s="331" t="str">
        <f ca="1">IF($B131&lt;&gt;"",$B131,"")</f>
        <v/>
      </c>
      <c r="T136" s="332"/>
      <c r="U136" s="332"/>
      <c r="V136" s="332"/>
      <c r="W136" s="332"/>
      <c r="X136" s="333"/>
      <c r="Y136" s="329"/>
      <c r="Z136" s="329"/>
      <c r="AA136" s="329"/>
      <c r="AB136" s="329"/>
      <c r="AC136" s="329"/>
      <c r="AD136" s="345"/>
      <c r="AE136" s="358"/>
      <c r="AF136" s="359"/>
    </row>
    <row r="137" spans="1:32" ht="12.75" customHeight="1">
      <c r="A137" s="5" t="s">
        <v>1228</v>
      </c>
      <c r="B137" s="290" t="s">
        <v>1126</v>
      </c>
      <c r="C137" s="291"/>
      <c r="D137" s="291"/>
      <c r="E137" s="291"/>
      <c r="F137" s="291"/>
      <c r="G137" s="292"/>
      <c r="H137" s="5">
        <v>1</v>
      </c>
      <c r="I137" s="5">
        <v>2</v>
      </c>
      <c r="J137" s="5">
        <v>3</v>
      </c>
      <c r="K137" s="5">
        <v>4</v>
      </c>
      <c r="L137" s="5">
        <v>5</v>
      </c>
      <c r="M137" s="271"/>
      <c r="N137" s="272"/>
      <c r="O137" s="272"/>
      <c r="P137" s="273"/>
      <c r="Q137" s="7"/>
      <c r="R137" s="330"/>
      <c r="S137" s="334"/>
      <c r="T137" s="335"/>
      <c r="U137" s="335"/>
      <c r="V137" s="335"/>
      <c r="W137" s="335"/>
      <c r="X137" s="336"/>
      <c r="Y137" s="330"/>
      <c r="Z137" s="330"/>
      <c r="AA137" s="330"/>
      <c r="AB137" s="330"/>
      <c r="AC137" s="330"/>
      <c r="AD137" s="360"/>
      <c r="AE137" s="361"/>
      <c r="AF137" s="362"/>
    </row>
    <row r="138" spans="1:32" ht="12.75" customHeight="1">
      <c r="A138" s="300" t="str">
        <f>B111</f>
        <v>A</v>
      </c>
      <c r="B138" s="293" t="str">
        <f ca="1">IF(AND(OFFSET($AO$1,$C111-1,8,1,1),$A112&lt;&gt;"",$J112&lt;&gt;""),CHOOSE($C111,$AR$1,$AR$2,$AR$3,$AR$4,$AR$5,$AR$6,$AR$7,$AR$8,$AR$9,$AR$10,$AR$11,$AR$12),"")</f>
        <v/>
      </c>
      <c r="C138" s="294"/>
      <c r="D138" s="294"/>
      <c r="E138" s="294"/>
      <c r="F138" s="294"/>
      <c r="G138" s="294"/>
      <c r="H138" s="265"/>
      <c r="I138" s="265"/>
      <c r="J138" s="265"/>
      <c r="K138" s="265"/>
      <c r="L138" s="265" t="str">
        <f ca="1">IF(AND($B138&lt;&gt;"",$Q117&lt;&gt;""),IF($B138="Missing Player",0,IF($B140="Missing Player",11,"")),"")</f>
        <v/>
      </c>
      <c r="M138" s="262" t="str">
        <f ca="1">IF(OR(AND($B131&lt;&gt;"",$B138&lt;&gt;"",$E142&lt;=$D142),AND($B133&lt;&gt;"",$B140&lt;&gt;"",$I142&lt;=$H142)),"Invalid Lineup","")</f>
        <v/>
      </c>
      <c r="N138" s="263"/>
      <c r="O138" s="263"/>
      <c r="P138" s="264"/>
      <c r="Q138" s="137" t="str">
        <f ca="1">IF($L138=$L140,IF($K138=$K140,IF($J138&lt;&gt;"",IF($J138&gt;$J140,"W","L"),""),IF($K138&gt;$K140,"W","L")),IF($L138&gt;$L140,"W","L"))</f>
        <v/>
      </c>
      <c r="R138" s="300" t="str">
        <f>$K111</f>
        <v>B</v>
      </c>
      <c r="S138" s="331" t="str">
        <f ca="1">IF($B133&lt;&gt;"",$B133,"")</f>
        <v/>
      </c>
      <c r="T138" s="332"/>
      <c r="U138" s="332"/>
      <c r="V138" s="332"/>
      <c r="W138" s="332"/>
      <c r="X138" s="333"/>
      <c r="Y138" s="329"/>
      <c r="Z138" s="329"/>
      <c r="AA138" s="329"/>
      <c r="AB138" s="329"/>
      <c r="AC138" s="351"/>
      <c r="AD138" s="363" t="s">
        <v>1237</v>
      </c>
      <c r="AE138" s="358"/>
      <c r="AF138" s="359"/>
    </row>
    <row r="139" spans="1:32" ht="12.75" customHeight="1">
      <c r="A139" s="301"/>
      <c r="B139" s="295"/>
      <c r="C139" s="296"/>
      <c r="D139" s="296"/>
      <c r="E139" s="296"/>
      <c r="F139" s="296"/>
      <c r="G139" s="296"/>
      <c r="H139" s="270"/>
      <c r="I139" s="270"/>
      <c r="J139" s="270"/>
      <c r="K139" s="270"/>
      <c r="L139" s="270"/>
      <c r="M139" s="262"/>
      <c r="N139" s="263"/>
      <c r="O139" s="263"/>
      <c r="P139" s="264"/>
      <c r="Q139" s="139" t="str">
        <f ca="1">IF($Q138&lt;&gt;"",IF($B140&lt;&gt;"Missing Player",IF($Q138="W",IF(SUM(IF($H138&gt;$H140,1,0),IF($I138&gt;$I140,1,0),IF($J138&gt;$J140,1,0),IF($K138&gt;$K140,1,0),IF($L138&gt;$L140,1,0))&lt;&gt;3,"Error",""),""),""),"")</f>
        <v/>
      </c>
      <c r="R139" s="330"/>
      <c r="S139" s="334"/>
      <c r="T139" s="335"/>
      <c r="U139" s="335"/>
      <c r="V139" s="335"/>
      <c r="W139" s="335"/>
      <c r="X139" s="336"/>
      <c r="Y139" s="330"/>
      <c r="Z139" s="330"/>
      <c r="AA139" s="330"/>
      <c r="AB139" s="330"/>
      <c r="AC139" s="330"/>
      <c r="AD139" s="360"/>
      <c r="AE139" s="361"/>
      <c r="AF139" s="362"/>
    </row>
    <row r="140" spans="1:32" ht="12.75" customHeight="1">
      <c r="A140" s="300" t="str">
        <f>K111</f>
        <v>B</v>
      </c>
      <c r="B140" s="293" t="str">
        <f ca="1">IF(AND(OFFSET($AO$1,$L111-1,8,1,1),$A112&lt;&gt;"",$J112&lt;&gt;""),CHOOSE($L111,$AR$1,$AR$2,$AR$3,$AR$4,$AR$5,$AR$6,$AR$7,$AR$8,$AR$9,$AR$10,$AR$11,$AR$12),"")</f>
        <v/>
      </c>
      <c r="C140" s="294"/>
      <c r="D140" s="294"/>
      <c r="E140" s="294"/>
      <c r="F140" s="294"/>
      <c r="G140" s="294"/>
      <c r="H140" s="265"/>
      <c r="I140" s="265"/>
      <c r="J140" s="265"/>
      <c r="K140" s="265"/>
      <c r="L140" s="265" t="str">
        <f ca="1">IF(AND($B140&lt;&gt;"",$Q117&lt;&gt;""),IF($B140="Missing Player",0,IF($B138="Missing Player",11,"")),"")</f>
        <v/>
      </c>
      <c r="M140" s="267" t="s">
        <v>1237</v>
      </c>
      <c r="N140" s="268"/>
      <c r="O140" s="268"/>
      <c r="P140" s="269"/>
      <c r="Q140" s="137" t="str">
        <f ca="1">IF($Q138&lt;&gt;"",IF($Q138="W","L","W"),"")</f>
        <v/>
      </c>
      <c r="R140" s="112"/>
      <c r="S140" s="98"/>
      <c r="T140" s="108"/>
      <c r="U140" s="108"/>
      <c r="V140" s="108"/>
      <c r="W140" s="108"/>
      <c r="X140" s="108"/>
      <c r="Y140" s="113"/>
      <c r="Z140" s="113"/>
      <c r="AA140" s="113"/>
      <c r="AB140" s="113"/>
      <c r="AC140" s="113"/>
      <c r="AD140" s="107"/>
      <c r="AE140" s="109"/>
      <c r="AF140" s="109"/>
    </row>
    <row r="141" spans="1:32" ht="12.75" customHeight="1">
      <c r="A141" s="301"/>
      <c r="B141" s="295"/>
      <c r="C141" s="296"/>
      <c r="D141" s="296"/>
      <c r="E141" s="296"/>
      <c r="F141" s="296"/>
      <c r="G141" s="296"/>
      <c r="H141" s="270"/>
      <c r="I141" s="270"/>
      <c r="J141" s="266"/>
      <c r="K141" s="266"/>
      <c r="L141" s="266"/>
      <c r="M141" s="267"/>
      <c r="N141" s="268"/>
      <c r="O141" s="268"/>
      <c r="P141" s="269"/>
      <c r="Q141" s="139" t="str">
        <f ca="1">IF($Q140&lt;&gt;"",IF($B138&lt;&gt;"Missing Player",IF($Q140="W",IF(SUM(IF($H140&gt;$H138,1,0),IF($I140&gt;$I138,1,0),IF($J140&gt;$J138,1,0),IF($K140&gt;$K138,1,0),IF($L140&gt;$L138,1,0))&lt;&gt;3,"Error",""),""),""),"")</f>
        <v/>
      </c>
      <c r="R141" s="114"/>
      <c r="S141" s="115"/>
      <c r="T141" s="115"/>
      <c r="U141" s="115"/>
      <c r="V141" s="115"/>
      <c r="W141" s="115"/>
      <c r="X141" s="115"/>
      <c r="Y141" s="114"/>
      <c r="Z141" s="114"/>
      <c r="AA141" s="114"/>
      <c r="AB141" s="114"/>
      <c r="AC141" s="114"/>
      <c r="AD141" s="114"/>
      <c r="AE141" s="114"/>
      <c r="AF141" s="114"/>
    </row>
    <row r="142" spans="1:32" ht="12.75" customHeight="1">
      <c r="B142" s="140" t="str">
        <f ca="1">IF(ISERROR(VLOOKUP($B117&amp;"("&amp;$B111&amp;")",Players!$S$4:$T$132,2,FALSE)),"",VLOOKUP($B117&amp;"("&amp;$B111&amp;")",Players!$S$4:$T$132,2,FALSE))</f>
        <v>A1</v>
      </c>
      <c r="C142" s="140" t="str">
        <f ca="1">IF(ISERROR(VLOOKUP($B124&amp;"("&amp;$B111&amp;")",Players!$S$4:$T$132,2,FALSE)),"",VLOOKUP($B124&amp;"("&amp;$B111&amp;")",Players!$S$4:$T$132,2,FALSE))</f>
        <v>A1</v>
      </c>
      <c r="D142" s="141" t="str">
        <f ca="1">IF(ISERROR(VLOOKUP($B131&amp;"("&amp;$B111&amp;")",Players!$S$4:$T$132,2,FALSE)),"",VLOOKUP($B131&amp;"("&amp;$B111&amp;")",Players!$S$4:$T$132,2,FALSE))</f>
        <v>A1</v>
      </c>
      <c r="E142" s="141" t="str">
        <f ca="1">IF(ISERROR(VLOOKUP($B138&amp;"("&amp;$B111&amp;")",Players!$S$4:$T$132,2,FALSE)),"",VLOOKUP($B138&amp;"("&amp;$B111&amp;")",Players!$S$4:$T$132,2,FALSE))</f>
        <v>A1</v>
      </c>
      <c r="F142" s="141" t="str">
        <f ca="1">IF(ISERROR(VLOOKUP($B119&amp;"("&amp;$K111&amp;")",Players!$S$4:$T$132,2,FALSE)),"",VLOOKUP($B119&amp;"("&amp;$K111&amp;")",Players!$S$4:$T$132,2,FALSE))</f>
        <v>B1</v>
      </c>
      <c r="G142" s="141" t="str">
        <f ca="1">IF(ISERROR(VLOOKUP($B126&amp;"("&amp;$K111&amp;")",Players!$S$4:$T$132,2,FALSE)),"",VLOOKUP($B126&amp;"("&amp;$K111&amp;")",Players!$S$4:$T$132,2,FALSE))</f>
        <v>B1</v>
      </c>
      <c r="H142" s="141" t="str">
        <f ca="1">IF(ISERROR(VLOOKUP($B133&amp;"("&amp;$K111&amp;")",Players!$S$4:$T$132,2,FALSE)),"",VLOOKUP($B133&amp;"("&amp;$K111&amp;")",Players!$S$4:$T$132,2,FALSE))</f>
        <v>B1</v>
      </c>
      <c r="I142" s="141" t="str">
        <f ca="1">IF(ISERROR(VLOOKUP($B140&amp;"("&amp;$K111&amp;")",Players!$S$4:$T$132,2,FALSE)),"",VLOOKUP($B140&amp;"("&amp;$K111&amp;")",Players!$S$4:$T$132,2,FALSE))</f>
        <v>B1</v>
      </c>
      <c r="Q142" s="7"/>
      <c r="R142" s="50"/>
      <c r="S142" s="116"/>
      <c r="T142" s="115"/>
      <c r="U142" s="115"/>
      <c r="V142" s="115"/>
      <c r="W142" s="115"/>
      <c r="X142" s="115"/>
      <c r="Y142" s="99"/>
      <c r="Z142" s="99"/>
      <c r="AA142" s="99"/>
      <c r="AB142" s="99"/>
      <c r="AC142" s="117"/>
      <c r="AD142" s="118"/>
      <c r="AE142" s="114"/>
      <c r="AF142" s="114"/>
    </row>
    <row r="143" spans="1:32" ht="12.75" customHeight="1">
      <c r="A143" s="21" t="s">
        <v>1225</v>
      </c>
      <c r="H143" s="136" t="str">
        <f ca="1">IF($Q145&lt;&gt;"",IF(AND($B146&lt;&gt;"Missing Player",$B148&lt;&gt;"Missing Player"),IF(AND(AND($H145&gt;-1,$H147&gt;-1),OR($H145&gt;10,$H147&gt;10),ABS($H145-$H147)&gt;1,IF(OR($H145&gt;11,$H147&gt;11),ABS($H145-$H147)=2,TRUE),$H145=INT($H145),$H147=INT($H147)),"","Error"),""),"")</f>
        <v/>
      </c>
      <c r="I143" s="136" t="str">
        <f ca="1">IF($Q145&lt;&gt;"",IF(AND($B146&lt;&gt;"Missing Player",$B148&lt;&gt;"Missing Player"),IF(AND(AND($I145&gt;-1,$I147&gt;-1),OR($I145&gt;10,$I147&gt;10),ABS($I145-$I147)&gt;1,IF(OR($I145&gt;11,$I147&gt;11),ABS($I145-$I147)=2,TRUE),$I145=INT($I145),$I147=INT($I147)),"","Error"),""),"")</f>
        <v/>
      </c>
      <c r="J143" s="136" t="str">
        <f ca="1">IF($Q145&lt;&gt;"",IF(AND($B146&lt;&gt;"Missing Player",$B148&lt;&gt;"Missing Player"),IF(AND(AND($J145&gt;-1,$J147&gt;-1),OR($J145&gt;10,$J147&gt;10),ABS($J145-$J147)&gt;1,IF(OR($J145&gt;11,$J147&gt;11),ABS($J145-$J147)=2,TRUE),$J145=INT($J145),$J147=INT($J147)),"","Error"),""),"")</f>
        <v/>
      </c>
      <c r="K143" s="136" t="str">
        <f ca="1">IF($Q145&lt;&gt;"",IF(AND($K145&lt;&gt;"",$K147&lt;&gt;""), IF(AND(AND($K145&gt;-1,$K147&gt;-1),OR($K145&gt;10,$K147&gt;10),ABS($K145-$K147)&gt;1,IF(OR($K145&gt;11,$K147&gt;11),ABS($K145-$K147)=2,TRUE),$K145=INT($K145),$K147=INT($K147)),"","Error"),""),"")</f>
        <v/>
      </c>
      <c r="L143" s="136" t="str">
        <f ca="1">IF($Q145&lt;&gt;"",IF(AND($L145&lt;&gt;"",$L147&lt;&gt;""), IF(AND(AND($L145&gt;-1,$L147&gt;-1),OR($L145&gt;10,$L147&gt;10),ABS($L145-$L147)&gt;1,IF(OR($L145&gt;11,$L147&gt;11),ABS($L145-$L147)=2,TRUE),$L145=INT($L145),$L147=INT($L147)),"","Error"),""),"")</f>
        <v/>
      </c>
      <c r="Q143" s="7"/>
      <c r="R143" s="114"/>
      <c r="S143" s="115"/>
      <c r="T143" s="115"/>
      <c r="U143" s="115"/>
      <c r="V143" s="115"/>
      <c r="W143" s="115"/>
      <c r="X143" s="115"/>
      <c r="Y143" s="114"/>
      <c r="Z143" s="114"/>
      <c r="AA143" s="114"/>
      <c r="AB143" s="114"/>
      <c r="AC143" s="114"/>
      <c r="AD143" s="114"/>
      <c r="AE143" s="114"/>
      <c r="AF143" s="114"/>
    </row>
    <row r="144" spans="1:32" ht="12.75" customHeight="1">
      <c r="A144" s="5" t="s">
        <v>1228</v>
      </c>
      <c r="B144" s="290" t="s">
        <v>1126</v>
      </c>
      <c r="C144" s="291"/>
      <c r="D144" s="291"/>
      <c r="E144" s="291"/>
      <c r="F144" s="291"/>
      <c r="G144" s="292"/>
      <c r="H144" s="5">
        <v>1</v>
      </c>
      <c r="I144" s="5">
        <v>2</v>
      </c>
      <c r="J144" s="5">
        <v>3</v>
      </c>
      <c r="K144" s="5">
        <v>4</v>
      </c>
      <c r="L144" s="5">
        <v>5</v>
      </c>
      <c r="M144" s="271"/>
      <c r="N144" s="272"/>
      <c r="O144" s="272"/>
      <c r="P144" s="273"/>
      <c r="Q144" s="8"/>
      <c r="S144" s="24"/>
      <c r="T144" s="26"/>
    </row>
    <row r="145" spans="1:32" ht="12.75" customHeight="1">
      <c r="A145" s="300" t="str">
        <f>B111</f>
        <v>A</v>
      </c>
      <c r="B145" s="311" t="str">
        <f ca="1">IF($B117&lt;&gt;"",$B117,"")</f>
        <v/>
      </c>
      <c r="C145" s="312"/>
      <c r="D145" s="312"/>
      <c r="E145" s="312"/>
      <c r="F145" s="312"/>
      <c r="G145" s="313"/>
      <c r="H145" s="265"/>
      <c r="I145" s="265"/>
      <c r="J145" s="265"/>
      <c r="K145" s="265"/>
      <c r="L145" s="265" t="str">
        <f ca="1">IF($B138&lt;&gt;"",IF(AND($B138="Missing Player",$G149=2,$J149=2),0,IF(AND($B140="Missing Player",$G149=2,$J149=2),11,"")),"")</f>
        <v/>
      </c>
      <c r="M145" s="262" t="str">
        <f ca="1">IF(OR(AND($B145&lt;&gt;"",$B146&lt;&gt;"",$B145=$B146),AND($B147&lt;&gt;"",$B148&lt;&gt;"",$B147=$B148)),"Invalid Partner","")</f>
        <v/>
      </c>
      <c r="N145" s="263"/>
      <c r="O145" s="263"/>
      <c r="P145" s="264"/>
      <c r="Q145" s="138" t="str">
        <f ca="1">IF(L145=L147,IF(K145=K147,IF(J145&lt;&gt;"",IF(J145&gt;J147,"W","L"),""),IF(K145&gt;K147,"W","L")),IF(L145&gt;L147,"W","L"))</f>
        <v/>
      </c>
      <c r="S145" s="24"/>
      <c r="T145" s="26"/>
    </row>
    <row r="146" spans="1:32" ht="12.75" customHeight="1">
      <c r="A146" s="324"/>
      <c r="B146" s="308" t="str">
        <f ca="1">IF($B138="Missing Player",$B138,"")</f>
        <v/>
      </c>
      <c r="C146" s="309"/>
      <c r="D146" s="309"/>
      <c r="E146" s="309"/>
      <c r="F146" s="309"/>
      <c r="G146" s="310"/>
      <c r="H146" s="270"/>
      <c r="I146" s="270"/>
      <c r="J146" s="270"/>
      <c r="K146" s="270"/>
      <c r="L146" s="270"/>
      <c r="M146" s="262"/>
      <c r="N146" s="263"/>
      <c r="O146" s="263"/>
      <c r="P146" s="264"/>
      <c r="Q146" s="139" t="str">
        <f ca="1">IF($Q145&lt;&gt;"",IF($B148&lt;&gt;"Missing Player",IF($Q145="W",IF(SUM(IF($H145&gt;$H147,1,0),IF($I145&gt;$I147,1,0),IF($J145&gt;$J147,1,0),IF($K145&gt;$K147,1,0),IF($L145&gt;$L147,1,0))&lt;&gt;3,"Error",""),""),""),"")</f>
        <v/>
      </c>
      <c r="R146" s="328" t="str">
        <f>$A112</f>
        <v/>
      </c>
      <c r="S146" s="328"/>
      <c r="T146" s="328"/>
      <c r="U146" s="328"/>
      <c r="V146" s="328"/>
      <c r="W146" s="328"/>
      <c r="X146" s="256" t="str">
        <f>CONCATENATE("(",$B111," vs ",$K111,")")</f>
        <v>(A vs B)</v>
      </c>
      <c r="Y146" s="256"/>
      <c r="Z146" s="328" t="str">
        <f>$J112</f>
        <v/>
      </c>
      <c r="AA146" s="328"/>
      <c r="AB146" s="328"/>
      <c r="AC146" s="328"/>
      <c r="AD146" s="328"/>
      <c r="AE146" s="328"/>
      <c r="AF146" s="43"/>
    </row>
    <row r="147" spans="1:32" ht="12.75" customHeight="1">
      <c r="A147" s="325" t="str">
        <f>K111</f>
        <v>B</v>
      </c>
      <c r="B147" s="311" t="str">
        <f ca="1">IF($B119&lt;&gt;"",$B119,"")</f>
        <v/>
      </c>
      <c r="C147" s="312"/>
      <c r="D147" s="312"/>
      <c r="E147" s="312"/>
      <c r="F147" s="312"/>
      <c r="G147" s="313"/>
      <c r="H147" s="265"/>
      <c r="I147" s="265"/>
      <c r="J147" s="265"/>
      <c r="K147" s="265"/>
      <c r="L147" s="265" t="str">
        <f ca="1">IF($B140&lt;&gt;"",IF(AND($B140="Missing Player",$G149=2,$J149=2),0,IF(AND($B138="Missing Player",$G149=2,$J149=2),11,"")),"")</f>
        <v/>
      </c>
      <c r="M147" s="267" t="s">
        <v>1237</v>
      </c>
      <c r="N147" s="268"/>
      <c r="O147" s="268"/>
      <c r="P147" s="269"/>
      <c r="Q147" s="138" t="str">
        <f ca="1">IF(Q145&lt;&gt;"",IF(Q145="W","L","W"),"")</f>
        <v/>
      </c>
      <c r="R147" s="43"/>
      <c r="S147" s="43"/>
      <c r="T147" s="43"/>
      <c r="U147" s="43"/>
      <c r="V147" s="43"/>
      <c r="W147" s="43"/>
      <c r="X147" s="43"/>
      <c r="Y147" s="43"/>
      <c r="Z147" s="43"/>
      <c r="AA147" s="43"/>
      <c r="AB147" s="43"/>
      <c r="AC147" s="43"/>
      <c r="AD147" s="43"/>
      <c r="AE147" s="43"/>
      <c r="AF147" s="43"/>
    </row>
    <row r="148" spans="1:32" ht="12.75" customHeight="1">
      <c r="A148" s="324"/>
      <c r="B148" s="308" t="str">
        <f ca="1">IF($B140="Missing Player",$B140,"")</f>
        <v/>
      </c>
      <c r="C148" s="309"/>
      <c r="D148" s="309"/>
      <c r="E148" s="309"/>
      <c r="F148" s="309"/>
      <c r="G148" s="310"/>
      <c r="H148" s="270"/>
      <c r="I148" s="270"/>
      <c r="J148" s="266"/>
      <c r="K148" s="266"/>
      <c r="L148" s="266"/>
      <c r="M148" s="267"/>
      <c r="N148" s="268"/>
      <c r="O148" s="268"/>
      <c r="P148" s="269"/>
      <c r="Q148" s="139" t="str">
        <f ca="1">IF($Q147&lt;&gt;"",IF($B146&lt;&gt;"Missing Player",IF($Q147="W",IF(SUM(IF($H147&gt;$H145,1,0),IF($I147&gt;$I145,1,0),IF($J147&gt;$J145,1,0),IF($K147&gt;$K145,1,0),IF($L147&gt;$L145,1,0))&lt;&gt;3,"Error",""),""),""),"")</f>
        <v/>
      </c>
      <c r="R148" s="43" t="str">
        <f>A136</f>
        <v>4th Singles</v>
      </c>
      <c r="S148" s="43"/>
      <c r="T148" s="43"/>
      <c r="U148" s="43"/>
      <c r="V148" s="43"/>
      <c r="W148" s="43"/>
      <c r="X148" s="43"/>
      <c r="Y148" s="43"/>
      <c r="Z148" s="43"/>
      <c r="AA148" s="43"/>
      <c r="AB148" s="43"/>
      <c r="AC148" s="43"/>
      <c r="AD148" s="43"/>
      <c r="AE148" s="43"/>
      <c r="AF148" s="43"/>
    </row>
    <row r="149" spans="1:32" ht="12.75" customHeight="1">
      <c r="G149" s="66">
        <f ca="1">COUNTIF($Q117:$Q117,"W")+COUNTIF($Q124:$Q124,"W")+COUNTIF($Q131:$Q131,"W")+COUNTIF($Q138:$Q138,"W")</f>
        <v>0</v>
      </c>
      <c r="J149" s="66">
        <f ca="1">COUNTIF($Q119:$Q119,"W")+COUNTIF($Q126:$Q126,"W")+COUNTIF($Q133:$Q133,"W")+COUNTIF($Q140:$Q140,"W")</f>
        <v>0</v>
      </c>
      <c r="R149" s="60" t="s">
        <v>1228</v>
      </c>
      <c r="S149" s="339" t="s">
        <v>1126</v>
      </c>
      <c r="T149" s="340"/>
      <c r="U149" s="340"/>
      <c r="V149" s="340"/>
      <c r="W149" s="340"/>
      <c r="X149" s="341"/>
      <c r="Y149" s="60">
        <v>1</v>
      </c>
      <c r="Z149" s="60">
        <v>2</v>
      </c>
      <c r="AA149" s="60">
        <v>3</v>
      </c>
      <c r="AB149" s="60">
        <v>4</v>
      </c>
      <c r="AC149" s="60">
        <v>5</v>
      </c>
      <c r="AD149" s="342"/>
      <c r="AE149" s="343"/>
      <c r="AF149" s="344"/>
    </row>
    <row r="150" spans="1:32" ht="12.75" customHeight="1" thickBot="1">
      <c r="F150" s="246" t="s">
        <v>1238</v>
      </c>
      <c r="G150" s="246"/>
      <c r="H150" s="246"/>
      <c r="I150" s="246"/>
      <c r="J150" s="246"/>
      <c r="K150" s="246"/>
      <c r="R150" s="300" t="str">
        <f>B111</f>
        <v>A</v>
      </c>
      <c r="S150" s="331" t="str">
        <f ca="1">IF($B138&lt;&gt;"",$B138,"")</f>
        <v/>
      </c>
      <c r="T150" s="353"/>
      <c r="U150" s="353"/>
      <c r="V150" s="353"/>
      <c r="W150" s="353"/>
      <c r="X150" s="354"/>
      <c r="Y150" s="329"/>
      <c r="Z150" s="329"/>
      <c r="AA150" s="351"/>
      <c r="AB150" s="351"/>
      <c r="AC150" s="351"/>
      <c r="AD150" s="345"/>
      <c r="AE150" s="346"/>
      <c r="AF150" s="347"/>
    </row>
    <row r="151" spans="1:32" ht="12.75" customHeight="1">
      <c r="A151" s="22"/>
      <c r="B151" s="22"/>
      <c r="C151" s="22"/>
      <c r="D151" s="22"/>
      <c r="E151" s="22"/>
      <c r="G151" s="304" t="str">
        <f>B111</f>
        <v>A</v>
      </c>
      <c r="H151" s="305"/>
      <c r="I151" s="302" t="str">
        <f>K111</f>
        <v>B</v>
      </c>
      <c r="J151" s="303"/>
      <c r="L151" s="22"/>
      <c r="M151" s="22"/>
      <c r="N151" s="22"/>
      <c r="O151" s="22"/>
      <c r="P151" s="22"/>
      <c r="R151" s="301"/>
      <c r="S151" s="355"/>
      <c r="T151" s="356"/>
      <c r="U151" s="356"/>
      <c r="V151" s="356"/>
      <c r="W151" s="356"/>
      <c r="X151" s="357"/>
      <c r="Y151" s="338"/>
      <c r="Z151" s="338"/>
      <c r="AA151" s="352"/>
      <c r="AB151" s="352"/>
      <c r="AC151" s="352"/>
      <c r="AD151" s="348"/>
      <c r="AE151" s="349"/>
      <c r="AF151" s="350"/>
    </row>
    <row r="152" spans="1:32" ht="12.75" customHeight="1" thickBot="1">
      <c r="A152" s="2" t="s">
        <v>1228</v>
      </c>
      <c r="B152" s="53" t="str">
        <f>B111</f>
        <v>A</v>
      </c>
      <c r="C152" s="3" t="s">
        <v>1226</v>
      </c>
      <c r="F152" s="66" t="str">
        <f>CONCATENATE($B111,"-",$K111)</f>
        <v>A-B</v>
      </c>
      <c r="G152" s="320" t="str">
        <f ca="1">IF(OR(Q117&lt;&gt;"",Q124&lt;&gt;"",Q131&lt;&gt;"",Q138&lt;&gt;"",Q145&lt;&gt;""),COUNTIF(Q117:Q117,"W")+COUNTIF(Q124:Q124,"W")+COUNTIF(Q131:Q131,"W")+COUNTIF(Q138:Q138,"W")+COUNTIF(Q145:Q145,"W"),"")</f>
        <v/>
      </c>
      <c r="H152" s="321"/>
      <c r="I152" s="322" t="str">
        <f ca="1">IF(OR(Q119&lt;&gt;"",Q126&lt;&gt;"",Q133&lt;&gt;"",Q140&lt;&gt;"",Q147&lt;&gt;""),COUNTIF(Q119:Q119,"W")+COUNTIF(Q126:Q126,"W")+COUNTIF(Q133:Q133,"W")+COUNTIF(Q140:Q140,"W")+COUNTIF(Q147:Q147,"W"),"")</f>
        <v/>
      </c>
      <c r="J152" s="323"/>
      <c r="L152" s="2" t="s">
        <v>1228</v>
      </c>
      <c r="M152" s="53" t="str">
        <f>K111</f>
        <v>B</v>
      </c>
      <c r="N152" s="3" t="s">
        <v>1226</v>
      </c>
      <c r="R152" s="300" t="str">
        <f>K111</f>
        <v>B</v>
      </c>
      <c r="S152" s="331" t="str">
        <f ca="1">IF($B140&lt;&gt;"",$B140,"")</f>
        <v/>
      </c>
      <c r="T152" s="332"/>
      <c r="U152" s="332"/>
      <c r="V152" s="332"/>
      <c r="W152" s="332"/>
      <c r="X152" s="333"/>
      <c r="Y152" s="329"/>
      <c r="Z152" s="329"/>
      <c r="AA152" s="351"/>
      <c r="AB152" s="351"/>
      <c r="AC152" s="351"/>
      <c r="AD152" s="363" t="s">
        <v>1237</v>
      </c>
      <c r="AE152" s="358"/>
      <c r="AF152" s="359"/>
    </row>
    <row r="153" spans="1:32" ht="12.75" customHeight="1">
      <c r="F153" s="25" t="s">
        <v>3996</v>
      </c>
      <c r="G153" s="23"/>
      <c r="H153" s="23"/>
      <c r="I153" s="23"/>
      <c r="J153" s="23"/>
      <c r="K153" s="24"/>
      <c r="R153" s="330"/>
      <c r="S153" s="334"/>
      <c r="T153" s="335"/>
      <c r="U153" s="335"/>
      <c r="V153" s="335"/>
      <c r="W153" s="335"/>
      <c r="X153" s="336"/>
      <c r="Y153" s="330"/>
      <c r="Z153" s="330"/>
      <c r="AA153" s="330"/>
      <c r="AB153" s="330"/>
      <c r="AC153" s="330"/>
      <c r="AD153" s="360"/>
      <c r="AE153" s="361"/>
      <c r="AF153" s="362"/>
    </row>
    <row r="154" spans="1:32" ht="12.75" customHeight="1">
      <c r="R154" s="1"/>
      <c r="S154" s="110"/>
      <c r="T154" s="110"/>
      <c r="U154" s="110"/>
      <c r="V154" s="110"/>
      <c r="W154" s="110"/>
      <c r="X154" s="111"/>
      <c r="Y154" s="111"/>
      <c r="Z154" s="111"/>
      <c r="AA154" s="111"/>
    </row>
    <row r="155" spans="1:32" ht="12.75" customHeight="1">
      <c r="F155" s="246" t="s">
        <v>4929</v>
      </c>
      <c r="G155" s="246"/>
      <c r="H155" s="246"/>
      <c r="I155" s="246"/>
      <c r="R155" s="1"/>
      <c r="S155" s="110"/>
      <c r="T155" s="110"/>
      <c r="U155" s="110"/>
      <c r="V155" s="110"/>
      <c r="W155" s="110"/>
      <c r="X155" s="111"/>
      <c r="Y155" s="111"/>
      <c r="Z155" s="111"/>
      <c r="AA155" s="111"/>
    </row>
    <row r="156" spans="1:32" ht="12.75" customHeight="1">
      <c r="F156" s="246" t="s">
        <v>4930</v>
      </c>
      <c r="G156" s="246"/>
      <c r="H156" s="246"/>
      <c r="I156" s="246"/>
      <c r="R156" s="1"/>
      <c r="S156" s="110"/>
      <c r="T156" s="110"/>
      <c r="U156" s="110"/>
      <c r="V156" s="110"/>
      <c r="W156" s="110"/>
      <c r="X156" s="111"/>
      <c r="Y156" s="111"/>
      <c r="Z156" s="111"/>
      <c r="AA156" s="111"/>
    </row>
    <row r="157" spans="1:32" ht="12.75" customHeight="1">
      <c r="K157" s="281" t="s">
        <v>1244</v>
      </c>
      <c r="L157" s="281"/>
      <c r="M157" s="281"/>
      <c r="N157" s="281"/>
      <c r="O157" s="281"/>
      <c r="P157" s="281"/>
      <c r="R157" s="1"/>
      <c r="S157" s="110"/>
      <c r="T157" s="110"/>
      <c r="U157" s="110"/>
      <c r="V157" s="110"/>
      <c r="W157" s="110"/>
      <c r="X157" s="111"/>
      <c r="Y157" s="111"/>
      <c r="Z157" s="111"/>
      <c r="AA157" s="111"/>
    </row>
    <row r="158" spans="1:32" ht="12.75" customHeight="1">
      <c r="A158" s="12" t="s">
        <v>1229</v>
      </c>
      <c r="B158" s="11"/>
      <c r="C158" s="11"/>
      <c r="D158" s="11" t="str">
        <f>Draw!$B$1</f>
        <v>Enter Division Name</v>
      </c>
      <c r="E158" s="11"/>
      <c r="F158" s="7"/>
      <c r="G158" s="6"/>
      <c r="H158" s="7"/>
      <c r="I158" s="11"/>
      <c r="J158" s="11"/>
      <c r="K158" s="11"/>
      <c r="L158" s="11"/>
      <c r="M158" s="281"/>
      <c r="N158" s="281"/>
      <c r="O158" s="281"/>
      <c r="P158" s="281"/>
      <c r="R158" s="1"/>
      <c r="S158" s="110"/>
      <c r="T158" s="110"/>
      <c r="U158" s="110"/>
      <c r="V158" s="110"/>
      <c r="W158" s="110"/>
      <c r="X158" s="111"/>
      <c r="Y158" s="111"/>
      <c r="Z158" s="111"/>
      <c r="AA158" s="111"/>
    </row>
    <row r="159" spans="1:32" ht="12.75" customHeight="1">
      <c r="A159" s="2" t="s">
        <v>1230</v>
      </c>
      <c r="D159" s="43" t="str">
        <f>Draw!$D$1</f>
        <v>Enter Hosting Location (City, ST)</v>
      </c>
      <c r="J159" s="43" t="str">
        <f ca="1">$J$6</f>
        <v>[NCTTA Teams Template (v2.06).xlsx]</v>
      </c>
      <c r="R159" s="1"/>
      <c r="S159" s="110"/>
      <c r="T159" s="110"/>
      <c r="U159" s="110"/>
      <c r="V159" s="110"/>
      <c r="W159" s="110"/>
      <c r="X159" s="111"/>
      <c r="Y159" s="111"/>
      <c r="Z159" s="111"/>
      <c r="AA159" s="111"/>
    </row>
    <row r="160" spans="1:32" ht="12.75" customHeight="1">
      <c r="A160" s="2" t="s">
        <v>1231</v>
      </c>
      <c r="D160" s="337" t="str">
        <f>Draw!$P$1</f>
        <v>Enter Date</v>
      </c>
      <c r="E160" s="337"/>
      <c r="F160" s="337"/>
      <c r="G160" s="337"/>
      <c r="J160" s="280" t="str">
        <f>CHOOSE(Draw!$T$1,"Round 1, Match 4","Round 2, Match 1","Round 2, Match 2","Round 1, Match 2","Round 2, Match 2","Round 2, Match 1","Round 2, Match 1","Round 1, Match 4","Round 1, Match 4","Round 1, Match 4","Round 1, Match 4")</f>
        <v>Round 2, Match 2</v>
      </c>
      <c r="K160" s="280"/>
      <c r="L160" s="280"/>
      <c r="M160" s="276" t="str">
        <f>IF(AND($J160&lt;&gt;"",Draw!$AC$10&lt;&gt;"",Draw!$AC$13&lt;&gt;""),Draw!$AC$10+TIME(0,VALUE(MID($J160,7,FIND(",",$J160)-FIND(" ",$J160)-1)-1)*Draw!$AC$13,0),"")</f>
        <v/>
      </c>
      <c r="N160" s="276"/>
      <c r="O160" s="157" t="str">
        <f>$F203</f>
        <v>C-D</v>
      </c>
      <c r="R160" s="1"/>
      <c r="S160" s="110"/>
      <c r="T160" s="110"/>
      <c r="U160" s="110"/>
      <c r="V160" s="110"/>
      <c r="W160" s="110"/>
      <c r="X160" s="111"/>
      <c r="Y160" s="111"/>
      <c r="Z160" s="111"/>
      <c r="AA160" s="111"/>
    </row>
    <row r="161" spans="1:32" ht="12.75" customHeight="1">
      <c r="A161" s="14"/>
      <c r="B161" s="15"/>
      <c r="C161" s="15"/>
      <c r="D161" s="15"/>
      <c r="E161" s="15"/>
      <c r="F161" s="14"/>
      <c r="G161" s="14"/>
      <c r="H161" s="16"/>
      <c r="I161" s="14"/>
      <c r="J161" s="15"/>
      <c r="K161" s="15"/>
      <c r="L161" s="15"/>
      <c r="M161" s="15"/>
      <c r="N161" s="15"/>
      <c r="O161" s="364" t="str">
        <f>IF(OR(AND(VLOOKUP($B162,$AM$1:$AX$12,12,FALSE)="C",VLOOKUP($K162,$AM$1:$AX$12,12,FALSE)="C"),AND(VLOOKUP($B162,$AM$1:$AX$12,12,FALSE)="W",VLOOKUP($K162,$AM$1:$AX$12,12,FALSE)="W")),"Official",IF(AND($A163="",$J163=""),"","Scrimmage"))</f>
        <v/>
      </c>
      <c r="P161" s="364"/>
      <c r="R161" s="1"/>
      <c r="S161" s="110"/>
      <c r="T161" s="110"/>
      <c r="U161" s="110"/>
      <c r="V161" s="110"/>
      <c r="W161" s="110"/>
      <c r="X161" s="111"/>
      <c r="Y161" s="111"/>
      <c r="Z161" s="111"/>
      <c r="AA161" s="111"/>
    </row>
    <row r="162" spans="1:32" ht="12.75" customHeight="1">
      <c r="A162" s="17" t="s">
        <v>1228</v>
      </c>
      <c r="B162" s="119" t="str">
        <f>CHOOSE(Draw!$T$1,"D","A","C","D","C","A","A","D","E","D","E")</f>
        <v>C</v>
      </c>
      <c r="C162" s="135">
        <f>VLOOKUP($B162,$AM$1:$AN$12,2)</f>
        <v>3</v>
      </c>
      <c r="D162" s="13"/>
      <c r="E162" s="13"/>
      <c r="F162" s="10"/>
      <c r="H162" s="19" t="s">
        <v>1232</v>
      </c>
      <c r="J162" s="17" t="s">
        <v>1228</v>
      </c>
      <c r="K162" s="119" t="str">
        <f>CHOOSE(Draw!$T$1,"I","D","D","F","E","D","G","E","F","G","H")</f>
        <v>D</v>
      </c>
      <c r="L162" s="135">
        <f>VLOOKUP($K162,$AM$1:$AN$12,2)</f>
        <v>4</v>
      </c>
      <c r="M162" s="13"/>
      <c r="N162" s="13"/>
      <c r="O162" s="18"/>
      <c r="P162" s="274"/>
      <c r="Q162" s="275"/>
      <c r="R162" s="1"/>
      <c r="S162" s="110"/>
      <c r="T162" s="110"/>
      <c r="U162" s="110"/>
      <c r="V162" s="110"/>
      <c r="W162" s="110"/>
      <c r="X162" s="111"/>
      <c r="Y162" s="111"/>
      <c r="Z162" s="111"/>
      <c r="AA162" s="111"/>
    </row>
    <row r="163" spans="1:32" ht="12.75" customHeight="1">
      <c r="A163" s="277" t="str">
        <f>IF(VLOOKUP($B162,Draw!$A$4:$B$27,2)&lt;&gt;0,VLOOKUP($B162,Draw!$A$4:$B$27,2),"")</f>
        <v/>
      </c>
      <c r="B163" s="278"/>
      <c r="C163" s="278"/>
      <c r="D163" s="278"/>
      <c r="E163" s="278"/>
      <c r="F163" s="279"/>
      <c r="G163" s="306" t="s">
        <v>4155</v>
      </c>
      <c r="H163" s="289"/>
      <c r="I163" s="307"/>
      <c r="J163" s="277" t="str">
        <f>IF(VLOOKUP($K162,Draw!$A$4:$B$27,2)&lt;&gt;0,VLOOKUP($K162,Draw!$A$4:$B$27,2),"")</f>
        <v/>
      </c>
      <c r="K163" s="278"/>
      <c r="L163" s="278"/>
      <c r="M163" s="278"/>
      <c r="N163" s="278"/>
      <c r="O163" s="279"/>
      <c r="P163" s="15"/>
      <c r="R163" s="1"/>
      <c r="S163" s="110"/>
      <c r="T163" s="110"/>
      <c r="U163" s="110"/>
      <c r="V163" s="110"/>
      <c r="W163" s="110"/>
      <c r="X163" s="111"/>
      <c r="Y163" s="111"/>
      <c r="Z163" s="111"/>
      <c r="AA163" s="111"/>
    </row>
    <row r="164" spans="1:32" ht="12.75" customHeight="1">
      <c r="A164" s="14"/>
      <c r="B164" s="15"/>
      <c r="C164" s="15"/>
      <c r="D164" s="15"/>
      <c r="E164" s="15"/>
      <c r="F164" s="14"/>
      <c r="G164" s="288" t="str">
        <f>"Page "&amp;VALUE(RIGHT($G163,LEN($G163)-SEARCH("-",$G163)))/2</f>
        <v>Page 4</v>
      </c>
      <c r="H164" s="289"/>
      <c r="I164" s="289"/>
      <c r="J164" s="15"/>
      <c r="K164" s="15"/>
      <c r="L164" s="15"/>
      <c r="M164" s="15"/>
      <c r="N164" s="15"/>
      <c r="O164" s="15"/>
      <c r="P164" s="15"/>
      <c r="R164" s="1"/>
      <c r="S164" s="110"/>
      <c r="T164" s="110"/>
      <c r="U164" s="110"/>
      <c r="V164" s="110"/>
      <c r="W164" s="110"/>
      <c r="X164" s="111"/>
      <c r="Y164" s="111"/>
      <c r="Z164" s="111"/>
      <c r="AA164" s="111"/>
      <c r="AF164" s="27"/>
    </row>
    <row r="165" spans="1:32" ht="12.75" customHeight="1">
      <c r="A165" s="327" t="s">
        <v>1245</v>
      </c>
      <c r="B165" s="327"/>
      <c r="C165" s="327"/>
      <c r="D165" s="327"/>
      <c r="E165" s="327"/>
      <c r="F165" s="327"/>
      <c r="G165" s="327"/>
      <c r="H165" s="327"/>
      <c r="I165" s="327"/>
      <c r="J165" s="327"/>
      <c r="K165" s="327"/>
      <c r="L165" s="327"/>
      <c r="M165" s="327"/>
      <c r="N165" s="327"/>
      <c r="O165" s="327"/>
      <c r="P165" s="327"/>
      <c r="Q165" s="7"/>
      <c r="R165" s="1"/>
      <c r="S165" s="110"/>
      <c r="T165" s="110"/>
      <c r="U165" s="110"/>
      <c r="V165" s="110"/>
      <c r="W165" s="110"/>
      <c r="X165" s="111"/>
      <c r="Y165" s="111"/>
      <c r="Z165" s="111"/>
      <c r="AA165" s="111"/>
      <c r="AF165" s="20"/>
    </row>
    <row r="166" spans="1:32" ht="12.75" customHeight="1">
      <c r="A166" s="21" t="s">
        <v>1233</v>
      </c>
      <c r="H166" s="136" t="str">
        <f>IF($Q168&lt;&gt;"",IF(AND(AND($H168&gt;-1,$H170&gt;-1),OR($H168&gt;10,$H170&gt;10),ABS($H168-$H170)&gt;1,IF(OR($H168&gt;11,$H170&gt;11),ABS($H168-$H170)=2,TRUE),$H168=INT($H168),$H170=INT($H170)),"","Error"),"")</f>
        <v/>
      </c>
      <c r="I166" s="136" t="str">
        <f>IF($Q168&lt;&gt;"",IF(AND(AND($I168&gt;-1,$I170&gt;-1),OR($I168&gt;10,$I170&gt;10),ABS($I168-$I170)&gt;1,IF(OR($I168&gt;11,$I170&gt;11),ABS($I168-$I170)=2,TRUE),$I168=INT($I168),$I170=INT($I170)),"","Error"),"")</f>
        <v/>
      </c>
      <c r="J166" s="136" t="str">
        <f>IF($Q168&lt;&gt;"",IF(AND(AND($J168&gt;-1,$J170&gt;-1),OR($J168&gt;10,$J170&gt;10),ABS($J168-$J170)&gt;1,IF(OR($J168&gt;11,$J170&gt;11),ABS($J168-$J170)=2,TRUE),$J168=INT($J168),$J170=INT($J170)),"","Error"),"")</f>
        <v/>
      </c>
      <c r="K166" s="136" t="str">
        <f>IF($Q168&lt;&gt;"",IF(AND($K168&lt;&gt;"",$K170&lt;&gt;""), IF(AND(AND($K168&gt;-1,$K170&gt;-1),OR($K168&gt;10,$K170&gt;10),ABS($K168-$K170)&gt;1,IF(OR($K168&gt;11,$K170&gt;11),ABS($K168-$K170)=2,TRUE),$K168=INT($K168),$K170=INT($K170)),"","Error"),""),"")</f>
        <v/>
      </c>
      <c r="L166" s="136" t="str">
        <f>IF($Q168&lt;&gt;"",IF(AND($L168&lt;&gt;"",$L170&lt;&gt;""), IF(AND(AND($L168&gt;-1,$L170&gt;-1),OR($L168&gt;10,$L170&gt;10),ABS($L168-$L170)&gt;1,IF(OR($L168&gt;11,$L170&gt;11),ABS($L168-$L170)=2,TRUE),$L168=INT($L168),$L170=INT($L170)),"","Error"),""),"")</f>
        <v/>
      </c>
      <c r="R166" s="1"/>
      <c r="S166" s="110"/>
      <c r="T166" s="110"/>
      <c r="U166" s="110"/>
      <c r="V166" s="110"/>
      <c r="W166" s="110"/>
      <c r="X166" s="111"/>
      <c r="Y166" s="111"/>
      <c r="Z166" s="111"/>
      <c r="AA166" s="111"/>
    </row>
    <row r="167" spans="1:32" ht="12.75" customHeight="1">
      <c r="A167" s="5" t="s">
        <v>1228</v>
      </c>
      <c r="B167" s="290" t="s">
        <v>1126</v>
      </c>
      <c r="C167" s="291"/>
      <c r="D167" s="291"/>
      <c r="E167" s="291"/>
      <c r="F167" s="291"/>
      <c r="G167" s="292"/>
      <c r="H167" s="5">
        <v>1</v>
      </c>
      <c r="I167" s="5">
        <v>2</v>
      </c>
      <c r="J167" s="5">
        <v>3</v>
      </c>
      <c r="K167" s="5">
        <v>4</v>
      </c>
      <c r="L167" s="5">
        <v>5</v>
      </c>
      <c r="M167" s="271"/>
      <c r="N167" s="272"/>
      <c r="O167" s="272"/>
      <c r="P167" s="273"/>
      <c r="R167" s="1"/>
      <c r="S167" s="110"/>
      <c r="T167" s="110"/>
      <c r="U167" s="110"/>
      <c r="V167" s="110"/>
      <c r="W167" s="110"/>
      <c r="X167" s="111"/>
      <c r="Y167" s="111"/>
      <c r="Z167" s="111"/>
      <c r="AA167" s="111"/>
    </row>
    <row r="168" spans="1:32" ht="12.75" customHeight="1">
      <c r="A168" s="300" t="str">
        <f>B162</f>
        <v>C</v>
      </c>
      <c r="B168" s="293" t="str">
        <f ca="1">IF(AND(OFFSET($AO$1,$C162-1,8,1,1),$A163&lt;&gt;"",$J163&lt;&gt;""),CHOOSE($C162,$AO$1,$AO$2,$AO$3,$AO$4,$AO$5,$AO$6,$AO$7,$AO$8,$AO$9,$AO$10,$AO$11,$AO$12),"")</f>
        <v/>
      </c>
      <c r="C168" s="294"/>
      <c r="D168" s="294"/>
      <c r="E168" s="294"/>
      <c r="F168" s="294"/>
      <c r="G168" s="294"/>
      <c r="H168" s="265"/>
      <c r="I168" s="265"/>
      <c r="J168" s="265"/>
      <c r="K168" s="265"/>
      <c r="L168" s="265"/>
      <c r="M168" s="297"/>
      <c r="N168" s="298"/>
      <c r="O168" s="298"/>
      <c r="P168" s="299"/>
      <c r="Q168" s="137" t="str">
        <f>IF($L168=$L170,IF($K168=$K170,IF($J168&lt;&gt;"",IF($J168&gt;$J170,"W","L"),""),IF($K168&gt;$K170,"W","L")),IF($L168&gt;$L170,"W","L"))</f>
        <v/>
      </c>
      <c r="R168" s="1"/>
      <c r="S168" s="110"/>
      <c r="T168" s="110"/>
      <c r="U168" s="110"/>
      <c r="V168" s="110"/>
      <c r="W168" s="110"/>
      <c r="X168" s="111"/>
      <c r="Y168" s="111"/>
      <c r="Z168" s="111"/>
      <c r="AA168" s="111"/>
    </row>
    <row r="169" spans="1:32" ht="12.75" customHeight="1">
      <c r="A169" s="301"/>
      <c r="B169" s="295"/>
      <c r="C169" s="296"/>
      <c r="D169" s="296"/>
      <c r="E169" s="296"/>
      <c r="F169" s="296"/>
      <c r="G169" s="296"/>
      <c r="H169" s="270"/>
      <c r="I169" s="270"/>
      <c r="J169" s="270"/>
      <c r="K169" s="270"/>
      <c r="L169" s="270"/>
      <c r="M169" s="297"/>
      <c r="N169" s="298"/>
      <c r="O169" s="298"/>
      <c r="P169" s="299"/>
      <c r="Q169" s="139" t="str">
        <f>IF($Q168&lt;&gt;"",IF($Q168="W",IF(SUM(IF($H168&gt;$H170,1,0),IF($I168&gt;$I170,1,0),IF($J168&gt;$J170,1,0),IF($K168&gt;$K170,1,0),IF($L168&gt;$L170,1,0))&lt;&gt;3,"Error",""),""),"")</f>
        <v/>
      </c>
      <c r="R169" s="328" t="str">
        <f>$A163</f>
        <v/>
      </c>
      <c r="S169" s="328"/>
      <c r="T169" s="328"/>
      <c r="U169" s="328"/>
      <c r="V169" s="328"/>
      <c r="W169" s="328"/>
      <c r="X169" s="256" t="str">
        <f>CONCATENATE("(",$B162," vs ",$K162,")")</f>
        <v>(C vs D)</v>
      </c>
      <c r="Y169" s="256"/>
      <c r="Z169" s="328" t="str">
        <f>$J163</f>
        <v/>
      </c>
      <c r="AA169" s="328"/>
      <c r="AB169" s="328"/>
      <c r="AC169" s="328"/>
      <c r="AD169" s="328"/>
      <c r="AE169" s="328"/>
      <c r="AF169" s="43"/>
    </row>
    <row r="170" spans="1:32" ht="12.75" customHeight="1">
      <c r="A170" s="300" t="str">
        <f>K162</f>
        <v>D</v>
      </c>
      <c r="B170" s="293" t="str">
        <f ca="1">IF(AND(OFFSET($AO$1,$L162-1,8,1,1),$A163&lt;&gt;"",$J163&lt;&gt;""),CHOOSE($L162,$AO$1,$AO$2,$AO$3,$AO$4,$AO$5,$AO$6,$AO$7,$AO$8,$AO$9,$AO$10,$AO$11,$AO$12),"")</f>
        <v/>
      </c>
      <c r="C170" s="294"/>
      <c r="D170" s="294"/>
      <c r="E170" s="294"/>
      <c r="F170" s="294"/>
      <c r="G170" s="294"/>
      <c r="H170" s="265"/>
      <c r="I170" s="265"/>
      <c r="J170" s="265"/>
      <c r="K170" s="265"/>
      <c r="L170" s="265"/>
      <c r="M170" s="267" t="s">
        <v>1237</v>
      </c>
      <c r="N170" s="268"/>
      <c r="O170" s="268"/>
      <c r="P170" s="269"/>
      <c r="Q170" s="137" t="str">
        <f>IF($Q168&lt;&gt;"",IF($Q168="W","L","W"),"")</f>
        <v/>
      </c>
      <c r="R170" s="43"/>
      <c r="S170" s="43"/>
      <c r="T170" s="43"/>
      <c r="U170" s="43"/>
      <c r="V170" s="43"/>
      <c r="W170" s="43"/>
      <c r="X170" s="43"/>
      <c r="Y170" s="43"/>
      <c r="Z170" s="43"/>
      <c r="AA170" s="43"/>
      <c r="AB170" s="43"/>
      <c r="AC170" s="43"/>
      <c r="AD170" s="43"/>
      <c r="AE170" s="43"/>
      <c r="AF170" s="43"/>
    </row>
    <row r="171" spans="1:32" ht="12.75" customHeight="1">
      <c r="A171" s="301"/>
      <c r="B171" s="295"/>
      <c r="C171" s="296"/>
      <c r="D171" s="296"/>
      <c r="E171" s="296"/>
      <c r="F171" s="296"/>
      <c r="G171" s="296"/>
      <c r="H171" s="270"/>
      <c r="I171" s="270"/>
      <c r="J171" s="266"/>
      <c r="K171" s="266"/>
      <c r="L171" s="266"/>
      <c r="M171" s="267"/>
      <c r="N171" s="268"/>
      <c r="O171" s="268"/>
      <c r="P171" s="269"/>
      <c r="Q171" s="139" t="str">
        <f>IF($Q170&lt;&gt;"",IF($Q170="W",IF(SUM(IF($H170&gt;$H168,1,0),IF($I170&gt;$I168,1,0),IF($J170&gt;$J168,1,0),IF($K170&gt;$K168,1,0),IF($L170&gt;$L168,1,0))&lt;&gt;3,"Error",""),""),"")</f>
        <v/>
      </c>
      <c r="R171" s="43" t="str">
        <f>$A173</f>
        <v>2nd Singles</v>
      </c>
      <c r="S171" s="43"/>
      <c r="T171" s="43"/>
      <c r="U171" s="43"/>
      <c r="V171" s="43"/>
      <c r="W171" s="43"/>
      <c r="X171" s="43"/>
      <c r="Y171" s="43"/>
      <c r="Z171" s="43"/>
      <c r="AA171" s="43"/>
      <c r="AB171" s="43"/>
      <c r="AC171" s="43"/>
      <c r="AD171" s="43"/>
      <c r="AE171" s="43"/>
      <c r="AF171" s="43"/>
    </row>
    <row r="172" spans="1:32" ht="12.75" customHeight="1">
      <c r="Q172" s="7"/>
      <c r="R172" s="60" t="s">
        <v>1228</v>
      </c>
      <c r="S172" s="339" t="s">
        <v>1126</v>
      </c>
      <c r="T172" s="340"/>
      <c r="U172" s="340"/>
      <c r="V172" s="340"/>
      <c r="W172" s="340"/>
      <c r="X172" s="341"/>
      <c r="Y172" s="60">
        <v>1</v>
      </c>
      <c r="Z172" s="60">
        <v>2</v>
      </c>
      <c r="AA172" s="60">
        <v>3</v>
      </c>
      <c r="AB172" s="60">
        <v>4</v>
      </c>
      <c r="AC172" s="60">
        <v>5</v>
      </c>
      <c r="AD172" s="342"/>
      <c r="AE172" s="343"/>
      <c r="AF172" s="344"/>
    </row>
    <row r="173" spans="1:32" ht="12.75" customHeight="1">
      <c r="A173" s="21" t="s">
        <v>1234</v>
      </c>
      <c r="H173" s="136" t="str">
        <f>IF($Q175&lt;&gt;"",IF(AND(AND($H175&gt;-1,$H177&gt;-1),OR($H175&gt;10,$H177&gt;10),ABS($H175-$H177)&gt;1,IF(OR($H175&gt;11,$H177&gt;11),ABS($H175-$H177)=2,TRUE),$H175=INT($H175),$H177=INT($H177)),"","Error"),"")</f>
        <v/>
      </c>
      <c r="I173" s="136" t="str">
        <f>IF($Q175&lt;&gt;"",IF(AND(AND($I175&gt;-1,$I177&gt;-1),OR($I175&gt;10,$I177&gt;10),ABS($I175-$I177)&gt;1,IF(OR($I175&gt;11,$I177&gt;11),ABS($I175-$I177)=2,TRUE),$I175=INT($I175),$I177=INT($I177)),"","Error"),"")</f>
        <v/>
      </c>
      <c r="J173" s="136" t="str">
        <f>IF($Q175&lt;&gt;"",IF(AND(AND($J175&gt;-1,$J177&gt;-1),OR($J175&gt;10,$J177&gt;10),ABS($J175-$J177)&gt;1,IF(OR($J175&gt;11,$J177&gt;11),ABS($J175-$J177)=2,TRUE),$J175=INT($J175),$J177=INT($J177)),"","Error"),"")</f>
        <v/>
      </c>
      <c r="K173" s="136" t="str">
        <f>IF($Q175&lt;&gt;"",IF(AND($K175&lt;&gt;"",$K177&lt;&gt;""), IF(AND(AND($K175&gt;-1,$K177&gt;-1),OR($K175&gt;10,$K177&gt;10),ABS($K175-$K177)&gt;1,IF(OR($K175&gt;11,$K177&gt;11),ABS($K175-$K177)=2,TRUE),$K175=INT($K175),$K177=INT($K177)),"","Error"),""),"")</f>
        <v/>
      </c>
      <c r="L173" s="136" t="str">
        <f>IF($Q175&lt;&gt;"",IF(AND($L175&lt;&gt;"",$L177&lt;&gt;""), IF(AND(AND($L175&gt;-1,$L177&gt;-1),OR($L175&gt;10,$L177&gt;10),ABS($L175-$L177)&gt;1,IF(OR($L175&gt;11,$L177&gt;11),ABS($L175-$L177)=2,TRUE),$L175=INT($L175),$L177=INT($L177)),"","Error"),""),"")</f>
        <v/>
      </c>
      <c r="Q173" s="7"/>
      <c r="R173" s="300" t="str">
        <f>$B162</f>
        <v>C</v>
      </c>
      <c r="S173" s="331" t="str">
        <f ca="1">IF($B175&lt;&gt;"",$B175,"")</f>
        <v/>
      </c>
      <c r="T173" s="332"/>
      <c r="U173" s="332"/>
      <c r="V173" s="332"/>
      <c r="W173" s="332"/>
      <c r="X173" s="333"/>
      <c r="Y173" s="329"/>
      <c r="Z173" s="329"/>
      <c r="AA173" s="329"/>
      <c r="AB173" s="329"/>
      <c r="AC173" s="329"/>
      <c r="AD173" s="345"/>
      <c r="AE173" s="358"/>
      <c r="AF173" s="359"/>
    </row>
    <row r="174" spans="1:32" ht="12.75" customHeight="1">
      <c r="A174" s="5" t="s">
        <v>1228</v>
      </c>
      <c r="B174" s="290" t="s">
        <v>1126</v>
      </c>
      <c r="C174" s="291"/>
      <c r="D174" s="291"/>
      <c r="E174" s="291"/>
      <c r="F174" s="291"/>
      <c r="G174" s="292"/>
      <c r="H174" s="5">
        <v>1</v>
      </c>
      <c r="I174" s="5">
        <v>2</v>
      </c>
      <c r="J174" s="5">
        <v>3</v>
      </c>
      <c r="K174" s="5">
        <v>4</v>
      </c>
      <c r="L174" s="5">
        <v>5</v>
      </c>
      <c r="M174" s="271"/>
      <c r="N174" s="272"/>
      <c r="O174" s="272"/>
      <c r="P174" s="273"/>
      <c r="Q174" s="7"/>
      <c r="R174" s="330"/>
      <c r="S174" s="334"/>
      <c r="T174" s="335"/>
      <c r="U174" s="335"/>
      <c r="V174" s="335"/>
      <c r="W174" s="335"/>
      <c r="X174" s="336"/>
      <c r="Y174" s="330"/>
      <c r="Z174" s="330"/>
      <c r="AA174" s="330"/>
      <c r="AB174" s="330"/>
      <c r="AC174" s="330"/>
      <c r="AD174" s="360"/>
      <c r="AE174" s="361"/>
      <c r="AF174" s="362"/>
    </row>
    <row r="175" spans="1:32" ht="12.75" customHeight="1">
      <c r="A175" s="300" t="str">
        <f>B162</f>
        <v>C</v>
      </c>
      <c r="B175" s="293" t="str">
        <f ca="1">IF(AND(OFFSET($AO$1,$C162-1,8,1,1),$A163&lt;&gt;"",$J163&lt;&gt;""),CHOOSE($C162,$AP$1,$AP$2,$AP$3,$AP$4,$AP$5,$AP$6,$AP$7,$AP$8,$AP$9,$AP$10,$AP$11,$AP$12),"")</f>
        <v/>
      </c>
      <c r="C175" s="294"/>
      <c r="D175" s="294"/>
      <c r="E175" s="294"/>
      <c r="F175" s="294"/>
      <c r="G175" s="294"/>
      <c r="H175" s="265"/>
      <c r="I175" s="265"/>
      <c r="J175" s="265"/>
      <c r="K175" s="265"/>
      <c r="L175" s="265"/>
      <c r="M175" s="262" t="str">
        <f ca="1">IF(OR(AND($B168&lt;&gt;"",$B175&lt;&gt;"",$C193&lt;=$B193),AND($B170&lt;&gt;"",$B177&lt;&gt;"",$G193&lt;=$F193)),"Invalid Lineup","")</f>
        <v/>
      </c>
      <c r="N175" s="263"/>
      <c r="O175" s="263"/>
      <c r="P175" s="264"/>
      <c r="Q175" s="137" t="str">
        <f>IF($L175=$L177,IF($K175=$K177,IF($J175&lt;&gt;"",IF($J175&gt;$J177,"W","L"),""),IF($K175&gt;$K177,"W","L")),IF($L175&gt;$L177,"W","L"))</f>
        <v/>
      </c>
      <c r="R175" s="300" t="str">
        <f>$K162</f>
        <v>D</v>
      </c>
      <c r="S175" s="331" t="str">
        <f ca="1">IF($B177&lt;&gt;"",$B177,"")</f>
        <v/>
      </c>
      <c r="T175" s="332"/>
      <c r="U175" s="332"/>
      <c r="V175" s="332"/>
      <c r="W175" s="332"/>
      <c r="X175" s="333"/>
      <c r="Y175" s="329"/>
      <c r="Z175" s="329"/>
      <c r="AA175" s="329"/>
      <c r="AB175" s="329"/>
      <c r="AC175" s="351"/>
      <c r="AD175" s="363" t="s">
        <v>1237</v>
      </c>
      <c r="AE175" s="358"/>
      <c r="AF175" s="359"/>
    </row>
    <row r="176" spans="1:32" ht="12.75" customHeight="1">
      <c r="A176" s="301"/>
      <c r="B176" s="295"/>
      <c r="C176" s="296"/>
      <c r="D176" s="296"/>
      <c r="E176" s="296"/>
      <c r="F176" s="296"/>
      <c r="G176" s="296"/>
      <c r="H176" s="270"/>
      <c r="I176" s="270"/>
      <c r="J176" s="270"/>
      <c r="K176" s="270"/>
      <c r="L176" s="270"/>
      <c r="M176" s="262"/>
      <c r="N176" s="263"/>
      <c r="O176" s="263"/>
      <c r="P176" s="264"/>
      <c r="Q176" s="139" t="str">
        <f>IF($Q175&lt;&gt;"",IF($Q175="W",IF(SUM(IF($H175&gt;$H177,1,0),IF($I175&gt;$I177,1,0),IF($J175&gt;$J177,1,0),IF($K175&gt;$K177,1,0),IF($L175&gt;$L177,1,0))&lt;&gt;3,"Error",""),""),"")</f>
        <v/>
      </c>
      <c r="R176" s="330"/>
      <c r="S176" s="334"/>
      <c r="T176" s="335"/>
      <c r="U176" s="335"/>
      <c r="V176" s="335"/>
      <c r="W176" s="335"/>
      <c r="X176" s="336"/>
      <c r="Y176" s="330"/>
      <c r="Z176" s="330"/>
      <c r="AA176" s="330"/>
      <c r="AB176" s="330"/>
      <c r="AC176" s="330"/>
      <c r="AD176" s="360"/>
      <c r="AE176" s="361"/>
      <c r="AF176" s="362"/>
    </row>
    <row r="177" spans="1:32" ht="12.75" customHeight="1">
      <c r="A177" s="300" t="str">
        <f>K162</f>
        <v>D</v>
      </c>
      <c r="B177" s="293" t="str">
        <f ca="1">IF(AND(OFFSET($AO$1,$L162-1,8,1,1),$A163&lt;&gt;"",$J163&lt;&gt;""),CHOOSE($L162,$AP$1,$AP$2,$AP$3,$AP$4,$AP$5,$AP$6,$AP$7,$AP$8,$AP$9,$AP$10,$AP$11,$AP$12),"")</f>
        <v/>
      </c>
      <c r="C177" s="294"/>
      <c r="D177" s="294"/>
      <c r="E177" s="294"/>
      <c r="F177" s="294"/>
      <c r="G177" s="294"/>
      <c r="H177" s="265"/>
      <c r="I177" s="265"/>
      <c r="J177" s="265"/>
      <c r="K177" s="265"/>
      <c r="L177" s="265"/>
      <c r="M177" s="267" t="s">
        <v>1237</v>
      </c>
      <c r="N177" s="268"/>
      <c r="O177" s="268"/>
      <c r="P177" s="269"/>
      <c r="Q177" s="137" t="str">
        <f>IF($Q175&lt;&gt;"",IF($Q175="W","L","W"),"")</f>
        <v/>
      </c>
      <c r="R177" s="20"/>
      <c r="S177" s="20"/>
      <c r="T177" s="20"/>
      <c r="U177" s="20"/>
      <c r="V177" s="20"/>
      <c r="W177" s="20"/>
      <c r="X177" s="26"/>
      <c r="Y177" s="26"/>
      <c r="Z177" s="20"/>
      <c r="AA177" s="20"/>
      <c r="AB177" s="20"/>
      <c r="AC177" s="20"/>
      <c r="AD177" s="20"/>
      <c r="AE177" s="20"/>
      <c r="AF177" s="27"/>
    </row>
    <row r="178" spans="1:32" ht="12.75" customHeight="1">
      <c r="A178" s="301"/>
      <c r="B178" s="295"/>
      <c r="C178" s="296"/>
      <c r="D178" s="296"/>
      <c r="E178" s="296"/>
      <c r="F178" s="296"/>
      <c r="G178" s="296"/>
      <c r="H178" s="270"/>
      <c r="I178" s="270"/>
      <c r="J178" s="266"/>
      <c r="K178" s="266"/>
      <c r="L178" s="266"/>
      <c r="M178" s="267"/>
      <c r="N178" s="268"/>
      <c r="O178" s="268"/>
      <c r="P178" s="269"/>
      <c r="Q178" s="139" t="str">
        <f>IF($Q177&lt;&gt;"",IF($Q177="W",IF(SUM(IF($H177&gt;$H175,1,0),IF($I177&gt;$I175,1,0),IF($J177&gt;$J175,1,0),IF($K177&gt;$K175,1,0),IF($L177&gt;$L175,1,0))&lt;&gt;3,"Error",""),""),"")</f>
        <v/>
      </c>
      <c r="R178" s="20"/>
      <c r="S178" s="20"/>
      <c r="T178" s="20"/>
      <c r="U178" s="20"/>
      <c r="V178" s="20"/>
      <c r="W178" s="20"/>
      <c r="X178" s="26"/>
      <c r="Y178" s="26"/>
      <c r="Z178" s="20"/>
      <c r="AA178" s="20"/>
      <c r="AB178" s="20"/>
      <c r="AC178" s="20"/>
      <c r="AD178" s="20"/>
      <c r="AE178" s="20"/>
      <c r="AF178" s="27"/>
    </row>
    <row r="179" spans="1:32" ht="12.75" customHeight="1">
      <c r="Q179" s="7"/>
      <c r="R179" s="20"/>
      <c r="S179" s="20"/>
      <c r="T179" s="20"/>
      <c r="U179" s="20"/>
      <c r="V179" s="20"/>
      <c r="W179" s="20"/>
      <c r="X179" s="26"/>
      <c r="Y179" s="26"/>
      <c r="Z179" s="20"/>
      <c r="AA179" s="20"/>
      <c r="AB179" s="20"/>
      <c r="AC179" s="20"/>
      <c r="AD179" s="20"/>
      <c r="AE179" s="20"/>
      <c r="AF179" s="27"/>
    </row>
    <row r="180" spans="1:32" ht="12.75" customHeight="1">
      <c r="A180" s="21" t="s">
        <v>1235</v>
      </c>
      <c r="H180" s="136" t="str">
        <f>IF($Q182&lt;&gt;"",IF(AND(AND($H182&gt;-1,$H184&gt;-1),OR($H182&gt;10,$H184&gt;10),ABS($H182-$H184)&gt;1,IF(OR($H182&gt;11,$H184&gt;11),ABS($H182-$H184)=2,TRUE),$H182=INT($H182),$H184=INT($H184)),"","Error"),"")</f>
        <v/>
      </c>
      <c r="I180" s="136" t="str">
        <f>IF($Q182&lt;&gt;"",IF(AND(AND($I182&gt;-1,$I184&gt;-1),OR($I182&gt;10,$I184&gt;10),ABS($I182-$I184)&gt;1,IF(OR($I182&gt;11,$I184&gt;11),ABS($I182-$I184)=2,TRUE),$I182=INT($I182),$I184=INT($I184)),"","Error"),"")</f>
        <v/>
      </c>
      <c r="J180" s="136" t="str">
        <f>IF($Q182&lt;&gt;"",IF(AND(AND($J182&gt;-1,$J184&gt;-1),OR($J182&gt;10,$J184&gt;10),ABS($J182-$J184)&gt;1,IF(OR($J182&gt;11,$J184&gt;11),ABS($J182-$J184)=2,TRUE),$J182=INT($J182),$J184=INT($J184)),"","Error"),"")</f>
        <v/>
      </c>
      <c r="K180" s="136" t="str">
        <f>IF($Q182&lt;&gt;"",IF(AND($K182&lt;&gt;"",$K184&lt;&gt;""), IF(AND(AND($K182&gt;-1,$K184&gt;-1),OR($K182&gt;10,$K184&gt;10),ABS($K182-$K184)&gt;1,IF(OR($K182&gt;11,$K184&gt;11),ABS($K182-$K184)=2,TRUE),$K182=INT($K182),$K184=INT($K184)),"","Error"),""),"")</f>
        <v/>
      </c>
      <c r="L180" s="136" t="str">
        <f>IF($Q182&lt;&gt;"",IF(AND($L182&lt;&gt;"",$L184&lt;&gt;""), IF(AND(AND($L182&gt;-1,$L184&gt;-1),OR($L182&gt;10,$L184&gt;10),ABS($L182-$L184)&gt;1,IF(OR($L182&gt;11,$L184&gt;11),ABS($L182-$L184)=2,TRUE),$L182=INT($L182),$L184=INT($L184)),"","Error"),""),"")</f>
        <v/>
      </c>
      <c r="Q180" s="7"/>
      <c r="R180" s="20"/>
      <c r="S180" s="20"/>
      <c r="T180" s="20"/>
      <c r="U180" s="20"/>
      <c r="V180" s="20"/>
      <c r="W180" s="20"/>
      <c r="X180" s="26"/>
      <c r="Y180" s="26"/>
      <c r="Z180" s="20"/>
      <c r="AA180" s="20"/>
      <c r="AB180" s="20"/>
      <c r="AC180" s="20"/>
      <c r="AD180" s="20"/>
      <c r="AE180" s="20"/>
      <c r="AF180" s="27"/>
    </row>
    <row r="181" spans="1:32" ht="12.75" customHeight="1">
      <c r="A181" s="5" t="s">
        <v>1228</v>
      </c>
      <c r="B181" s="290" t="s">
        <v>1126</v>
      </c>
      <c r="C181" s="291"/>
      <c r="D181" s="291"/>
      <c r="E181" s="291"/>
      <c r="F181" s="291"/>
      <c r="G181" s="292"/>
      <c r="H181" s="5">
        <v>1</v>
      </c>
      <c r="I181" s="5">
        <v>2</v>
      </c>
      <c r="J181" s="5">
        <v>3</v>
      </c>
      <c r="K181" s="5">
        <v>4</v>
      </c>
      <c r="L181" s="5">
        <v>5</v>
      </c>
      <c r="M181" s="271"/>
      <c r="N181" s="272"/>
      <c r="O181" s="272"/>
      <c r="P181" s="273"/>
      <c r="Q181" s="7"/>
      <c r="R181" s="20"/>
      <c r="S181" s="20"/>
      <c r="T181" s="20"/>
      <c r="U181" s="20"/>
      <c r="V181" s="20"/>
      <c r="W181" s="20"/>
      <c r="X181" s="26"/>
      <c r="Y181" s="26"/>
      <c r="Z181" s="20"/>
      <c r="AA181" s="20"/>
      <c r="AB181" s="20"/>
      <c r="AC181" s="20"/>
      <c r="AD181" s="20"/>
      <c r="AE181" s="20"/>
      <c r="AF181" s="27"/>
    </row>
    <row r="182" spans="1:32" ht="12.75" customHeight="1">
      <c r="A182" s="300" t="str">
        <f>B162</f>
        <v>C</v>
      </c>
      <c r="B182" s="293" t="str">
        <f ca="1">IF(AND(OFFSET($AO$1,$C162-1,8,1,1),$A163&lt;&gt;"",$J163&lt;&gt;""),CHOOSE($C162,$AQ$1,$AQ$2,$AQ$3,$AQ$4,$AQ$5,$AQ$6,$AQ$7,$AQ$8,$AQ$9,$AQ$10,$AQ$11,$AQ$12),"")</f>
        <v/>
      </c>
      <c r="C182" s="294"/>
      <c r="D182" s="294"/>
      <c r="E182" s="294"/>
      <c r="F182" s="294"/>
      <c r="G182" s="294"/>
      <c r="H182" s="265"/>
      <c r="I182" s="265"/>
      <c r="J182" s="265"/>
      <c r="K182" s="265"/>
      <c r="L182" s="265"/>
      <c r="M182" s="262" t="str">
        <f ca="1">IF(OR(AND($B175&lt;&gt;"",$B182&lt;&gt;"",$D193&lt;=$C193),AND($B177&lt;&gt;"",$B184&lt;&gt;"",$H193&lt;=$G193)),"Invalid Lineup","")</f>
        <v/>
      </c>
      <c r="N182" s="263"/>
      <c r="O182" s="263"/>
      <c r="P182" s="264"/>
      <c r="Q182" s="137" t="str">
        <f>IF($L182=$L184,IF($K182=$K184,IF($J182&lt;&gt;"",IF($J182&gt;$J184,"W","L"),""),IF($K182&gt;$K184,"W","L")),IF($L182&gt;$L184,"W","L"))</f>
        <v/>
      </c>
      <c r="R182" s="20"/>
      <c r="S182" s="20"/>
      <c r="T182" s="20"/>
      <c r="U182" s="20"/>
      <c r="V182" s="20"/>
      <c r="W182" s="20"/>
      <c r="X182" s="26"/>
      <c r="Y182" s="26"/>
      <c r="Z182" s="20"/>
      <c r="AA182" s="20"/>
      <c r="AB182" s="20"/>
      <c r="AC182" s="20"/>
      <c r="AD182" s="20"/>
      <c r="AE182" s="20"/>
      <c r="AF182" s="27"/>
    </row>
    <row r="183" spans="1:32" ht="12.75" customHeight="1">
      <c r="A183" s="301"/>
      <c r="B183" s="295"/>
      <c r="C183" s="296"/>
      <c r="D183" s="296"/>
      <c r="E183" s="296"/>
      <c r="F183" s="296"/>
      <c r="G183" s="296"/>
      <c r="H183" s="270"/>
      <c r="I183" s="270"/>
      <c r="J183" s="270"/>
      <c r="K183" s="270"/>
      <c r="L183" s="270"/>
      <c r="M183" s="262"/>
      <c r="N183" s="263"/>
      <c r="O183" s="263"/>
      <c r="P183" s="264"/>
      <c r="Q183" s="139" t="str">
        <f>IF($Q182&lt;&gt;"",IF($Q182="W",IF(SUM(IF($H182&gt;$H184,1,0),IF($I182&gt;$I184,1,0),IF($J182&gt;$J184,1,0),IF($K182&gt;$K184,1,0),IF($L182&gt;$L184,1,0))&lt;&gt;3,"Error",""),""),"")</f>
        <v/>
      </c>
      <c r="R183" s="328" t="str">
        <f>$A163</f>
        <v/>
      </c>
      <c r="S183" s="328"/>
      <c r="T183" s="328"/>
      <c r="U183" s="328"/>
      <c r="V183" s="328"/>
      <c r="W183" s="328"/>
      <c r="X183" s="256" t="str">
        <f>CONCATENATE("(",$B162," vs ",$K162,")")</f>
        <v>(C vs D)</v>
      </c>
      <c r="Y183" s="256"/>
      <c r="Z183" s="328" t="str">
        <f>$J163</f>
        <v/>
      </c>
      <c r="AA183" s="328"/>
      <c r="AB183" s="328"/>
      <c r="AC183" s="328"/>
      <c r="AD183" s="328"/>
      <c r="AE183" s="328"/>
      <c r="AF183" s="100"/>
    </row>
    <row r="184" spans="1:32" ht="12.75" customHeight="1">
      <c r="A184" s="300" t="str">
        <f>K162</f>
        <v>D</v>
      </c>
      <c r="B184" s="293" t="str">
        <f ca="1">IF(AND(OFFSET($AO$1,$L162-1,8,1,1),$A163&lt;&gt;"",$J163&lt;&gt;""),CHOOSE($L162,$AQ$1,$AQ$2,$AQ$3,$AQ$4,$AQ$5,$AQ$6,$AQ$7,$AQ$8,$AQ$9,$AQ$10,$AQ$11,$AQ$12),"")</f>
        <v/>
      </c>
      <c r="C184" s="294"/>
      <c r="D184" s="294"/>
      <c r="E184" s="294"/>
      <c r="F184" s="294"/>
      <c r="G184" s="294"/>
      <c r="H184" s="265"/>
      <c r="I184" s="265"/>
      <c r="J184" s="265"/>
      <c r="K184" s="265"/>
      <c r="L184" s="265"/>
      <c r="M184" s="267" t="s">
        <v>1237</v>
      </c>
      <c r="N184" s="268"/>
      <c r="O184" s="268"/>
      <c r="P184" s="269"/>
      <c r="Q184" s="137" t="str">
        <f>IF($Q182&lt;&gt;"",IF($Q182="W","L","W"),"")</f>
        <v/>
      </c>
      <c r="R184" s="100"/>
      <c r="S184" s="100"/>
      <c r="T184" s="100"/>
      <c r="U184" s="100"/>
      <c r="V184" s="100"/>
      <c r="W184" s="100"/>
      <c r="X184" s="100"/>
      <c r="Y184" s="100"/>
      <c r="Z184" s="100"/>
      <c r="AA184" s="100"/>
      <c r="AB184" s="100"/>
      <c r="AC184" s="100"/>
      <c r="AD184" s="100"/>
      <c r="AE184" s="100"/>
      <c r="AF184" s="100"/>
    </row>
    <row r="185" spans="1:32" ht="12.75" customHeight="1">
      <c r="A185" s="301"/>
      <c r="B185" s="295"/>
      <c r="C185" s="296"/>
      <c r="D185" s="296"/>
      <c r="E185" s="296"/>
      <c r="F185" s="296"/>
      <c r="G185" s="296"/>
      <c r="H185" s="270"/>
      <c r="I185" s="270"/>
      <c r="J185" s="266"/>
      <c r="K185" s="266"/>
      <c r="L185" s="266"/>
      <c r="M185" s="267"/>
      <c r="N185" s="268"/>
      <c r="O185" s="268"/>
      <c r="P185" s="269"/>
      <c r="Q185" s="139" t="str">
        <f>IF($Q184&lt;&gt;"",IF($Q184="W",IF(SUM(IF($H184&gt;$H182,1,0),IF($I184&gt;$I182,1,0),IF($J184&gt;$J182,1,0),IF($K184&gt;$K182,1,0),IF($L184&gt;$L182,1,0))&lt;&gt;3,"Error",""),""),"")</f>
        <v/>
      </c>
      <c r="R185" s="43" t="str">
        <f>$A180</f>
        <v>3rd Singles</v>
      </c>
      <c r="S185" s="43"/>
      <c r="T185" s="43"/>
      <c r="U185" s="43"/>
      <c r="V185" s="43"/>
      <c r="W185" s="43"/>
      <c r="X185" s="43"/>
      <c r="Y185" s="43"/>
      <c r="Z185" s="43"/>
      <c r="AA185" s="43"/>
      <c r="AB185" s="43"/>
      <c r="AC185" s="43"/>
      <c r="AD185" s="43"/>
      <c r="AE185" s="43"/>
      <c r="AF185" s="43"/>
    </row>
    <row r="186" spans="1:32" ht="12.75" customHeight="1">
      <c r="Q186" s="7"/>
      <c r="R186" s="60" t="s">
        <v>1228</v>
      </c>
      <c r="S186" s="101" t="s">
        <v>1126</v>
      </c>
      <c r="T186" s="102"/>
      <c r="U186" s="102"/>
      <c r="V186" s="102"/>
      <c r="W186" s="102"/>
      <c r="X186" s="103"/>
      <c r="Y186" s="60">
        <v>1</v>
      </c>
      <c r="Z186" s="60">
        <v>2</v>
      </c>
      <c r="AA186" s="60">
        <v>3</v>
      </c>
      <c r="AB186" s="60">
        <v>4</v>
      </c>
      <c r="AC186" s="60">
        <v>5</v>
      </c>
      <c r="AD186" s="104"/>
      <c r="AE186" s="105"/>
      <c r="AF186" s="106"/>
    </row>
    <row r="187" spans="1:32" ht="12.75" customHeight="1">
      <c r="A187" s="21" t="s">
        <v>1236</v>
      </c>
      <c r="H187" s="136" t="str">
        <f ca="1">IF($Q189&lt;&gt;"",IF(AND($B189&lt;&gt;"Missing Player",$B191&lt;&gt;"Missing Player"),IF(AND(AND($H189&gt;-1,$H191&gt;-1),OR($H189&gt;10,$H191&gt;10),ABS($H189-$H191)&gt;1,IF(OR($H189&gt;11,$H191&gt;11),ABS($H189-$H191)=2,TRUE),$H189=INT($H189),$H191=INT($H191)),"","Error"),""),"")</f>
        <v/>
      </c>
      <c r="I187" s="136" t="str">
        <f ca="1">IF($Q189&lt;&gt;"",IF(AND($B189&lt;&gt;"Missing Player",$B191&lt;&gt;"Missing Player"),IF(AND(AND($I189&gt;-1,$I191&gt;-1),OR($I189&gt;10,$I191&gt;10),ABS($I189-$I191)&gt;1,IF(OR($I189&gt;11,$I191&gt;11),ABS($I189-$I191)=2,TRUE),$I189=INT($I189),$I191=INT($I191)),"","Error"),""),"")</f>
        <v/>
      </c>
      <c r="J187" s="136" t="str">
        <f ca="1">IF($Q189&lt;&gt;"",IF(AND($B189&lt;&gt;"Missing Player",$B191&lt;&gt;"Missing Player"),IF(AND(AND($J189&gt;-1,$J191&gt;-1),OR($J189&gt;10,$J191&gt;10),ABS($J189-$J191)&gt;1,IF(OR($J189&gt;11,$J191&gt;11),ABS($J189-$J191)=2,TRUE),$J189=INT($J189),$J191=INT($J191)),"","Error"),""),"")</f>
        <v/>
      </c>
      <c r="K187" s="136" t="str">
        <f ca="1">IF($Q189&lt;&gt;"",IF(AND($K189&lt;&gt;"",$K191&lt;&gt;""), IF(AND(AND($K189&gt;-1,$K191&gt;-1),OR($K189&gt;10,$K191&gt;10),ABS($K189-$K191)&gt;1,IF(OR($K189&gt;11,$K191&gt;11),ABS($K189-$K191)=2,TRUE),$K189=INT($K189),$K191=INT($K191)),"","Error"),""),"")</f>
        <v/>
      </c>
      <c r="L187" s="136" t="str">
        <f ca="1">IF($Q189&lt;&gt;"",IF(AND($L189&lt;&gt;"",$L191&lt;&gt;""), IF(AND(AND($L189&gt;-1,$L191&gt;-1),OR($L189&gt;10,$L191&gt;10),ABS($L189-$L191)&gt;1,IF(OR($L189&gt;11,$L191&gt;11),ABS($L189-$L191)=2,TRUE),$L189=INT($L189),$L191=INT($L191)),"","Error"),""),"")</f>
        <v/>
      </c>
      <c r="Q187" s="7"/>
      <c r="R187" s="300" t="str">
        <f>$B162</f>
        <v>C</v>
      </c>
      <c r="S187" s="331" t="str">
        <f ca="1">IF($B182&lt;&gt;"",$B182,"")</f>
        <v/>
      </c>
      <c r="T187" s="332"/>
      <c r="U187" s="332"/>
      <c r="V187" s="332"/>
      <c r="W187" s="332"/>
      <c r="X187" s="333"/>
      <c r="Y187" s="329"/>
      <c r="Z187" s="329"/>
      <c r="AA187" s="329"/>
      <c r="AB187" s="329"/>
      <c r="AC187" s="329"/>
      <c r="AD187" s="345"/>
      <c r="AE187" s="358"/>
      <c r="AF187" s="359"/>
    </row>
    <row r="188" spans="1:32" ht="12.75" customHeight="1">
      <c r="A188" s="5" t="s">
        <v>1228</v>
      </c>
      <c r="B188" s="290" t="s">
        <v>1126</v>
      </c>
      <c r="C188" s="291"/>
      <c r="D188" s="291"/>
      <c r="E188" s="291"/>
      <c r="F188" s="291"/>
      <c r="G188" s="292"/>
      <c r="H188" s="5">
        <v>1</v>
      </c>
      <c r="I188" s="5">
        <v>2</v>
      </c>
      <c r="J188" s="5">
        <v>3</v>
      </c>
      <c r="K188" s="5">
        <v>4</v>
      </c>
      <c r="L188" s="5">
        <v>5</v>
      </c>
      <c r="M188" s="271"/>
      <c r="N188" s="272"/>
      <c r="O188" s="272"/>
      <c r="P188" s="273"/>
      <c r="Q188" s="7"/>
      <c r="R188" s="330"/>
      <c r="S188" s="334"/>
      <c r="T188" s="335"/>
      <c r="U188" s="335"/>
      <c r="V188" s="335"/>
      <c r="W188" s="335"/>
      <c r="X188" s="336"/>
      <c r="Y188" s="330"/>
      <c r="Z188" s="330"/>
      <c r="AA188" s="330"/>
      <c r="AB188" s="330"/>
      <c r="AC188" s="330"/>
      <c r="AD188" s="360"/>
      <c r="AE188" s="361"/>
      <c r="AF188" s="362"/>
    </row>
    <row r="189" spans="1:32" ht="12.75" customHeight="1">
      <c r="A189" s="300" t="str">
        <f>B162</f>
        <v>C</v>
      </c>
      <c r="B189" s="293" t="str">
        <f ca="1">IF(AND(OFFSET($AO$1,$C162-1,8,1,1),$A163&lt;&gt;"",$J163&lt;&gt;""),CHOOSE($C162,$AR$1,$AR$2,$AR$3,$AR$4,$AR$5,$AR$6,$AR$7,$AR$8,$AR$9,$AR$10,$AR$11,$AR$12),"")</f>
        <v/>
      </c>
      <c r="C189" s="294"/>
      <c r="D189" s="294"/>
      <c r="E189" s="294"/>
      <c r="F189" s="294"/>
      <c r="G189" s="294"/>
      <c r="H189" s="265"/>
      <c r="I189" s="265"/>
      <c r="J189" s="265"/>
      <c r="K189" s="265"/>
      <c r="L189" s="265" t="str">
        <f ca="1">IF(AND($B189&lt;&gt;"",$Q168&lt;&gt;""),IF($B189="Missing Player",0,IF($B191="Missing Player",11,"")),"")</f>
        <v/>
      </c>
      <c r="M189" s="262" t="str">
        <f ca="1">IF(OR(AND($B182&lt;&gt;"",$B189&lt;&gt;"",$E193&lt;=$D193),AND($B184&lt;&gt;"",$B191&lt;&gt;"",$I193&lt;=$H193)),"Invalid Lineup","")</f>
        <v/>
      </c>
      <c r="N189" s="263"/>
      <c r="O189" s="263"/>
      <c r="P189" s="264"/>
      <c r="Q189" s="137" t="str">
        <f ca="1">IF($L189=$L191,IF($K189=$K191,IF($J189&lt;&gt;"",IF($J189&gt;$J191,"W","L"),""),IF($K189&gt;$K191,"W","L")),IF($L189&gt;$L191,"W","L"))</f>
        <v/>
      </c>
      <c r="R189" s="300" t="str">
        <f>$K162</f>
        <v>D</v>
      </c>
      <c r="S189" s="331" t="str">
        <f ca="1">IF($B184&lt;&gt;"",$B184,"")</f>
        <v/>
      </c>
      <c r="T189" s="332"/>
      <c r="U189" s="332"/>
      <c r="V189" s="332"/>
      <c r="W189" s="332"/>
      <c r="X189" s="333"/>
      <c r="Y189" s="329"/>
      <c r="Z189" s="329"/>
      <c r="AA189" s="329"/>
      <c r="AB189" s="329"/>
      <c r="AC189" s="351"/>
      <c r="AD189" s="363" t="s">
        <v>1237</v>
      </c>
      <c r="AE189" s="358"/>
      <c r="AF189" s="359"/>
    </row>
    <row r="190" spans="1:32" ht="12.75" customHeight="1">
      <c r="A190" s="301"/>
      <c r="B190" s="295"/>
      <c r="C190" s="296"/>
      <c r="D190" s="296"/>
      <c r="E190" s="296"/>
      <c r="F190" s="296"/>
      <c r="G190" s="296"/>
      <c r="H190" s="270"/>
      <c r="I190" s="270"/>
      <c r="J190" s="270"/>
      <c r="K190" s="270"/>
      <c r="L190" s="270"/>
      <c r="M190" s="262"/>
      <c r="N190" s="263"/>
      <c r="O190" s="263"/>
      <c r="P190" s="264"/>
      <c r="Q190" s="139" t="str">
        <f ca="1">IF($Q189&lt;&gt;"",IF($B191&lt;&gt;"Missing Player",IF($Q189="W",IF(SUM(IF($H189&gt;$H191,1,0),IF($I189&gt;$I191,1,0),IF($J189&gt;$J191,1,0),IF($K189&gt;$K191,1,0),IF($L189&gt;$L191,1,0))&lt;&gt;3,"Error",""),""),""),"")</f>
        <v/>
      </c>
      <c r="R190" s="330"/>
      <c r="S190" s="334"/>
      <c r="T190" s="335"/>
      <c r="U190" s="335"/>
      <c r="V190" s="335"/>
      <c r="W190" s="335"/>
      <c r="X190" s="336"/>
      <c r="Y190" s="330"/>
      <c r="Z190" s="330"/>
      <c r="AA190" s="330"/>
      <c r="AB190" s="330"/>
      <c r="AC190" s="330"/>
      <c r="AD190" s="360"/>
      <c r="AE190" s="361"/>
      <c r="AF190" s="362"/>
    </row>
    <row r="191" spans="1:32" ht="12.75" customHeight="1">
      <c r="A191" s="300" t="str">
        <f>K162</f>
        <v>D</v>
      </c>
      <c r="B191" s="293" t="str">
        <f ca="1">IF(AND(OFFSET($AO$1,$L162-1,8,1,1),$A163&lt;&gt;"",$J163&lt;&gt;""),CHOOSE($L162,$AR$1,$AR$2,$AR$3,$AR$4,$AR$5,$AR$6,$AR$7,$AR$8,$AR$9,$AR$10,$AR$11,$AR$12),"")</f>
        <v/>
      </c>
      <c r="C191" s="294"/>
      <c r="D191" s="294"/>
      <c r="E191" s="294"/>
      <c r="F191" s="294"/>
      <c r="G191" s="294"/>
      <c r="H191" s="265"/>
      <c r="I191" s="265"/>
      <c r="J191" s="265"/>
      <c r="K191" s="265"/>
      <c r="L191" s="265" t="str">
        <f ca="1">IF(AND($B191&lt;&gt;"",$Q168&lt;&gt;""),IF($B191="Missing Player",0,IF($B189="Missing Player",11,"")),"")</f>
        <v/>
      </c>
      <c r="M191" s="267" t="s">
        <v>1237</v>
      </c>
      <c r="N191" s="268"/>
      <c r="O191" s="268"/>
      <c r="P191" s="269"/>
      <c r="Q191" s="137" t="str">
        <f ca="1">IF($Q189&lt;&gt;"",IF($Q189="W","L","W"),"")</f>
        <v/>
      </c>
      <c r="R191" s="112"/>
      <c r="S191" s="98"/>
      <c r="T191" s="108"/>
      <c r="U191" s="108"/>
      <c r="V191" s="108"/>
      <c r="W191" s="108"/>
      <c r="X191" s="108"/>
      <c r="Y191" s="113"/>
      <c r="Z191" s="113"/>
      <c r="AA191" s="113"/>
      <c r="AB191" s="113"/>
      <c r="AC191" s="113"/>
      <c r="AD191" s="107"/>
      <c r="AE191" s="109"/>
      <c r="AF191" s="109"/>
    </row>
    <row r="192" spans="1:32" ht="12.75" customHeight="1">
      <c r="A192" s="301"/>
      <c r="B192" s="295"/>
      <c r="C192" s="296"/>
      <c r="D192" s="296"/>
      <c r="E192" s="296"/>
      <c r="F192" s="296"/>
      <c r="G192" s="296"/>
      <c r="H192" s="270"/>
      <c r="I192" s="270"/>
      <c r="J192" s="266"/>
      <c r="K192" s="266"/>
      <c r="L192" s="266"/>
      <c r="M192" s="267"/>
      <c r="N192" s="268"/>
      <c r="O192" s="268"/>
      <c r="P192" s="269"/>
      <c r="Q192" s="139" t="str">
        <f ca="1">IF($Q191&lt;&gt;"",IF($B189&lt;&gt;"Missing Player",IF($Q191="W",IF(SUM(IF($H191&gt;$H189,1,0),IF($I191&gt;$I189,1,0),IF($J191&gt;$J189,1,0),IF($K191&gt;$K189,1,0),IF($L191&gt;$L189,1,0))&lt;&gt;3,"Error",""),""),""),"")</f>
        <v/>
      </c>
      <c r="R192" s="114"/>
      <c r="S192" s="115"/>
      <c r="T192" s="115"/>
      <c r="U192" s="115"/>
      <c r="V192" s="115"/>
      <c r="W192" s="115"/>
      <c r="X192" s="115"/>
      <c r="Y192" s="114"/>
      <c r="Z192" s="114"/>
      <c r="AA192" s="114"/>
      <c r="AB192" s="114"/>
      <c r="AC192" s="114"/>
      <c r="AD192" s="114"/>
      <c r="AE192" s="114"/>
      <c r="AF192" s="114"/>
    </row>
    <row r="193" spans="1:32" ht="12.75" customHeight="1">
      <c r="B193" s="140" t="str">
        <f ca="1">IF(ISERROR(VLOOKUP($B168&amp;"("&amp;$B162&amp;")",Players!$S$4:$T$132,2,FALSE)),"",VLOOKUP($B168&amp;"("&amp;$B162&amp;")",Players!$S$4:$T$132,2,FALSE))</f>
        <v>C1</v>
      </c>
      <c r="C193" s="140" t="str">
        <f ca="1">IF(ISERROR(VLOOKUP($B175&amp;"("&amp;$B162&amp;")",Players!$S$4:$T$132,2,FALSE)),"",VLOOKUP($B175&amp;"("&amp;$B162&amp;")",Players!$S$4:$T$132,2,FALSE))</f>
        <v>C1</v>
      </c>
      <c r="D193" s="141" t="str">
        <f ca="1">IF(ISERROR(VLOOKUP($B182&amp;"("&amp;$B162&amp;")",Players!$S$4:$T$132,2,FALSE)),"",VLOOKUP($B182&amp;"("&amp;$B162&amp;")",Players!$S$4:$T$132,2,FALSE))</f>
        <v>C1</v>
      </c>
      <c r="E193" s="141" t="str">
        <f ca="1">IF(ISERROR(VLOOKUP($B189&amp;"("&amp;$B162&amp;")",Players!$S$4:$T$132,2,FALSE)),"",VLOOKUP($B189&amp;"("&amp;$B162&amp;")",Players!$S$4:$T$132,2,FALSE))</f>
        <v>C1</v>
      </c>
      <c r="F193" s="141" t="str">
        <f ca="1">IF(ISERROR(VLOOKUP($B170&amp;"("&amp;$K162&amp;")",Players!$S$4:$T$132,2,FALSE)),"",VLOOKUP($B170&amp;"("&amp;$K162&amp;")",Players!$S$4:$T$132,2,FALSE))</f>
        <v>D1</v>
      </c>
      <c r="G193" s="141" t="str">
        <f ca="1">IF(ISERROR(VLOOKUP($B177&amp;"("&amp;$K162&amp;")",Players!$S$4:$T$132,2,FALSE)),"",VLOOKUP($B177&amp;"("&amp;$K162&amp;")",Players!$S$4:$T$132,2,FALSE))</f>
        <v>D1</v>
      </c>
      <c r="H193" s="141" t="str">
        <f ca="1">IF(ISERROR(VLOOKUP($B184&amp;"("&amp;$K162&amp;")",Players!$S$4:$T$132,2,FALSE)),"",VLOOKUP($B184&amp;"("&amp;$K162&amp;")",Players!$S$4:$T$132,2,FALSE))</f>
        <v>D1</v>
      </c>
      <c r="I193" s="141" t="str">
        <f ca="1">IF(ISERROR(VLOOKUP($B191&amp;"("&amp;$K162&amp;")",Players!$S$4:$T$132,2,FALSE)),"",VLOOKUP($B191&amp;"("&amp;$K162&amp;")",Players!$S$4:$T$132,2,FALSE))</f>
        <v>D1</v>
      </c>
      <c r="Q193" s="7"/>
      <c r="R193" s="50"/>
      <c r="S193" s="116"/>
      <c r="T193" s="115"/>
      <c r="U193" s="115"/>
      <c r="V193" s="115"/>
      <c r="W193" s="115"/>
      <c r="X193" s="115"/>
      <c r="Y193" s="99"/>
      <c r="Z193" s="99"/>
      <c r="AA193" s="99"/>
      <c r="AB193" s="99"/>
      <c r="AC193" s="117"/>
      <c r="AD193" s="118"/>
      <c r="AE193" s="114"/>
      <c r="AF193" s="114"/>
    </row>
    <row r="194" spans="1:32" ht="12.75" customHeight="1">
      <c r="A194" s="21" t="s">
        <v>1225</v>
      </c>
      <c r="H194" s="136" t="str">
        <f ca="1">IF($Q196&lt;&gt;"",IF(AND($B197&lt;&gt;"Missing Player",$B199&lt;&gt;"Missing Player"),IF(AND(AND($H196&gt;-1,$H198&gt;-1),OR($H196&gt;10,$H198&gt;10),ABS($H196-$H198)&gt;1,IF(OR($H196&gt;11,$H198&gt;11),ABS($H196-$H198)=2,TRUE),$H196=INT($H196),$H198=INT($H198)),"","Error"),""),"")</f>
        <v/>
      </c>
      <c r="I194" s="136" t="str">
        <f ca="1">IF($Q196&lt;&gt;"",IF(AND($B197&lt;&gt;"Missing Player",$B199&lt;&gt;"Missing Player"),IF(AND(AND($I196&gt;-1,$I198&gt;-1),OR($I196&gt;10,$I198&gt;10),ABS($I196-$I198)&gt;1,IF(OR($I196&gt;11,$I198&gt;11),ABS($I196-$I198)=2,TRUE),$I196=INT($I196),$I198=INT($I198)),"","Error"),""),"")</f>
        <v/>
      </c>
      <c r="J194" s="136" t="str">
        <f ca="1">IF($Q196&lt;&gt;"",IF(AND($B197&lt;&gt;"Missing Player",$B199&lt;&gt;"Missing Player"),IF(AND(AND($J196&gt;-1,$J198&gt;-1),OR($J196&gt;10,$J198&gt;10),ABS($J196-$J198)&gt;1,IF(OR($J196&gt;11,$J198&gt;11),ABS($J196-$J198)=2,TRUE),$J196=INT($J196),$J198=INT($J198)),"","Error"),""),"")</f>
        <v/>
      </c>
      <c r="K194" s="136" t="str">
        <f ca="1">IF($Q196&lt;&gt;"",IF(AND($K196&lt;&gt;"",$K198&lt;&gt;""), IF(AND(AND($K196&gt;-1,$K198&gt;-1),OR($K196&gt;10,$K198&gt;10),ABS($K196-$K198)&gt;1,IF(OR($K196&gt;11,$K198&gt;11),ABS($K196-$K198)=2,TRUE),$K196=INT($K196),$K198=INT($K198)),"","Error"),""),"")</f>
        <v/>
      </c>
      <c r="L194" s="136" t="str">
        <f ca="1">IF($Q196&lt;&gt;"",IF(AND($L196&lt;&gt;"",$L198&lt;&gt;""), IF(AND(AND($L196&gt;-1,$L198&gt;-1),OR($L196&gt;10,$L198&gt;10),ABS($L196-$L198)&gt;1,IF(OR($L196&gt;11,$L198&gt;11),ABS($L196-$L198)=2,TRUE),$L196=INT($L196),$L198=INT($L198)),"","Error"),""),"")</f>
        <v/>
      </c>
      <c r="Q194" s="7"/>
      <c r="R194" s="114"/>
      <c r="S194" s="115"/>
      <c r="T194" s="115"/>
      <c r="U194" s="115"/>
      <c r="V194" s="115"/>
      <c r="W194" s="115"/>
      <c r="X194" s="115"/>
      <c r="Y194" s="114"/>
      <c r="Z194" s="114"/>
      <c r="AA194" s="114"/>
      <c r="AB194" s="114"/>
      <c r="AC194" s="114"/>
      <c r="AD194" s="114"/>
      <c r="AE194" s="114"/>
      <c r="AF194" s="114"/>
    </row>
    <row r="195" spans="1:32" ht="12.75" customHeight="1">
      <c r="A195" s="5" t="s">
        <v>1228</v>
      </c>
      <c r="B195" s="290" t="s">
        <v>1126</v>
      </c>
      <c r="C195" s="291"/>
      <c r="D195" s="291"/>
      <c r="E195" s="291"/>
      <c r="F195" s="291"/>
      <c r="G195" s="292"/>
      <c r="H195" s="5">
        <v>1</v>
      </c>
      <c r="I195" s="5">
        <v>2</v>
      </c>
      <c r="J195" s="5">
        <v>3</v>
      </c>
      <c r="K195" s="5">
        <v>4</v>
      </c>
      <c r="L195" s="5">
        <v>5</v>
      </c>
      <c r="M195" s="271"/>
      <c r="N195" s="272"/>
      <c r="O195" s="272"/>
      <c r="P195" s="273"/>
      <c r="Q195" s="8"/>
      <c r="S195" s="24"/>
      <c r="T195" s="26"/>
    </row>
    <row r="196" spans="1:32" ht="12.75" customHeight="1">
      <c r="A196" s="300" t="str">
        <f>B162</f>
        <v>C</v>
      </c>
      <c r="B196" s="311" t="str">
        <f ca="1">IF($B168&lt;&gt;"",$B168,"")</f>
        <v/>
      </c>
      <c r="C196" s="312"/>
      <c r="D196" s="312"/>
      <c r="E196" s="312"/>
      <c r="F196" s="312"/>
      <c r="G196" s="313"/>
      <c r="H196" s="265"/>
      <c r="I196" s="265"/>
      <c r="J196" s="265"/>
      <c r="K196" s="265"/>
      <c r="L196" s="265" t="str">
        <f ca="1">IF($B189&lt;&gt;"",IF(AND($B189="Missing Player",$G200=2,$J200=2),0,IF(AND($B191="Missing Player",$G200=2,$J200=2),11,"")),"")</f>
        <v/>
      </c>
      <c r="M196" s="262" t="str">
        <f ca="1">IF(OR(AND($B196&lt;&gt;"",$B197&lt;&gt;"",$B196=$B197),AND($B198&lt;&gt;"",$B199&lt;&gt;"",$B198=$B199)),"Invalid Partner","")</f>
        <v/>
      </c>
      <c r="N196" s="263"/>
      <c r="O196" s="263"/>
      <c r="P196" s="264"/>
      <c r="Q196" s="138" t="str">
        <f ca="1">IF(L196=L198,IF(K196=K198,IF(J196&lt;&gt;"",IF(J196&gt;J198,"W","L"),""),IF(K196&gt;K198,"W","L")),IF(L196&gt;L198,"W","L"))</f>
        <v/>
      </c>
      <c r="S196" s="24"/>
      <c r="T196" s="26"/>
    </row>
    <row r="197" spans="1:32" ht="12.75" customHeight="1">
      <c r="A197" s="324"/>
      <c r="B197" s="308" t="str">
        <f ca="1">IF($B189="Missing Player",$B189,"")</f>
        <v/>
      </c>
      <c r="C197" s="309"/>
      <c r="D197" s="309"/>
      <c r="E197" s="309"/>
      <c r="F197" s="309"/>
      <c r="G197" s="310"/>
      <c r="H197" s="270"/>
      <c r="I197" s="270"/>
      <c r="J197" s="270"/>
      <c r="K197" s="270"/>
      <c r="L197" s="270"/>
      <c r="M197" s="262"/>
      <c r="N197" s="263"/>
      <c r="O197" s="263"/>
      <c r="P197" s="264"/>
      <c r="Q197" s="139" t="str">
        <f ca="1">IF($Q196&lt;&gt;"",IF($B199&lt;&gt;"Missing Player",IF($Q196="W",IF(SUM(IF($H196&gt;$H198,1,0),IF($I196&gt;$I198,1,0),IF($J196&gt;$J198,1,0),IF($K196&gt;$K198,1,0),IF($L196&gt;$L198,1,0))&lt;&gt;3,"Error",""),""),""),"")</f>
        <v/>
      </c>
      <c r="R197" s="328" t="str">
        <f>$A163</f>
        <v/>
      </c>
      <c r="S197" s="328"/>
      <c r="T197" s="328"/>
      <c r="U197" s="328"/>
      <c r="V197" s="328"/>
      <c r="W197" s="328"/>
      <c r="X197" s="256" t="str">
        <f>CONCATENATE("(",$B162," vs ",$K162,")")</f>
        <v>(C vs D)</v>
      </c>
      <c r="Y197" s="256"/>
      <c r="Z197" s="328" t="str">
        <f>$J163</f>
        <v/>
      </c>
      <c r="AA197" s="328"/>
      <c r="AB197" s="328"/>
      <c r="AC197" s="328"/>
      <c r="AD197" s="328"/>
      <c r="AE197" s="328"/>
      <c r="AF197" s="43"/>
    </row>
    <row r="198" spans="1:32" ht="12.75" customHeight="1">
      <c r="A198" s="325" t="str">
        <f>K162</f>
        <v>D</v>
      </c>
      <c r="B198" s="311" t="str">
        <f ca="1">IF($B170&lt;&gt;"",$B170,"")</f>
        <v/>
      </c>
      <c r="C198" s="312"/>
      <c r="D198" s="312"/>
      <c r="E198" s="312"/>
      <c r="F198" s="312"/>
      <c r="G198" s="313"/>
      <c r="H198" s="265"/>
      <c r="I198" s="265"/>
      <c r="J198" s="265"/>
      <c r="K198" s="265"/>
      <c r="L198" s="265" t="str">
        <f ca="1">IF($B191&lt;&gt;"",IF(AND($B191="Missing Player",$G200=2,$J200=2),0,IF(AND($B189="Missing Player",$G200=2,$J200=2),11,"")),"")</f>
        <v/>
      </c>
      <c r="M198" s="267" t="s">
        <v>1237</v>
      </c>
      <c r="N198" s="268"/>
      <c r="O198" s="268"/>
      <c r="P198" s="269"/>
      <c r="Q198" s="138" t="str">
        <f ca="1">IF(Q196&lt;&gt;"",IF(Q196="W","L","W"),"")</f>
        <v/>
      </c>
      <c r="R198" s="43"/>
      <c r="S198" s="43"/>
      <c r="T198" s="43"/>
      <c r="U198" s="43"/>
      <c r="V198" s="43"/>
      <c r="W198" s="43"/>
      <c r="X198" s="43"/>
      <c r="Y198" s="43"/>
      <c r="Z198" s="43"/>
      <c r="AA198" s="43"/>
      <c r="AB198" s="43"/>
      <c r="AC198" s="43"/>
      <c r="AD198" s="43"/>
      <c r="AE198" s="43"/>
      <c r="AF198" s="43"/>
    </row>
    <row r="199" spans="1:32" ht="12.75" customHeight="1">
      <c r="A199" s="324"/>
      <c r="B199" s="308" t="str">
        <f ca="1">IF($B191="Missing Player",$B191,"")</f>
        <v/>
      </c>
      <c r="C199" s="309"/>
      <c r="D199" s="309"/>
      <c r="E199" s="309"/>
      <c r="F199" s="309"/>
      <c r="G199" s="310"/>
      <c r="H199" s="270"/>
      <c r="I199" s="270"/>
      <c r="J199" s="266"/>
      <c r="K199" s="266"/>
      <c r="L199" s="266"/>
      <c r="M199" s="267"/>
      <c r="N199" s="268"/>
      <c r="O199" s="268"/>
      <c r="P199" s="269"/>
      <c r="Q199" s="139" t="str">
        <f ca="1">IF($Q198&lt;&gt;"",IF($B197&lt;&gt;"Missing Player",IF($Q198="W",IF(SUM(IF($H198&gt;$H196,1,0),IF($I198&gt;$I196,1,0),IF($J198&gt;$J196,1,0),IF($K198&gt;$K196,1,0),IF($L198&gt;$L196,1,0))&lt;&gt;3,"Error",""),""),""),"")</f>
        <v/>
      </c>
      <c r="R199" s="43" t="str">
        <f>A187</f>
        <v>4th Singles</v>
      </c>
      <c r="S199" s="43"/>
      <c r="T199" s="43"/>
      <c r="U199" s="43"/>
      <c r="V199" s="43"/>
      <c r="W199" s="43"/>
      <c r="X199" s="43"/>
      <c r="Y199" s="43"/>
      <c r="Z199" s="43"/>
      <c r="AA199" s="43"/>
      <c r="AB199" s="43"/>
      <c r="AC199" s="43"/>
      <c r="AD199" s="43"/>
      <c r="AE199" s="43"/>
      <c r="AF199" s="43"/>
    </row>
    <row r="200" spans="1:32" ht="12.75" customHeight="1">
      <c r="G200" s="66">
        <f ca="1">COUNTIF($Q168:$Q168,"W")+COUNTIF($Q175:$Q175,"W")+COUNTIF($Q182:$Q182,"W")+COUNTIF($Q189:$Q189,"W")</f>
        <v>0</v>
      </c>
      <c r="J200" s="66">
        <f ca="1">COUNTIF($Q170:$Q170,"W")+COUNTIF($Q177:$Q177,"W")+COUNTIF($Q184:$Q184,"W")+COUNTIF($Q191:$Q191,"W")</f>
        <v>0</v>
      </c>
      <c r="R200" s="60" t="s">
        <v>1228</v>
      </c>
      <c r="S200" s="339" t="s">
        <v>1126</v>
      </c>
      <c r="T200" s="340"/>
      <c r="U200" s="340"/>
      <c r="V200" s="340"/>
      <c r="W200" s="340"/>
      <c r="X200" s="341"/>
      <c r="Y200" s="60">
        <v>1</v>
      </c>
      <c r="Z200" s="60">
        <v>2</v>
      </c>
      <c r="AA200" s="60">
        <v>3</v>
      </c>
      <c r="AB200" s="60">
        <v>4</v>
      </c>
      <c r="AC200" s="60">
        <v>5</v>
      </c>
      <c r="AD200" s="342"/>
      <c r="AE200" s="343"/>
      <c r="AF200" s="344"/>
    </row>
    <row r="201" spans="1:32" ht="12.75" customHeight="1" thickBot="1">
      <c r="F201" s="246" t="s">
        <v>1238</v>
      </c>
      <c r="G201" s="246"/>
      <c r="H201" s="246"/>
      <c r="I201" s="246"/>
      <c r="J201" s="246"/>
      <c r="K201" s="246"/>
      <c r="R201" s="300" t="str">
        <f>B162</f>
        <v>C</v>
      </c>
      <c r="S201" s="331" t="str">
        <f ca="1">IF($B189&lt;&gt;"",$B189,"")</f>
        <v/>
      </c>
      <c r="T201" s="353"/>
      <c r="U201" s="353"/>
      <c r="V201" s="353"/>
      <c r="W201" s="353"/>
      <c r="X201" s="354"/>
      <c r="Y201" s="329"/>
      <c r="Z201" s="329"/>
      <c r="AA201" s="351"/>
      <c r="AB201" s="351"/>
      <c r="AC201" s="351"/>
      <c r="AD201" s="345"/>
      <c r="AE201" s="346"/>
      <c r="AF201" s="347"/>
    </row>
    <row r="202" spans="1:32" ht="12.75" customHeight="1">
      <c r="A202" s="22"/>
      <c r="B202" s="22"/>
      <c r="C202" s="22"/>
      <c r="D202" s="22"/>
      <c r="E202" s="22"/>
      <c r="G202" s="304" t="str">
        <f>B162</f>
        <v>C</v>
      </c>
      <c r="H202" s="305"/>
      <c r="I202" s="302" t="str">
        <f>K162</f>
        <v>D</v>
      </c>
      <c r="J202" s="303"/>
      <c r="L202" s="22"/>
      <c r="M202" s="22"/>
      <c r="N202" s="22"/>
      <c r="O202" s="22"/>
      <c r="P202" s="22"/>
      <c r="R202" s="301"/>
      <c r="S202" s="355"/>
      <c r="T202" s="356"/>
      <c r="U202" s="356"/>
      <c r="V202" s="356"/>
      <c r="W202" s="356"/>
      <c r="X202" s="357"/>
      <c r="Y202" s="338"/>
      <c r="Z202" s="338"/>
      <c r="AA202" s="352"/>
      <c r="AB202" s="352"/>
      <c r="AC202" s="352"/>
      <c r="AD202" s="348"/>
      <c r="AE202" s="349"/>
      <c r="AF202" s="350"/>
    </row>
    <row r="203" spans="1:32" ht="12.75" customHeight="1" thickBot="1">
      <c r="A203" s="2" t="s">
        <v>1228</v>
      </c>
      <c r="B203" s="53" t="str">
        <f>B162</f>
        <v>C</v>
      </c>
      <c r="C203" s="3" t="s">
        <v>1226</v>
      </c>
      <c r="F203" s="66" t="str">
        <f>CONCATENATE($B162,"-",$K162)</f>
        <v>C-D</v>
      </c>
      <c r="G203" s="320" t="str">
        <f ca="1">IF(OR(Q168&lt;&gt;"",Q175&lt;&gt;"",Q182&lt;&gt;"",Q189&lt;&gt;"",Q196&lt;&gt;""),COUNTIF(Q168:Q168,"W")+COUNTIF(Q175:Q175,"W")+COUNTIF(Q182:Q182,"W")+COUNTIF(Q189:Q189,"W")+COUNTIF(Q196:Q196,"W"),"")</f>
        <v/>
      </c>
      <c r="H203" s="321"/>
      <c r="I203" s="322" t="str">
        <f ca="1">IF(OR(Q170&lt;&gt;"",Q177&lt;&gt;"",Q184&lt;&gt;"",Q191&lt;&gt;"",Q198&lt;&gt;""),COUNTIF(Q170:Q170,"W")+COUNTIF(Q177:Q177,"W")+COUNTIF(Q184:Q184,"W")+COUNTIF(Q191:Q191,"W")+COUNTIF(Q198:Q198,"W"),"")</f>
        <v/>
      </c>
      <c r="J203" s="323"/>
      <c r="L203" s="2" t="s">
        <v>1228</v>
      </c>
      <c r="M203" s="53" t="str">
        <f>K162</f>
        <v>D</v>
      </c>
      <c r="N203" s="3" t="s">
        <v>1226</v>
      </c>
      <c r="R203" s="300" t="str">
        <f>K162</f>
        <v>D</v>
      </c>
      <c r="S203" s="331" t="str">
        <f ca="1">IF($B191&lt;&gt;"",$B191,"")</f>
        <v/>
      </c>
      <c r="T203" s="332"/>
      <c r="U203" s="332"/>
      <c r="V203" s="332"/>
      <c r="W203" s="332"/>
      <c r="X203" s="333"/>
      <c r="Y203" s="329"/>
      <c r="Z203" s="329"/>
      <c r="AA203" s="351"/>
      <c r="AB203" s="351"/>
      <c r="AC203" s="351"/>
      <c r="AD203" s="363" t="s">
        <v>1237</v>
      </c>
      <c r="AE203" s="358"/>
      <c r="AF203" s="359"/>
    </row>
    <row r="204" spans="1:32" ht="12.75" customHeight="1">
      <c r="F204" s="25" t="s">
        <v>3996</v>
      </c>
      <c r="G204" s="23"/>
      <c r="H204" s="23"/>
      <c r="I204" s="23"/>
      <c r="J204" s="23"/>
      <c r="K204" s="24"/>
      <c r="R204" s="330"/>
      <c r="S204" s="334"/>
      <c r="T204" s="335"/>
      <c r="U204" s="335"/>
      <c r="V204" s="335"/>
      <c r="W204" s="335"/>
      <c r="X204" s="336"/>
      <c r="Y204" s="330"/>
      <c r="Z204" s="330"/>
      <c r="AA204" s="330"/>
      <c r="AB204" s="330"/>
      <c r="AC204" s="330"/>
      <c r="AD204" s="360"/>
      <c r="AE204" s="361"/>
      <c r="AF204" s="362"/>
    </row>
    <row r="205" spans="1:32" ht="12.75" customHeight="1">
      <c r="R205" s="1"/>
      <c r="S205" s="110"/>
      <c r="T205" s="110"/>
      <c r="U205" s="110"/>
      <c r="V205" s="110"/>
      <c r="W205" s="110"/>
      <c r="X205" s="111"/>
      <c r="Y205" s="111"/>
      <c r="Z205" s="111"/>
      <c r="AA205" s="111"/>
    </row>
    <row r="206" spans="1:32" ht="12.75" customHeight="1">
      <c r="F206" s="246" t="s">
        <v>4929</v>
      </c>
      <c r="G206" s="246"/>
      <c r="H206" s="246"/>
      <c r="I206" s="246"/>
      <c r="R206" s="1"/>
      <c r="S206" s="110"/>
      <c r="T206" s="110"/>
      <c r="U206" s="110"/>
      <c r="V206" s="110"/>
      <c r="W206" s="110"/>
      <c r="X206" s="111"/>
      <c r="Y206" s="111"/>
      <c r="Z206" s="111"/>
      <c r="AA206" s="111"/>
    </row>
    <row r="207" spans="1:32" ht="12.75" customHeight="1">
      <c r="F207" s="246" t="s">
        <v>4930</v>
      </c>
      <c r="G207" s="246"/>
      <c r="H207" s="246"/>
      <c r="I207" s="246"/>
      <c r="R207" s="1"/>
      <c r="S207" s="110"/>
      <c r="T207" s="110"/>
      <c r="U207" s="110"/>
      <c r="V207" s="110"/>
      <c r="W207" s="110"/>
      <c r="X207" s="111"/>
      <c r="Y207" s="111"/>
      <c r="Z207" s="111"/>
      <c r="AA207" s="111"/>
    </row>
    <row r="208" spans="1:32" ht="12.75" customHeight="1">
      <c r="K208" s="281" t="s">
        <v>1244</v>
      </c>
      <c r="L208" s="281"/>
      <c r="M208" s="281"/>
      <c r="N208" s="281"/>
      <c r="O208" s="281"/>
      <c r="P208" s="281"/>
      <c r="R208" s="1"/>
      <c r="S208" s="110"/>
      <c r="T208" s="110"/>
      <c r="U208" s="110"/>
      <c r="V208" s="110"/>
      <c r="W208" s="110"/>
      <c r="X208" s="111"/>
      <c r="Y208" s="111"/>
      <c r="Z208" s="111"/>
      <c r="AA208" s="111"/>
    </row>
    <row r="209" spans="1:32" ht="12.75" customHeight="1">
      <c r="A209" s="12" t="s">
        <v>1229</v>
      </c>
      <c r="B209" s="11"/>
      <c r="C209" s="11"/>
      <c r="D209" s="11" t="str">
        <f>Draw!$B$1</f>
        <v>Enter Division Name</v>
      </c>
      <c r="E209" s="11"/>
      <c r="F209" s="7"/>
      <c r="G209" s="6"/>
      <c r="H209" s="7"/>
      <c r="I209" s="11"/>
      <c r="J209" s="11"/>
      <c r="K209" s="11"/>
      <c r="L209" s="11"/>
      <c r="M209" s="281"/>
      <c r="N209" s="281"/>
      <c r="O209" s="281"/>
      <c r="P209" s="281"/>
      <c r="R209" s="1"/>
      <c r="S209" s="110"/>
      <c r="T209" s="110"/>
      <c r="U209" s="110"/>
      <c r="V209" s="110"/>
      <c r="W209" s="110"/>
      <c r="X209" s="111"/>
      <c r="Y209" s="111"/>
      <c r="Z209" s="111"/>
      <c r="AA209" s="111"/>
    </row>
    <row r="210" spans="1:32" ht="12.75" customHeight="1">
      <c r="A210" s="2" t="s">
        <v>1230</v>
      </c>
      <c r="D210" s="43" t="str">
        <f>Draw!$D$1</f>
        <v>Enter Hosting Location (City, ST)</v>
      </c>
      <c r="J210" s="43" t="str">
        <f ca="1">$J$6</f>
        <v>[NCTTA Teams Template (v2.06).xlsx]</v>
      </c>
      <c r="R210" s="1"/>
      <c r="S210" s="110"/>
      <c r="T210" s="110"/>
      <c r="U210" s="110"/>
      <c r="V210" s="110"/>
      <c r="W210" s="110"/>
      <c r="X210" s="111"/>
      <c r="Y210" s="111"/>
      <c r="Z210" s="111"/>
      <c r="AA210" s="111"/>
    </row>
    <row r="211" spans="1:32" ht="12.75" customHeight="1">
      <c r="A211" s="2" t="s">
        <v>1231</v>
      </c>
      <c r="D211" s="337" t="str">
        <f>Draw!$P$1</f>
        <v>Enter Date</v>
      </c>
      <c r="E211" s="337"/>
      <c r="F211" s="337"/>
      <c r="G211" s="337"/>
      <c r="J211" s="280" t="str">
        <f>CHOOSE(Draw!$T$1,"Round 1, Match 5","Round 2, Match 2","Round 3, Match 1","Round 2, Match 2","Round 3, Match 1","Round 2, Match 2","Round 2, Match 2","Round 2, Match 1","Round 2, Match 1","Round 1, Match 5","Round 1, Match 5")</f>
        <v>Round 3, Match 1</v>
      </c>
      <c r="K211" s="280"/>
      <c r="L211" s="280"/>
      <c r="M211" s="276" t="str">
        <f>IF(AND($J211&lt;&gt;"",Draw!$AC$10&lt;&gt;"",Draw!$AC$13&lt;&gt;""),Draw!$AC$10+TIME(0,VALUE(MID($J211,7,FIND(",",$J211)-FIND(" ",$J211)-1)-1)*Draw!$AC$13,0),"")</f>
        <v/>
      </c>
      <c r="N211" s="276"/>
      <c r="O211" s="157" t="str">
        <f>$F254</f>
        <v>A-D</v>
      </c>
      <c r="R211" s="1"/>
      <c r="S211" s="110"/>
      <c r="T211" s="110"/>
      <c r="U211" s="110"/>
      <c r="V211" s="110"/>
      <c r="W211" s="110"/>
      <c r="X211" s="111"/>
      <c r="Y211" s="111"/>
      <c r="Z211" s="111"/>
      <c r="AA211" s="111"/>
    </row>
    <row r="212" spans="1:32" ht="12.75" customHeight="1">
      <c r="A212" s="14"/>
      <c r="B212" s="15"/>
      <c r="C212" s="15"/>
      <c r="D212" s="15"/>
      <c r="E212" s="15"/>
      <c r="F212" s="14"/>
      <c r="G212" s="14"/>
      <c r="H212" s="16"/>
      <c r="I212" s="14"/>
      <c r="J212" s="15"/>
      <c r="K212" s="15"/>
      <c r="L212" s="15"/>
      <c r="M212" s="15"/>
      <c r="N212" s="15"/>
      <c r="O212" s="364" t="str">
        <f>IF(OR(AND(VLOOKUP($B213,$AM$1:$AX$12,12,FALSE)="C",VLOOKUP($K213,$AM$1:$AX$12,12,FALSE)="C"),AND(VLOOKUP($B213,$AM$1:$AX$12,12,FALSE)="W",VLOOKUP($K213,$AM$1:$AX$12,12,FALSE)="W")),"Official",IF(AND($A214="",$J214=""),"","Scrimmage"))</f>
        <v/>
      </c>
      <c r="P212" s="364"/>
      <c r="R212" s="1"/>
      <c r="S212" s="110"/>
      <c r="T212" s="110"/>
      <c r="U212" s="110"/>
      <c r="V212" s="110"/>
      <c r="W212" s="110"/>
      <c r="X212" s="111"/>
      <c r="Y212" s="111"/>
      <c r="Z212" s="111"/>
      <c r="AA212" s="111"/>
    </row>
    <row r="213" spans="1:32" ht="12.75" customHeight="1">
      <c r="A213" s="17" t="s">
        <v>1228</v>
      </c>
      <c r="B213" s="119" t="str">
        <f>CHOOSE(Draw!$T$1,"E","C","A","D","A","C","B","A","A","E","F")</f>
        <v>A</v>
      </c>
      <c r="C213" s="135">
        <f>VLOOKUP($B213,$AM$1:$AN$12,2)</f>
        <v>1</v>
      </c>
      <c r="D213" s="13"/>
      <c r="E213" s="13"/>
      <c r="F213" s="10"/>
      <c r="H213" s="19" t="s">
        <v>1232</v>
      </c>
      <c r="J213" s="17" t="s">
        <v>1228</v>
      </c>
      <c r="K213" s="119" t="str">
        <f>CHOOSE(Draw!$T$1,"H","E","D","E","C","E","E","G","I","F","G")</f>
        <v>D</v>
      </c>
      <c r="L213" s="135">
        <f>VLOOKUP($K213,$AM$1:$AN$12,2)</f>
        <v>4</v>
      </c>
      <c r="M213" s="13"/>
      <c r="N213" s="13"/>
      <c r="O213" s="18"/>
      <c r="P213" s="274"/>
      <c r="Q213" s="275"/>
      <c r="R213" s="1"/>
      <c r="S213" s="110"/>
      <c r="T213" s="110"/>
      <c r="U213" s="110"/>
      <c r="V213" s="110"/>
      <c r="W213" s="110"/>
      <c r="X213" s="111"/>
      <c r="Y213" s="111"/>
      <c r="Z213" s="111"/>
      <c r="AA213" s="111"/>
    </row>
    <row r="214" spans="1:32" ht="12.75" customHeight="1">
      <c r="A214" s="277" t="str">
        <f>IF(VLOOKUP($B213,Draw!$A$4:$B$27,2)&lt;&gt;0,VLOOKUP($B213,Draw!$A$4:$B$27,2),"")</f>
        <v/>
      </c>
      <c r="B214" s="278"/>
      <c r="C214" s="278"/>
      <c r="D214" s="278"/>
      <c r="E214" s="278"/>
      <c r="F214" s="279"/>
      <c r="G214" s="306" t="s">
        <v>4156</v>
      </c>
      <c r="H214" s="289"/>
      <c r="I214" s="307"/>
      <c r="J214" s="277" t="str">
        <f>IF(VLOOKUP($K213,Draw!$A$4:$B$27,2)&lt;&gt;0,VLOOKUP($K213,Draw!$A$4:$B$27,2),"")</f>
        <v/>
      </c>
      <c r="K214" s="278"/>
      <c r="L214" s="278"/>
      <c r="M214" s="278"/>
      <c r="N214" s="278"/>
      <c r="O214" s="279"/>
      <c r="P214" s="15"/>
      <c r="R214" s="1"/>
      <c r="S214" s="110"/>
      <c r="T214" s="110"/>
      <c r="U214" s="110"/>
      <c r="V214" s="110"/>
      <c r="W214" s="110"/>
      <c r="X214" s="111"/>
      <c r="Y214" s="111"/>
      <c r="Z214" s="111"/>
      <c r="AA214" s="111"/>
    </row>
    <row r="215" spans="1:32" ht="12.75" customHeight="1">
      <c r="A215" s="14"/>
      <c r="B215" s="15"/>
      <c r="C215" s="15"/>
      <c r="D215" s="15"/>
      <c r="E215" s="15"/>
      <c r="F215" s="14"/>
      <c r="G215" s="288" t="str">
        <f>"Page "&amp;VALUE(RIGHT($G214,LEN($G214)-SEARCH("-",$G214)))/2</f>
        <v>Page 5</v>
      </c>
      <c r="H215" s="289"/>
      <c r="I215" s="289"/>
      <c r="J215" s="15"/>
      <c r="K215" s="15"/>
      <c r="L215" s="15"/>
      <c r="M215" s="15"/>
      <c r="N215" s="15"/>
      <c r="O215" s="15"/>
      <c r="P215" s="15"/>
      <c r="R215" s="1"/>
      <c r="S215" s="110"/>
      <c r="T215" s="110"/>
      <c r="U215" s="110"/>
      <c r="V215" s="110"/>
      <c r="W215" s="110"/>
      <c r="X215" s="111"/>
      <c r="Y215" s="111"/>
      <c r="Z215" s="111"/>
      <c r="AA215" s="111"/>
      <c r="AF215" s="27"/>
    </row>
    <row r="216" spans="1:32" ht="12.75" customHeight="1">
      <c r="A216" s="327" t="s">
        <v>1245</v>
      </c>
      <c r="B216" s="327"/>
      <c r="C216" s="327"/>
      <c r="D216" s="327"/>
      <c r="E216" s="327"/>
      <c r="F216" s="327"/>
      <c r="G216" s="327"/>
      <c r="H216" s="327"/>
      <c r="I216" s="327"/>
      <c r="J216" s="327"/>
      <c r="K216" s="327"/>
      <c r="L216" s="327"/>
      <c r="M216" s="327"/>
      <c r="N216" s="327"/>
      <c r="O216" s="327"/>
      <c r="P216" s="327"/>
      <c r="Q216" s="7"/>
      <c r="R216" s="1"/>
      <c r="S216" s="110"/>
      <c r="T216" s="110"/>
      <c r="U216" s="110"/>
      <c r="V216" s="110"/>
      <c r="W216" s="110"/>
      <c r="X216" s="111"/>
      <c r="Y216" s="111"/>
      <c r="Z216" s="111"/>
      <c r="AA216" s="111"/>
      <c r="AF216" s="20"/>
    </row>
    <row r="217" spans="1:32" ht="12.75" customHeight="1">
      <c r="A217" s="21" t="s">
        <v>1233</v>
      </c>
      <c r="H217" s="136" t="str">
        <f>IF($Q219&lt;&gt;"",IF(AND(AND($H219&gt;-1,$H221&gt;-1),OR($H219&gt;10,$H221&gt;10),ABS($H219-$H221)&gt;1,IF(OR($H219&gt;11,$H221&gt;11),ABS($H219-$H221)=2,TRUE),$H219=INT($H219),$H221=INT($H221)),"","Error"),"")</f>
        <v/>
      </c>
      <c r="I217" s="136" t="str">
        <f>IF($Q219&lt;&gt;"",IF(AND(AND($I219&gt;-1,$I221&gt;-1),OR($I219&gt;10,$I221&gt;10),ABS($I219-$I221)&gt;1,IF(OR($I219&gt;11,$I221&gt;11),ABS($I219-$I221)=2,TRUE),$I219=INT($I219),$I221=INT($I221)),"","Error"),"")</f>
        <v/>
      </c>
      <c r="J217" s="136" t="str">
        <f>IF($Q219&lt;&gt;"",IF(AND(AND($J219&gt;-1,$J221&gt;-1),OR($J219&gt;10,$J221&gt;10),ABS($J219-$J221)&gt;1,IF(OR($J219&gt;11,$J221&gt;11),ABS($J219-$J221)=2,TRUE),$J219=INT($J219),$J221=INT($J221)),"","Error"),"")</f>
        <v/>
      </c>
      <c r="K217" s="136" t="str">
        <f>IF($Q219&lt;&gt;"",IF(AND($K219&lt;&gt;"",$K221&lt;&gt;""), IF(AND(AND($K219&gt;-1,$K221&gt;-1),OR($K219&gt;10,$K221&gt;10),ABS($K219-$K221)&gt;1,IF(OR($K219&gt;11,$K221&gt;11),ABS($K219-$K221)=2,TRUE),$K219=INT($K219),$K221=INT($K221)),"","Error"),""),"")</f>
        <v/>
      </c>
      <c r="L217" s="136" t="str">
        <f>IF($Q219&lt;&gt;"",IF(AND($L219&lt;&gt;"",$L221&lt;&gt;""), IF(AND(AND($L219&gt;-1,$L221&gt;-1),OR($L219&gt;10,$L221&gt;10),ABS($L219-$L221)&gt;1,IF(OR($L219&gt;11,$L221&gt;11),ABS($L219-$L221)=2,TRUE),$L219=INT($L219),$L221=INT($L221)),"","Error"),""),"")</f>
        <v/>
      </c>
      <c r="R217" s="1"/>
      <c r="S217" s="110"/>
      <c r="T217" s="110"/>
      <c r="U217" s="110"/>
      <c r="V217" s="110"/>
      <c r="W217" s="110"/>
      <c r="X217" s="111"/>
      <c r="Y217" s="111"/>
      <c r="Z217" s="111"/>
      <c r="AA217" s="111"/>
    </row>
    <row r="218" spans="1:32" ht="12.75" customHeight="1">
      <c r="A218" s="5" t="s">
        <v>1228</v>
      </c>
      <c r="B218" s="290" t="s">
        <v>1126</v>
      </c>
      <c r="C218" s="291"/>
      <c r="D218" s="291"/>
      <c r="E218" s="291"/>
      <c r="F218" s="291"/>
      <c r="G218" s="292"/>
      <c r="H218" s="5">
        <v>1</v>
      </c>
      <c r="I218" s="5">
        <v>2</v>
      </c>
      <c r="J218" s="5">
        <v>3</v>
      </c>
      <c r="K218" s="5">
        <v>4</v>
      </c>
      <c r="L218" s="5">
        <v>5</v>
      </c>
      <c r="M218" s="271"/>
      <c r="N218" s="272"/>
      <c r="O218" s="272"/>
      <c r="P218" s="273"/>
      <c r="R218" s="1"/>
      <c r="S218" s="110"/>
      <c r="T218" s="110"/>
      <c r="U218" s="110"/>
      <c r="V218" s="110"/>
      <c r="W218" s="110"/>
      <c r="X218" s="111"/>
      <c r="Y218" s="111"/>
      <c r="Z218" s="111"/>
      <c r="AA218" s="111"/>
    </row>
    <row r="219" spans="1:32" ht="12.75" customHeight="1">
      <c r="A219" s="300" t="str">
        <f>B213</f>
        <v>A</v>
      </c>
      <c r="B219" s="293" t="str">
        <f ca="1">IF(AND(OFFSET($AO$1,$C213-1,8,1,1),$A214&lt;&gt;"",$J214&lt;&gt;""),CHOOSE($C213,$AO$1,$AO$2,$AO$3,$AO$4,$AO$5,$AO$6,$AO$7,$AO$8,$AO$9,$AO$10,$AO$11,$AO$12),"")</f>
        <v/>
      </c>
      <c r="C219" s="294"/>
      <c r="D219" s="294"/>
      <c r="E219" s="294"/>
      <c r="F219" s="294"/>
      <c r="G219" s="294"/>
      <c r="H219" s="265"/>
      <c r="I219" s="265"/>
      <c r="J219" s="265"/>
      <c r="K219" s="265"/>
      <c r="L219" s="265"/>
      <c r="M219" s="297"/>
      <c r="N219" s="298"/>
      <c r="O219" s="298"/>
      <c r="P219" s="299"/>
      <c r="Q219" s="137" t="str">
        <f>IF($L219=$L221,IF($K219=$K221,IF($J219&lt;&gt;"",IF($J219&gt;$J221,"W","L"),""),IF($K219&gt;$K221,"W","L")),IF($L219&gt;$L221,"W","L"))</f>
        <v/>
      </c>
      <c r="R219" s="1"/>
      <c r="S219" s="110"/>
      <c r="T219" s="110"/>
      <c r="U219" s="110"/>
      <c r="V219" s="110"/>
      <c r="W219" s="110"/>
      <c r="X219" s="111"/>
      <c r="Y219" s="111"/>
      <c r="Z219" s="111"/>
      <c r="AA219" s="111"/>
    </row>
    <row r="220" spans="1:32" ht="12.75" customHeight="1">
      <c r="A220" s="301"/>
      <c r="B220" s="295"/>
      <c r="C220" s="296"/>
      <c r="D220" s="296"/>
      <c r="E220" s="296"/>
      <c r="F220" s="296"/>
      <c r="G220" s="296"/>
      <c r="H220" s="270"/>
      <c r="I220" s="270"/>
      <c r="J220" s="270"/>
      <c r="K220" s="270"/>
      <c r="L220" s="270"/>
      <c r="M220" s="297"/>
      <c r="N220" s="298"/>
      <c r="O220" s="298"/>
      <c r="P220" s="299"/>
      <c r="Q220" s="139" t="str">
        <f>IF($Q219&lt;&gt;"",IF($Q219="W",IF(SUM(IF($H219&gt;$H221,1,0),IF($I219&gt;$I221,1,0),IF($J219&gt;$J221,1,0),IF($K219&gt;$K221,1,0),IF($L219&gt;$L221,1,0))&lt;&gt;3,"Error",""),""),"")</f>
        <v/>
      </c>
      <c r="R220" s="328" t="str">
        <f>$A214</f>
        <v/>
      </c>
      <c r="S220" s="328"/>
      <c r="T220" s="328"/>
      <c r="U220" s="328"/>
      <c r="V220" s="328"/>
      <c r="W220" s="328"/>
      <c r="X220" s="256" t="str">
        <f>CONCATENATE("(",$B213," vs ",$K213,")")</f>
        <v>(A vs D)</v>
      </c>
      <c r="Y220" s="256"/>
      <c r="Z220" s="328" t="str">
        <f>$J214</f>
        <v/>
      </c>
      <c r="AA220" s="328"/>
      <c r="AB220" s="328"/>
      <c r="AC220" s="328"/>
      <c r="AD220" s="328"/>
      <c r="AE220" s="328"/>
      <c r="AF220" s="43"/>
    </row>
    <row r="221" spans="1:32" ht="12.75" customHeight="1">
      <c r="A221" s="300" t="str">
        <f>K213</f>
        <v>D</v>
      </c>
      <c r="B221" s="293" t="str">
        <f ca="1">IF(AND(OFFSET($AO$1,$L213-1,8,1,1),$A214&lt;&gt;"",$J214&lt;&gt;""),CHOOSE($L213,$AO$1,$AO$2,$AO$3,$AO$4,$AO$5,$AO$6,$AO$7,$AO$8,$AO$9,$AO$10,$AO$11,$AO$12),"")</f>
        <v/>
      </c>
      <c r="C221" s="294"/>
      <c r="D221" s="294"/>
      <c r="E221" s="294"/>
      <c r="F221" s="294"/>
      <c r="G221" s="294"/>
      <c r="H221" s="265"/>
      <c r="I221" s="265"/>
      <c r="J221" s="265"/>
      <c r="K221" s="265"/>
      <c r="L221" s="265"/>
      <c r="M221" s="267" t="s">
        <v>1237</v>
      </c>
      <c r="N221" s="268"/>
      <c r="O221" s="268"/>
      <c r="P221" s="269"/>
      <c r="Q221" s="137" t="str">
        <f>IF($Q219&lt;&gt;"",IF($Q219="W","L","W"),"")</f>
        <v/>
      </c>
      <c r="R221" s="43"/>
      <c r="S221" s="43"/>
      <c r="T221" s="43"/>
      <c r="U221" s="43"/>
      <c r="V221" s="43"/>
      <c r="W221" s="43"/>
      <c r="X221" s="43"/>
      <c r="Y221" s="43"/>
      <c r="Z221" s="43"/>
      <c r="AA221" s="43"/>
      <c r="AB221" s="43"/>
      <c r="AC221" s="43"/>
      <c r="AD221" s="43"/>
      <c r="AE221" s="43"/>
      <c r="AF221" s="43"/>
    </row>
    <row r="222" spans="1:32" ht="12.75" customHeight="1">
      <c r="A222" s="301"/>
      <c r="B222" s="295"/>
      <c r="C222" s="296"/>
      <c r="D222" s="296"/>
      <c r="E222" s="296"/>
      <c r="F222" s="296"/>
      <c r="G222" s="296"/>
      <c r="H222" s="270"/>
      <c r="I222" s="270"/>
      <c r="J222" s="266"/>
      <c r="K222" s="266"/>
      <c r="L222" s="266"/>
      <c r="M222" s="267"/>
      <c r="N222" s="268"/>
      <c r="O222" s="268"/>
      <c r="P222" s="269"/>
      <c r="Q222" s="139" t="str">
        <f>IF($Q221&lt;&gt;"",IF($Q221="W",IF(SUM(IF($H221&gt;$H219,1,0),IF($I221&gt;$I219,1,0),IF($J221&gt;$J219,1,0),IF($K221&gt;$K219,1,0),IF($L221&gt;$L219,1,0))&lt;&gt;3,"Error",""),""),"")</f>
        <v/>
      </c>
      <c r="R222" s="43" t="str">
        <f>$A224</f>
        <v>2nd Singles</v>
      </c>
      <c r="S222" s="43"/>
      <c r="T222" s="43"/>
      <c r="U222" s="43"/>
      <c r="V222" s="43"/>
      <c r="W222" s="43"/>
      <c r="X222" s="43"/>
      <c r="Y222" s="43"/>
      <c r="Z222" s="43"/>
      <c r="AA222" s="43"/>
      <c r="AB222" s="43"/>
      <c r="AC222" s="43"/>
      <c r="AD222" s="43"/>
      <c r="AE222" s="43"/>
      <c r="AF222" s="43"/>
    </row>
    <row r="223" spans="1:32" ht="12.75" customHeight="1">
      <c r="Q223" s="7"/>
      <c r="R223" s="60" t="s">
        <v>1228</v>
      </c>
      <c r="S223" s="339" t="s">
        <v>1126</v>
      </c>
      <c r="T223" s="340"/>
      <c r="U223" s="340"/>
      <c r="V223" s="340"/>
      <c r="W223" s="340"/>
      <c r="X223" s="341"/>
      <c r="Y223" s="60">
        <v>1</v>
      </c>
      <c r="Z223" s="60">
        <v>2</v>
      </c>
      <c r="AA223" s="60">
        <v>3</v>
      </c>
      <c r="AB223" s="60">
        <v>4</v>
      </c>
      <c r="AC223" s="60">
        <v>5</v>
      </c>
      <c r="AD223" s="342"/>
      <c r="AE223" s="343"/>
      <c r="AF223" s="344"/>
    </row>
    <row r="224" spans="1:32" ht="12.75" customHeight="1">
      <c r="A224" s="21" t="s">
        <v>1234</v>
      </c>
      <c r="H224" s="136" t="str">
        <f>IF($Q226&lt;&gt;"",IF(AND(AND($H226&gt;-1,$H228&gt;-1),OR($H226&gt;10,$H228&gt;10),ABS($H226-$H228)&gt;1,IF(OR($H226&gt;11,$H228&gt;11),ABS($H226-$H228)=2,TRUE),$H226=INT($H226),$H228=INT($H228)),"","Error"),"")</f>
        <v/>
      </c>
      <c r="I224" s="136" t="str">
        <f>IF($Q226&lt;&gt;"",IF(AND(AND($I226&gt;-1,$I228&gt;-1),OR($I226&gt;10,$I228&gt;10),ABS($I226-$I228)&gt;1,IF(OR($I226&gt;11,$I228&gt;11),ABS($I226-$I228)=2,TRUE),$I226=INT($I226),$I228=INT($I228)),"","Error"),"")</f>
        <v/>
      </c>
      <c r="J224" s="136" t="str">
        <f>IF($Q226&lt;&gt;"",IF(AND(AND($J226&gt;-1,$J228&gt;-1),OR($J226&gt;10,$J228&gt;10),ABS($J226-$J228)&gt;1,IF(OR($J226&gt;11,$J228&gt;11),ABS($J226-$J228)=2,TRUE),$J226=INT($J226),$J228=INT($J228)),"","Error"),"")</f>
        <v/>
      </c>
      <c r="K224" s="136" t="str">
        <f>IF($Q226&lt;&gt;"",IF(AND($K226&lt;&gt;"",$K228&lt;&gt;""), IF(AND(AND($K226&gt;-1,$K228&gt;-1),OR($K226&gt;10,$K228&gt;10),ABS($K226-$K228)&gt;1,IF(OR($K226&gt;11,$K228&gt;11),ABS($K226-$K228)=2,TRUE),$K226=INT($K226),$K228=INT($K228)),"","Error"),""),"")</f>
        <v/>
      </c>
      <c r="L224" s="136" t="str">
        <f>IF($Q226&lt;&gt;"",IF(AND($L226&lt;&gt;"",$L228&lt;&gt;""), IF(AND(AND($L226&gt;-1,$L228&gt;-1),OR($L226&gt;10,$L228&gt;10),ABS($L226-$L228)&gt;1,IF(OR($L226&gt;11,$L228&gt;11),ABS($L226-$L228)=2,TRUE),$L226=INT($L226),$L228=INT($L228)),"","Error"),""),"")</f>
        <v/>
      </c>
      <c r="Q224" s="7"/>
      <c r="R224" s="300" t="str">
        <f>$B213</f>
        <v>A</v>
      </c>
      <c r="S224" s="331" t="str">
        <f ca="1">IF($B226&lt;&gt;"",$B226,"")</f>
        <v/>
      </c>
      <c r="T224" s="332"/>
      <c r="U224" s="332"/>
      <c r="V224" s="332"/>
      <c r="W224" s="332"/>
      <c r="X224" s="333"/>
      <c r="Y224" s="329"/>
      <c r="Z224" s="329"/>
      <c r="AA224" s="329"/>
      <c r="AB224" s="329"/>
      <c r="AC224" s="329"/>
      <c r="AD224" s="345"/>
      <c r="AE224" s="358"/>
      <c r="AF224" s="359"/>
    </row>
    <row r="225" spans="1:32" ht="12.75" customHeight="1">
      <c r="A225" s="5" t="s">
        <v>1228</v>
      </c>
      <c r="B225" s="290" t="s">
        <v>1126</v>
      </c>
      <c r="C225" s="291"/>
      <c r="D225" s="291"/>
      <c r="E225" s="291"/>
      <c r="F225" s="291"/>
      <c r="G225" s="292"/>
      <c r="H225" s="5">
        <v>1</v>
      </c>
      <c r="I225" s="5">
        <v>2</v>
      </c>
      <c r="J225" s="5">
        <v>3</v>
      </c>
      <c r="K225" s="5">
        <v>4</v>
      </c>
      <c r="L225" s="5">
        <v>5</v>
      </c>
      <c r="M225" s="271"/>
      <c r="N225" s="272"/>
      <c r="O225" s="272"/>
      <c r="P225" s="273"/>
      <c r="Q225" s="7"/>
      <c r="R225" s="330"/>
      <c r="S225" s="334"/>
      <c r="T225" s="335"/>
      <c r="U225" s="335"/>
      <c r="V225" s="335"/>
      <c r="W225" s="335"/>
      <c r="X225" s="336"/>
      <c r="Y225" s="330"/>
      <c r="Z225" s="330"/>
      <c r="AA225" s="330"/>
      <c r="AB225" s="330"/>
      <c r="AC225" s="330"/>
      <c r="AD225" s="360"/>
      <c r="AE225" s="361"/>
      <c r="AF225" s="362"/>
    </row>
    <row r="226" spans="1:32" ht="12.75" customHeight="1">
      <c r="A226" s="300" t="str">
        <f>B213</f>
        <v>A</v>
      </c>
      <c r="B226" s="293" t="str">
        <f ca="1">IF(AND(OFFSET($AO$1,$C213-1,8,1,1),$A214&lt;&gt;"",$J214&lt;&gt;""),CHOOSE($C213,$AP$1,$AP$2,$AP$3,$AP$4,$AP$5,$AP$6,$AP$7,$AP$8,$AP$9,$AP$10,$AP$11,$AP$12),"")</f>
        <v/>
      </c>
      <c r="C226" s="294"/>
      <c r="D226" s="294"/>
      <c r="E226" s="294"/>
      <c r="F226" s="294"/>
      <c r="G226" s="294"/>
      <c r="H226" s="265"/>
      <c r="I226" s="265"/>
      <c r="J226" s="265"/>
      <c r="K226" s="265"/>
      <c r="L226" s="265"/>
      <c r="M226" s="262" t="str">
        <f ca="1">IF(OR(AND($B219&lt;&gt;"",$B226&lt;&gt;"",$C244&lt;=$B244),AND($B221&lt;&gt;"",$B228&lt;&gt;"",$G244&lt;=$F244)),"Invalid Lineup","")</f>
        <v/>
      </c>
      <c r="N226" s="263"/>
      <c r="O226" s="263"/>
      <c r="P226" s="264"/>
      <c r="Q226" s="137" t="str">
        <f>IF($L226=$L228,IF($K226=$K228,IF($J226&lt;&gt;"",IF($J226&gt;$J228,"W","L"),""),IF($K226&gt;$K228,"W","L")),IF($L226&gt;$L228,"W","L"))</f>
        <v/>
      </c>
      <c r="R226" s="300" t="str">
        <f>$K213</f>
        <v>D</v>
      </c>
      <c r="S226" s="331" t="str">
        <f ca="1">IF($B228&lt;&gt;"",$B228,"")</f>
        <v/>
      </c>
      <c r="T226" s="332"/>
      <c r="U226" s="332"/>
      <c r="V226" s="332"/>
      <c r="W226" s="332"/>
      <c r="X226" s="333"/>
      <c r="Y226" s="329"/>
      <c r="Z226" s="329"/>
      <c r="AA226" s="329"/>
      <c r="AB226" s="329"/>
      <c r="AC226" s="351"/>
      <c r="AD226" s="363" t="s">
        <v>1237</v>
      </c>
      <c r="AE226" s="358"/>
      <c r="AF226" s="359"/>
    </row>
    <row r="227" spans="1:32" ht="12.75" customHeight="1">
      <c r="A227" s="301"/>
      <c r="B227" s="295"/>
      <c r="C227" s="296"/>
      <c r="D227" s="296"/>
      <c r="E227" s="296"/>
      <c r="F227" s="296"/>
      <c r="G227" s="296"/>
      <c r="H227" s="270"/>
      <c r="I227" s="270"/>
      <c r="J227" s="270"/>
      <c r="K227" s="270"/>
      <c r="L227" s="270"/>
      <c r="M227" s="262"/>
      <c r="N227" s="263"/>
      <c r="O227" s="263"/>
      <c r="P227" s="264"/>
      <c r="Q227" s="139" t="str">
        <f>IF($Q226&lt;&gt;"",IF($Q226="W",IF(SUM(IF($H226&gt;$H228,1,0),IF($I226&gt;$I228,1,0),IF($J226&gt;$J228,1,0),IF($K226&gt;$K228,1,0),IF($L226&gt;$L228,1,0))&lt;&gt;3,"Error",""),""),"")</f>
        <v/>
      </c>
      <c r="R227" s="330"/>
      <c r="S227" s="334"/>
      <c r="T227" s="335"/>
      <c r="U227" s="335"/>
      <c r="V227" s="335"/>
      <c r="W227" s="335"/>
      <c r="X227" s="336"/>
      <c r="Y227" s="330"/>
      <c r="Z227" s="330"/>
      <c r="AA227" s="330"/>
      <c r="AB227" s="330"/>
      <c r="AC227" s="330"/>
      <c r="AD227" s="360"/>
      <c r="AE227" s="361"/>
      <c r="AF227" s="362"/>
    </row>
    <row r="228" spans="1:32" ht="12.75" customHeight="1">
      <c r="A228" s="300" t="str">
        <f>K213</f>
        <v>D</v>
      </c>
      <c r="B228" s="293" t="str">
        <f ca="1">IF(AND(OFFSET($AO$1,$L213-1,8,1,1),$A214&lt;&gt;"",$J214&lt;&gt;""),CHOOSE($L213,$AP$1,$AP$2,$AP$3,$AP$4,$AP$5,$AP$6,$AP$7,$AP$8,$AP$9,$AP$10,$AP$11,$AP$12),"")</f>
        <v/>
      </c>
      <c r="C228" s="294"/>
      <c r="D228" s="294"/>
      <c r="E228" s="294"/>
      <c r="F228" s="294"/>
      <c r="G228" s="294"/>
      <c r="H228" s="265"/>
      <c r="I228" s="265"/>
      <c r="J228" s="265"/>
      <c r="K228" s="265"/>
      <c r="L228" s="265"/>
      <c r="M228" s="267" t="s">
        <v>1237</v>
      </c>
      <c r="N228" s="268"/>
      <c r="O228" s="268"/>
      <c r="P228" s="269"/>
      <c r="Q228" s="137" t="str">
        <f>IF($Q226&lt;&gt;"",IF($Q226="W","L","W"),"")</f>
        <v/>
      </c>
      <c r="R228" s="20"/>
      <c r="S228" s="20"/>
      <c r="T228" s="20"/>
      <c r="U228" s="20"/>
      <c r="V228" s="20"/>
      <c r="W228" s="20"/>
      <c r="X228" s="26"/>
      <c r="Y228" s="26"/>
      <c r="Z228" s="20"/>
      <c r="AA228" s="20"/>
      <c r="AB228" s="20"/>
      <c r="AC228" s="20"/>
      <c r="AD228" s="20"/>
      <c r="AE228" s="20"/>
      <c r="AF228" s="27"/>
    </row>
    <row r="229" spans="1:32" ht="12.75" customHeight="1">
      <c r="A229" s="301"/>
      <c r="B229" s="295"/>
      <c r="C229" s="296"/>
      <c r="D229" s="296"/>
      <c r="E229" s="296"/>
      <c r="F229" s="296"/>
      <c r="G229" s="296"/>
      <c r="H229" s="270"/>
      <c r="I229" s="270"/>
      <c r="J229" s="266"/>
      <c r="K229" s="266"/>
      <c r="L229" s="266"/>
      <c r="M229" s="267"/>
      <c r="N229" s="268"/>
      <c r="O229" s="268"/>
      <c r="P229" s="269"/>
      <c r="Q229" s="139" t="str">
        <f>IF($Q228&lt;&gt;"",IF($Q228="W",IF(SUM(IF($H228&gt;$H226,1,0),IF($I228&gt;$I226,1,0),IF($J228&gt;$J226,1,0),IF($K228&gt;$K226,1,0),IF($L228&gt;$L226,1,0))&lt;&gt;3,"Error",""),""),"")</f>
        <v/>
      </c>
      <c r="R229" s="20"/>
      <c r="S229" s="20"/>
      <c r="T229" s="20"/>
      <c r="U229" s="20"/>
      <c r="V229" s="20"/>
      <c r="W229" s="20"/>
      <c r="X229" s="26"/>
      <c r="Y229" s="26"/>
      <c r="Z229" s="20"/>
      <c r="AA229" s="20"/>
      <c r="AB229" s="20"/>
      <c r="AC229" s="20"/>
      <c r="AD229" s="20"/>
      <c r="AE229" s="20"/>
      <c r="AF229" s="27"/>
    </row>
    <row r="230" spans="1:32" ht="12.75" customHeight="1">
      <c r="Q230" s="7"/>
      <c r="R230" s="20"/>
      <c r="S230" s="20"/>
      <c r="T230" s="20"/>
      <c r="U230" s="20"/>
      <c r="V230" s="20"/>
      <c r="W230" s="20"/>
      <c r="X230" s="26"/>
      <c r="Y230" s="26"/>
      <c r="Z230" s="20"/>
      <c r="AA230" s="20"/>
      <c r="AB230" s="20"/>
      <c r="AC230" s="20"/>
      <c r="AD230" s="20"/>
      <c r="AE230" s="20"/>
      <c r="AF230" s="27"/>
    </row>
    <row r="231" spans="1:32" ht="12.75" customHeight="1">
      <c r="A231" s="21" t="s">
        <v>1235</v>
      </c>
      <c r="H231" s="136" t="str">
        <f>IF($Q233&lt;&gt;"",IF(AND(AND($H233&gt;-1,$H235&gt;-1),OR($H233&gt;10,$H235&gt;10),ABS($H233-$H235)&gt;1,IF(OR($H233&gt;11,$H235&gt;11),ABS($H233-$H235)=2,TRUE),$H233=INT($H233),$H235=INT($H235)),"","Error"),"")</f>
        <v/>
      </c>
      <c r="I231" s="136" t="str">
        <f>IF($Q233&lt;&gt;"",IF(AND(AND($I233&gt;-1,$I235&gt;-1),OR($I233&gt;10,$I235&gt;10),ABS($I233-$I235)&gt;1,IF(OR($I233&gt;11,$I235&gt;11),ABS($I233-$I235)=2,TRUE),$I233=INT($I233),$I235=INT($I235)),"","Error"),"")</f>
        <v/>
      </c>
      <c r="J231" s="136" t="str">
        <f>IF($Q233&lt;&gt;"",IF(AND(AND($J233&gt;-1,$J235&gt;-1),OR($J233&gt;10,$J235&gt;10),ABS($J233-$J235)&gt;1,IF(OR($J233&gt;11,$J235&gt;11),ABS($J233-$J235)=2,TRUE),$J233=INT($J233),$J235=INT($J235)),"","Error"),"")</f>
        <v/>
      </c>
      <c r="K231" s="136" t="str">
        <f>IF($Q233&lt;&gt;"",IF(AND($K233&lt;&gt;"",$K235&lt;&gt;""), IF(AND(AND($K233&gt;-1,$K235&gt;-1),OR($K233&gt;10,$K235&gt;10),ABS($K233-$K235)&gt;1,IF(OR($K233&gt;11,$K235&gt;11),ABS($K233-$K235)=2,TRUE),$K233=INT($K233),$K235=INT($K235)),"","Error"),""),"")</f>
        <v/>
      </c>
      <c r="L231" s="136" t="str">
        <f>IF($Q233&lt;&gt;"",IF(AND($L233&lt;&gt;"",$L235&lt;&gt;""), IF(AND(AND($L233&gt;-1,$L235&gt;-1),OR($L233&gt;10,$L235&gt;10),ABS($L233-$L235)&gt;1,IF(OR($L233&gt;11,$L235&gt;11),ABS($L233-$L235)=2,TRUE),$L233=INT($L233),$L235=INT($L235)),"","Error"),""),"")</f>
        <v/>
      </c>
      <c r="Q231" s="7"/>
      <c r="R231" s="20"/>
      <c r="S231" s="20"/>
      <c r="T231" s="20"/>
      <c r="U231" s="20"/>
      <c r="V231" s="20"/>
      <c r="W231" s="20"/>
      <c r="X231" s="26"/>
      <c r="Y231" s="26"/>
      <c r="Z231" s="20"/>
      <c r="AA231" s="20"/>
      <c r="AB231" s="20"/>
      <c r="AC231" s="20"/>
      <c r="AD231" s="20"/>
      <c r="AE231" s="20"/>
      <c r="AF231" s="27"/>
    </row>
    <row r="232" spans="1:32" ht="12.75" customHeight="1">
      <c r="A232" s="5" t="s">
        <v>1228</v>
      </c>
      <c r="B232" s="290" t="s">
        <v>1126</v>
      </c>
      <c r="C232" s="291"/>
      <c r="D232" s="291"/>
      <c r="E232" s="291"/>
      <c r="F232" s="291"/>
      <c r="G232" s="292"/>
      <c r="H232" s="5">
        <v>1</v>
      </c>
      <c r="I232" s="5">
        <v>2</v>
      </c>
      <c r="J232" s="5">
        <v>3</v>
      </c>
      <c r="K232" s="5">
        <v>4</v>
      </c>
      <c r="L232" s="5">
        <v>5</v>
      </c>
      <c r="M232" s="271"/>
      <c r="N232" s="272"/>
      <c r="O232" s="272"/>
      <c r="P232" s="273"/>
      <c r="Q232" s="7"/>
      <c r="R232" s="20"/>
      <c r="S232" s="20"/>
      <c r="T232" s="20"/>
      <c r="U232" s="20"/>
      <c r="V232" s="20"/>
      <c r="W232" s="20"/>
      <c r="X232" s="26"/>
      <c r="Y232" s="26"/>
      <c r="Z232" s="20"/>
      <c r="AA232" s="20"/>
      <c r="AB232" s="20"/>
      <c r="AC232" s="20"/>
      <c r="AD232" s="20"/>
      <c r="AE232" s="20"/>
      <c r="AF232" s="27"/>
    </row>
    <row r="233" spans="1:32" ht="12.75" customHeight="1">
      <c r="A233" s="300" t="str">
        <f>B213</f>
        <v>A</v>
      </c>
      <c r="B233" s="293" t="str">
        <f ca="1">IF(AND(OFFSET($AO$1,$C213-1,8,1,1),$A214&lt;&gt;"",$J214&lt;&gt;""),CHOOSE($C213,$AQ$1,$AQ$2,$AQ$3,$AQ$4,$AQ$5,$AQ$6,$AQ$7,$AQ$8,$AQ$9,$AQ$10,$AQ$11,$AQ$12),"")</f>
        <v/>
      </c>
      <c r="C233" s="294"/>
      <c r="D233" s="294"/>
      <c r="E233" s="294"/>
      <c r="F233" s="294"/>
      <c r="G233" s="294"/>
      <c r="H233" s="265"/>
      <c r="I233" s="265"/>
      <c r="J233" s="265"/>
      <c r="K233" s="265"/>
      <c r="L233" s="265"/>
      <c r="M233" s="262" t="str">
        <f ca="1">IF(OR(AND($B226&lt;&gt;"",$B233&lt;&gt;"",$D244&lt;=$C244),AND($B228&lt;&gt;"",$B235&lt;&gt;"",$H244&lt;=$G244)),"Invalid Lineup","")</f>
        <v/>
      </c>
      <c r="N233" s="263"/>
      <c r="O233" s="263"/>
      <c r="P233" s="264"/>
      <c r="Q233" s="137" t="str">
        <f>IF($L233=$L235,IF($K233=$K235,IF($J233&lt;&gt;"",IF($J233&gt;$J235,"W","L"),""),IF($K233&gt;$K235,"W","L")),IF($L233&gt;$L235,"W","L"))</f>
        <v/>
      </c>
      <c r="R233" s="20"/>
      <c r="S233" s="20"/>
      <c r="T233" s="20"/>
      <c r="U233" s="20"/>
      <c r="V233" s="20"/>
      <c r="W233" s="20"/>
      <c r="X233" s="26"/>
      <c r="Y233" s="26"/>
      <c r="Z233" s="20"/>
      <c r="AA233" s="20"/>
      <c r="AB233" s="20"/>
      <c r="AC233" s="20"/>
      <c r="AD233" s="20"/>
      <c r="AE233" s="20"/>
      <c r="AF233" s="27"/>
    </row>
    <row r="234" spans="1:32" ht="12.75" customHeight="1">
      <c r="A234" s="301"/>
      <c r="B234" s="295"/>
      <c r="C234" s="296"/>
      <c r="D234" s="296"/>
      <c r="E234" s="296"/>
      <c r="F234" s="296"/>
      <c r="G234" s="296"/>
      <c r="H234" s="270"/>
      <c r="I234" s="270"/>
      <c r="J234" s="270"/>
      <c r="K234" s="270"/>
      <c r="L234" s="270"/>
      <c r="M234" s="262"/>
      <c r="N234" s="263"/>
      <c r="O234" s="263"/>
      <c r="P234" s="264"/>
      <c r="Q234" s="139" t="str">
        <f>IF($Q233&lt;&gt;"",IF($Q233="W",IF(SUM(IF($H233&gt;$H235,1,0),IF($I233&gt;$I235,1,0),IF($J233&gt;$J235,1,0),IF($K233&gt;$K235,1,0),IF($L233&gt;$L235,1,0))&lt;&gt;3,"Error",""),""),"")</f>
        <v/>
      </c>
      <c r="R234" s="328" t="str">
        <f>$A214</f>
        <v/>
      </c>
      <c r="S234" s="328"/>
      <c r="T234" s="328"/>
      <c r="U234" s="328"/>
      <c r="V234" s="328"/>
      <c r="W234" s="328"/>
      <c r="X234" s="256" t="str">
        <f>CONCATENATE("(",$B213," vs ",$K213,")")</f>
        <v>(A vs D)</v>
      </c>
      <c r="Y234" s="256"/>
      <c r="Z234" s="328" t="str">
        <f>$J214</f>
        <v/>
      </c>
      <c r="AA234" s="328"/>
      <c r="AB234" s="328"/>
      <c r="AC234" s="328"/>
      <c r="AD234" s="328"/>
      <c r="AE234" s="328"/>
      <c r="AF234" s="100"/>
    </row>
    <row r="235" spans="1:32" ht="12.75" customHeight="1">
      <c r="A235" s="300" t="str">
        <f>K213</f>
        <v>D</v>
      </c>
      <c r="B235" s="293" t="str">
        <f ca="1">IF(AND(OFFSET($AO$1,$L213-1,8,1,1),$A214&lt;&gt;"",$J214&lt;&gt;""),CHOOSE($L213,$AQ$1,$AQ$2,$AQ$3,$AQ$4,$AQ$5,$AQ$6,$AQ$7,$AQ$8,$AQ$9,$AQ$10,$AQ$11,$AQ$12),"")</f>
        <v/>
      </c>
      <c r="C235" s="294"/>
      <c r="D235" s="294"/>
      <c r="E235" s="294"/>
      <c r="F235" s="294"/>
      <c r="G235" s="294"/>
      <c r="H235" s="265"/>
      <c r="I235" s="265"/>
      <c r="J235" s="265"/>
      <c r="K235" s="265"/>
      <c r="L235" s="265"/>
      <c r="M235" s="267" t="s">
        <v>1237</v>
      </c>
      <c r="N235" s="268"/>
      <c r="O235" s="268"/>
      <c r="P235" s="269"/>
      <c r="Q235" s="137" t="str">
        <f>IF($Q233&lt;&gt;"",IF($Q233="W","L","W"),"")</f>
        <v/>
      </c>
      <c r="R235" s="100"/>
      <c r="S235" s="100"/>
      <c r="T235" s="100"/>
      <c r="U235" s="100"/>
      <c r="V235" s="100"/>
      <c r="W235" s="100"/>
      <c r="X235" s="100"/>
      <c r="Y235" s="100"/>
      <c r="Z235" s="100"/>
      <c r="AA235" s="100"/>
      <c r="AB235" s="100"/>
      <c r="AC235" s="100"/>
      <c r="AD235" s="100"/>
      <c r="AE235" s="100"/>
      <c r="AF235" s="100"/>
    </row>
    <row r="236" spans="1:32" ht="12.75" customHeight="1">
      <c r="A236" s="301"/>
      <c r="B236" s="295"/>
      <c r="C236" s="296"/>
      <c r="D236" s="296"/>
      <c r="E236" s="296"/>
      <c r="F236" s="296"/>
      <c r="G236" s="296"/>
      <c r="H236" s="270"/>
      <c r="I236" s="270"/>
      <c r="J236" s="266"/>
      <c r="K236" s="266"/>
      <c r="L236" s="266"/>
      <c r="M236" s="267"/>
      <c r="N236" s="268"/>
      <c r="O236" s="268"/>
      <c r="P236" s="269"/>
      <c r="Q236" s="139" t="str">
        <f>IF($Q235&lt;&gt;"",IF($Q235="W",IF(SUM(IF($H235&gt;$H233,1,0),IF($I235&gt;$I233,1,0),IF($J235&gt;$J233,1,0),IF($K235&gt;$K233,1,0),IF($L235&gt;$L233,1,0))&lt;&gt;3,"Error",""),""),"")</f>
        <v/>
      </c>
      <c r="R236" s="43" t="str">
        <f>$A231</f>
        <v>3rd Singles</v>
      </c>
      <c r="S236" s="43"/>
      <c r="T236" s="43"/>
      <c r="U236" s="43"/>
      <c r="V236" s="43"/>
      <c r="W236" s="43"/>
      <c r="X236" s="43"/>
      <c r="Y236" s="43"/>
      <c r="Z236" s="43"/>
      <c r="AA236" s="43"/>
      <c r="AB236" s="43"/>
      <c r="AC236" s="43"/>
      <c r="AD236" s="43"/>
      <c r="AE236" s="43"/>
      <c r="AF236" s="43"/>
    </row>
    <row r="237" spans="1:32" ht="12.75" customHeight="1">
      <c r="Q237" s="7"/>
      <c r="R237" s="60" t="s">
        <v>1228</v>
      </c>
      <c r="S237" s="101" t="s">
        <v>1126</v>
      </c>
      <c r="T237" s="102"/>
      <c r="U237" s="102"/>
      <c r="V237" s="102"/>
      <c r="W237" s="102"/>
      <c r="X237" s="103"/>
      <c r="Y237" s="60">
        <v>1</v>
      </c>
      <c r="Z237" s="60">
        <v>2</v>
      </c>
      <c r="AA237" s="60">
        <v>3</v>
      </c>
      <c r="AB237" s="60">
        <v>4</v>
      </c>
      <c r="AC237" s="60">
        <v>5</v>
      </c>
      <c r="AD237" s="104"/>
      <c r="AE237" s="105"/>
      <c r="AF237" s="106"/>
    </row>
    <row r="238" spans="1:32" ht="12.75" customHeight="1">
      <c r="A238" s="21" t="s">
        <v>1236</v>
      </c>
      <c r="H238" s="136" t="str">
        <f ca="1">IF($Q240&lt;&gt;"",IF(AND($B240&lt;&gt;"Missing Player",$B242&lt;&gt;"Missing Player"),IF(AND(AND($H240&gt;-1,$H242&gt;-1),OR($H240&gt;10,$H242&gt;10),ABS($H240-$H242)&gt;1,IF(OR($H240&gt;11,$H242&gt;11),ABS($H240-$H242)=2,TRUE),$H240=INT($H240),$H242=INT($H242)),"","Error"),""),"")</f>
        <v/>
      </c>
      <c r="I238" s="136" t="str">
        <f ca="1">IF($Q240&lt;&gt;"",IF(AND($B240&lt;&gt;"Missing Player",$B242&lt;&gt;"Missing Player"),IF(AND(AND($I240&gt;-1,$I242&gt;-1),OR($I240&gt;10,$I242&gt;10),ABS($I240-$I242)&gt;1,IF(OR($I240&gt;11,$I242&gt;11),ABS($I240-$I242)=2,TRUE),$I240=INT($I240),$I242=INT($I242)),"","Error"),""),"")</f>
        <v/>
      </c>
      <c r="J238" s="136" t="str">
        <f ca="1">IF($Q240&lt;&gt;"",IF(AND($B240&lt;&gt;"Missing Player",$B242&lt;&gt;"Missing Player"),IF(AND(AND($J240&gt;-1,$J242&gt;-1),OR($J240&gt;10,$J242&gt;10),ABS($J240-$J242)&gt;1,IF(OR($J240&gt;11,$J242&gt;11),ABS($J240-$J242)=2,TRUE),$J240=INT($J240),$J242=INT($J242)),"","Error"),""),"")</f>
        <v/>
      </c>
      <c r="K238" s="136" t="str">
        <f ca="1">IF($Q240&lt;&gt;"",IF(AND($K240&lt;&gt;"",$K242&lt;&gt;""), IF(AND(AND($K240&gt;-1,$K242&gt;-1),OR($K240&gt;10,$K242&gt;10),ABS($K240-$K242)&gt;1,IF(OR($K240&gt;11,$K242&gt;11),ABS($K240-$K242)=2,TRUE),$K240=INT($K240),$K242=INT($K242)),"","Error"),""),"")</f>
        <v/>
      </c>
      <c r="L238" s="136" t="str">
        <f ca="1">IF($Q240&lt;&gt;"",IF(AND($L240&lt;&gt;"",$L242&lt;&gt;""), IF(AND(AND($L240&gt;-1,$L242&gt;-1),OR($L240&gt;10,$L242&gt;10),ABS($L240-$L242)&gt;1,IF(OR($L240&gt;11,$L242&gt;11),ABS($L240-$L242)=2,TRUE),$L240=INT($L240),$L242=INT($L242)),"","Error"),""),"")</f>
        <v/>
      </c>
      <c r="Q238" s="7"/>
      <c r="R238" s="300" t="str">
        <f>$B213</f>
        <v>A</v>
      </c>
      <c r="S238" s="331" t="str">
        <f ca="1">IF($B233&lt;&gt;"",$B233,"")</f>
        <v/>
      </c>
      <c r="T238" s="332"/>
      <c r="U238" s="332"/>
      <c r="V238" s="332"/>
      <c r="W238" s="332"/>
      <c r="X238" s="333"/>
      <c r="Y238" s="329"/>
      <c r="Z238" s="329"/>
      <c r="AA238" s="329"/>
      <c r="AB238" s="329"/>
      <c r="AC238" s="329"/>
      <c r="AD238" s="345"/>
      <c r="AE238" s="358"/>
      <c r="AF238" s="359"/>
    </row>
    <row r="239" spans="1:32" ht="12.75" customHeight="1">
      <c r="A239" s="5" t="s">
        <v>1228</v>
      </c>
      <c r="B239" s="290" t="s">
        <v>1126</v>
      </c>
      <c r="C239" s="291"/>
      <c r="D239" s="291"/>
      <c r="E239" s="291"/>
      <c r="F239" s="291"/>
      <c r="G239" s="292"/>
      <c r="H239" s="5">
        <v>1</v>
      </c>
      <c r="I239" s="5">
        <v>2</v>
      </c>
      <c r="J239" s="5">
        <v>3</v>
      </c>
      <c r="K239" s="5">
        <v>4</v>
      </c>
      <c r="L239" s="5">
        <v>5</v>
      </c>
      <c r="M239" s="271"/>
      <c r="N239" s="272"/>
      <c r="O239" s="272"/>
      <c r="P239" s="273"/>
      <c r="Q239" s="7"/>
      <c r="R239" s="330"/>
      <c r="S239" s="334"/>
      <c r="T239" s="335"/>
      <c r="U239" s="335"/>
      <c r="V239" s="335"/>
      <c r="W239" s="335"/>
      <c r="X239" s="336"/>
      <c r="Y239" s="330"/>
      <c r="Z239" s="330"/>
      <c r="AA239" s="330"/>
      <c r="AB239" s="330"/>
      <c r="AC239" s="330"/>
      <c r="AD239" s="360"/>
      <c r="AE239" s="361"/>
      <c r="AF239" s="362"/>
    </row>
    <row r="240" spans="1:32" ht="12.75" customHeight="1">
      <c r="A240" s="300" t="str">
        <f>B213</f>
        <v>A</v>
      </c>
      <c r="B240" s="293" t="str">
        <f ca="1">IF(AND(OFFSET($AO$1,$C213-1,8,1,1),$A214&lt;&gt;"",$J214&lt;&gt;""),CHOOSE($C213,$AR$1,$AR$2,$AR$3,$AR$4,$AR$5,$AR$6,$AR$7,$AR$8,$AR$9,$AR$10,$AR$11,$AR$12),"")</f>
        <v/>
      </c>
      <c r="C240" s="294"/>
      <c r="D240" s="294"/>
      <c r="E240" s="294"/>
      <c r="F240" s="294"/>
      <c r="G240" s="294"/>
      <c r="H240" s="265"/>
      <c r="I240" s="265"/>
      <c r="J240" s="265"/>
      <c r="K240" s="265"/>
      <c r="L240" s="265" t="str">
        <f ca="1">IF(AND($B240&lt;&gt;"",$Q219&lt;&gt;""),IF($B240="Missing Player",0,IF($B242="Missing Player",11,"")),"")</f>
        <v/>
      </c>
      <c r="M240" s="262" t="str">
        <f ca="1">IF(OR(AND($B233&lt;&gt;"",$B240&lt;&gt;"",$E244&lt;=$D244),AND($B235&lt;&gt;"",$B242&lt;&gt;"",$I244&lt;=$H244)),"Invalid Lineup","")</f>
        <v/>
      </c>
      <c r="N240" s="263"/>
      <c r="O240" s="263"/>
      <c r="P240" s="264"/>
      <c r="Q240" s="137" t="str">
        <f ca="1">IF($L240=$L242,IF($K240=$K242,IF($J240&lt;&gt;"",IF($J240&gt;$J242,"W","L"),""),IF($K240&gt;$K242,"W","L")),IF($L240&gt;$L242,"W","L"))</f>
        <v/>
      </c>
      <c r="R240" s="300" t="str">
        <f>$K213</f>
        <v>D</v>
      </c>
      <c r="S240" s="331" t="str">
        <f ca="1">IF($B235&lt;&gt;"",$B235,"")</f>
        <v/>
      </c>
      <c r="T240" s="332"/>
      <c r="U240" s="332"/>
      <c r="V240" s="332"/>
      <c r="W240" s="332"/>
      <c r="X240" s="333"/>
      <c r="Y240" s="329"/>
      <c r="Z240" s="329"/>
      <c r="AA240" s="329"/>
      <c r="AB240" s="329"/>
      <c r="AC240" s="351"/>
      <c r="AD240" s="363" t="s">
        <v>1237</v>
      </c>
      <c r="AE240" s="358"/>
      <c r="AF240" s="359"/>
    </row>
    <row r="241" spans="1:32" ht="12.75" customHeight="1">
      <c r="A241" s="301"/>
      <c r="B241" s="295"/>
      <c r="C241" s="296"/>
      <c r="D241" s="296"/>
      <c r="E241" s="296"/>
      <c r="F241" s="296"/>
      <c r="G241" s="296"/>
      <c r="H241" s="270"/>
      <c r="I241" s="270"/>
      <c r="J241" s="270"/>
      <c r="K241" s="270"/>
      <c r="L241" s="270"/>
      <c r="M241" s="262"/>
      <c r="N241" s="263"/>
      <c r="O241" s="263"/>
      <c r="P241" s="264"/>
      <c r="Q241" s="139" t="str">
        <f ca="1">IF($Q240&lt;&gt;"",IF($B242&lt;&gt;"Missing Player",IF($Q240="W",IF(SUM(IF($H240&gt;$H242,1,0),IF($I240&gt;$I242,1,0),IF($J240&gt;$J242,1,0),IF($K240&gt;$K242,1,0),IF($L240&gt;$L242,1,0))&lt;&gt;3,"Error",""),""),""),"")</f>
        <v/>
      </c>
      <c r="R241" s="330"/>
      <c r="S241" s="334"/>
      <c r="T241" s="335"/>
      <c r="U241" s="335"/>
      <c r="V241" s="335"/>
      <c r="W241" s="335"/>
      <c r="X241" s="336"/>
      <c r="Y241" s="330"/>
      <c r="Z241" s="330"/>
      <c r="AA241" s="330"/>
      <c r="AB241" s="330"/>
      <c r="AC241" s="330"/>
      <c r="AD241" s="360"/>
      <c r="AE241" s="361"/>
      <c r="AF241" s="362"/>
    </row>
    <row r="242" spans="1:32" ht="12.75" customHeight="1">
      <c r="A242" s="300" t="str">
        <f>K213</f>
        <v>D</v>
      </c>
      <c r="B242" s="293" t="str">
        <f ca="1">IF(AND(OFFSET($AO$1,$L213-1,8,1,1),$A214&lt;&gt;"",$J214&lt;&gt;""),CHOOSE($L213,$AR$1,$AR$2,$AR$3,$AR$4,$AR$5,$AR$6,$AR$7,$AR$8,$AR$9,$AR$10,$AR$11,$AR$12),"")</f>
        <v/>
      </c>
      <c r="C242" s="294"/>
      <c r="D242" s="294"/>
      <c r="E242" s="294"/>
      <c r="F242" s="294"/>
      <c r="G242" s="294"/>
      <c r="H242" s="265"/>
      <c r="I242" s="265"/>
      <c r="J242" s="265"/>
      <c r="K242" s="265"/>
      <c r="L242" s="265" t="str">
        <f ca="1">IF(AND($B242&lt;&gt;"",$Q219&lt;&gt;""),IF($B242="Missing Player",0,IF($B240="Missing Player",11,"")),"")</f>
        <v/>
      </c>
      <c r="M242" s="267" t="s">
        <v>1237</v>
      </c>
      <c r="N242" s="268"/>
      <c r="O242" s="268"/>
      <c r="P242" s="269"/>
      <c r="Q242" s="137" t="str">
        <f ca="1">IF($Q240&lt;&gt;"",IF($Q240="W","L","W"),"")</f>
        <v/>
      </c>
      <c r="R242" s="112"/>
      <c r="S242" s="98"/>
      <c r="T242" s="108"/>
      <c r="U242" s="108"/>
      <c r="V242" s="108"/>
      <c r="W242" s="108"/>
      <c r="X242" s="108"/>
      <c r="Y242" s="113"/>
      <c r="Z242" s="113"/>
      <c r="AA242" s="113"/>
      <c r="AB242" s="113"/>
      <c r="AC242" s="113"/>
      <c r="AD242" s="107"/>
      <c r="AE242" s="109"/>
      <c r="AF242" s="109"/>
    </row>
    <row r="243" spans="1:32" ht="12.75" customHeight="1">
      <c r="A243" s="301"/>
      <c r="B243" s="295"/>
      <c r="C243" s="296"/>
      <c r="D243" s="296"/>
      <c r="E243" s="296"/>
      <c r="F243" s="296"/>
      <c r="G243" s="296"/>
      <c r="H243" s="270"/>
      <c r="I243" s="270"/>
      <c r="J243" s="266"/>
      <c r="K243" s="266"/>
      <c r="L243" s="266"/>
      <c r="M243" s="267"/>
      <c r="N243" s="268"/>
      <c r="O243" s="268"/>
      <c r="P243" s="269"/>
      <c r="Q243" s="139" t="str">
        <f ca="1">IF($Q242&lt;&gt;"",IF($B240&lt;&gt;"Missing Player",IF($Q242="W",IF(SUM(IF($H242&gt;$H240,1,0),IF($I242&gt;$I240,1,0),IF($J242&gt;$J240,1,0),IF($K242&gt;$K240,1,0),IF($L242&gt;$L240,1,0))&lt;&gt;3,"Error",""),""),""),"")</f>
        <v/>
      </c>
      <c r="R243" s="114"/>
      <c r="S243" s="115"/>
      <c r="T243" s="115"/>
      <c r="U243" s="115"/>
      <c r="V243" s="115"/>
      <c r="W243" s="115"/>
      <c r="X243" s="115"/>
      <c r="Y243" s="114"/>
      <c r="Z243" s="114"/>
      <c r="AA243" s="114"/>
      <c r="AB243" s="114"/>
      <c r="AC243" s="114"/>
      <c r="AD243" s="114"/>
      <c r="AE243" s="114"/>
      <c r="AF243" s="114"/>
    </row>
    <row r="244" spans="1:32" ht="12.75" customHeight="1">
      <c r="B244" s="140" t="str">
        <f ca="1">IF(ISERROR(VLOOKUP($B219&amp;"("&amp;$B213&amp;")",Players!$S$4:$T$132,2,FALSE)),"",VLOOKUP($B219&amp;"("&amp;$B213&amp;")",Players!$S$4:$T$132,2,FALSE))</f>
        <v>A1</v>
      </c>
      <c r="C244" s="140" t="str">
        <f ca="1">IF(ISERROR(VLOOKUP($B226&amp;"("&amp;$B213&amp;")",Players!$S$4:$T$132,2,FALSE)),"",VLOOKUP($B226&amp;"("&amp;$B213&amp;")",Players!$S$4:$T$132,2,FALSE))</f>
        <v>A1</v>
      </c>
      <c r="D244" s="141" t="str">
        <f ca="1">IF(ISERROR(VLOOKUP($B233&amp;"("&amp;$B213&amp;")",Players!$S$4:$T$132,2,FALSE)),"",VLOOKUP($B233&amp;"("&amp;$B213&amp;")",Players!$S$4:$T$132,2,FALSE))</f>
        <v>A1</v>
      </c>
      <c r="E244" s="141" t="str">
        <f ca="1">IF(ISERROR(VLOOKUP($B240&amp;"("&amp;$B213&amp;")",Players!$S$4:$T$132,2,FALSE)),"",VLOOKUP($B240&amp;"("&amp;$B213&amp;")",Players!$S$4:$T$132,2,FALSE))</f>
        <v>A1</v>
      </c>
      <c r="F244" s="141" t="str">
        <f ca="1">IF(ISERROR(VLOOKUP($B221&amp;"("&amp;$K213&amp;")",Players!$S$4:$T$132,2,FALSE)),"",VLOOKUP($B221&amp;"("&amp;$K213&amp;")",Players!$S$4:$T$132,2,FALSE))</f>
        <v>D1</v>
      </c>
      <c r="G244" s="141" t="str">
        <f ca="1">IF(ISERROR(VLOOKUP($B228&amp;"("&amp;$K213&amp;")",Players!$S$4:$T$132,2,FALSE)),"",VLOOKUP($B228&amp;"("&amp;$K213&amp;")",Players!$S$4:$T$132,2,FALSE))</f>
        <v>D1</v>
      </c>
      <c r="H244" s="141" t="str">
        <f ca="1">IF(ISERROR(VLOOKUP($B235&amp;"("&amp;$K213&amp;")",Players!$S$4:$T$132,2,FALSE)),"",VLOOKUP($B235&amp;"("&amp;$K213&amp;")",Players!$S$4:$T$132,2,FALSE))</f>
        <v>D1</v>
      </c>
      <c r="I244" s="141" t="str">
        <f ca="1">IF(ISERROR(VLOOKUP($B242&amp;"("&amp;$K213&amp;")",Players!$S$4:$T$132,2,FALSE)),"",VLOOKUP($B242&amp;"("&amp;$K213&amp;")",Players!$S$4:$T$132,2,FALSE))</f>
        <v>D1</v>
      </c>
      <c r="Q244" s="7"/>
      <c r="R244" s="50"/>
      <c r="S244" s="116"/>
      <c r="T244" s="115"/>
      <c r="U244" s="115"/>
      <c r="V244" s="115"/>
      <c r="W244" s="115"/>
      <c r="X244" s="115"/>
      <c r="Y244" s="99"/>
      <c r="Z244" s="99"/>
      <c r="AA244" s="99"/>
      <c r="AB244" s="99"/>
      <c r="AC244" s="117"/>
      <c r="AD244" s="118"/>
      <c r="AE244" s="114"/>
      <c r="AF244" s="114"/>
    </row>
    <row r="245" spans="1:32" ht="12.75" customHeight="1">
      <c r="A245" s="21" t="s">
        <v>1225</v>
      </c>
      <c r="H245" s="136" t="str">
        <f ca="1">IF($Q247&lt;&gt;"",IF(AND($B248&lt;&gt;"Missing Player",$B250&lt;&gt;"Missing Player"),IF(AND(AND($H247&gt;-1,$H249&gt;-1),OR($H247&gt;10,$H249&gt;10),ABS($H247-$H249)&gt;1,IF(OR($H247&gt;11,$H249&gt;11),ABS($H247-$H249)=2,TRUE),$H247=INT($H247),$H249=INT($H249)),"","Error"),""),"")</f>
        <v/>
      </c>
      <c r="I245" s="136" t="str">
        <f ca="1">IF($Q247&lt;&gt;"",IF(AND($B248&lt;&gt;"Missing Player",$B250&lt;&gt;"Missing Player"),IF(AND(AND($I247&gt;-1,$I249&gt;-1),OR($I247&gt;10,$I249&gt;10),ABS($I247-$I249)&gt;1,IF(OR($I247&gt;11,$I249&gt;11),ABS($I247-$I249)=2,TRUE),$I247=INT($I247),$I249=INT($I249)),"","Error"),""),"")</f>
        <v/>
      </c>
      <c r="J245" s="136" t="str">
        <f ca="1">IF($Q247&lt;&gt;"",IF(AND($B248&lt;&gt;"Missing Player",$B250&lt;&gt;"Missing Player"),IF(AND(AND($J247&gt;-1,$J249&gt;-1),OR($J247&gt;10,$J249&gt;10),ABS($J247-$J249)&gt;1,IF(OR($J247&gt;11,$J249&gt;11),ABS($J247-$J249)=2,TRUE),$J247=INT($J247),$J249=INT($J249)),"","Error"),""),"")</f>
        <v/>
      </c>
      <c r="K245" s="136" t="str">
        <f ca="1">IF($Q247&lt;&gt;"",IF(AND($K247&lt;&gt;"",$K249&lt;&gt;""), IF(AND(AND($K247&gt;-1,$K249&gt;-1),OR($K247&gt;10,$K249&gt;10),ABS($K247-$K249)&gt;1,IF(OR($K247&gt;11,$K249&gt;11),ABS($K247-$K249)=2,TRUE),$K247=INT($K247),$K249=INT($K249)),"","Error"),""),"")</f>
        <v/>
      </c>
      <c r="L245" s="136" t="str">
        <f ca="1">IF($Q247&lt;&gt;"",IF(AND($L247&lt;&gt;"",$L249&lt;&gt;""), IF(AND(AND($L247&gt;-1,$L249&gt;-1),OR($L247&gt;10,$L249&gt;10),ABS($L247-$L249)&gt;1,IF(OR($L247&gt;11,$L249&gt;11),ABS($L247-$L249)=2,TRUE),$L247=INT($L247),$L249=INT($L249)),"","Error"),""),"")</f>
        <v/>
      </c>
      <c r="Q245" s="7"/>
      <c r="R245" s="114"/>
      <c r="S245" s="115"/>
      <c r="T245" s="115"/>
      <c r="U245" s="115"/>
      <c r="V245" s="115"/>
      <c r="W245" s="115"/>
      <c r="X245" s="115"/>
      <c r="Y245" s="114"/>
      <c r="Z245" s="114"/>
      <c r="AA245" s="114"/>
      <c r="AB245" s="114"/>
      <c r="AC245" s="114"/>
      <c r="AD245" s="114"/>
      <c r="AE245" s="114"/>
      <c r="AF245" s="114"/>
    </row>
    <row r="246" spans="1:32" ht="12.75" customHeight="1">
      <c r="A246" s="5" t="s">
        <v>1228</v>
      </c>
      <c r="B246" s="290" t="s">
        <v>1126</v>
      </c>
      <c r="C246" s="291"/>
      <c r="D246" s="291"/>
      <c r="E246" s="291"/>
      <c r="F246" s="291"/>
      <c r="G246" s="292"/>
      <c r="H246" s="5">
        <v>1</v>
      </c>
      <c r="I246" s="5">
        <v>2</v>
      </c>
      <c r="J246" s="5">
        <v>3</v>
      </c>
      <c r="K246" s="5">
        <v>4</v>
      </c>
      <c r="L246" s="5">
        <v>5</v>
      </c>
      <c r="M246" s="271"/>
      <c r="N246" s="272"/>
      <c r="O246" s="272"/>
      <c r="P246" s="273"/>
      <c r="Q246" s="8"/>
      <c r="S246" s="24"/>
      <c r="T246" s="26"/>
    </row>
    <row r="247" spans="1:32" ht="12.75" customHeight="1">
      <c r="A247" s="300" t="str">
        <f>B213</f>
        <v>A</v>
      </c>
      <c r="B247" s="311" t="str">
        <f ca="1">IF($B219&lt;&gt;"",$B219,"")</f>
        <v/>
      </c>
      <c r="C247" s="312"/>
      <c r="D247" s="312"/>
      <c r="E247" s="312"/>
      <c r="F247" s="312"/>
      <c r="G247" s="313"/>
      <c r="H247" s="265"/>
      <c r="I247" s="265"/>
      <c r="J247" s="265"/>
      <c r="K247" s="265"/>
      <c r="L247" s="265" t="str">
        <f ca="1">IF($B240&lt;&gt;"",IF(AND($B240="Missing Player",$G251=2,$J251=2),0,IF(AND($B242="Missing Player",$G251=2,$J251=2),11,"")),"")</f>
        <v/>
      </c>
      <c r="M247" s="262" t="str">
        <f ca="1">IF(OR(AND($B247&lt;&gt;"",$B248&lt;&gt;"",$B247=$B248),AND($B249&lt;&gt;"",$B250&lt;&gt;"",$B249=$B250)),"Invalid Partner","")</f>
        <v/>
      </c>
      <c r="N247" s="263"/>
      <c r="O247" s="263"/>
      <c r="P247" s="264"/>
      <c r="Q247" s="138" t="str">
        <f ca="1">IF(L247=L249,IF(K247=K249,IF(J247&lt;&gt;"",IF(J247&gt;J249,"W","L"),""),IF(K247&gt;K249,"W","L")),IF(L247&gt;L249,"W","L"))</f>
        <v/>
      </c>
      <c r="S247" s="24"/>
      <c r="T247" s="26"/>
    </row>
    <row r="248" spans="1:32" ht="12.75" customHeight="1">
      <c r="A248" s="324"/>
      <c r="B248" s="308" t="str">
        <f ca="1">IF($B240="Missing Player",$B240,"")</f>
        <v/>
      </c>
      <c r="C248" s="309"/>
      <c r="D248" s="309"/>
      <c r="E248" s="309"/>
      <c r="F248" s="309"/>
      <c r="G248" s="310"/>
      <c r="H248" s="270"/>
      <c r="I248" s="270"/>
      <c r="J248" s="270"/>
      <c r="K248" s="270"/>
      <c r="L248" s="270"/>
      <c r="M248" s="262"/>
      <c r="N248" s="263"/>
      <c r="O248" s="263"/>
      <c r="P248" s="264"/>
      <c r="Q248" s="139" t="str">
        <f ca="1">IF($Q247&lt;&gt;"",IF($B250&lt;&gt;"Missing Player",IF($Q247="W",IF(SUM(IF($H247&gt;$H249,1,0),IF($I247&gt;$I249,1,0),IF($J247&gt;$J249,1,0),IF($K247&gt;$K249,1,0),IF($L247&gt;$L249,1,0))&lt;&gt;3,"Error",""),""),""),"")</f>
        <v/>
      </c>
      <c r="R248" s="328" t="str">
        <f>$A214</f>
        <v/>
      </c>
      <c r="S248" s="328"/>
      <c r="T248" s="328"/>
      <c r="U248" s="328"/>
      <c r="V248" s="328"/>
      <c r="W248" s="328"/>
      <c r="X248" s="256" t="str">
        <f>CONCATENATE("(",$B213," vs ",$K213,")")</f>
        <v>(A vs D)</v>
      </c>
      <c r="Y248" s="256"/>
      <c r="Z248" s="328" t="str">
        <f>$J214</f>
        <v/>
      </c>
      <c r="AA248" s="328"/>
      <c r="AB248" s="328"/>
      <c r="AC248" s="328"/>
      <c r="AD248" s="328"/>
      <c r="AE248" s="328"/>
      <c r="AF248" s="43"/>
    </row>
    <row r="249" spans="1:32" ht="12.75" customHeight="1">
      <c r="A249" s="325" t="str">
        <f>K213</f>
        <v>D</v>
      </c>
      <c r="B249" s="311" t="str">
        <f ca="1">IF($B221&lt;&gt;"",$B221,"")</f>
        <v/>
      </c>
      <c r="C249" s="312"/>
      <c r="D249" s="312"/>
      <c r="E249" s="312"/>
      <c r="F249" s="312"/>
      <c r="G249" s="313"/>
      <c r="H249" s="265"/>
      <c r="I249" s="265"/>
      <c r="J249" s="265"/>
      <c r="K249" s="265"/>
      <c r="L249" s="265" t="str">
        <f ca="1">IF($B242&lt;&gt;"",IF(AND($B242="Missing Player",$G251=2,$J251=2),0,IF(AND($B240="Missing Player",$G251=2,$J251=2),11,"")),"")</f>
        <v/>
      </c>
      <c r="M249" s="267" t="s">
        <v>1237</v>
      </c>
      <c r="N249" s="268"/>
      <c r="O249" s="268"/>
      <c r="P249" s="269"/>
      <c r="Q249" s="138" t="str">
        <f ca="1">IF(Q247&lt;&gt;"",IF(Q247="W","L","W"),"")</f>
        <v/>
      </c>
      <c r="R249" s="43"/>
      <c r="S249" s="43"/>
      <c r="T249" s="43"/>
      <c r="U249" s="43"/>
      <c r="V249" s="43"/>
      <c r="W249" s="43"/>
      <c r="X249" s="43"/>
      <c r="Y249" s="43"/>
      <c r="Z249" s="43"/>
      <c r="AA249" s="43"/>
      <c r="AB249" s="43"/>
      <c r="AC249" s="43"/>
      <c r="AD249" s="43"/>
      <c r="AE249" s="43"/>
      <c r="AF249" s="43"/>
    </row>
    <row r="250" spans="1:32" ht="12.75" customHeight="1">
      <c r="A250" s="324"/>
      <c r="B250" s="308" t="str">
        <f ca="1">IF($B242="Missing Player",$B242,"")</f>
        <v/>
      </c>
      <c r="C250" s="309"/>
      <c r="D250" s="309"/>
      <c r="E250" s="309"/>
      <c r="F250" s="309"/>
      <c r="G250" s="310"/>
      <c r="H250" s="270"/>
      <c r="I250" s="270"/>
      <c r="J250" s="266"/>
      <c r="K250" s="266"/>
      <c r="L250" s="266"/>
      <c r="M250" s="267"/>
      <c r="N250" s="268"/>
      <c r="O250" s="268"/>
      <c r="P250" s="269"/>
      <c r="Q250" s="139" t="str">
        <f ca="1">IF($Q249&lt;&gt;"",IF($B248&lt;&gt;"Missing Player",IF($Q249="W",IF(SUM(IF($H249&gt;$H247,1,0),IF($I249&gt;$I247,1,0),IF($J249&gt;$J247,1,0),IF($K249&gt;$K247,1,0),IF($L249&gt;$L247,1,0))&lt;&gt;3,"Error",""),""),""),"")</f>
        <v/>
      </c>
      <c r="R250" s="43" t="str">
        <f>A238</f>
        <v>4th Singles</v>
      </c>
      <c r="S250" s="43"/>
      <c r="T250" s="43"/>
      <c r="U250" s="43"/>
      <c r="V250" s="43"/>
      <c r="W250" s="43"/>
      <c r="X250" s="43"/>
      <c r="Y250" s="43"/>
      <c r="Z250" s="43"/>
      <c r="AA250" s="43"/>
      <c r="AB250" s="43"/>
      <c r="AC250" s="43"/>
      <c r="AD250" s="43"/>
      <c r="AE250" s="43"/>
      <c r="AF250" s="43"/>
    </row>
    <row r="251" spans="1:32" ht="12.75" customHeight="1">
      <c r="G251" s="66">
        <f ca="1">COUNTIF($Q219:$Q219,"W")+COUNTIF($Q226:$Q226,"W")+COUNTIF($Q233:$Q233,"W")+COUNTIF($Q240:$Q240,"W")</f>
        <v>0</v>
      </c>
      <c r="J251" s="66">
        <f ca="1">COUNTIF($Q221:$Q221,"W")+COUNTIF($Q228:$Q228,"W")+COUNTIF($Q235:$Q235,"W")+COUNTIF($Q242:$Q242,"W")</f>
        <v>0</v>
      </c>
      <c r="R251" s="60" t="s">
        <v>1228</v>
      </c>
      <c r="S251" s="339" t="s">
        <v>1126</v>
      </c>
      <c r="T251" s="340"/>
      <c r="U251" s="340"/>
      <c r="V251" s="340"/>
      <c r="W251" s="340"/>
      <c r="X251" s="341"/>
      <c r="Y251" s="60">
        <v>1</v>
      </c>
      <c r="Z251" s="60">
        <v>2</v>
      </c>
      <c r="AA251" s="60">
        <v>3</v>
      </c>
      <c r="AB251" s="60">
        <v>4</v>
      </c>
      <c r="AC251" s="60">
        <v>5</v>
      </c>
      <c r="AD251" s="342"/>
      <c r="AE251" s="343"/>
      <c r="AF251" s="344"/>
    </row>
    <row r="252" spans="1:32" ht="12.75" customHeight="1" thickBot="1">
      <c r="F252" s="246" t="s">
        <v>1238</v>
      </c>
      <c r="G252" s="246"/>
      <c r="H252" s="246"/>
      <c r="I252" s="246"/>
      <c r="J252" s="246"/>
      <c r="K252" s="246"/>
      <c r="R252" s="300" t="str">
        <f>B213</f>
        <v>A</v>
      </c>
      <c r="S252" s="331" t="str">
        <f ca="1">IF($B240&lt;&gt;"",$B240,"")</f>
        <v/>
      </c>
      <c r="T252" s="353"/>
      <c r="U252" s="353"/>
      <c r="V252" s="353"/>
      <c r="W252" s="353"/>
      <c r="X252" s="354"/>
      <c r="Y252" s="329"/>
      <c r="Z252" s="329"/>
      <c r="AA252" s="351"/>
      <c r="AB252" s="351"/>
      <c r="AC252" s="351"/>
      <c r="AD252" s="345"/>
      <c r="AE252" s="346"/>
      <c r="AF252" s="347"/>
    </row>
    <row r="253" spans="1:32" ht="12.75" customHeight="1">
      <c r="A253" s="22"/>
      <c r="B253" s="22"/>
      <c r="C253" s="22"/>
      <c r="D253" s="22"/>
      <c r="E253" s="22"/>
      <c r="G253" s="304" t="str">
        <f>B213</f>
        <v>A</v>
      </c>
      <c r="H253" s="305"/>
      <c r="I253" s="302" t="str">
        <f>K213</f>
        <v>D</v>
      </c>
      <c r="J253" s="303"/>
      <c r="L253" s="22"/>
      <c r="M253" s="22"/>
      <c r="N253" s="22"/>
      <c r="O253" s="22"/>
      <c r="P253" s="22"/>
      <c r="R253" s="301"/>
      <c r="S253" s="355"/>
      <c r="T253" s="356"/>
      <c r="U253" s="356"/>
      <c r="V253" s="356"/>
      <c r="W253" s="356"/>
      <c r="X253" s="357"/>
      <c r="Y253" s="338"/>
      <c r="Z253" s="338"/>
      <c r="AA253" s="352"/>
      <c r="AB253" s="352"/>
      <c r="AC253" s="352"/>
      <c r="AD253" s="348"/>
      <c r="AE253" s="349"/>
      <c r="AF253" s="350"/>
    </row>
    <row r="254" spans="1:32" ht="12.75" customHeight="1" thickBot="1">
      <c r="A254" s="2" t="s">
        <v>1228</v>
      </c>
      <c r="B254" s="53" t="str">
        <f>B213</f>
        <v>A</v>
      </c>
      <c r="C254" s="3" t="s">
        <v>1226</v>
      </c>
      <c r="F254" s="66" t="str">
        <f>CONCATENATE($B213,"-",$K213)</f>
        <v>A-D</v>
      </c>
      <c r="G254" s="320" t="str">
        <f ca="1">IF(OR(Q219&lt;&gt;"",Q226&lt;&gt;"",Q233&lt;&gt;"",Q240&lt;&gt;"",Q247&lt;&gt;""),COUNTIF(Q219:Q219,"W")+COUNTIF(Q226:Q226,"W")+COUNTIF(Q233:Q233,"W")+COUNTIF(Q240:Q240,"W")+COUNTIF(Q247:Q247,"W"),"")</f>
        <v/>
      </c>
      <c r="H254" s="321"/>
      <c r="I254" s="322" t="str">
        <f ca="1">IF(OR(Q221&lt;&gt;"",Q228&lt;&gt;"",Q235&lt;&gt;"",Q242&lt;&gt;"",Q249&lt;&gt;""),COUNTIF(Q221:Q221,"W")+COUNTIF(Q228:Q228,"W")+COUNTIF(Q235:Q235,"W")+COUNTIF(Q242:Q242,"W")+COUNTIF(Q249:Q249,"W"),"")</f>
        <v/>
      </c>
      <c r="J254" s="323"/>
      <c r="L254" s="2" t="s">
        <v>1228</v>
      </c>
      <c r="M254" s="53" t="str">
        <f>K213</f>
        <v>D</v>
      </c>
      <c r="N254" s="3" t="s">
        <v>1226</v>
      </c>
      <c r="R254" s="300" t="str">
        <f>K213</f>
        <v>D</v>
      </c>
      <c r="S254" s="331" t="str">
        <f ca="1">IF($B242&lt;&gt;"",$B242,"")</f>
        <v/>
      </c>
      <c r="T254" s="332"/>
      <c r="U254" s="332"/>
      <c r="V254" s="332"/>
      <c r="W254" s="332"/>
      <c r="X254" s="333"/>
      <c r="Y254" s="329"/>
      <c r="Z254" s="329"/>
      <c r="AA254" s="351"/>
      <c r="AB254" s="351"/>
      <c r="AC254" s="351"/>
      <c r="AD254" s="363" t="s">
        <v>1237</v>
      </c>
      <c r="AE254" s="358"/>
      <c r="AF254" s="359"/>
    </row>
    <row r="255" spans="1:32" ht="12.75" customHeight="1">
      <c r="F255" s="25" t="s">
        <v>3996</v>
      </c>
      <c r="G255" s="23"/>
      <c r="H255" s="23"/>
      <c r="I255" s="23"/>
      <c r="J255" s="23"/>
      <c r="K255" s="24"/>
      <c r="R255" s="330"/>
      <c r="S255" s="334"/>
      <c r="T255" s="335"/>
      <c r="U255" s="335"/>
      <c r="V255" s="335"/>
      <c r="W255" s="335"/>
      <c r="X255" s="336"/>
      <c r="Y255" s="330"/>
      <c r="Z255" s="330"/>
      <c r="AA255" s="330"/>
      <c r="AB255" s="330"/>
      <c r="AC255" s="330"/>
      <c r="AD255" s="360"/>
      <c r="AE255" s="361"/>
      <c r="AF255" s="362"/>
    </row>
    <row r="256" spans="1:32" ht="12.75" customHeight="1">
      <c r="R256" s="1"/>
      <c r="S256" s="110"/>
      <c r="T256" s="110"/>
      <c r="U256" s="110"/>
      <c r="V256" s="110"/>
      <c r="W256" s="110"/>
      <c r="X256" s="111"/>
      <c r="Y256" s="111"/>
      <c r="Z256" s="111"/>
      <c r="AA256" s="111"/>
    </row>
    <row r="257" spans="1:32" ht="12.75" customHeight="1">
      <c r="F257" s="246" t="s">
        <v>4929</v>
      </c>
      <c r="G257" s="246"/>
      <c r="H257" s="246"/>
      <c r="I257" s="246"/>
      <c r="R257" s="1"/>
      <c r="S257" s="110"/>
      <c r="T257" s="110"/>
      <c r="U257" s="110"/>
      <c r="V257" s="110"/>
      <c r="W257" s="110"/>
      <c r="X257" s="111"/>
      <c r="Y257" s="111"/>
      <c r="Z257" s="111"/>
      <c r="AA257" s="111"/>
    </row>
    <row r="258" spans="1:32" ht="12.75" customHeight="1">
      <c r="F258" s="246" t="s">
        <v>4930</v>
      </c>
      <c r="G258" s="246"/>
      <c r="H258" s="246"/>
      <c r="I258" s="246"/>
      <c r="R258" s="1"/>
      <c r="S258" s="110"/>
      <c r="T258" s="110"/>
      <c r="U258" s="110"/>
      <c r="V258" s="110"/>
      <c r="W258" s="110"/>
      <c r="X258" s="111"/>
      <c r="Y258" s="111"/>
      <c r="Z258" s="111"/>
      <c r="AA258" s="111"/>
    </row>
    <row r="259" spans="1:32" ht="12.75" customHeight="1">
      <c r="K259" s="281" t="s">
        <v>1244</v>
      </c>
      <c r="L259" s="281"/>
      <c r="M259" s="281"/>
      <c r="N259" s="281"/>
      <c r="O259" s="281"/>
      <c r="P259" s="281"/>
      <c r="R259" s="1"/>
      <c r="S259" s="110"/>
      <c r="T259" s="110"/>
      <c r="U259" s="110"/>
      <c r="V259" s="110"/>
      <c r="W259" s="110"/>
      <c r="X259" s="111"/>
      <c r="Y259" s="111"/>
      <c r="Z259" s="111"/>
      <c r="AA259" s="111"/>
    </row>
    <row r="260" spans="1:32" ht="12.75" customHeight="1">
      <c r="A260" s="12" t="s">
        <v>1229</v>
      </c>
      <c r="B260" s="11"/>
      <c r="C260" s="11"/>
      <c r="D260" s="11" t="str">
        <f>Draw!$B$1</f>
        <v>Enter Division Name</v>
      </c>
      <c r="E260" s="11"/>
      <c r="F260" s="7"/>
      <c r="G260" s="6"/>
      <c r="H260" s="7"/>
      <c r="I260" s="11"/>
      <c r="J260" s="11"/>
      <c r="K260" s="11"/>
      <c r="L260" s="11"/>
      <c r="M260" s="281"/>
      <c r="N260" s="281"/>
      <c r="O260" s="281"/>
      <c r="P260" s="281"/>
      <c r="R260" s="1"/>
      <c r="S260" s="110"/>
      <c r="T260" s="110"/>
      <c r="U260" s="110"/>
      <c r="V260" s="110"/>
      <c r="W260" s="110"/>
      <c r="X260" s="111"/>
      <c r="Y260" s="111"/>
      <c r="Z260" s="111"/>
      <c r="AA260" s="111"/>
    </row>
    <row r="261" spans="1:32" ht="12.75" customHeight="1">
      <c r="A261" s="2" t="s">
        <v>1230</v>
      </c>
      <c r="D261" s="43" t="str">
        <f>Draw!$D$1</f>
        <v>Enter Hosting Location (City, ST)</v>
      </c>
      <c r="J261" s="43" t="str">
        <f ca="1">$J$6</f>
        <v>[NCTTA Teams Template (v2.06).xlsx]</v>
      </c>
      <c r="R261" s="1"/>
      <c r="S261" s="110"/>
      <c r="T261" s="110"/>
      <c r="U261" s="110"/>
      <c r="V261" s="110"/>
      <c r="W261" s="110"/>
      <c r="X261" s="111"/>
      <c r="Y261" s="111"/>
      <c r="Z261" s="111"/>
      <c r="AA261" s="111"/>
    </row>
    <row r="262" spans="1:32" ht="12.75" customHeight="1">
      <c r="A262" s="2" t="s">
        <v>1231</v>
      </c>
      <c r="D262" s="337" t="str">
        <f>Draw!$P$1</f>
        <v>Enter Date</v>
      </c>
      <c r="E262" s="337"/>
      <c r="F262" s="337"/>
      <c r="G262" s="337"/>
      <c r="J262" s="280" t="str">
        <f>CHOOSE(Draw!$T$1,"Round 1, Match 6","Round 2, Match 3","Round 3, Match 2","Round 3, Match 2","Round 3, Match 2","Round 2, Match 3","Round 2, Match 3","Round 2, Match 2","Round 2, Match 2","Round 2, Match 1","Round 2, Match 1")</f>
        <v>Round 3, Match 2</v>
      </c>
      <c r="K262" s="280"/>
      <c r="L262" s="280"/>
      <c r="M262" s="276" t="str">
        <f>IF(AND($J262&lt;&gt;"",Draw!$AC$10&lt;&gt;"",Draw!$AC$13&lt;&gt;""),Draw!$AC$10+TIME(0,VALUE(MID($J262,7,FIND(",",$J262)-FIND(" ",$J262)-1)-1)*Draw!$AC$13,0),"")</f>
        <v/>
      </c>
      <c r="N262" s="276"/>
      <c r="O262" s="157" t="str">
        <f>$F305</f>
        <v>B-C</v>
      </c>
      <c r="R262" s="1"/>
      <c r="S262" s="110"/>
      <c r="T262" s="110"/>
      <c r="U262" s="110"/>
      <c r="V262" s="110"/>
      <c r="W262" s="110"/>
      <c r="X262" s="111"/>
      <c r="Y262" s="111"/>
      <c r="Z262" s="111"/>
      <c r="AA262" s="111"/>
    </row>
    <row r="263" spans="1:32" ht="12.75" customHeight="1">
      <c r="A263" s="14"/>
      <c r="B263" s="15"/>
      <c r="C263" s="15"/>
      <c r="D263" s="15"/>
      <c r="E263" s="15"/>
      <c r="F263" s="14"/>
      <c r="G263" s="14"/>
      <c r="H263" s="16"/>
      <c r="I263" s="14"/>
      <c r="J263" s="15"/>
      <c r="K263" s="15"/>
      <c r="L263" s="15"/>
      <c r="M263" s="15"/>
      <c r="N263" s="15"/>
      <c r="O263" s="364" t="str">
        <f>IF(OR(AND(VLOOKUP($B264,$AM$1:$AX$12,12,FALSE)="C",VLOOKUP($K264,$AM$1:$AX$12,12,FALSE)="C"),AND(VLOOKUP($B264,$AM$1:$AX$12,12,FALSE)="W",VLOOKUP($K264,$AM$1:$AX$12,12,FALSE)="W")),"Official",IF(AND($A265="",$J265=""),"","Scrimmage"))</f>
        <v/>
      </c>
      <c r="P263" s="364"/>
      <c r="R263" s="1"/>
      <c r="S263" s="110"/>
      <c r="T263" s="110"/>
      <c r="U263" s="110"/>
      <c r="V263" s="110"/>
      <c r="W263" s="110"/>
      <c r="X263" s="111"/>
      <c r="Y263" s="111"/>
      <c r="Z263" s="111"/>
      <c r="AA263" s="111"/>
    </row>
    <row r="264" spans="1:32" ht="12.75" customHeight="1">
      <c r="A264" s="17" t="s">
        <v>1228</v>
      </c>
      <c r="B264" s="119" t="str">
        <f>CHOOSE(Draw!$T$1,"F","B","B","E","B","B","C","F","B","A","A")</f>
        <v>B</v>
      </c>
      <c r="C264" s="135">
        <f>VLOOKUP($B264,$AM$1:$AN$12,2)</f>
        <v>2</v>
      </c>
      <c r="D264" s="13"/>
      <c r="E264" s="13"/>
      <c r="F264" s="10"/>
      <c r="H264" s="19" t="s">
        <v>1232</v>
      </c>
      <c r="J264" s="17" t="s">
        <v>1228</v>
      </c>
      <c r="K264" s="119" t="str">
        <f>CHOOSE(Draw!$T$1,"G","F","C","F","D","F","D","H","G","I","K")</f>
        <v>C</v>
      </c>
      <c r="L264" s="135">
        <f>VLOOKUP($K264,$AM$1:$AN$12,2)</f>
        <v>3</v>
      </c>
      <c r="M264" s="13"/>
      <c r="N264" s="13"/>
      <c r="O264" s="18"/>
      <c r="P264" s="274"/>
      <c r="Q264" s="275"/>
      <c r="R264" s="1"/>
      <c r="S264" s="110"/>
      <c r="T264" s="110"/>
      <c r="U264" s="110"/>
      <c r="V264" s="110"/>
      <c r="W264" s="110"/>
      <c r="X264" s="111"/>
      <c r="Y264" s="111"/>
      <c r="Z264" s="111"/>
      <c r="AA264" s="111"/>
    </row>
    <row r="265" spans="1:32" ht="12.75" customHeight="1">
      <c r="A265" s="277" t="str">
        <f>IF(VLOOKUP($B264,Draw!$A$4:$B$27,2)&lt;&gt;0,VLOOKUP($B264,Draw!$A$4:$B$27,2),"")</f>
        <v/>
      </c>
      <c r="B265" s="278"/>
      <c r="C265" s="278"/>
      <c r="D265" s="278"/>
      <c r="E265" s="278"/>
      <c r="F265" s="279"/>
      <c r="G265" s="306" t="s">
        <v>4157</v>
      </c>
      <c r="H265" s="289"/>
      <c r="I265" s="307"/>
      <c r="J265" s="277" t="str">
        <f>IF(VLOOKUP($K264,Draw!$A$4:$B$27,2)&lt;&gt;0,VLOOKUP($K264,Draw!$A$4:$B$27,2),"")</f>
        <v/>
      </c>
      <c r="K265" s="278"/>
      <c r="L265" s="278"/>
      <c r="M265" s="278"/>
      <c r="N265" s="278"/>
      <c r="O265" s="279"/>
      <c r="P265" s="15"/>
      <c r="R265" s="1"/>
      <c r="S265" s="110"/>
      <c r="T265" s="110"/>
      <c r="U265" s="110"/>
      <c r="V265" s="110"/>
      <c r="W265" s="110"/>
      <c r="X265" s="111"/>
      <c r="Y265" s="111"/>
      <c r="Z265" s="111"/>
      <c r="AA265" s="111"/>
    </row>
    <row r="266" spans="1:32" ht="12.75" customHeight="1">
      <c r="A266" s="14"/>
      <c r="B266" s="15"/>
      <c r="C266" s="15"/>
      <c r="D266" s="15"/>
      <c r="E266" s="15"/>
      <c r="F266" s="14"/>
      <c r="G266" s="288" t="str">
        <f>"Page "&amp;VALUE(RIGHT($G265,LEN($G265)-SEARCH("-",$G265)))/2</f>
        <v>Page 6</v>
      </c>
      <c r="H266" s="289"/>
      <c r="I266" s="289"/>
      <c r="J266" s="15"/>
      <c r="K266" s="15"/>
      <c r="L266" s="15"/>
      <c r="M266" s="15"/>
      <c r="N266" s="15"/>
      <c r="O266" s="15"/>
      <c r="P266" s="15"/>
      <c r="R266" s="1"/>
      <c r="S266" s="110"/>
      <c r="T266" s="110"/>
      <c r="U266" s="110"/>
      <c r="V266" s="110"/>
      <c r="W266" s="110"/>
      <c r="X266" s="111"/>
      <c r="Y266" s="111"/>
      <c r="Z266" s="111"/>
      <c r="AA266" s="111"/>
      <c r="AF266" s="27"/>
    </row>
    <row r="267" spans="1:32" ht="12.75" customHeight="1">
      <c r="A267" s="327" t="s">
        <v>1245</v>
      </c>
      <c r="B267" s="327"/>
      <c r="C267" s="327"/>
      <c r="D267" s="327"/>
      <c r="E267" s="327"/>
      <c r="F267" s="327"/>
      <c r="G267" s="327"/>
      <c r="H267" s="327"/>
      <c r="I267" s="327"/>
      <c r="J267" s="327"/>
      <c r="K267" s="327"/>
      <c r="L267" s="327"/>
      <c r="M267" s="327"/>
      <c r="N267" s="327"/>
      <c r="O267" s="327"/>
      <c r="P267" s="327"/>
      <c r="Q267" s="7"/>
      <c r="R267" s="1"/>
      <c r="S267" s="110"/>
      <c r="T267" s="110"/>
      <c r="U267" s="110"/>
      <c r="V267" s="110"/>
      <c r="W267" s="110"/>
      <c r="X267" s="111"/>
      <c r="Y267" s="111"/>
      <c r="Z267" s="111"/>
      <c r="AA267" s="111"/>
      <c r="AF267" s="20"/>
    </row>
    <row r="268" spans="1:32" ht="12.75" customHeight="1">
      <c r="A268" s="21" t="s">
        <v>1233</v>
      </c>
      <c r="H268" s="136" t="str">
        <f>IF($Q270&lt;&gt;"",IF(AND(AND($H270&gt;-1,$H272&gt;-1),OR($H270&gt;10,$H272&gt;10),ABS($H270-$H272)&gt;1,IF(OR($H270&gt;11,$H272&gt;11),ABS($H270-$H272)=2,TRUE),$H270=INT($H270),$H272=INT($H272)),"","Error"),"")</f>
        <v/>
      </c>
      <c r="I268" s="136" t="str">
        <f>IF($Q270&lt;&gt;"",IF(AND(AND($I270&gt;-1,$I272&gt;-1),OR($I270&gt;10,$I272&gt;10),ABS($I270-$I272)&gt;1,IF(OR($I270&gt;11,$I272&gt;11),ABS($I270-$I272)=2,TRUE),$I270=INT($I270),$I272=INT($I272)),"","Error"),"")</f>
        <v/>
      </c>
      <c r="J268" s="136" t="str">
        <f>IF($Q270&lt;&gt;"",IF(AND(AND($J270&gt;-1,$J272&gt;-1),OR($J270&gt;10,$J272&gt;10),ABS($J270-$J272)&gt;1,IF(OR($J270&gt;11,$J272&gt;11),ABS($J270-$J272)=2,TRUE),$J270=INT($J270),$J272=INT($J272)),"","Error"),"")</f>
        <v/>
      </c>
      <c r="K268" s="136" t="str">
        <f>IF($Q270&lt;&gt;"",IF(AND($K270&lt;&gt;"",$K272&lt;&gt;""), IF(AND(AND($K270&gt;-1,$K272&gt;-1),OR($K270&gt;10,$K272&gt;10),ABS($K270-$K272)&gt;1,IF(OR($K270&gt;11,$K272&gt;11),ABS($K270-$K272)=2,TRUE),$K270=INT($K270),$K272=INT($K272)),"","Error"),""),"")</f>
        <v/>
      </c>
      <c r="L268" s="136" t="str">
        <f>IF($Q270&lt;&gt;"",IF(AND($L270&lt;&gt;"",$L272&lt;&gt;""), IF(AND(AND($L270&gt;-1,$L272&gt;-1),OR($L270&gt;10,$L272&gt;10),ABS($L270-$L272)&gt;1,IF(OR($L270&gt;11,$L272&gt;11),ABS($L270-$L272)=2,TRUE),$L270=INT($L270),$L272=INT($L272)),"","Error"),""),"")</f>
        <v/>
      </c>
      <c r="R268" s="1"/>
      <c r="S268" s="110"/>
      <c r="T268" s="110"/>
      <c r="U268" s="110"/>
      <c r="V268" s="110"/>
      <c r="W268" s="110"/>
      <c r="X268" s="111"/>
      <c r="Y268" s="111"/>
      <c r="Z268" s="111"/>
      <c r="AA268" s="111"/>
    </row>
    <row r="269" spans="1:32" ht="12.75" customHeight="1">
      <c r="A269" s="5" t="s">
        <v>1228</v>
      </c>
      <c r="B269" s="290" t="s">
        <v>1126</v>
      </c>
      <c r="C269" s="291"/>
      <c r="D269" s="291"/>
      <c r="E269" s="291"/>
      <c r="F269" s="291"/>
      <c r="G269" s="292"/>
      <c r="H269" s="5">
        <v>1</v>
      </c>
      <c r="I269" s="5">
        <v>2</v>
      </c>
      <c r="J269" s="5">
        <v>3</v>
      </c>
      <c r="K269" s="5">
        <v>4</v>
      </c>
      <c r="L269" s="5">
        <v>5</v>
      </c>
      <c r="M269" s="271"/>
      <c r="N269" s="272"/>
      <c r="O269" s="272"/>
      <c r="P269" s="273"/>
      <c r="R269" s="1"/>
      <c r="S269" s="110"/>
      <c r="T269" s="110"/>
      <c r="U269" s="110"/>
      <c r="V269" s="110"/>
      <c r="W269" s="110"/>
      <c r="X269" s="111"/>
      <c r="Y269" s="111"/>
      <c r="Z269" s="111"/>
      <c r="AA269" s="111"/>
    </row>
    <row r="270" spans="1:32" ht="12.75" customHeight="1">
      <c r="A270" s="300" t="str">
        <f>B264</f>
        <v>B</v>
      </c>
      <c r="B270" s="293" t="str">
        <f ca="1">IF(AND(OFFSET($AO$1,$C264-1,8,1,1),$A265&lt;&gt;"",$J265&lt;&gt;""),CHOOSE($C264,$AO$1,$AO$2,$AO$3,$AO$4,$AO$5,$AO$6,$AO$7,$AO$8,$AO$9,$AO$10,$AO$11,$AO$12),"")</f>
        <v/>
      </c>
      <c r="C270" s="294"/>
      <c r="D270" s="294"/>
      <c r="E270" s="294"/>
      <c r="F270" s="294"/>
      <c r="G270" s="294"/>
      <c r="H270" s="265"/>
      <c r="I270" s="265"/>
      <c r="J270" s="265"/>
      <c r="K270" s="265"/>
      <c r="L270" s="265"/>
      <c r="M270" s="297"/>
      <c r="N270" s="298"/>
      <c r="O270" s="298"/>
      <c r="P270" s="299"/>
      <c r="Q270" s="137" t="str">
        <f>IF($L270=$L272,IF($K270=$K272,IF($J270&lt;&gt;"",IF($J270&gt;$J272,"W","L"),""),IF($K270&gt;$K272,"W","L")),IF($L270&gt;$L272,"W","L"))</f>
        <v/>
      </c>
      <c r="R270" s="1"/>
      <c r="S270" s="110"/>
      <c r="T270" s="110"/>
      <c r="U270" s="110"/>
      <c r="V270" s="110"/>
      <c r="W270" s="110"/>
      <c r="X270" s="111"/>
      <c r="Y270" s="111"/>
      <c r="Z270" s="111"/>
      <c r="AA270" s="111"/>
    </row>
    <row r="271" spans="1:32" ht="12.75" customHeight="1">
      <c r="A271" s="301"/>
      <c r="B271" s="295"/>
      <c r="C271" s="296"/>
      <c r="D271" s="296"/>
      <c r="E271" s="296"/>
      <c r="F271" s="296"/>
      <c r="G271" s="296"/>
      <c r="H271" s="270"/>
      <c r="I271" s="270"/>
      <c r="J271" s="270"/>
      <c r="K271" s="270"/>
      <c r="L271" s="270"/>
      <c r="M271" s="297"/>
      <c r="N271" s="298"/>
      <c r="O271" s="298"/>
      <c r="P271" s="299"/>
      <c r="Q271" s="139" t="str">
        <f>IF($Q270&lt;&gt;"",IF($Q270="W",IF(SUM(IF($H270&gt;$H272,1,0),IF($I270&gt;$I272,1,0),IF($J270&gt;$J272,1,0),IF($K270&gt;$K272,1,0),IF($L270&gt;$L272,1,0))&lt;&gt;3,"Error",""),""),"")</f>
        <v/>
      </c>
      <c r="R271" s="328" t="str">
        <f>$A265</f>
        <v/>
      </c>
      <c r="S271" s="328"/>
      <c r="T271" s="328"/>
      <c r="U271" s="328"/>
      <c r="V271" s="328"/>
      <c r="W271" s="328"/>
      <c r="X271" s="256" t="str">
        <f>CONCATENATE("(",$B264," vs ",$K264,")")</f>
        <v>(B vs C)</v>
      </c>
      <c r="Y271" s="256"/>
      <c r="Z271" s="328" t="str">
        <f>$J265</f>
        <v/>
      </c>
      <c r="AA271" s="328"/>
      <c r="AB271" s="328"/>
      <c r="AC271" s="328"/>
      <c r="AD271" s="328"/>
      <c r="AE271" s="328"/>
      <c r="AF271" s="43"/>
    </row>
    <row r="272" spans="1:32" ht="12.75" customHeight="1">
      <c r="A272" s="300" t="str">
        <f>K264</f>
        <v>C</v>
      </c>
      <c r="B272" s="293" t="str">
        <f ca="1">IF(AND(OFFSET($AO$1,$L264-1,8,1,1),$A265&lt;&gt;"",$J265&lt;&gt;""),CHOOSE($L264,$AO$1,$AO$2,$AO$3,$AO$4,$AO$5,$AO$6,$AO$7,$AO$8,$AO$9,$AO$10,$AO$11,$AO$12),"")</f>
        <v/>
      </c>
      <c r="C272" s="294"/>
      <c r="D272" s="294"/>
      <c r="E272" s="294"/>
      <c r="F272" s="294"/>
      <c r="G272" s="294"/>
      <c r="H272" s="265"/>
      <c r="I272" s="265"/>
      <c r="J272" s="265"/>
      <c r="K272" s="265"/>
      <c r="L272" s="265"/>
      <c r="M272" s="267" t="s">
        <v>1237</v>
      </c>
      <c r="N272" s="268"/>
      <c r="O272" s="268"/>
      <c r="P272" s="269"/>
      <c r="Q272" s="137" t="str">
        <f>IF($Q270&lt;&gt;"",IF($Q270="W","L","W"),"")</f>
        <v/>
      </c>
      <c r="R272" s="43"/>
      <c r="S272" s="43"/>
      <c r="T272" s="43"/>
      <c r="U272" s="43"/>
      <c r="V272" s="43"/>
      <c r="W272" s="43"/>
      <c r="X272" s="43"/>
      <c r="Y272" s="43"/>
      <c r="Z272" s="43"/>
      <c r="AA272" s="43"/>
      <c r="AB272" s="43"/>
      <c r="AC272" s="43"/>
      <c r="AD272" s="43"/>
      <c r="AE272" s="43"/>
      <c r="AF272" s="43"/>
    </row>
    <row r="273" spans="1:32" ht="12.75" customHeight="1">
      <c r="A273" s="301"/>
      <c r="B273" s="295"/>
      <c r="C273" s="296"/>
      <c r="D273" s="296"/>
      <c r="E273" s="296"/>
      <c r="F273" s="296"/>
      <c r="G273" s="296"/>
      <c r="H273" s="270"/>
      <c r="I273" s="270"/>
      <c r="J273" s="266"/>
      <c r="K273" s="266"/>
      <c r="L273" s="266"/>
      <c r="M273" s="267"/>
      <c r="N273" s="268"/>
      <c r="O273" s="268"/>
      <c r="P273" s="269"/>
      <c r="Q273" s="139" t="str">
        <f>IF($Q272&lt;&gt;"",IF($Q272="W",IF(SUM(IF($H272&gt;$H270,1,0),IF($I272&gt;$I270,1,0),IF($J272&gt;$J270,1,0),IF($K272&gt;$K270,1,0),IF($L272&gt;$L270,1,0))&lt;&gt;3,"Error",""),""),"")</f>
        <v/>
      </c>
      <c r="R273" s="43" t="str">
        <f>$A275</f>
        <v>2nd Singles</v>
      </c>
      <c r="S273" s="43"/>
      <c r="T273" s="43"/>
      <c r="U273" s="43"/>
      <c r="V273" s="43"/>
      <c r="W273" s="43"/>
      <c r="X273" s="43"/>
      <c r="Y273" s="43"/>
      <c r="Z273" s="43"/>
      <c r="AA273" s="43"/>
      <c r="AB273" s="43"/>
      <c r="AC273" s="43"/>
      <c r="AD273" s="43"/>
      <c r="AE273" s="43"/>
      <c r="AF273" s="43"/>
    </row>
    <row r="274" spans="1:32" ht="12.75" customHeight="1">
      <c r="Q274" s="7"/>
      <c r="R274" s="60" t="s">
        <v>1228</v>
      </c>
      <c r="S274" s="339" t="s">
        <v>1126</v>
      </c>
      <c r="T274" s="340"/>
      <c r="U274" s="340"/>
      <c r="V274" s="340"/>
      <c r="W274" s="340"/>
      <c r="X274" s="341"/>
      <c r="Y274" s="60">
        <v>1</v>
      </c>
      <c r="Z274" s="60">
        <v>2</v>
      </c>
      <c r="AA274" s="60">
        <v>3</v>
      </c>
      <c r="AB274" s="60">
        <v>4</v>
      </c>
      <c r="AC274" s="60">
        <v>5</v>
      </c>
      <c r="AD274" s="342"/>
      <c r="AE274" s="343"/>
      <c r="AF274" s="344"/>
    </row>
    <row r="275" spans="1:32" ht="12.75" customHeight="1">
      <c r="A275" s="21" t="s">
        <v>1234</v>
      </c>
      <c r="H275" s="136" t="str">
        <f>IF($Q277&lt;&gt;"",IF(AND(AND($H277&gt;-1,$H279&gt;-1),OR($H277&gt;10,$H279&gt;10),ABS($H277-$H279)&gt;1,IF(OR($H277&gt;11,$H279&gt;11),ABS($H277-$H279)=2,TRUE),$H277=INT($H277),$H279=INT($H279)),"","Error"),"")</f>
        <v/>
      </c>
      <c r="I275" s="136" t="str">
        <f>IF($Q277&lt;&gt;"",IF(AND(AND($I277&gt;-1,$I279&gt;-1),OR($I277&gt;10,$I279&gt;10),ABS($I277-$I279)&gt;1,IF(OR($I277&gt;11,$I279&gt;11),ABS($I277-$I279)=2,TRUE),$I277=INT($I277),$I279=INT($I279)),"","Error"),"")</f>
        <v/>
      </c>
      <c r="J275" s="136" t="str">
        <f>IF($Q277&lt;&gt;"",IF(AND(AND($J277&gt;-1,$J279&gt;-1),OR($J277&gt;10,$J279&gt;10),ABS($J277-$J279)&gt;1,IF(OR($J277&gt;11,$J279&gt;11),ABS($J277-$J279)=2,TRUE),$J277=INT($J277),$J279=INT($J279)),"","Error"),"")</f>
        <v/>
      </c>
      <c r="K275" s="136" t="str">
        <f>IF($Q277&lt;&gt;"",IF(AND($K277&lt;&gt;"",$K279&lt;&gt;""), IF(AND(AND($K277&gt;-1,$K279&gt;-1),OR($K277&gt;10,$K279&gt;10),ABS($K277-$K279)&gt;1,IF(OR($K277&gt;11,$K279&gt;11),ABS($K277-$K279)=2,TRUE),$K277=INT($K277),$K279=INT($K279)),"","Error"),""),"")</f>
        <v/>
      </c>
      <c r="L275" s="136" t="str">
        <f>IF($Q277&lt;&gt;"",IF(AND($L277&lt;&gt;"",$L279&lt;&gt;""), IF(AND(AND($L277&gt;-1,$L279&gt;-1),OR($L277&gt;10,$L279&gt;10),ABS($L277-$L279)&gt;1,IF(OR($L277&gt;11,$L279&gt;11),ABS($L277-$L279)=2,TRUE),$L277=INT($L277),$L279=INT($L279)),"","Error"),""),"")</f>
        <v/>
      </c>
      <c r="Q275" s="7"/>
      <c r="R275" s="300" t="str">
        <f>$B264</f>
        <v>B</v>
      </c>
      <c r="S275" s="331" t="str">
        <f ca="1">IF($B277&lt;&gt;"",$B277,"")</f>
        <v/>
      </c>
      <c r="T275" s="332"/>
      <c r="U275" s="332"/>
      <c r="V275" s="332"/>
      <c r="W275" s="332"/>
      <c r="X275" s="333"/>
      <c r="Y275" s="329"/>
      <c r="Z275" s="329"/>
      <c r="AA275" s="329"/>
      <c r="AB275" s="329"/>
      <c r="AC275" s="329"/>
      <c r="AD275" s="345"/>
      <c r="AE275" s="358"/>
      <c r="AF275" s="359"/>
    </row>
    <row r="276" spans="1:32" ht="12.75" customHeight="1">
      <c r="A276" s="5" t="s">
        <v>1228</v>
      </c>
      <c r="B276" s="290" t="s">
        <v>1126</v>
      </c>
      <c r="C276" s="291"/>
      <c r="D276" s="291"/>
      <c r="E276" s="291"/>
      <c r="F276" s="291"/>
      <c r="G276" s="292"/>
      <c r="H276" s="5">
        <v>1</v>
      </c>
      <c r="I276" s="5">
        <v>2</v>
      </c>
      <c r="J276" s="5">
        <v>3</v>
      </c>
      <c r="K276" s="5">
        <v>4</v>
      </c>
      <c r="L276" s="5">
        <v>5</v>
      </c>
      <c r="M276" s="271"/>
      <c r="N276" s="272"/>
      <c r="O276" s="272"/>
      <c r="P276" s="273"/>
      <c r="Q276" s="7"/>
      <c r="R276" s="330"/>
      <c r="S276" s="334"/>
      <c r="T276" s="335"/>
      <c r="U276" s="335"/>
      <c r="V276" s="335"/>
      <c r="W276" s="335"/>
      <c r="X276" s="336"/>
      <c r="Y276" s="330"/>
      <c r="Z276" s="330"/>
      <c r="AA276" s="330"/>
      <c r="AB276" s="330"/>
      <c r="AC276" s="330"/>
      <c r="AD276" s="360"/>
      <c r="AE276" s="361"/>
      <c r="AF276" s="362"/>
    </row>
    <row r="277" spans="1:32" ht="12.75" customHeight="1">
      <c r="A277" s="300" t="str">
        <f>B264</f>
        <v>B</v>
      </c>
      <c r="B277" s="293" t="str">
        <f ca="1">IF(AND(OFFSET($AO$1,$C264-1,8,1,1),$A265&lt;&gt;"",$J265&lt;&gt;""),CHOOSE($C264,$AP$1,$AP$2,$AP$3,$AP$4,$AP$5,$AP$6,$AP$7,$AP$8,$AP$9,$AP$10,$AP$11,$AP$12),"")</f>
        <v/>
      </c>
      <c r="C277" s="294"/>
      <c r="D277" s="294"/>
      <c r="E277" s="294"/>
      <c r="F277" s="294"/>
      <c r="G277" s="294"/>
      <c r="H277" s="265"/>
      <c r="I277" s="265"/>
      <c r="J277" s="265"/>
      <c r="K277" s="265"/>
      <c r="L277" s="265"/>
      <c r="M277" s="262" t="str">
        <f ca="1">IF(OR(AND($B270&lt;&gt;"",$B277&lt;&gt;"",$C295&lt;=$B295),AND($B272&lt;&gt;"",$B279&lt;&gt;"",$G295&lt;=$F295)),"Invalid Lineup","")</f>
        <v/>
      </c>
      <c r="N277" s="263"/>
      <c r="O277" s="263"/>
      <c r="P277" s="264"/>
      <c r="Q277" s="137" t="str">
        <f>IF($L277=$L279,IF($K277=$K279,IF($J277&lt;&gt;"",IF($J277&gt;$J279,"W","L"),""),IF($K277&gt;$K279,"W","L")),IF($L277&gt;$L279,"W","L"))</f>
        <v/>
      </c>
      <c r="R277" s="300" t="str">
        <f>$K264</f>
        <v>C</v>
      </c>
      <c r="S277" s="331" t="str">
        <f ca="1">IF($B279&lt;&gt;"",$B279,"")</f>
        <v/>
      </c>
      <c r="T277" s="332"/>
      <c r="U277" s="332"/>
      <c r="V277" s="332"/>
      <c r="W277" s="332"/>
      <c r="X277" s="333"/>
      <c r="Y277" s="329"/>
      <c r="Z277" s="329"/>
      <c r="AA277" s="329"/>
      <c r="AB277" s="329"/>
      <c r="AC277" s="351"/>
      <c r="AD277" s="363" t="s">
        <v>1237</v>
      </c>
      <c r="AE277" s="358"/>
      <c r="AF277" s="359"/>
    </row>
    <row r="278" spans="1:32" ht="12.75" customHeight="1">
      <c r="A278" s="301"/>
      <c r="B278" s="295"/>
      <c r="C278" s="296"/>
      <c r="D278" s="296"/>
      <c r="E278" s="296"/>
      <c r="F278" s="296"/>
      <c r="G278" s="296"/>
      <c r="H278" s="270"/>
      <c r="I278" s="270"/>
      <c r="J278" s="270"/>
      <c r="K278" s="270"/>
      <c r="L278" s="270"/>
      <c r="M278" s="262"/>
      <c r="N278" s="263"/>
      <c r="O278" s="263"/>
      <c r="P278" s="264"/>
      <c r="Q278" s="139" t="str">
        <f>IF($Q277&lt;&gt;"",IF($Q277="W",IF(SUM(IF($H277&gt;$H279,1,0),IF($I277&gt;$I279,1,0),IF($J277&gt;$J279,1,0),IF($K277&gt;$K279,1,0),IF($L277&gt;$L279,1,0))&lt;&gt;3,"Error",""),""),"")</f>
        <v/>
      </c>
      <c r="R278" s="330"/>
      <c r="S278" s="334"/>
      <c r="T278" s="335"/>
      <c r="U278" s="335"/>
      <c r="V278" s="335"/>
      <c r="W278" s="335"/>
      <c r="X278" s="336"/>
      <c r="Y278" s="330"/>
      <c r="Z278" s="330"/>
      <c r="AA278" s="330"/>
      <c r="AB278" s="330"/>
      <c r="AC278" s="330"/>
      <c r="AD278" s="360"/>
      <c r="AE278" s="361"/>
      <c r="AF278" s="362"/>
    </row>
    <row r="279" spans="1:32" ht="12.75" customHeight="1">
      <c r="A279" s="300" t="str">
        <f>K264</f>
        <v>C</v>
      </c>
      <c r="B279" s="293" t="str">
        <f ca="1">IF(AND(OFFSET($AO$1,$L264-1,8,1,1),$A265&lt;&gt;"",$J265&lt;&gt;""),CHOOSE($L264,$AP$1,$AP$2,$AP$3,$AP$4,$AP$5,$AP$6,$AP$7,$AP$8,$AP$9,$AP$10,$AP$11,$AP$12),"")</f>
        <v/>
      </c>
      <c r="C279" s="294"/>
      <c r="D279" s="294"/>
      <c r="E279" s="294"/>
      <c r="F279" s="294"/>
      <c r="G279" s="294"/>
      <c r="H279" s="265"/>
      <c r="I279" s="265"/>
      <c r="J279" s="265"/>
      <c r="K279" s="265"/>
      <c r="L279" s="265"/>
      <c r="M279" s="267" t="s">
        <v>1237</v>
      </c>
      <c r="N279" s="268"/>
      <c r="O279" s="268"/>
      <c r="P279" s="269"/>
      <c r="Q279" s="137" t="str">
        <f>IF($Q277&lt;&gt;"",IF($Q277="W","L","W"),"")</f>
        <v/>
      </c>
      <c r="R279" s="20"/>
      <c r="S279" s="20"/>
      <c r="T279" s="20"/>
      <c r="U279" s="20"/>
      <c r="V279" s="20"/>
      <c r="W279" s="20"/>
      <c r="X279" s="26"/>
      <c r="Y279" s="26"/>
      <c r="Z279" s="20"/>
      <c r="AA279" s="20"/>
      <c r="AB279" s="20"/>
      <c r="AC279" s="20"/>
      <c r="AD279" s="20"/>
      <c r="AE279" s="20"/>
      <c r="AF279" s="27"/>
    </row>
    <row r="280" spans="1:32" ht="12.75" customHeight="1">
      <c r="A280" s="301"/>
      <c r="B280" s="295"/>
      <c r="C280" s="296"/>
      <c r="D280" s="296"/>
      <c r="E280" s="296"/>
      <c r="F280" s="296"/>
      <c r="G280" s="296"/>
      <c r="H280" s="270"/>
      <c r="I280" s="270"/>
      <c r="J280" s="266"/>
      <c r="K280" s="266"/>
      <c r="L280" s="266"/>
      <c r="M280" s="267"/>
      <c r="N280" s="268"/>
      <c r="O280" s="268"/>
      <c r="P280" s="269"/>
      <c r="Q280" s="139" t="str">
        <f>IF($Q279&lt;&gt;"",IF($Q279="W",IF(SUM(IF($H279&gt;$H277,1,0),IF($I279&gt;$I277,1,0),IF($J279&gt;$J277,1,0),IF($K279&gt;$K277,1,0),IF($L279&gt;$L277,1,0))&lt;&gt;3,"Error",""),""),"")</f>
        <v/>
      </c>
      <c r="R280" s="20"/>
      <c r="S280" s="20"/>
      <c r="T280" s="20"/>
      <c r="U280" s="20"/>
      <c r="V280" s="20"/>
      <c r="W280" s="20"/>
      <c r="X280" s="26"/>
      <c r="Y280" s="26"/>
      <c r="Z280" s="20"/>
      <c r="AA280" s="20"/>
      <c r="AB280" s="20"/>
      <c r="AC280" s="20"/>
      <c r="AD280" s="20"/>
      <c r="AE280" s="20"/>
      <c r="AF280" s="27"/>
    </row>
    <row r="281" spans="1:32" ht="12.75" customHeight="1">
      <c r="Q281" s="7"/>
      <c r="R281" s="20"/>
      <c r="S281" s="20"/>
      <c r="T281" s="20"/>
      <c r="U281" s="20"/>
      <c r="V281" s="20"/>
      <c r="W281" s="20"/>
      <c r="X281" s="26"/>
      <c r="Y281" s="26"/>
      <c r="Z281" s="20"/>
      <c r="AA281" s="20"/>
      <c r="AB281" s="20"/>
      <c r="AC281" s="20"/>
      <c r="AD281" s="20"/>
      <c r="AE281" s="20"/>
      <c r="AF281" s="27"/>
    </row>
    <row r="282" spans="1:32" ht="12.75" customHeight="1">
      <c r="A282" s="21" t="s">
        <v>1235</v>
      </c>
      <c r="H282" s="136" t="str">
        <f>IF($Q284&lt;&gt;"",IF(AND(AND($H284&gt;-1,$H286&gt;-1),OR($H284&gt;10,$H286&gt;10),ABS($H284-$H286)&gt;1,IF(OR($H284&gt;11,$H286&gt;11),ABS($H284-$H286)=2,TRUE),$H284=INT($H284),$H286=INT($H286)),"","Error"),"")</f>
        <v/>
      </c>
      <c r="I282" s="136" t="str">
        <f>IF($Q284&lt;&gt;"",IF(AND(AND($I284&gt;-1,$I286&gt;-1),OR($I284&gt;10,$I286&gt;10),ABS($I284-$I286)&gt;1,IF(OR($I284&gt;11,$I286&gt;11),ABS($I284-$I286)=2,TRUE),$I284=INT($I284),$I286=INT($I286)),"","Error"),"")</f>
        <v/>
      </c>
      <c r="J282" s="136" t="str">
        <f>IF($Q284&lt;&gt;"",IF(AND(AND($J284&gt;-1,$J286&gt;-1),OR($J284&gt;10,$J286&gt;10),ABS($J284-$J286)&gt;1,IF(OR($J284&gt;11,$J286&gt;11),ABS($J284-$J286)=2,TRUE),$J284=INT($J284),$J286=INT($J286)),"","Error"),"")</f>
        <v/>
      </c>
      <c r="K282" s="136" t="str">
        <f>IF($Q284&lt;&gt;"",IF(AND($K284&lt;&gt;"",$K286&lt;&gt;""), IF(AND(AND($K284&gt;-1,$K286&gt;-1),OR($K284&gt;10,$K286&gt;10),ABS($K284-$K286)&gt;1,IF(OR($K284&gt;11,$K286&gt;11),ABS($K284-$K286)=2,TRUE),$K284=INT($K284),$K286=INT($K286)),"","Error"),""),"")</f>
        <v/>
      </c>
      <c r="L282" s="136" t="str">
        <f>IF($Q284&lt;&gt;"",IF(AND($L284&lt;&gt;"",$L286&lt;&gt;""), IF(AND(AND($L284&gt;-1,$L286&gt;-1),OR($L284&gt;10,$L286&gt;10),ABS($L284-$L286)&gt;1,IF(OR($L284&gt;11,$L286&gt;11),ABS($L284-$L286)=2,TRUE),$L284=INT($L284),$L286=INT($L286)),"","Error"),""),"")</f>
        <v/>
      </c>
      <c r="Q282" s="7"/>
      <c r="R282" s="20"/>
      <c r="S282" s="20"/>
      <c r="T282" s="20"/>
      <c r="U282" s="20"/>
      <c r="V282" s="20"/>
      <c r="W282" s="20"/>
      <c r="X282" s="26"/>
      <c r="Y282" s="26"/>
      <c r="Z282" s="20"/>
      <c r="AA282" s="20"/>
      <c r="AB282" s="20"/>
      <c r="AC282" s="20"/>
      <c r="AD282" s="20"/>
      <c r="AE282" s="20"/>
      <c r="AF282" s="27"/>
    </row>
    <row r="283" spans="1:32" ht="12.75" customHeight="1">
      <c r="A283" s="5" t="s">
        <v>1228</v>
      </c>
      <c r="B283" s="290" t="s">
        <v>1126</v>
      </c>
      <c r="C283" s="291"/>
      <c r="D283" s="291"/>
      <c r="E283" s="291"/>
      <c r="F283" s="291"/>
      <c r="G283" s="292"/>
      <c r="H283" s="5">
        <v>1</v>
      </c>
      <c r="I283" s="5">
        <v>2</v>
      </c>
      <c r="J283" s="5">
        <v>3</v>
      </c>
      <c r="K283" s="5">
        <v>4</v>
      </c>
      <c r="L283" s="5">
        <v>5</v>
      </c>
      <c r="M283" s="271"/>
      <c r="N283" s="272"/>
      <c r="O283" s="272"/>
      <c r="P283" s="273"/>
      <c r="Q283" s="7"/>
      <c r="R283" s="20"/>
      <c r="S283" s="20"/>
      <c r="T283" s="20"/>
      <c r="U283" s="20"/>
      <c r="V283" s="20"/>
      <c r="W283" s="20"/>
      <c r="X283" s="26"/>
      <c r="Y283" s="26"/>
      <c r="Z283" s="20"/>
      <c r="AA283" s="20"/>
      <c r="AB283" s="20"/>
      <c r="AC283" s="20"/>
      <c r="AD283" s="20"/>
      <c r="AE283" s="20"/>
      <c r="AF283" s="27"/>
    </row>
    <row r="284" spans="1:32" ht="12.75" customHeight="1">
      <c r="A284" s="300" t="str">
        <f>B264</f>
        <v>B</v>
      </c>
      <c r="B284" s="293" t="str">
        <f ca="1">IF(AND(OFFSET($AO$1,$C264-1,8,1,1),$A265&lt;&gt;"",$J265&lt;&gt;""),CHOOSE($C264,$AQ$1,$AQ$2,$AQ$3,$AQ$4,$AQ$5,$AQ$6,$AQ$7,$AQ$8,$AQ$9,$AQ$10,$AQ$11,$AQ$12),"")</f>
        <v/>
      </c>
      <c r="C284" s="294"/>
      <c r="D284" s="294"/>
      <c r="E284" s="294"/>
      <c r="F284" s="294"/>
      <c r="G284" s="294"/>
      <c r="H284" s="265"/>
      <c r="I284" s="265"/>
      <c r="J284" s="265"/>
      <c r="K284" s="265"/>
      <c r="L284" s="265"/>
      <c r="M284" s="262" t="str">
        <f ca="1">IF(OR(AND($B277&lt;&gt;"",$B284&lt;&gt;"",$D295&lt;=$C295),AND($B279&lt;&gt;"",$B286&lt;&gt;"",$H295&lt;=$G295)),"Invalid Lineup","")</f>
        <v/>
      </c>
      <c r="N284" s="263"/>
      <c r="O284" s="263"/>
      <c r="P284" s="264"/>
      <c r="Q284" s="137" t="str">
        <f>IF($L284=$L286,IF($K284=$K286,IF($J284&lt;&gt;"",IF($J284&gt;$J286,"W","L"),""),IF($K284&gt;$K286,"W","L")),IF($L284&gt;$L286,"W","L"))</f>
        <v/>
      </c>
      <c r="R284" s="20"/>
      <c r="S284" s="20"/>
      <c r="T284" s="20"/>
      <c r="U284" s="20"/>
      <c r="V284" s="20"/>
      <c r="W284" s="20"/>
      <c r="X284" s="26"/>
      <c r="Y284" s="26"/>
      <c r="Z284" s="20"/>
      <c r="AA284" s="20"/>
      <c r="AB284" s="20"/>
      <c r="AC284" s="20"/>
      <c r="AD284" s="20"/>
      <c r="AE284" s="20"/>
      <c r="AF284" s="27"/>
    </row>
    <row r="285" spans="1:32" ht="12.75" customHeight="1">
      <c r="A285" s="301"/>
      <c r="B285" s="295"/>
      <c r="C285" s="296"/>
      <c r="D285" s="296"/>
      <c r="E285" s="296"/>
      <c r="F285" s="296"/>
      <c r="G285" s="296"/>
      <c r="H285" s="270"/>
      <c r="I285" s="270"/>
      <c r="J285" s="270"/>
      <c r="K285" s="270"/>
      <c r="L285" s="270"/>
      <c r="M285" s="262"/>
      <c r="N285" s="263"/>
      <c r="O285" s="263"/>
      <c r="P285" s="264"/>
      <c r="Q285" s="139" t="str">
        <f>IF($Q284&lt;&gt;"",IF($Q284="W",IF(SUM(IF($H284&gt;$H286,1,0),IF($I284&gt;$I286,1,0),IF($J284&gt;$J286,1,0),IF($K284&gt;$K286,1,0),IF($L284&gt;$L286,1,0))&lt;&gt;3,"Error",""),""),"")</f>
        <v/>
      </c>
      <c r="R285" s="328" t="str">
        <f>$A265</f>
        <v/>
      </c>
      <c r="S285" s="328"/>
      <c r="T285" s="328"/>
      <c r="U285" s="328"/>
      <c r="V285" s="328"/>
      <c r="W285" s="328"/>
      <c r="X285" s="256" t="str">
        <f>CONCATENATE("(",$B264," vs ",$K264,")")</f>
        <v>(B vs C)</v>
      </c>
      <c r="Y285" s="256"/>
      <c r="Z285" s="328" t="str">
        <f>$J265</f>
        <v/>
      </c>
      <c r="AA285" s="328"/>
      <c r="AB285" s="328"/>
      <c r="AC285" s="328"/>
      <c r="AD285" s="328"/>
      <c r="AE285" s="328"/>
      <c r="AF285" s="100"/>
    </row>
    <row r="286" spans="1:32" ht="12.75" customHeight="1">
      <c r="A286" s="300" t="str">
        <f>K264</f>
        <v>C</v>
      </c>
      <c r="B286" s="293" t="str">
        <f ca="1">IF(AND(OFFSET($AO$1,$L264-1,8,1,1),$A265&lt;&gt;"",$J265&lt;&gt;""),CHOOSE($L264,$AQ$1,$AQ$2,$AQ$3,$AQ$4,$AQ$5,$AQ$6,$AQ$7,$AQ$8,$AQ$9,$AQ$10,$AQ$11,$AQ$12),"")</f>
        <v/>
      </c>
      <c r="C286" s="294"/>
      <c r="D286" s="294"/>
      <c r="E286" s="294"/>
      <c r="F286" s="294"/>
      <c r="G286" s="294"/>
      <c r="H286" s="265"/>
      <c r="I286" s="265"/>
      <c r="J286" s="265"/>
      <c r="K286" s="265"/>
      <c r="L286" s="265"/>
      <c r="M286" s="267" t="s">
        <v>1237</v>
      </c>
      <c r="N286" s="268"/>
      <c r="O286" s="268"/>
      <c r="P286" s="269"/>
      <c r="Q286" s="137" t="str">
        <f>IF($Q284&lt;&gt;"",IF($Q284="W","L","W"),"")</f>
        <v/>
      </c>
      <c r="R286" s="100"/>
      <c r="S286" s="100"/>
      <c r="T286" s="100"/>
      <c r="U286" s="100"/>
      <c r="V286" s="100"/>
      <c r="W286" s="100"/>
      <c r="X286" s="100"/>
      <c r="Y286" s="100"/>
      <c r="Z286" s="100"/>
      <c r="AA286" s="100"/>
      <c r="AB286" s="100"/>
      <c r="AC286" s="100"/>
      <c r="AD286" s="100"/>
      <c r="AE286" s="100"/>
      <c r="AF286" s="100"/>
    </row>
    <row r="287" spans="1:32" ht="12.75" customHeight="1">
      <c r="A287" s="301"/>
      <c r="B287" s="295"/>
      <c r="C287" s="296"/>
      <c r="D287" s="296"/>
      <c r="E287" s="296"/>
      <c r="F287" s="296"/>
      <c r="G287" s="296"/>
      <c r="H287" s="270"/>
      <c r="I287" s="270"/>
      <c r="J287" s="266"/>
      <c r="K287" s="266"/>
      <c r="L287" s="266"/>
      <c r="M287" s="267"/>
      <c r="N287" s="268"/>
      <c r="O287" s="268"/>
      <c r="P287" s="269"/>
      <c r="Q287" s="139" t="str">
        <f>IF($Q286&lt;&gt;"",IF($Q286="W",IF(SUM(IF($H286&gt;$H284,1,0),IF($I286&gt;$I284,1,0),IF($J286&gt;$J284,1,0),IF($K286&gt;$K284,1,0),IF($L286&gt;$L284,1,0))&lt;&gt;3,"Error",""),""),"")</f>
        <v/>
      </c>
      <c r="R287" s="43" t="str">
        <f>$A282</f>
        <v>3rd Singles</v>
      </c>
      <c r="S287" s="43"/>
      <c r="T287" s="43"/>
      <c r="U287" s="43"/>
      <c r="V287" s="43"/>
      <c r="W287" s="43"/>
      <c r="X287" s="43"/>
      <c r="Y287" s="43"/>
      <c r="Z287" s="43"/>
      <c r="AA287" s="43"/>
      <c r="AB287" s="43"/>
      <c r="AC287" s="43"/>
      <c r="AD287" s="43"/>
      <c r="AE287" s="43"/>
      <c r="AF287" s="43"/>
    </row>
    <row r="288" spans="1:32" ht="12.75" customHeight="1">
      <c r="Q288" s="7"/>
      <c r="R288" s="60" t="s">
        <v>1228</v>
      </c>
      <c r="S288" s="101" t="s">
        <v>1126</v>
      </c>
      <c r="T288" s="102"/>
      <c r="U288" s="102"/>
      <c r="V288" s="102"/>
      <c r="W288" s="102"/>
      <c r="X288" s="103"/>
      <c r="Y288" s="60">
        <v>1</v>
      </c>
      <c r="Z288" s="60">
        <v>2</v>
      </c>
      <c r="AA288" s="60">
        <v>3</v>
      </c>
      <c r="AB288" s="60">
        <v>4</v>
      </c>
      <c r="AC288" s="60">
        <v>5</v>
      </c>
      <c r="AD288" s="104"/>
      <c r="AE288" s="105"/>
      <c r="AF288" s="106"/>
    </row>
    <row r="289" spans="1:32" ht="12.75" customHeight="1">
      <c r="A289" s="21" t="s">
        <v>1236</v>
      </c>
      <c r="H289" s="136" t="str">
        <f ca="1">IF($Q291&lt;&gt;"",IF(AND($B291&lt;&gt;"Missing Player",$B293&lt;&gt;"Missing Player"),IF(AND(AND($H291&gt;-1,$H293&gt;-1),OR($H291&gt;10,$H293&gt;10),ABS($H291-$H293)&gt;1,IF(OR($H291&gt;11,$H293&gt;11),ABS($H291-$H293)=2,TRUE),$H291=INT($H291),$H293=INT($H293)),"","Error"),""),"")</f>
        <v/>
      </c>
      <c r="I289" s="136" t="str">
        <f ca="1">IF($Q291&lt;&gt;"",IF(AND($B291&lt;&gt;"Missing Player",$B293&lt;&gt;"Missing Player"),IF(AND(AND($I291&gt;-1,$I293&gt;-1),OR($I291&gt;10,$I293&gt;10),ABS($I291-$I293)&gt;1,IF(OR($I291&gt;11,$I293&gt;11),ABS($I291-$I293)=2,TRUE),$I291=INT($I291),$I293=INT($I293)),"","Error"),""),"")</f>
        <v/>
      </c>
      <c r="J289" s="136" t="str">
        <f ca="1">IF($Q291&lt;&gt;"",IF(AND($B291&lt;&gt;"Missing Player",$B293&lt;&gt;"Missing Player"),IF(AND(AND($J291&gt;-1,$J293&gt;-1),OR($J291&gt;10,$J293&gt;10),ABS($J291-$J293)&gt;1,IF(OR($J291&gt;11,$J293&gt;11),ABS($J291-$J293)=2,TRUE),$J291=INT($J291),$J293=INT($J293)),"","Error"),""),"")</f>
        <v/>
      </c>
      <c r="K289" s="136" t="str">
        <f ca="1">IF($Q291&lt;&gt;"",IF(AND($K291&lt;&gt;"",$K293&lt;&gt;""), IF(AND(AND($K291&gt;-1,$K293&gt;-1),OR($K291&gt;10,$K293&gt;10),ABS($K291-$K293)&gt;1,IF(OR($K291&gt;11,$K293&gt;11),ABS($K291-$K293)=2,TRUE),$K291=INT($K291),$K293=INT($K293)),"","Error"),""),"")</f>
        <v/>
      </c>
      <c r="L289" s="136" t="str">
        <f ca="1">IF($Q291&lt;&gt;"",IF(AND($L291&lt;&gt;"",$L293&lt;&gt;""), IF(AND(AND($L291&gt;-1,$L293&gt;-1),OR($L291&gt;10,$L293&gt;10),ABS($L291-$L293)&gt;1,IF(OR($L291&gt;11,$L293&gt;11),ABS($L291-$L293)=2,TRUE),$L291=INT($L291),$L293=INT($L293)),"","Error"),""),"")</f>
        <v/>
      </c>
      <c r="Q289" s="7"/>
      <c r="R289" s="300" t="str">
        <f>$B264</f>
        <v>B</v>
      </c>
      <c r="S289" s="331" t="str">
        <f ca="1">IF($B284&lt;&gt;"",$B284,"")</f>
        <v/>
      </c>
      <c r="T289" s="332"/>
      <c r="U289" s="332"/>
      <c r="V289" s="332"/>
      <c r="W289" s="332"/>
      <c r="X289" s="333"/>
      <c r="Y289" s="329"/>
      <c r="Z289" s="329"/>
      <c r="AA289" s="329"/>
      <c r="AB289" s="329"/>
      <c r="AC289" s="329"/>
      <c r="AD289" s="345"/>
      <c r="AE289" s="358"/>
      <c r="AF289" s="359"/>
    </row>
    <row r="290" spans="1:32" ht="12.75" customHeight="1">
      <c r="A290" s="5" t="s">
        <v>1228</v>
      </c>
      <c r="B290" s="290" t="s">
        <v>1126</v>
      </c>
      <c r="C290" s="291"/>
      <c r="D290" s="291"/>
      <c r="E290" s="291"/>
      <c r="F290" s="291"/>
      <c r="G290" s="292"/>
      <c r="H290" s="5">
        <v>1</v>
      </c>
      <c r="I290" s="5">
        <v>2</v>
      </c>
      <c r="J290" s="5">
        <v>3</v>
      </c>
      <c r="K290" s="5">
        <v>4</v>
      </c>
      <c r="L290" s="5">
        <v>5</v>
      </c>
      <c r="M290" s="271"/>
      <c r="N290" s="272"/>
      <c r="O290" s="272"/>
      <c r="P290" s="273"/>
      <c r="Q290" s="7"/>
      <c r="R290" s="330"/>
      <c r="S290" s="334"/>
      <c r="T290" s="335"/>
      <c r="U290" s="335"/>
      <c r="V290" s="335"/>
      <c r="W290" s="335"/>
      <c r="X290" s="336"/>
      <c r="Y290" s="330"/>
      <c r="Z290" s="330"/>
      <c r="AA290" s="330"/>
      <c r="AB290" s="330"/>
      <c r="AC290" s="330"/>
      <c r="AD290" s="360"/>
      <c r="AE290" s="361"/>
      <c r="AF290" s="362"/>
    </row>
    <row r="291" spans="1:32" ht="12.75" customHeight="1">
      <c r="A291" s="300" t="str">
        <f>B264</f>
        <v>B</v>
      </c>
      <c r="B291" s="293" t="str">
        <f ca="1">IF(AND(OFFSET($AO$1,$C264-1,8,1,1),$A265&lt;&gt;"",$J265&lt;&gt;""),CHOOSE($C264,$AR$1,$AR$2,$AR$3,$AR$4,$AR$5,$AR$6,$AR$7,$AR$8,$AR$9,$AR$10,$AR$11,$AR$12),"")</f>
        <v/>
      </c>
      <c r="C291" s="294"/>
      <c r="D291" s="294"/>
      <c r="E291" s="294"/>
      <c r="F291" s="294"/>
      <c r="G291" s="294"/>
      <c r="H291" s="265"/>
      <c r="I291" s="265"/>
      <c r="J291" s="265"/>
      <c r="K291" s="265"/>
      <c r="L291" s="265" t="str">
        <f ca="1">IF(AND($B291&lt;&gt;"",$Q270&lt;&gt;""),IF($B291="Missing Player",0,IF($B293="Missing Player",11,"")),"")</f>
        <v/>
      </c>
      <c r="M291" s="262" t="str">
        <f ca="1">IF(OR(AND($B284&lt;&gt;"",$B291&lt;&gt;"",$E295&lt;=$D295),AND($B286&lt;&gt;"",$B293&lt;&gt;"",$I295&lt;=$H295)),"Invalid Lineup","")</f>
        <v/>
      </c>
      <c r="N291" s="263"/>
      <c r="O291" s="263"/>
      <c r="P291" s="264"/>
      <c r="Q291" s="137" t="str">
        <f ca="1">IF($L291=$L293,IF($K291=$K293,IF($J291&lt;&gt;"",IF($J291&gt;$J293,"W","L"),""),IF($K291&gt;$K293,"W","L")),IF($L291&gt;$L293,"W","L"))</f>
        <v/>
      </c>
      <c r="R291" s="300" t="str">
        <f>$K264</f>
        <v>C</v>
      </c>
      <c r="S291" s="331" t="str">
        <f ca="1">IF($B286&lt;&gt;"",$B286,"")</f>
        <v/>
      </c>
      <c r="T291" s="332"/>
      <c r="U291" s="332"/>
      <c r="V291" s="332"/>
      <c r="W291" s="332"/>
      <c r="X291" s="333"/>
      <c r="Y291" s="329"/>
      <c r="Z291" s="329"/>
      <c r="AA291" s="329"/>
      <c r="AB291" s="329"/>
      <c r="AC291" s="351"/>
      <c r="AD291" s="363" t="s">
        <v>1237</v>
      </c>
      <c r="AE291" s="358"/>
      <c r="AF291" s="359"/>
    </row>
    <row r="292" spans="1:32" ht="12.75" customHeight="1">
      <c r="A292" s="301"/>
      <c r="B292" s="295"/>
      <c r="C292" s="296"/>
      <c r="D292" s="296"/>
      <c r="E292" s="296"/>
      <c r="F292" s="296"/>
      <c r="G292" s="296"/>
      <c r="H292" s="270"/>
      <c r="I292" s="270"/>
      <c r="J292" s="270"/>
      <c r="K292" s="270"/>
      <c r="L292" s="270"/>
      <c r="M292" s="262"/>
      <c r="N292" s="263"/>
      <c r="O292" s="263"/>
      <c r="P292" s="264"/>
      <c r="Q292" s="139" t="str">
        <f ca="1">IF($Q291&lt;&gt;"",IF($B293&lt;&gt;"Missing Player",IF($Q291="W",IF(SUM(IF($H291&gt;$H293,1,0),IF($I291&gt;$I293,1,0),IF($J291&gt;$J293,1,0),IF($K291&gt;$K293,1,0),IF($L291&gt;$L293,1,0))&lt;&gt;3,"Error",""),""),""),"")</f>
        <v/>
      </c>
      <c r="R292" s="330"/>
      <c r="S292" s="334"/>
      <c r="T292" s="335"/>
      <c r="U292" s="335"/>
      <c r="V292" s="335"/>
      <c r="W292" s="335"/>
      <c r="X292" s="336"/>
      <c r="Y292" s="330"/>
      <c r="Z292" s="330"/>
      <c r="AA292" s="330"/>
      <c r="AB292" s="330"/>
      <c r="AC292" s="330"/>
      <c r="AD292" s="360"/>
      <c r="AE292" s="361"/>
      <c r="AF292" s="362"/>
    </row>
    <row r="293" spans="1:32" ht="12.75" customHeight="1">
      <c r="A293" s="300" t="str">
        <f>K264</f>
        <v>C</v>
      </c>
      <c r="B293" s="293" t="str">
        <f ca="1">IF(AND(OFFSET($AO$1,$L264-1,8,1,1),$A265&lt;&gt;"",$J265&lt;&gt;""),CHOOSE($L264,$AR$1,$AR$2,$AR$3,$AR$4,$AR$5,$AR$6,$AR$7,$AR$8,$AR$9,$AR$10,$AR$11,$AR$12),"")</f>
        <v/>
      </c>
      <c r="C293" s="294"/>
      <c r="D293" s="294"/>
      <c r="E293" s="294"/>
      <c r="F293" s="294"/>
      <c r="G293" s="294"/>
      <c r="H293" s="265"/>
      <c r="I293" s="265"/>
      <c r="J293" s="265"/>
      <c r="K293" s="265"/>
      <c r="L293" s="265" t="str">
        <f ca="1">IF(AND($B293&lt;&gt;"",$Q270&lt;&gt;""),IF($B293="Missing Player",0,IF($B291="Missing Player",11,"")),"")</f>
        <v/>
      </c>
      <c r="M293" s="267" t="s">
        <v>1237</v>
      </c>
      <c r="N293" s="268"/>
      <c r="O293" s="268"/>
      <c r="P293" s="269"/>
      <c r="Q293" s="137" t="str">
        <f ca="1">IF($Q291&lt;&gt;"",IF($Q291="W","L","W"),"")</f>
        <v/>
      </c>
      <c r="R293" s="112"/>
      <c r="S293" s="98"/>
      <c r="T293" s="108"/>
      <c r="U293" s="108"/>
      <c r="V293" s="108"/>
      <c r="W293" s="108"/>
      <c r="X293" s="108"/>
      <c r="Y293" s="113"/>
      <c r="Z293" s="113"/>
      <c r="AA293" s="113"/>
      <c r="AB293" s="113"/>
      <c r="AC293" s="113"/>
      <c r="AD293" s="107"/>
      <c r="AE293" s="109"/>
      <c r="AF293" s="109"/>
    </row>
    <row r="294" spans="1:32" ht="12.75" customHeight="1">
      <c r="A294" s="301"/>
      <c r="B294" s="295"/>
      <c r="C294" s="296"/>
      <c r="D294" s="296"/>
      <c r="E294" s="296"/>
      <c r="F294" s="296"/>
      <c r="G294" s="296"/>
      <c r="H294" s="270"/>
      <c r="I294" s="270"/>
      <c r="J294" s="266"/>
      <c r="K294" s="266"/>
      <c r="L294" s="266"/>
      <c r="M294" s="267"/>
      <c r="N294" s="268"/>
      <c r="O294" s="268"/>
      <c r="P294" s="269"/>
      <c r="Q294" s="139" t="str">
        <f ca="1">IF($Q293&lt;&gt;"",IF($B291&lt;&gt;"Missing Player",IF($Q293="W",IF(SUM(IF($H293&gt;$H291,1,0),IF($I293&gt;$I291,1,0),IF($J293&gt;$J291,1,0),IF($K293&gt;$K291,1,0),IF($L293&gt;$L291,1,0))&lt;&gt;3,"Error",""),""),""),"")</f>
        <v/>
      </c>
      <c r="R294" s="114"/>
      <c r="S294" s="115"/>
      <c r="T294" s="115"/>
      <c r="U294" s="115"/>
      <c r="V294" s="115"/>
      <c r="W294" s="115"/>
      <c r="X294" s="115"/>
      <c r="Y294" s="114"/>
      <c r="Z294" s="114"/>
      <c r="AA294" s="114"/>
      <c r="AB294" s="114"/>
      <c r="AC294" s="114"/>
      <c r="AD294" s="114"/>
      <c r="AE294" s="114"/>
      <c r="AF294" s="114"/>
    </row>
    <row r="295" spans="1:32" ht="12.75" customHeight="1">
      <c r="B295" s="140" t="str">
        <f ca="1">IF(ISERROR(VLOOKUP($B270&amp;"("&amp;$B264&amp;")",Players!$S$4:$T$132,2,FALSE)),"",VLOOKUP($B270&amp;"("&amp;$B264&amp;")",Players!$S$4:$T$132,2,FALSE))</f>
        <v>B1</v>
      </c>
      <c r="C295" s="140" t="str">
        <f ca="1">IF(ISERROR(VLOOKUP($B277&amp;"("&amp;$B264&amp;")",Players!$S$4:$T$132,2,FALSE)),"",VLOOKUP($B277&amp;"("&amp;$B264&amp;")",Players!$S$4:$T$132,2,FALSE))</f>
        <v>B1</v>
      </c>
      <c r="D295" s="141" t="str">
        <f ca="1">IF(ISERROR(VLOOKUP($B284&amp;"("&amp;$B264&amp;")",Players!$S$4:$T$132,2,FALSE)),"",VLOOKUP($B284&amp;"("&amp;$B264&amp;")",Players!$S$4:$T$132,2,FALSE))</f>
        <v>B1</v>
      </c>
      <c r="E295" s="141" t="str">
        <f ca="1">IF(ISERROR(VLOOKUP($B291&amp;"("&amp;$B264&amp;")",Players!$S$4:$T$132,2,FALSE)),"",VLOOKUP($B291&amp;"("&amp;$B264&amp;")",Players!$S$4:$T$132,2,FALSE))</f>
        <v>B1</v>
      </c>
      <c r="F295" s="141" t="str">
        <f ca="1">IF(ISERROR(VLOOKUP($B272&amp;"("&amp;$K264&amp;")",Players!$S$4:$T$132,2,FALSE)),"",VLOOKUP($B272&amp;"("&amp;$K264&amp;")",Players!$S$4:$T$132,2,FALSE))</f>
        <v>C1</v>
      </c>
      <c r="G295" s="141" t="str">
        <f ca="1">IF(ISERROR(VLOOKUP($B279&amp;"("&amp;$K264&amp;")",Players!$S$4:$T$132,2,FALSE)),"",VLOOKUP($B279&amp;"("&amp;$K264&amp;")",Players!$S$4:$T$132,2,FALSE))</f>
        <v>C1</v>
      </c>
      <c r="H295" s="141" t="str">
        <f ca="1">IF(ISERROR(VLOOKUP($B286&amp;"("&amp;$K264&amp;")",Players!$S$4:$T$132,2,FALSE)),"",VLOOKUP($B286&amp;"("&amp;$K264&amp;")",Players!$S$4:$T$132,2,FALSE))</f>
        <v>C1</v>
      </c>
      <c r="I295" s="141" t="str">
        <f ca="1">IF(ISERROR(VLOOKUP($B293&amp;"("&amp;$K264&amp;")",Players!$S$4:$T$132,2,FALSE)),"",VLOOKUP($B293&amp;"("&amp;$K264&amp;")",Players!$S$4:$T$132,2,FALSE))</f>
        <v>C1</v>
      </c>
      <c r="Q295" s="7"/>
      <c r="R295" s="50"/>
      <c r="S295" s="116"/>
      <c r="T295" s="115"/>
      <c r="U295" s="115"/>
      <c r="V295" s="115"/>
      <c r="W295" s="115"/>
      <c r="X295" s="115"/>
      <c r="Y295" s="99"/>
      <c r="Z295" s="99"/>
      <c r="AA295" s="99"/>
      <c r="AB295" s="99"/>
      <c r="AC295" s="117"/>
      <c r="AD295" s="118"/>
      <c r="AE295" s="114"/>
      <c r="AF295" s="114"/>
    </row>
    <row r="296" spans="1:32" ht="12.75" customHeight="1">
      <c r="A296" s="21" t="s">
        <v>1225</v>
      </c>
      <c r="H296" s="136" t="str">
        <f ca="1">IF($Q298&lt;&gt;"",IF(AND($B299&lt;&gt;"Missing Player",$B301&lt;&gt;"Missing Player"),IF(AND(AND($H298&gt;-1,$H300&gt;-1),OR($H298&gt;10,$H300&gt;10),ABS($H298-$H300)&gt;1,IF(OR($H298&gt;11,$H300&gt;11),ABS($H298-$H300)=2,TRUE),$H298=INT($H298),$H300=INT($H300)),"","Error"),""),"")</f>
        <v/>
      </c>
      <c r="I296" s="136" t="str">
        <f ca="1">IF($Q298&lt;&gt;"",IF(AND($B299&lt;&gt;"Missing Player",$B301&lt;&gt;"Missing Player"),IF(AND(AND($I298&gt;-1,$I300&gt;-1),OR($I298&gt;10,$I300&gt;10),ABS($I298-$I300)&gt;1,IF(OR($I298&gt;11,$I300&gt;11),ABS($I298-$I300)=2,TRUE),$I298=INT($I298),$I300=INT($I300)),"","Error"),""),"")</f>
        <v/>
      </c>
      <c r="J296" s="136" t="str">
        <f ca="1">IF($Q298&lt;&gt;"",IF(AND($B299&lt;&gt;"Missing Player",$B301&lt;&gt;"Missing Player"),IF(AND(AND($J298&gt;-1,$J300&gt;-1),OR($J298&gt;10,$J300&gt;10),ABS($J298-$J300)&gt;1,IF(OR($J298&gt;11,$J300&gt;11),ABS($J298-$J300)=2,TRUE),$J298=INT($J298),$J300=INT($J300)),"","Error"),""),"")</f>
        <v/>
      </c>
      <c r="K296" s="136" t="str">
        <f ca="1">IF($Q298&lt;&gt;"",IF(AND($K298&lt;&gt;"",$K300&lt;&gt;""), IF(AND(AND($K298&gt;-1,$K300&gt;-1),OR($K298&gt;10,$K300&gt;10),ABS($K298-$K300)&gt;1,IF(OR($K298&gt;11,$K300&gt;11),ABS($K298-$K300)=2,TRUE),$K298=INT($K298),$K300=INT($K300)),"","Error"),""),"")</f>
        <v/>
      </c>
      <c r="L296" s="136" t="str">
        <f ca="1">IF($Q298&lt;&gt;"",IF(AND($L298&lt;&gt;"",$L300&lt;&gt;""), IF(AND(AND($L298&gt;-1,$L300&gt;-1),OR($L298&gt;10,$L300&gt;10),ABS($L298-$L300)&gt;1,IF(OR($L298&gt;11,$L300&gt;11),ABS($L298-$L300)=2,TRUE),$L298=INT($L298),$L300=INT($L300)),"","Error"),""),"")</f>
        <v/>
      </c>
      <c r="Q296" s="7"/>
      <c r="R296" s="114"/>
      <c r="S296" s="115"/>
      <c r="T296" s="115"/>
      <c r="U296" s="115"/>
      <c r="V296" s="115"/>
      <c r="W296" s="115"/>
      <c r="X296" s="115"/>
      <c r="Y296" s="114"/>
      <c r="Z296" s="114"/>
      <c r="AA296" s="114"/>
      <c r="AB296" s="114"/>
      <c r="AC296" s="114"/>
      <c r="AD296" s="114"/>
      <c r="AE296" s="114"/>
      <c r="AF296" s="114"/>
    </row>
    <row r="297" spans="1:32" ht="12.75" customHeight="1">
      <c r="A297" s="5" t="s">
        <v>1228</v>
      </c>
      <c r="B297" s="290" t="s">
        <v>1126</v>
      </c>
      <c r="C297" s="291"/>
      <c r="D297" s="291"/>
      <c r="E297" s="291"/>
      <c r="F297" s="291"/>
      <c r="G297" s="292"/>
      <c r="H297" s="5">
        <v>1</v>
      </c>
      <c r="I297" s="5">
        <v>2</v>
      </c>
      <c r="J297" s="5">
        <v>3</v>
      </c>
      <c r="K297" s="5">
        <v>4</v>
      </c>
      <c r="L297" s="5">
        <v>5</v>
      </c>
      <c r="M297" s="271"/>
      <c r="N297" s="272"/>
      <c r="O297" s="272"/>
      <c r="P297" s="273"/>
      <c r="Q297" s="8"/>
      <c r="S297" s="24"/>
      <c r="T297" s="26"/>
    </row>
    <row r="298" spans="1:32" ht="12.75" customHeight="1">
      <c r="A298" s="300" t="str">
        <f>B264</f>
        <v>B</v>
      </c>
      <c r="B298" s="311" t="str">
        <f ca="1">IF($B270&lt;&gt;"",$B270,"")</f>
        <v/>
      </c>
      <c r="C298" s="312"/>
      <c r="D298" s="312"/>
      <c r="E298" s="312"/>
      <c r="F298" s="312"/>
      <c r="G298" s="313"/>
      <c r="H298" s="265"/>
      <c r="I298" s="265"/>
      <c r="J298" s="265"/>
      <c r="K298" s="265"/>
      <c r="L298" s="265" t="str">
        <f ca="1">IF($B291&lt;&gt;"",IF(AND($B291="Missing Player",$G302=2,$J302=2),0,IF(AND($B293="Missing Player",$G302=2,$J302=2),11,"")),"")</f>
        <v/>
      </c>
      <c r="M298" s="262" t="str">
        <f ca="1">IF(OR(AND($B298&lt;&gt;"",$B299&lt;&gt;"",$B298=$B299),AND($B300&lt;&gt;"",$B301&lt;&gt;"",$B300=$B301)),"Invalid Partner","")</f>
        <v/>
      </c>
      <c r="N298" s="263"/>
      <c r="O298" s="263"/>
      <c r="P298" s="264"/>
      <c r="Q298" s="138" t="str">
        <f ca="1">IF(L298=L300,IF(K298=K300,IF(J298&lt;&gt;"",IF(J298&gt;J300,"W","L"),""),IF(K298&gt;K300,"W","L")),IF(L298&gt;L300,"W","L"))</f>
        <v/>
      </c>
      <c r="S298" s="24"/>
      <c r="T298" s="26"/>
    </row>
    <row r="299" spans="1:32" ht="12.75" customHeight="1">
      <c r="A299" s="324"/>
      <c r="B299" s="308" t="str">
        <f ca="1">IF($B291="Missing Player",$B291,"")</f>
        <v/>
      </c>
      <c r="C299" s="309"/>
      <c r="D299" s="309"/>
      <c r="E299" s="309"/>
      <c r="F299" s="309"/>
      <c r="G299" s="310"/>
      <c r="H299" s="270"/>
      <c r="I299" s="270"/>
      <c r="J299" s="270"/>
      <c r="K299" s="270"/>
      <c r="L299" s="270"/>
      <c r="M299" s="262"/>
      <c r="N299" s="263"/>
      <c r="O299" s="263"/>
      <c r="P299" s="264"/>
      <c r="Q299" s="139" t="str">
        <f ca="1">IF($Q298&lt;&gt;"",IF($B301&lt;&gt;"Missing Player",IF($Q298="W",IF(SUM(IF($H298&gt;$H300,1,0),IF($I298&gt;$I300,1,0),IF($J298&gt;$J300,1,0),IF($K298&gt;$K300,1,0),IF($L298&gt;$L300,1,0))&lt;&gt;3,"Error",""),""),""),"")</f>
        <v/>
      </c>
      <c r="R299" s="328" t="str">
        <f>$A265</f>
        <v/>
      </c>
      <c r="S299" s="328"/>
      <c r="T299" s="328"/>
      <c r="U299" s="328"/>
      <c r="V299" s="328"/>
      <c r="W299" s="328"/>
      <c r="X299" s="256" t="str">
        <f>CONCATENATE("(",$B264," vs ",$K264,")")</f>
        <v>(B vs C)</v>
      </c>
      <c r="Y299" s="256"/>
      <c r="Z299" s="328" t="str">
        <f>$J265</f>
        <v/>
      </c>
      <c r="AA299" s="328"/>
      <c r="AB299" s="328"/>
      <c r="AC299" s="328"/>
      <c r="AD299" s="328"/>
      <c r="AE299" s="328"/>
      <c r="AF299" s="43"/>
    </row>
    <row r="300" spans="1:32" ht="12.75" customHeight="1">
      <c r="A300" s="325" t="str">
        <f>K264</f>
        <v>C</v>
      </c>
      <c r="B300" s="311" t="str">
        <f ca="1">IF($B272&lt;&gt;"",$B272,"")</f>
        <v/>
      </c>
      <c r="C300" s="312"/>
      <c r="D300" s="312"/>
      <c r="E300" s="312"/>
      <c r="F300" s="312"/>
      <c r="G300" s="313"/>
      <c r="H300" s="265"/>
      <c r="I300" s="265"/>
      <c r="J300" s="265"/>
      <c r="K300" s="265"/>
      <c r="L300" s="265" t="str">
        <f ca="1">IF($B293&lt;&gt;"",IF(AND($B293="Missing Player",$G302=2,$J302=2),0,IF(AND($B291="Missing Player",$G302=2,$J302=2),11,"")),"")</f>
        <v/>
      </c>
      <c r="M300" s="267" t="s">
        <v>1237</v>
      </c>
      <c r="N300" s="268"/>
      <c r="O300" s="268"/>
      <c r="P300" s="269"/>
      <c r="Q300" s="138" t="str">
        <f ca="1">IF(Q298&lt;&gt;"",IF(Q298="W","L","W"),"")</f>
        <v/>
      </c>
      <c r="R300" s="43"/>
      <c r="S300" s="43"/>
      <c r="T300" s="43"/>
      <c r="U300" s="43"/>
      <c r="V300" s="43"/>
      <c r="W300" s="43"/>
      <c r="X300" s="43"/>
      <c r="Y300" s="43"/>
      <c r="Z300" s="43"/>
      <c r="AA300" s="43"/>
      <c r="AB300" s="43"/>
      <c r="AC300" s="43"/>
      <c r="AD300" s="43"/>
      <c r="AE300" s="43"/>
      <c r="AF300" s="43"/>
    </row>
    <row r="301" spans="1:32" ht="12.75" customHeight="1">
      <c r="A301" s="324"/>
      <c r="B301" s="308" t="str">
        <f ca="1">IF($B293="Missing Player",$B293,"")</f>
        <v/>
      </c>
      <c r="C301" s="309"/>
      <c r="D301" s="309"/>
      <c r="E301" s="309"/>
      <c r="F301" s="309"/>
      <c r="G301" s="310"/>
      <c r="H301" s="270"/>
      <c r="I301" s="270"/>
      <c r="J301" s="266"/>
      <c r="K301" s="266"/>
      <c r="L301" s="266"/>
      <c r="M301" s="267"/>
      <c r="N301" s="268"/>
      <c r="O301" s="268"/>
      <c r="P301" s="269"/>
      <c r="Q301" s="139" t="str">
        <f ca="1">IF($Q300&lt;&gt;"",IF($B299&lt;&gt;"Missing Player",IF($Q300="W",IF(SUM(IF($H300&gt;$H298,1,0),IF($I300&gt;$I298,1,0),IF($J300&gt;$J298,1,0),IF($K300&gt;$K298,1,0),IF($L300&gt;$L298,1,0))&lt;&gt;3,"Error",""),""),""),"")</f>
        <v/>
      </c>
      <c r="R301" s="43" t="str">
        <f>A289</f>
        <v>4th Singles</v>
      </c>
      <c r="S301" s="43"/>
      <c r="T301" s="43"/>
      <c r="U301" s="43"/>
      <c r="V301" s="43"/>
      <c r="W301" s="43"/>
      <c r="X301" s="43"/>
      <c r="Y301" s="43"/>
      <c r="Z301" s="43"/>
      <c r="AA301" s="43"/>
      <c r="AB301" s="43"/>
      <c r="AC301" s="43"/>
      <c r="AD301" s="43"/>
      <c r="AE301" s="43"/>
      <c r="AF301" s="43"/>
    </row>
    <row r="302" spans="1:32" ht="12.75" customHeight="1">
      <c r="G302" s="66">
        <f ca="1">COUNTIF($Q270:$Q270,"W")+COUNTIF($Q277:$Q277,"W")+COUNTIF($Q284:$Q284,"W")+COUNTIF($Q291:$Q291,"W")</f>
        <v>0</v>
      </c>
      <c r="J302" s="66">
        <f ca="1">COUNTIF($Q272:$Q272,"W")+COUNTIF($Q279:$Q279,"W")+COUNTIF($Q286:$Q286,"W")+COUNTIF($Q293:$Q293,"W")</f>
        <v>0</v>
      </c>
      <c r="R302" s="60" t="s">
        <v>1228</v>
      </c>
      <c r="S302" s="339" t="s">
        <v>1126</v>
      </c>
      <c r="T302" s="340"/>
      <c r="U302" s="340"/>
      <c r="V302" s="340"/>
      <c r="W302" s="340"/>
      <c r="X302" s="341"/>
      <c r="Y302" s="60">
        <v>1</v>
      </c>
      <c r="Z302" s="60">
        <v>2</v>
      </c>
      <c r="AA302" s="60">
        <v>3</v>
      </c>
      <c r="AB302" s="60">
        <v>4</v>
      </c>
      <c r="AC302" s="60">
        <v>5</v>
      </c>
      <c r="AD302" s="342"/>
      <c r="AE302" s="343"/>
      <c r="AF302" s="344"/>
    </row>
    <row r="303" spans="1:32" ht="12.75" customHeight="1" thickBot="1">
      <c r="F303" s="246" t="s">
        <v>1238</v>
      </c>
      <c r="G303" s="246"/>
      <c r="H303" s="246"/>
      <c r="I303" s="246"/>
      <c r="J303" s="246"/>
      <c r="K303" s="246"/>
      <c r="R303" s="300" t="str">
        <f>B264</f>
        <v>B</v>
      </c>
      <c r="S303" s="331" t="str">
        <f ca="1">IF($B291&lt;&gt;"",$B291,"")</f>
        <v/>
      </c>
      <c r="T303" s="353"/>
      <c r="U303" s="353"/>
      <c r="V303" s="353"/>
      <c r="W303" s="353"/>
      <c r="X303" s="354"/>
      <c r="Y303" s="329"/>
      <c r="Z303" s="329"/>
      <c r="AA303" s="351"/>
      <c r="AB303" s="351"/>
      <c r="AC303" s="351"/>
      <c r="AD303" s="345"/>
      <c r="AE303" s="346"/>
      <c r="AF303" s="347"/>
    </row>
    <row r="304" spans="1:32" ht="12.75" customHeight="1">
      <c r="A304" s="22"/>
      <c r="B304" s="22"/>
      <c r="C304" s="22"/>
      <c r="D304" s="22"/>
      <c r="E304" s="22"/>
      <c r="G304" s="304" t="str">
        <f>B264</f>
        <v>B</v>
      </c>
      <c r="H304" s="305"/>
      <c r="I304" s="302" t="str">
        <f>K264</f>
        <v>C</v>
      </c>
      <c r="J304" s="303"/>
      <c r="L304" s="22"/>
      <c r="M304" s="22"/>
      <c r="N304" s="22"/>
      <c r="O304" s="22"/>
      <c r="P304" s="22"/>
      <c r="R304" s="301"/>
      <c r="S304" s="355"/>
      <c r="T304" s="356"/>
      <c r="U304" s="356"/>
      <c r="V304" s="356"/>
      <c r="W304" s="356"/>
      <c r="X304" s="357"/>
      <c r="Y304" s="338"/>
      <c r="Z304" s="338"/>
      <c r="AA304" s="352"/>
      <c r="AB304" s="352"/>
      <c r="AC304" s="352"/>
      <c r="AD304" s="348"/>
      <c r="AE304" s="349"/>
      <c r="AF304" s="350"/>
    </row>
    <row r="305" spans="1:32" ht="12.75" customHeight="1" thickBot="1">
      <c r="A305" s="2" t="s">
        <v>1228</v>
      </c>
      <c r="B305" s="53" t="str">
        <f>B264</f>
        <v>B</v>
      </c>
      <c r="C305" s="3" t="s">
        <v>1226</v>
      </c>
      <c r="F305" s="66" t="str">
        <f>CONCATENATE($B264,"-",$K264)</f>
        <v>B-C</v>
      </c>
      <c r="G305" s="320" t="str">
        <f ca="1">IF(OR(Q270&lt;&gt;"",Q277&lt;&gt;"",Q284&lt;&gt;"",Q291&lt;&gt;"",Q298&lt;&gt;""),COUNTIF(Q270:Q270,"W")+COUNTIF(Q277:Q277,"W")+COUNTIF(Q284:Q284,"W")+COUNTIF(Q291:Q291,"W")+COUNTIF(Q298:Q298,"W"),"")</f>
        <v/>
      </c>
      <c r="H305" s="321"/>
      <c r="I305" s="322" t="str">
        <f ca="1">IF(OR(Q272&lt;&gt;"",Q279&lt;&gt;"",Q286&lt;&gt;"",Q293&lt;&gt;"",Q300&lt;&gt;""),COUNTIF(Q272:Q272,"W")+COUNTIF(Q279:Q279,"W")+COUNTIF(Q286:Q286,"W")+COUNTIF(Q293:Q293,"W")+COUNTIF(Q300:Q300,"W"),"")</f>
        <v/>
      </c>
      <c r="J305" s="323"/>
      <c r="L305" s="2" t="s">
        <v>1228</v>
      </c>
      <c r="M305" s="53" t="str">
        <f>K264</f>
        <v>C</v>
      </c>
      <c r="N305" s="3" t="s">
        <v>1226</v>
      </c>
      <c r="R305" s="300" t="str">
        <f>K264</f>
        <v>C</v>
      </c>
      <c r="S305" s="331" t="str">
        <f ca="1">IF($B293&lt;&gt;"",$B293,"")</f>
        <v/>
      </c>
      <c r="T305" s="332"/>
      <c r="U305" s="332"/>
      <c r="V305" s="332"/>
      <c r="W305" s="332"/>
      <c r="X305" s="333"/>
      <c r="Y305" s="329"/>
      <c r="Z305" s="329"/>
      <c r="AA305" s="351"/>
      <c r="AB305" s="351"/>
      <c r="AC305" s="351"/>
      <c r="AD305" s="363" t="s">
        <v>1237</v>
      </c>
      <c r="AE305" s="358"/>
      <c r="AF305" s="359"/>
    </row>
    <row r="306" spans="1:32" ht="12.75" customHeight="1">
      <c r="F306" s="25" t="s">
        <v>3996</v>
      </c>
      <c r="G306" s="23"/>
      <c r="H306" s="23"/>
      <c r="I306" s="23"/>
      <c r="J306" s="23"/>
      <c r="K306" s="24"/>
      <c r="R306" s="330"/>
      <c r="S306" s="334"/>
      <c r="T306" s="335"/>
      <c r="U306" s="335"/>
      <c r="V306" s="335"/>
      <c r="W306" s="335"/>
      <c r="X306" s="336"/>
      <c r="Y306" s="330"/>
      <c r="Z306" s="330"/>
      <c r="AA306" s="330"/>
      <c r="AB306" s="330"/>
      <c r="AC306" s="330"/>
      <c r="AD306" s="360"/>
      <c r="AE306" s="361"/>
      <c r="AF306" s="362"/>
    </row>
    <row r="307" spans="1:32" ht="12.75" customHeight="1">
      <c r="R307" s="1"/>
      <c r="S307" s="110"/>
      <c r="T307" s="110"/>
      <c r="U307" s="110"/>
      <c r="V307" s="110"/>
      <c r="W307" s="110"/>
      <c r="X307" s="111"/>
      <c r="Y307" s="111"/>
      <c r="Z307" s="111"/>
      <c r="AA307" s="111"/>
    </row>
    <row r="308" spans="1:32" ht="12.75" customHeight="1">
      <c r="F308" s="246" t="s">
        <v>4929</v>
      </c>
      <c r="G308" s="246"/>
      <c r="H308" s="246"/>
      <c r="I308" s="246"/>
      <c r="R308" s="1"/>
      <c r="S308" s="110"/>
      <c r="T308" s="110"/>
      <c r="U308" s="110"/>
      <c r="V308" s="110"/>
      <c r="W308" s="110"/>
      <c r="X308" s="111"/>
      <c r="Y308" s="111"/>
      <c r="Z308" s="111"/>
      <c r="AA308" s="111"/>
    </row>
    <row r="309" spans="1:32" ht="12.75" customHeight="1">
      <c r="F309" s="246" t="s">
        <v>4930</v>
      </c>
      <c r="G309" s="246"/>
      <c r="H309" s="246"/>
      <c r="I309" s="246"/>
      <c r="R309" s="1"/>
      <c r="S309" s="110"/>
      <c r="T309" s="110"/>
      <c r="U309" s="110"/>
      <c r="V309" s="110"/>
      <c r="W309" s="110"/>
      <c r="X309" s="111"/>
      <c r="Y309" s="111"/>
      <c r="Z309" s="111"/>
      <c r="AA309" s="111"/>
    </row>
    <row r="310" spans="1:32" ht="12.75" customHeight="1">
      <c r="K310" s="281" t="s">
        <v>1244</v>
      </c>
      <c r="L310" s="281"/>
      <c r="M310" s="281"/>
      <c r="N310" s="281"/>
      <c r="O310" s="281"/>
      <c r="P310" s="281"/>
      <c r="R310" s="1"/>
      <c r="S310" s="110"/>
      <c r="T310" s="110"/>
      <c r="U310" s="110"/>
      <c r="V310" s="110"/>
      <c r="W310" s="110"/>
      <c r="X310" s="111"/>
      <c r="Y310" s="111"/>
      <c r="Z310" s="111"/>
      <c r="AA310" s="111"/>
    </row>
    <row r="311" spans="1:32" ht="12.75" customHeight="1">
      <c r="A311" s="12" t="s">
        <v>1229</v>
      </c>
      <c r="B311" s="11"/>
      <c r="C311" s="11"/>
      <c r="D311" s="11" t="str">
        <f>Draw!$B$1</f>
        <v>Enter Division Name</v>
      </c>
      <c r="E311" s="11"/>
      <c r="F311" s="7"/>
      <c r="G311" s="6"/>
      <c r="H311" s="7"/>
      <c r="I311" s="11"/>
      <c r="J311" s="11"/>
      <c r="K311" s="11"/>
      <c r="L311" s="11"/>
      <c r="M311" s="281"/>
      <c r="N311" s="281"/>
      <c r="O311" s="281"/>
      <c r="P311" s="281"/>
      <c r="R311" s="1"/>
      <c r="S311" s="110"/>
      <c r="T311" s="110"/>
      <c r="U311" s="110"/>
      <c r="V311" s="110"/>
      <c r="W311" s="110"/>
      <c r="X311" s="111"/>
      <c r="Y311" s="111"/>
      <c r="Z311" s="111"/>
      <c r="AA311" s="111"/>
    </row>
    <row r="312" spans="1:32" ht="12.75" customHeight="1">
      <c r="A312" s="2" t="s">
        <v>1230</v>
      </c>
      <c r="D312" s="43" t="str">
        <f>Draw!$D$1</f>
        <v>Enter Hosting Location (City, ST)</v>
      </c>
      <c r="J312" s="43" t="str">
        <f ca="1">$J$6</f>
        <v>[NCTTA Teams Template (v2.06).xlsx]</v>
      </c>
      <c r="R312" s="1"/>
      <c r="S312" s="110"/>
      <c r="T312" s="110"/>
      <c r="U312" s="110"/>
      <c r="V312" s="110"/>
      <c r="W312" s="110"/>
      <c r="X312" s="111"/>
      <c r="Y312" s="111"/>
      <c r="Z312" s="111"/>
      <c r="AA312" s="111"/>
    </row>
    <row r="313" spans="1:32" ht="12.75" customHeight="1">
      <c r="A313" s="2" t="s">
        <v>1231</v>
      </c>
      <c r="D313" s="337" t="str">
        <f>Draw!$P$1</f>
        <v>Enter Date</v>
      </c>
      <c r="E313" s="337"/>
      <c r="F313" s="337"/>
      <c r="G313" s="337"/>
      <c r="J313" s="280" t="str">
        <f>CHOOSE(Draw!$T$1,"Round 2, Match 1","Round 3, Match 1","Round 1, Match 3","Round 1, Match 3","Round 4, Match 1","Round 3, Match 1","Round 3, Match 1","Round 2, Match 3","Round 2, Match 3","Round 2, Match 2","Round 2, Match 2")</f>
        <v>Round 1, Match 3</v>
      </c>
      <c r="K313" s="280"/>
      <c r="L313" s="280"/>
      <c r="M313" s="276" t="str">
        <f>IF(AND($J313&lt;&gt;"",Draw!$AC$10&lt;&gt;"",Draw!$AC$13&lt;&gt;""),Draw!$AC$10+TIME(0,VALUE(MID($J313,7,FIND(",",$J313)-FIND(" ",$J313)-1)-1)*Draw!$AC$13,0),"")</f>
        <v/>
      </c>
      <c r="N313" s="276"/>
      <c r="O313" s="157" t="str">
        <f>$F356</f>
        <v>E-G</v>
      </c>
      <c r="R313" s="1"/>
      <c r="S313" s="110"/>
      <c r="T313" s="110"/>
      <c r="U313" s="110"/>
      <c r="V313" s="110"/>
      <c r="W313" s="110"/>
      <c r="X313" s="111"/>
      <c r="Y313" s="111"/>
      <c r="Z313" s="111"/>
      <c r="AA313" s="111"/>
    </row>
    <row r="314" spans="1:32" ht="12.75" customHeight="1">
      <c r="A314" s="14"/>
      <c r="B314" s="15"/>
      <c r="C314" s="15"/>
      <c r="D314" s="15"/>
      <c r="E314" s="15"/>
      <c r="F314" s="14"/>
      <c r="G314" s="14"/>
      <c r="H314" s="16"/>
      <c r="I314" s="14"/>
      <c r="J314" s="15"/>
      <c r="K314" s="15"/>
      <c r="L314" s="15"/>
      <c r="M314" s="15"/>
      <c r="N314" s="15"/>
      <c r="O314" s="364" t="str">
        <f>IF(OR(AND(VLOOKUP($B315,$AM$1:$AX$12,12,FALSE)="C",VLOOKUP($K315,$AM$1:$AX$12,12,FALSE)="C"),AND(VLOOKUP($B315,$AM$1:$AX$12,12,FALSE)="W",VLOOKUP($K315,$AM$1:$AX$12,12,FALSE)="W")),"Official",IF(AND($A316="",$J316=""),"","Scrimmage"))</f>
        <v/>
      </c>
      <c r="P314" s="364"/>
      <c r="R314" s="1"/>
      <c r="S314" s="110"/>
      <c r="T314" s="110"/>
      <c r="U314" s="110"/>
      <c r="V314" s="110"/>
      <c r="W314" s="110"/>
      <c r="X314" s="111"/>
      <c r="Y314" s="111"/>
      <c r="Z314" s="111"/>
      <c r="AA314" s="111"/>
    </row>
    <row r="315" spans="1:32" ht="12.75" customHeight="1">
      <c r="A315" s="17" t="s">
        <v>1228</v>
      </c>
      <c r="B315" s="119" t="str">
        <f>CHOOSE(Draw!$T$1,"A","A","E","G","A","A","A","B","C","H","B")</f>
        <v>E</v>
      </c>
      <c r="C315" s="135">
        <f>VLOOKUP($B315,$AM$1:$AN$12,2)</f>
        <v>5</v>
      </c>
      <c r="D315" s="13"/>
      <c r="E315" s="13"/>
      <c r="F315" s="10"/>
      <c r="H315" s="19" t="s">
        <v>1232</v>
      </c>
      <c r="J315" s="17" t="s">
        <v>1228</v>
      </c>
      <c r="K315" s="119" t="str">
        <f>CHOOSE(Draw!$T$1,"K","C","G","I","B","C","E","E","F","J","I")</f>
        <v>G</v>
      </c>
      <c r="L315" s="135">
        <f>VLOOKUP($K315,$AM$1:$AN$12,2)</f>
        <v>7</v>
      </c>
      <c r="M315" s="13"/>
      <c r="N315" s="13"/>
      <c r="O315" s="18"/>
      <c r="P315" s="274"/>
      <c r="Q315" s="275"/>
      <c r="R315" s="1"/>
      <c r="S315" s="110"/>
      <c r="T315" s="110"/>
      <c r="U315" s="110"/>
      <c r="V315" s="110"/>
      <c r="W315" s="110"/>
      <c r="X315" s="111"/>
      <c r="Y315" s="111"/>
      <c r="Z315" s="111"/>
      <c r="AA315" s="111"/>
    </row>
    <row r="316" spans="1:32" ht="12.75" customHeight="1">
      <c r="A316" s="277" t="str">
        <f>IF(VLOOKUP($B315,Draw!$A$4:$B$27,2)&lt;&gt;0,VLOOKUP($B315,Draw!$A$4:$B$27,2),"")</f>
        <v/>
      </c>
      <c r="B316" s="278"/>
      <c r="C316" s="278"/>
      <c r="D316" s="278"/>
      <c r="E316" s="278"/>
      <c r="F316" s="279"/>
      <c r="G316" s="306" t="s">
        <v>4158</v>
      </c>
      <c r="H316" s="289"/>
      <c r="I316" s="307"/>
      <c r="J316" s="277" t="str">
        <f>IF(VLOOKUP($K315,Draw!$A$4:$B$27,2)&lt;&gt;0,VLOOKUP($K315,Draw!$A$4:$B$27,2),"")</f>
        <v/>
      </c>
      <c r="K316" s="278"/>
      <c r="L316" s="278"/>
      <c r="M316" s="278"/>
      <c r="N316" s="278"/>
      <c r="O316" s="279"/>
      <c r="P316" s="15"/>
      <c r="R316" s="1"/>
      <c r="S316" s="110"/>
      <c r="T316" s="110"/>
      <c r="U316" s="110"/>
      <c r="V316" s="110"/>
      <c r="W316" s="110"/>
      <c r="X316" s="111"/>
      <c r="Y316" s="111"/>
      <c r="Z316" s="111"/>
      <c r="AA316" s="111"/>
    </row>
    <row r="317" spans="1:32" ht="12.75" customHeight="1">
      <c r="A317" s="14"/>
      <c r="B317" s="15"/>
      <c r="C317" s="15"/>
      <c r="D317" s="15"/>
      <c r="E317" s="15"/>
      <c r="F317" s="14"/>
      <c r="G317" s="288" t="str">
        <f>"Page "&amp;VALUE(RIGHT($G316,LEN($G316)-SEARCH("-",$G316)))/2</f>
        <v>Page 7</v>
      </c>
      <c r="H317" s="289"/>
      <c r="I317" s="289"/>
      <c r="J317" s="15"/>
      <c r="K317" s="15"/>
      <c r="L317" s="15"/>
      <c r="M317" s="15"/>
      <c r="N317" s="15"/>
      <c r="O317" s="15"/>
      <c r="P317" s="15"/>
      <c r="R317" s="1"/>
      <c r="S317" s="110"/>
      <c r="T317" s="110"/>
      <c r="U317" s="110"/>
      <c r="V317" s="110"/>
      <c r="W317" s="110"/>
      <c r="X317" s="111"/>
      <c r="Y317" s="111"/>
      <c r="Z317" s="111"/>
      <c r="AA317" s="111"/>
      <c r="AF317" s="27"/>
    </row>
    <row r="318" spans="1:32" ht="12.75" customHeight="1">
      <c r="A318" s="327" t="s">
        <v>1245</v>
      </c>
      <c r="B318" s="327"/>
      <c r="C318" s="327"/>
      <c r="D318" s="327"/>
      <c r="E318" s="327"/>
      <c r="F318" s="327"/>
      <c r="G318" s="327"/>
      <c r="H318" s="327"/>
      <c r="I318" s="327"/>
      <c r="J318" s="327"/>
      <c r="K318" s="327"/>
      <c r="L318" s="327"/>
      <c r="M318" s="327"/>
      <c r="N318" s="327"/>
      <c r="O318" s="327"/>
      <c r="P318" s="327"/>
      <c r="Q318" s="7"/>
      <c r="R318" s="1"/>
      <c r="S318" s="110"/>
      <c r="T318" s="110"/>
      <c r="U318" s="110"/>
      <c r="V318" s="110"/>
      <c r="W318" s="110"/>
      <c r="X318" s="111"/>
      <c r="Y318" s="111"/>
      <c r="Z318" s="111"/>
      <c r="AA318" s="111"/>
      <c r="AF318" s="20"/>
    </row>
    <row r="319" spans="1:32" ht="12.75" customHeight="1">
      <c r="A319" s="21" t="s">
        <v>1233</v>
      </c>
      <c r="H319" s="136" t="str">
        <f>IF($Q321&lt;&gt;"",IF(AND(AND($H321&gt;-1,$H323&gt;-1),OR($H321&gt;10,$H323&gt;10),ABS($H321-$H323)&gt;1,IF(OR($H321&gt;11,$H323&gt;11),ABS($H321-$H323)=2,TRUE),$H321=INT($H321),$H323=INT($H323)),"","Error"),"")</f>
        <v/>
      </c>
      <c r="I319" s="136" t="str">
        <f>IF($Q321&lt;&gt;"",IF(AND(AND($I321&gt;-1,$I323&gt;-1),OR($I321&gt;10,$I323&gt;10),ABS($I321-$I323)&gt;1,IF(OR($I321&gt;11,$I323&gt;11),ABS($I321-$I323)=2,TRUE),$I321=INT($I321),$I323=INT($I323)),"","Error"),"")</f>
        <v/>
      </c>
      <c r="J319" s="136" t="str">
        <f>IF($Q321&lt;&gt;"",IF(AND(AND($J321&gt;-1,$J323&gt;-1),OR($J321&gt;10,$J323&gt;10),ABS($J321-$J323)&gt;1,IF(OR($J321&gt;11,$J323&gt;11),ABS($J321-$J323)=2,TRUE),$J321=INT($J321),$J323=INT($J323)),"","Error"),"")</f>
        <v/>
      </c>
      <c r="K319" s="136" t="str">
        <f>IF($Q321&lt;&gt;"",IF(AND($K321&lt;&gt;"",$K323&lt;&gt;""), IF(AND(AND($K321&gt;-1,$K323&gt;-1),OR($K321&gt;10,$K323&gt;10),ABS($K321-$K323)&gt;1,IF(OR($K321&gt;11,$K323&gt;11),ABS($K321-$K323)=2,TRUE),$K321=INT($K321),$K323=INT($K323)),"","Error"),""),"")</f>
        <v/>
      </c>
      <c r="L319" s="136" t="str">
        <f>IF($Q321&lt;&gt;"",IF(AND($L321&lt;&gt;"",$L323&lt;&gt;""), IF(AND(AND($L321&gt;-1,$L323&gt;-1),OR($L321&gt;10,$L323&gt;10),ABS($L321-$L323)&gt;1,IF(OR($L321&gt;11,$L323&gt;11),ABS($L321-$L323)=2,TRUE),$L321=INT($L321),$L323=INT($L323)),"","Error"),""),"")</f>
        <v/>
      </c>
      <c r="R319" s="1"/>
      <c r="S319" s="110"/>
      <c r="T319" s="110"/>
      <c r="U319" s="110"/>
      <c r="V319" s="110"/>
      <c r="W319" s="110"/>
      <c r="X319" s="111"/>
      <c r="Y319" s="111"/>
      <c r="Z319" s="111"/>
      <c r="AA319" s="111"/>
    </row>
    <row r="320" spans="1:32" ht="12.75" customHeight="1">
      <c r="A320" s="5" t="s">
        <v>1228</v>
      </c>
      <c r="B320" s="290" t="s">
        <v>1126</v>
      </c>
      <c r="C320" s="291"/>
      <c r="D320" s="291"/>
      <c r="E320" s="291"/>
      <c r="F320" s="291"/>
      <c r="G320" s="292"/>
      <c r="H320" s="5">
        <v>1</v>
      </c>
      <c r="I320" s="5">
        <v>2</v>
      </c>
      <c r="J320" s="5">
        <v>3</v>
      </c>
      <c r="K320" s="5">
        <v>4</v>
      </c>
      <c r="L320" s="5">
        <v>5</v>
      </c>
      <c r="M320" s="271"/>
      <c r="N320" s="272"/>
      <c r="O320" s="272"/>
      <c r="P320" s="273"/>
      <c r="R320" s="1"/>
      <c r="S320" s="110"/>
      <c r="T320" s="110"/>
      <c r="U320" s="110"/>
      <c r="V320" s="110"/>
      <c r="W320" s="110"/>
      <c r="X320" s="111"/>
      <c r="Y320" s="111"/>
      <c r="Z320" s="111"/>
      <c r="AA320" s="111"/>
    </row>
    <row r="321" spans="1:32" ht="12.75" customHeight="1">
      <c r="A321" s="300" t="str">
        <f>B315</f>
        <v>E</v>
      </c>
      <c r="B321" s="293" t="str">
        <f ca="1">IF(AND(OFFSET($AO$1,$C315-1,8,1,1),$A316&lt;&gt;"",$J316&lt;&gt;""),CHOOSE($C315,$AO$1,$AO$2,$AO$3,$AO$4,$AO$5,$AO$6,$AO$7,$AO$8,$AO$9,$AO$10,$AO$11,$AO$12),"")</f>
        <v/>
      </c>
      <c r="C321" s="294"/>
      <c r="D321" s="294"/>
      <c r="E321" s="294"/>
      <c r="F321" s="294"/>
      <c r="G321" s="294"/>
      <c r="H321" s="265"/>
      <c r="I321" s="265"/>
      <c r="J321" s="265"/>
      <c r="K321" s="265"/>
      <c r="L321" s="265"/>
      <c r="M321" s="297"/>
      <c r="N321" s="298"/>
      <c r="O321" s="298"/>
      <c r="P321" s="299"/>
      <c r="Q321" s="137" t="str">
        <f>IF($L321=$L323,IF($K321=$K323,IF($J321&lt;&gt;"",IF($J321&gt;$J323,"W","L"),""),IF($K321&gt;$K323,"W","L")),IF($L321&gt;$L323,"W","L"))</f>
        <v/>
      </c>
      <c r="R321" s="1"/>
      <c r="S321" s="110"/>
      <c r="T321" s="110"/>
      <c r="U321" s="110"/>
      <c r="V321" s="110"/>
      <c r="W321" s="110"/>
      <c r="X321" s="111"/>
      <c r="Y321" s="111"/>
      <c r="Z321" s="111"/>
      <c r="AA321" s="111"/>
    </row>
    <row r="322" spans="1:32" ht="12.75" customHeight="1">
      <c r="A322" s="301"/>
      <c r="B322" s="295"/>
      <c r="C322" s="296"/>
      <c r="D322" s="296"/>
      <c r="E322" s="296"/>
      <c r="F322" s="296"/>
      <c r="G322" s="296"/>
      <c r="H322" s="270"/>
      <c r="I322" s="270"/>
      <c r="J322" s="270"/>
      <c r="K322" s="270"/>
      <c r="L322" s="270"/>
      <c r="M322" s="297"/>
      <c r="N322" s="298"/>
      <c r="O322" s="298"/>
      <c r="P322" s="299"/>
      <c r="Q322" s="139" t="str">
        <f>IF($Q321&lt;&gt;"",IF($Q321="W",IF(SUM(IF($H321&gt;$H323,1,0),IF($I321&gt;$I323,1,0),IF($J321&gt;$J323,1,0),IF($K321&gt;$K323,1,0),IF($L321&gt;$L323,1,0))&lt;&gt;3,"Error",""),""),"")</f>
        <v/>
      </c>
      <c r="R322" s="328" t="str">
        <f>$A316</f>
        <v/>
      </c>
      <c r="S322" s="328"/>
      <c r="T322" s="328"/>
      <c r="U322" s="328"/>
      <c r="V322" s="328"/>
      <c r="W322" s="328"/>
      <c r="X322" s="256" t="str">
        <f>CONCATENATE("(",$B315," vs ",$K315,")")</f>
        <v>(E vs G)</v>
      </c>
      <c r="Y322" s="256"/>
      <c r="Z322" s="328" t="str">
        <f>$J316</f>
        <v/>
      </c>
      <c r="AA322" s="328"/>
      <c r="AB322" s="328"/>
      <c r="AC322" s="328"/>
      <c r="AD322" s="328"/>
      <c r="AE322" s="328"/>
      <c r="AF322" s="43"/>
    </row>
    <row r="323" spans="1:32" ht="12.75" customHeight="1">
      <c r="A323" s="300" t="str">
        <f>K315</f>
        <v>G</v>
      </c>
      <c r="B323" s="293" t="str">
        <f ca="1">IF(AND(OFFSET($AO$1,$L315-1,8,1,1),$A316&lt;&gt;"",$J316&lt;&gt;""),CHOOSE($L315,$AO$1,$AO$2,$AO$3,$AO$4,$AO$5,$AO$6,$AO$7,$AO$8,$AO$9,$AO$10,$AO$11,$AO$12),"")</f>
        <v/>
      </c>
      <c r="C323" s="294"/>
      <c r="D323" s="294"/>
      <c r="E323" s="294"/>
      <c r="F323" s="294"/>
      <c r="G323" s="294"/>
      <c r="H323" s="265"/>
      <c r="I323" s="265"/>
      <c r="J323" s="265"/>
      <c r="K323" s="265"/>
      <c r="L323" s="265"/>
      <c r="M323" s="267" t="s">
        <v>1237</v>
      </c>
      <c r="N323" s="268"/>
      <c r="O323" s="268"/>
      <c r="P323" s="269"/>
      <c r="Q323" s="137" t="str">
        <f>IF($Q321&lt;&gt;"",IF($Q321="W","L","W"),"")</f>
        <v/>
      </c>
      <c r="R323" s="43"/>
      <c r="S323" s="43"/>
      <c r="T323" s="43"/>
      <c r="U323" s="43"/>
      <c r="V323" s="43"/>
      <c r="W323" s="43"/>
      <c r="X323" s="43"/>
      <c r="Y323" s="43"/>
      <c r="Z323" s="43"/>
      <c r="AA323" s="43"/>
      <c r="AB323" s="43"/>
      <c r="AC323" s="43"/>
      <c r="AD323" s="43"/>
      <c r="AE323" s="43"/>
      <c r="AF323" s="43"/>
    </row>
    <row r="324" spans="1:32" ht="12.75" customHeight="1">
      <c r="A324" s="301"/>
      <c r="B324" s="295"/>
      <c r="C324" s="296"/>
      <c r="D324" s="296"/>
      <c r="E324" s="296"/>
      <c r="F324" s="296"/>
      <c r="G324" s="296"/>
      <c r="H324" s="270"/>
      <c r="I324" s="270"/>
      <c r="J324" s="266"/>
      <c r="K324" s="266"/>
      <c r="L324" s="266"/>
      <c r="M324" s="267"/>
      <c r="N324" s="268"/>
      <c r="O324" s="268"/>
      <c r="P324" s="269"/>
      <c r="Q324" s="139" t="str">
        <f>IF($Q323&lt;&gt;"",IF($Q323="W",IF(SUM(IF($H323&gt;$H321,1,0),IF($I323&gt;$I321,1,0),IF($J323&gt;$J321,1,0),IF($K323&gt;$K321,1,0),IF($L323&gt;$L321,1,0))&lt;&gt;3,"Error",""),""),"")</f>
        <v/>
      </c>
      <c r="R324" s="43" t="str">
        <f>$A326</f>
        <v>2nd Singles</v>
      </c>
      <c r="S324" s="43"/>
      <c r="T324" s="43"/>
      <c r="U324" s="43"/>
      <c r="V324" s="43"/>
      <c r="W324" s="43"/>
      <c r="X324" s="43"/>
      <c r="Y324" s="43"/>
      <c r="Z324" s="43"/>
      <c r="AA324" s="43"/>
      <c r="AB324" s="43"/>
      <c r="AC324" s="43"/>
      <c r="AD324" s="43"/>
      <c r="AE324" s="43"/>
      <c r="AF324" s="43"/>
    </row>
    <row r="325" spans="1:32" ht="12.75" customHeight="1">
      <c r="Q325" s="7"/>
      <c r="R325" s="60" t="s">
        <v>1228</v>
      </c>
      <c r="S325" s="339" t="s">
        <v>1126</v>
      </c>
      <c r="T325" s="340"/>
      <c r="U325" s="340"/>
      <c r="V325" s="340"/>
      <c r="W325" s="340"/>
      <c r="X325" s="341"/>
      <c r="Y325" s="60">
        <v>1</v>
      </c>
      <c r="Z325" s="60">
        <v>2</v>
      </c>
      <c r="AA325" s="60">
        <v>3</v>
      </c>
      <c r="AB325" s="60">
        <v>4</v>
      </c>
      <c r="AC325" s="60">
        <v>5</v>
      </c>
      <c r="AD325" s="342"/>
      <c r="AE325" s="343"/>
      <c r="AF325" s="344"/>
    </row>
    <row r="326" spans="1:32" ht="12.75" customHeight="1">
      <c r="A326" s="21" t="s">
        <v>1234</v>
      </c>
      <c r="H326" s="136" t="str">
        <f>IF($Q328&lt;&gt;"",IF(AND(AND($H328&gt;-1,$H330&gt;-1),OR($H328&gt;10,$H330&gt;10),ABS($H328-$H330)&gt;1,IF(OR($H328&gt;11,$H330&gt;11),ABS($H328-$H330)=2,TRUE),$H328=INT($H328),$H330=INT($H330)),"","Error"),"")</f>
        <v/>
      </c>
      <c r="I326" s="136" t="str">
        <f>IF($Q328&lt;&gt;"",IF(AND(AND($I328&gt;-1,$I330&gt;-1),OR($I328&gt;10,$I330&gt;10),ABS($I328-$I330)&gt;1,IF(OR($I328&gt;11,$I330&gt;11),ABS($I328-$I330)=2,TRUE),$I328=INT($I328),$I330=INT($I330)),"","Error"),"")</f>
        <v/>
      </c>
      <c r="J326" s="136" t="str">
        <f>IF($Q328&lt;&gt;"",IF(AND(AND($J328&gt;-1,$J330&gt;-1),OR($J328&gt;10,$J330&gt;10),ABS($J328-$J330)&gt;1,IF(OR($J328&gt;11,$J330&gt;11),ABS($J328-$J330)=2,TRUE),$J328=INT($J328),$J330=INT($J330)),"","Error"),"")</f>
        <v/>
      </c>
      <c r="K326" s="136" t="str">
        <f>IF($Q328&lt;&gt;"",IF(AND($K328&lt;&gt;"",$K330&lt;&gt;""), IF(AND(AND($K328&gt;-1,$K330&gt;-1),OR($K328&gt;10,$K330&gt;10),ABS($K328-$K330)&gt;1,IF(OR($K328&gt;11,$K330&gt;11),ABS($K328-$K330)=2,TRUE),$K328=INT($K328),$K330=INT($K330)),"","Error"),""),"")</f>
        <v/>
      </c>
      <c r="L326" s="136" t="str">
        <f>IF($Q328&lt;&gt;"",IF(AND($L328&lt;&gt;"",$L330&lt;&gt;""), IF(AND(AND($L328&gt;-1,$L330&gt;-1),OR($L328&gt;10,$L330&gt;10),ABS($L328-$L330)&gt;1,IF(OR($L328&gt;11,$L330&gt;11),ABS($L328-$L330)=2,TRUE),$L328=INT($L328),$L330=INT($L330)),"","Error"),""),"")</f>
        <v/>
      </c>
      <c r="Q326" s="7"/>
      <c r="R326" s="300" t="str">
        <f>$B315</f>
        <v>E</v>
      </c>
      <c r="S326" s="331" t="str">
        <f ca="1">IF($B328&lt;&gt;"",$B328,"")</f>
        <v/>
      </c>
      <c r="T326" s="332"/>
      <c r="U326" s="332"/>
      <c r="V326" s="332"/>
      <c r="W326" s="332"/>
      <c r="X326" s="333"/>
      <c r="Y326" s="329"/>
      <c r="Z326" s="329"/>
      <c r="AA326" s="329"/>
      <c r="AB326" s="329"/>
      <c r="AC326" s="329"/>
      <c r="AD326" s="345"/>
      <c r="AE326" s="358"/>
      <c r="AF326" s="359"/>
    </row>
    <row r="327" spans="1:32" ht="12.75" customHeight="1">
      <c r="A327" s="5" t="s">
        <v>1228</v>
      </c>
      <c r="B327" s="290" t="s">
        <v>1126</v>
      </c>
      <c r="C327" s="291"/>
      <c r="D327" s="291"/>
      <c r="E327" s="291"/>
      <c r="F327" s="291"/>
      <c r="G327" s="292"/>
      <c r="H327" s="5">
        <v>1</v>
      </c>
      <c r="I327" s="5">
        <v>2</v>
      </c>
      <c r="J327" s="5">
        <v>3</v>
      </c>
      <c r="K327" s="5">
        <v>4</v>
      </c>
      <c r="L327" s="5">
        <v>5</v>
      </c>
      <c r="M327" s="271"/>
      <c r="N327" s="272"/>
      <c r="O327" s="272"/>
      <c r="P327" s="273"/>
      <c r="Q327" s="7"/>
      <c r="R327" s="330"/>
      <c r="S327" s="334"/>
      <c r="T327" s="335"/>
      <c r="U327" s="335"/>
      <c r="V327" s="335"/>
      <c r="W327" s="335"/>
      <c r="X327" s="336"/>
      <c r="Y327" s="330"/>
      <c r="Z327" s="330"/>
      <c r="AA327" s="330"/>
      <c r="AB327" s="330"/>
      <c r="AC327" s="330"/>
      <c r="AD327" s="360"/>
      <c r="AE327" s="361"/>
      <c r="AF327" s="362"/>
    </row>
    <row r="328" spans="1:32" ht="12.75" customHeight="1">
      <c r="A328" s="300" t="str">
        <f>B315</f>
        <v>E</v>
      </c>
      <c r="B328" s="293" t="str">
        <f ca="1">IF(AND(OFFSET($AO$1,$C315-1,8,1,1),$A316&lt;&gt;"",$J316&lt;&gt;""),CHOOSE($C315,$AP$1,$AP$2,$AP$3,$AP$4,$AP$5,$AP$6,$AP$7,$AP$8,$AP$9,$AP$10,$AP$11,$AP$12),"")</f>
        <v/>
      </c>
      <c r="C328" s="294"/>
      <c r="D328" s="294"/>
      <c r="E328" s="294"/>
      <c r="F328" s="294"/>
      <c r="G328" s="294"/>
      <c r="H328" s="265"/>
      <c r="I328" s="265"/>
      <c r="J328" s="265"/>
      <c r="K328" s="265"/>
      <c r="L328" s="265"/>
      <c r="M328" s="262" t="str">
        <f ca="1">IF(OR(AND($B321&lt;&gt;"",$B328&lt;&gt;"",$C346&lt;=$B346),AND($B323&lt;&gt;"",$B330&lt;&gt;"",$G346&lt;=$F346)),"Invalid Lineup","")</f>
        <v/>
      </c>
      <c r="N328" s="263"/>
      <c r="O328" s="263"/>
      <c r="P328" s="264"/>
      <c r="Q328" s="137" t="str">
        <f>IF($L328=$L330,IF($K328=$K330,IF($J328&lt;&gt;"",IF($J328&gt;$J330,"W","L"),""),IF($K328&gt;$K330,"W","L")),IF($L328&gt;$L330,"W","L"))</f>
        <v/>
      </c>
      <c r="R328" s="300" t="str">
        <f>$K315</f>
        <v>G</v>
      </c>
      <c r="S328" s="331" t="str">
        <f ca="1">IF($B330&lt;&gt;"",$B330,"")</f>
        <v/>
      </c>
      <c r="T328" s="332"/>
      <c r="U328" s="332"/>
      <c r="V328" s="332"/>
      <c r="W328" s="332"/>
      <c r="X328" s="333"/>
      <c r="Y328" s="329"/>
      <c r="Z328" s="329"/>
      <c r="AA328" s="329"/>
      <c r="AB328" s="329"/>
      <c r="AC328" s="351"/>
      <c r="AD328" s="363" t="s">
        <v>1237</v>
      </c>
      <c r="AE328" s="358"/>
      <c r="AF328" s="359"/>
    </row>
    <row r="329" spans="1:32" ht="12.75" customHeight="1">
      <c r="A329" s="301"/>
      <c r="B329" s="295"/>
      <c r="C329" s="296"/>
      <c r="D329" s="296"/>
      <c r="E329" s="296"/>
      <c r="F329" s="296"/>
      <c r="G329" s="296"/>
      <c r="H329" s="270"/>
      <c r="I329" s="270"/>
      <c r="J329" s="270"/>
      <c r="K329" s="270"/>
      <c r="L329" s="270"/>
      <c r="M329" s="262"/>
      <c r="N329" s="263"/>
      <c r="O329" s="263"/>
      <c r="P329" s="264"/>
      <c r="Q329" s="139" t="str">
        <f>IF($Q328&lt;&gt;"",IF($Q328="W",IF(SUM(IF($H328&gt;$H330,1,0),IF($I328&gt;$I330,1,0),IF($J328&gt;$J330,1,0),IF($K328&gt;$K330,1,0),IF($L328&gt;$L330,1,0))&lt;&gt;3,"Error",""),""),"")</f>
        <v/>
      </c>
      <c r="R329" s="330"/>
      <c r="S329" s="334"/>
      <c r="T329" s="335"/>
      <c r="U329" s="335"/>
      <c r="V329" s="335"/>
      <c r="W329" s="335"/>
      <c r="X329" s="336"/>
      <c r="Y329" s="330"/>
      <c r="Z329" s="330"/>
      <c r="AA329" s="330"/>
      <c r="AB329" s="330"/>
      <c r="AC329" s="330"/>
      <c r="AD329" s="360"/>
      <c r="AE329" s="361"/>
      <c r="AF329" s="362"/>
    </row>
    <row r="330" spans="1:32" ht="12.75" customHeight="1">
      <c r="A330" s="300" t="str">
        <f>K315</f>
        <v>G</v>
      </c>
      <c r="B330" s="293" t="str">
        <f ca="1">IF(AND(OFFSET($AO$1,$L315-1,8,1,1),$A316&lt;&gt;"",$J316&lt;&gt;""),CHOOSE($L315,$AP$1,$AP$2,$AP$3,$AP$4,$AP$5,$AP$6,$AP$7,$AP$8,$AP$9,$AP$10,$AP$11,$AP$12),"")</f>
        <v/>
      </c>
      <c r="C330" s="294"/>
      <c r="D330" s="294"/>
      <c r="E330" s="294"/>
      <c r="F330" s="294"/>
      <c r="G330" s="294"/>
      <c r="H330" s="265"/>
      <c r="I330" s="265"/>
      <c r="J330" s="265"/>
      <c r="K330" s="265"/>
      <c r="L330" s="265"/>
      <c r="M330" s="267" t="s">
        <v>1237</v>
      </c>
      <c r="N330" s="268"/>
      <c r="O330" s="268"/>
      <c r="P330" s="269"/>
      <c r="Q330" s="137" t="str">
        <f>IF($Q328&lt;&gt;"",IF($Q328="W","L","W"),"")</f>
        <v/>
      </c>
      <c r="R330" s="20"/>
      <c r="S330" s="20"/>
      <c r="T330" s="20"/>
      <c r="U330" s="20"/>
      <c r="V330" s="20"/>
      <c r="W330" s="20"/>
      <c r="X330" s="26"/>
      <c r="Y330" s="26"/>
      <c r="Z330" s="20"/>
      <c r="AA330" s="20"/>
      <c r="AB330" s="20"/>
      <c r="AC330" s="20"/>
      <c r="AD330" s="20"/>
      <c r="AE330" s="20"/>
      <c r="AF330" s="27"/>
    </row>
    <row r="331" spans="1:32" ht="12.75" customHeight="1">
      <c r="A331" s="301"/>
      <c r="B331" s="295"/>
      <c r="C331" s="296"/>
      <c r="D331" s="296"/>
      <c r="E331" s="296"/>
      <c r="F331" s="296"/>
      <c r="G331" s="296"/>
      <c r="H331" s="270"/>
      <c r="I331" s="270"/>
      <c r="J331" s="266"/>
      <c r="K331" s="266"/>
      <c r="L331" s="266"/>
      <c r="M331" s="267"/>
      <c r="N331" s="268"/>
      <c r="O331" s="268"/>
      <c r="P331" s="269"/>
      <c r="Q331" s="139" t="str">
        <f>IF($Q330&lt;&gt;"",IF($Q330="W",IF(SUM(IF($H330&gt;$H328,1,0),IF($I330&gt;$I328,1,0),IF($J330&gt;$J328,1,0),IF($K330&gt;$K328,1,0),IF($L330&gt;$L328,1,0))&lt;&gt;3,"Error",""),""),"")</f>
        <v/>
      </c>
      <c r="R331" s="20"/>
      <c r="S331" s="20"/>
      <c r="T331" s="20"/>
      <c r="U331" s="20"/>
      <c r="V331" s="20"/>
      <c r="W331" s="20"/>
      <c r="X331" s="26"/>
      <c r="Y331" s="26"/>
      <c r="Z331" s="20"/>
      <c r="AA331" s="20"/>
      <c r="AB331" s="20"/>
      <c r="AC331" s="20"/>
      <c r="AD331" s="20"/>
      <c r="AE331" s="20"/>
      <c r="AF331" s="27"/>
    </row>
    <row r="332" spans="1:32" ht="12.75" customHeight="1">
      <c r="Q332" s="7"/>
      <c r="R332" s="20"/>
      <c r="S332" s="20"/>
      <c r="T332" s="20"/>
      <c r="U332" s="20"/>
      <c r="V332" s="20"/>
      <c r="W332" s="20"/>
      <c r="X332" s="26"/>
      <c r="Y332" s="26"/>
      <c r="Z332" s="20"/>
      <c r="AA332" s="20"/>
      <c r="AB332" s="20"/>
      <c r="AC332" s="20"/>
      <c r="AD332" s="20"/>
      <c r="AE332" s="20"/>
      <c r="AF332" s="27"/>
    </row>
    <row r="333" spans="1:32" ht="12.75" customHeight="1">
      <c r="A333" s="21" t="s">
        <v>1235</v>
      </c>
      <c r="H333" s="136" t="str">
        <f>IF($Q335&lt;&gt;"",IF(AND(AND($H335&gt;-1,$H337&gt;-1),OR($H335&gt;10,$H337&gt;10),ABS($H335-$H337)&gt;1,IF(OR($H335&gt;11,$H337&gt;11),ABS($H335-$H337)=2,TRUE),$H335=INT($H335),$H337=INT($H337)),"","Error"),"")</f>
        <v/>
      </c>
      <c r="I333" s="136" t="str">
        <f>IF($Q335&lt;&gt;"",IF(AND(AND($I335&gt;-1,$I337&gt;-1),OR($I335&gt;10,$I337&gt;10),ABS($I335-$I337)&gt;1,IF(OR($I335&gt;11,$I337&gt;11),ABS($I335-$I337)=2,TRUE),$I335=INT($I335),$I337=INT($I337)),"","Error"),"")</f>
        <v/>
      </c>
      <c r="J333" s="136" t="str">
        <f>IF($Q335&lt;&gt;"",IF(AND(AND($J335&gt;-1,$J337&gt;-1),OR($J335&gt;10,$J337&gt;10),ABS($J335-$J337)&gt;1,IF(OR($J335&gt;11,$J337&gt;11),ABS($J335-$J337)=2,TRUE),$J335=INT($J335),$J337=INT($J337)),"","Error"),"")</f>
        <v/>
      </c>
      <c r="K333" s="136" t="str">
        <f>IF($Q335&lt;&gt;"",IF(AND($K335&lt;&gt;"",$K337&lt;&gt;""), IF(AND(AND($K335&gt;-1,$K337&gt;-1),OR($K335&gt;10,$K337&gt;10),ABS($K335-$K337)&gt;1,IF(OR($K335&gt;11,$K337&gt;11),ABS($K335-$K337)=2,TRUE),$K335=INT($K335),$K337=INT($K337)),"","Error"),""),"")</f>
        <v/>
      </c>
      <c r="L333" s="136" t="str">
        <f>IF($Q335&lt;&gt;"",IF(AND($L335&lt;&gt;"",$L337&lt;&gt;""), IF(AND(AND($L335&gt;-1,$L337&gt;-1),OR($L335&gt;10,$L337&gt;10),ABS($L335-$L337)&gt;1,IF(OR($L335&gt;11,$L337&gt;11),ABS($L335-$L337)=2,TRUE),$L335=INT($L335),$L337=INT($L337)),"","Error"),""),"")</f>
        <v/>
      </c>
      <c r="Q333" s="7"/>
      <c r="R333" s="20"/>
      <c r="S333" s="20"/>
      <c r="T333" s="20"/>
      <c r="U333" s="20"/>
      <c r="V333" s="20"/>
      <c r="W333" s="20"/>
      <c r="X333" s="26"/>
      <c r="Y333" s="26"/>
      <c r="Z333" s="20"/>
      <c r="AA333" s="20"/>
      <c r="AB333" s="20"/>
      <c r="AC333" s="20"/>
      <c r="AD333" s="20"/>
      <c r="AE333" s="20"/>
      <c r="AF333" s="27"/>
    </row>
    <row r="334" spans="1:32" ht="12.75" customHeight="1">
      <c r="A334" s="5" t="s">
        <v>1228</v>
      </c>
      <c r="B334" s="290" t="s">
        <v>1126</v>
      </c>
      <c r="C334" s="291"/>
      <c r="D334" s="291"/>
      <c r="E334" s="291"/>
      <c r="F334" s="291"/>
      <c r="G334" s="292"/>
      <c r="H334" s="5">
        <v>1</v>
      </c>
      <c r="I334" s="5">
        <v>2</v>
      </c>
      <c r="J334" s="5">
        <v>3</v>
      </c>
      <c r="K334" s="5">
        <v>4</v>
      </c>
      <c r="L334" s="5">
        <v>5</v>
      </c>
      <c r="M334" s="271"/>
      <c r="N334" s="272"/>
      <c r="O334" s="272"/>
      <c r="P334" s="273"/>
      <c r="Q334" s="7"/>
      <c r="R334" s="20"/>
      <c r="S334" s="20"/>
      <c r="T334" s="20"/>
      <c r="U334" s="20"/>
      <c r="V334" s="20"/>
      <c r="W334" s="20"/>
      <c r="X334" s="26"/>
      <c r="Y334" s="26"/>
      <c r="Z334" s="20"/>
      <c r="AA334" s="20"/>
      <c r="AB334" s="20"/>
      <c r="AC334" s="20"/>
      <c r="AD334" s="20"/>
      <c r="AE334" s="20"/>
      <c r="AF334" s="27"/>
    </row>
    <row r="335" spans="1:32" ht="12.75" customHeight="1">
      <c r="A335" s="300" t="str">
        <f>B315</f>
        <v>E</v>
      </c>
      <c r="B335" s="293" t="str">
        <f ca="1">IF(AND(OFFSET($AO$1,$C315-1,8,1,1),$A316&lt;&gt;"",$J316&lt;&gt;""),CHOOSE($C315,$AQ$1,$AQ$2,$AQ$3,$AQ$4,$AQ$5,$AQ$6,$AQ$7,$AQ$8,$AQ$9,$AQ$10,$AQ$11,$AQ$12),"")</f>
        <v/>
      </c>
      <c r="C335" s="294"/>
      <c r="D335" s="294"/>
      <c r="E335" s="294"/>
      <c r="F335" s="294"/>
      <c r="G335" s="294"/>
      <c r="H335" s="265"/>
      <c r="I335" s="265"/>
      <c r="J335" s="265"/>
      <c r="K335" s="265"/>
      <c r="L335" s="265"/>
      <c r="M335" s="262" t="str">
        <f ca="1">IF(OR(AND($B328&lt;&gt;"",$B335&lt;&gt;"",$D346&lt;=$C346),AND($B330&lt;&gt;"",$B337&lt;&gt;"",$H346&lt;=$G346)),"Invalid Lineup","")</f>
        <v/>
      </c>
      <c r="N335" s="263"/>
      <c r="O335" s="263"/>
      <c r="P335" s="264"/>
      <c r="Q335" s="137" t="str">
        <f>IF($L335=$L337,IF($K335=$K337,IF($J335&lt;&gt;"",IF($J335&gt;$J337,"W","L"),""),IF($K335&gt;$K337,"W","L")),IF($L335&gt;$L337,"W","L"))</f>
        <v/>
      </c>
      <c r="R335" s="20"/>
      <c r="S335" s="20"/>
      <c r="T335" s="20"/>
      <c r="U335" s="20"/>
      <c r="V335" s="20"/>
      <c r="W335" s="20"/>
      <c r="X335" s="26"/>
      <c r="Y335" s="26"/>
      <c r="Z335" s="20"/>
      <c r="AA335" s="20"/>
      <c r="AB335" s="20"/>
      <c r="AC335" s="20"/>
      <c r="AD335" s="20"/>
      <c r="AE335" s="20"/>
      <c r="AF335" s="27"/>
    </row>
    <row r="336" spans="1:32" ht="12.75" customHeight="1">
      <c r="A336" s="301"/>
      <c r="B336" s="295"/>
      <c r="C336" s="296"/>
      <c r="D336" s="296"/>
      <c r="E336" s="296"/>
      <c r="F336" s="296"/>
      <c r="G336" s="296"/>
      <c r="H336" s="270"/>
      <c r="I336" s="270"/>
      <c r="J336" s="270"/>
      <c r="K336" s="270"/>
      <c r="L336" s="270"/>
      <c r="M336" s="262"/>
      <c r="N336" s="263"/>
      <c r="O336" s="263"/>
      <c r="P336" s="264"/>
      <c r="Q336" s="139" t="str">
        <f>IF($Q335&lt;&gt;"",IF($Q335="W",IF(SUM(IF($H335&gt;$H337,1,0),IF($I335&gt;$I337,1,0),IF($J335&gt;$J337,1,0),IF($K335&gt;$K337,1,0),IF($L335&gt;$L337,1,0))&lt;&gt;3,"Error",""),""),"")</f>
        <v/>
      </c>
      <c r="R336" s="328" t="str">
        <f>$A316</f>
        <v/>
      </c>
      <c r="S336" s="328"/>
      <c r="T336" s="328"/>
      <c r="U336" s="328"/>
      <c r="V336" s="328"/>
      <c r="W336" s="328"/>
      <c r="X336" s="256" t="str">
        <f>CONCATENATE("(",$B315," vs ",$K315,")")</f>
        <v>(E vs G)</v>
      </c>
      <c r="Y336" s="256"/>
      <c r="Z336" s="328" t="str">
        <f>$J316</f>
        <v/>
      </c>
      <c r="AA336" s="328"/>
      <c r="AB336" s="328"/>
      <c r="AC336" s="328"/>
      <c r="AD336" s="328"/>
      <c r="AE336" s="328"/>
      <c r="AF336" s="100"/>
    </row>
    <row r="337" spans="1:32" ht="12.75" customHeight="1">
      <c r="A337" s="300" t="str">
        <f>K315</f>
        <v>G</v>
      </c>
      <c r="B337" s="293" t="str">
        <f ca="1">IF(AND(OFFSET($AO$1,$L315-1,8,1,1),$A316&lt;&gt;"",$J316&lt;&gt;""),CHOOSE($L315,$AQ$1,$AQ$2,$AQ$3,$AQ$4,$AQ$5,$AQ$6,$AQ$7,$AQ$8,$AQ$9,$AQ$10,$AQ$11,$AQ$12),"")</f>
        <v/>
      </c>
      <c r="C337" s="294"/>
      <c r="D337" s="294"/>
      <c r="E337" s="294"/>
      <c r="F337" s="294"/>
      <c r="G337" s="294"/>
      <c r="H337" s="265"/>
      <c r="I337" s="265"/>
      <c r="J337" s="265"/>
      <c r="K337" s="265"/>
      <c r="L337" s="265"/>
      <c r="M337" s="267" t="s">
        <v>1237</v>
      </c>
      <c r="N337" s="268"/>
      <c r="O337" s="268"/>
      <c r="P337" s="269"/>
      <c r="Q337" s="137" t="str">
        <f>IF($Q335&lt;&gt;"",IF($Q335="W","L","W"),"")</f>
        <v/>
      </c>
      <c r="R337" s="100"/>
      <c r="S337" s="100"/>
      <c r="T337" s="100"/>
      <c r="U337" s="100"/>
      <c r="V337" s="100"/>
      <c r="W337" s="100"/>
      <c r="X337" s="100"/>
      <c r="Y337" s="100"/>
      <c r="Z337" s="100"/>
      <c r="AA337" s="100"/>
      <c r="AB337" s="100"/>
      <c r="AC337" s="100"/>
      <c r="AD337" s="100"/>
      <c r="AE337" s="100"/>
      <c r="AF337" s="100"/>
    </row>
    <row r="338" spans="1:32" ht="12.75" customHeight="1">
      <c r="A338" s="301"/>
      <c r="B338" s="295"/>
      <c r="C338" s="296"/>
      <c r="D338" s="296"/>
      <c r="E338" s="296"/>
      <c r="F338" s="296"/>
      <c r="G338" s="296"/>
      <c r="H338" s="270"/>
      <c r="I338" s="270"/>
      <c r="J338" s="266"/>
      <c r="K338" s="266"/>
      <c r="L338" s="266"/>
      <c r="M338" s="267"/>
      <c r="N338" s="268"/>
      <c r="O338" s="268"/>
      <c r="P338" s="269"/>
      <c r="Q338" s="139" t="str">
        <f>IF($Q337&lt;&gt;"",IF($Q337="W",IF(SUM(IF($H337&gt;$H335,1,0),IF($I337&gt;$I335,1,0),IF($J337&gt;$J335,1,0),IF($K337&gt;$K335,1,0),IF($L337&gt;$L335,1,0))&lt;&gt;3,"Error",""),""),"")</f>
        <v/>
      </c>
      <c r="R338" s="43" t="str">
        <f>$A333</f>
        <v>3rd Singles</v>
      </c>
      <c r="S338" s="43"/>
      <c r="T338" s="43"/>
      <c r="U338" s="43"/>
      <c r="V338" s="43"/>
      <c r="W338" s="43"/>
      <c r="X338" s="43"/>
      <c r="Y338" s="43"/>
      <c r="Z338" s="43"/>
      <c r="AA338" s="43"/>
      <c r="AB338" s="43"/>
      <c r="AC338" s="43"/>
      <c r="AD338" s="43"/>
      <c r="AE338" s="43"/>
      <c r="AF338" s="43"/>
    </row>
    <row r="339" spans="1:32" ht="12.75" customHeight="1">
      <c r="Q339" s="7"/>
      <c r="R339" s="60" t="s">
        <v>1228</v>
      </c>
      <c r="S339" s="101" t="s">
        <v>1126</v>
      </c>
      <c r="T339" s="102"/>
      <c r="U339" s="102"/>
      <c r="V339" s="102"/>
      <c r="W339" s="102"/>
      <c r="X339" s="103"/>
      <c r="Y339" s="60">
        <v>1</v>
      </c>
      <c r="Z339" s="60">
        <v>2</v>
      </c>
      <c r="AA339" s="60">
        <v>3</v>
      </c>
      <c r="AB339" s="60">
        <v>4</v>
      </c>
      <c r="AC339" s="60">
        <v>5</v>
      </c>
      <c r="AD339" s="104"/>
      <c r="AE339" s="105"/>
      <c r="AF339" s="106"/>
    </row>
    <row r="340" spans="1:32" ht="12.75" customHeight="1">
      <c r="A340" s="21" t="s">
        <v>1236</v>
      </c>
      <c r="H340" s="136" t="str">
        <f ca="1">IF($Q342&lt;&gt;"",IF(AND($B342&lt;&gt;"Missing Player",$B344&lt;&gt;"Missing Player"),IF(AND(AND($H342&gt;-1,$H344&gt;-1),OR($H342&gt;10,$H344&gt;10),ABS($H342-$H344)&gt;1,IF(OR($H342&gt;11,$H344&gt;11),ABS($H342-$H344)=2,TRUE),$H342=INT($H342),$H344=INT($H344)),"","Error"),""),"")</f>
        <v/>
      </c>
      <c r="I340" s="136" t="str">
        <f ca="1">IF($Q342&lt;&gt;"",IF(AND($B342&lt;&gt;"Missing Player",$B344&lt;&gt;"Missing Player"),IF(AND(AND($I342&gt;-1,$I344&gt;-1),OR($I342&gt;10,$I344&gt;10),ABS($I342-$I344)&gt;1,IF(OR($I342&gt;11,$I344&gt;11),ABS($I342-$I344)=2,TRUE),$I342=INT($I342),$I344=INT($I344)),"","Error"),""),"")</f>
        <v/>
      </c>
      <c r="J340" s="136" t="str">
        <f ca="1">IF($Q342&lt;&gt;"",IF(AND($B342&lt;&gt;"Missing Player",$B344&lt;&gt;"Missing Player"),IF(AND(AND($J342&gt;-1,$J344&gt;-1),OR($J342&gt;10,$J344&gt;10),ABS($J342-$J344)&gt;1,IF(OR($J342&gt;11,$J344&gt;11),ABS($J342-$J344)=2,TRUE),$J342=INT($J342),$J344=INT($J344)),"","Error"),""),"")</f>
        <v/>
      </c>
      <c r="K340" s="136" t="str">
        <f ca="1">IF($Q342&lt;&gt;"",IF(AND($K342&lt;&gt;"",$K344&lt;&gt;""), IF(AND(AND($K342&gt;-1,$K344&gt;-1),OR($K342&gt;10,$K344&gt;10),ABS($K342-$K344)&gt;1,IF(OR($K342&gt;11,$K344&gt;11),ABS($K342-$K344)=2,TRUE),$K342=INT($K342),$K344=INT($K344)),"","Error"),""),"")</f>
        <v/>
      </c>
      <c r="L340" s="136" t="str">
        <f ca="1">IF($Q342&lt;&gt;"",IF(AND($L342&lt;&gt;"",$L344&lt;&gt;""), IF(AND(AND($L342&gt;-1,$L344&gt;-1),OR($L342&gt;10,$L344&gt;10),ABS($L342-$L344)&gt;1,IF(OR($L342&gt;11,$L344&gt;11),ABS($L342-$L344)=2,TRUE),$L342=INT($L342),$L344=INT($L344)),"","Error"),""),"")</f>
        <v/>
      </c>
      <c r="Q340" s="7"/>
      <c r="R340" s="300" t="str">
        <f>$B315</f>
        <v>E</v>
      </c>
      <c r="S340" s="331" t="str">
        <f ca="1">IF($B335&lt;&gt;"",$B335,"")</f>
        <v/>
      </c>
      <c r="T340" s="332"/>
      <c r="U340" s="332"/>
      <c r="V340" s="332"/>
      <c r="W340" s="332"/>
      <c r="X340" s="333"/>
      <c r="Y340" s="329"/>
      <c r="Z340" s="329"/>
      <c r="AA340" s="329"/>
      <c r="AB340" s="329"/>
      <c r="AC340" s="329"/>
      <c r="AD340" s="345"/>
      <c r="AE340" s="358"/>
      <c r="AF340" s="359"/>
    </row>
    <row r="341" spans="1:32" ht="12.75" customHeight="1">
      <c r="A341" s="5" t="s">
        <v>1228</v>
      </c>
      <c r="B341" s="290" t="s">
        <v>1126</v>
      </c>
      <c r="C341" s="291"/>
      <c r="D341" s="291"/>
      <c r="E341" s="291"/>
      <c r="F341" s="291"/>
      <c r="G341" s="292"/>
      <c r="H341" s="5">
        <v>1</v>
      </c>
      <c r="I341" s="5">
        <v>2</v>
      </c>
      <c r="J341" s="5">
        <v>3</v>
      </c>
      <c r="K341" s="5">
        <v>4</v>
      </c>
      <c r="L341" s="5">
        <v>5</v>
      </c>
      <c r="M341" s="271"/>
      <c r="N341" s="272"/>
      <c r="O341" s="272"/>
      <c r="P341" s="273"/>
      <c r="Q341" s="7"/>
      <c r="R341" s="330"/>
      <c r="S341" s="334"/>
      <c r="T341" s="335"/>
      <c r="U341" s="335"/>
      <c r="V341" s="335"/>
      <c r="W341" s="335"/>
      <c r="X341" s="336"/>
      <c r="Y341" s="330"/>
      <c r="Z341" s="330"/>
      <c r="AA341" s="330"/>
      <c r="AB341" s="330"/>
      <c r="AC341" s="330"/>
      <c r="AD341" s="360"/>
      <c r="AE341" s="361"/>
      <c r="AF341" s="362"/>
    </row>
    <row r="342" spans="1:32" ht="12.75" customHeight="1">
      <c r="A342" s="300" t="str">
        <f>B315</f>
        <v>E</v>
      </c>
      <c r="B342" s="293" t="str">
        <f ca="1">IF(AND(OFFSET($AO$1,$C315-1,8,1,1),$A316&lt;&gt;"",$J316&lt;&gt;""),CHOOSE($C315,$AR$1,$AR$2,$AR$3,$AR$4,$AR$5,$AR$6,$AR$7,$AR$8,$AR$9,$AR$10,$AR$11,$AR$12),"")</f>
        <v/>
      </c>
      <c r="C342" s="294"/>
      <c r="D342" s="294"/>
      <c r="E342" s="294"/>
      <c r="F342" s="294"/>
      <c r="G342" s="294"/>
      <c r="H342" s="265"/>
      <c r="I342" s="265"/>
      <c r="J342" s="265"/>
      <c r="K342" s="265"/>
      <c r="L342" s="265" t="str">
        <f ca="1">IF(AND($B342&lt;&gt;"",$Q321&lt;&gt;""),IF($B342="Missing Player",0,IF($B344="Missing Player",11,"")),"")</f>
        <v/>
      </c>
      <c r="M342" s="262" t="str">
        <f ca="1">IF(OR(AND($B335&lt;&gt;"",$B342&lt;&gt;"",$E346&lt;=$D346),AND($B337&lt;&gt;"",$B344&lt;&gt;"",$I346&lt;=$H346)),"Invalid Lineup","")</f>
        <v/>
      </c>
      <c r="N342" s="263"/>
      <c r="O342" s="263"/>
      <c r="P342" s="264"/>
      <c r="Q342" s="137" t="str">
        <f ca="1">IF($L342=$L344,IF($K342=$K344,IF($J342&lt;&gt;"",IF($J342&gt;$J344,"W","L"),""),IF($K342&gt;$K344,"W","L")),IF($L342&gt;$L344,"W","L"))</f>
        <v/>
      </c>
      <c r="R342" s="300" t="str">
        <f>$K315</f>
        <v>G</v>
      </c>
      <c r="S342" s="331" t="str">
        <f ca="1">IF($B337&lt;&gt;"",$B337,"")</f>
        <v/>
      </c>
      <c r="T342" s="332"/>
      <c r="U342" s="332"/>
      <c r="V342" s="332"/>
      <c r="W342" s="332"/>
      <c r="X342" s="333"/>
      <c r="Y342" s="329"/>
      <c r="Z342" s="329"/>
      <c r="AA342" s="329"/>
      <c r="AB342" s="329"/>
      <c r="AC342" s="351"/>
      <c r="AD342" s="363" t="s">
        <v>1237</v>
      </c>
      <c r="AE342" s="358"/>
      <c r="AF342" s="359"/>
    </row>
    <row r="343" spans="1:32" ht="12.75" customHeight="1">
      <c r="A343" s="301"/>
      <c r="B343" s="295"/>
      <c r="C343" s="296"/>
      <c r="D343" s="296"/>
      <c r="E343" s="296"/>
      <c r="F343" s="296"/>
      <c r="G343" s="296"/>
      <c r="H343" s="270"/>
      <c r="I343" s="270"/>
      <c r="J343" s="270"/>
      <c r="K343" s="270"/>
      <c r="L343" s="270"/>
      <c r="M343" s="262"/>
      <c r="N343" s="263"/>
      <c r="O343" s="263"/>
      <c r="P343" s="264"/>
      <c r="Q343" s="139" t="str">
        <f ca="1">IF($Q342&lt;&gt;"",IF($B344&lt;&gt;"Missing Player",IF($Q342="W",IF(SUM(IF($H342&gt;$H344,1,0),IF($I342&gt;$I344,1,0),IF($J342&gt;$J344,1,0),IF($K342&gt;$K344,1,0),IF($L342&gt;$L344,1,0))&lt;&gt;3,"Error",""),""),""),"")</f>
        <v/>
      </c>
      <c r="R343" s="330"/>
      <c r="S343" s="334"/>
      <c r="T343" s="335"/>
      <c r="U343" s="335"/>
      <c r="V343" s="335"/>
      <c r="W343" s="335"/>
      <c r="X343" s="336"/>
      <c r="Y343" s="330"/>
      <c r="Z343" s="330"/>
      <c r="AA343" s="330"/>
      <c r="AB343" s="330"/>
      <c r="AC343" s="330"/>
      <c r="AD343" s="360"/>
      <c r="AE343" s="361"/>
      <c r="AF343" s="362"/>
    </row>
    <row r="344" spans="1:32" ht="12.75" customHeight="1">
      <c r="A344" s="300" t="str">
        <f>K315</f>
        <v>G</v>
      </c>
      <c r="B344" s="293" t="str">
        <f ca="1">IF(AND(OFFSET($AO$1,$L315-1,8,1,1),$A316&lt;&gt;"",$J316&lt;&gt;""),CHOOSE($L315,$AR$1,$AR$2,$AR$3,$AR$4,$AR$5,$AR$6,$AR$7,$AR$8,$AR$9,$AR$10,$AR$11,$AR$12),"")</f>
        <v/>
      </c>
      <c r="C344" s="294"/>
      <c r="D344" s="294"/>
      <c r="E344" s="294"/>
      <c r="F344" s="294"/>
      <c r="G344" s="294"/>
      <c r="H344" s="265"/>
      <c r="I344" s="265"/>
      <c r="J344" s="265"/>
      <c r="K344" s="265"/>
      <c r="L344" s="265" t="str">
        <f ca="1">IF(AND($B344&lt;&gt;"",$Q321&lt;&gt;""),IF($B344="Missing Player",0,IF($B342="Missing Player",11,"")),"")</f>
        <v/>
      </c>
      <c r="M344" s="267" t="s">
        <v>1237</v>
      </c>
      <c r="N344" s="268"/>
      <c r="O344" s="268"/>
      <c r="P344" s="269"/>
      <c r="Q344" s="137" t="str">
        <f ca="1">IF($Q342&lt;&gt;"",IF($Q342="W","L","W"),"")</f>
        <v/>
      </c>
      <c r="R344" s="112"/>
      <c r="S344" s="98"/>
      <c r="T344" s="108"/>
      <c r="U344" s="108"/>
      <c r="V344" s="108"/>
      <c r="W344" s="108"/>
      <c r="X344" s="108"/>
      <c r="Y344" s="113"/>
      <c r="Z344" s="113"/>
      <c r="AA344" s="113"/>
      <c r="AB344" s="113"/>
      <c r="AC344" s="113"/>
      <c r="AD344" s="107"/>
      <c r="AE344" s="109"/>
      <c r="AF344" s="109"/>
    </row>
    <row r="345" spans="1:32" ht="12.75" customHeight="1">
      <c r="A345" s="301"/>
      <c r="B345" s="295"/>
      <c r="C345" s="296"/>
      <c r="D345" s="296"/>
      <c r="E345" s="296"/>
      <c r="F345" s="296"/>
      <c r="G345" s="296"/>
      <c r="H345" s="270"/>
      <c r="I345" s="270"/>
      <c r="J345" s="266"/>
      <c r="K345" s="266"/>
      <c r="L345" s="266"/>
      <c r="M345" s="267"/>
      <c r="N345" s="268"/>
      <c r="O345" s="268"/>
      <c r="P345" s="269"/>
      <c r="Q345" s="139" t="str">
        <f ca="1">IF($Q344&lt;&gt;"",IF($B342&lt;&gt;"Missing Player",IF($Q344="W",IF(SUM(IF($H344&gt;$H342,1,0),IF($I344&gt;$I342,1,0),IF($J344&gt;$J342,1,0),IF($K344&gt;$K342,1,0),IF($L344&gt;$L342,1,0))&lt;&gt;3,"Error",""),""),""),"")</f>
        <v/>
      </c>
      <c r="R345" s="114"/>
      <c r="S345" s="115"/>
      <c r="T345" s="115"/>
      <c r="U345" s="115"/>
      <c r="V345" s="115"/>
      <c r="W345" s="115"/>
      <c r="X345" s="115"/>
      <c r="Y345" s="114"/>
      <c r="Z345" s="114"/>
      <c r="AA345" s="114"/>
      <c r="AB345" s="114"/>
      <c r="AC345" s="114"/>
      <c r="AD345" s="114"/>
      <c r="AE345" s="114"/>
      <c r="AF345" s="114"/>
    </row>
    <row r="346" spans="1:32" ht="12.75" customHeight="1">
      <c r="B346" s="140" t="str">
        <f ca="1">IF(ISERROR(VLOOKUP($B321&amp;"("&amp;$B315&amp;")",Players!$S$4:$T$132,2,FALSE)),"",VLOOKUP($B321&amp;"("&amp;$B315&amp;")",Players!$S$4:$T$132,2,FALSE))</f>
        <v>E1</v>
      </c>
      <c r="C346" s="140" t="str">
        <f ca="1">IF(ISERROR(VLOOKUP($B328&amp;"("&amp;$B315&amp;")",Players!$S$4:$T$132,2,FALSE)),"",VLOOKUP($B328&amp;"("&amp;$B315&amp;")",Players!$S$4:$T$132,2,FALSE))</f>
        <v>E1</v>
      </c>
      <c r="D346" s="141" t="str">
        <f ca="1">IF(ISERROR(VLOOKUP($B335&amp;"("&amp;$B315&amp;")",Players!$S$4:$T$132,2,FALSE)),"",VLOOKUP($B335&amp;"("&amp;$B315&amp;")",Players!$S$4:$T$132,2,FALSE))</f>
        <v>E1</v>
      </c>
      <c r="E346" s="141" t="str">
        <f ca="1">IF(ISERROR(VLOOKUP($B342&amp;"("&amp;$B315&amp;")",Players!$S$4:$T$132,2,FALSE)),"",VLOOKUP($B342&amp;"("&amp;$B315&amp;")",Players!$S$4:$T$132,2,FALSE))</f>
        <v>E1</v>
      </c>
      <c r="F346" s="141" t="str">
        <f ca="1">IF(ISERROR(VLOOKUP($B323&amp;"("&amp;$K315&amp;")",Players!$S$4:$T$132,2,FALSE)),"",VLOOKUP($B323&amp;"("&amp;$K315&amp;")",Players!$S$4:$T$132,2,FALSE))</f>
        <v>G1</v>
      </c>
      <c r="G346" s="141" t="str">
        <f ca="1">IF(ISERROR(VLOOKUP($B330&amp;"("&amp;$K315&amp;")",Players!$S$4:$T$132,2,FALSE)),"",VLOOKUP($B330&amp;"("&amp;$K315&amp;")",Players!$S$4:$T$132,2,FALSE))</f>
        <v>G1</v>
      </c>
      <c r="H346" s="141" t="str">
        <f ca="1">IF(ISERROR(VLOOKUP($B337&amp;"("&amp;$K315&amp;")",Players!$S$4:$T$132,2,FALSE)),"",VLOOKUP($B337&amp;"("&amp;$K315&amp;")",Players!$S$4:$T$132,2,FALSE))</f>
        <v>G1</v>
      </c>
      <c r="I346" s="141" t="str">
        <f ca="1">IF(ISERROR(VLOOKUP($B344&amp;"("&amp;$K315&amp;")",Players!$S$4:$T$132,2,FALSE)),"",VLOOKUP($B344&amp;"("&amp;$K315&amp;")",Players!$S$4:$T$132,2,FALSE))</f>
        <v>G1</v>
      </c>
      <c r="Q346" s="7"/>
      <c r="R346" s="50"/>
      <c r="S346" s="116"/>
      <c r="T346" s="115"/>
      <c r="U346" s="115"/>
      <c r="V346" s="115"/>
      <c r="W346" s="115"/>
      <c r="X346" s="115"/>
      <c r="Y346" s="99"/>
      <c r="Z346" s="99"/>
      <c r="AA346" s="99"/>
      <c r="AB346" s="99"/>
      <c r="AC346" s="117"/>
      <c r="AD346" s="118"/>
      <c r="AE346" s="114"/>
      <c r="AF346" s="114"/>
    </row>
    <row r="347" spans="1:32" ht="12.75" customHeight="1">
      <c r="A347" s="21" t="s">
        <v>1225</v>
      </c>
      <c r="H347" s="136" t="str">
        <f ca="1">IF($Q349&lt;&gt;"",IF(AND($B350&lt;&gt;"Missing Player",$B352&lt;&gt;"Missing Player"),IF(AND(AND($H349&gt;-1,$H351&gt;-1),OR($H349&gt;10,$H351&gt;10),ABS($H349-$H351)&gt;1,IF(OR($H349&gt;11,$H351&gt;11),ABS($H349-$H351)=2,TRUE),$H349=INT($H349),$H351=INT($H351)),"","Error"),""),"")</f>
        <v/>
      </c>
      <c r="I347" s="136" t="str">
        <f ca="1">IF($Q349&lt;&gt;"",IF(AND($B350&lt;&gt;"Missing Player",$B352&lt;&gt;"Missing Player"),IF(AND(AND($I349&gt;-1,$I351&gt;-1),OR($I349&gt;10,$I351&gt;10),ABS($I349-$I351)&gt;1,IF(OR($I349&gt;11,$I351&gt;11),ABS($I349-$I351)=2,TRUE),$I349=INT($I349),$I351=INT($I351)),"","Error"),""),"")</f>
        <v/>
      </c>
      <c r="J347" s="136" t="str">
        <f ca="1">IF($Q349&lt;&gt;"",IF(AND($B350&lt;&gt;"Missing Player",$B352&lt;&gt;"Missing Player"),IF(AND(AND($J349&gt;-1,$J351&gt;-1),OR($J349&gt;10,$J351&gt;10),ABS($J349-$J351)&gt;1,IF(OR($J349&gt;11,$J351&gt;11),ABS($J349-$J351)=2,TRUE),$J349=INT($J349),$J351=INT($J351)),"","Error"),""),"")</f>
        <v/>
      </c>
      <c r="K347" s="136" t="str">
        <f ca="1">IF($Q349&lt;&gt;"",IF(AND($K349&lt;&gt;"",$K351&lt;&gt;""), IF(AND(AND($K349&gt;-1,$K351&gt;-1),OR($K349&gt;10,$K351&gt;10),ABS($K349-$K351)&gt;1,IF(OR($K349&gt;11,$K351&gt;11),ABS($K349-$K351)=2,TRUE),$K349=INT($K349),$K351=INT($K351)),"","Error"),""),"")</f>
        <v/>
      </c>
      <c r="L347" s="136" t="str">
        <f ca="1">IF($Q349&lt;&gt;"",IF(AND($L349&lt;&gt;"",$L351&lt;&gt;""), IF(AND(AND($L349&gt;-1,$L351&gt;-1),OR($L349&gt;10,$L351&gt;10),ABS($L349-$L351)&gt;1,IF(OR($L349&gt;11,$L351&gt;11),ABS($L349-$L351)=2,TRUE),$L349=INT($L349),$L351=INT($L351)),"","Error"),""),"")</f>
        <v/>
      </c>
      <c r="Q347" s="7"/>
      <c r="R347" s="114"/>
      <c r="S347" s="115"/>
      <c r="T347" s="115"/>
      <c r="U347" s="115"/>
      <c r="V347" s="115"/>
      <c r="W347" s="115"/>
      <c r="X347" s="115"/>
      <c r="Y347" s="114"/>
      <c r="Z347" s="114"/>
      <c r="AA347" s="114"/>
      <c r="AB347" s="114"/>
      <c r="AC347" s="114"/>
      <c r="AD347" s="114"/>
      <c r="AE347" s="114"/>
      <c r="AF347" s="114"/>
    </row>
    <row r="348" spans="1:32" ht="12.75" customHeight="1">
      <c r="A348" s="5" t="s">
        <v>1228</v>
      </c>
      <c r="B348" s="290" t="s">
        <v>1126</v>
      </c>
      <c r="C348" s="291"/>
      <c r="D348" s="291"/>
      <c r="E348" s="291"/>
      <c r="F348" s="291"/>
      <c r="G348" s="292"/>
      <c r="H348" s="5">
        <v>1</v>
      </c>
      <c r="I348" s="5">
        <v>2</v>
      </c>
      <c r="J348" s="5">
        <v>3</v>
      </c>
      <c r="K348" s="5">
        <v>4</v>
      </c>
      <c r="L348" s="5">
        <v>5</v>
      </c>
      <c r="M348" s="271"/>
      <c r="N348" s="272"/>
      <c r="O348" s="272"/>
      <c r="P348" s="273"/>
      <c r="Q348" s="8"/>
      <c r="S348" s="24"/>
      <c r="T348" s="26"/>
    </row>
    <row r="349" spans="1:32" ht="12.75" customHeight="1">
      <c r="A349" s="300" t="str">
        <f>B315</f>
        <v>E</v>
      </c>
      <c r="B349" s="311" t="str">
        <f ca="1">IF($B321&lt;&gt;"",$B321,"")</f>
        <v/>
      </c>
      <c r="C349" s="312"/>
      <c r="D349" s="312"/>
      <c r="E349" s="312"/>
      <c r="F349" s="312"/>
      <c r="G349" s="313"/>
      <c r="H349" s="265"/>
      <c r="I349" s="265"/>
      <c r="J349" s="265"/>
      <c r="K349" s="265"/>
      <c r="L349" s="265" t="str">
        <f ca="1">IF($B342&lt;&gt;"",IF(AND($B342="Missing Player",$G353=2,$J353=2),0,IF(AND($B344="Missing Player",$G353=2,$J353=2),11,"")),"")</f>
        <v/>
      </c>
      <c r="M349" s="262" t="str">
        <f ca="1">IF(OR(AND($B349&lt;&gt;"",$B350&lt;&gt;"",$B349=$B350),AND($B351&lt;&gt;"",$B352&lt;&gt;"",$B351=$B352)),"Invalid Partner","")</f>
        <v/>
      </c>
      <c r="N349" s="263"/>
      <c r="O349" s="263"/>
      <c r="P349" s="264"/>
      <c r="Q349" s="138" t="str">
        <f ca="1">IF(L349=L351,IF(K349=K351,IF(J349&lt;&gt;"",IF(J349&gt;J351,"W","L"),""),IF(K349&gt;K351,"W","L")),IF(L349&gt;L351,"W","L"))</f>
        <v/>
      </c>
      <c r="S349" s="24"/>
      <c r="T349" s="26"/>
    </row>
    <row r="350" spans="1:32" ht="12.75" customHeight="1">
      <c r="A350" s="324"/>
      <c r="B350" s="308" t="str">
        <f ca="1">IF($B342="Missing Player",$B342,"")</f>
        <v/>
      </c>
      <c r="C350" s="309"/>
      <c r="D350" s="309"/>
      <c r="E350" s="309"/>
      <c r="F350" s="309"/>
      <c r="G350" s="310"/>
      <c r="H350" s="270"/>
      <c r="I350" s="270"/>
      <c r="J350" s="270"/>
      <c r="K350" s="270"/>
      <c r="L350" s="270"/>
      <c r="M350" s="262"/>
      <c r="N350" s="263"/>
      <c r="O350" s="263"/>
      <c r="P350" s="264"/>
      <c r="Q350" s="139" t="str">
        <f ca="1">IF($Q349&lt;&gt;"",IF($B352&lt;&gt;"Missing Player",IF($Q349="W",IF(SUM(IF($H349&gt;$H351,1,0),IF($I349&gt;$I351,1,0),IF($J349&gt;$J351,1,0),IF($K349&gt;$K351,1,0),IF($L349&gt;$L351,1,0))&lt;&gt;3,"Error",""),""),""),"")</f>
        <v/>
      </c>
      <c r="R350" s="328" t="str">
        <f>$A316</f>
        <v/>
      </c>
      <c r="S350" s="328"/>
      <c r="T350" s="328"/>
      <c r="U350" s="328"/>
      <c r="V350" s="328"/>
      <c r="W350" s="328"/>
      <c r="X350" s="256" t="str">
        <f>CONCATENATE("(",$B315," vs ",$K315,")")</f>
        <v>(E vs G)</v>
      </c>
      <c r="Y350" s="256"/>
      <c r="Z350" s="328" t="str">
        <f>$J316</f>
        <v/>
      </c>
      <c r="AA350" s="328"/>
      <c r="AB350" s="328"/>
      <c r="AC350" s="328"/>
      <c r="AD350" s="328"/>
      <c r="AE350" s="328"/>
      <c r="AF350" s="43"/>
    </row>
    <row r="351" spans="1:32" ht="12.75" customHeight="1">
      <c r="A351" s="325" t="str">
        <f>K315</f>
        <v>G</v>
      </c>
      <c r="B351" s="311" t="str">
        <f ca="1">IF($B323&lt;&gt;"",$B323,"")</f>
        <v/>
      </c>
      <c r="C351" s="312"/>
      <c r="D351" s="312"/>
      <c r="E351" s="312"/>
      <c r="F351" s="312"/>
      <c r="G351" s="313"/>
      <c r="H351" s="265"/>
      <c r="I351" s="265"/>
      <c r="J351" s="265"/>
      <c r="K351" s="265"/>
      <c r="L351" s="265" t="str">
        <f ca="1">IF($B344&lt;&gt;"",IF(AND($B344="Missing Player",$G353=2,$J353=2),0,IF(AND($B342="Missing Player",$G353=2,$J353=2),11,"")),"")</f>
        <v/>
      </c>
      <c r="M351" s="267" t="s">
        <v>1237</v>
      </c>
      <c r="N351" s="268"/>
      <c r="O351" s="268"/>
      <c r="P351" s="269"/>
      <c r="Q351" s="138" t="str">
        <f ca="1">IF(Q349&lt;&gt;"",IF(Q349="W","L","W"),"")</f>
        <v/>
      </c>
      <c r="R351" s="43"/>
      <c r="S351" s="43"/>
      <c r="T351" s="43"/>
      <c r="U351" s="43"/>
      <c r="V351" s="43"/>
      <c r="W351" s="43"/>
      <c r="X351" s="43"/>
      <c r="Y351" s="43"/>
      <c r="Z351" s="43"/>
      <c r="AA351" s="43"/>
      <c r="AB351" s="43"/>
      <c r="AC351" s="43"/>
      <c r="AD351" s="43"/>
      <c r="AE351" s="43"/>
      <c r="AF351" s="43"/>
    </row>
    <row r="352" spans="1:32" ht="12.75" customHeight="1">
      <c r="A352" s="324"/>
      <c r="B352" s="308" t="str">
        <f ca="1">IF($B344="Missing Player",$B344,"")</f>
        <v/>
      </c>
      <c r="C352" s="309"/>
      <c r="D352" s="309"/>
      <c r="E352" s="309"/>
      <c r="F352" s="309"/>
      <c r="G352" s="310"/>
      <c r="H352" s="270"/>
      <c r="I352" s="270"/>
      <c r="J352" s="266"/>
      <c r="K352" s="266"/>
      <c r="L352" s="266"/>
      <c r="M352" s="267"/>
      <c r="N352" s="268"/>
      <c r="O352" s="268"/>
      <c r="P352" s="269"/>
      <c r="Q352" s="139" t="str">
        <f ca="1">IF($Q351&lt;&gt;"",IF($B350&lt;&gt;"Missing Player",IF($Q351="W",IF(SUM(IF($H351&gt;$H349,1,0),IF($I351&gt;$I349,1,0),IF($J351&gt;$J349,1,0),IF($K351&gt;$K349,1,0),IF($L351&gt;$L349,1,0))&lt;&gt;3,"Error",""),""),""),"")</f>
        <v/>
      </c>
      <c r="R352" s="43" t="str">
        <f>A340</f>
        <v>4th Singles</v>
      </c>
      <c r="S352" s="43"/>
      <c r="T352" s="43"/>
      <c r="U352" s="43"/>
      <c r="V352" s="43"/>
      <c r="W352" s="43"/>
      <c r="X352" s="43"/>
      <c r="Y352" s="43"/>
      <c r="Z352" s="43"/>
      <c r="AA352" s="43"/>
      <c r="AB352" s="43"/>
      <c r="AC352" s="43"/>
      <c r="AD352" s="43"/>
      <c r="AE352" s="43"/>
      <c r="AF352" s="43"/>
    </row>
    <row r="353" spans="1:32" ht="12.75" customHeight="1">
      <c r="G353" s="66">
        <f ca="1">COUNTIF($Q321:$Q321,"W")+COUNTIF($Q328:$Q328,"W")+COUNTIF($Q335:$Q335,"W")+COUNTIF($Q342:$Q342,"W")</f>
        <v>0</v>
      </c>
      <c r="J353" s="66">
        <f ca="1">COUNTIF($Q323:$Q323,"W")+COUNTIF($Q330:$Q330,"W")+COUNTIF($Q337:$Q337,"W")+COUNTIF($Q344:$Q344,"W")</f>
        <v>0</v>
      </c>
      <c r="R353" s="60" t="s">
        <v>1228</v>
      </c>
      <c r="S353" s="339" t="s">
        <v>1126</v>
      </c>
      <c r="T353" s="340"/>
      <c r="U353" s="340"/>
      <c r="V353" s="340"/>
      <c r="W353" s="340"/>
      <c r="X353" s="341"/>
      <c r="Y353" s="60">
        <v>1</v>
      </c>
      <c r="Z353" s="60">
        <v>2</v>
      </c>
      <c r="AA353" s="60">
        <v>3</v>
      </c>
      <c r="AB353" s="60">
        <v>4</v>
      </c>
      <c r="AC353" s="60">
        <v>5</v>
      </c>
      <c r="AD353" s="342"/>
      <c r="AE353" s="343"/>
      <c r="AF353" s="344"/>
    </row>
    <row r="354" spans="1:32" ht="12.75" customHeight="1" thickBot="1">
      <c r="F354" s="246" t="s">
        <v>1238</v>
      </c>
      <c r="G354" s="246"/>
      <c r="H354" s="246"/>
      <c r="I354" s="246"/>
      <c r="J354" s="246"/>
      <c r="K354" s="246"/>
      <c r="R354" s="300" t="str">
        <f>B315</f>
        <v>E</v>
      </c>
      <c r="S354" s="331" t="str">
        <f ca="1">IF($B342&lt;&gt;"",$B342,"")</f>
        <v/>
      </c>
      <c r="T354" s="353"/>
      <c r="U354" s="353"/>
      <c r="V354" s="353"/>
      <c r="W354" s="353"/>
      <c r="X354" s="354"/>
      <c r="Y354" s="329"/>
      <c r="Z354" s="329"/>
      <c r="AA354" s="351"/>
      <c r="AB354" s="351"/>
      <c r="AC354" s="351"/>
      <c r="AD354" s="345"/>
      <c r="AE354" s="346"/>
      <c r="AF354" s="347"/>
    </row>
    <row r="355" spans="1:32" ht="12.75" customHeight="1">
      <c r="A355" s="22"/>
      <c r="B355" s="22"/>
      <c r="C355" s="22"/>
      <c r="D355" s="22"/>
      <c r="E355" s="22"/>
      <c r="G355" s="304" t="str">
        <f>B315</f>
        <v>E</v>
      </c>
      <c r="H355" s="305"/>
      <c r="I355" s="302" t="str">
        <f>K315</f>
        <v>G</v>
      </c>
      <c r="J355" s="303"/>
      <c r="L355" s="22"/>
      <c r="M355" s="22"/>
      <c r="N355" s="22"/>
      <c r="O355" s="22"/>
      <c r="P355" s="22"/>
      <c r="R355" s="301"/>
      <c r="S355" s="355"/>
      <c r="T355" s="356"/>
      <c r="U355" s="356"/>
      <c r="V355" s="356"/>
      <c r="W355" s="356"/>
      <c r="X355" s="357"/>
      <c r="Y355" s="338"/>
      <c r="Z355" s="338"/>
      <c r="AA355" s="352"/>
      <c r="AB355" s="352"/>
      <c r="AC355" s="352"/>
      <c r="AD355" s="348"/>
      <c r="AE355" s="349"/>
      <c r="AF355" s="350"/>
    </row>
    <row r="356" spans="1:32" ht="12.75" customHeight="1" thickBot="1">
      <c r="A356" s="2" t="s">
        <v>1228</v>
      </c>
      <c r="B356" s="53" t="str">
        <f>B315</f>
        <v>E</v>
      </c>
      <c r="C356" s="3" t="s">
        <v>1226</v>
      </c>
      <c r="F356" s="66" t="str">
        <f>CONCATENATE($B315,"-",$K315)</f>
        <v>E-G</v>
      </c>
      <c r="G356" s="320" t="str">
        <f ca="1">IF(OR(Q321&lt;&gt;"",Q328&lt;&gt;"",Q335&lt;&gt;"",Q342&lt;&gt;"",Q349&lt;&gt;""),COUNTIF(Q321:Q321,"W")+COUNTIF(Q328:Q328,"W")+COUNTIF(Q335:Q335,"W")+COUNTIF(Q342:Q342,"W")+COUNTIF(Q349:Q349,"W"),"")</f>
        <v/>
      </c>
      <c r="H356" s="321"/>
      <c r="I356" s="322" t="str">
        <f ca="1">IF(OR(Q323&lt;&gt;"",Q330&lt;&gt;"",Q337&lt;&gt;"",Q344&lt;&gt;"",Q351&lt;&gt;""),COUNTIF(Q323:Q323,"W")+COUNTIF(Q330:Q330,"W")+COUNTIF(Q337:Q337,"W")+COUNTIF(Q344:Q344,"W")+COUNTIF(Q351:Q351,"W"),"")</f>
        <v/>
      </c>
      <c r="J356" s="323"/>
      <c r="L356" s="2" t="s">
        <v>1228</v>
      </c>
      <c r="M356" s="53" t="str">
        <f>K315</f>
        <v>G</v>
      </c>
      <c r="N356" s="3" t="s">
        <v>1226</v>
      </c>
      <c r="R356" s="300" t="str">
        <f>K315</f>
        <v>G</v>
      </c>
      <c r="S356" s="331" t="str">
        <f ca="1">IF($B344&lt;&gt;"",$B344,"")</f>
        <v/>
      </c>
      <c r="T356" s="332"/>
      <c r="U356" s="332"/>
      <c r="V356" s="332"/>
      <c r="W356" s="332"/>
      <c r="X356" s="333"/>
      <c r="Y356" s="329"/>
      <c r="Z356" s="329"/>
      <c r="AA356" s="351"/>
      <c r="AB356" s="351"/>
      <c r="AC356" s="351"/>
      <c r="AD356" s="363" t="s">
        <v>1237</v>
      </c>
      <c r="AE356" s="358"/>
      <c r="AF356" s="359"/>
    </row>
    <row r="357" spans="1:32" ht="12.75" customHeight="1">
      <c r="F357" s="25" t="s">
        <v>3996</v>
      </c>
      <c r="G357" s="23"/>
      <c r="H357" s="23"/>
      <c r="I357" s="23"/>
      <c r="J357" s="23"/>
      <c r="K357" s="24"/>
      <c r="R357" s="330"/>
      <c r="S357" s="334"/>
      <c r="T357" s="335"/>
      <c r="U357" s="335"/>
      <c r="V357" s="335"/>
      <c r="W357" s="335"/>
      <c r="X357" s="336"/>
      <c r="Y357" s="330"/>
      <c r="Z357" s="330"/>
      <c r="AA357" s="330"/>
      <c r="AB357" s="330"/>
      <c r="AC357" s="330"/>
      <c r="AD357" s="360"/>
      <c r="AE357" s="361"/>
      <c r="AF357" s="362"/>
    </row>
    <row r="358" spans="1:32" ht="12.75" customHeight="1">
      <c r="R358" s="1"/>
      <c r="S358" s="110"/>
      <c r="T358" s="110"/>
      <c r="U358" s="110"/>
      <c r="V358" s="110"/>
      <c r="W358" s="110"/>
      <c r="X358" s="111"/>
      <c r="Y358" s="111"/>
      <c r="Z358" s="111"/>
      <c r="AA358" s="111"/>
    </row>
    <row r="359" spans="1:32" ht="12.75" customHeight="1">
      <c r="F359" s="246" t="s">
        <v>4929</v>
      </c>
      <c r="G359" s="246"/>
      <c r="H359" s="246"/>
      <c r="I359" s="246"/>
      <c r="R359" s="1"/>
      <c r="S359" s="110"/>
      <c r="T359" s="110"/>
      <c r="U359" s="110"/>
      <c r="V359" s="110"/>
      <c r="W359" s="110"/>
      <c r="X359" s="111"/>
      <c r="Y359" s="111"/>
      <c r="Z359" s="111"/>
      <c r="AA359" s="111"/>
    </row>
    <row r="360" spans="1:32" ht="12.75" customHeight="1">
      <c r="F360" s="246" t="s">
        <v>4930</v>
      </c>
      <c r="G360" s="246"/>
      <c r="H360" s="246"/>
      <c r="I360" s="246"/>
      <c r="R360" s="1"/>
      <c r="S360" s="110"/>
      <c r="T360" s="110"/>
      <c r="U360" s="110"/>
      <c r="V360" s="110"/>
      <c r="W360" s="110"/>
      <c r="X360" s="111"/>
      <c r="Y360" s="111"/>
      <c r="Z360" s="111"/>
      <c r="AA360" s="111"/>
    </row>
    <row r="361" spans="1:32" ht="12.75" customHeight="1">
      <c r="K361" s="281" t="s">
        <v>1244</v>
      </c>
      <c r="L361" s="281"/>
      <c r="M361" s="281"/>
      <c r="N361" s="281"/>
      <c r="O361" s="281"/>
      <c r="P361" s="281"/>
      <c r="R361" s="1"/>
      <c r="S361" s="110"/>
      <c r="T361" s="110"/>
      <c r="U361" s="110"/>
      <c r="V361" s="110"/>
      <c r="W361" s="110"/>
      <c r="X361" s="111"/>
      <c r="Y361" s="111"/>
      <c r="Z361" s="111"/>
      <c r="AA361" s="111"/>
    </row>
    <row r="362" spans="1:32" ht="12.75" customHeight="1">
      <c r="A362" s="12" t="s">
        <v>1229</v>
      </c>
      <c r="B362" s="11"/>
      <c r="C362" s="11"/>
      <c r="D362" s="11" t="str">
        <f>Draw!$B$1</f>
        <v>Enter Division Name</v>
      </c>
      <c r="E362" s="11"/>
      <c r="F362" s="7"/>
      <c r="G362" s="6"/>
      <c r="H362" s="7"/>
      <c r="I362" s="11"/>
      <c r="J362" s="11"/>
      <c r="K362" s="11"/>
      <c r="L362" s="11"/>
      <c r="M362" s="281"/>
      <c r="N362" s="281"/>
      <c r="O362" s="281"/>
      <c r="P362" s="281"/>
      <c r="R362" s="1"/>
      <c r="S362" s="110"/>
      <c r="T362" s="110"/>
      <c r="U362" s="110"/>
      <c r="V362" s="110"/>
      <c r="W362" s="110"/>
      <c r="X362" s="111"/>
      <c r="Y362" s="111"/>
      <c r="Z362" s="111"/>
      <c r="AA362" s="111"/>
    </row>
    <row r="363" spans="1:32" ht="12.75" customHeight="1">
      <c r="A363" s="2" t="s">
        <v>1230</v>
      </c>
      <c r="D363" s="43" t="str">
        <f>Draw!$D$1</f>
        <v>Enter Hosting Location (City, ST)</v>
      </c>
      <c r="J363" s="43" t="str">
        <f ca="1">$J$6</f>
        <v>[NCTTA Teams Template (v2.06).xlsx]</v>
      </c>
      <c r="R363" s="1"/>
      <c r="S363" s="110"/>
      <c r="T363" s="110"/>
      <c r="U363" s="110"/>
      <c r="V363" s="110"/>
      <c r="W363" s="110"/>
      <c r="X363" s="111"/>
      <c r="Y363" s="111"/>
      <c r="Z363" s="111"/>
      <c r="AA363" s="111"/>
    </row>
    <row r="364" spans="1:32" ht="12.75" customHeight="1">
      <c r="A364" s="2" t="s">
        <v>1231</v>
      </c>
      <c r="D364" s="337" t="str">
        <f>Draw!$P$1</f>
        <v>Enter Date</v>
      </c>
      <c r="E364" s="337"/>
      <c r="F364" s="337"/>
      <c r="G364" s="337"/>
      <c r="J364" s="280" t="str">
        <f>CHOOSE(Draw!$T$1,"Round 2, Match 2","Round 3, Match 2","Round 1, Match 4","Round 2, Match 3","Round 4, Match 2","Round 3, Match 2","Round 3, Match 2","Round 2, Match 4","Round 2, Match 4","Round 2, Match 3","Round 2, Match 3")</f>
        <v>Round 1, Match 4</v>
      </c>
      <c r="K364" s="280"/>
      <c r="L364" s="280"/>
      <c r="M364" s="276" t="str">
        <f>IF(AND($J364&lt;&gt;"",Draw!$AC$10&lt;&gt;"",Draw!$AC$13&lt;&gt;""),Draw!$AC$10+TIME(0,VALUE(MID($J364,7,FIND(",",$J364)-FIND(" ",$J364)-1)-1)*Draw!$AC$13,0),"")</f>
        <v/>
      </c>
      <c r="N364" s="276"/>
      <c r="O364" s="157" t="str">
        <f>$F407</f>
        <v>F-H</v>
      </c>
      <c r="R364" s="1"/>
      <c r="S364" s="110"/>
      <c r="T364" s="110"/>
      <c r="U364" s="110"/>
      <c r="V364" s="110"/>
      <c r="W364" s="110"/>
      <c r="X364" s="111"/>
      <c r="Y364" s="111"/>
      <c r="Z364" s="111"/>
      <c r="AA364" s="111"/>
    </row>
    <row r="365" spans="1:32" ht="12.75" customHeight="1">
      <c r="A365" s="14"/>
      <c r="B365" s="15"/>
      <c r="C365" s="15"/>
      <c r="D365" s="15"/>
      <c r="E365" s="15"/>
      <c r="F365" s="14"/>
      <c r="G365" s="14"/>
      <c r="H365" s="16"/>
      <c r="I365" s="14"/>
      <c r="J365" s="15"/>
      <c r="K365" s="15"/>
      <c r="L365" s="15"/>
      <c r="M365" s="15"/>
      <c r="N365" s="15"/>
      <c r="O365" s="364" t="str">
        <f>IF(OR(AND(VLOOKUP($B366,$AM$1:$AX$12,12,FALSE)="C",VLOOKUP($K366,$AM$1:$AX$12,12,FALSE)="C"),AND(VLOOKUP($B366,$AM$1:$AX$12,12,FALSE)="W",VLOOKUP($K366,$AM$1:$AX$12,12,FALSE)="W")),"Official",IF(AND($A367="",$J367=""),"","Scrimmage"))</f>
        <v/>
      </c>
      <c r="P365" s="364"/>
      <c r="R365" s="1"/>
      <c r="S365" s="110"/>
      <c r="T365" s="110"/>
      <c r="U365" s="110"/>
      <c r="V365" s="110"/>
      <c r="W365" s="110"/>
      <c r="X365" s="111"/>
      <c r="Y365" s="111"/>
      <c r="Z365" s="111"/>
      <c r="AA365" s="111"/>
    </row>
    <row r="366" spans="1:32" ht="12.75" customHeight="1">
      <c r="A366" s="17" t="s">
        <v>1228</v>
      </c>
      <c r="B366" s="119" t="str">
        <f>CHOOSE(Draw!$T$1,"J","B","F","G","D","B","D","C","D","B","C")</f>
        <v>F</v>
      </c>
      <c r="C366" s="135">
        <f>VLOOKUP($B366,$AM$1:$AN$12,2)</f>
        <v>6</v>
      </c>
      <c r="D366" s="13"/>
      <c r="E366" s="13"/>
      <c r="F366" s="10"/>
      <c r="H366" s="19" t="s">
        <v>1232</v>
      </c>
      <c r="J366" s="17" t="s">
        <v>1228</v>
      </c>
      <c r="K366" s="119" t="str">
        <f>CHOOSE(Draw!$T$1,"L","D","H","H","E","D","F","D","E","G","H")</f>
        <v>H</v>
      </c>
      <c r="L366" s="135">
        <f>VLOOKUP($K366,$AM$1:$AN$12,2)</f>
        <v>8</v>
      </c>
      <c r="M366" s="13"/>
      <c r="N366" s="13"/>
      <c r="O366" s="18"/>
      <c r="P366" s="274"/>
      <c r="Q366" s="275"/>
      <c r="R366" s="1"/>
      <c r="S366" s="110"/>
      <c r="T366" s="110"/>
      <c r="U366" s="110"/>
      <c r="V366" s="110"/>
      <c r="W366" s="110"/>
      <c r="X366" s="111"/>
      <c r="Y366" s="111"/>
      <c r="Z366" s="111"/>
      <c r="AA366" s="111"/>
    </row>
    <row r="367" spans="1:32" ht="12.75" customHeight="1">
      <c r="A367" s="277" t="str">
        <f>IF(VLOOKUP($B366,Draw!$A$4:$B$27,2)&lt;&gt;0,VLOOKUP($B366,Draw!$A$4:$B$27,2),"")</f>
        <v/>
      </c>
      <c r="B367" s="278"/>
      <c r="C367" s="278"/>
      <c r="D367" s="278"/>
      <c r="E367" s="278"/>
      <c r="F367" s="279"/>
      <c r="G367" s="306" t="s">
        <v>4159</v>
      </c>
      <c r="H367" s="289"/>
      <c r="I367" s="307"/>
      <c r="J367" s="277" t="str">
        <f>IF(VLOOKUP($K366,Draw!$A$4:$B$27,2)&lt;&gt;0,VLOOKUP($K366,Draw!$A$4:$B$27,2),"")</f>
        <v/>
      </c>
      <c r="K367" s="278"/>
      <c r="L367" s="278"/>
      <c r="M367" s="278"/>
      <c r="N367" s="278"/>
      <c r="O367" s="279"/>
      <c r="P367" s="15"/>
      <c r="R367" s="1"/>
      <c r="S367" s="110"/>
      <c r="T367" s="110"/>
      <c r="U367" s="110"/>
      <c r="V367" s="110"/>
      <c r="W367" s="110"/>
      <c r="X367" s="111"/>
      <c r="Y367" s="111"/>
      <c r="Z367" s="111"/>
      <c r="AA367" s="111"/>
    </row>
    <row r="368" spans="1:32" ht="12.75" customHeight="1">
      <c r="A368" s="14"/>
      <c r="B368" s="15"/>
      <c r="C368" s="15"/>
      <c r="D368" s="15"/>
      <c r="E368" s="15"/>
      <c r="F368" s="14"/>
      <c r="G368" s="288" t="str">
        <f>"Page "&amp;VALUE(RIGHT($G367,LEN($G367)-SEARCH("-",$G367)))/2</f>
        <v>Page 8</v>
      </c>
      <c r="H368" s="289"/>
      <c r="I368" s="289"/>
      <c r="J368" s="15"/>
      <c r="K368" s="15"/>
      <c r="L368" s="15"/>
      <c r="M368" s="15"/>
      <c r="N368" s="15"/>
      <c r="O368" s="15"/>
      <c r="P368" s="15"/>
      <c r="R368" s="1"/>
      <c r="S368" s="110"/>
      <c r="T368" s="110"/>
      <c r="U368" s="110"/>
      <c r="V368" s="110"/>
      <c r="W368" s="110"/>
      <c r="X368" s="111"/>
      <c r="Y368" s="111"/>
      <c r="Z368" s="111"/>
      <c r="AA368" s="111"/>
      <c r="AF368" s="27"/>
    </row>
    <row r="369" spans="1:32" ht="12.75" customHeight="1">
      <c r="A369" s="327" t="s">
        <v>1245</v>
      </c>
      <c r="B369" s="327"/>
      <c r="C369" s="327"/>
      <c r="D369" s="327"/>
      <c r="E369" s="327"/>
      <c r="F369" s="327"/>
      <c r="G369" s="327"/>
      <c r="H369" s="327"/>
      <c r="I369" s="327"/>
      <c r="J369" s="327"/>
      <c r="K369" s="327"/>
      <c r="L369" s="327"/>
      <c r="M369" s="327"/>
      <c r="N369" s="327"/>
      <c r="O369" s="327"/>
      <c r="P369" s="327"/>
      <c r="Q369" s="7"/>
      <c r="R369" s="1"/>
      <c r="S369" s="110"/>
      <c r="T369" s="110"/>
      <c r="U369" s="110"/>
      <c r="V369" s="110"/>
      <c r="W369" s="110"/>
      <c r="X369" s="111"/>
      <c r="Y369" s="111"/>
      <c r="Z369" s="111"/>
      <c r="AA369" s="111"/>
      <c r="AF369" s="20"/>
    </row>
    <row r="370" spans="1:32" ht="12.75" customHeight="1">
      <c r="A370" s="21" t="s">
        <v>1233</v>
      </c>
      <c r="H370" s="136" t="str">
        <f>IF($Q372&lt;&gt;"",IF(AND(AND($H372&gt;-1,$H374&gt;-1),OR($H372&gt;10,$H374&gt;10),ABS($H372-$H374)&gt;1,IF(OR($H372&gt;11,$H374&gt;11),ABS($H372-$H374)=2,TRUE),$H372=INT($H372),$H374=INT($H374)),"","Error"),"")</f>
        <v/>
      </c>
      <c r="I370" s="136" t="str">
        <f>IF($Q372&lt;&gt;"",IF(AND(AND($I372&gt;-1,$I374&gt;-1),OR($I372&gt;10,$I374&gt;10),ABS($I372-$I374)&gt;1,IF(OR($I372&gt;11,$I374&gt;11),ABS($I372-$I374)=2,TRUE),$I372=INT($I372),$I374=INT($I374)),"","Error"),"")</f>
        <v/>
      </c>
      <c r="J370" s="136" t="str">
        <f>IF($Q372&lt;&gt;"",IF(AND(AND($J372&gt;-1,$J374&gt;-1),OR($J372&gt;10,$J374&gt;10),ABS($J372-$J374)&gt;1,IF(OR($J372&gt;11,$J374&gt;11),ABS($J372-$J374)=2,TRUE),$J372=INT($J372),$J374=INT($J374)),"","Error"),"")</f>
        <v/>
      </c>
      <c r="K370" s="136" t="str">
        <f>IF($Q372&lt;&gt;"",IF(AND($K372&lt;&gt;"",$K374&lt;&gt;""), IF(AND(AND($K372&gt;-1,$K374&gt;-1),OR($K372&gt;10,$K374&gt;10),ABS($K372-$K374)&gt;1,IF(OR($K372&gt;11,$K374&gt;11),ABS($K372-$K374)=2,TRUE),$K372=INT($K372),$K374=INT($K374)),"","Error"),""),"")</f>
        <v/>
      </c>
      <c r="L370" s="136" t="str">
        <f>IF($Q372&lt;&gt;"",IF(AND($L372&lt;&gt;"",$L374&lt;&gt;""), IF(AND(AND($L372&gt;-1,$L374&gt;-1),OR($L372&gt;10,$L374&gt;10),ABS($L372-$L374)&gt;1,IF(OR($L372&gt;11,$L374&gt;11),ABS($L372-$L374)=2,TRUE),$L372=INT($L372),$L374=INT($L374)),"","Error"),""),"")</f>
        <v/>
      </c>
      <c r="R370" s="1"/>
      <c r="S370" s="110"/>
      <c r="T370" s="110"/>
      <c r="U370" s="110"/>
      <c r="V370" s="110"/>
      <c r="W370" s="110"/>
      <c r="X370" s="111"/>
      <c r="Y370" s="111"/>
      <c r="Z370" s="111"/>
      <c r="AA370" s="111"/>
    </row>
    <row r="371" spans="1:32" ht="12.75" customHeight="1">
      <c r="A371" s="5" t="s">
        <v>1228</v>
      </c>
      <c r="B371" s="290" t="s">
        <v>1126</v>
      </c>
      <c r="C371" s="291"/>
      <c r="D371" s="291"/>
      <c r="E371" s="291"/>
      <c r="F371" s="291"/>
      <c r="G371" s="292"/>
      <c r="H371" s="5">
        <v>1</v>
      </c>
      <c r="I371" s="5">
        <v>2</v>
      </c>
      <c r="J371" s="5">
        <v>3</v>
      </c>
      <c r="K371" s="5">
        <v>4</v>
      </c>
      <c r="L371" s="5">
        <v>5</v>
      </c>
      <c r="M371" s="271"/>
      <c r="N371" s="272"/>
      <c r="O371" s="272"/>
      <c r="P371" s="273"/>
      <c r="R371" s="1"/>
      <c r="S371" s="110"/>
      <c r="T371" s="110"/>
      <c r="U371" s="110"/>
      <c r="V371" s="110"/>
      <c r="W371" s="110"/>
      <c r="X371" s="111"/>
      <c r="Y371" s="111"/>
      <c r="Z371" s="111"/>
      <c r="AA371" s="111"/>
    </row>
    <row r="372" spans="1:32" ht="12.75" customHeight="1">
      <c r="A372" s="300" t="str">
        <f>B366</f>
        <v>F</v>
      </c>
      <c r="B372" s="293" t="str">
        <f ca="1">IF(AND(OFFSET($AO$1,$C366-1,8,1,1),$A367&lt;&gt;"",$J367&lt;&gt;""),CHOOSE($C366,$AO$1,$AO$2,$AO$3,$AO$4,$AO$5,$AO$6,$AO$7,$AO$8,$AO$9,$AO$10,$AO$11,$AO$12),"")</f>
        <v/>
      </c>
      <c r="C372" s="294"/>
      <c r="D372" s="294"/>
      <c r="E372" s="294"/>
      <c r="F372" s="294"/>
      <c r="G372" s="294"/>
      <c r="H372" s="265"/>
      <c r="I372" s="265"/>
      <c r="J372" s="265"/>
      <c r="K372" s="265"/>
      <c r="L372" s="265"/>
      <c r="M372" s="297"/>
      <c r="N372" s="298"/>
      <c r="O372" s="298"/>
      <c r="P372" s="299"/>
      <c r="Q372" s="137" t="str">
        <f>IF($L372=$L374,IF($K372=$K374,IF($J372&lt;&gt;"",IF($J372&gt;$J374,"W","L"),""),IF($K372&gt;$K374,"W","L")),IF($L372&gt;$L374,"W","L"))</f>
        <v/>
      </c>
      <c r="R372" s="1"/>
      <c r="S372" s="110"/>
      <c r="T372" s="110"/>
      <c r="U372" s="110"/>
      <c r="V372" s="110"/>
      <c r="W372" s="110"/>
      <c r="X372" s="111"/>
      <c r="Y372" s="111"/>
      <c r="Z372" s="111"/>
      <c r="AA372" s="111"/>
    </row>
    <row r="373" spans="1:32" ht="12.75" customHeight="1">
      <c r="A373" s="301"/>
      <c r="B373" s="295"/>
      <c r="C373" s="296"/>
      <c r="D373" s="296"/>
      <c r="E373" s="296"/>
      <c r="F373" s="296"/>
      <c r="G373" s="296"/>
      <c r="H373" s="270"/>
      <c r="I373" s="270"/>
      <c r="J373" s="270"/>
      <c r="K373" s="270"/>
      <c r="L373" s="270"/>
      <c r="M373" s="297"/>
      <c r="N373" s="298"/>
      <c r="O373" s="298"/>
      <c r="P373" s="299"/>
      <c r="Q373" s="139" t="str">
        <f>IF($Q372&lt;&gt;"",IF($Q372="W",IF(SUM(IF($H372&gt;$H374,1,0),IF($I372&gt;$I374,1,0),IF($J372&gt;$J374,1,0),IF($K372&gt;$K374,1,0),IF($L372&gt;$L374,1,0))&lt;&gt;3,"Error",""),""),"")</f>
        <v/>
      </c>
      <c r="R373" s="328" t="str">
        <f>$A367</f>
        <v/>
      </c>
      <c r="S373" s="328"/>
      <c r="T373" s="328"/>
      <c r="U373" s="328"/>
      <c r="V373" s="328"/>
      <c r="W373" s="328"/>
      <c r="X373" s="256" t="str">
        <f>CONCATENATE("(",$B366," vs ",$K366,")")</f>
        <v>(F vs H)</v>
      </c>
      <c r="Y373" s="256"/>
      <c r="Z373" s="328" t="str">
        <f>$J367</f>
        <v/>
      </c>
      <c r="AA373" s="328"/>
      <c r="AB373" s="328"/>
      <c r="AC373" s="328"/>
      <c r="AD373" s="328"/>
      <c r="AE373" s="328"/>
      <c r="AF373" s="43"/>
    </row>
    <row r="374" spans="1:32" ht="12.75" customHeight="1">
      <c r="A374" s="300" t="str">
        <f>K366</f>
        <v>H</v>
      </c>
      <c r="B374" s="293" t="str">
        <f ca="1">IF(AND(OFFSET($AO$1,$L366-1,8,1,1),$A367&lt;&gt;"",$J367&lt;&gt;""),CHOOSE($L366,$AO$1,$AO$2,$AO$3,$AO$4,$AO$5,$AO$6,$AO$7,$AO$8,$AO$9,$AO$10,$AO$11,$AO$12),"")</f>
        <v/>
      </c>
      <c r="C374" s="294"/>
      <c r="D374" s="294"/>
      <c r="E374" s="294"/>
      <c r="F374" s="294"/>
      <c r="G374" s="294"/>
      <c r="H374" s="265"/>
      <c r="I374" s="265"/>
      <c r="J374" s="265"/>
      <c r="K374" s="265"/>
      <c r="L374" s="265"/>
      <c r="M374" s="267" t="s">
        <v>1237</v>
      </c>
      <c r="N374" s="268"/>
      <c r="O374" s="268"/>
      <c r="P374" s="269"/>
      <c r="Q374" s="137" t="str">
        <f>IF($Q372&lt;&gt;"",IF($Q372="W","L","W"),"")</f>
        <v/>
      </c>
      <c r="R374" s="43"/>
      <c r="S374" s="43"/>
      <c r="T374" s="43"/>
      <c r="U374" s="43"/>
      <c r="V374" s="43"/>
      <c r="W374" s="43"/>
      <c r="X374" s="43"/>
      <c r="Y374" s="43"/>
      <c r="Z374" s="43"/>
      <c r="AA374" s="43"/>
      <c r="AB374" s="43"/>
      <c r="AC374" s="43"/>
      <c r="AD374" s="43"/>
      <c r="AE374" s="43"/>
      <c r="AF374" s="43"/>
    </row>
    <row r="375" spans="1:32" ht="12.75" customHeight="1">
      <c r="A375" s="301"/>
      <c r="B375" s="295"/>
      <c r="C375" s="296"/>
      <c r="D375" s="296"/>
      <c r="E375" s="296"/>
      <c r="F375" s="296"/>
      <c r="G375" s="296"/>
      <c r="H375" s="270"/>
      <c r="I375" s="270"/>
      <c r="J375" s="266"/>
      <c r="K375" s="266"/>
      <c r="L375" s="266"/>
      <c r="M375" s="267"/>
      <c r="N375" s="268"/>
      <c r="O375" s="268"/>
      <c r="P375" s="269"/>
      <c r="Q375" s="139" t="str">
        <f>IF($Q374&lt;&gt;"",IF($Q374="W",IF(SUM(IF($H374&gt;$H372,1,0),IF($I374&gt;$I372,1,0),IF($J374&gt;$J372,1,0),IF($K374&gt;$K372,1,0),IF($L374&gt;$L372,1,0))&lt;&gt;3,"Error",""),""),"")</f>
        <v/>
      </c>
      <c r="R375" s="43" t="str">
        <f>$A377</f>
        <v>2nd Singles</v>
      </c>
      <c r="S375" s="43"/>
      <c r="T375" s="43"/>
      <c r="U375" s="43"/>
      <c r="V375" s="43"/>
      <c r="W375" s="43"/>
      <c r="X375" s="43"/>
      <c r="Y375" s="43"/>
      <c r="Z375" s="43"/>
      <c r="AA375" s="43"/>
      <c r="AB375" s="43"/>
      <c r="AC375" s="43"/>
      <c r="AD375" s="43"/>
      <c r="AE375" s="43"/>
      <c r="AF375" s="43"/>
    </row>
    <row r="376" spans="1:32" ht="12.75" customHeight="1">
      <c r="Q376" s="7"/>
      <c r="R376" s="60" t="s">
        <v>1228</v>
      </c>
      <c r="S376" s="339" t="s">
        <v>1126</v>
      </c>
      <c r="T376" s="340"/>
      <c r="U376" s="340"/>
      <c r="V376" s="340"/>
      <c r="W376" s="340"/>
      <c r="X376" s="341"/>
      <c r="Y376" s="60">
        <v>1</v>
      </c>
      <c r="Z376" s="60">
        <v>2</v>
      </c>
      <c r="AA376" s="60">
        <v>3</v>
      </c>
      <c r="AB376" s="60">
        <v>4</v>
      </c>
      <c r="AC376" s="60">
        <v>5</v>
      </c>
      <c r="AD376" s="342"/>
      <c r="AE376" s="343"/>
      <c r="AF376" s="344"/>
    </row>
    <row r="377" spans="1:32" ht="12.75" customHeight="1">
      <c r="A377" s="21" t="s">
        <v>1234</v>
      </c>
      <c r="H377" s="136" t="str">
        <f>IF($Q379&lt;&gt;"",IF(AND(AND($H379&gt;-1,$H381&gt;-1),OR($H379&gt;10,$H381&gt;10),ABS($H379-$H381)&gt;1,IF(OR($H379&gt;11,$H381&gt;11),ABS($H379-$H381)=2,TRUE),$H379=INT($H379),$H381=INT($H381)),"","Error"),"")</f>
        <v/>
      </c>
      <c r="I377" s="136" t="str">
        <f>IF($Q379&lt;&gt;"",IF(AND(AND($I379&gt;-1,$I381&gt;-1),OR($I379&gt;10,$I381&gt;10),ABS($I379-$I381)&gt;1,IF(OR($I379&gt;11,$I381&gt;11),ABS($I379-$I381)=2,TRUE),$I379=INT($I379),$I381=INT($I381)),"","Error"),"")</f>
        <v/>
      </c>
      <c r="J377" s="136" t="str">
        <f>IF($Q379&lt;&gt;"",IF(AND(AND($J379&gt;-1,$J381&gt;-1),OR($J379&gt;10,$J381&gt;10),ABS($J379-$J381)&gt;1,IF(OR($J379&gt;11,$J381&gt;11),ABS($J379-$J381)=2,TRUE),$J379=INT($J379),$J381=INT($J381)),"","Error"),"")</f>
        <v/>
      </c>
      <c r="K377" s="136" t="str">
        <f>IF($Q379&lt;&gt;"",IF(AND($K379&lt;&gt;"",$K381&lt;&gt;""), IF(AND(AND($K379&gt;-1,$K381&gt;-1),OR($K379&gt;10,$K381&gt;10),ABS($K379-$K381)&gt;1,IF(OR($K379&gt;11,$K381&gt;11),ABS($K379-$K381)=2,TRUE),$K379=INT($K379),$K381=INT($K381)),"","Error"),""),"")</f>
        <v/>
      </c>
      <c r="L377" s="136" t="str">
        <f>IF($Q379&lt;&gt;"",IF(AND($L379&lt;&gt;"",$L381&lt;&gt;""), IF(AND(AND($L379&gt;-1,$L381&gt;-1),OR($L379&gt;10,$L381&gt;10),ABS($L379-$L381)&gt;1,IF(OR($L379&gt;11,$L381&gt;11),ABS($L379-$L381)=2,TRUE),$L379=INT($L379),$L381=INT($L381)),"","Error"),""),"")</f>
        <v/>
      </c>
      <c r="Q377" s="7"/>
      <c r="R377" s="300" t="str">
        <f>$B366</f>
        <v>F</v>
      </c>
      <c r="S377" s="331" t="str">
        <f ca="1">IF($B379&lt;&gt;"",$B379,"")</f>
        <v/>
      </c>
      <c r="T377" s="332"/>
      <c r="U377" s="332"/>
      <c r="V377" s="332"/>
      <c r="W377" s="332"/>
      <c r="X377" s="333"/>
      <c r="Y377" s="329"/>
      <c r="Z377" s="329"/>
      <c r="AA377" s="329"/>
      <c r="AB377" s="329"/>
      <c r="AC377" s="329"/>
      <c r="AD377" s="345"/>
      <c r="AE377" s="358"/>
      <c r="AF377" s="359"/>
    </row>
    <row r="378" spans="1:32" ht="12.75" customHeight="1">
      <c r="A378" s="5" t="s">
        <v>1228</v>
      </c>
      <c r="B378" s="290" t="s">
        <v>1126</v>
      </c>
      <c r="C378" s="291"/>
      <c r="D378" s="291"/>
      <c r="E378" s="291"/>
      <c r="F378" s="291"/>
      <c r="G378" s="292"/>
      <c r="H378" s="5">
        <v>1</v>
      </c>
      <c r="I378" s="5">
        <v>2</v>
      </c>
      <c r="J378" s="5">
        <v>3</v>
      </c>
      <c r="K378" s="5">
        <v>4</v>
      </c>
      <c r="L378" s="5">
        <v>5</v>
      </c>
      <c r="M378" s="271"/>
      <c r="N378" s="272"/>
      <c r="O378" s="272"/>
      <c r="P378" s="273"/>
      <c r="Q378" s="7"/>
      <c r="R378" s="330"/>
      <c r="S378" s="334"/>
      <c r="T378" s="335"/>
      <c r="U378" s="335"/>
      <c r="V378" s="335"/>
      <c r="W378" s="335"/>
      <c r="X378" s="336"/>
      <c r="Y378" s="330"/>
      <c r="Z378" s="330"/>
      <c r="AA378" s="330"/>
      <c r="AB378" s="330"/>
      <c r="AC378" s="330"/>
      <c r="AD378" s="360"/>
      <c r="AE378" s="361"/>
      <c r="AF378" s="362"/>
    </row>
    <row r="379" spans="1:32" ht="12.75" customHeight="1">
      <c r="A379" s="300" t="str">
        <f>B366</f>
        <v>F</v>
      </c>
      <c r="B379" s="293" t="str">
        <f ca="1">IF(AND(OFFSET($AO$1,$C366-1,8,1,1),$A367&lt;&gt;"",$J367&lt;&gt;""),CHOOSE($C366,$AP$1,$AP$2,$AP$3,$AP$4,$AP$5,$AP$6,$AP$7,$AP$8,$AP$9,$AP$10,$AP$11,$AP$12),"")</f>
        <v/>
      </c>
      <c r="C379" s="294"/>
      <c r="D379" s="294"/>
      <c r="E379" s="294"/>
      <c r="F379" s="294"/>
      <c r="G379" s="294"/>
      <c r="H379" s="265"/>
      <c r="I379" s="265"/>
      <c r="J379" s="265"/>
      <c r="K379" s="265"/>
      <c r="L379" s="265"/>
      <c r="M379" s="262" t="str">
        <f ca="1">IF(OR(AND($B372&lt;&gt;"",$B379&lt;&gt;"",$C397&lt;=$B397),AND($B374&lt;&gt;"",$B381&lt;&gt;"",$G397&lt;=$F397)),"Invalid Lineup","")</f>
        <v/>
      </c>
      <c r="N379" s="263"/>
      <c r="O379" s="263"/>
      <c r="P379" s="264"/>
      <c r="Q379" s="137" t="str">
        <f>IF($L379=$L381,IF($K379=$K381,IF($J379&lt;&gt;"",IF($J379&gt;$J381,"W","L"),""),IF($K379&gt;$K381,"W","L")),IF($L379&gt;$L381,"W","L"))</f>
        <v/>
      </c>
      <c r="R379" s="300" t="str">
        <f>$K366</f>
        <v>H</v>
      </c>
      <c r="S379" s="331" t="str">
        <f ca="1">IF($B381&lt;&gt;"",$B381,"")</f>
        <v/>
      </c>
      <c r="T379" s="332"/>
      <c r="U379" s="332"/>
      <c r="V379" s="332"/>
      <c r="W379" s="332"/>
      <c r="X379" s="333"/>
      <c r="Y379" s="329"/>
      <c r="Z379" s="329"/>
      <c r="AA379" s="329"/>
      <c r="AB379" s="329"/>
      <c r="AC379" s="351"/>
      <c r="AD379" s="363" t="s">
        <v>1237</v>
      </c>
      <c r="AE379" s="358"/>
      <c r="AF379" s="359"/>
    </row>
    <row r="380" spans="1:32" ht="12.75" customHeight="1">
      <c r="A380" s="301"/>
      <c r="B380" s="295"/>
      <c r="C380" s="296"/>
      <c r="D380" s="296"/>
      <c r="E380" s="296"/>
      <c r="F380" s="296"/>
      <c r="G380" s="296"/>
      <c r="H380" s="270"/>
      <c r="I380" s="270"/>
      <c r="J380" s="270"/>
      <c r="K380" s="270"/>
      <c r="L380" s="270"/>
      <c r="M380" s="262"/>
      <c r="N380" s="263"/>
      <c r="O380" s="263"/>
      <c r="P380" s="264"/>
      <c r="Q380" s="139" t="str">
        <f>IF($Q379&lt;&gt;"",IF($Q379="W",IF(SUM(IF($H379&gt;$H381,1,0),IF($I379&gt;$I381,1,0),IF($J379&gt;$J381,1,0),IF($K379&gt;$K381,1,0),IF($L379&gt;$L381,1,0))&lt;&gt;3,"Error",""),""),"")</f>
        <v/>
      </c>
      <c r="R380" s="330"/>
      <c r="S380" s="334"/>
      <c r="T380" s="335"/>
      <c r="U380" s="335"/>
      <c r="V380" s="335"/>
      <c r="W380" s="335"/>
      <c r="X380" s="336"/>
      <c r="Y380" s="330"/>
      <c r="Z380" s="330"/>
      <c r="AA380" s="330"/>
      <c r="AB380" s="330"/>
      <c r="AC380" s="330"/>
      <c r="AD380" s="360"/>
      <c r="AE380" s="361"/>
      <c r="AF380" s="362"/>
    </row>
    <row r="381" spans="1:32" ht="12.75" customHeight="1">
      <c r="A381" s="300" t="str">
        <f>K366</f>
        <v>H</v>
      </c>
      <c r="B381" s="293" t="str">
        <f ca="1">IF(AND(OFFSET($AO$1,$L366-1,8,1,1),$A367&lt;&gt;"",$J367&lt;&gt;""),CHOOSE($L366,$AP$1,$AP$2,$AP$3,$AP$4,$AP$5,$AP$6,$AP$7,$AP$8,$AP$9,$AP$10,$AP$11,$AP$12),"")</f>
        <v/>
      </c>
      <c r="C381" s="294"/>
      <c r="D381" s="294"/>
      <c r="E381" s="294"/>
      <c r="F381" s="294"/>
      <c r="G381" s="294"/>
      <c r="H381" s="265"/>
      <c r="I381" s="265"/>
      <c r="J381" s="265"/>
      <c r="K381" s="265"/>
      <c r="L381" s="265"/>
      <c r="M381" s="267" t="s">
        <v>1237</v>
      </c>
      <c r="N381" s="268"/>
      <c r="O381" s="268"/>
      <c r="P381" s="269"/>
      <c r="Q381" s="137" t="str">
        <f>IF($Q379&lt;&gt;"",IF($Q379="W","L","W"),"")</f>
        <v/>
      </c>
      <c r="R381" s="20"/>
      <c r="S381" s="20"/>
      <c r="T381" s="20"/>
      <c r="U381" s="20"/>
      <c r="V381" s="20"/>
      <c r="W381" s="20"/>
      <c r="X381" s="26"/>
      <c r="Y381" s="26"/>
      <c r="Z381" s="20"/>
      <c r="AA381" s="20"/>
      <c r="AB381" s="20"/>
      <c r="AC381" s="20"/>
      <c r="AD381" s="20"/>
      <c r="AE381" s="20"/>
      <c r="AF381" s="27"/>
    </row>
    <row r="382" spans="1:32" ht="12.75" customHeight="1">
      <c r="A382" s="301"/>
      <c r="B382" s="295"/>
      <c r="C382" s="296"/>
      <c r="D382" s="296"/>
      <c r="E382" s="296"/>
      <c r="F382" s="296"/>
      <c r="G382" s="296"/>
      <c r="H382" s="270"/>
      <c r="I382" s="270"/>
      <c r="J382" s="266"/>
      <c r="K382" s="266"/>
      <c r="L382" s="266"/>
      <c r="M382" s="267"/>
      <c r="N382" s="268"/>
      <c r="O382" s="268"/>
      <c r="P382" s="269"/>
      <c r="Q382" s="139" t="str">
        <f>IF($Q381&lt;&gt;"",IF($Q381="W",IF(SUM(IF($H381&gt;$H379,1,0),IF($I381&gt;$I379,1,0),IF($J381&gt;$J379,1,0),IF($K381&gt;$K379,1,0),IF($L381&gt;$L379,1,0))&lt;&gt;3,"Error",""),""),"")</f>
        <v/>
      </c>
      <c r="R382" s="20"/>
      <c r="S382" s="20"/>
      <c r="T382" s="20"/>
      <c r="U382" s="20"/>
      <c r="V382" s="20"/>
      <c r="W382" s="20"/>
      <c r="X382" s="26"/>
      <c r="Y382" s="26"/>
      <c r="Z382" s="20"/>
      <c r="AA382" s="20"/>
      <c r="AB382" s="20"/>
      <c r="AC382" s="20"/>
      <c r="AD382" s="20"/>
      <c r="AE382" s="20"/>
      <c r="AF382" s="27"/>
    </row>
    <row r="383" spans="1:32" ht="12.75" customHeight="1">
      <c r="Q383" s="7"/>
      <c r="R383" s="20"/>
      <c r="S383" s="20"/>
      <c r="T383" s="20"/>
      <c r="U383" s="20"/>
      <c r="V383" s="20"/>
      <c r="W383" s="20"/>
      <c r="X383" s="26"/>
      <c r="Y383" s="26"/>
      <c r="Z383" s="20"/>
      <c r="AA383" s="20"/>
      <c r="AB383" s="20"/>
      <c r="AC383" s="20"/>
      <c r="AD383" s="20"/>
      <c r="AE383" s="20"/>
      <c r="AF383" s="27"/>
    </row>
    <row r="384" spans="1:32" ht="12.75" customHeight="1">
      <c r="A384" s="21" t="s">
        <v>1235</v>
      </c>
      <c r="H384" s="136" t="str">
        <f>IF($Q386&lt;&gt;"",IF(AND(AND($H386&gt;-1,$H388&gt;-1),OR($H386&gt;10,$H388&gt;10),ABS($H386-$H388)&gt;1,IF(OR($H386&gt;11,$H388&gt;11),ABS($H386-$H388)=2,TRUE),$H386=INT($H386),$H388=INT($H388)),"","Error"),"")</f>
        <v/>
      </c>
      <c r="I384" s="136" t="str">
        <f>IF($Q386&lt;&gt;"",IF(AND(AND($I386&gt;-1,$I388&gt;-1),OR($I386&gt;10,$I388&gt;10),ABS($I386-$I388)&gt;1,IF(OR($I386&gt;11,$I388&gt;11),ABS($I386-$I388)=2,TRUE),$I386=INT($I386),$I388=INT($I388)),"","Error"),"")</f>
        <v/>
      </c>
      <c r="J384" s="136" t="str">
        <f>IF($Q386&lt;&gt;"",IF(AND(AND($J386&gt;-1,$J388&gt;-1),OR($J386&gt;10,$J388&gt;10),ABS($J386-$J388)&gt;1,IF(OR($J386&gt;11,$J388&gt;11),ABS($J386-$J388)=2,TRUE),$J386=INT($J386),$J388=INT($J388)),"","Error"),"")</f>
        <v/>
      </c>
      <c r="K384" s="136" t="str">
        <f>IF($Q386&lt;&gt;"",IF(AND($K386&lt;&gt;"",$K388&lt;&gt;""), IF(AND(AND($K386&gt;-1,$K388&gt;-1),OR($K386&gt;10,$K388&gt;10),ABS($K386-$K388)&gt;1,IF(OR($K386&gt;11,$K388&gt;11),ABS($K386-$K388)=2,TRUE),$K386=INT($K386),$K388=INT($K388)),"","Error"),""),"")</f>
        <v/>
      </c>
      <c r="L384" s="136" t="str">
        <f>IF($Q386&lt;&gt;"",IF(AND($L386&lt;&gt;"",$L388&lt;&gt;""), IF(AND(AND($L386&gt;-1,$L388&gt;-1),OR($L386&gt;10,$L388&gt;10),ABS($L386-$L388)&gt;1,IF(OR($L386&gt;11,$L388&gt;11),ABS($L386-$L388)=2,TRUE),$L386=INT($L386),$L388=INT($L388)),"","Error"),""),"")</f>
        <v/>
      </c>
      <c r="Q384" s="7"/>
      <c r="R384" s="20"/>
      <c r="S384" s="20"/>
      <c r="T384" s="20"/>
      <c r="U384" s="20"/>
      <c r="V384" s="20"/>
      <c r="W384" s="20"/>
      <c r="X384" s="26"/>
      <c r="Y384" s="26"/>
      <c r="Z384" s="20"/>
      <c r="AA384" s="20"/>
      <c r="AB384" s="20"/>
      <c r="AC384" s="20"/>
      <c r="AD384" s="20"/>
      <c r="AE384" s="20"/>
      <c r="AF384" s="27"/>
    </row>
    <row r="385" spans="1:32" ht="12.75" customHeight="1">
      <c r="A385" s="5" t="s">
        <v>1228</v>
      </c>
      <c r="B385" s="290" t="s">
        <v>1126</v>
      </c>
      <c r="C385" s="291"/>
      <c r="D385" s="291"/>
      <c r="E385" s="291"/>
      <c r="F385" s="291"/>
      <c r="G385" s="292"/>
      <c r="H385" s="5">
        <v>1</v>
      </c>
      <c r="I385" s="5">
        <v>2</v>
      </c>
      <c r="J385" s="5">
        <v>3</v>
      </c>
      <c r="K385" s="5">
        <v>4</v>
      </c>
      <c r="L385" s="5">
        <v>5</v>
      </c>
      <c r="M385" s="271"/>
      <c r="N385" s="272"/>
      <c r="O385" s="272"/>
      <c r="P385" s="273"/>
      <c r="Q385" s="7"/>
      <c r="R385" s="20"/>
      <c r="S385" s="20"/>
      <c r="T385" s="20"/>
      <c r="U385" s="20"/>
      <c r="V385" s="20"/>
      <c r="W385" s="20"/>
      <c r="X385" s="26"/>
      <c r="Y385" s="26"/>
      <c r="Z385" s="20"/>
      <c r="AA385" s="20"/>
      <c r="AB385" s="20"/>
      <c r="AC385" s="20"/>
      <c r="AD385" s="20"/>
      <c r="AE385" s="20"/>
      <c r="AF385" s="27"/>
    </row>
    <row r="386" spans="1:32" ht="12.75" customHeight="1">
      <c r="A386" s="300" t="str">
        <f>B366</f>
        <v>F</v>
      </c>
      <c r="B386" s="293" t="str">
        <f ca="1">IF(AND(OFFSET($AO$1,$C366-1,8,1,1),$A367&lt;&gt;"",$J367&lt;&gt;""),CHOOSE($C366,$AQ$1,$AQ$2,$AQ$3,$AQ$4,$AQ$5,$AQ$6,$AQ$7,$AQ$8,$AQ$9,$AQ$10,$AQ$11,$AQ$12),"")</f>
        <v/>
      </c>
      <c r="C386" s="294"/>
      <c r="D386" s="294"/>
      <c r="E386" s="294"/>
      <c r="F386" s="294"/>
      <c r="G386" s="294"/>
      <c r="H386" s="265"/>
      <c r="I386" s="265"/>
      <c r="J386" s="265"/>
      <c r="K386" s="265"/>
      <c r="L386" s="265"/>
      <c r="M386" s="262" t="str">
        <f ca="1">IF(OR(AND($B379&lt;&gt;"",$B386&lt;&gt;"",$D397&lt;=$C397),AND($B381&lt;&gt;"",$B388&lt;&gt;"",$H397&lt;=$G397)),"Invalid Lineup","")</f>
        <v/>
      </c>
      <c r="N386" s="263"/>
      <c r="O386" s="263"/>
      <c r="P386" s="264"/>
      <c r="Q386" s="137" t="str">
        <f>IF($L386=$L388,IF($K386=$K388,IF($J386&lt;&gt;"",IF($J386&gt;$J388,"W","L"),""),IF($K386&gt;$K388,"W","L")),IF($L386&gt;$L388,"W","L"))</f>
        <v/>
      </c>
      <c r="R386" s="20"/>
      <c r="S386" s="20"/>
      <c r="T386" s="20"/>
      <c r="U386" s="20"/>
      <c r="V386" s="20"/>
      <c r="W386" s="20"/>
      <c r="X386" s="26"/>
      <c r="Y386" s="26"/>
      <c r="Z386" s="20"/>
      <c r="AA386" s="20"/>
      <c r="AB386" s="20"/>
      <c r="AC386" s="20"/>
      <c r="AD386" s="20"/>
      <c r="AE386" s="20"/>
      <c r="AF386" s="27"/>
    </row>
    <row r="387" spans="1:32" ht="12.75" customHeight="1">
      <c r="A387" s="301"/>
      <c r="B387" s="295"/>
      <c r="C387" s="296"/>
      <c r="D387" s="296"/>
      <c r="E387" s="296"/>
      <c r="F387" s="296"/>
      <c r="G387" s="296"/>
      <c r="H387" s="270"/>
      <c r="I387" s="270"/>
      <c r="J387" s="270"/>
      <c r="K387" s="270"/>
      <c r="L387" s="270"/>
      <c r="M387" s="262"/>
      <c r="N387" s="263"/>
      <c r="O387" s="263"/>
      <c r="P387" s="264"/>
      <c r="Q387" s="139" t="str">
        <f>IF($Q386&lt;&gt;"",IF($Q386="W",IF(SUM(IF($H386&gt;$H388,1,0),IF($I386&gt;$I388,1,0),IF($J386&gt;$J388,1,0),IF($K386&gt;$K388,1,0),IF($L386&gt;$L388,1,0))&lt;&gt;3,"Error",""),""),"")</f>
        <v/>
      </c>
      <c r="R387" s="328" t="str">
        <f>$A367</f>
        <v/>
      </c>
      <c r="S387" s="328"/>
      <c r="T387" s="328"/>
      <c r="U387" s="328"/>
      <c r="V387" s="328"/>
      <c r="W387" s="328"/>
      <c r="X387" s="256" t="str">
        <f>CONCATENATE("(",$B366," vs ",$K366,")")</f>
        <v>(F vs H)</v>
      </c>
      <c r="Y387" s="256"/>
      <c r="Z387" s="328" t="str">
        <f>$J367</f>
        <v/>
      </c>
      <c r="AA387" s="328"/>
      <c r="AB387" s="328"/>
      <c r="AC387" s="328"/>
      <c r="AD387" s="328"/>
      <c r="AE387" s="328"/>
      <c r="AF387" s="100"/>
    </row>
    <row r="388" spans="1:32" ht="12.75" customHeight="1">
      <c r="A388" s="300" t="str">
        <f>K366</f>
        <v>H</v>
      </c>
      <c r="B388" s="293" t="str">
        <f ca="1">IF(AND(OFFSET($AO$1,$L366-1,8,1,1),$A367&lt;&gt;"",$J367&lt;&gt;""),CHOOSE($L366,$AQ$1,$AQ$2,$AQ$3,$AQ$4,$AQ$5,$AQ$6,$AQ$7,$AQ$8,$AQ$9,$AQ$10,$AQ$11,$AQ$12),"")</f>
        <v/>
      </c>
      <c r="C388" s="294"/>
      <c r="D388" s="294"/>
      <c r="E388" s="294"/>
      <c r="F388" s="294"/>
      <c r="G388" s="294"/>
      <c r="H388" s="265"/>
      <c r="I388" s="265"/>
      <c r="J388" s="265"/>
      <c r="K388" s="265"/>
      <c r="L388" s="265"/>
      <c r="M388" s="267" t="s">
        <v>1237</v>
      </c>
      <c r="N388" s="268"/>
      <c r="O388" s="268"/>
      <c r="P388" s="269"/>
      <c r="Q388" s="137" t="str">
        <f>IF($Q386&lt;&gt;"",IF($Q386="W","L","W"),"")</f>
        <v/>
      </c>
      <c r="R388" s="100"/>
      <c r="S388" s="100"/>
      <c r="T388" s="100"/>
      <c r="U388" s="100"/>
      <c r="V388" s="100"/>
      <c r="W388" s="100"/>
      <c r="X388" s="100"/>
      <c r="Y388" s="100"/>
      <c r="Z388" s="100"/>
      <c r="AA388" s="100"/>
      <c r="AB388" s="100"/>
      <c r="AC388" s="100"/>
      <c r="AD388" s="100"/>
      <c r="AE388" s="100"/>
      <c r="AF388" s="100"/>
    </row>
    <row r="389" spans="1:32" ht="12.75" customHeight="1">
      <c r="A389" s="301"/>
      <c r="B389" s="295"/>
      <c r="C389" s="296"/>
      <c r="D389" s="296"/>
      <c r="E389" s="296"/>
      <c r="F389" s="296"/>
      <c r="G389" s="296"/>
      <c r="H389" s="270"/>
      <c r="I389" s="270"/>
      <c r="J389" s="266"/>
      <c r="K389" s="266"/>
      <c r="L389" s="266"/>
      <c r="M389" s="267"/>
      <c r="N389" s="268"/>
      <c r="O389" s="268"/>
      <c r="P389" s="269"/>
      <c r="Q389" s="139" t="str">
        <f>IF($Q388&lt;&gt;"",IF($Q388="W",IF(SUM(IF($H388&gt;$H386,1,0),IF($I388&gt;$I386,1,0),IF($J388&gt;$J386,1,0),IF($K388&gt;$K386,1,0),IF($L388&gt;$L386,1,0))&lt;&gt;3,"Error",""),""),"")</f>
        <v/>
      </c>
      <c r="R389" s="43" t="str">
        <f>$A384</f>
        <v>3rd Singles</v>
      </c>
      <c r="S389" s="43"/>
      <c r="T389" s="43"/>
      <c r="U389" s="43"/>
      <c r="V389" s="43"/>
      <c r="W389" s="43"/>
      <c r="X389" s="43"/>
      <c r="Y389" s="43"/>
      <c r="Z389" s="43"/>
      <c r="AA389" s="43"/>
      <c r="AB389" s="43"/>
      <c r="AC389" s="43"/>
      <c r="AD389" s="43"/>
      <c r="AE389" s="43"/>
      <c r="AF389" s="43"/>
    </row>
    <row r="390" spans="1:32" ht="12.75" customHeight="1">
      <c r="Q390" s="7"/>
      <c r="R390" s="60" t="s">
        <v>1228</v>
      </c>
      <c r="S390" s="101" t="s">
        <v>1126</v>
      </c>
      <c r="T390" s="102"/>
      <c r="U390" s="102"/>
      <c r="V390" s="102"/>
      <c r="W390" s="102"/>
      <c r="X390" s="103"/>
      <c r="Y390" s="60">
        <v>1</v>
      </c>
      <c r="Z390" s="60">
        <v>2</v>
      </c>
      <c r="AA390" s="60">
        <v>3</v>
      </c>
      <c r="AB390" s="60">
        <v>4</v>
      </c>
      <c r="AC390" s="60">
        <v>5</v>
      </c>
      <c r="AD390" s="104"/>
      <c r="AE390" s="105"/>
      <c r="AF390" s="106"/>
    </row>
    <row r="391" spans="1:32" ht="12.75" customHeight="1">
      <c r="A391" s="21" t="s">
        <v>1236</v>
      </c>
      <c r="H391" s="136" t="str">
        <f ca="1">IF($Q393&lt;&gt;"",IF(AND($B393&lt;&gt;"Missing Player",$B395&lt;&gt;"Missing Player"),IF(AND(AND($H393&gt;-1,$H395&gt;-1),OR($H393&gt;10,$H395&gt;10),ABS($H393-$H395)&gt;1,IF(OR($H393&gt;11,$H395&gt;11),ABS($H393-$H395)=2,TRUE),$H393=INT($H393),$H395=INT($H395)),"","Error"),""),"")</f>
        <v/>
      </c>
      <c r="I391" s="136" t="str">
        <f ca="1">IF($Q393&lt;&gt;"",IF(AND($B393&lt;&gt;"Missing Player",$B395&lt;&gt;"Missing Player"),IF(AND(AND($I393&gt;-1,$I395&gt;-1),OR($I393&gt;10,$I395&gt;10),ABS($I393-$I395)&gt;1,IF(OR($I393&gt;11,$I395&gt;11),ABS($I393-$I395)=2,TRUE),$I393=INT($I393),$I395=INT($I395)),"","Error"),""),"")</f>
        <v/>
      </c>
      <c r="J391" s="136" t="str">
        <f ca="1">IF($Q393&lt;&gt;"",IF(AND($B393&lt;&gt;"Missing Player",$B395&lt;&gt;"Missing Player"),IF(AND(AND($J393&gt;-1,$J395&gt;-1),OR($J393&gt;10,$J395&gt;10),ABS($J393-$J395)&gt;1,IF(OR($J393&gt;11,$J395&gt;11),ABS($J393-$J395)=2,TRUE),$J393=INT($J393),$J395=INT($J395)),"","Error"),""),"")</f>
        <v/>
      </c>
      <c r="K391" s="136" t="str">
        <f ca="1">IF($Q393&lt;&gt;"",IF(AND($K393&lt;&gt;"",$K395&lt;&gt;""), IF(AND(AND($K393&gt;-1,$K395&gt;-1),OR($K393&gt;10,$K395&gt;10),ABS($K393-$K395)&gt;1,IF(OR($K393&gt;11,$K395&gt;11),ABS($K393-$K395)=2,TRUE),$K393=INT($K393),$K395=INT($K395)),"","Error"),""),"")</f>
        <v/>
      </c>
      <c r="L391" s="136" t="str">
        <f ca="1">IF($Q393&lt;&gt;"",IF(AND($L393&lt;&gt;"",$L395&lt;&gt;""), IF(AND(AND($L393&gt;-1,$L395&gt;-1),OR($L393&gt;10,$L395&gt;10),ABS($L393-$L395)&gt;1,IF(OR($L393&gt;11,$L395&gt;11),ABS($L393-$L395)=2,TRUE),$L393=INT($L393),$L395=INT($L395)),"","Error"),""),"")</f>
        <v/>
      </c>
      <c r="Q391" s="7"/>
      <c r="R391" s="300" t="str">
        <f>$B366</f>
        <v>F</v>
      </c>
      <c r="S391" s="331" t="str">
        <f ca="1">IF($B386&lt;&gt;"",$B386,"")</f>
        <v/>
      </c>
      <c r="T391" s="332"/>
      <c r="U391" s="332"/>
      <c r="V391" s="332"/>
      <c r="W391" s="332"/>
      <c r="X391" s="333"/>
      <c r="Y391" s="329"/>
      <c r="Z391" s="329"/>
      <c r="AA391" s="329"/>
      <c r="AB391" s="329"/>
      <c r="AC391" s="329"/>
      <c r="AD391" s="345"/>
      <c r="AE391" s="358"/>
      <c r="AF391" s="359"/>
    </row>
    <row r="392" spans="1:32" ht="12.75" customHeight="1">
      <c r="A392" s="5" t="s">
        <v>1228</v>
      </c>
      <c r="B392" s="290" t="s">
        <v>1126</v>
      </c>
      <c r="C392" s="291"/>
      <c r="D392" s="291"/>
      <c r="E392" s="291"/>
      <c r="F392" s="291"/>
      <c r="G392" s="292"/>
      <c r="H392" s="5">
        <v>1</v>
      </c>
      <c r="I392" s="5">
        <v>2</v>
      </c>
      <c r="J392" s="5">
        <v>3</v>
      </c>
      <c r="K392" s="5">
        <v>4</v>
      </c>
      <c r="L392" s="5">
        <v>5</v>
      </c>
      <c r="M392" s="271"/>
      <c r="N392" s="272"/>
      <c r="O392" s="272"/>
      <c r="P392" s="273"/>
      <c r="Q392" s="7"/>
      <c r="R392" s="330"/>
      <c r="S392" s="334"/>
      <c r="T392" s="335"/>
      <c r="U392" s="335"/>
      <c r="V392" s="335"/>
      <c r="W392" s="335"/>
      <c r="X392" s="336"/>
      <c r="Y392" s="330"/>
      <c r="Z392" s="330"/>
      <c r="AA392" s="330"/>
      <c r="AB392" s="330"/>
      <c r="AC392" s="330"/>
      <c r="AD392" s="360"/>
      <c r="AE392" s="361"/>
      <c r="AF392" s="362"/>
    </row>
    <row r="393" spans="1:32" ht="12.75" customHeight="1">
      <c r="A393" s="300" t="str">
        <f>B366</f>
        <v>F</v>
      </c>
      <c r="B393" s="293" t="str">
        <f ca="1">IF(AND(OFFSET($AO$1,$C366-1,8,1,1),$A367&lt;&gt;"",$J367&lt;&gt;""),CHOOSE($C366,$AR$1,$AR$2,$AR$3,$AR$4,$AR$5,$AR$6,$AR$7,$AR$8,$AR$9,$AR$10,$AR$11,$AR$12),"")</f>
        <v/>
      </c>
      <c r="C393" s="294"/>
      <c r="D393" s="294"/>
      <c r="E393" s="294"/>
      <c r="F393" s="294"/>
      <c r="G393" s="294"/>
      <c r="H393" s="265"/>
      <c r="I393" s="265"/>
      <c r="J393" s="265"/>
      <c r="K393" s="265"/>
      <c r="L393" s="265" t="str">
        <f ca="1">IF(AND($B393&lt;&gt;"",$Q372&lt;&gt;""),IF($B393="Missing Player",0,IF($B395="Missing Player",11,"")),"")</f>
        <v/>
      </c>
      <c r="M393" s="262" t="str">
        <f ca="1">IF(OR(AND($B386&lt;&gt;"",$B393&lt;&gt;"",$E397&lt;=$D397),AND($B388&lt;&gt;"",$B395&lt;&gt;"",$I397&lt;=$H397)),"Invalid Lineup","")</f>
        <v/>
      </c>
      <c r="N393" s="263"/>
      <c r="O393" s="263"/>
      <c r="P393" s="264"/>
      <c r="Q393" s="137" t="str">
        <f ca="1">IF($L393=$L395,IF($K393=$K395,IF($J393&lt;&gt;"",IF($J393&gt;$J395,"W","L"),""),IF($K393&gt;$K395,"W","L")),IF($L393&gt;$L395,"W","L"))</f>
        <v/>
      </c>
      <c r="R393" s="300" t="str">
        <f>$K366</f>
        <v>H</v>
      </c>
      <c r="S393" s="331" t="str">
        <f ca="1">IF($B388&lt;&gt;"",$B388,"")</f>
        <v/>
      </c>
      <c r="T393" s="332"/>
      <c r="U393" s="332"/>
      <c r="V393" s="332"/>
      <c r="W393" s="332"/>
      <c r="X393" s="333"/>
      <c r="Y393" s="329"/>
      <c r="Z393" s="329"/>
      <c r="AA393" s="329"/>
      <c r="AB393" s="329"/>
      <c r="AC393" s="351"/>
      <c r="AD393" s="363" t="s">
        <v>1237</v>
      </c>
      <c r="AE393" s="358"/>
      <c r="AF393" s="359"/>
    </row>
    <row r="394" spans="1:32" ht="12.75" customHeight="1">
      <c r="A394" s="301"/>
      <c r="B394" s="295"/>
      <c r="C394" s="296"/>
      <c r="D394" s="296"/>
      <c r="E394" s="296"/>
      <c r="F394" s="296"/>
      <c r="G394" s="296"/>
      <c r="H394" s="270"/>
      <c r="I394" s="270"/>
      <c r="J394" s="270"/>
      <c r="K394" s="270"/>
      <c r="L394" s="270"/>
      <c r="M394" s="262"/>
      <c r="N394" s="263"/>
      <c r="O394" s="263"/>
      <c r="P394" s="264"/>
      <c r="Q394" s="139" t="str">
        <f ca="1">IF($Q393&lt;&gt;"",IF($B395&lt;&gt;"Missing Player",IF($Q393="W",IF(SUM(IF($H393&gt;$H395,1,0),IF($I393&gt;$I395,1,0),IF($J393&gt;$J395,1,0),IF($K393&gt;$K395,1,0),IF($L393&gt;$L395,1,0))&lt;&gt;3,"Error",""),""),""),"")</f>
        <v/>
      </c>
      <c r="R394" s="330"/>
      <c r="S394" s="334"/>
      <c r="T394" s="335"/>
      <c r="U394" s="335"/>
      <c r="V394" s="335"/>
      <c r="W394" s="335"/>
      <c r="X394" s="336"/>
      <c r="Y394" s="330"/>
      <c r="Z394" s="330"/>
      <c r="AA394" s="330"/>
      <c r="AB394" s="330"/>
      <c r="AC394" s="330"/>
      <c r="AD394" s="360"/>
      <c r="AE394" s="361"/>
      <c r="AF394" s="362"/>
    </row>
    <row r="395" spans="1:32" ht="12.75" customHeight="1">
      <c r="A395" s="300" t="str">
        <f>K366</f>
        <v>H</v>
      </c>
      <c r="B395" s="293" t="str">
        <f ca="1">IF(AND(OFFSET($AO$1,$L366-1,8,1,1),$A367&lt;&gt;"",$J367&lt;&gt;""),CHOOSE($L366,$AR$1,$AR$2,$AR$3,$AR$4,$AR$5,$AR$6,$AR$7,$AR$8,$AR$9,$AR$10,$AR$11,$AR$12),"")</f>
        <v/>
      </c>
      <c r="C395" s="294"/>
      <c r="D395" s="294"/>
      <c r="E395" s="294"/>
      <c r="F395" s="294"/>
      <c r="G395" s="294"/>
      <c r="H395" s="265"/>
      <c r="I395" s="265"/>
      <c r="J395" s="265"/>
      <c r="K395" s="265"/>
      <c r="L395" s="265" t="str">
        <f ca="1">IF(AND($B395&lt;&gt;"",$Q372&lt;&gt;""),IF($B395="Missing Player",0,IF($B393="Missing Player",11,"")),"")</f>
        <v/>
      </c>
      <c r="M395" s="267" t="s">
        <v>1237</v>
      </c>
      <c r="N395" s="268"/>
      <c r="O395" s="268"/>
      <c r="P395" s="269"/>
      <c r="Q395" s="137" t="str">
        <f ca="1">IF($Q393&lt;&gt;"",IF($Q393="W","L","W"),"")</f>
        <v/>
      </c>
      <c r="R395" s="112"/>
      <c r="S395" s="98"/>
      <c r="T395" s="108"/>
      <c r="U395" s="108"/>
      <c r="V395" s="108"/>
      <c r="W395" s="108"/>
      <c r="X395" s="108"/>
      <c r="Y395" s="113"/>
      <c r="Z395" s="113"/>
      <c r="AA395" s="113"/>
      <c r="AB395" s="113"/>
      <c r="AC395" s="113"/>
      <c r="AD395" s="107"/>
      <c r="AE395" s="109"/>
      <c r="AF395" s="109"/>
    </row>
    <row r="396" spans="1:32" ht="12.75" customHeight="1">
      <c r="A396" s="301"/>
      <c r="B396" s="295"/>
      <c r="C396" s="296"/>
      <c r="D396" s="296"/>
      <c r="E396" s="296"/>
      <c r="F396" s="296"/>
      <c r="G396" s="296"/>
      <c r="H396" s="270"/>
      <c r="I396" s="270"/>
      <c r="J396" s="266"/>
      <c r="K396" s="266"/>
      <c r="L396" s="266"/>
      <c r="M396" s="267"/>
      <c r="N396" s="268"/>
      <c r="O396" s="268"/>
      <c r="P396" s="269"/>
      <c r="Q396" s="139" t="str">
        <f ca="1">IF($Q395&lt;&gt;"",IF($B393&lt;&gt;"Missing Player",IF($Q395="W",IF(SUM(IF($H395&gt;$H393,1,0),IF($I395&gt;$I393,1,0),IF($J395&gt;$J393,1,0),IF($K395&gt;$K393,1,0),IF($L395&gt;$L393,1,0))&lt;&gt;3,"Error",""),""),""),"")</f>
        <v/>
      </c>
      <c r="R396" s="114"/>
      <c r="S396" s="115"/>
      <c r="T396" s="115"/>
      <c r="U396" s="115"/>
      <c r="V396" s="115"/>
      <c r="W396" s="115"/>
      <c r="X396" s="115"/>
      <c r="Y396" s="114"/>
      <c r="Z396" s="114"/>
      <c r="AA396" s="114"/>
      <c r="AB396" s="114"/>
      <c r="AC396" s="114"/>
      <c r="AD396" s="114"/>
      <c r="AE396" s="114"/>
      <c r="AF396" s="114"/>
    </row>
    <row r="397" spans="1:32" ht="12.75" customHeight="1">
      <c r="B397" s="140" t="str">
        <f ca="1">IF(ISERROR(VLOOKUP($B372&amp;"("&amp;$B366&amp;")",Players!$S$4:$T$132,2,FALSE)),"",VLOOKUP($B372&amp;"("&amp;$B366&amp;")",Players!$S$4:$T$132,2,FALSE))</f>
        <v>F1</v>
      </c>
      <c r="C397" s="140" t="str">
        <f ca="1">IF(ISERROR(VLOOKUP($B379&amp;"("&amp;$B366&amp;")",Players!$S$4:$T$132,2,FALSE)),"",VLOOKUP($B379&amp;"("&amp;$B366&amp;")",Players!$S$4:$T$132,2,FALSE))</f>
        <v>F1</v>
      </c>
      <c r="D397" s="141" t="str">
        <f ca="1">IF(ISERROR(VLOOKUP($B386&amp;"("&amp;$B366&amp;")",Players!$S$4:$T$132,2,FALSE)),"",VLOOKUP($B386&amp;"("&amp;$B366&amp;")",Players!$S$4:$T$132,2,FALSE))</f>
        <v>F1</v>
      </c>
      <c r="E397" s="141" t="str">
        <f ca="1">IF(ISERROR(VLOOKUP($B393&amp;"("&amp;$B366&amp;")",Players!$S$4:$T$132,2,FALSE)),"",VLOOKUP($B393&amp;"("&amp;$B366&amp;")",Players!$S$4:$T$132,2,FALSE))</f>
        <v>F1</v>
      </c>
      <c r="F397" s="141" t="str">
        <f ca="1">IF(ISERROR(VLOOKUP($B374&amp;"("&amp;$K366&amp;")",Players!$S$4:$T$132,2,FALSE)),"",VLOOKUP($B374&amp;"("&amp;$K366&amp;")",Players!$S$4:$T$132,2,FALSE))</f>
        <v>H1</v>
      </c>
      <c r="G397" s="141" t="str">
        <f ca="1">IF(ISERROR(VLOOKUP($B381&amp;"("&amp;$K366&amp;")",Players!$S$4:$T$132,2,FALSE)),"",VLOOKUP($B381&amp;"("&amp;$K366&amp;")",Players!$S$4:$T$132,2,FALSE))</f>
        <v>H1</v>
      </c>
      <c r="H397" s="141" t="str">
        <f ca="1">IF(ISERROR(VLOOKUP($B388&amp;"("&amp;$K366&amp;")",Players!$S$4:$T$132,2,FALSE)),"",VLOOKUP($B388&amp;"("&amp;$K366&amp;")",Players!$S$4:$T$132,2,FALSE))</f>
        <v>H1</v>
      </c>
      <c r="I397" s="141" t="str">
        <f ca="1">IF(ISERROR(VLOOKUP($B395&amp;"("&amp;$K366&amp;")",Players!$S$4:$T$132,2,FALSE)),"",VLOOKUP($B395&amp;"("&amp;$K366&amp;")",Players!$S$4:$T$132,2,FALSE))</f>
        <v>H1</v>
      </c>
      <c r="Q397" s="7"/>
      <c r="R397" s="50"/>
      <c r="S397" s="116"/>
      <c r="T397" s="115"/>
      <c r="U397" s="115"/>
      <c r="V397" s="115"/>
      <c r="W397" s="115"/>
      <c r="X397" s="115"/>
      <c r="Y397" s="99"/>
      <c r="Z397" s="99"/>
      <c r="AA397" s="99"/>
      <c r="AB397" s="99"/>
      <c r="AC397" s="117"/>
      <c r="AD397" s="118"/>
      <c r="AE397" s="114"/>
      <c r="AF397" s="114"/>
    </row>
    <row r="398" spans="1:32" ht="12.75" customHeight="1">
      <c r="A398" s="21" t="s">
        <v>1225</v>
      </c>
      <c r="H398" s="136" t="str">
        <f ca="1">IF($Q400&lt;&gt;"",IF(AND($B401&lt;&gt;"Missing Player",$B403&lt;&gt;"Missing Player"),IF(AND(AND($H400&gt;-1,$H402&gt;-1),OR($H400&gt;10,$H402&gt;10),ABS($H400-$H402)&gt;1,IF(OR($H400&gt;11,$H402&gt;11),ABS($H400-$H402)=2,TRUE),$H400=INT($H400),$H402=INT($H402)),"","Error"),""),"")</f>
        <v/>
      </c>
      <c r="I398" s="136" t="str">
        <f ca="1">IF($Q400&lt;&gt;"",IF(AND($B401&lt;&gt;"Missing Player",$B403&lt;&gt;"Missing Player"),IF(AND(AND($I400&gt;-1,$I402&gt;-1),OR($I400&gt;10,$I402&gt;10),ABS($I400-$I402)&gt;1,IF(OR($I400&gt;11,$I402&gt;11),ABS($I400-$I402)=2,TRUE),$I400=INT($I400),$I402=INT($I402)),"","Error"),""),"")</f>
        <v/>
      </c>
      <c r="J398" s="136" t="str">
        <f ca="1">IF($Q400&lt;&gt;"",IF(AND($B401&lt;&gt;"Missing Player",$B403&lt;&gt;"Missing Player"),IF(AND(AND($J400&gt;-1,$J402&gt;-1),OR($J400&gt;10,$J402&gt;10),ABS($J400-$J402)&gt;1,IF(OR($J400&gt;11,$J402&gt;11),ABS($J400-$J402)=2,TRUE),$J400=INT($J400),$J402=INT($J402)),"","Error"),""),"")</f>
        <v/>
      </c>
      <c r="K398" s="136" t="str">
        <f ca="1">IF($Q400&lt;&gt;"",IF(AND($K400&lt;&gt;"",$K402&lt;&gt;""), IF(AND(AND($K400&gt;-1,$K402&gt;-1),OR($K400&gt;10,$K402&gt;10),ABS($K400-$K402)&gt;1,IF(OR($K400&gt;11,$K402&gt;11),ABS($K400-$K402)=2,TRUE),$K400=INT($K400),$K402=INT($K402)),"","Error"),""),"")</f>
        <v/>
      </c>
      <c r="L398" s="136" t="str">
        <f ca="1">IF($Q400&lt;&gt;"",IF(AND($L400&lt;&gt;"",$L402&lt;&gt;""), IF(AND(AND($L400&gt;-1,$L402&gt;-1),OR($L400&gt;10,$L402&gt;10),ABS($L400-$L402)&gt;1,IF(OR($L400&gt;11,$L402&gt;11),ABS($L400-$L402)=2,TRUE),$L400=INT($L400),$L402=INT($L402)),"","Error"),""),"")</f>
        <v/>
      </c>
      <c r="Q398" s="7"/>
      <c r="R398" s="114"/>
      <c r="S398" s="115"/>
      <c r="T398" s="115"/>
      <c r="U398" s="115"/>
      <c r="V398" s="115"/>
      <c r="W398" s="115"/>
      <c r="X398" s="115"/>
      <c r="Y398" s="114"/>
      <c r="Z398" s="114"/>
      <c r="AA398" s="114"/>
      <c r="AB398" s="114"/>
      <c r="AC398" s="114"/>
      <c r="AD398" s="114"/>
      <c r="AE398" s="114"/>
      <c r="AF398" s="114"/>
    </row>
    <row r="399" spans="1:32" ht="12.75" customHeight="1">
      <c r="A399" s="5" t="s">
        <v>1228</v>
      </c>
      <c r="B399" s="290" t="s">
        <v>1126</v>
      </c>
      <c r="C399" s="291"/>
      <c r="D399" s="291"/>
      <c r="E399" s="291"/>
      <c r="F399" s="291"/>
      <c r="G399" s="292"/>
      <c r="H399" s="5">
        <v>1</v>
      </c>
      <c r="I399" s="5">
        <v>2</v>
      </c>
      <c r="J399" s="5">
        <v>3</v>
      </c>
      <c r="K399" s="5">
        <v>4</v>
      </c>
      <c r="L399" s="5">
        <v>5</v>
      </c>
      <c r="M399" s="271"/>
      <c r="N399" s="272"/>
      <c r="O399" s="272"/>
      <c r="P399" s="273"/>
      <c r="Q399" s="8"/>
      <c r="S399" s="24"/>
      <c r="T399" s="26"/>
    </row>
    <row r="400" spans="1:32" ht="12.75" customHeight="1">
      <c r="A400" s="300" t="str">
        <f>B366</f>
        <v>F</v>
      </c>
      <c r="B400" s="311" t="str">
        <f ca="1">IF($B372&lt;&gt;"",$B372,"")</f>
        <v/>
      </c>
      <c r="C400" s="312"/>
      <c r="D400" s="312"/>
      <c r="E400" s="312"/>
      <c r="F400" s="312"/>
      <c r="G400" s="313"/>
      <c r="H400" s="265"/>
      <c r="I400" s="265"/>
      <c r="J400" s="265"/>
      <c r="K400" s="265"/>
      <c r="L400" s="265" t="str">
        <f ca="1">IF($B393&lt;&gt;"",IF(AND($B393="Missing Player",$G404=2,$J404=2),0,IF(AND($B395="Missing Player",$G404=2,$J404=2),11,"")),"")</f>
        <v/>
      </c>
      <c r="M400" s="262" t="str">
        <f ca="1">IF(OR(AND($B400&lt;&gt;"",$B401&lt;&gt;"",$B400=$B401),AND($B402&lt;&gt;"",$B403&lt;&gt;"",$B402=$B403)),"Invalid Partner","")</f>
        <v/>
      </c>
      <c r="N400" s="263"/>
      <c r="O400" s="263"/>
      <c r="P400" s="264"/>
      <c r="Q400" s="138" t="str">
        <f ca="1">IF(L400=L402,IF(K400=K402,IF(J400&lt;&gt;"",IF(J400&gt;J402,"W","L"),""),IF(K400&gt;K402,"W","L")),IF(L400&gt;L402,"W","L"))</f>
        <v/>
      </c>
      <c r="S400" s="24"/>
      <c r="T400" s="26"/>
    </row>
    <row r="401" spans="1:32" ht="12.75" customHeight="1">
      <c r="A401" s="324"/>
      <c r="B401" s="308" t="str">
        <f ca="1">IF($B393="Missing Player",$B393,"")</f>
        <v/>
      </c>
      <c r="C401" s="309"/>
      <c r="D401" s="309"/>
      <c r="E401" s="309"/>
      <c r="F401" s="309"/>
      <c r="G401" s="310"/>
      <c r="H401" s="270"/>
      <c r="I401" s="270"/>
      <c r="J401" s="270"/>
      <c r="K401" s="270"/>
      <c r="L401" s="270"/>
      <c r="M401" s="262"/>
      <c r="N401" s="263"/>
      <c r="O401" s="263"/>
      <c r="P401" s="264"/>
      <c r="Q401" s="139" t="str">
        <f ca="1">IF($Q400&lt;&gt;"",IF($B403&lt;&gt;"Missing Player",IF($Q400="W",IF(SUM(IF($H400&gt;$H402,1,0),IF($I400&gt;$I402,1,0),IF($J400&gt;$J402,1,0),IF($K400&gt;$K402,1,0),IF($L400&gt;$L402,1,0))&lt;&gt;3,"Error",""),""),""),"")</f>
        <v/>
      </c>
      <c r="R401" s="328" t="str">
        <f>$A367</f>
        <v/>
      </c>
      <c r="S401" s="328"/>
      <c r="T401" s="328"/>
      <c r="U401" s="328"/>
      <c r="V401" s="328"/>
      <c r="W401" s="328"/>
      <c r="X401" s="256" t="str">
        <f>CONCATENATE("(",$B366," vs ",$K366,")")</f>
        <v>(F vs H)</v>
      </c>
      <c r="Y401" s="256"/>
      <c r="Z401" s="328" t="str">
        <f>$J367</f>
        <v/>
      </c>
      <c r="AA401" s="328"/>
      <c r="AB401" s="328"/>
      <c r="AC401" s="328"/>
      <c r="AD401" s="328"/>
      <c r="AE401" s="328"/>
      <c r="AF401" s="43"/>
    </row>
    <row r="402" spans="1:32" ht="12.75" customHeight="1">
      <c r="A402" s="325" t="str">
        <f>K366</f>
        <v>H</v>
      </c>
      <c r="B402" s="311" t="str">
        <f ca="1">IF($B374&lt;&gt;"",$B374,"")</f>
        <v/>
      </c>
      <c r="C402" s="312"/>
      <c r="D402" s="312"/>
      <c r="E402" s="312"/>
      <c r="F402" s="312"/>
      <c r="G402" s="313"/>
      <c r="H402" s="265"/>
      <c r="I402" s="265"/>
      <c r="J402" s="265"/>
      <c r="K402" s="265"/>
      <c r="L402" s="265" t="str">
        <f ca="1">IF($B395&lt;&gt;"",IF(AND($B395="Missing Player",$G404=2,$J404=2),0,IF(AND($B393="Missing Player",$G404=2,$J404=2),11,"")),"")</f>
        <v/>
      </c>
      <c r="M402" s="267" t="s">
        <v>1237</v>
      </c>
      <c r="N402" s="268"/>
      <c r="O402" s="268"/>
      <c r="P402" s="269"/>
      <c r="Q402" s="138" t="str">
        <f ca="1">IF(Q400&lt;&gt;"",IF(Q400="W","L","W"),"")</f>
        <v/>
      </c>
      <c r="R402" s="43"/>
      <c r="S402" s="43"/>
      <c r="T402" s="43"/>
      <c r="U402" s="43"/>
      <c r="V402" s="43"/>
      <c r="W402" s="43"/>
      <c r="X402" s="43"/>
      <c r="Y402" s="43"/>
      <c r="Z402" s="43"/>
      <c r="AA402" s="43"/>
      <c r="AB402" s="43"/>
      <c r="AC402" s="43"/>
      <c r="AD402" s="43"/>
      <c r="AE402" s="43"/>
      <c r="AF402" s="43"/>
    </row>
    <row r="403" spans="1:32" ht="12.75" customHeight="1">
      <c r="A403" s="324"/>
      <c r="B403" s="308" t="str">
        <f ca="1">IF($B395="Missing Player",$B395,"")</f>
        <v/>
      </c>
      <c r="C403" s="309"/>
      <c r="D403" s="309"/>
      <c r="E403" s="309"/>
      <c r="F403" s="309"/>
      <c r="G403" s="310"/>
      <c r="H403" s="270"/>
      <c r="I403" s="270"/>
      <c r="J403" s="266"/>
      <c r="K403" s="266"/>
      <c r="L403" s="266"/>
      <c r="M403" s="267"/>
      <c r="N403" s="268"/>
      <c r="O403" s="268"/>
      <c r="P403" s="269"/>
      <c r="Q403" s="139" t="str">
        <f ca="1">IF($Q402&lt;&gt;"",IF($B401&lt;&gt;"Missing Player",IF($Q402="W",IF(SUM(IF($H402&gt;$H400,1,0),IF($I402&gt;$I400,1,0),IF($J402&gt;$J400,1,0),IF($K402&gt;$K400,1,0),IF($L402&gt;$L400,1,0))&lt;&gt;3,"Error",""),""),""),"")</f>
        <v/>
      </c>
      <c r="R403" s="43" t="str">
        <f>A391</f>
        <v>4th Singles</v>
      </c>
      <c r="S403" s="43"/>
      <c r="T403" s="43"/>
      <c r="U403" s="43"/>
      <c r="V403" s="43"/>
      <c r="W403" s="43"/>
      <c r="X403" s="43"/>
      <c r="Y403" s="43"/>
      <c r="Z403" s="43"/>
      <c r="AA403" s="43"/>
      <c r="AB403" s="43"/>
      <c r="AC403" s="43"/>
      <c r="AD403" s="43"/>
      <c r="AE403" s="43"/>
      <c r="AF403" s="43"/>
    </row>
    <row r="404" spans="1:32" ht="12.75" customHeight="1">
      <c r="G404" s="66">
        <f ca="1">COUNTIF($Q372:$Q372,"W")+COUNTIF($Q379:$Q379,"W")+COUNTIF($Q386:$Q386,"W")+COUNTIF($Q393:$Q393,"W")</f>
        <v>0</v>
      </c>
      <c r="J404" s="66">
        <f ca="1">COUNTIF($Q374:$Q374,"W")+COUNTIF($Q381:$Q381,"W")+COUNTIF($Q388:$Q388,"W")+COUNTIF($Q395:$Q395,"W")</f>
        <v>0</v>
      </c>
      <c r="R404" s="60" t="s">
        <v>1228</v>
      </c>
      <c r="S404" s="339" t="s">
        <v>1126</v>
      </c>
      <c r="T404" s="340"/>
      <c r="U404" s="340"/>
      <c r="V404" s="340"/>
      <c r="W404" s="340"/>
      <c r="X404" s="341"/>
      <c r="Y404" s="60">
        <v>1</v>
      </c>
      <c r="Z404" s="60">
        <v>2</v>
      </c>
      <c r="AA404" s="60">
        <v>3</v>
      </c>
      <c r="AB404" s="60">
        <v>4</v>
      </c>
      <c r="AC404" s="60">
        <v>5</v>
      </c>
      <c r="AD404" s="342"/>
      <c r="AE404" s="343"/>
      <c r="AF404" s="344"/>
    </row>
    <row r="405" spans="1:32" ht="12.75" customHeight="1" thickBot="1">
      <c r="F405" s="246" t="s">
        <v>1238</v>
      </c>
      <c r="G405" s="246"/>
      <c r="H405" s="246"/>
      <c r="I405" s="246"/>
      <c r="J405" s="246"/>
      <c r="K405" s="246"/>
      <c r="R405" s="300" t="str">
        <f>B366</f>
        <v>F</v>
      </c>
      <c r="S405" s="331" t="str">
        <f ca="1">IF($B393&lt;&gt;"",$B393,"")</f>
        <v/>
      </c>
      <c r="T405" s="353"/>
      <c r="U405" s="353"/>
      <c r="V405" s="353"/>
      <c r="W405" s="353"/>
      <c r="X405" s="354"/>
      <c r="Y405" s="329"/>
      <c r="Z405" s="329"/>
      <c r="AA405" s="351"/>
      <c r="AB405" s="351"/>
      <c r="AC405" s="351"/>
      <c r="AD405" s="345"/>
      <c r="AE405" s="346"/>
      <c r="AF405" s="347"/>
    </row>
    <row r="406" spans="1:32" ht="12.75" customHeight="1">
      <c r="A406" s="22"/>
      <c r="B406" s="22"/>
      <c r="C406" s="22"/>
      <c r="D406" s="22"/>
      <c r="E406" s="22"/>
      <c r="G406" s="304" t="str">
        <f>B366</f>
        <v>F</v>
      </c>
      <c r="H406" s="305"/>
      <c r="I406" s="302" t="str">
        <f>K366</f>
        <v>H</v>
      </c>
      <c r="J406" s="303"/>
      <c r="L406" s="22"/>
      <c r="M406" s="22"/>
      <c r="N406" s="22"/>
      <c r="O406" s="22"/>
      <c r="P406" s="22"/>
      <c r="R406" s="301"/>
      <c r="S406" s="355"/>
      <c r="T406" s="356"/>
      <c r="U406" s="356"/>
      <c r="V406" s="356"/>
      <c r="W406" s="356"/>
      <c r="X406" s="357"/>
      <c r="Y406" s="338"/>
      <c r="Z406" s="338"/>
      <c r="AA406" s="352"/>
      <c r="AB406" s="352"/>
      <c r="AC406" s="352"/>
      <c r="AD406" s="348"/>
      <c r="AE406" s="349"/>
      <c r="AF406" s="350"/>
    </row>
    <row r="407" spans="1:32" ht="12.75" customHeight="1" thickBot="1">
      <c r="A407" s="2" t="s">
        <v>1228</v>
      </c>
      <c r="B407" s="53" t="str">
        <f>B366</f>
        <v>F</v>
      </c>
      <c r="C407" s="3" t="s">
        <v>1226</v>
      </c>
      <c r="F407" s="66" t="str">
        <f>CONCATENATE($B366,"-",$K366)</f>
        <v>F-H</v>
      </c>
      <c r="G407" s="320" t="str">
        <f ca="1">IF(OR(Q372&lt;&gt;"",Q379&lt;&gt;"",Q386&lt;&gt;"",Q393&lt;&gt;"",Q400&lt;&gt;""),COUNTIF(Q372:Q372,"W")+COUNTIF(Q379:Q379,"W")+COUNTIF(Q386:Q386,"W")+COUNTIF(Q393:Q393,"W")+COUNTIF(Q400:Q400,"W"),"")</f>
        <v/>
      </c>
      <c r="H407" s="321"/>
      <c r="I407" s="322" t="str">
        <f ca="1">IF(OR(Q374&lt;&gt;"",Q381&lt;&gt;"",Q388&lt;&gt;"",Q395&lt;&gt;"",Q402&lt;&gt;""),COUNTIF(Q374:Q374,"W")+COUNTIF(Q381:Q381,"W")+COUNTIF(Q388:Q388,"W")+COUNTIF(Q395:Q395,"W")+COUNTIF(Q402:Q402,"W"),"")</f>
        <v/>
      </c>
      <c r="J407" s="323"/>
      <c r="L407" s="2" t="s">
        <v>1228</v>
      </c>
      <c r="M407" s="53" t="str">
        <f>K366</f>
        <v>H</v>
      </c>
      <c r="N407" s="3" t="s">
        <v>1226</v>
      </c>
      <c r="R407" s="300" t="str">
        <f>K366</f>
        <v>H</v>
      </c>
      <c r="S407" s="331" t="str">
        <f ca="1">IF($B395&lt;&gt;"",$B395,"")</f>
        <v/>
      </c>
      <c r="T407" s="332"/>
      <c r="U407" s="332"/>
      <c r="V407" s="332"/>
      <c r="W407" s="332"/>
      <c r="X407" s="333"/>
      <c r="Y407" s="329"/>
      <c r="Z407" s="329"/>
      <c r="AA407" s="351"/>
      <c r="AB407" s="351"/>
      <c r="AC407" s="351"/>
      <c r="AD407" s="363" t="s">
        <v>1237</v>
      </c>
      <c r="AE407" s="358"/>
      <c r="AF407" s="359"/>
    </row>
    <row r="408" spans="1:32" ht="12.75" customHeight="1">
      <c r="F408" s="25" t="s">
        <v>3996</v>
      </c>
      <c r="G408" s="23"/>
      <c r="H408" s="23"/>
      <c r="I408" s="23"/>
      <c r="J408" s="23"/>
      <c r="K408" s="24"/>
      <c r="R408" s="330"/>
      <c r="S408" s="334"/>
      <c r="T408" s="335"/>
      <c r="U408" s="335"/>
      <c r="V408" s="335"/>
      <c r="W408" s="335"/>
      <c r="X408" s="336"/>
      <c r="Y408" s="330"/>
      <c r="Z408" s="330"/>
      <c r="AA408" s="330"/>
      <c r="AB408" s="330"/>
      <c r="AC408" s="330"/>
      <c r="AD408" s="360"/>
      <c r="AE408" s="361"/>
      <c r="AF408" s="362"/>
    </row>
    <row r="409" spans="1:32" ht="12.75" customHeight="1">
      <c r="R409" s="1"/>
      <c r="S409" s="110"/>
      <c r="T409" s="110"/>
      <c r="U409" s="110"/>
      <c r="V409" s="110"/>
      <c r="W409" s="110"/>
      <c r="X409" s="111"/>
      <c r="Y409" s="111"/>
      <c r="Z409" s="111"/>
      <c r="AA409" s="111"/>
    </row>
    <row r="410" spans="1:32" ht="12.75" customHeight="1">
      <c r="F410" s="246" t="s">
        <v>4929</v>
      </c>
      <c r="G410" s="246"/>
      <c r="H410" s="246"/>
      <c r="I410" s="246"/>
      <c r="R410" s="1"/>
      <c r="S410" s="110"/>
      <c r="T410" s="110"/>
      <c r="U410" s="110"/>
      <c r="V410" s="110"/>
      <c r="W410" s="110"/>
      <c r="X410" s="111"/>
      <c r="Y410" s="111"/>
      <c r="Z410" s="111"/>
      <c r="AA410" s="111"/>
    </row>
    <row r="411" spans="1:32" ht="12.75" customHeight="1">
      <c r="F411" s="246" t="s">
        <v>4930</v>
      </c>
      <c r="G411" s="246"/>
      <c r="H411" s="246"/>
      <c r="I411" s="246"/>
      <c r="R411" s="1"/>
      <c r="S411" s="110"/>
      <c r="T411" s="110"/>
      <c r="U411" s="110"/>
      <c r="V411" s="110"/>
      <c r="W411" s="110"/>
      <c r="X411" s="111"/>
      <c r="Y411" s="111"/>
      <c r="Z411" s="111"/>
      <c r="AA411" s="111"/>
    </row>
    <row r="412" spans="1:32" ht="12.75" customHeight="1">
      <c r="K412" s="281" t="s">
        <v>1244</v>
      </c>
      <c r="L412" s="281"/>
      <c r="M412" s="281"/>
      <c r="N412" s="281"/>
      <c r="O412" s="281"/>
      <c r="P412" s="281"/>
      <c r="R412" s="1"/>
      <c r="S412" s="110"/>
      <c r="T412" s="110"/>
      <c r="U412" s="110"/>
      <c r="V412" s="110"/>
      <c r="W412" s="110"/>
      <c r="X412" s="111"/>
      <c r="Y412" s="111"/>
      <c r="Z412" s="111"/>
      <c r="AA412" s="111"/>
    </row>
    <row r="413" spans="1:32" ht="12.75" customHeight="1">
      <c r="A413" s="12" t="s">
        <v>1229</v>
      </c>
      <c r="B413" s="11"/>
      <c r="C413" s="11"/>
      <c r="D413" s="11" t="str">
        <f>Draw!$B$1</f>
        <v>Enter Division Name</v>
      </c>
      <c r="E413" s="11"/>
      <c r="F413" s="7"/>
      <c r="G413" s="6"/>
      <c r="H413" s="7"/>
      <c r="I413" s="11"/>
      <c r="J413" s="11"/>
      <c r="K413" s="11"/>
      <c r="L413" s="11"/>
      <c r="M413" s="281"/>
      <c r="N413" s="281"/>
      <c r="O413" s="281"/>
      <c r="P413" s="281"/>
      <c r="R413" s="1"/>
      <c r="S413" s="110"/>
      <c r="T413" s="110"/>
      <c r="U413" s="110"/>
      <c r="V413" s="110"/>
      <c r="W413" s="110"/>
      <c r="X413" s="111"/>
      <c r="Y413" s="111"/>
      <c r="Z413" s="111"/>
      <c r="AA413" s="111"/>
    </row>
    <row r="414" spans="1:32" ht="12.75" customHeight="1">
      <c r="A414" s="2" t="s">
        <v>1230</v>
      </c>
      <c r="D414" s="43" t="str">
        <f>Draw!$D$1</f>
        <v>Enter Hosting Location (City, ST)</v>
      </c>
      <c r="J414" s="43" t="str">
        <f ca="1">$J$6</f>
        <v>[NCTTA Teams Template (v2.06).xlsx]</v>
      </c>
      <c r="R414" s="1"/>
      <c r="S414" s="110"/>
      <c r="T414" s="110"/>
      <c r="U414" s="110"/>
      <c r="V414" s="110"/>
      <c r="W414" s="110"/>
      <c r="X414" s="111"/>
      <c r="Y414" s="111"/>
      <c r="Z414" s="111"/>
      <c r="AA414" s="111"/>
    </row>
    <row r="415" spans="1:32" ht="12.75" customHeight="1">
      <c r="A415" s="2" t="s">
        <v>1231</v>
      </c>
      <c r="D415" s="337" t="str">
        <f>Draw!$P$1</f>
        <v>Enter Date</v>
      </c>
      <c r="E415" s="337"/>
      <c r="F415" s="337"/>
      <c r="G415" s="337"/>
      <c r="J415" s="280" t="str">
        <f>CHOOSE(Draw!$T$1,"Round 2, Match 3","Round 3, Match 3","Round 2, Match 3","Round 3, Match 3","Round 5, Match 1","Round 3, Match 3","Round 3, Match 3","Round 3, Match 1","Round 3, Match 1","Round 2, Match 4","Round 2, Match 4")</f>
        <v>Round 2, Match 3</v>
      </c>
      <c r="K415" s="280"/>
      <c r="L415" s="280"/>
      <c r="M415" s="276" t="str">
        <f>IF(AND($J415&lt;&gt;"",Draw!$AC$10&lt;&gt;"",Draw!$AC$13&lt;&gt;""),Draw!$AC$10+TIME(0,VALUE(MID($J415,7,FIND(",",$J415)-FIND(" ",$J415)-1)-1)*Draw!$AC$13,0),"")</f>
        <v/>
      </c>
      <c r="N415" s="276"/>
      <c r="O415" s="157" t="str">
        <f>$F458</f>
        <v>E-F</v>
      </c>
      <c r="R415" s="1"/>
      <c r="S415" s="110"/>
      <c r="T415" s="110"/>
      <c r="U415" s="110"/>
      <c r="V415" s="110"/>
      <c r="W415" s="110"/>
      <c r="X415" s="111"/>
      <c r="Y415" s="111"/>
      <c r="Z415" s="111"/>
      <c r="AA415" s="111"/>
    </row>
    <row r="416" spans="1:32" ht="12.75" customHeight="1">
      <c r="A416" s="14"/>
      <c r="B416" s="15"/>
      <c r="C416" s="15"/>
      <c r="D416" s="15"/>
      <c r="E416" s="15"/>
      <c r="F416" s="14"/>
      <c r="G416" s="14"/>
      <c r="H416" s="16"/>
      <c r="I416" s="14"/>
      <c r="J416" s="15"/>
      <c r="K416" s="15"/>
      <c r="L416" s="15"/>
      <c r="M416" s="15"/>
      <c r="N416" s="15"/>
      <c r="O416" s="364" t="str">
        <f>IF(OR(AND(VLOOKUP($B417,$AM$1:$AX$12,12,FALSE)="C",VLOOKUP($K417,$AM$1:$AX$12,12,FALSE)="C"),AND(VLOOKUP($B417,$AM$1:$AX$12,12,FALSE)="W",VLOOKUP($K417,$AM$1:$AX$12,12,FALSE)="W")),"Official",IF(AND($A418="",$J418=""),"","Scrimmage"))</f>
        <v/>
      </c>
      <c r="P416" s="364"/>
      <c r="R416" s="1"/>
      <c r="S416" s="110"/>
      <c r="T416" s="110"/>
      <c r="U416" s="110"/>
      <c r="V416" s="110"/>
      <c r="W416" s="110"/>
      <c r="X416" s="111"/>
      <c r="Y416" s="111"/>
      <c r="Z416" s="111"/>
      <c r="AA416" s="111"/>
    </row>
    <row r="417" spans="1:32" ht="12.75" customHeight="1">
      <c r="A417" s="17" t="s">
        <v>1228</v>
      </c>
      <c r="B417" s="119" t="str">
        <f>CHOOSE(Draw!$T$1,"B","E","E","H","A","E","C","A","A","C","D")</f>
        <v>E</v>
      </c>
      <c r="C417" s="135">
        <f>VLOOKUP($B417,$AM$1:$AN$12,2)</f>
        <v>5</v>
      </c>
      <c r="D417" s="13"/>
      <c r="E417" s="13"/>
      <c r="F417" s="10"/>
      <c r="H417" s="19" t="s">
        <v>1232</v>
      </c>
      <c r="J417" s="17" t="s">
        <v>1228</v>
      </c>
      <c r="K417" s="119" t="str">
        <f>CHOOSE(Draw!$T$1,"I","F","F","I","E","F","G","E","H","F","G")</f>
        <v>F</v>
      </c>
      <c r="L417" s="135">
        <f>VLOOKUP($K417,$AM$1:$AN$12,2)</f>
        <v>6</v>
      </c>
      <c r="M417" s="13"/>
      <c r="N417" s="13"/>
      <c r="O417" s="18"/>
      <c r="P417" s="274"/>
      <c r="Q417" s="275"/>
      <c r="R417" s="1"/>
      <c r="S417" s="110"/>
      <c r="T417" s="110"/>
      <c r="U417" s="110"/>
      <c r="V417" s="110"/>
      <c r="W417" s="110"/>
      <c r="X417" s="111"/>
      <c r="Y417" s="111"/>
      <c r="Z417" s="111"/>
      <c r="AA417" s="111"/>
    </row>
    <row r="418" spans="1:32" ht="12.75" customHeight="1">
      <c r="A418" s="277" t="str">
        <f>IF(VLOOKUP($B417,Draw!$A$4:$B$27,2)&lt;&gt;0,VLOOKUP($B417,Draw!$A$4:$B$27,2),"")</f>
        <v/>
      </c>
      <c r="B418" s="278"/>
      <c r="C418" s="278"/>
      <c r="D418" s="278"/>
      <c r="E418" s="278"/>
      <c r="F418" s="279"/>
      <c r="G418" s="306" t="s">
        <v>4160</v>
      </c>
      <c r="H418" s="289"/>
      <c r="I418" s="307"/>
      <c r="J418" s="277" t="str">
        <f>IF(VLOOKUP($K417,Draw!$A$4:$B$27,2)&lt;&gt;0,VLOOKUP($K417,Draw!$A$4:$B$27,2),"")</f>
        <v/>
      </c>
      <c r="K418" s="278"/>
      <c r="L418" s="278"/>
      <c r="M418" s="278"/>
      <c r="N418" s="278"/>
      <c r="O418" s="279"/>
      <c r="P418" s="15"/>
      <c r="R418" s="1"/>
      <c r="S418" s="110"/>
      <c r="T418" s="110"/>
      <c r="U418" s="110"/>
      <c r="V418" s="110"/>
      <c r="W418" s="110"/>
      <c r="X418" s="111"/>
      <c r="Y418" s="111"/>
      <c r="Z418" s="111"/>
      <c r="AA418" s="111"/>
    </row>
    <row r="419" spans="1:32" ht="12.75" customHeight="1">
      <c r="A419" s="14"/>
      <c r="B419" s="15"/>
      <c r="C419" s="15"/>
      <c r="D419" s="15"/>
      <c r="E419" s="15"/>
      <c r="F419" s="14"/>
      <c r="G419" s="288" t="str">
        <f>"Page "&amp;VALUE(RIGHT($G418,LEN($G418)-SEARCH("-",$G418)))/2</f>
        <v>Page 9</v>
      </c>
      <c r="H419" s="289"/>
      <c r="I419" s="289"/>
      <c r="J419" s="15"/>
      <c r="K419" s="15"/>
      <c r="L419" s="15"/>
      <c r="M419" s="15"/>
      <c r="N419" s="15"/>
      <c r="O419" s="15"/>
      <c r="P419" s="15"/>
      <c r="R419" s="1"/>
      <c r="S419" s="110"/>
      <c r="T419" s="110"/>
      <c r="U419" s="110"/>
      <c r="V419" s="110"/>
      <c r="W419" s="110"/>
      <c r="X419" s="111"/>
      <c r="Y419" s="111"/>
      <c r="Z419" s="111"/>
      <c r="AA419" s="111"/>
      <c r="AF419" s="27"/>
    </row>
    <row r="420" spans="1:32" ht="12.75" customHeight="1">
      <c r="A420" s="327" t="s">
        <v>1245</v>
      </c>
      <c r="B420" s="327"/>
      <c r="C420" s="327"/>
      <c r="D420" s="327"/>
      <c r="E420" s="327"/>
      <c r="F420" s="327"/>
      <c r="G420" s="327"/>
      <c r="H420" s="327"/>
      <c r="I420" s="327"/>
      <c r="J420" s="327"/>
      <c r="K420" s="327"/>
      <c r="L420" s="327"/>
      <c r="M420" s="327"/>
      <c r="N420" s="327"/>
      <c r="O420" s="327"/>
      <c r="P420" s="327"/>
      <c r="Q420" s="7"/>
      <c r="R420" s="1"/>
      <c r="S420" s="110"/>
      <c r="T420" s="110"/>
      <c r="U420" s="110"/>
      <c r="V420" s="110"/>
      <c r="W420" s="110"/>
      <c r="X420" s="111"/>
      <c r="Y420" s="111"/>
      <c r="Z420" s="111"/>
      <c r="AA420" s="111"/>
      <c r="AF420" s="20"/>
    </row>
    <row r="421" spans="1:32" ht="12.75" customHeight="1">
      <c r="A421" s="21" t="s">
        <v>1233</v>
      </c>
      <c r="H421" s="136" t="str">
        <f>IF($Q423&lt;&gt;"",IF(AND(AND($H423&gt;-1,$H425&gt;-1),OR($H423&gt;10,$H425&gt;10),ABS($H423-$H425)&gt;1,IF(OR($H423&gt;11,$H425&gt;11),ABS($H423-$H425)=2,TRUE),$H423=INT($H423),$H425=INT($H425)),"","Error"),"")</f>
        <v/>
      </c>
      <c r="I421" s="136" t="str">
        <f>IF($Q423&lt;&gt;"",IF(AND(AND($I423&gt;-1,$I425&gt;-1),OR($I423&gt;10,$I425&gt;10),ABS($I423-$I425)&gt;1,IF(OR($I423&gt;11,$I425&gt;11),ABS($I423-$I425)=2,TRUE),$I423=INT($I423),$I425=INT($I425)),"","Error"),"")</f>
        <v/>
      </c>
      <c r="J421" s="136" t="str">
        <f>IF($Q423&lt;&gt;"",IF(AND(AND($J423&gt;-1,$J425&gt;-1),OR($J423&gt;10,$J425&gt;10),ABS($J423-$J425)&gt;1,IF(OR($J423&gt;11,$J425&gt;11),ABS($J423-$J425)=2,TRUE),$J423=INT($J423),$J425=INT($J425)),"","Error"),"")</f>
        <v/>
      </c>
      <c r="K421" s="136" t="str">
        <f>IF($Q423&lt;&gt;"",IF(AND($K423&lt;&gt;"",$K425&lt;&gt;""), IF(AND(AND($K423&gt;-1,$K425&gt;-1),OR($K423&gt;10,$K425&gt;10),ABS($K423-$K425)&gt;1,IF(OR($K423&gt;11,$K425&gt;11),ABS($K423-$K425)=2,TRUE),$K423=INT($K423),$K425=INT($K425)),"","Error"),""),"")</f>
        <v/>
      </c>
      <c r="L421" s="136" t="str">
        <f>IF($Q423&lt;&gt;"",IF(AND($L423&lt;&gt;"",$L425&lt;&gt;""), IF(AND(AND($L423&gt;-1,$L425&gt;-1),OR($L423&gt;10,$L425&gt;10),ABS($L423-$L425)&gt;1,IF(OR($L423&gt;11,$L425&gt;11),ABS($L423-$L425)=2,TRUE),$L423=INT($L423),$L425=INT($L425)),"","Error"),""),"")</f>
        <v/>
      </c>
      <c r="R421" s="1"/>
      <c r="S421" s="110"/>
      <c r="T421" s="110"/>
      <c r="U421" s="110"/>
      <c r="V421" s="110"/>
      <c r="W421" s="110"/>
      <c r="X421" s="111"/>
      <c r="Y421" s="111"/>
      <c r="Z421" s="111"/>
      <c r="AA421" s="111"/>
    </row>
    <row r="422" spans="1:32" ht="12.75" customHeight="1">
      <c r="A422" s="5" t="s">
        <v>1228</v>
      </c>
      <c r="B422" s="290" t="s">
        <v>1126</v>
      </c>
      <c r="C422" s="291"/>
      <c r="D422" s="291"/>
      <c r="E422" s="291"/>
      <c r="F422" s="291"/>
      <c r="G422" s="292"/>
      <c r="H422" s="5">
        <v>1</v>
      </c>
      <c r="I422" s="5">
        <v>2</v>
      </c>
      <c r="J422" s="5">
        <v>3</v>
      </c>
      <c r="K422" s="5">
        <v>4</v>
      </c>
      <c r="L422" s="5">
        <v>5</v>
      </c>
      <c r="M422" s="271"/>
      <c r="N422" s="272"/>
      <c r="O422" s="272"/>
      <c r="P422" s="273"/>
      <c r="R422" s="1"/>
      <c r="S422" s="110"/>
      <c r="T422" s="110"/>
      <c r="U422" s="110"/>
      <c r="V422" s="110"/>
      <c r="W422" s="110"/>
      <c r="X422" s="111"/>
      <c r="Y422" s="111"/>
      <c r="Z422" s="111"/>
      <c r="AA422" s="111"/>
    </row>
    <row r="423" spans="1:32" ht="12.75" customHeight="1">
      <c r="A423" s="300" t="str">
        <f>B417</f>
        <v>E</v>
      </c>
      <c r="B423" s="293" t="str">
        <f ca="1">IF(AND(OFFSET($AO$1,$C417-1,8,1,1),$A418&lt;&gt;"",$J418&lt;&gt;""),CHOOSE($C417,$AO$1,$AO$2,$AO$3,$AO$4,$AO$5,$AO$6,$AO$7,$AO$8,$AO$9,$AO$10,$AO$11,$AO$12),"")</f>
        <v/>
      </c>
      <c r="C423" s="294"/>
      <c r="D423" s="294"/>
      <c r="E423" s="294"/>
      <c r="F423" s="294"/>
      <c r="G423" s="294"/>
      <c r="H423" s="265"/>
      <c r="I423" s="265"/>
      <c r="J423" s="265"/>
      <c r="K423" s="265"/>
      <c r="L423" s="265"/>
      <c r="M423" s="297"/>
      <c r="N423" s="298"/>
      <c r="O423" s="298"/>
      <c r="P423" s="299"/>
      <c r="Q423" s="137" t="str">
        <f>IF($L423=$L425,IF($K423=$K425,IF($J423&lt;&gt;"",IF($J423&gt;$J425,"W","L"),""),IF($K423&gt;$K425,"W","L")),IF($L423&gt;$L425,"W","L"))</f>
        <v/>
      </c>
      <c r="R423" s="1"/>
      <c r="S423" s="110"/>
      <c r="T423" s="110"/>
      <c r="U423" s="110"/>
      <c r="V423" s="110"/>
      <c r="W423" s="110"/>
      <c r="X423" s="111"/>
      <c r="Y423" s="111"/>
      <c r="Z423" s="111"/>
      <c r="AA423" s="111"/>
    </row>
    <row r="424" spans="1:32" ht="12.75" customHeight="1">
      <c r="A424" s="301"/>
      <c r="B424" s="295"/>
      <c r="C424" s="296"/>
      <c r="D424" s="296"/>
      <c r="E424" s="296"/>
      <c r="F424" s="296"/>
      <c r="G424" s="296"/>
      <c r="H424" s="270"/>
      <c r="I424" s="270"/>
      <c r="J424" s="270"/>
      <c r="K424" s="270"/>
      <c r="L424" s="270"/>
      <c r="M424" s="297"/>
      <c r="N424" s="298"/>
      <c r="O424" s="298"/>
      <c r="P424" s="299"/>
      <c r="Q424" s="139" t="str">
        <f>IF($Q423&lt;&gt;"",IF($Q423="W",IF(SUM(IF($H423&gt;$H425,1,0),IF($I423&gt;$I425,1,0),IF($J423&gt;$J425,1,0),IF($K423&gt;$K425,1,0),IF($L423&gt;$L425,1,0))&lt;&gt;3,"Error",""),""),"")</f>
        <v/>
      </c>
      <c r="R424" s="328" t="str">
        <f>$A418</f>
        <v/>
      </c>
      <c r="S424" s="328"/>
      <c r="T424" s="328"/>
      <c r="U424" s="328"/>
      <c r="V424" s="328"/>
      <c r="W424" s="328"/>
      <c r="X424" s="256" t="str">
        <f>CONCATENATE("(",$B417," vs ",$K417,")")</f>
        <v>(E vs F)</v>
      </c>
      <c r="Y424" s="256"/>
      <c r="Z424" s="328" t="str">
        <f>$J418</f>
        <v/>
      </c>
      <c r="AA424" s="328"/>
      <c r="AB424" s="328"/>
      <c r="AC424" s="328"/>
      <c r="AD424" s="328"/>
      <c r="AE424" s="328"/>
      <c r="AF424" s="43"/>
    </row>
    <row r="425" spans="1:32" ht="12.75" customHeight="1">
      <c r="A425" s="300" t="str">
        <f>K417</f>
        <v>F</v>
      </c>
      <c r="B425" s="293" t="str">
        <f ca="1">IF(AND(OFFSET($AO$1,$L417-1,8,1,1),$A418&lt;&gt;"",$J418&lt;&gt;""),CHOOSE($L417,$AO$1,$AO$2,$AO$3,$AO$4,$AO$5,$AO$6,$AO$7,$AO$8,$AO$9,$AO$10,$AO$11,$AO$12),"")</f>
        <v/>
      </c>
      <c r="C425" s="294"/>
      <c r="D425" s="294"/>
      <c r="E425" s="294"/>
      <c r="F425" s="294"/>
      <c r="G425" s="294"/>
      <c r="H425" s="265"/>
      <c r="I425" s="265"/>
      <c r="J425" s="265"/>
      <c r="K425" s="265"/>
      <c r="L425" s="265"/>
      <c r="M425" s="267" t="s">
        <v>1237</v>
      </c>
      <c r="N425" s="268"/>
      <c r="O425" s="268"/>
      <c r="P425" s="269"/>
      <c r="Q425" s="137" t="str">
        <f>IF($Q423&lt;&gt;"",IF($Q423="W","L","W"),"")</f>
        <v/>
      </c>
      <c r="R425" s="43"/>
      <c r="S425" s="43"/>
      <c r="T425" s="43"/>
      <c r="U425" s="43"/>
      <c r="V425" s="43"/>
      <c r="W425" s="43"/>
      <c r="X425" s="43"/>
      <c r="Y425" s="43"/>
      <c r="Z425" s="43"/>
      <c r="AA425" s="43"/>
      <c r="AB425" s="43"/>
      <c r="AC425" s="43"/>
      <c r="AD425" s="43"/>
      <c r="AE425" s="43"/>
      <c r="AF425" s="43"/>
    </row>
    <row r="426" spans="1:32" ht="12.75" customHeight="1">
      <c r="A426" s="301"/>
      <c r="B426" s="295"/>
      <c r="C426" s="296"/>
      <c r="D426" s="296"/>
      <c r="E426" s="296"/>
      <c r="F426" s="296"/>
      <c r="G426" s="296"/>
      <c r="H426" s="270"/>
      <c r="I426" s="270"/>
      <c r="J426" s="266"/>
      <c r="K426" s="266"/>
      <c r="L426" s="266"/>
      <c r="M426" s="267"/>
      <c r="N426" s="268"/>
      <c r="O426" s="268"/>
      <c r="P426" s="269"/>
      <c r="Q426" s="139" t="str">
        <f>IF($Q425&lt;&gt;"",IF($Q425="W",IF(SUM(IF($H425&gt;$H423,1,0),IF($I425&gt;$I423,1,0),IF($J425&gt;$J423,1,0),IF($K425&gt;$K423,1,0),IF($L425&gt;$L423,1,0))&lt;&gt;3,"Error",""),""),"")</f>
        <v/>
      </c>
      <c r="R426" s="43" t="str">
        <f>$A428</f>
        <v>2nd Singles</v>
      </c>
      <c r="S426" s="43"/>
      <c r="T426" s="43"/>
      <c r="U426" s="43"/>
      <c r="V426" s="43"/>
      <c r="W426" s="43"/>
      <c r="X426" s="43"/>
      <c r="Y426" s="43"/>
      <c r="Z426" s="43"/>
      <c r="AA426" s="43"/>
      <c r="AB426" s="43"/>
      <c r="AC426" s="43"/>
      <c r="AD426" s="43"/>
      <c r="AE426" s="43"/>
      <c r="AF426" s="43"/>
    </row>
    <row r="427" spans="1:32" ht="12.75" customHeight="1">
      <c r="Q427" s="7"/>
      <c r="R427" s="60" t="s">
        <v>1228</v>
      </c>
      <c r="S427" s="339" t="s">
        <v>1126</v>
      </c>
      <c r="T427" s="340"/>
      <c r="U427" s="340"/>
      <c r="V427" s="340"/>
      <c r="W427" s="340"/>
      <c r="X427" s="341"/>
      <c r="Y427" s="60">
        <v>1</v>
      </c>
      <c r="Z427" s="60">
        <v>2</v>
      </c>
      <c r="AA427" s="60">
        <v>3</v>
      </c>
      <c r="AB427" s="60">
        <v>4</v>
      </c>
      <c r="AC427" s="60">
        <v>5</v>
      </c>
      <c r="AD427" s="342"/>
      <c r="AE427" s="343"/>
      <c r="AF427" s="344"/>
    </row>
    <row r="428" spans="1:32" ht="12.75" customHeight="1">
      <c r="A428" s="21" t="s">
        <v>1234</v>
      </c>
      <c r="H428" s="136" t="str">
        <f>IF($Q430&lt;&gt;"",IF(AND(AND($H430&gt;-1,$H432&gt;-1),OR($H430&gt;10,$H432&gt;10),ABS($H430-$H432)&gt;1,IF(OR($H430&gt;11,$H432&gt;11),ABS($H430-$H432)=2,TRUE),$H430=INT($H430),$H432=INT($H432)),"","Error"),"")</f>
        <v/>
      </c>
      <c r="I428" s="136" t="str">
        <f>IF($Q430&lt;&gt;"",IF(AND(AND($I430&gt;-1,$I432&gt;-1),OR($I430&gt;10,$I432&gt;10),ABS($I430-$I432)&gt;1,IF(OR($I430&gt;11,$I432&gt;11),ABS($I430-$I432)=2,TRUE),$I430=INT($I430),$I432=INT($I432)),"","Error"),"")</f>
        <v/>
      </c>
      <c r="J428" s="136" t="str">
        <f>IF($Q430&lt;&gt;"",IF(AND(AND($J430&gt;-1,$J432&gt;-1),OR($J430&gt;10,$J432&gt;10),ABS($J430-$J432)&gt;1,IF(OR($J430&gt;11,$J432&gt;11),ABS($J430-$J432)=2,TRUE),$J430=INT($J430),$J432=INT($J432)),"","Error"),"")</f>
        <v/>
      </c>
      <c r="K428" s="136" t="str">
        <f>IF($Q430&lt;&gt;"",IF(AND($K430&lt;&gt;"",$K432&lt;&gt;""), IF(AND(AND($K430&gt;-1,$K432&gt;-1),OR($K430&gt;10,$K432&gt;10),ABS($K430-$K432)&gt;1,IF(OR($K430&gt;11,$K432&gt;11),ABS($K430-$K432)=2,TRUE),$K430=INT($K430),$K432=INT($K432)),"","Error"),""),"")</f>
        <v/>
      </c>
      <c r="L428" s="136" t="str">
        <f>IF($Q430&lt;&gt;"",IF(AND($L430&lt;&gt;"",$L432&lt;&gt;""), IF(AND(AND($L430&gt;-1,$L432&gt;-1),OR($L430&gt;10,$L432&gt;10),ABS($L430-$L432)&gt;1,IF(OR($L430&gt;11,$L432&gt;11),ABS($L430-$L432)=2,TRUE),$L430=INT($L430),$L432=INT($L432)),"","Error"),""),"")</f>
        <v/>
      </c>
      <c r="Q428" s="7"/>
      <c r="R428" s="300" t="str">
        <f>$B417</f>
        <v>E</v>
      </c>
      <c r="S428" s="331" t="str">
        <f ca="1">IF($B430&lt;&gt;"",$B430,"")</f>
        <v/>
      </c>
      <c r="T428" s="332"/>
      <c r="U428" s="332"/>
      <c r="V428" s="332"/>
      <c r="W428" s="332"/>
      <c r="X428" s="333"/>
      <c r="Y428" s="329"/>
      <c r="Z428" s="329"/>
      <c r="AA428" s="329"/>
      <c r="AB428" s="329"/>
      <c r="AC428" s="329"/>
      <c r="AD428" s="345"/>
      <c r="AE428" s="358"/>
      <c r="AF428" s="359"/>
    </row>
    <row r="429" spans="1:32" ht="12.75" customHeight="1">
      <c r="A429" s="5" t="s">
        <v>1228</v>
      </c>
      <c r="B429" s="290" t="s">
        <v>1126</v>
      </c>
      <c r="C429" s="291"/>
      <c r="D429" s="291"/>
      <c r="E429" s="291"/>
      <c r="F429" s="291"/>
      <c r="G429" s="292"/>
      <c r="H429" s="5">
        <v>1</v>
      </c>
      <c r="I429" s="5">
        <v>2</v>
      </c>
      <c r="J429" s="5">
        <v>3</v>
      </c>
      <c r="K429" s="5">
        <v>4</v>
      </c>
      <c r="L429" s="5">
        <v>5</v>
      </c>
      <c r="M429" s="271"/>
      <c r="N429" s="272"/>
      <c r="O429" s="272"/>
      <c r="P429" s="273"/>
      <c r="Q429" s="7"/>
      <c r="R429" s="330"/>
      <c r="S429" s="334"/>
      <c r="T429" s="335"/>
      <c r="U429" s="335"/>
      <c r="V429" s="335"/>
      <c r="W429" s="335"/>
      <c r="X429" s="336"/>
      <c r="Y429" s="330"/>
      <c r="Z429" s="330"/>
      <c r="AA429" s="330"/>
      <c r="AB429" s="330"/>
      <c r="AC429" s="330"/>
      <c r="AD429" s="360"/>
      <c r="AE429" s="361"/>
      <c r="AF429" s="362"/>
    </row>
    <row r="430" spans="1:32" ht="12.75" customHeight="1">
      <c r="A430" s="300" t="str">
        <f>B417</f>
        <v>E</v>
      </c>
      <c r="B430" s="293" t="str">
        <f ca="1">IF(AND(OFFSET($AO$1,$C417-1,8,1,1),$A418&lt;&gt;"",$J418&lt;&gt;""),CHOOSE($C417,$AP$1,$AP$2,$AP$3,$AP$4,$AP$5,$AP$6,$AP$7,$AP$8,$AP$9,$AP$10,$AP$11,$AP$12),"")</f>
        <v/>
      </c>
      <c r="C430" s="294"/>
      <c r="D430" s="294"/>
      <c r="E430" s="294"/>
      <c r="F430" s="294"/>
      <c r="G430" s="294"/>
      <c r="H430" s="265"/>
      <c r="I430" s="265"/>
      <c r="J430" s="265"/>
      <c r="K430" s="265"/>
      <c r="L430" s="265"/>
      <c r="M430" s="262" t="str">
        <f ca="1">IF(OR(AND($B423&lt;&gt;"",$B430&lt;&gt;"",$C448&lt;=$B448),AND($B425&lt;&gt;"",$B432&lt;&gt;"",$G448&lt;=$F448)),"Invalid Lineup","")</f>
        <v/>
      </c>
      <c r="N430" s="263"/>
      <c r="O430" s="263"/>
      <c r="P430" s="264"/>
      <c r="Q430" s="137" t="str">
        <f>IF($L430=$L432,IF($K430=$K432,IF($J430&lt;&gt;"",IF($J430&gt;$J432,"W","L"),""),IF($K430&gt;$K432,"W","L")),IF($L430&gt;$L432,"W","L"))</f>
        <v/>
      </c>
      <c r="R430" s="300" t="str">
        <f>$K417</f>
        <v>F</v>
      </c>
      <c r="S430" s="331" t="str">
        <f ca="1">IF($B432&lt;&gt;"",$B432,"")</f>
        <v/>
      </c>
      <c r="T430" s="332"/>
      <c r="U430" s="332"/>
      <c r="V430" s="332"/>
      <c r="W430" s="332"/>
      <c r="X430" s="333"/>
      <c r="Y430" s="329"/>
      <c r="Z430" s="329"/>
      <c r="AA430" s="329"/>
      <c r="AB430" s="329"/>
      <c r="AC430" s="351"/>
      <c r="AD430" s="363" t="s">
        <v>1237</v>
      </c>
      <c r="AE430" s="358"/>
      <c r="AF430" s="359"/>
    </row>
    <row r="431" spans="1:32" ht="12.75" customHeight="1">
      <c r="A431" s="301"/>
      <c r="B431" s="295"/>
      <c r="C431" s="296"/>
      <c r="D431" s="296"/>
      <c r="E431" s="296"/>
      <c r="F431" s="296"/>
      <c r="G431" s="296"/>
      <c r="H431" s="270"/>
      <c r="I431" s="270"/>
      <c r="J431" s="270"/>
      <c r="K431" s="270"/>
      <c r="L431" s="270"/>
      <c r="M431" s="262"/>
      <c r="N431" s="263"/>
      <c r="O431" s="263"/>
      <c r="P431" s="264"/>
      <c r="Q431" s="139" t="str">
        <f>IF($Q430&lt;&gt;"",IF($Q430="W",IF(SUM(IF($H430&gt;$H432,1,0),IF($I430&gt;$I432,1,0),IF($J430&gt;$J432,1,0),IF($K430&gt;$K432,1,0),IF($L430&gt;$L432,1,0))&lt;&gt;3,"Error",""),""),"")</f>
        <v/>
      </c>
      <c r="R431" s="330"/>
      <c r="S431" s="334"/>
      <c r="T431" s="335"/>
      <c r="U431" s="335"/>
      <c r="V431" s="335"/>
      <c r="W431" s="335"/>
      <c r="X431" s="336"/>
      <c r="Y431" s="330"/>
      <c r="Z431" s="330"/>
      <c r="AA431" s="330"/>
      <c r="AB431" s="330"/>
      <c r="AC431" s="330"/>
      <c r="AD431" s="360"/>
      <c r="AE431" s="361"/>
      <c r="AF431" s="362"/>
    </row>
    <row r="432" spans="1:32" ht="12.75" customHeight="1">
      <c r="A432" s="300" t="str">
        <f>K417</f>
        <v>F</v>
      </c>
      <c r="B432" s="293" t="str">
        <f ca="1">IF(AND(OFFSET($AO$1,$L417-1,8,1,1),$A418&lt;&gt;"",$J418&lt;&gt;""),CHOOSE($L417,$AP$1,$AP$2,$AP$3,$AP$4,$AP$5,$AP$6,$AP$7,$AP$8,$AP$9,$AP$10,$AP$11,$AP$12),"")</f>
        <v/>
      </c>
      <c r="C432" s="294"/>
      <c r="D432" s="294"/>
      <c r="E432" s="294"/>
      <c r="F432" s="294"/>
      <c r="G432" s="294"/>
      <c r="H432" s="265"/>
      <c r="I432" s="265"/>
      <c r="J432" s="265"/>
      <c r="K432" s="265"/>
      <c r="L432" s="265"/>
      <c r="M432" s="267" t="s">
        <v>1237</v>
      </c>
      <c r="N432" s="268"/>
      <c r="O432" s="268"/>
      <c r="P432" s="269"/>
      <c r="Q432" s="137" t="str">
        <f>IF($Q430&lt;&gt;"",IF($Q430="W","L","W"),"")</f>
        <v/>
      </c>
      <c r="R432" s="20"/>
      <c r="S432" s="20"/>
      <c r="T432" s="20"/>
      <c r="U432" s="20"/>
      <c r="V432" s="20"/>
      <c r="W432" s="20"/>
      <c r="X432" s="26"/>
      <c r="Y432" s="26"/>
      <c r="Z432" s="20"/>
      <c r="AA432" s="20"/>
      <c r="AB432" s="20"/>
      <c r="AC432" s="20"/>
      <c r="AD432" s="20"/>
      <c r="AE432" s="20"/>
      <c r="AF432" s="27"/>
    </row>
    <row r="433" spans="1:32" ht="12.75" customHeight="1">
      <c r="A433" s="301"/>
      <c r="B433" s="295"/>
      <c r="C433" s="296"/>
      <c r="D433" s="296"/>
      <c r="E433" s="296"/>
      <c r="F433" s="296"/>
      <c r="G433" s="296"/>
      <c r="H433" s="270"/>
      <c r="I433" s="270"/>
      <c r="J433" s="266"/>
      <c r="K433" s="266"/>
      <c r="L433" s="266"/>
      <c r="M433" s="267"/>
      <c r="N433" s="268"/>
      <c r="O433" s="268"/>
      <c r="P433" s="269"/>
      <c r="Q433" s="139" t="str">
        <f>IF($Q432&lt;&gt;"",IF($Q432="W",IF(SUM(IF($H432&gt;$H430,1,0),IF($I432&gt;$I430,1,0),IF($J432&gt;$J430,1,0),IF($K432&gt;$K430,1,0),IF($L432&gt;$L430,1,0))&lt;&gt;3,"Error",""),""),"")</f>
        <v/>
      </c>
      <c r="R433" s="20"/>
      <c r="S433" s="20"/>
      <c r="T433" s="20"/>
      <c r="U433" s="20"/>
      <c r="V433" s="20"/>
      <c r="W433" s="20"/>
      <c r="X433" s="26"/>
      <c r="Y433" s="26"/>
      <c r="Z433" s="20"/>
      <c r="AA433" s="20"/>
      <c r="AB433" s="20"/>
      <c r="AC433" s="20"/>
      <c r="AD433" s="20"/>
      <c r="AE433" s="20"/>
      <c r="AF433" s="27"/>
    </row>
    <row r="434" spans="1:32" ht="12.75" customHeight="1">
      <c r="Q434" s="7"/>
      <c r="R434" s="20"/>
      <c r="S434" s="20"/>
      <c r="T434" s="20"/>
      <c r="U434" s="20"/>
      <c r="V434" s="20"/>
      <c r="W434" s="20"/>
      <c r="X434" s="26"/>
      <c r="Y434" s="26"/>
      <c r="Z434" s="20"/>
      <c r="AA434" s="20"/>
      <c r="AB434" s="20"/>
      <c r="AC434" s="20"/>
      <c r="AD434" s="20"/>
      <c r="AE434" s="20"/>
      <c r="AF434" s="27"/>
    </row>
    <row r="435" spans="1:32" ht="12.75" customHeight="1">
      <c r="A435" s="21" t="s">
        <v>1235</v>
      </c>
      <c r="H435" s="136" t="str">
        <f>IF($Q437&lt;&gt;"",IF(AND(AND($H437&gt;-1,$H439&gt;-1),OR($H437&gt;10,$H439&gt;10),ABS($H437-$H439)&gt;1,IF(OR($H437&gt;11,$H439&gt;11),ABS($H437-$H439)=2,TRUE),$H437=INT($H437),$H439=INT($H439)),"","Error"),"")</f>
        <v/>
      </c>
      <c r="I435" s="136" t="str">
        <f>IF($Q437&lt;&gt;"",IF(AND(AND($I437&gt;-1,$I439&gt;-1),OR($I437&gt;10,$I439&gt;10),ABS($I437-$I439)&gt;1,IF(OR($I437&gt;11,$I439&gt;11),ABS($I437-$I439)=2,TRUE),$I437=INT($I437),$I439=INT($I439)),"","Error"),"")</f>
        <v/>
      </c>
      <c r="J435" s="136" t="str">
        <f>IF($Q437&lt;&gt;"",IF(AND(AND($J437&gt;-1,$J439&gt;-1),OR($J437&gt;10,$J439&gt;10),ABS($J437-$J439)&gt;1,IF(OR($J437&gt;11,$J439&gt;11),ABS($J437-$J439)=2,TRUE),$J437=INT($J437),$J439=INT($J439)),"","Error"),"")</f>
        <v/>
      </c>
      <c r="K435" s="136" t="str">
        <f>IF($Q437&lt;&gt;"",IF(AND($K437&lt;&gt;"",$K439&lt;&gt;""), IF(AND(AND($K437&gt;-1,$K439&gt;-1),OR($K437&gt;10,$K439&gt;10),ABS($K437-$K439)&gt;1,IF(OR($K437&gt;11,$K439&gt;11),ABS($K437-$K439)=2,TRUE),$K437=INT($K437),$K439=INT($K439)),"","Error"),""),"")</f>
        <v/>
      </c>
      <c r="L435" s="136" t="str">
        <f>IF($Q437&lt;&gt;"",IF(AND($L437&lt;&gt;"",$L439&lt;&gt;""), IF(AND(AND($L437&gt;-1,$L439&gt;-1),OR($L437&gt;10,$L439&gt;10),ABS($L437-$L439)&gt;1,IF(OR($L437&gt;11,$L439&gt;11),ABS($L437-$L439)=2,TRUE),$L437=INT($L437),$L439=INT($L439)),"","Error"),""),"")</f>
        <v/>
      </c>
      <c r="Q435" s="7"/>
      <c r="R435" s="20"/>
      <c r="S435" s="20"/>
      <c r="T435" s="20"/>
      <c r="U435" s="20"/>
      <c r="V435" s="20"/>
      <c r="W435" s="20"/>
      <c r="X435" s="26"/>
      <c r="Y435" s="26"/>
      <c r="Z435" s="20"/>
      <c r="AA435" s="20"/>
      <c r="AB435" s="20"/>
      <c r="AC435" s="20"/>
      <c r="AD435" s="20"/>
      <c r="AE435" s="20"/>
      <c r="AF435" s="27"/>
    </row>
    <row r="436" spans="1:32" ht="12.75" customHeight="1">
      <c r="A436" s="5" t="s">
        <v>1228</v>
      </c>
      <c r="B436" s="290" t="s">
        <v>1126</v>
      </c>
      <c r="C436" s="291"/>
      <c r="D436" s="291"/>
      <c r="E436" s="291"/>
      <c r="F436" s="291"/>
      <c r="G436" s="292"/>
      <c r="H436" s="5">
        <v>1</v>
      </c>
      <c r="I436" s="5">
        <v>2</v>
      </c>
      <c r="J436" s="5">
        <v>3</v>
      </c>
      <c r="K436" s="5">
        <v>4</v>
      </c>
      <c r="L436" s="5">
        <v>5</v>
      </c>
      <c r="M436" s="271"/>
      <c r="N436" s="272"/>
      <c r="O436" s="272"/>
      <c r="P436" s="273"/>
      <c r="Q436" s="7"/>
      <c r="R436" s="20"/>
      <c r="S436" s="20"/>
      <c r="T436" s="20"/>
      <c r="U436" s="20"/>
      <c r="V436" s="20"/>
      <c r="W436" s="20"/>
      <c r="X436" s="26"/>
      <c r="Y436" s="26"/>
      <c r="Z436" s="20"/>
      <c r="AA436" s="20"/>
      <c r="AB436" s="20"/>
      <c r="AC436" s="20"/>
      <c r="AD436" s="20"/>
      <c r="AE436" s="20"/>
      <c r="AF436" s="27"/>
    </row>
    <row r="437" spans="1:32" ht="12.75" customHeight="1">
      <c r="A437" s="300" t="str">
        <f>B417</f>
        <v>E</v>
      </c>
      <c r="B437" s="293" t="str">
        <f ca="1">IF(AND(OFFSET($AO$1,$C417-1,8,1,1),$A418&lt;&gt;"",$J418&lt;&gt;""),CHOOSE($C417,$AQ$1,$AQ$2,$AQ$3,$AQ$4,$AQ$5,$AQ$6,$AQ$7,$AQ$8,$AQ$9,$AQ$10,$AQ$11,$AQ$12),"")</f>
        <v/>
      </c>
      <c r="C437" s="294"/>
      <c r="D437" s="294"/>
      <c r="E437" s="294"/>
      <c r="F437" s="294"/>
      <c r="G437" s="294"/>
      <c r="H437" s="265"/>
      <c r="I437" s="265"/>
      <c r="J437" s="265"/>
      <c r="K437" s="265"/>
      <c r="L437" s="265"/>
      <c r="M437" s="262" t="str">
        <f ca="1">IF(OR(AND($B430&lt;&gt;"",$B437&lt;&gt;"",$D448&lt;=$C448),AND($B432&lt;&gt;"",$B439&lt;&gt;"",$H448&lt;=$G448)),"Invalid Lineup","")</f>
        <v/>
      </c>
      <c r="N437" s="263"/>
      <c r="O437" s="263"/>
      <c r="P437" s="264"/>
      <c r="Q437" s="137" t="str">
        <f>IF($L437=$L439,IF($K437=$K439,IF($J437&lt;&gt;"",IF($J437&gt;$J439,"W","L"),""),IF($K437&gt;$K439,"W","L")),IF($L437&gt;$L439,"W","L"))</f>
        <v/>
      </c>
      <c r="R437" s="20"/>
      <c r="S437" s="20"/>
      <c r="T437" s="20"/>
      <c r="U437" s="20"/>
      <c r="V437" s="20"/>
      <c r="W437" s="20"/>
      <c r="X437" s="26"/>
      <c r="Y437" s="26"/>
      <c r="Z437" s="20"/>
      <c r="AA437" s="20"/>
      <c r="AB437" s="20"/>
      <c r="AC437" s="20"/>
      <c r="AD437" s="20"/>
      <c r="AE437" s="20"/>
      <c r="AF437" s="27"/>
    </row>
    <row r="438" spans="1:32" ht="12.75" customHeight="1">
      <c r="A438" s="301"/>
      <c r="B438" s="295"/>
      <c r="C438" s="296"/>
      <c r="D438" s="296"/>
      <c r="E438" s="296"/>
      <c r="F438" s="296"/>
      <c r="G438" s="296"/>
      <c r="H438" s="270"/>
      <c r="I438" s="270"/>
      <c r="J438" s="270"/>
      <c r="K438" s="270"/>
      <c r="L438" s="270"/>
      <c r="M438" s="262"/>
      <c r="N438" s="263"/>
      <c r="O438" s="263"/>
      <c r="P438" s="264"/>
      <c r="Q438" s="139" t="str">
        <f>IF($Q437&lt;&gt;"",IF($Q437="W",IF(SUM(IF($H437&gt;$H439,1,0),IF($I437&gt;$I439,1,0),IF($J437&gt;$J439,1,0),IF($K437&gt;$K439,1,0),IF($L437&gt;$L439,1,0))&lt;&gt;3,"Error",""),""),"")</f>
        <v/>
      </c>
      <c r="R438" s="328" t="str">
        <f>$A418</f>
        <v/>
      </c>
      <c r="S438" s="328"/>
      <c r="T438" s="328"/>
      <c r="U438" s="328"/>
      <c r="V438" s="328"/>
      <c r="W438" s="328"/>
      <c r="X438" s="256" t="str">
        <f>CONCATENATE("(",$B417," vs ",$K417,")")</f>
        <v>(E vs F)</v>
      </c>
      <c r="Y438" s="256"/>
      <c r="Z438" s="328" t="str">
        <f>$J418</f>
        <v/>
      </c>
      <c r="AA438" s="328"/>
      <c r="AB438" s="328"/>
      <c r="AC438" s="328"/>
      <c r="AD438" s="328"/>
      <c r="AE438" s="328"/>
      <c r="AF438" s="100"/>
    </row>
    <row r="439" spans="1:32" ht="12.75" customHeight="1">
      <c r="A439" s="300" t="str">
        <f>K417</f>
        <v>F</v>
      </c>
      <c r="B439" s="293" t="str">
        <f ca="1">IF(AND(OFFSET($AO$1,$L417-1,8,1,1),$A418&lt;&gt;"",$J418&lt;&gt;""),CHOOSE($L417,$AQ$1,$AQ$2,$AQ$3,$AQ$4,$AQ$5,$AQ$6,$AQ$7,$AQ$8,$AQ$9,$AQ$10,$AQ$11,$AQ$12),"")</f>
        <v/>
      </c>
      <c r="C439" s="294"/>
      <c r="D439" s="294"/>
      <c r="E439" s="294"/>
      <c r="F439" s="294"/>
      <c r="G439" s="294"/>
      <c r="H439" s="265"/>
      <c r="I439" s="265"/>
      <c r="J439" s="265"/>
      <c r="K439" s="265"/>
      <c r="L439" s="265"/>
      <c r="M439" s="267" t="s">
        <v>1237</v>
      </c>
      <c r="N439" s="268"/>
      <c r="O439" s="268"/>
      <c r="P439" s="269"/>
      <c r="Q439" s="137" t="str">
        <f>IF($Q437&lt;&gt;"",IF($Q437="W","L","W"),"")</f>
        <v/>
      </c>
      <c r="R439" s="100"/>
      <c r="S439" s="100"/>
      <c r="T439" s="100"/>
      <c r="U439" s="100"/>
      <c r="V439" s="100"/>
      <c r="W439" s="100"/>
      <c r="X439" s="100"/>
      <c r="Y439" s="100"/>
      <c r="Z439" s="100"/>
      <c r="AA439" s="100"/>
      <c r="AB439" s="100"/>
      <c r="AC439" s="100"/>
      <c r="AD439" s="100"/>
      <c r="AE439" s="100"/>
      <c r="AF439" s="100"/>
    </row>
    <row r="440" spans="1:32" ht="12.75" customHeight="1">
      <c r="A440" s="301"/>
      <c r="B440" s="295"/>
      <c r="C440" s="296"/>
      <c r="D440" s="296"/>
      <c r="E440" s="296"/>
      <c r="F440" s="296"/>
      <c r="G440" s="296"/>
      <c r="H440" s="270"/>
      <c r="I440" s="270"/>
      <c r="J440" s="266"/>
      <c r="K440" s="266"/>
      <c r="L440" s="266"/>
      <c r="M440" s="267"/>
      <c r="N440" s="268"/>
      <c r="O440" s="268"/>
      <c r="P440" s="269"/>
      <c r="Q440" s="139" t="str">
        <f>IF($Q439&lt;&gt;"",IF($Q439="W",IF(SUM(IF($H439&gt;$H437,1,0),IF($I439&gt;$I437,1,0),IF($J439&gt;$J437,1,0),IF($K439&gt;$K437,1,0),IF($L439&gt;$L437,1,0))&lt;&gt;3,"Error",""),""),"")</f>
        <v/>
      </c>
      <c r="R440" s="43" t="str">
        <f>$A435</f>
        <v>3rd Singles</v>
      </c>
      <c r="S440" s="43"/>
      <c r="T440" s="43"/>
      <c r="U440" s="43"/>
      <c r="V440" s="43"/>
      <c r="W440" s="43"/>
      <c r="X440" s="43"/>
      <c r="Y440" s="43"/>
      <c r="Z440" s="43"/>
      <c r="AA440" s="43"/>
      <c r="AB440" s="43"/>
      <c r="AC440" s="43"/>
      <c r="AD440" s="43"/>
      <c r="AE440" s="43"/>
      <c r="AF440" s="43"/>
    </row>
    <row r="441" spans="1:32" ht="12.75" customHeight="1">
      <c r="Q441" s="7"/>
      <c r="R441" s="60" t="s">
        <v>1228</v>
      </c>
      <c r="S441" s="101" t="s">
        <v>1126</v>
      </c>
      <c r="T441" s="102"/>
      <c r="U441" s="102"/>
      <c r="V441" s="102"/>
      <c r="W441" s="102"/>
      <c r="X441" s="103"/>
      <c r="Y441" s="60">
        <v>1</v>
      </c>
      <c r="Z441" s="60">
        <v>2</v>
      </c>
      <c r="AA441" s="60">
        <v>3</v>
      </c>
      <c r="AB441" s="60">
        <v>4</v>
      </c>
      <c r="AC441" s="60">
        <v>5</v>
      </c>
      <c r="AD441" s="104"/>
      <c r="AE441" s="105"/>
      <c r="AF441" s="106"/>
    </row>
    <row r="442" spans="1:32" ht="12.75" customHeight="1">
      <c r="A442" s="21" t="s">
        <v>1236</v>
      </c>
      <c r="H442" s="136" t="str">
        <f ca="1">IF($Q444&lt;&gt;"",IF(AND($B444&lt;&gt;"Missing Player",$B446&lt;&gt;"Missing Player"),IF(AND(AND($H444&gt;-1,$H446&gt;-1),OR($H444&gt;10,$H446&gt;10),ABS($H444-$H446)&gt;1,IF(OR($H444&gt;11,$H446&gt;11),ABS($H444-$H446)=2,TRUE),$H444=INT($H444),$H446=INT($H446)),"","Error"),""),"")</f>
        <v/>
      </c>
      <c r="I442" s="136" t="str">
        <f ca="1">IF($Q444&lt;&gt;"",IF(AND($B444&lt;&gt;"Missing Player",$B446&lt;&gt;"Missing Player"),IF(AND(AND($I444&gt;-1,$I446&gt;-1),OR($I444&gt;10,$I446&gt;10),ABS($I444-$I446)&gt;1,IF(OR($I444&gt;11,$I446&gt;11),ABS($I444-$I446)=2,TRUE),$I444=INT($I444),$I446=INT($I446)),"","Error"),""),"")</f>
        <v/>
      </c>
      <c r="J442" s="136" t="str">
        <f ca="1">IF($Q444&lt;&gt;"",IF(AND($B444&lt;&gt;"Missing Player",$B446&lt;&gt;"Missing Player"),IF(AND(AND($J444&gt;-1,$J446&gt;-1),OR($J444&gt;10,$J446&gt;10),ABS($J444-$J446)&gt;1,IF(OR($J444&gt;11,$J446&gt;11),ABS($J444-$J446)=2,TRUE),$J444=INT($J444),$J446=INT($J446)),"","Error"),""),"")</f>
        <v/>
      </c>
      <c r="K442" s="136" t="str">
        <f ca="1">IF($Q444&lt;&gt;"",IF(AND($K444&lt;&gt;"",$K446&lt;&gt;""), IF(AND(AND($K444&gt;-1,$K446&gt;-1),OR($K444&gt;10,$K446&gt;10),ABS($K444-$K446)&gt;1,IF(OR($K444&gt;11,$K446&gt;11),ABS($K444-$K446)=2,TRUE),$K444=INT($K444),$K446=INT($K446)),"","Error"),""),"")</f>
        <v/>
      </c>
      <c r="L442" s="136" t="str">
        <f ca="1">IF($Q444&lt;&gt;"",IF(AND($L444&lt;&gt;"",$L446&lt;&gt;""), IF(AND(AND($L444&gt;-1,$L446&gt;-1),OR($L444&gt;10,$L446&gt;10),ABS($L444-$L446)&gt;1,IF(OR($L444&gt;11,$L446&gt;11),ABS($L444-$L446)=2,TRUE),$L444=INT($L444),$L446=INT($L446)),"","Error"),""),"")</f>
        <v/>
      </c>
      <c r="Q442" s="7"/>
      <c r="R442" s="300" t="str">
        <f>$B417</f>
        <v>E</v>
      </c>
      <c r="S442" s="331" t="str">
        <f ca="1">IF($B437&lt;&gt;"",$B437,"")</f>
        <v/>
      </c>
      <c r="T442" s="332"/>
      <c r="U442" s="332"/>
      <c r="V442" s="332"/>
      <c r="W442" s="332"/>
      <c r="X442" s="333"/>
      <c r="Y442" s="329"/>
      <c r="Z442" s="329"/>
      <c r="AA442" s="329"/>
      <c r="AB442" s="329"/>
      <c r="AC442" s="329"/>
      <c r="AD442" s="345"/>
      <c r="AE442" s="358"/>
      <c r="AF442" s="359"/>
    </row>
    <row r="443" spans="1:32" ht="12.75" customHeight="1">
      <c r="A443" s="5" t="s">
        <v>1228</v>
      </c>
      <c r="B443" s="290" t="s">
        <v>1126</v>
      </c>
      <c r="C443" s="291"/>
      <c r="D443" s="291"/>
      <c r="E443" s="291"/>
      <c r="F443" s="291"/>
      <c r="G443" s="292"/>
      <c r="H443" s="5">
        <v>1</v>
      </c>
      <c r="I443" s="5">
        <v>2</v>
      </c>
      <c r="J443" s="5">
        <v>3</v>
      </c>
      <c r="K443" s="5">
        <v>4</v>
      </c>
      <c r="L443" s="5">
        <v>5</v>
      </c>
      <c r="M443" s="271"/>
      <c r="N443" s="272"/>
      <c r="O443" s="272"/>
      <c r="P443" s="273"/>
      <c r="Q443" s="7"/>
      <c r="R443" s="330"/>
      <c r="S443" s="334"/>
      <c r="T443" s="335"/>
      <c r="U443" s="335"/>
      <c r="V443" s="335"/>
      <c r="W443" s="335"/>
      <c r="X443" s="336"/>
      <c r="Y443" s="330"/>
      <c r="Z443" s="330"/>
      <c r="AA443" s="330"/>
      <c r="AB443" s="330"/>
      <c r="AC443" s="330"/>
      <c r="AD443" s="360"/>
      <c r="AE443" s="361"/>
      <c r="AF443" s="362"/>
    </row>
    <row r="444" spans="1:32" ht="12.75" customHeight="1">
      <c r="A444" s="300" t="str">
        <f>B417</f>
        <v>E</v>
      </c>
      <c r="B444" s="293" t="str">
        <f ca="1">IF(AND(OFFSET($AO$1,$C417-1,8,1,1),$A418&lt;&gt;"",$J418&lt;&gt;""),CHOOSE($C417,$AR$1,$AR$2,$AR$3,$AR$4,$AR$5,$AR$6,$AR$7,$AR$8,$AR$9,$AR$10,$AR$11,$AR$12),"")</f>
        <v/>
      </c>
      <c r="C444" s="294"/>
      <c r="D444" s="294"/>
      <c r="E444" s="294"/>
      <c r="F444" s="294"/>
      <c r="G444" s="294"/>
      <c r="H444" s="265"/>
      <c r="I444" s="265"/>
      <c r="J444" s="265"/>
      <c r="K444" s="265"/>
      <c r="L444" s="265" t="str">
        <f ca="1">IF(AND($B444&lt;&gt;"",$Q423&lt;&gt;""),IF($B444="Missing Player",0,IF($B446="Missing Player",11,"")),"")</f>
        <v/>
      </c>
      <c r="M444" s="262" t="str">
        <f ca="1">IF(OR(AND($B437&lt;&gt;"",$B444&lt;&gt;"",$E448&lt;=$D448),AND($B439&lt;&gt;"",$B446&lt;&gt;"",$I448&lt;=$H448)),"Invalid Lineup","")</f>
        <v/>
      </c>
      <c r="N444" s="263"/>
      <c r="O444" s="263"/>
      <c r="P444" s="264"/>
      <c r="Q444" s="137" t="str">
        <f ca="1">IF($L444=$L446,IF($K444=$K446,IF($J444&lt;&gt;"",IF($J444&gt;$J446,"W","L"),""),IF($K444&gt;$K446,"W","L")),IF($L444&gt;$L446,"W","L"))</f>
        <v/>
      </c>
      <c r="R444" s="300" t="str">
        <f>$K417</f>
        <v>F</v>
      </c>
      <c r="S444" s="331" t="str">
        <f ca="1">IF($B439&lt;&gt;"",$B439,"")</f>
        <v/>
      </c>
      <c r="T444" s="332"/>
      <c r="U444" s="332"/>
      <c r="V444" s="332"/>
      <c r="W444" s="332"/>
      <c r="X444" s="333"/>
      <c r="Y444" s="329"/>
      <c r="Z444" s="329"/>
      <c r="AA444" s="329"/>
      <c r="AB444" s="329"/>
      <c r="AC444" s="351"/>
      <c r="AD444" s="363" t="s">
        <v>1237</v>
      </c>
      <c r="AE444" s="358"/>
      <c r="AF444" s="359"/>
    </row>
    <row r="445" spans="1:32" ht="12.75" customHeight="1">
      <c r="A445" s="301"/>
      <c r="B445" s="295"/>
      <c r="C445" s="296"/>
      <c r="D445" s="296"/>
      <c r="E445" s="296"/>
      <c r="F445" s="296"/>
      <c r="G445" s="296"/>
      <c r="H445" s="270"/>
      <c r="I445" s="270"/>
      <c r="J445" s="270"/>
      <c r="K445" s="270"/>
      <c r="L445" s="270"/>
      <c r="M445" s="262"/>
      <c r="N445" s="263"/>
      <c r="O445" s="263"/>
      <c r="P445" s="264"/>
      <c r="Q445" s="139" t="str">
        <f ca="1">IF($Q444&lt;&gt;"",IF($B446&lt;&gt;"Missing Player",IF($Q444="W",IF(SUM(IF($H444&gt;$H446,1,0),IF($I444&gt;$I446,1,0),IF($J444&gt;$J446,1,0),IF($K444&gt;$K446,1,0),IF($L444&gt;$L446,1,0))&lt;&gt;3,"Error",""),""),""),"")</f>
        <v/>
      </c>
      <c r="R445" s="330"/>
      <c r="S445" s="334"/>
      <c r="T445" s="335"/>
      <c r="U445" s="335"/>
      <c r="V445" s="335"/>
      <c r="W445" s="335"/>
      <c r="X445" s="336"/>
      <c r="Y445" s="330"/>
      <c r="Z445" s="330"/>
      <c r="AA445" s="330"/>
      <c r="AB445" s="330"/>
      <c r="AC445" s="330"/>
      <c r="AD445" s="360"/>
      <c r="AE445" s="361"/>
      <c r="AF445" s="362"/>
    </row>
    <row r="446" spans="1:32" ht="12.75" customHeight="1">
      <c r="A446" s="300" t="str">
        <f>K417</f>
        <v>F</v>
      </c>
      <c r="B446" s="293" t="str">
        <f ca="1">IF(AND(OFFSET($AO$1,$L417-1,8,1,1),$A418&lt;&gt;"",$J418&lt;&gt;""),CHOOSE($L417,$AR$1,$AR$2,$AR$3,$AR$4,$AR$5,$AR$6,$AR$7,$AR$8,$AR$9,$AR$10,$AR$11,$AR$12),"")</f>
        <v/>
      </c>
      <c r="C446" s="294"/>
      <c r="D446" s="294"/>
      <c r="E446" s="294"/>
      <c r="F446" s="294"/>
      <c r="G446" s="294"/>
      <c r="H446" s="265"/>
      <c r="I446" s="265"/>
      <c r="J446" s="265"/>
      <c r="K446" s="265"/>
      <c r="L446" s="265" t="str">
        <f ca="1">IF(AND($B446&lt;&gt;"",$Q423&lt;&gt;""),IF($B446="Missing Player",0,IF($B444="Missing Player",11,"")),"")</f>
        <v/>
      </c>
      <c r="M446" s="267" t="s">
        <v>1237</v>
      </c>
      <c r="N446" s="268"/>
      <c r="O446" s="268"/>
      <c r="P446" s="269"/>
      <c r="Q446" s="137" t="str">
        <f ca="1">IF($Q444&lt;&gt;"",IF($Q444="W","L","W"),"")</f>
        <v/>
      </c>
      <c r="R446" s="112"/>
      <c r="S446" s="98"/>
      <c r="T446" s="108"/>
      <c r="U446" s="108"/>
      <c r="V446" s="108"/>
      <c r="W446" s="108"/>
      <c r="X446" s="108"/>
      <c r="Y446" s="113"/>
      <c r="Z446" s="113"/>
      <c r="AA446" s="113"/>
      <c r="AB446" s="113"/>
      <c r="AC446" s="113"/>
      <c r="AD446" s="107"/>
      <c r="AE446" s="109"/>
      <c r="AF446" s="109"/>
    </row>
    <row r="447" spans="1:32" ht="12.75" customHeight="1">
      <c r="A447" s="301"/>
      <c r="B447" s="295"/>
      <c r="C447" s="296"/>
      <c r="D447" s="296"/>
      <c r="E447" s="296"/>
      <c r="F447" s="296"/>
      <c r="G447" s="296"/>
      <c r="H447" s="270"/>
      <c r="I447" s="270"/>
      <c r="J447" s="266"/>
      <c r="K447" s="266"/>
      <c r="L447" s="266"/>
      <c r="M447" s="267"/>
      <c r="N447" s="268"/>
      <c r="O447" s="268"/>
      <c r="P447" s="269"/>
      <c r="Q447" s="139" t="str">
        <f ca="1">IF($Q446&lt;&gt;"",IF($B444&lt;&gt;"Missing Player",IF($Q446="W",IF(SUM(IF($H446&gt;$H444,1,0),IF($I446&gt;$I444,1,0),IF($J446&gt;$J444,1,0),IF($K446&gt;$K444,1,0),IF($L446&gt;$L444,1,0))&lt;&gt;3,"Error",""),""),""),"")</f>
        <v/>
      </c>
      <c r="R447" s="114"/>
      <c r="S447" s="115"/>
      <c r="T447" s="115"/>
      <c r="U447" s="115"/>
      <c r="V447" s="115"/>
      <c r="W447" s="115"/>
      <c r="X447" s="115"/>
      <c r="Y447" s="114"/>
      <c r="Z447" s="114"/>
      <c r="AA447" s="114"/>
      <c r="AB447" s="114"/>
      <c r="AC447" s="114"/>
      <c r="AD447" s="114"/>
      <c r="AE447" s="114"/>
      <c r="AF447" s="114"/>
    </row>
    <row r="448" spans="1:32" ht="12.75" customHeight="1">
      <c r="B448" s="140" t="str">
        <f ca="1">IF(ISERROR(VLOOKUP($B423&amp;"("&amp;$B417&amp;")",Players!$S$4:$T$132,2,FALSE)),"",VLOOKUP($B423&amp;"("&amp;$B417&amp;")",Players!$S$4:$T$132,2,FALSE))</f>
        <v>E1</v>
      </c>
      <c r="C448" s="140" t="str">
        <f ca="1">IF(ISERROR(VLOOKUP($B430&amp;"("&amp;$B417&amp;")",Players!$S$4:$T$132,2,FALSE)),"",VLOOKUP($B430&amp;"("&amp;$B417&amp;")",Players!$S$4:$T$132,2,FALSE))</f>
        <v>E1</v>
      </c>
      <c r="D448" s="141" t="str">
        <f ca="1">IF(ISERROR(VLOOKUP($B437&amp;"("&amp;$B417&amp;")",Players!$S$4:$T$132,2,FALSE)),"",VLOOKUP($B437&amp;"("&amp;$B417&amp;")",Players!$S$4:$T$132,2,FALSE))</f>
        <v>E1</v>
      </c>
      <c r="E448" s="141" t="str">
        <f ca="1">IF(ISERROR(VLOOKUP($B444&amp;"("&amp;$B417&amp;")",Players!$S$4:$T$132,2,FALSE)),"",VLOOKUP($B444&amp;"("&amp;$B417&amp;")",Players!$S$4:$T$132,2,FALSE))</f>
        <v>E1</v>
      </c>
      <c r="F448" s="141" t="str">
        <f ca="1">IF(ISERROR(VLOOKUP($B425&amp;"("&amp;$K417&amp;")",Players!$S$4:$T$132,2,FALSE)),"",VLOOKUP($B425&amp;"("&amp;$K417&amp;")",Players!$S$4:$T$132,2,FALSE))</f>
        <v>F1</v>
      </c>
      <c r="G448" s="141" t="str">
        <f ca="1">IF(ISERROR(VLOOKUP($B432&amp;"("&amp;$K417&amp;")",Players!$S$4:$T$132,2,FALSE)),"",VLOOKUP($B432&amp;"("&amp;$K417&amp;")",Players!$S$4:$T$132,2,FALSE))</f>
        <v>F1</v>
      </c>
      <c r="H448" s="141" t="str">
        <f ca="1">IF(ISERROR(VLOOKUP($B439&amp;"("&amp;$K417&amp;")",Players!$S$4:$T$132,2,FALSE)),"",VLOOKUP($B439&amp;"("&amp;$K417&amp;")",Players!$S$4:$T$132,2,FALSE))</f>
        <v>F1</v>
      </c>
      <c r="I448" s="141" t="str">
        <f ca="1">IF(ISERROR(VLOOKUP($B446&amp;"("&amp;$K417&amp;")",Players!$S$4:$T$132,2,FALSE)),"",VLOOKUP($B446&amp;"("&amp;$K417&amp;")",Players!$S$4:$T$132,2,FALSE))</f>
        <v>F1</v>
      </c>
      <c r="Q448" s="7"/>
      <c r="R448" s="50"/>
      <c r="S448" s="116"/>
      <c r="T448" s="115"/>
      <c r="U448" s="115"/>
      <c r="V448" s="115"/>
      <c r="W448" s="115"/>
      <c r="X448" s="115"/>
      <c r="Y448" s="99"/>
      <c r="Z448" s="99"/>
      <c r="AA448" s="99"/>
      <c r="AB448" s="99"/>
      <c r="AC448" s="117"/>
      <c r="AD448" s="118"/>
      <c r="AE448" s="114"/>
      <c r="AF448" s="114"/>
    </row>
    <row r="449" spans="1:32" ht="12.75" customHeight="1">
      <c r="A449" s="21" t="s">
        <v>1225</v>
      </c>
      <c r="H449" s="136" t="str">
        <f ca="1">IF($Q451&lt;&gt;"",IF(AND($B452&lt;&gt;"Missing Player",$B454&lt;&gt;"Missing Player"),IF(AND(AND($H451&gt;-1,$H453&gt;-1),OR($H451&gt;10,$H453&gt;10),ABS($H451-$H453)&gt;1,IF(OR($H451&gt;11,$H453&gt;11),ABS($H451-$H453)=2,TRUE),$H451=INT($H451),$H453=INT($H453)),"","Error"),""),"")</f>
        <v/>
      </c>
      <c r="I449" s="136" t="str">
        <f ca="1">IF($Q451&lt;&gt;"",IF(AND($B452&lt;&gt;"Missing Player",$B454&lt;&gt;"Missing Player"),IF(AND(AND($I451&gt;-1,$I453&gt;-1),OR($I451&gt;10,$I453&gt;10),ABS($I451-$I453)&gt;1,IF(OR($I451&gt;11,$I453&gt;11),ABS($I451-$I453)=2,TRUE),$I451=INT($I451),$I453=INT($I453)),"","Error"),""),"")</f>
        <v/>
      </c>
      <c r="J449" s="136" t="str">
        <f ca="1">IF($Q451&lt;&gt;"",IF(AND($B452&lt;&gt;"Missing Player",$B454&lt;&gt;"Missing Player"),IF(AND(AND($J451&gt;-1,$J453&gt;-1),OR($J451&gt;10,$J453&gt;10),ABS($J451-$J453)&gt;1,IF(OR($J451&gt;11,$J453&gt;11),ABS($J451-$J453)=2,TRUE),$J451=INT($J451),$J453=INT($J453)),"","Error"),""),"")</f>
        <v/>
      </c>
      <c r="K449" s="136" t="str">
        <f ca="1">IF($Q451&lt;&gt;"",IF(AND($K451&lt;&gt;"",$K453&lt;&gt;""), IF(AND(AND($K451&gt;-1,$K453&gt;-1),OR($K451&gt;10,$K453&gt;10),ABS($K451-$K453)&gt;1,IF(OR($K451&gt;11,$K453&gt;11),ABS($K451-$K453)=2,TRUE),$K451=INT($K451),$K453=INT($K453)),"","Error"),""),"")</f>
        <v/>
      </c>
      <c r="L449" s="136" t="str">
        <f ca="1">IF($Q451&lt;&gt;"",IF(AND($L451&lt;&gt;"",$L453&lt;&gt;""), IF(AND(AND($L451&gt;-1,$L453&gt;-1),OR($L451&gt;10,$L453&gt;10),ABS($L451-$L453)&gt;1,IF(OR($L451&gt;11,$L453&gt;11),ABS($L451-$L453)=2,TRUE),$L451=INT($L451),$L453=INT($L453)),"","Error"),""),"")</f>
        <v/>
      </c>
      <c r="Q449" s="7"/>
      <c r="R449" s="114"/>
      <c r="S449" s="115"/>
      <c r="T449" s="115"/>
      <c r="U449" s="115"/>
      <c r="V449" s="115"/>
      <c r="W449" s="115"/>
      <c r="X449" s="115"/>
      <c r="Y449" s="114"/>
      <c r="Z449" s="114"/>
      <c r="AA449" s="114"/>
      <c r="AB449" s="114"/>
      <c r="AC449" s="114"/>
      <c r="AD449" s="114"/>
      <c r="AE449" s="114"/>
      <c r="AF449" s="114"/>
    </row>
    <row r="450" spans="1:32" ht="12.75" customHeight="1">
      <c r="A450" s="5" t="s">
        <v>1228</v>
      </c>
      <c r="B450" s="290" t="s">
        <v>1126</v>
      </c>
      <c r="C450" s="291"/>
      <c r="D450" s="291"/>
      <c r="E450" s="291"/>
      <c r="F450" s="291"/>
      <c r="G450" s="292"/>
      <c r="H450" s="5">
        <v>1</v>
      </c>
      <c r="I450" s="5">
        <v>2</v>
      </c>
      <c r="J450" s="5">
        <v>3</v>
      </c>
      <c r="K450" s="5">
        <v>4</v>
      </c>
      <c r="L450" s="5">
        <v>5</v>
      </c>
      <c r="M450" s="271"/>
      <c r="N450" s="272"/>
      <c r="O450" s="272"/>
      <c r="P450" s="273"/>
      <c r="Q450" s="8"/>
      <c r="S450" s="24"/>
      <c r="T450" s="26"/>
    </row>
    <row r="451" spans="1:32" ht="12.75" customHeight="1">
      <c r="A451" s="300" t="str">
        <f>B417</f>
        <v>E</v>
      </c>
      <c r="B451" s="311" t="str">
        <f ca="1">IF($B423&lt;&gt;"",$B423,"")</f>
        <v/>
      </c>
      <c r="C451" s="312"/>
      <c r="D451" s="312"/>
      <c r="E451" s="312"/>
      <c r="F451" s="312"/>
      <c r="G451" s="313"/>
      <c r="H451" s="265"/>
      <c r="I451" s="265"/>
      <c r="J451" s="265"/>
      <c r="K451" s="265"/>
      <c r="L451" s="265" t="str">
        <f ca="1">IF($B444&lt;&gt;"",IF(AND($B444="Missing Player",$G455=2,$J455=2),0,IF(AND($B446="Missing Player",$G455=2,$J455=2),11,"")),"")</f>
        <v/>
      </c>
      <c r="M451" s="262" t="str">
        <f ca="1">IF(OR(AND($B451&lt;&gt;"",$B452&lt;&gt;"",$B451=$B452),AND($B453&lt;&gt;"",$B454&lt;&gt;"",$B453=$B454)),"Invalid Partner","")</f>
        <v/>
      </c>
      <c r="N451" s="263"/>
      <c r="O451" s="263"/>
      <c r="P451" s="264"/>
      <c r="Q451" s="138" t="str">
        <f ca="1">IF(L451=L453,IF(K451=K453,IF(J451&lt;&gt;"",IF(J451&gt;J453,"W","L"),""),IF(K451&gt;K453,"W","L")),IF(L451&gt;L453,"W","L"))</f>
        <v/>
      </c>
      <c r="S451" s="24"/>
      <c r="T451" s="26"/>
    </row>
    <row r="452" spans="1:32" ht="12.75" customHeight="1">
      <c r="A452" s="324"/>
      <c r="B452" s="308" t="str">
        <f ca="1">IF($B444="Missing Player",$B444,"")</f>
        <v/>
      </c>
      <c r="C452" s="309"/>
      <c r="D452" s="309"/>
      <c r="E452" s="309"/>
      <c r="F452" s="309"/>
      <c r="G452" s="310"/>
      <c r="H452" s="270"/>
      <c r="I452" s="270"/>
      <c r="J452" s="270"/>
      <c r="K452" s="270"/>
      <c r="L452" s="270"/>
      <c r="M452" s="262"/>
      <c r="N452" s="263"/>
      <c r="O452" s="263"/>
      <c r="P452" s="264"/>
      <c r="Q452" s="139" t="str">
        <f ca="1">IF($Q451&lt;&gt;"",IF($B454&lt;&gt;"Missing Player",IF($Q451="W",IF(SUM(IF($H451&gt;$H453,1,0),IF($I451&gt;$I453,1,0),IF($J451&gt;$J453,1,0),IF($K451&gt;$K453,1,0),IF($L451&gt;$L453,1,0))&lt;&gt;3,"Error",""),""),""),"")</f>
        <v/>
      </c>
      <c r="R452" s="328" t="str">
        <f>$A418</f>
        <v/>
      </c>
      <c r="S452" s="328"/>
      <c r="T452" s="328"/>
      <c r="U452" s="328"/>
      <c r="V452" s="328"/>
      <c r="W452" s="328"/>
      <c r="X452" s="256" t="str">
        <f>CONCATENATE("(",$B417," vs ",$K417,")")</f>
        <v>(E vs F)</v>
      </c>
      <c r="Y452" s="256"/>
      <c r="Z452" s="328" t="str">
        <f>$J418</f>
        <v/>
      </c>
      <c r="AA452" s="328"/>
      <c r="AB452" s="328"/>
      <c r="AC452" s="328"/>
      <c r="AD452" s="328"/>
      <c r="AE452" s="328"/>
      <c r="AF452" s="43"/>
    </row>
    <row r="453" spans="1:32" ht="12.75" customHeight="1">
      <c r="A453" s="325" t="str">
        <f>K417</f>
        <v>F</v>
      </c>
      <c r="B453" s="311" t="str">
        <f ca="1">IF($B425&lt;&gt;"",$B425,"")</f>
        <v/>
      </c>
      <c r="C453" s="312"/>
      <c r="D453" s="312"/>
      <c r="E453" s="312"/>
      <c r="F453" s="312"/>
      <c r="G453" s="313"/>
      <c r="H453" s="265"/>
      <c r="I453" s="265"/>
      <c r="J453" s="265"/>
      <c r="K453" s="265"/>
      <c r="L453" s="265" t="str">
        <f ca="1">IF($B446&lt;&gt;"",IF(AND($B446="Missing Player",$G455=2,$J455=2),0,IF(AND($B444="Missing Player",$G455=2,$J455=2),11,"")),"")</f>
        <v/>
      </c>
      <c r="M453" s="267" t="s">
        <v>1237</v>
      </c>
      <c r="N453" s="268"/>
      <c r="O453" s="268"/>
      <c r="P453" s="269"/>
      <c r="Q453" s="138" t="str">
        <f ca="1">IF(Q451&lt;&gt;"",IF(Q451="W","L","W"),"")</f>
        <v/>
      </c>
      <c r="R453" s="43"/>
      <c r="S453" s="43"/>
      <c r="T453" s="43"/>
      <c r="U453" s="43"/>
      <c r="V453" s="43"/>
      <c r="W453" s="43"/>
      <c r="X453" s="43"/>
      <c r="Y453" s="43"/>
      <c r="Z453" s="43"/>
      <c r="AA453" s="43"/>
      <c r="AB453" s="43"/>
      <c r="AC453" s="43"/>
      <c r="AD453" s="43"/>
      <c r="AE453" s="43"/>
      <c r="AF453" s="43"/>
    </row>
    <row r="454" spans="1:32" ht="12.75" customHeight="1">
      <c r="A454" s="324"/>
      <c r="B454" s="308" t="str">
        <f ca="1">IF($B446="Missing Player",$B446,"")</f>
        <v/>
      </c>
      <c r="C454" s="309"/>
      <c r="D454" s="309"/>
      <c r="E454" s="309"/>
      <c r="F454" s="309"/>
      <c r="G454" s="310"/>
      <c r="H454" s="270"/>
      <c r="I454" s="270"/>
      <c r="J454" s="266"/>
      <c r="K454" s="266"/>
      <c r="L454" s="266"/>
      <c r="M454" s="267"/>
      <c r="N454" s="268"/>
      <c r="O454" s="268"/>
      <c r="P454" s="269"/>
      <c r="Q454" s="139" t="str">
        <f ca="1">IF($Q453&lt;&gt;"",IF($B452&lt;&gt;"Missing Player",IF($Q453="W",IF(SUM(IF($H453&gt;$H451,1,0),IF($I453&gt;$I451,1,0),IF($J453&gt;$J451,1,0),IF($K453&gt;$K451,1,0),IF($L453&gt;$L451,1,0))&lt;&gt;3,"Error",""),""),""),"")</f>
        <v/>
      </c>
      <c r="R454" s="43" t="str">
        <f>A442</f>
        <v>4th Singles</v>
      </c>
      <c r="S454" s="43"/>
      <c r="T454" s="43"/>
      <c r="U454" s="43"/>
      <c r="V454" s="43"/>
      <c r="W454" s="43"/>
      <c r="X454" s="43"/>
      <c r="Y454" s="43"/>
      <c r="Z454" s="43"/>
      <c r="AA454" s="43"/>
      <c r="AB454" s="43"/>
      <c r="AC454" s="43"/>
      <c r="AD454" s="43"/>
      <c r="AE454" s="43"/>
      <c r="AF454" s="43"/>
    </row>
    <row r="455" spans="1:32" ht="12.75" customHeight="1">
      <c r="G455" s="66">
        <f ca="1">COUNTIF($Q423:$Q423,"W")+COUNTIF($Q430:$Q430,"W")+COUNTIF($Q437:$Q437,"W")+COUNTIF($Q444:$Q444,"W")</f>
        <v>0</v>
      </c>
      <c r="J455" s="66">
        <f ca="1">COUNTIF($Q425:$Q425,"W")+COUNTIF($Q432:$Q432,"W")+COUNTIF($Q439:$Q439,"W")+COUNTIF($Q446:$Q446,"W")</f>
        <v>0</v>
      </c>
      <c r="R455" s="60" t="s">
        <v>1228</v>
      </c>
      <c r="S455" s="339" t="s">
        <v>1126</v>
      </c>
      <c r="T455" s="340"/>
      <c r="U455" s="340"/>
      <c r="V455" s="340"/>
      <c r="W455" s="340"/>
      <c r="X455" s="341"/>
      <c r="Y455" s="60">
        <v>1</v>
      </c>
      <c r="Z455" s="60">
        <v>2</v>
      </c>
      <c r="AA455" s="60">
        <v>3</v>
      </c>
      <c r="AB455" s="60">
        <v>4</v>
      </c>
      <c r="AC455" s="60">
        <v>5</v>
      </c>
      <c r="AD455" s="342"/>
      <c r="AE455" s="343"/>
      <c r="AF455" s="344"/>
    </row>
    <row r="456" spans="1:32" ht="12.75" customHeight="1" thickBot="1">
      <c r="F456" s="246" t="s">
        <v>1238</v>
      </c>
      <c r="G456" s="246"/>
      <c r="H456" s="246"/>
      <c r="I456" s="246"/>
      <c r="J456" s="246"/>
      <c r="K456" s="246"/>
      <c r="R456" s="300" t="str">
        <f>B417</f>
        <v>E</v>
      </c>
      <c r="S456" s="331" t="str">
        <f ca="1">IF($B444&lt;&gt;"",$B444,"")</f>
        <v/>
      </c>
      <c r="T456" s="353"/>
      <c r="U456" s="353"/>
      <c r="V456" s="353"/>
      <c r="W456" s="353"/>
      <c r="X456" s="354"/>
      <c r="Y456" s="329"/>
      <c r="Z456" s="329"/>
      <c r="AA456" s="351"/>
      <c r="AB456" s="351"/>
      <c r="AC456" s="351"/>
      <c r="AD456" s="345"/>
      <c r="AE456" s="346"/>
      <c r="AF456" s="347"/>
    </row>
    <row r="457" spans="1:32" ht="12.75" customHeight="1">
      <c r="A457" s="22"/>
      <c r="B457" s="22"/>
      <c r="C457" s="22"/>
      <c r="D457" s="22"/>
      <c r="E457" s="22"/>
      <c r="G457" s="304" t="str">
        <f>B417</f>
        <v>E</v>
      </c>
      <c r="H457" s="305"/>
      <c r="I457" s="302" t="str">
        <f>K417</f>
        <v>F</v>
      </c>
      <c r="J457" s="303"/>
      <c r="L457" s="22"/>
      <c r="M457" s="22"/>
      <c r="N457" s="22"/>
      <c r="O457" s="22"/>
      <c r="P457" s="22"/>
      <c r="R457" s="301"/>
      <c r="S457" s="355"/>
      <c r="T457" s="356"/>
      <c r="U457" s="356"/>
      <c r="V457" s="356"/>
      <c r="W457" s="356"/>
      <c r="X457" s="357"/>
      <c r="Y457" s="338"/>
      <c r="Z457" s="338"/>
      <c r="AA457" s="352"/>
      <c r="AB457" s="352"/>
      <c r="AC457" s="352"/>
      <c r="AD457" s="348"/>
      <c r="AE457" s="349"/>
      <c r="AF457" s="350"/>
    </row>
    <row r="458" spans="1:32" ht="12.75" customHeight="1" thickBot="1">
      <c r="A458" s="2" t="s">
        <v>1228</v>
      </c>
      <c r="B458" s="53" t="str">
        <f>B417</f>
        <v>E</v>
      </c>
      <c r="C458" s="3" t="s">
        <v>1226</v>
      </c>
      <c r="F458" s="66" t="str">
        <f>CONCATENATE($B417,"-",$K417)</f>
        <v>E-F</v>
      </c>
      <c r="G458" s="320" t="str">
        <f ca="1">IF(OR(Q423&lt;&gt;"",Q430&lt;&gt;"",Q437&lt;&gt;"",Q444&lt;&gt;"",Q451&lt;&gt;""),COUNTIF(Q423:Q423,"W")+COUNTIF(Q430:Q430,"W")+COUNTIF(Q437:Q437,"W")+COUNTIF(Q444:Q444,"W")+COUNTIF(Q451:Q451,"W"),"")</f>
        <v/>
      </c>
      <c r="H458" s="321"/>
      <c r="I458" s="322" t="str">
        <f ca="1">IF(OR(Q425&lt;&gt;"",Q432&lt;&gt;"",Q439&lt;&gt;"",Q446&lt;&gt;"",Q453&lt;&gt;""),COUNTIF(Q425:Q425,"W")+COUNTIF(Q432:Q432,"W")+COUNTIF(Q439:Q439,"W")+COUNTIF(Q446:Q446,"W")+COUNTIF(Q453:Q453,"W"),"")</f>
        <v/>
      </c>
      <c r="J458" s="323"/>
      <c r="L458" s="2" t="s">
        <v>1228</v>
      </c>
      <c r="M458" s="53" t="str">
        <f>K417</f>
        <v>F</v>
      </c>
      <c r="N458" s="3" t="s">
        <v>1226</v>
      </c>
      <c r="R458" s="300" t="str">
        <f>K417</f>
        <v>F</v>
      </c>
      <c r="S458" s="331" t="str">
        <f ca="1">IF($B446&lt;&gt;"",$B446,"")</f>
        <v/>
      </c>
      <c r="T458" s="332"/>
      <c r="U458" s="332"/>
      <c r="V458" s="332"/>
      <c r="W458" s="332"/>
      <c r="X458" s="333"/>
      <c r="Y458" s="329"/>
      <c r="Z458" s="329"/>
      <c r="AA458" s="351"/>
      <c r="AB458" s="351"/>
      <c r="AC458" s="351"/>
      <c r="AD458" s="363" t="s">
        <v>1237</v>
      </c>
      <c r="AE458" s="358"/>
      <c r="AF458" s="359"/>
    </row>
    <row r="459" spans="1:32" ht="12.75" customHeight="1">
      <c r="F459" s="25" t="s">
        <v>3996</v>
      </c>
      <c r="G459" s="23"/>
      <c r="H459" s="23"/>
      <c r="I459" s="23"/>
      <c r="J459" s="23"/>
      <c r="K459" s="24"/>
      <c r="R459" s="330"/>
      <c r="S459" s="334"/>
      <c r="T459" s="335"/>
      <c r="U459" s="335"/>
      <c r="V459" s="335"/>
      <c r="W459" s="335"/>
      <c r="X459" s="336"/>
      <c r="Y459" s="330"/>
      <c r="Z459" s="330"/>
      <c r="AA459" s="330"/>
      <c r="AB459" s="330"/>
      <c r="AC459" s="330"/>
      <c r="AD459" s="360"/>
      <c r="AE459" s="361"/>
      <c r="AF459" s="362"/>
    </row>
    <row r="460" spans="1:32" ht="12.75" customHeight="1">
      <c r="R460" s="1"/>
      <c r="S460" s="110"/>
      <c r="T460" s="110"/>
      <c r="U460" s="110"/>
      <c r="V460" s="110"/>
      <c r="W460" s="110"/>
      <c r="X460" s="111"/>
      <c r="Y460" s="111"/>
      <c r="Z460" s="111"/>
      <c r="AA460" s="111"/>
    </row>
    <row r="461" spans="1:32" ht="12.75" customHeight="1">
      <c r="F461" s="246" t="s">
        <v>4929</v>
      </c>
      <c r="G461" s="246"/>
      <c r="H461" s="246"/>
      <c r="I461" s="246"/>
      <c r="R461" s="1"/>
      <c r="S461" s="110"/>
      <c r="T461" s="110"/>
      <c r="U461" s="110"/>
      <c r="V461" s="110"/>
      <c r="W461" s="110"/>
      <c r="X461" s="111"/>
      <c r="Y461" s="111"/>
      <c r="Z461" s="111"/>
      <c r="AA461" s="111"/>
    </row>
    <row r="462" spans="1:32" ht="12.75" customHeight="1">
      <c r="F462" s="246" t="s">
        <v>4930</v>
      </c>
      <c r="G462" s="246"/>
      <c r="H462" s="246"/>
      <c r="I462" s="246"/>
      <c r="R462" s="1"/>
      <c r="S462" s="110"/>
      <c r="T462" s="110"/>
      <c r="U462" s="110"/>
      <c r="V462" s="110"/>
      <c r="W462" s="110"/>
      <c r="X462" s="111"/>
      <c r="Y462" s="111"/>
      <c r="Z462" s="111"/>
      <c r="AA462" s="111"/>
    </row>
    <row r="463" spans="1:32" ht="12.75" customHeight="1">
      <c r="K463" s="281" t="s">
        <v>1244</v>
      </c>
      <c r="L463" s="281"/>
      <c r="M463" s="281"/>
      <c r="N463" s="281"/>
      <c r="O463" s="281"/>
      <c r="P463" s="281"/>
      <c r="R463" s="1"/>
      <c r="S463" s="110"/>
      <c r="T463" s="110"/>
      <c r="U463" s="110"/>
      <c r="V463" s="110"/>
      <c r="W463" s="110"/>
      <c r="X463" s="111"/>
      <c r="Y463" s="111"/>
      <c r="Z463" s="111"/>
      <c r="AA463" s="111"/>
    </row>
    <row r="464" spans="1:32" ht="12.75" customHeight="1">
      <c r="A464" s="12" t="s">
        <v>1229</v>
      </c>
      <c r="B464" s="11"/>
      <c r="C464" s="11"/>
      <c r="D464" s="11" t="str">
        <f>Draw!$B$1</f>
        <v>Enter Division Name</v>
      </c>
      <c r="E464" s="11"/>
      <c r="F464" s="7"/>
      <c r="G464" s="6"/>
      <c r="H464" s="7"/>
      <c r="I464" s="11"/>
      <c r="J464" s="11"/>
      <c r="K464" s="11"/>
      <c r="L464" s="11"/>
      <c r="M464" s="281"/>
      <c r="N464" s="281"/>
      <c r="O464" s="281"/>
      <c r="P464" s="281"/>
      <c r="R464" s="1"/>
      <c r="S464" s="110"/>
      <c r="T464" s="110"/>
      <c r="U464" s="110"/>
      <c r="V464" s="110"/>
      <c r="W464" s="110"/>
      <c r="X464" s="111"/>
      <c r="Y464" s="111"/>
      <c r="Z464" s="111"/>
      <c r="AA464" s="111"/>
    </row>
    <row r="465" spans="1:32" ht="12.75" customHeight="1">
      <c r="A465" s="2" t="s">
        <v>1230</v>
      </c>
      <c r="D465" s="43" t="str">
        <f>Draw!$D$1</f>
        <v>Enter Hosting Location (City, ST)</v>
      </c>
      <c r="J465" s="43" t="str">
        <f ca="1">$J$6</f>
        <v>[NCTTA Teams Template (v2.06).xlsx]</v>
      </c>
      <c r="R465" s="1"/>
      <c r="S465" s="110"/>
      <c r="T465" s="110"/>
      <c r="U465" s="110"/>
      <c r="V465" s="110"/>
      <c r="W465" s="110"/>
      <c r="X465" s="111"/>
      <c r="Y465" s="111"/>
      <c r="Z465" s="111"/>
      <c r="AA465" s="111"/>
    </row>
    <row r="466" spans="1:32" ht="12.75" customHeight="1">
      <c r="A466" s="2" t="s">
        <v>1231</v>
      </c>
      <c r="D466" s="337" t="str">
        <f>Draw!$P$1</f>
        <v>Enter Date</v>
      </c>
      <c r="E466" s="337"/>
      <c r="F466" s="337"/>
      <c r="G466" s="337"/>
      <c r="J466" s="280" t="str">
        <f>CHOOSE(Draw!$T$1,"Round 2, Match 4","Round 4, Match 1","Round 2, Match 4","Round 1, Match 4","Round 5, Match 2","Round 4, Match 1","Round 4, Match 1","Round 3, Match 2","Round 3, Match 2","Round 2, Match 5","Round 2, Match 5")</f>
        <v>Round 2, Match 4</v>
      </c>
      <c r="K466" s="280"/>
      <c r="L466" s="280"/>
      <c r="M466" s="276" t="str">
        <f>IF(AND($J466&lt;&gt;"",Draw!$AC$10&lt;&gt;"",Draw!$AC$13&lt;&gt;""),Draw!$AC$10+TIME(0,VALUE(MID($J466,7,FIND(",",$J466)-FIND(" ",$J466)-1)-1)*Draw!$AC$13,0),"")</f>
        <v/>
      </c>
      <c r="N466" s="276"/>
      <c r="O466" s="157" t="str">
        <f>$F509</f>
        <v>G-H</v>
      </c>
      <c r="R466" s="1"/>
      <c r="S466" s="110"/>
      <c r="T466" s="110"/>
      <c r="U466" s="110"/>
      <c r="V466" s="110"/>
      <c r="W466" s="110"/>
      <c r="X466" s="111"/>
      <c r="Y466" s="111"/>
      <c r="Z466" s="111"/>
      <c r="AA466" s="111"/>
    </row>
    <row r="467" spans="1:32" ht="12.75" customHeight="1">
      <c r="A467" s="14"/>
      <c r="B467" s="15"/>
      <c r="C467" s="15"/>
      <c r="D467" s="15"/>
      <c r="E467" s="15"/>
      <c r="F467" s="14"/>
      <c r="G467" s="14"/>
      <c r="H467" s="16"/>
      <c r="I467" s="14"/>
      <c r="J467" s="15"/>
      <c r="K467" s="15"/>
      <c r="L467" s="15"/>
      <c r="M467" s="15"/>
      <c r="N467" s="15"/>
      <c r="O467" s="364" t="str">
        <f>IF(OR(AND(VLOOKUP($B468,$AM$1:$AX$12,12,FALSE)="C",VLOOKUP($K468,$AM$1:$AX$12,12,FALSE)="C"),AND(VLOOKUP($B468,$AM$1:$AX$12,12,FALSE)="W",VLOOKUP($K468,$AM$1:$AX$12,12,FALSE)="W")),"Official",IF(AND($A469="",$J469=""),"","Scrimmage"))</f>
        <v/>
      </c>
      <c r="P467" s="364"/>
      <c r="R467" s="1"/>
      <c r="S467" s="110"/>
      <c r="T467" s="110"/>
      <c r="U467" s="110"/>
      <c r="V467" s="110"/>
      <c r="W467" s="110"/>
      <c r="X467" s="111"/>
      <c r="Y467" s="111"/>
      <c r="Z467" s="111"/>
      <c r="AA467" s="111"/>
    </row>
    <row r="468" spans="1:32" ht="12.75" customHeight="1">
      <c r="A468" s="17" t="s">
        <v>1228</v>
      </c>
      <c r="B468" s="119" t="str">
        <f>CHOOSE(Draw!$T$1,"C","A","G","J","B","A","A","D","G","D","E")</f>
        <v>G</v>
      </c>
      <c r="C468" s="135">
        <f>VLOOKUP($B468,$AM$1:$AN$12,2)</f>
        <v>7</v>
      </c>
      <c r="D468" s="13"/>
      <c r="E468" s="13"/>
      <c r="F468" s="10"/>
      <c r="H468" s="19" t="s">
        <v>1232</v>
      </c>
      <c r="J468" s="17" t="s">
        <v>1228</v>
      </c>
      <c r="K468" s="119" t="str">
        <f>CHOOSE(Draw!$T$1,"H","B","H","L","C","B","D","F","I","E","F")</f>
        <v>H</v>
      </c>
      <c r="L468" s="135">
        <f>VLOOKUP($K468,$AM$1:$AN$12,2)</f>
        <v>8</v>
      </c>
      <c r="M468" s="13"/>
      <c r="N468" s="13"/>
      <c r="O468" s="18"/>
      <c r="P468" s="274"/>
      <c r="Q468" s="275"/>
      <c r="R468" s="1"/>
      <c r="S468" s="110"/>
      <c r="T468" s="110"/>
      <c r="U468" s="110"/>
      <c r="V468" s="110"/>
      <c r="W468" s="110"/>
      <c r="X468" s="111"/>
      <c r="Y468" s="111"/>
      <c r="Z468" s="111"/>
      <c r="AA468" s="111"/>
    </row>
    <row r="469" spans="1:32" ht="12.75" customHeight="1">
      <c r="A469" s="277" t="str">
        <f>IF(VLOOKUP($B468,Draw!$A$4:$B$27,2)&lt;&gt;0,VLOOKUP($B468,Draw!$A$4:$B$27,2),"")</f>
        <v/>
      </c>
      <c r="B469" s="278"/>
      <c r="C469" s="278"/>
      <c r="D469" s="278"/>
      <c r="E469" s="278"/>
      <c r="F469" s="279"/>
      <c r="G469" s="306" t="s">
        <v>4161</v>
      </c>
      <c r="H469" s="289"/>
      <c r="I469" s="307"/>
      <c r="J469" s="277" t="str">
        <f>IF(VLOOKUP($K468,Draw!$A$4:$B$27,2)&lt;&gt;0,VLOOKUP($K468,Draw!$A$4:$B$27,2),"")</f>
        <v/>
      </c>
      <c r="K469" s="278"/>
      <c r="L469" s="278"/>
      <c r="M469" s="278"/>
      <c r="N469" s="278"/>
      <c r="O469" s="279"/>
      <c r="P469" s="15"/>
      <c r="R469" s="1"/>
      <c r="S469" s="110"/>
      <c r="T469" s="110"/>
      <c r="U469" s="110"/>
      <c r="V469" s="110"/>
      <c r="W469" s="110"/>
      <c r="X469" s="111"/>
      <c r="Y469" s="111"/>
      <c r="Z469" s="111"/>
      <c r="AA469" s="111"/>
    </row>
    <row r="470" spans="1:32" ht="12.75" customHeight="1">
      <c r="A470" s="14"/>
      <c r="B470" s="15"/>
      <c r="C470" s="15"/>
      <c r="D470" s="15"/>
      <c r="E470" s="15"/>
      <c r="F470" s="14"/>
      <c r="G470" s="288" t="str">
        <f>"Page "&amp;VALUE(RIGHT($G469,LEN($G469)-SEARCH("-",$G469)))/2</f>
        <v>Page 10</v>
      </c>
      <c r="H470" s="289"/>
      <c r="I470" s="289"/>
      <c r="J470" s="15"/>
      <c r="K470" s="15"/>
      <c r="L470" s="15"/>
      <c r="M470" s="15"/>
      <c r="N470" s="15"/>
      <c r="O470" s="15"/>
      <c r="P470" s="15"/>
      <c r="R470" s="1"/>
      <c r="S470" s="110"/>
      <c r="T470" s="110"/>
      <c r="U470" s="110"/>
      <c r="V470" s="110"/>
      <c r="W470" s="110"/>
      <c r="X470" s="111"/>
      <c r="Y470" s="111"/>
      <c r="Z470" s="111"/>
      <c r="AA470" s="111"/>
      <c r="AF470" s="27"/>
    </row>
    <row r="471" spans="1:32" ht="12.75" customHeight="1">
      <c r="A471" s="327" t="s">
        <v>1245</v>
      </c>
      <c r="B471" s="327"/>
      <c r="C471" s="327"/>
      <c r="D471" s="327"/>
      <c r="E471" s="327"/>
      <c r="F471" s="327"/>
      <c r="G471" s="327"/>
      <c r="H471" s="327"/>
      <c r="I471" s="327"/>
      <c r="J471" s="327"/>
      <c r="K471" s="327"/>
      <c r="L471" s="327"/>
      <c r="M471" s="327"/>
      <c r="N471" s="327"/>
      <c r="O471" s="327"/>
      <c r="P471" s="327"/>
      <c r="Q471" s="7"/>
      <c r="R471" s="1"/>
      <c r="S471" s="110"/>
      <c r="T471" s="110"/>
      <c r="U471" s="110"/>
      <c r="V471" s="110"/>
      <c r="W471" s="110"/>
      <c r="X471" s="111"/>
      <c r="Y471" s="111"/>
      <c r="Z471" s="111"/>
      <c r="AA471" s="111"/>
      <c r="AF471" s="20"/>
    </row>
    <row r="472" spans="1:32" ht="12.75" customHeight="1">
      <c r="A472" s="21" t="s">
        <v>1233</v>
      </c>
      <c r="H472" s="136" t="str">
        <f>IF($Q474&lt;&gt;"",IF(AND(AND($H474&gt;-1,$H476&gt;-1),OR($H474&gt;10,$H476&gt;10),ABS($H474-$H476)&gt;1,IF(OR($H474&gt;11,$H476&gt;11),ABS($H474-$H476)=2,TRUE),$H474=INT($H474),$H476=INT($H476)),"","Error"),"")</f>
        <v/>
      </c>
      <c r="I472" s="136" t="str">
        <f>IF($Q474&lt;&gt;"",IF(AND(AND($I474&gt;-1,$I476&gt;-1),OR($I474&gt;10,$I476&gt;10),ABS($I474-$I476)&gt;1,IF(OR($I474&gt;11,$I476&gt;11),ABS($I474-$I476)=2,TRUE),$I474=INT($I474),$I476=INT($I476)),"","Error"),"")</f>
        <v/>
      </c>
      <c r="J472" s="136" t="str">
        <f>IF($Q474&lt;&gt;"",IF(AND(AND($J474&gt;-1,$J476&gt;-1),OR($J474&gt;10,$J476&gt;10),ABS($J474-$J476)&gt;1,IF(OR($J474&gt;11,$J476&gt;11),ABS($J474-$J476)=2,TRUE),$J474=INT($J474),$J476=INT($J476)),"","Error"),"")</f>
        <v/>
      </c>
      <c r="K472" s="136" t="str">
        <f>IF($Q474&lt;&gt;"",IF(AND($K474&lt;&gt;"",$K476&lt;&gt;""), IF(AND(AND($K474&gt;-1,$K476&gt;-1),OR($K474&gt;10,$K476&gt;10),ABS($K474-$K476)&gt;1,IF(OR($K474&gt;11,$K476&gt;11),ABS($K474-$K476)=2,TRUE),$K474=INT($K474),$K476=INT($K476)),"","Error"),""),"")</f>
        <v/>
      </c>
      <c r="L472" s="136" t="str">
        <f>IF($Q474&lt;&gt;"",IF(AND($L474&lt;&gt;"",$L476&lt;&gt;""), IF(AND(AND($L474&gt;-1,$L476&gt;-1),OR($L474&gt;10,$L476&gt;10),ABS($L474-$L476)&gt;1,IF(OR($L474&gt;11,$L476&gt;11),ABS($L474-$L476)=2,TRUE),$L474=INT($L474),$L476=INT($L476)),"","Error"),""),"")</f>
        <v/>
      </c>
      <c r="R472" s="1"/>
      <c r="S472" s="110"/>
      <c r="T472" s="110"/>
      <c r="U472" s="110"/>
      <c r="V472" s="110"/>
      <c r="W472" s="110"/>
      <c r="X472" s="111"/>
      <c r="Y472" s="111"/>
      <c r="Z472" s="111"/>
      <c r="AA472" s="111"/>
    </row>
    <row r="473" spans="1:32" ht="12.75" customHeight="1">
      <c r="A473" s="5" t="s">
        <v>1228</v>
      </c>
      <c r="B473" s="290" t="s">
        <v>1126</v>
      </c>
      <c r="C473" s="291"/>
      <c r="D473" s="291"/>
      <c r="E473" s="291"/>
      <c r="F473" s="291"/>
      <c r="G473" s="292"/>
      <c r="H473" s="5">
        <v>1</v>
      </c>
      <c r="I473" s="5">
        <v>2</v>
      </c>
      <c r="J473" s="5">
        <v>3</v>
      </c>
      <c r="K473" s="5">
        <v>4</v>
      </c>
      <c r="L473" s="5">
        <v>5</v>
      </c>
      <c r="M473" s="271"/>
      <c r="N473" s="272"/>
      <c r="O473" s="272"/>
      <c r="P473" s="273"/>
      <c r="R473" s="1"/>
      <c r="S473" s="110"/>
      <c r="T473" s="110"/>
      <c r="U473" s="110"/>
      <c r="V473" s="110"/>
      <c r="W473" s="110"/>
      <c r="X473" s="111"/>
      <c r="Y473" s="111"/>
      <c r="Z473" s="111"/>
      <c r="AA473" s="111"/>
    </row>
    <row r="474" spans="1:32" ht="12.75" customHeight="1">
      <c r="A474" s="300" t="str">
        <f>B468</f>
        <v>G</v>
      </c>
      <c r="B474" s="293" t="str">
        <f ca="1">IF(AND(OFFSET($AO$1,$C468-1,8,1,1),$A469&lt;&gt;"",$J469&lt;&gt;""),CHOOSE($C468,$AO$1,$AO$2,$AO$3,$AO$4,$AO$5,$AO$6,$AO$7,$AO$8,$AO$9,$AO$10,$AO$11,$AO$12),"")</f>
        <v/>
      </c>
      <c r="C474" s="294"/>
      <c r="D474" s="294"/>
      <c r="E474" s="294"/>
      <c r="F474" s="294"/>
      <c r="G474" s="294"/>
      <c r="H474" s="265"/>
      <c r="I474" s="265"/>
      <c r="J474" s="265"/>
      <c r="K474" s="265"/>
      <c r="L474" s="265"/>
      <c r="M474" s="297"/>
      <c r="N474" s="298"/>
      <c r="O474" s="298"/>
      <c r="P474" s="299"/>
      <c r="Q474" s="137" t="str">
        <f>IF($L474=$L476,IF($K474=$K476,IF($J474&lt;&gt;"",IF($J474&gt;$J476,"W","L"),""),IF($K474&gt;$K476,"W","L")),IF($L474&gt;$L476,"W","L"))</f>
        <v/>
      </c>
      <c r="R474" s="1"/>
      <c r="S474" s="110"/>
      <c r="T474" s="110"/>
      <c r="U474" s="110"/>
      <c r="V474" s="110"/>
      <c r="W474" s="110"/>
      <c r="X474" s="111"/>
      <c r="Y474" s="111"/>
      <c r="Z474" s="111"/>
      <c r="AA474" s="111"/>
    </row>
    <row r="475" spans="1:32" ht="12.75" customHeight="1">
      <c r="A475" s="301"/>
      <c r="B475" s="295"/>
      <c r="C475" s="296"/>
      <c r="D475" s="296"/>
      <c r="E475" s="296"/>
      <c r="F475" s="296"/>
      <c r="G475" s="296"/>
      <c r="H475" s="270"/>
      <c r="I475" s="270"/>
      <c r="J475" s="270"/>
      <c r="K475" s="270"/>
      <c r="L475" s="270"/>
      <c r="M475" s="297"/>
      <c r="N475" s="298"/>
      <c r="O475" s="298"/>
      <c r="P475" s="299"/>
      <c r="Q475" s="139" t="str">
        <f>IF($Q474&lt;&gt;"",IF($Q474="W",IF(SUM(IF($H474&gt;$H476,1,0),IF($I474&gt;$I476,1,0),IF($J474&gt;$J476,1,0),IF($K474&gt;$K476,1,0),IF($L474&gt;$L476,1,0))&lt;&gt;3,"Error",""),""),"")</f>
        <v/>
      </c>
      <c r="R475" s="328" t="str">
        <f>$A469</f>
        <v/>
      </c>
      <c r="S475" s="328"/>
      <c r="T475" s="328"/>
      <c r="U475" s="328"/>
      <c r="V475" s="328"/>
      <c r="W475" s="328"/>
      <c r="X475" s="256" t="str">
        <f>CONCATENATE("(",$B468," vs ",$K468,")")</f>
        <v>(G vs H)</v>
      </c>
      <c r="Y475" s="256"/>
      <c r="Z475" s="328" t="str">
        <f>$J469</f>
        <v/>
      </c>
      <c r="AA475" s="328"/>
      <c r="AB475" s="328"/>
      <c r="AC475" s="328"/>
      <c r="AD475" s="328"/>
      <c r="AE475" s="328"/>
      <c r="AF475" s="43"/>
    </row>
    <row r="476" spans="1:32" ht="12.75" customHeight="1">
      <c r="A476" s="300" t="str">
        <f>K468</f>
        <v>H</v>
      </c>
      <c r="B476" s="293" t="str">
        <f ca="1">IF(AND(OFFSET($AO$1,$L468-1,8,1,1),$A469&lt;&gt;"",$J469&lt;&gt;""),CHOOSE($L468,$AO$1,$AO$2,$AO$3,$AO$4,$AO$5,$AO$6,$AO$7,$AO$8,$AO$9,$AO$10,$AO$11,$AO$12),"")</f>
        <v/>
      </c>
      <c r="C476" s="294"/>
      <c r="D476" s="294"/>
      <c r="E476" s="294"/>
      <c r="F476" s="294"/>
      <c r="G476" s="294"/>
      <c r="H476" s="265"/>
      <c r="I476" s="265"/>
      <c r="J476" s="265"/>
      <c r="K476" s="265"/>
      <c r="L476" s="265"/>
      <c r="M476" s="267" t="s">
        <v>1237</v>
      </c>
      <c r="N476" s="268"/>
      <c r="O476" s="268"/>
      <c r="P476" s="269"/>
      <c r="Q476" s="137" t="str">
        <f>IF($Q474&lt;&gt;"",IF($Q474="W","L","W"),"")</f>
        <v/>
      </c>
      <c r="R476" s="43"/>
      <c r="S476" s="43"/>
      <c r="T476" s="43"/>
      <c r="U476" s="43"/>
      <c r="V476" s="43"/>
      <c r="W476" s="43"/>
      <c r="X476" s="43"/>
      <c r="Y476" s="43"/>
      <c r="Z476" s="43"/>
      <c r="AA476" s="43"/>
      <c r="AB476" s="43"/>
      <c r="AC476" s="43"/>
      <c r="AD476" s="43"/>
      <c r="AE476" s="43"/>
      <c r="AF476" s="43"/>
    </row>
    <row r="477" spans="1:32" ht="12.75" customHeight="1">
      <c r="A477" s="301"/>
      <c r="B477" s="295"/>
      <c r="C477" s="296"/>
      <c r="D477" s="296"/>
      <c r="E477" s="296"/>
      <c r="F477" s="296"/>
      <c r="G477" s="296"/>
      <c r="H477" s="270"/>
      <c r="I477" s="270"/>
      <c r="J477" s="266"/>
      <c r="K477" s="266"/>
      <c r="L477" s="266"/>
      <c r="M477" s="267"/>
      <c r="N477" s="268"/>
      <c r="O477" s="268"/>
      <c r="P477" s="269"/>
      <c r="Q477" s="139" t="str">
        <f>IF($Q476&lt;&gt;"",IF($Q476="W",IF(SUM(IF($H476&gt;$H474,1,0),IF($I476&gt;$I474,1,0),IF($J476&gt;$J474,1,0),IF($K476&gt;$K474,1,0),IF($L476&gt;$L474,1,0))&lt;&gt;3,"Error",""),""),"")</f>
        <v/>
      </c>
      <c r="R477" s="43" t="str">
        <f>$A479</f>
        <v>2nd Singles</v>
      </c>
      <c r="S477" s="43"/>
      <c r="T477" s="43"/>
      <c r="U477" s="43"/>
      <c r="V477" s="43"/>
      <c r="W477" s="43"/>
      <c r="X477" s="43"/>
      <c r="Y477" s="43"/>
      <c r="Z477" s="43"/>
      <c r="AA477" s="43"/>
      <c r="AB477" s="43"/>
      <c r="AC477" s="43"/>
      <c r="AD477" s="43"/>
      <c r="AE477" s="43"/>
      <c r="AF477" s="43"/>
    </row>
    <row r="478" spans="1:32" ht="12.75" customHeight="1">
      <c r="Q478" s="7"/>
      <c r="R478" s="60" t="s">
        <v>1228</v>
      </c>
      <c r="S478" s="339" t="s">
        <v>1126</v>
      </c>
      <c r="T478" s="340"/>
      <c r="U478" s="340"/>
      <c r="V478" s="340"/>
      <c r="W478" s="340"/>
      <c r="X478" s="341"/>
      <c r="Y478" s="60">
        <v>1</v>
      </c>
      <c r="Z478" s="60">
        <v>2</v>
      </c>
      <c r="AA478" s="60">
        <v>3</v>
      </c>
      <c r="AB478" s="60">
        <v>4</v>
      </c>
      <c r="AC478" s="60">
        <v>5</v>
      </c>
      <c r="AD478" s="342"/>
      <c r="AE478" s="343"/>
      <c r="AF478" s="344"/>
    </row>
    <row r="479" spans="1:32" ht="12.75" customHeight="1">
      <c r="A479" s="21" t="s">
        <v>1234</v>
      </c>
      <c r="H479" s="136" t="str">
        <f>IF($Q481&lt;&gt;"",IF(AND(AND($H481&gt;-1,$H483&gt;-1),OR($H481&gt;10,$H483&gt;10),ABS($H481-$H483)&gt;1,IF(OR($H481&gt;11,$H483&gt;11),ABS($H481-$H483)=2,TRUE),$H481=INT($H481),$H483=INT($H483)),"","Error"),"")</f>
        <v/>
      </c>
      <c r="I479" s="136" t="str">
        <f>IF($Q481&lt;&gt;"",IF(AND(AND($I481&gt;-1,$I483&gt;-1),OR($I481&gt;10,$I483&gt;10),ABS($I481-$I483)&gt;1,IF(OR($I481&gt;11,$I483&gt;11),ABS($I481-$I483)=2,TRUE),$I481=INT($I481),$I483=INT($I483)),"","Error"),"")</f>
        <v/>
      </c>
      <c r="J479" s="136" t="str">
        <f>IF($Q481&lt;&gt;"",IF(AND(AND($J481&gt;-1,$J483&gt;-1),OR($J481&gt;10,$J483&gt;10),ABS($J481-$J483)&gt;1,IF(OR($J481&gt;11,$J483&gt;11),ABS($J481-$J483)=2,TRUE),$J481=INT($J481),$J483=INT($J483)),"","Error"),"")</f>
        <v/>
      </c>
      <c r="K479" s="136" t="str">
        <f>IF($Q481&lt;&gt;"",IF(AND($K481&lt;&gt;"",$K483&lt;&gt;""), IF(AND(AND($K481&gt;-1,$K483&gt;-1),OR($K481&gt;10,$K483&gt;10),ABS($K481-$K483)&gt;1,IF(OR($K481&gt;11,$K483&gt;11),ABS($K481-$K483)=2,TRUE),$K481=INT($K481),$K483=INT($K483)),"","Error"),""),"")</f>
        <v/>
      </c>
      <c r="L479" s="136" t="str">
        <f>IF($Q481&lt;&gt;"",IF(AND($L481&lt;&gt;"",$L483&lt;&gt;""), IF(AND(AND($L481&gt;-1,$L483&gt;-1),OR($L481&gt;10,$L483&gt;10),ABS($L481-$L483)&gt;1,IF(OR($L481&gt;11,$L483&gt;11),ABS($L481-$L483)=2,TRUE),$L481=INT($L481),$L483=INT($L483)),"","Error"),""),"")</f>
        <v/>
      </c>
      <c r="Q479" s="7"/>
      <c r="R479" s="300" t="str">
        <f>$B468</f>
        <v>G</v>
      </c>
      <c r="S479" s="331" t="str">
        <f ca="1">IF($B481&lt;&gt;"",$B481,"")</f>
        <v/>
      </c>
      <c r="T479" s="332"/>
      <c r="U479" s="332"/>
      <c r="V479" s="332"/>
      <c r="W479" s="332"/>
      <c r="X479" s="333"/>
      <c r="Y479" s="329"/>
      <c r="Z479" s="329"/>
      <c r="AA479" s="329"/>
      <c r="AB479" s="329"/>
      <c r="AC479" s="329"/>
      <c r="AD479" s="345"/>
      <c r="AE479" s="358"/>
      <c r="AF479" s="359"/>
    </row>
    <row r="480" spans="1:32" ht="12.75" customHeight="1">
      <c r="A480" s="5" t="s">
        <v>1228</v>
      </c>
      <c r="B480" s="290" t="s">
        <v>1126</v>
      </c>
      <c r="C480" s="291"/>
      <c r="D480" s="291"/>
      <c r="E480" s="291"/>
      <c r="F480" s="291"/>
      <c r="G480" s="292"/>
      <c r="H480" s="5">
        <v>1</v>
      </c>
      <c r="I480" s="5">
        <v>2</v>
      </c>
      <c r="J480" s="5">
        <v>3</v>
      </c>
      <c r="K480" s="5">
        <v>4</v>
      </c>
      <c r="L480" s="5">
        <v>5</v>
      </c>
      <c r="M480" s="271"/>
      <c r="N480" s="272"/>
      <c r="O480" s="272"/>
      <c r="P480" s="273"/>
      <c r="Q480" s="7"/>
      <c r="R480" s="330"/>
      <c r="S480" s="334"/>
      <c r="T480" s="335"/>
      <c r="U480" s="335"/>
      <c r="V480" s="335"/>
      <c r="W480" s="335"/>
      <c r="X480" s="336"/>
      <c r="Y480" s="330"/>
      <c r="Z480" s="330"/>
      <c r="AA480" s="330"/>
      <c r="AB480" s="330"/>
      <c r="AC480" s="330"/>
      <c r="AD480" s="360"/>
      <c r="AE480" s="361"/>
      <c r="AF480" s="362"/>
    </row>
    <row r="481" spans="1:32" ht="12.75" customHeight="1">
      <c r="A481" s="300" t="str">
        <f>B468</f>
        <v>G</v>
      </c>
      <c r="B481" s="293" t="str">
        <f ca="1">IF(AND(OFFSET($AO$1,$C468-1,8,1,1),$A469&lt;&gt;"",$J469&lt;&gt;""),CHOOSE($C468,$AP$1,$AP$2,$AP$3,$AP$4,$AP$5,$AP$6,$AP$7,$AP$8,$AP$9,$AP$10,$AP$11,$AP$12),"")</f>
        <v/>
      </c>
      <c r="C481" s="294"/>
      <c r="D481" s="294"/>
      <c r="E481" s="294"/>
      <c r="F481" s="294"/>
      <c r="G481" s="294"/>
      <c r="H481" s="265"/>
      <c r="I481" s="265"/>
      <c r="J481" s="265"/>
      <c r="K481" s="265"/>
      <c r="L481" s="265"/>
      <c r="M481" s="262" t="str">
        <f ca="1">IF(OR(AND($B474&lt;&gt;"",$B481&lt;&gt;"",$C499&lt;=$B499),AND($B476&lt;&gt;"",$B483&lt;&gt;"",$G499&lt;=$F499)),"Invalid Lineup","")</f>
        <v/>
      </c>
      <c r="N481" s="263"/>
      <c r="O481" s="263"/>
      <c r="P481" s="264"/>
      <c r="Q481" s="137" t="str">
        <f>IF($L481=$L483,IF($K481=$K483,IF($J481&lt;&gt;"",IF($J481&gt;$J483,"W","L"),""),IF($K481&gt;$K483,"W","L")),IF($L481&gt;$L483,"W","L"))</f>
        <v/>
      </c>
      <c r="R481" s="300" t="str">
        <f>$K468</f>
        <v>H</v>
      </c>
      <c r="S481" s="331" t="str">
        <f ca="1">IF($B483&lt;&gt;"",$B483,"")</f>
        <v/>
      </c>
      <c r="T481" s="332"/>
      <c r="U481" s="332"/>
      <c r="V481" s="332"/>
      <c r="W481" s="332"/>
      <c r="X481" s="333"/>
      <c r="Y481" s="329"/>
      <c r="Z481" s="329"/>
      <c r="AA481" s="329"/>
      <c r="AB481" s="329"/>
      <c r="AC481" s="351"/>
      <c r="AD481" s="363" t="s">
        <v>1237</v>
      </c>
      <c r="AE481" s="358"/>
      <c r="AF481" s="359"/>
    </row>
    <row r="482" spans="1:32" ht="12.75" customHeight="1">
      <c r="A482" s="301"/>
      <c r="B482" s="295"/>
      <c r="C482" s="296"/>
      <c r="D482" s="296"/>
      <c r="E482" s="296"/>
      <c r="F482" s="296"/>
      <c r="G482" s="296"/>
      <c r="H482" s="270"/>
      <c r="I482" s="270"/>
      <c r="J482" s="270"/>
      <c r="K482" s="270"/>
      <c r="L482" s="270"/>
      <c r="M482" s="262"/>
      <c r="N482" s="263"/>
      <c r="O482" s="263"/>
      <c r="P482" s="264"/>
      <c r="Q482" s="139" t="str">
        <f>IF($Q481&lt;&gt;"",IF($Q481="W",IF(SUM(IF($H481&gt;$H483,1,0),IF($I481&gt;$I483,1,0),IF($J481&gt;$J483,1,0),IF($K481&gt;$K483,1,0),IF($L481&gt;$L483,1,0))&lt;&gt;3,"Error",""),""),"")</f>
        <v/>
      </c>
      <c r="R482" s="330"/>
      <c r="S482" s="334"/>
      <c r="T482" s="335"/>
      <c r="U482" s="335"/>
      <c r="V482" s="335"/>
      <c r="W482" s="335"/>
      <c r="X482" s="336"/>
      <c r="Y482" s="330"/>
      <c r="Z482" s="330"/>
      <c r="AA482" s="330"/>
      <c r="AB482" s="330"/>
      <c r="AC482" s="330"/>
      <c r="AD482" s="360"/>
      <c r="AE482" s="361"/>
      <c r="AF482" s="362"/>
    </row>
    <row r="483" spans="1:32" ht="12.75" customHeight="1">
      <c r="A483" s="300" t="str">
        <f>K468</f>
        <v>H</v>
      </c>
      <c r="B483" s="293" t="str">
        <f ca="1">IF(AND(OFFSET($AO$1,$L468-1,8,1,1),$A469&lt;&gt;"",$J469&lt;&gt;""),CHOOSE($L468,$AP$1,$AP$2,$AP$3,$AP$4,$AP$5,$AP$6,$AP$7,$AP$8,$AP$9,$AP$10,$AP$11,$AP$12),"")</f>
        <v/>
      </c>
      <c r="C483" s="294"/>
      <c r="D483" s="294"/>
      <c r="E483" s="294"/>
      <c r="F483" s="294"/>
      <c r="G483" s="294"/>
      <c r="H483" s="265"/>
      <c r="I483" s="265"/>
      <c r="J483" s="265"/>
      <c r="K483" s="265"/>
      <c r="L483" s="265"/>
      <c r="M483" s="267" t="s">
        <v>1237</v>
      </c>
      <c r="N483" s="268"/>
      <c r="O483" s="268"/>
      <c r="P483" s="269"/>
      <c r="Q483" s="137" t="str">
        <f>IF($Q481&lt;&gt;"",IF($Q481="W","L","W"),"")</f>
        <v/>
      </c>
      <c r="R483" s="20"/>
      <c r="S483" s="20"/>
      <c r="T483" s="20"/>
      <c r="U483" s="20"/>
      <c r="V483" s="20"/>
      <c r="W483" s="20"/>
      <c r="X483" s="26"/>
      <c r="Y483" s="26"/>
      <c r="Z483" s="20"/>
      <c r="AA483" s="20"/>
      <c r="AB483" s="20"/>
      <c r="AC483" s="20"/>
      <c r="AD483" s="20"/>
      <c r="AE483" s="20"/>
      <c r="AF483" s="27"/>
    </row>
    <row r="484" spans="1:32" ht="12.75" customHeight="1">
      <c r="A484" s="301"/>
      <c r="B484" s="295"/>
      <c r="C484" s="296"/>
      <c r="D484" s="296"/>
      <c r="E484" s="296"/>
      <c r="F484" s="296"/>
      <c r="G484" s="296"/>
      <c r="H484" s="270"/>
      <c r="I484" s="270"/>
      <c r="J484" s="266"/>
      <c r="K484" s="266"/>
      <c r="L484" s="266"/>
      <c r="M484" s="267"/>
      <c r="N484" s="268"/>
      <c r="O484" s="268"/>
      <c r="P484" s="269"/>
      <c r="Q484" s="139" t="str">
        <f>IF($Q483&lt;&gt;"",IF($Q483="W",IF(SUM(IF($H483&gt;$H481,1,0),IF($I483&gt;$I481,1,0),IF($J483&gt;$J481,1,0),IF($K483&gt;$K481,1,0),IF($L483&gt;$L481,1,0))&lt;&gt;3,"Error",""),""),"")</f>
        <v/>
      </c>
      <c r="R484" s="20"/>
      <c r="S484" s="20"/>
      <c r="T484" s="20"/>
      <c r="U484" s="20"/>
      <c r="V484" s="20"/>
      <c r="W484" s="20"/>
      <c r="X484" s="26"/>
      <c r="Y484" s="26"/>
      <c r="Z484" s="20"/>
      <c r="AA484" s="20"/>
      <c r="AB484" s="20"/>
      <c r="AC484" s="20"/>
      <c r="AD484" s="20"/>
      <c r="AE484" s="20"/>
      <c r="AF484" s="27"/>
    </row>
    <row r="485" spans="1:32" ht="12.75" customHeight="1">
      <c r="Q485" s="7"/>
      <c r="R485" s="20"/>
      <c r="S485" s="20"/>
      <c r="T485" s="20"/>
      <c r="U485" s="20"/>
      <c r="V485" s="20"/>
      <c r="W485" s="20"/>
      <c r="X485" s="26"/>
      <c r="Y485" s="26"/>
      <c r="Z485" s="20"/>
      <c r="AA485" s="20"/>
      <c r="AB485" s="20"/>
      <c r="AC485" s="20"/>
      <c r="AD485" s="20"/>
      <c r="AE485" s="20"/>
      <c r="AF485" s="27"/>
    </row>
    <row r="486" spans="1:32" ht="12.75" customHeight="1">
      <c r="A486" s="21" t="s">
        <v>1235</v>
      </c>
      <c r="H486" s="136" t="str">
        <f>IF($Q488&lt;&gt;"",IF(AND(AND($H488&gt;-1,$H490&gt;-1),OR($H488&gt;10,$H490&gt;10),ABS($H488-$H490)&gt;1,IF(OR($H488&gt;11,$H490&gt;11),ABS($H488-$H490)=2,TRUE),$H488=INT($H488),$H490=INT($H490)),"","Error"),"")</f>
        <v/>
      </c>
      <c r="I486" s="136" t="str">
        <f>IF($Q488&lt;&gt;"",IF(AND(AND($I488&gt;-1,$I490&gt;-1),OR($I488&gt;10,$I490&gt;10),ABS($I488-$I490)&gt;1,IF(OR($I488&gt;11,$I490&gt;11),ABS($I488-$I490)=2,TRUE),$I488=INT($I488),$I490=INT($I490)),"","Error"),"")</f>
        <v/>
      </c>
      <c r="J486" s="136" t="str">
        <f>IF($Q488&lt;&gt;"",IF(AND(AND($J488&gt;-1,$J490&gt;-1),OR($J488&gt;10,$J490&gt;10),ABS($J488-$J490)&gt;1,IF(OR($J488&gt;11,$J490&gt;11),ABS($J488-$J490)=2,TRUE),$J488=INT($J488),$J490=INT($J490)),"","Error"),"")</f>
        <v/>
      </c>
      <c r="K486" s="136" t="str">
        <f>IF($Q488&lt;&gt;"",IF(AND($K488&lt;&gt;"",$K490&lt;&gt;""), IF(AND(AND($K488&gt;-1,$K490&gt;-1),OR($K488&gt;10,$K490&gt;10),ABS($K488-$K490)&gt;1,IF(OR($K488&gt;11,$K490&gt;11),ABS($K488-$K490)=2,TRUE),$K488=INT($K488),$K490=INT($K490)),"","Error"),""),"")</f>
        <v/>
      </c>
      <c r="L486" s="136" t="str">
        <f>IF($Q488&lt;&gt;"",IF(AND($L488&lt;&gt;"",$L490&lt;&gt;""), IF(AND(AND($L488&gt;-1,$L490&gt;-1),OR($L488&gt;10,$L490&gt;10),ABS($L488-$L490)&gt;1,IF(OR($L488&gt;11,$L490&gt;11),ABS($L488-$L490)=2,TRUE),$L488=INT($L488),$L490=INT($L490)),"","Error"),""),"")</f>
        <v/>
      </c>
      <c r="Q486" s="7"/>
      <c r="R486" s="20"/>
      <c r="S486" s="20"/>
      <c r="T486" s="20"/>
      <c r="U486" s="20"/>
      <c r="V486" s="20"/>
      <c r="W486" s="20"/>
      <c r="X486" s="26"/>
      <c r="Y486" s="26"/>
      <c r="Z486" s="20"/>
      <c r="AA486" s="20"/>
      <c r="AB486" s="20"/>
      <c r="AC486" s="20"/>
      <c r="AD486" s="20"/>
      <c r="AE486" s="20"/>
      <c r="AF486" s="27"/>
    </row>
    <row r="487" spans="1:32" ht="12.75" customHeight="1">
      <c r="A487" s="5" t="s">
        <v>1228</v>
      </c>
      <c r="B487" s="290" t="s">
        <v>1126</v>
      </c>
      <c r="C487" s="291"/>
      <c r="D487" s="291"/>
      <c r="E487" s="291"/>
      <c r="F487" s="291"/>
      <c r="G487" s="292"/>
      <c r="H487" s="5">
        <v>1</v>
      </c>
      <c r="I487" s="5">
        <v>2</v>
      </c>
      <c r="J487" s="5">
        <v>3</v>
      </c>
      <c r="K487" s="5">
        <v>4</v>
      </c>
      <c r="L487" s="5">
        <v>5</v>
      </c>
      <c r="M487" s="271"/>
      <c r="N487" s="272"/>
      <c r="O487" s="272"/>
      <c r="P487" s="273"/>
      <c r="Q487" s="7"/>
      <c r="R487" s="20"/>
      <c r="S487" s="20"/>
      <c r="T487" s="20"/>
      <c r="U487" s="20"/>
      <c r="V487" s="20"/>
      <c r="W487" s="20"/>
      <c r="X487" s="26"/>
      <c r="Y487" s="26"/>
      <c r="Z487" s="20"/>
      <c r="AA487" s="20"/>
      <c r="AB487" s="20"/>
      <c r="AC487" s="20"/>
      <c r="AD487" s="20"/>
      <c r="AE487" s="20"/>
      <c r="AF487" s="27"/>
    </row>
    <row r="488" spans="1:32" ht="12.75" customHeight="1">
      <c r="A488" s="300" t="str">
        <f>B468</f>
        <v>G</v>
      </c>
      <c r="B488" s="293" t="str">
        <f ca="1">IF(AND(OFFSET($AO$1,$C468-1,8,1,1),$A469&lt;&gt;"",$J469&lt;&gt;""),CHOOSE($C468,$AQ$1,$AQ$2,$AQ$3,$AQ$4,$AQ$5,$AQ$6,$AQ$7,$AQ$8,$AQ$9,$AQ$10,$AQ$11,$AQ$12),"")</f>
        <v/>
      </c>
      <c r="C488" s="294"/>
      <c r="D488" s="294"/>
      <c r="E488" s="294"/>
      <c r="F488" s="294"/>
      <c r="G488" s="294"/>
      <c r="H488" s="265"/>
      <c r="I488" s="265"/>
      <c r="J488" s="265"/>
      <c r="K488" s="265"/>
      <c r="L488" s="265"/>
      <c r="M488" s="262" t="str">
        <f ca="1">IF(OR(AND($B481&lt;&gt;"",$B488&lt;&gt;"",$D499&lt;=$C499),AND($B483&lt;&gt;"",$B490&lt;&gt;"",$H499&lt;=$G499)),"Invalid Lineup","")</f>
        <v/>
      </c>
      <c r="N488" s="263"/>
      <c r="O488" s="263"/>
      <c r="P488" s="264"/>
      <c r="Q488" s="137" t="str">
        <f>IF($L488=$L490,IF($K488=$K490,IF($J488&lt;&gt;"",IF($J488&gt;$J490,"W","L"),""),IF($K488&gt;$K490,"W","L")),IF($L488&gt;$L490,"W","L"))</f>
        <v/>
      </c>
      <c r="R488" s="20"/>
      <c r="S488" s="20"/>
      <c r="T488" s="20"/>
      <c r="U488" s="20"/>
      <c r="V488" s="20"/>
      <c r="W488" s="20"/>
      <c r="X488" s="26"/>
      <c r="Y488" s="26"/>
      <c r="Z488" s="20"/>
      <c r="AA488" s="20"/>
      <c r="AB488" s="20"/>
      <c r="AC488" s="20"/>
      <c r="AD488" s="20"/>
      <c r="AE488" s="20"/>
      <c r="AF488" s="27"/>
    </row>
    <row r="489" spans="1:32" ht="12.75" customHeight="1">
      <c r="A489" s="301"/>
      <c r="B489" s="295"/>
      <c r="C489" s="296"/>
      <c r="D489" s="296"/>
      <c r="E489" s="296"/>
      <c r="F489" s="296"/>
      <c r="G489" s="296"/>
      <c r="H489" s="270"/>
      <c r="I489" s="270"/>
      <c r="J489" s="270"/>
      <c r="K489" s="270"/>
      <c r="L489" s="270"/>
      <c r="M489" s="262"/>
      <c r="N489" s="263"/>
      <c r="O489" s="263"/>
      <c r="P489" s="264"/>
      <c r="Q489" s="139" t="str">
        <f>IF($Q488&lt;&gt;"",IF($Q488="W",IF(SUM(IF($H488&gt;$H490,1,0),IF($I488&gt;$I490,1,0),IF($J488&gt;$J490,1,0),IF($K488&gt;$K490,1,0),IF($L488&gt;$L490,1,0))&lt;&gt;3,"Error",""),""),"")</f>
        <v/>
      </c>
      <c r="R489" s="328" t="str">
        <f>$A469</f>
        <v/>
      </c>
      <c r="S489" s="328"/>
      <c r="T489" s="328"/>
      <c r="U489" s="328"/>
      <c r="V489" s="328"/>
      <c r="W489" s="328"/>
      <c r="X489" s="256" t="str">
        <f>CONCATENATE("(",$B468," vs ",$K468,")")</f>
        <v>(G vs H)</v>
      </c>
      <c r="Y489" s="256"/>
      <c r="Z489" s="328" t="str">
        <f>$J469</f>
        <v/>
      </c>
      <c r="AA489" s="328"/>
      <c r="AB489" s="328"/>
      <c r="AC489" s="328"/>
      <c r="AD489" s="328"/>
      <c r="AE489" s="328"/>
      <c r="AF489" s="100"/>
    </row>
    <row r="490" spans="1:32" ht="12.75" customHeight="1">
      <c r="A490" s="300" t="str">
        <f>K468</f>
        <v>H</v>
      </c>
      <c r="B490" s="293" t="str">
        <f ca="1">IF(AND(OFFSET($AO$1,$L468-1,8,1,1),$A469&lt;&gt;"",$J469&lt;&gt;""),CHOOSE($L468,$AQ$1,$AQ$2,$AQ$3,$AQ$4,$AQ$5,$AQ$6,$AQ$7,$AQ$8,$AQ$9,$AQ$10,$AQ$11,$AQ$12),"")</f>
        <v/>
      </c>
      <c r="C490" s="294"/>
      <c r="D490" s="294"/>
      <c r="E490" s="294"/>
      <c r="F490" s="294"/>
      <c r="G490" s="294"/>
      <c r="H490" s="265"/>
      <c r="I490" s="265"/>
      <c r="J490" s="265"/>
      <c r="K490" s="265"/>
      <c r="L490" s="265"/>
      <c r="M490" s="267" t="s">
        <v>1237</v>
      </c>
      <c r="N490" s="268"/>
      <c r="O490" s="268"/>
      <c r="P490" s="269"/>
      <c r="Q490" s="137" t="str">
        <f>IF($Q488&lt;&gt;"",IF($Q488="W","L","W"),"")</f>
        <v/>
      </c>
      <c r="R490" s="100"/>
      <c r="S490" s="100"/>
      <c r="T490" s="100"/>
      <c r="U490" s="100"/>
      <c r="V490" s="100"/>
      <c r="W490" s="100"/>
      <c r="X490" s="100"/>
      <c r="Y490" s="100"/>
      <c r="Z490" s="100"/>
      <c r="AA490" s="100"/>
      <c r="AB490" s="100"/>
      <c r="AC490" s="100"/>
      <c r="AD490" s="100"/>
      <c r="AE490" s="100"/>
      <c r="AF490" s="100"/>
    </row>
    <row r="491" spans="1:32" ht="12.75" customHeight="1">
      <c r="A491" s="301"/>
      <c r="B491" s="295"/>
      <c r="C491" s="296"/>
      <c r="D491" s="296"/>
      <c r="E491" s="296"/>
      <c r="F491" s="296"/>
      <c r="G491" s="296"/>
      <c r="H491" s="270"/>
      <c r="I491" s="270"/>
      <c r="J491" s="266"/>
      <c r="K491" s="266"/>
      <c r="L491" s="266"/>
      <c r="M491" s="267"/>
      <c r="N491" s="268"/>
      <c r="O491" s="268"/>
      <c r="P491" s="269"/>
      <c r="Q491" s="139" t="str">
        <f>IF($Q490&lt;&gt;"",IF($Q490="W",IF(SUM(IF($H490&gt;$H488,1,0),IF($I490&gt;$I488,1,0),IF($J490&gt;$J488,1,0),IF($K490&gt;$K488,1,0),IF($L490&gt;$L488,1,0))&lt;&gt;3,"Error",""),""),"")</f>
        <v/>
      </c>
      <c r="R491" s="43" t="str">
        <f>$A486</f>
        <v>3rd Singles</v>
      </c>
      <c r="S491" s="43"/>
      <c r="T491" s="43"/>
      <c r="U491" s="43"/>
      <c r="V491" s="43"/>
      <c r="W491" s="43"/>
      <c r="X491" s="43"/>
      <c r="Y491" s="43"/>
      <c r="Z491" s="43"/>
      <c r="AA491" s="43"/>
      <c r="AB491" s="43"/>
      <c r="AC491" s="43"/>
      <c r="AD491" s="43"/>
      <c r="AE491" s="43"/>
      <c r="AF491" s="43"/>
    </row>
    <row r="492" spans="1:32" ht="12.75" customHeight="1">
      <c r="Q492" s="7"/>
      <c r="R492" s="60" t="s">
        <v>1228</v>
      </c>
      <c r="S492" s="101" t="s">
        <v>1126</v>
      </c>
      <c r="T492" s="102"/>
      <c r="U492" s="102"/>
      <c r="V492" s="102"/>
      <c r="W492" s="102"/>
      <c r="X492" s="103"/>
      <c r="Y492" s="60">
        <v>1</v>
      </c>
      <c r="Z492" s="60">
        <v>2</v>
      </c>
      <c r="AA492" s="60">
        <v>3</v>
      </c>
      <c r="AB492" s="60">
        <v>4</v>
      </c>
      <c r="AC492" s="60">
        <v>5</v>
      </c>
      <c r="AD492" s="104"/>
      <c r="AE492" s="105"/>
      <c r="AF492" s="106"/>
    </row>
    <row r="493" spans="1:32" ht="12.75" customHeight="1">
      <c r="A493" s="21" t="s">
        <v>1236</v>
      </c>
      <c r="H493" s="136" t="str">
        <f ca="1">IF($Q495&lt;&gt;"",IF(AND($B495&lt;&gt;"Missing Player",$B497&lt;&gt;"Missing Player"),IF(AND(AND($H495&gt;-1,$H497&gt;-1),OR($H495&gt;10,$H497&gt;10),ABS($H495-$H497)&gt;1,IF(OR($H495&gt;11,$H497&gt;11),ABS($H495-$H497)=2,TRUE),$H495=INT($H495),$H497=INT($H497)),"","Error"),""),"")</f>
        <v/>
      </c>
      <c r="I493" s="136" t="str">
        <f ca="1">IF($Q495&lt;&gt;"",IF(AND($B495&lt;&gt;"Missing Player",$B497&lt;&gt;"Missing Player"),IF(AND(AND($I495&gt;-1,$I497&gt;-1),OR($I495&gt;10,$I497&gt;10),ABS($I495-$I497)&gt;1,IF(OR($I495&gt;11,$I497&gt;11),ABS($I495-$I497)=2,TRUE),$I495=INT($I495),$I497=INT($I497)),"","Error"),""),"")</f>
        <v/>
      </c>
      <c r="J493" s="136" t="str">
        <f ca="1">IF($Q495&lt;&gt;"",IF(AND($B495&lt;&gt;"Missing Player",$B497&lt;&gt;"Missing Player"),IF(AND(AND($J495&gt;-1,$J497&gt;-1),OR($J495&gt;10,$J497&gt;10),ABS($J495-$J497)&gt;1,IF(OR($J495&gt;11,$J497&gt;11),ABS($J495-$J497)=2,TRUE),$J495=INT($J495),$J497=INT($J497)),"","Error"),""),"")</f>
        <v/>
      </c>
      <c r="K493" s="136" t="str">
        <f ca="1">IF($Q495&lt;&gt;"",IF(AND($K495&lt;&gt;"",$K497&lt;&gt;""), IF(AND(AND($K495&gt;-1,$K497&gt;-1),OR($K495&gt;10,$K497&gt;10),ABS($K495-$K497)&gt;1,IF(OR($K495&gt;11,$K497&gt;11),ABS($K495-$K497)=2,TRUE),$K495=INT($K495),$K497=INT($K497)),"","Error"),""),"")</f>
        <v/>
      </c>
      <c r="L493" s="136" t="str">
        <f ca="1">IF($Q495&lt;&gt;"",IF(AND($L495&lt;&gt;"",$L497&lt;&gt;""), IF(AND(AND($L495&gt;-1,$L497&gt;-1),OR($L495&gt;10,$L497&gt;10),ABS($L495-$L497)&gt;1,IF(OR($L495&gt;11,$L497&gt;11),ABS($L495-$L497)=2,TRUE),$L495=INT($L495),$L497=INT($L497)),"","Error"),""),"")</f>
        <v/>
      </c>
      <c r="Q493" s="7"/>
      <c r="R493" s="300" t="str">
        <f>$B468</f>
        <v>G</v>
      </c>
      <c r="S493" s="331" t="str">
        <f ca="1">IF($B488&lt;&gt;"",$B488,"")</f>
        <v/>
      </c>
      <c r="T493" s="332"/>
      <c r="U493" s="332"/>
      <c r="V493" s="332"/>
      <c r="W493" s="332"/>
      <c r="X493" s="333"/>
      <c r="Y493" s="329"/>
      <c r="Z493" s="329"/>
      <c r="AA493" s="329"/>
      <c r="AB493" s="329"/>
      <c r="AC493" s="329"/>
      <c r="AD493" s="345"/>
      <c r="AE493" s="358"/>
      <c r="AF493" s="359"/>
    </row>
    <row r="494" spans="1:32" ht="12.75" customHeight="1">
      <c r="A494" s="5" t="s">
        <v>1228</v>
      </c>
      <c r="B494" s="290" t="s">
        <v>1126</v>
      </c>
      <c r="C494" s="291"/>
      <c r="D494" s="291"/>
      <c r="E494" s="291"/>
      <c r="F494" s="291"/>
      <c r="G494" s="292"/>
      <c r="H494" s="5">
        <v>1</v>
      </c>
      <c r="I494" s="5">
        <v>2</v>
      </c>
      <c r="J494" s="5">
        <v>3</v>
      </c>
      <c r="K494" s="5">
        <v>4</v>
      </c>
      <c r="L494" s="5">
        <v>5</v>
      </c>
      <c r="M494" s="271"/>
      <c r="N494" s="272"/>
      <c r="O494" s="272"/>
      <c r="P494" s="273"/>
      <c r="Q494" s="7"/>
      <c r="R494" s="330"/>
      <c r="S494" s="334"/>
      <c r="T494" s="335"/>
      <c r="U494" s="335"/>
      <c r="V494" s="335"/>
      <c r="W494" s="335"/>
      <c r="X494" s="336"/>
      <c r="Y494" s="330"/>
      <c r="Z494" s="330"/>
      <c r="AA494" s="330"/>
      <c r="AB494" s="330"/>
      <c r="AC494" s="330"/>
      <c r="AD494" s="360"/>
      <c r="AE494" s="361"/>
      <c r="AF494" s="362"/>
    </row>
    <row r="495" spans="1:32" ht="12.75" customHeight="1">
      <c r="A495" s="300" t="str">
        <f>B468</f>
        <v>G</v>
      </c>
      <c r="B495" s="293" t="str">
        <f ca="1">IF(AND(OFFSET($AO$1,$C468-1,8,1,1),$A469&lt;&gt;"",$J469&lt;&gt;""),CHOOSE($C468,$AR$1,$AR$2,$AR$3,$AR$4,$AR$5,$AR$6,$AR$7,$AR$8,$AR$9,$AR$10,$AR$11,$AR$12),"")</f>
        <v/>
      </c>
      <c r="C495" s="294"/>
      <c r="D495" s="294"/>
      <c r="E495" s="294"/>
      <c r="F495" s="294"/>
      <c r="G495" s="294"/>
      <c r="H495" s="265"/>
      <c r="I495" s="265"/>
      <c r="J495" s="265"/>
      <c r="K495" s="265"/>
      <c r="L495" s="265" t="str">
        <f ca="1">IF(AND($B495&lt;&gt;"",$Q474&lt;&gt;""),IF($B495="Missing Player",0,IF($B497="Missing Player",11,"")),"")</f>
        <v/>
      </c>
      <c r="M495" s="262" t="str">
        <f ca="1">IF(OR(AND($B488&lt;&gt;"",$B495&lt;&gt;"",$E499&lt;=$D499),AND($B490&lt;&gt;"",$B497&lt;&gt;"",$I499&lt;=$H499)),"Invalid Lineup","")</f>
        <v/>
      </c>
      <c r="N495" s="263"/>
      <c r="O495" s="263"/>
      <c r="P495" s="264"/>
      <c r="Q495" s="137" t="str">
        <f ca="1">IF($L495=$L497,IF($K495=$K497,IF($J495&lt;&gt;"",IF($J495&gt;$J497,"W","L"),""),IF($K495&gt;$K497,"W","L")),IF($L495&gt;$L497,"W","L"))</f>
        <v/>
      </c>
      <c r="R495" s="300" t="str">
        <f>$K468</f>
        <v>H</v>
      </c>
      <c r="S495" s="331" t="str">
        <f ca="1">IF($B490&lt;&gt;"",$B490,"")</f>
        <v/>
      </c>
      <c r="T495" s="332"/>
      <c r="U495" s="332"/>
      <c r="V495" s="332"/>
      <c r="W495" s="332"/>
      <c r="X495" s="333"/>
      <c r="Y495" s="329"/>
      <c r="Z495" s="329"/>
      <c r="AA495" s="329"/>
      <c r="AB495" s="329"/>
      <c r="AC495" s="351"/>
      <c r="AD495" s="363" t="s">
        <v>1237</v>
      </c>
      <c r="AE495" s="358"/>
      <c r="AF495" s="359"/>
    </row>
    <row r="496" spans="1:32" ht="12.75" customHeight="1">
      <c r="A496" s="301"/>
      <c r="B496" s="295"/>
      <c r="C496" s="296"/>
      <c r="D496" s="296"/>
      <c r="E496" s="296"/>
      <c r="F496" s="296"/>
      <c r="G496" s="296"/>
      <c r="H496" s="270"/>
      <c r="I496" s="270"/>
      <c r="J496" s="270"/>
      <c r="K496" s="270"/>
      <c r="L496" s="270"/>
      <c r="M496" s="262"/>
      <c r="N496" s="263"/>
      <c r="O496" s="263"/>
      <c r="P496" s="264"/>
      <c r="Q496" s="139" t="str">
        <f ca="1">IF($Q495&lt;&gt;"",IF($B497&lt;&gt;"Missing Player",IF($Q495="W",IF(SUM(IF($H495&gt;$H497,1,0),IF($I495&gt;$I497,1,0),IF($J495&gt;$J497,1,0),IF($K495&gt;$K497,1,0),IF($L495&gt;$L497,1,0))&lt;&gt;3,"Error",""),""),""),"")</f>
        <v/>
      </c>
      <c r="R496" s="330"/>
      <c r="S496" s="334"/>
      <c r="T496" s="335"/>
      <c r="U496" s="335"/>
      <c r="V496" s="335"/>
      <c r="W496" s="335"/>
      <c r="X496" s="336"/>
      <c r="Y496" s="330"/>
      <c r="Z496" s="330"/>
      <c r="AA496" s="330"/>
      <c r="AB496" s="330"/>
      <c r="AC496" s="330"/>
      <c r="AD496" s="360"/>
      <c r="AE496" s="361"/>
      <c r="AF496" s="362"/>
    </row>
    <row r="497" spans="1:32" ht="12.75" customHeight="1">
      <c r="A497" s="300" t="str">
        <f>K468</f>
        <v>H</v>
      </c>
      <c r="B497" s="293" t="str">
        <f ca="1">IF(AND(OFFSET($AO$1,$L468-1,8,1,1),$A469&lt;&gt;"",$J469&lt;&gt;""),CHOOSE($L468,$AR$1,$AR$2,$AR$3,$AR$4,$AR$5,$AR$6,$AR$7,$AR$8,$AR$9,$AR$10,$AR$11,$AR$12),"")</f>
        <v/>
      </c>
      <c r="C497" s="294"/>
      <c r="D497" s="294"/>
      <c r="E497" s="294"/>
      <c r="F497" s="294"/>
      <c r="G497" s="294"/>
      <c r="H497" s="265"/>
      <c r="I497" s="265"/>
      <c r="J497" s="265"/>
      <c r="K497" s="265"/>
      <c r="L497" s="265" t="str">
        <f ca="1">IF(AND($B497&lt;&gt;"",$Q474&lt;&gt;""),IF($B497="Missing Player",0,IF($B495="Missing Player",11,"")),"")</f>
        <v/>
      </c>
      <c r="M497" s="267" t="s">
        <v>1237</v>
      </c>
      <c r="N497" s="268"/>
      <c r="O497" s="268"/>
      <c r="P497" s="269"/>
      <c r="Q497" s="137" t="str">
        <f ca="1">IF($Q495&lt;&gt;"",IF($Q495="W","L","W"),"")</f>
        <v/>
      </c>
      <c r="R497" s="112"/>
      <c r="S497" s="98"/>
      <c r="T497" s="108"/>
      <c r="U497" s="108"/>
      <c r="V497" s="108"/>
      <c r="W497" s="108"/>
      <c r="X497" s="108"/>
      <c r="Y497" s="113"/>
      <c r="Z497" s="113"/>
      <c r="AA497" s="113"/>
      <c r="AB497" s="113"/>
      <c r="AC497" s="113"/>
      <c r="AD497" s="107"/>
      <c r="AE497" s="109"/>
      <c r="AF497" s="109"/>
    </row>
    <row r="498" spans="1:32" ht="12.75" customHeight="1">
      <c r="A498" s="301"/>
      <c r="B498" s="295"/>
      <c r="C498" s="296"/>
      <c r="D498" s="296"/>
      <c r="E498" s="296"/>
      <c r="F498" s="296"/>
      <c r="G498" s="296"/>
      <c r="H498" s="270"/>
      <c r="I498" s="270"/>
      <c r="J498" s="266"/>
      <c r="K498" s="266"/>
      <c r="L498" s="266"/>
      <c r="M498" s="267"/>
      <c r="N498" s="268"/>
      <c r="O498" s="268"/>
      <c r="P498" s="269"/>
      <c r="Q498" s="139" t="str">
        <f ca="1">IF($Q497&lt;&gt;"",IF($B495&lt;&gt;"Missing Player",IF($Q497="W",IF(SUM(IF($H497&gt;$H495,1,0),IF($I497&gt;$I495,1,0),IF($J497&gt;$J495,1,0),IF($K497&gt;$K495,1,0),IF($L497&gt;$L495,1,0))&lt;&gt;3,"Error",""),""),""),"")</f>
        <v/>
      </c>
      <c r="R498" s="114"/>
      <c r="S498" s="115"/>
      <c r="T498" s="115"/>
      <c r="U498" s="115"/>
      <c r="V498" s="115"/>
      <c r="W498" s="115"/>
      <c r="X498" s="115"/>
      <c r="Y498" s="114"/>
      <c r="Z498" s="114"/>
      <c r="AA498" s="114"/>
      <c r="AB498" s="114"/>
      <c r="AC498" s="114"/>
      <c r="AD498" s="114"/>
      <c r="AE498" s="114"/>
      <c r="AF498" s="114"/>
    </row>
    <row r="499" spans="1:32" ht="12.75" customHeight="1">
      <c r="B499" s="140" t="str">
        <f ca="1">IF(ISERROR(VLOOKUP($B474&amp;"("&amp;$B468&amp;")",Players!$S$4:$T$132,2,FALSE)),"",VLOOKUP($B474&amp;"("&amp;$B468&amp;")",Players!$S$4:$T$132,2,FALSE))</f>
        <v>G1</v>
      </c>
      <c r="C499" s="140" t="str">
        <f ca="1">IF(ISERROR(VLOOKUP($B481&amp;"("&amp;$B468&amp;")",Players!$S$4:$T$132,2,FALSE)),"",VLOOKUP($B481&amp;"("&amp;$B468&amp;")",Players!$S$4:$T$132,2,FALSE))</f>
        <v>G1</v>
      </c>
      <c r="D499" s="141" t="str">
        <f ca="1">IF(ISERROR(VLOOKUP($B488&amp;"("&amp;$B468&amp;")",Players!$S$4:$T$132,2,FALSE)),"",VLOOKUP($B488&amp;"("&amp;$B468&amp;")",Players!$S$4:$T$132,2,FALSE))</f>
        <v>G1</v>
      </c>
      <c r="E499" s="141" t="str">
        <f ca="1">IF(ISERROR(VLOOKUP($B495&amp;"("&amp;$B468&amp;")",Players!$S$4:$T$132,2,FALSE)),"",VLOOKUP($B495&amp;"("&amp;$B468&amp;")",Players!$S$4:$T$132,2,FALSE))</f>
        <v>G1</v>
      </c>
      <c r="F499" s="141" t="str">
        <f ca="1">IF(ISERROR(VLOOKUP($B476&amp;"("&amp;$K468&amp;")",Players!$S$4:$T$132,2,FALSE)),"",VLOOKUP($B476&amp;"("&amp;$K468&amp;")",Players!$S$4:$T$132,2,FALSE))</f>
        <v>H1</v>
      </c>
      <c r="G499" s="141" t="str">
        <f ca="1">IF(ISERROR(VLOOKUP($B483&amp;"("&amp;$K468&amp;")",Players!$S$4:$T$132,2,FALSE)),"",VLOOKUP($B483&amp;"("&amp;$K468&amp;")",Players!$S$4:$T$132,2,FALSE))</f>
        <v>H1</v>
      </c>
      <c r="H499" s="141" t="str">
        <f ca="1">IF(ISERROR(VLOOKUP($B490&amp;"("&amp;$K468&amp;")",Players!$S$4:$T$132,2,FALSE)),"",VLOOKUP($B490&amp;"("&amp;$K468&amp;")",Players!$S$4:$T$132,2,FALSE))</f>
        <v>H1</v>
      </c>
      <c r="I499" s="141" t="str">
        <f ca="1">IF(ISERROR(VLOOKUP($B497&amp;"("&amp;$K468&amp;")",Players!$S$4:$T$132,2,FALSE)),"",VLOOKUP($B497&amp;"("&amp;$K468&amp;")",Players!$S$4:$T$132,2,FALSE))</f>
        <v>H1</v>
      </c>
      <c r="Q499" s="7"/>
      <c r="R499" s="50"/>
      <c r="S499" s="116"/>
      <c r="T499" s="115"/>
      <c r="U499" s="115"/>
      <c r="V499" s="115"/>
      <c r="W499" s="115"/>
      <c r="X499" s="115"/>
      <c r="Y499" s="99"/>
      <c r="Z499" s="99"/>
      <c r="AA499" s="99"/>
      <c r="AB499" s="99"/>
      <c r="AC499" s="117"/>
      <c r="AD499" s="118"/>
      <c r="AE499" s="114"/>
      <c r="AF499" s="114"/>
    </row>
    <row r="500" spans="1:32" ht="12.75" customHeight="1">
      <c r="A500" s="21" t="s">
        <v>1225</v>
      </c>
      <c r="H500" s="136" t="str">
        <f ca="1">IF($Q502&lt;&gt;"",IF(AND($B503&lt;&gt;"Missing Player",$B505&lt;&gt;"Missing Player"),IF(AND(AND($H502&gt;-1,$H504&gt;-1),OR($H502&gt;10,$H504&gt;10),ABS($H502-$H504)&gt;1,IF(OR($H502&gt;11,$H504&gt;11),ABS($H502-$H504)=2,TRUE),$H502=INT($H502),$H504=INT($H504)),"","Error"),""),"")</f>
        <v/>
      </c>
      <c r="I500" s="136" t="str">
        <f ca="1">IF($Q502&lt;&gt;"",IF(AND($B503&lt;&gt;"Missing Player",$B505&lt;&gt;"Missing Player"),IF(AND(AND($I502&gt;-1,$I504&gt;-1),OR($I502&gt;10,$I504&gt;10),ABS($I502-$I504)&gt;1,IF(OR($I502&gt;11,$I504&gt;11),ABS($I502-$I504)=2,TRUE),$I502=INT($I502),$I504=INT($I504)),"","Error"),""),"")</f>
        <v/>
      </c>
      <c r="J500" s="136" t="str">
        <f ca="1">IF($Q502&lt;&gt;"",IF(AND($B503&lt;&gt;"Missing Player",$B505&lt;&gt;"Missing Player"),IF(AND(AND($J502&gt;-1,$J504&gt;-1),OR($J502&gt;10,$J504&gt;10),ABS($J502-$J504)&gt;1,IF(OR($J502&gt;11,$J504&gt;11),ABS($J502-$J504)=2,TRUE),$J502=INT($J502),$J504=INT($J504)),"","Error"),""),"")</f>
        <v/>
      </c>
      <c r="K500" s="136" t="str">
        <f ca="1">IF($Q502&lt;&gt;"",IF(AND($K502&lt;&gt;"",$K504&lt;&gt;""), IF(AND(AND($K502&gt;-1,$K504&gt;-1),OR($K502&gt;10,$K504&gt;10),ABS($K502-$K504)&gt;1,IF(OR($K502&gt;11,$K504&gt;11),ABS($K502-$K504)=2,TRUE),$K502=INT($K502),$K504=INT($K504)),"","Error"),""),"")</f>
        <v/>
      </c>
      <c r="L500" s="136" t="str">
        <f ca="1">IF($Q502&lt;&gt;"",IF(AND($L502&lt;&gt;"",$L504&lt;&gt;""), IF(AND(AND($L502&gt;-1,$L504&gt;-1),OR($L502&gt;10,$L504&gt;10),ABS($L502-$L504)&gt;1,IF(OR($L502&gt;11,$L504&gt;11),ABS($L502-$L504)=2,TRUE),$L502=INT($L502),$L504=INT($L504)),"","Error"),""),"")</f>
        <v/>
      </c>
      <c r="Q500" s="7"/>
      <c r="R500" s="114"/>
      <c r="S500" s="115"/>
      <c r="T500" s="115"/>
      <c r="U500" s="115"/>
      <c r="V500" s="115"/>
      <c r="W500" s="115"/>
      <c r="X500" s="115"/>
      <c r="Y500" s="114"/>
      <c r="Z500" s="114"/>
      <c r="AA500" s="114"/>
      <c r="AB500" s="114"/>
      <c r="AC500" s="114"/>
      <c r="AD500" s="114"/>
      <c r="AE500" s="114"/>
      <c r="AF500" s="114"/>
    </row>
    <row r="501" spans="1:32" ht="12.75" customHeight="1">
      <c r="A501" s="5" t="s">
        <v>1228</v>
      </c>
      <c r="B501" s="290" t="s">
        <v>1126</v>
      </c>
      <c r="C501" s="291"/>
      <c r="D501" s="291"/>
      <c r="E501" s="291"/>
      <c r="F501" s="291"/>
      <c r="G501" s="292"/>
      <c r="H501" s="5">
        <v>1</v>
      </c>
      <c r="I501" s="5">
        <v>2</v>
      </c>
      <c r="J501" s="5">
        <v>3</v>
      </c>
      <c r="K501" s="5">
        <v>4</v>
      </c>
      <c r="L501" s="5">
        <v>5</v>
      </c>
      <c r="M501" s="271"/>
      <c r="N501" s="272"/>
      <c r="O501" s="272"/>
      <c r="P501" s="273"/>
      <c r="Q501" s="8"/>
      <c r="S501" s="24"/>
      <c r="T501" s="26"/>
    </row>
    <row r="502" spans="1:32" ht="12.75" customHeight="1">
      <c r="A502" s="300" t="str">
        <f>B468</f>
        <v>G</v>
      </c>
      <c r="B502" s="311" t="str">
        <f ca="1">IF($B474&lt;&gt;"",$B474,"")</f>
        <v/>
      </c>
      <c r="C502" s="312"/>
      <c r="D502" s="312"/>
      <c r="E502" s="312"/>
      <c r="F502" s="312"/>
      <c r="G502" s="313"/>
      <c r="H502" s="265"/>
      <c r="I502" s="265"/>
      <c r="J502" s="265"/>
      <c r="K502" s="265"/>
      <c r="L502" s="265" t="str">
        <f ca="1">IF($B495&lt;&gt;"",IF(AND($B495="Missing Player",$G506=2,$J506=2),0,IF(AND($B497="Missing Player",$G506=2,$J506=2),11,"")),"")</f>
        <v/>
      </c>
      <c r="M502" s="262" t="str">
        <f ca="1">IF(OR(AND($B502&lt;&gt;"",$B503&lt;&gt;"",$B502=$B503),AND($B504&lt;&gt;"",$B505&lt;&gt;"",$B504=$B505)),"Invalid Partner","")</f>
        <v/>
      </c>
      <c r="N502" s="263"/>
      <c r="O502" s="263"/>
      <c r="P502" s="264"/>
      <c r="Q502" s="138" t="str">
        <f ca="1">IF(L502=L504,IF(K502=K504,IF(J502&lt;&gt;"",IF(J502&gt;J504,"W","L"),""),IF(K502&gt;K504,"W","L")),IF(L502&gt;L504,"W","L"))</f>
        <v/>
      </c>
      <c r="S502" s="24"/>
      <c r="T502" s="26"/>
    </row>
    <row r="503" spans="1:32" ht="12.75" customHeight="1">
      <c r="A503" s="324"/>
      <c r="B503" s="308" t="str">
        <f ca="1">IF($B495="Missing Player",$B495,"")</f>
        <v/>
      </c>
      <c r="C503" s="309"/>
      <c r="D503" s="309"/>
      <c r="E503" s="309"/>
      <c r="F503" s="309"/>
      <c r="G503" s="310"/>
      <c r="H503" s="270"/>
      <c r="I503" s="270"/>
      <c r="J503" s="270"/>
      <c r="K503" s="270"/>
      <c r="L503" s="270"/>
      <c r="M503" s="262"/>
      <c r="N503" s="263"/>
      <c r="O503" s="263"/>
      <c r="P503" s="264"/>
      <c r="Q503" s="139" t="str">
        <f ca="1">IF($Q502&lt;&gt;"",IF($B505&lt;&gt;"Missing Player",IF($Q502="W",IF(SUM(IF($H502&gt;$H504,1,0),IF($I502&gt;$I504,1,0),IF($J502&gt;$J504,1,0),IF($K502&gt;$K504,1,0),IF($L502&gt;$L504,1,0))&lt;&gt;3,"Error",""),""),""),"")</f>
        <v/>
      </c>
      <c r="R503" s="328" t="str">
        <f>$A469</f>
        <v/>
      </c>
      <c r="S503" s="328"/>
      <c r="T503" s="328"/>
      <c r="U503" s="328"/>
      <c r="V503" s="328"/>
      <c r="W503" s="328"/>
      <c r="X503" s="256" t="str">
        <f>CONCATENATE("(",$B468," vs ",$K468,")")</f>
        <v>(G vs H)</v>
      </c>
      <c r="Y503" s="256"/>
      <c r="Z503" s="328" t="str">
        <f>$J469</f>
        <v/>
      </c>
      <c r="AA503" s="328"/>
      <c r="AB503" s="328"/>
      <c r="AC503" s="328"/>
      <c r="AD503" s="328"/>
      <c r="AE503" s="328"/>
      <c r="AF503" s="43"/>
    </row>
    <row r="504" spans="1:32" ht="12.75" customHeight="1">
      <c r="A504" s="325" t="str">
        <f>K468</f>
        <v>H</v>
      </c>
      <c r="B504" s="311" t="str">
        <f ca="1">IF($B476&lt;&gt;"",$B476,"")</f>
        <v/>
      </c>
      <c r="C504" s="312"/>
      <c r="D504" s="312"/>
      <c r="E504" s="312"/>
      <c r="F504" s="312"/>
      <c r="G504" s="313"/>
      <c r="H504" s="265"/>
      <c r="I504" s="265"/>
      <c r="J504" s="265"/>
      <c r="K504" s="265"/>
      <c r="L504" s="265" t="str">
        <f ca="1">IF($B497&lt;&gt;"",IF(AND($B497="Missing Player",$G506=2,$J506=2),0,IF(AND($B495="Missing Player",$G506=2,$J506=2),11,"")),"")</f>
        <v/>
      </c>
      <c r="M504" s="267" t="s">
        <v>1237</v>
      </c>
      <c r="N504" s="268"/>
      <c r="O504" s="268"/>
      <c r="P504" s="269"/>
      <c r="Q504" s="138" t="str">
        <f ca="1">IF(Q502&lt;&gt;"",IF(Q502="W","L","W"),"")</f>
        <v/>
      </c>
      <c r="R504" s="43"/>
      <c r="S504" s="43"/>
      <c r="T504" s="43"/>
      <c r="U504" s="43"/>
      <c r="V504" s="43"/>
      <c r="W504" s="43"/>
      <c r="X504" s="43"/>
      <c r="Y504" s="43"/>
      <c r="Z504" s="43"/>
      <c r="AA504" s="43"/>
      <c r="AB504" s="43"/>
      <c r="AC504" s="43"/>
      <c r="AD504" s="43"/>
      <c r="AE504" s="43"/>
      <c r="AF504" s="43"/>
    </row>
    <row r="505" spans="1:32" ht="12.75" customHeight="1">
      <c r="A505" s="324"/>
      <c r="B505" s="308" t="str">
        <f ca="1">IF($B497="Missing Player",$B497,"")</f>
        <v/>
      </c>
      <c r="C505" s="309"/>
      <c r="D505" s="309"/>
      <c r="E505" s="309"/>
      <c r="F505" s="309"/>
      <c r="G505" s="310"/>
      <c r="H505" s="270"/>
      <c r="I505" s="270"/>
      <c r="J505" s="266"/>
      <c r="K505" s="266"/>
      <c r="L505" s="266"/>
      <c r="M505" s="267"/>
      <c r="N505" s="268"/>
      <c r="O505" s="268"/>
      <c r="P505" s="269"/>
      <c r="Q505" s="139" t="str">
        <f ca="1">IF($Q504&lt;&gt;"",IF($B503&lt;&gt;"Missing Player",IF($Q504="W",IF(SUM(IF($H504&gt;$H502,1,0),IF($I504&gt;$I502,1,0),IF($J504&gt;$J502,1,0),IF($K504&gt;$K502,1,0),IF($L504&gt;$L502,1,0))&lt;&gt;3,"Error",""),""),""),"")</f>
        <v/>
      </c>
      <c r="R505" s="43" t="str">
        <f>A493</f>
        <v>4th Singles</v>
      </c>
      <c r="S505" s="43"/>
      <c r="T505" s="43"/>
      <c r="U505" s="43"/>
      <c r="V505" s="43"/>
      <c r="W505" s="43"/>
      <c r="X505" s="43"/>
      <c r="Y505" s="43"/>
      <c r="Z505" s="43"/>
      <c r="AA505" s="43"/>
      <c r="AB505" s="43"/>
      <c r="AC505" s="43"/>
      <c r="AD505" s="43"/>
      <c r="AE505" s="43"/>
      <c r="AF505" s="43"/>
    </row>
    <row r="506" spans="1:32" ht="12.75" customHeight="1">
      <c r="G506" s="66">
        <f ca="1">COUNTIF($Q474:$Q474,"W")+COUNTIF($Q481:$Q481,"W")+COUNTIF($Q488:$Q488,"W")+COUNTIF($Q495:$Q495,"W")</f>
        <v>0</v>
      </c>
      <c r="J506" s="66">
        <f ca="1">COUNTIF($Q476:$Q476,"W")+COUNTIF($Q483:$Q483,"W")+COUNTIF($Q490:$Q490,"W")+COUNTIF($Q497:$Q497,"W")</f>
        <v>0</v>
      </c>
      <c r="R506" s="60" t="s">
        <v>1228</v>
      </c>
      <c r="S506" s="339" t="s">
        <v>1126</v>
      </c>
      <c r="T506" s="340"/>
      <c r="U506" s="340"/>
      <c r="V506" s="340"/>
      <c r="W506" s="340"/>
      <c r="X506" s="341"/>
      <c r="Y506" s="60">
        <v>1</v>
      </c>
      <c r="Z506" s="60">
        <v>2</v>
      </c>
      <c r="AA506" s="60">
        <v>3</v>
      </c>
      <c r="AB506" s="60">
        <v>4</v>
      </c>
      <c r="AC506" s="60">
        <v>5</v>
      </c>
      <c r="AD506" s="342"/>
      <c r="AE506" s="343"/>
      <c r="AF506" s="344"/>
    </row>
    <row r="507" spans="1:32" ht="12.75" customHeight="1" thickBot="1">
      <c r="F507" s="246" t="s">
        <v>1238</v>
      </c>
      <c r="G507" s="246"/>
      <c r="H507" s="246"/>
      <c r="I507" s="246"/>
      <c r="J507" s="246"/>
      <c r="K507" s="246"/>
      <c r="R507" s="300" t="str">
        <f>B468</f>
        <v>G</v>
      </c>
      <c r="S507" s="331" t="str">
        <f ca="1">IF($B495&lt;&gt;"",$B495,"")</f>
        <v/>
      </c>
      <c r="T507" s="353"/>
      <c r="U507" s="353"/>
      <c r="V507" s="353"/>
      <c r="W507" s="353"/>
      <c r="X507" s="354"/>
      <c r="Y507" s="329"/>
      <c r="Z507" s="329"/>
      <c r="AA507" s="351"/>
      <c r="AB507" s="351"/>
      <c r="AC507" s="351"/>
      <c r="AD507" s="345"/>
      <c r="AE507" s="346"/>
      <c r="AF507" s="347"/>
    </row>
    <row r="508" spans="1:32" ht="12.75" customHeight="1">
      <c r="A508" s="22"/>
      <c r="B508" s="22"/>
      <c r="C508" s="22"/>
      <c r="D508" s="22"/>
      <c r="E508" s="22"/>
      <c r="G508" s="304" t="str">
        <f>B468</f>
        <v>G</v>
      </c>
      <c r="H508" s="305"/>
      <c r="I508" s="302" t="str">
        <f>K468</f>
        <v>H</v>
      </c>
      <c r="J508" s="303"/>
      <c r="L508" s="22"/>
      <c r="M508" s="22"/>
      <c r="N508" s="22"/>
      <c r="O508" s="22"/>
      <c r="P508" s="22"/>
      <c r="R508" s="301"/>
      <c r="S508" s="355"/>
      <c r="T508" s="356"/>
      <c r="U508" s="356"/>
      <c r="V508" s="356"/>
      <c r="W508" s="356"/>
      <c r="X508" s="357"/>
      <c r="Y508" s="338"/>
      <c r="Z508" s="338"/>
      <c r="AA508" s="352"/>
      <c r="AB508" s="352"/>
      <c r="AC508" s="352"/>
      <c r="AD508" s="348"/>
      <c r="AE508" s="349"/>
      <c r="AF508" s="350"/>
    </row>
    <row r="509" spans="1:32" ht="12.75" customHeight="1" thickBot="1">
      <c r="A509" s="2" t="s">
        <v>1228</v>
      </c>
      <c r="B509" s="53" t="str">
        <f>B468</f>
        <v>G</v>
      </c>
      <c r="C509" s="3" t="s">
        <v>1226</v>
      </c>
      <c r="F509" s="66" t="str">
        <f>CONCATENATE($B468,"-",$K468)</f>
        <v>G-H</v>
      </c>
      <c r="G509" s="320" t="str">
        <f ca="1">IF(OR(Q474&lt;&gt;"",Q481&lt;&gt;"",Q488&lt;&gt;"",Q495&lt;&gt;"",Q502&lt;&gt;""),COUNTIF(Q474:Q474,"W")+COUNTIF(Q481:Q481,"W")+COUNTIF(Q488:Q488,"W")+COUNTIF(Q495:Q495,"W")+COUNTIF(Q502:Q502,"W"),"")</f>
        <v/>
      </c>
      <c r="H509" s="321"/>
      <c r="I509" s="322" t="str">
        <f ca="1">IF(OR(Q476&lt;&gt;"",Q483&lt;&gt;"",Q490&lt;&gt;"",Q497&lt;&gt;"",Q504&lt;&gt;""),COUNTIF(Q476:Q476,"W")+COUNTIF(Q483:Q483,"W")+COUNTIF(Q490:Q490,"W")+COUNTIF(Q497:Q497,"W")+COUNTIF(Q504:Q504,"W"),"")</f>
        <v/>
      </c>
      <c r="J509" s="323"/>
      <c r="L509" s="2" t="s">
        <v>1228</v>
      </c>
      <c r="M509" s="53" t="str">
        <f>K468</f>
        <v>H</v>
      </c>
      <c r="N509" s="3" t="s">
        <v>1226</v>
      </c>
      <c r="R509" s="300" t="str">
        <f>K468</f>
        <v>H</v>
      </c>
      <c r="S509" s="331" t="str">
        <f ca="1">IF($B497&lt;&gt;"",$B497,"")</f>
        <v/>
      </c>
      <c r="T509" s="332"/>
      <c r="U509" s="332"/>
      <c r="V509" s="332"/>
      <c r="W509" s="332"/>
      <c r="X509" s="333"/>
      <c r="Y509" s="329"/>
      <c r="Z509" s="329"/>
      <c r="AA509" s="351"/>
      <c r="AB509" s="351"/>
      <c r="AC509" s="351"/>
      <c r="AD509" s="363" t="s">
        <v>1237</v>
      </c>
      <c r="AE509" s="358"/>
      <c r="AF509" s="359"/>
    </row>
    <row r="510" spans="1:32" ht="12.75" customHeight="1">
      <c r="F510" s="25" t="s">
        <v>3996</v>
      </c>
      <c r="G510" s="23"/>
      <c r="H510" s="23"/>
      <c r="I510" s="23"/>
      <c r="J510" s="23"/>
      <c r="K510" s="24"/>
      <c r="R510" s="330"/>
      <c r="S510" s="334"/>
      <c r="T510" s="335"/>
      <c r="U510" s="335"/>
      <c r="V510" s="335"/>
      <c r="W510" s="335"/>
      <c r="X510" s="336"/>
      <c r="Y510" s="330"/>
      <c r="Z510" s="330"/>
      <c r="AA510" s="330"/>
      <c r="AB510" s="330"/>
      <c r="AC510" s="330"/>
      <c r="AD510" s="360"/>
      <c r="AE510" s="361"/>
      <c r="AF510" s="362"/>
    </row>
    <row r="511" spans="1:32" ht="12.75" customHeight="1">
      <c r="R511" s="1"/>
      <c r="S511" s="110"/>
      <c r="T511" s="110"/>
      <c r="U511" s="110"/>
      <c r="V511" s="110"/>
      <c r="W511" s="110"/>
      <c r="X511" s="111"/>
      <c r="Y511" s="111"/>
      <c r="Z511" s="111"/>
      <c r="AA511" s="111"/>
    </row>
    <row r="512" spans="1:32" ht="12.75" customHeight="1">
      <c r="F512" s="246" t="s">
        <v>4929</v>
      </c>
      <c r="G512" s="246"/>
      <c r="H512" s="246"/>
      <c r="I512" s="246"/>
      <c r="R512" s="1"/>
      <c r="S512" s="110"/>
      <c r="T512" s="110"/>
      <c r="U512" s="110"/>
      <c r="V512" s="110"/>
      <c r="W512" s="110"/>
      <c r="X512" s="111"/>
      <c r="Y512" s="111"/>
      <c r="Z512" s="111"/>
      <c r="AA512" s="111"/>
    </row>
    <row r="513" spans="1:32" ht="12.75" customHeight="1">
      <c r="F513" s="246" t="s">
        <v>4930</v>
      </c>
      <c r="G513" s="246"/>
      <c r="H513" s="246"/>
      <c r="I513" s="246"/>
      <c r="R513" s="1"/>
      <c r="S513" s="110"/>
      <c r="T513" s="110"/>
      <c r="U513" s="110"/>
      <c r="V513" s="110"/>
      <c r="W513" s="110"/>
      <c r="X513" s="111"/>
      <c r="Y513" s="111"/>
      <c r="Z513" s="111"/>
      <c r="AA513" s="111"/>
    </row>
    <row r="514" spans="1:32" ht="12.75" customHeight="1">
      <c r="K514" s="281" t="s">
        <v>1244</v>
      </c>
      <c r="L514" s="281"/>
      <c r="M514" s="281"/>
      <c r="N514" s="281"/>
      <c r="O514" s="281"/>
      <c r="P514" s="281"/>
      <c r="R514" s="1"/>
      <c r="S514" s="110"/>
      <c r="T514" s="110"/>
      <c r="U514" s="110"/>
      <c r="V514" s="110"/>
      <c r="W514" s="110"/>
      <c r="X514" s="111"/>
      <c r="Y514" s="111"/>
      <c r="Z514" s="111"/>
      <c r="AA514" s="111"/>
    </row>
    <row r="515" spans="1:32" ht="12.75" customHeight="1">
      <c r="A515" s="12" t="s">
        <v>1229</v>
      </c>
      <c r="B515" s="11"/>
      <c r="C515" s="11"/>
      <c r="D515" s="11" t="str">
        <f>Draw!$B$1</f>
        <v>Enter Division Name</v>
      </c>
      <c r="E515" s="11"/>
      <c r="F515" s="7"/>
      <c r="G515" s="6"/>
      <c r="H515" s="7"/>
      <c r="I515" s="11"/>
      <c r="J515" s="11"/>
      <c r="K515" s="11"/>
      <c r="L515" s="11"/>
      <c r="M515" s="281"/>
      <c r="N515" s="281"/>
      <c r="O515" s="281"/>
      <c r="P515" s="281"/>
      <c r="R515" s="1"/>
      <c r="S515" s="110"/>
      <c r="T515" s="110"/>
      <c r="U515" s="110"/>
      <c r="V515" s="110"/>
      <c r="W515" s="110"/>
      <c r="X515" s="111"/>
      <c r="Y515" s="111"/>
      <c r="Z515" s="111"/>
      <c r="AA515" s="111"/>
    </row>
    <row r="516" spans="1:32" ht="12.75" customHeight="1">
      <c r="A516" s="2" t="s">
        <v>1230</v>
      </c>
      <c r="D516" s="43" t="str">
        <f>Draw!$D$1</f>
        <v>Enter Hosting Location (City, ST)</v>
      </c>
      <c r="J516" s="43" t="str">
        <f ca="1">$J$6</f>
        <v>[NCTTA Teams Template (v2.06).xlsx]</v>
      </c>
      <c r="R516" s="1"/>
      <c r="S516" s="110"/>
      <c r="T516" s="110"/>
      <c r="U516" s="110"/>
      <c r="V516" s="110"/>
      <c r="W516" s="110"/>
      <c r="X516" s="111"/>
      <c r="Y516" s="111"/>
      <c r="Z516" s="111"/>
      <c r="AA516" s="111"/>
    </row>
    <row r="517" spans="1:32" ht="12.75" customHeight="1">
      <c r="A517" s="2" t="s">
        <v>1231</v>
      </c>
      <c r="D517" s="337" t="str">
        <f>Draw!$P$1</f>
        <v>Enter Date</v>
      </c>
      <c r="E517" s="337"/>
      <c r="F517" s="337"/>
      <c r="G517" s="337"/>
      <c r="J517" s="280" t="str">
        <f>CHOOSE(Draw!$T$1,"Round 2, Match 5","Round 4, Match 2","Round 3, Match 3","Round 2, Match 4","Round 4, Match 2","Round 4, Match 2","Round 4, Match 2","Round 3, Match 3","Round 3, Match 3","Round 3, Match 1","Round 3, Match 1")</f>
        <v>Round 3, Match 3</v>
      </c>
      <c r="K517" s="280"/>
      <c r="L517" s="280"/>
      <c r="M517" s="276" t="str">
        <f>IF(AND($J517&lt;&gt;"",Draw!$AC$10&lt;&gt;"",Draw!$AC$13&lt;&gt;""),Draw!$AC$10+TIME(0,VALUE(MID($J517,7,FIND(",",$J517)-FIND(" ",$J517)-1)-1)*Draw!$AC$13,0),"")</f>
        <v/>
      </c>
      <c r="N517" s="276"/>
      <c r="O517" s="157" t="str">
        <f>$F560</f>
        <v>E-H</v>
      </c>
      <c r="R517" s="1"/>
      <c r="S517" s="110"/>
      <c r="T517" s="110"/>
      <c r="U517" s="110"/>
      <c r="V517" s="110"/>
      <c r="W517" s="110"/>
      <c r="X517" s="111"/>
      <c r="Y517" s="111"/>
      <c r="Z517" s="111"/>
      <c r="AA517" s="111"/>
    </row>
    <row r="518" spans="1:32" ht="12.75" customHeight="1">
      <c r="A518" s="14"/>
      <c r="B518" s="15"/>
      <c r="C518" s="15"/>
      <c r="D518" s="15"/>
      <c r="E518" s="15"/>
      <c r="F518" s="14"/>
      <c r="G518" s="14"/>
      <c r="H518" s="16"/>
      <c r="I518" s="14"/>
      <c r="J518" s="15"/>
      <c r="K518" s="15"/>
      <c r="L518" s="15"/>
      <c r="M518" s="15"/>
      <c r="N518" s="15"/>
      <c r="O518" s="364" t="str">
        <f>IF(OR(AND(VLOOKUP($B519,$AM$1:$AX$12,12,FALSE)="C",VLOOKUP($K519,$AM$1:$AX$12,12,FALSE)="C"),AND(VLOOKUP($B519,$AM$1:$AX$12,12,FALSE)="W",VLOOKUP($K519,$AM$1:$AX$12,12,FALSE)="W")),"Official",IF(AND($A520="",$J520=""),"","Scrimmage"))</f>
        <v/>
      </c>
      <c r="P518" s="364"/>
      <c r="R518" s="1"/>
      <c r="S518" s="110"/>
      <c r="T518" s="110"/>
      <c r="U518" s="110"/>
      <c r="V518" s="110"/>
      <c r="W518" s="110"/>
      <c r="X518" s="111"/>
      <c r="Y518" s="111"/>
      <c r="Z518" s="111"/>
      <c r="AA518" s="111"/>
    </row>
    <row r="519" spans="1:32" ht="12.75" customHeight="1">
      <c r="A519" s="17" t="s">
        <v>1228</v>
      </c>
      <c r="B519" s="119" t="str">
        <f>CHOOSE(Draw!$T$1,"D","C","E","J","A","C","C","C","B","A","A")</f>
        <v>E</v>
      </c>
      <c r="C519" s="135">
        <f>VLOOKUP($B519,$AM$1:$AN$12,2)</f>
        <v>5</v>
      </c>
      <c r="D519" s="13"/>
      <c r="E519" s="13"/>
      <c r="F519" s="10"/>
      <c r="H519" s="19" t="s">
        <v>1232</v>
      </c>
      <c r="J519" s="17" t="s">
        <v>1228</v>
      </c>
      <c r="K519" s="119" t="str">
        <f>CHOOSE(Draw!$T$1,"G","F","H","K","F","F","E","G","E","H","J")</f>
        <v>H</v>
      </c>
      <c r="L519" s="135">
        <f>VLOOKUP($K519,$AM$1:$AN$12,2)</f>
        <v>8</v>
      </c>
      <c r="M519" s="13"/>
      <c r="N519" s="13"/>
      <c r="O519" s="18"/>
      <c r="P519" s="274"/>
      <c r="Q519" s="275"/>
      <c r="R519" s="1"/>
      <c r="S519" s="110"/>
      <c r="T519" s="110"/>
      <c r="U519" s="110"/>
      <c r="V519" s="110"/>
      <c r="W519" s="110"/>
      <c r="X519" s="111"/>
      <c r="Y519" s="111"/>
      <c r="Z519" s="111"/>
      <c r="AA519" s="111"/>
    </row>
    <row r="520" spans="1:32" ht="12.75" customHeight="1">
      <c r="A520" s="277" t="str">
        <f>IF(VLOOKUP($B519,Draw!$A$4:$B$27,2)&lt;&gt;0,VLOOKUP($B519,Draw!$A$4:$B$27,2),"")</f>
        <v/>
      </c>
      <c r="B520" s="278"/>
      <c r="C520" s="278"/>
      <c r="D520" s="278"/>
      <c r="E520" s="278"/>
      <c r="F520" s="279"/>
      <c r="G520" s="306" t="s">
        <v>4162</v>
      </c>
      <c r="H520" s="289"/>
      <c r="I520" s="307"/>
      <c r="J520" s="277" t="str">
        <f>IF(VLOOKUP($K519,Draw!$A$4:$B$27,2)&lt;&gt;0,VLOOKUP($K519,Draw!$A$4:$B$27,2),"")</f>
        <v/>
      </c>
      <c r="K520" s="278"/>
      <c r="L520" s="278"/>
      <c r="M520" s="278"/>
      <c r="N520" s="278"/>
      <c r="O520" s="279"/>
      <c r="P520" s="15"/>
      <c r="R520" s="1"/>
      <c r="S520" s="110"/>
      <c r="T520" s="110"/>
      <c r="U520" s="110"/>
      <c r="V520" s="110"/>
      <c r="W520" s="110"/>
      <c r="X520" s="111"/>
      <c r="Y520" s="111"/>
      <c r="Z520" s="111"/>
      <c r="AA520" s="111"/>
    </row>
    <row r="521" spans="1:32" ht="12.75" customHeight="1">
      <c r="A521" s="14"/>
      <c r="B521" s="15"/>
      <c r="C521" s="15"/>
      <c r="D521" s="15"/>
      <c r="E521" s="15"/>
      <c r="F521" s="14"/>
      <c r="G521" s="288" t="str">
        <f>"Page "&amp;VALUE(RIGHT($G520,LEN($G520)-SEARCH("-",$G520)))/2</f>
        <v>Page 11</v>
      </c>
      <c r="H521" s="289"/>
      <c r="I521" s="289"/>
      <c r="J521" s="15"/>
      <c r="K521" s="15"/>
      <c r="L521" s="15"/>
      <c r="M521" s="15"/>
      <c r="N521" s="15"/>
      <c r="O521" s="15"/>
      <c r="P521" s="15"/>
      <c r="R521" s="1"/>
      <c r="S521" s="110"/>
      <c r="T521" s="110"/>
      <c r="U521" s="110"/>
      <c r="V521" s="110"/>
      <c r="W521" s="110"/>
      <c r="X521" s="111"/>
      <c r="Y521" s="111"/>
      <c r="Z521" s="111"/>
      <c r="AA521" s="111"/>
      <c r="AF521" s="27"/>
    </row>
    <row r="522" spans="1:32" ht="12.75" customHeight="1">
      <c r="A522" s="327" t="s">
        <v>1245</v>
      </c>
      <c r="B522" s="327"/>
      <c r="C522" s="327"/>
      <c r="D522" s="327"/>
      <c r="E522" s="327"/>
      <c r="F522" s="327"/>
      <c r="G522" s="327"/>
      <c r="H522" s="327"/>
      <c r="I522" s="327"/>
      <c r="J522" s="327"/>
      <c r="K522" s="327"/>
      <c r="L522" s="327"/>
      <c r="M522" s="327"/>
      <c r="N522" s="327"/>
      <c r="O522" s="327"/>
      <c r="P522" s="327"/>
      <c r="Q522" s="7"/>
      <c r="R522" s="1"/>
      <c r="S522" s="110"/>
      <c r="T522" s="110"/>
      <c r="U522" s="110"/>
      <c r="V522" s="110"/>
      <c r="W522" s="110"/>
      <c r="X522" s="111"/>
      <c r="Y522" s="111"/>
      <c r="Z522" s="111"/>
      <c r="AA522" s="111"/>
      <c r="AF522" s="20"/>
    </row>
    <row r="523" spans="1:32" ht="12.75" customHeight="1">
      <c r="A523" s="21" t="s">
        <v>1233</v>
      </c>
      <c r="H523" s="136" t="str">
        <f>IF($Q525&lt;&gt;"",IF(AND(AND($H525&gt;-1,$H527&gt;-1),OR($H525&gt;10,$H527&gt;10),ABS($H525-$H527)&gt;1,IF(OR($H525&gt;11,$H527&gt;11),ABS($H525-$H527)=2,TRUE),$H525=INT($H525),$H527=INT($H527)),"","Error"),"")</f>
        <v/>
      </c>
      <c r="I523" s="136" t="str">
        <f>IF($Q525&lt;&gt;"",IF(AND(AND($I525&gt;-1,$I527&gt;-1),OR($I525&gt;10,$I527&gt;10),ABS($I525-$I527)&gt;1,IF(OR($I525&gt;11,$I527&gt;11),ABS($I525-$I527)=2,TRUE),$I525=INT($I525),$I527=INT($I527)),"","Error"),"")</f>
        <v/>
      </c>
      <c r="J523" s="136" t="str">
        <f>IF($Q525&lt;&gt;"",IF(AND(AND($J525&gt;-1,$J527&gt;-1),OR($J525&gt;10,$J527&gt;10),ABS($J525-$J527)&gt;1,IF(OR($J525&gt;11,$J527&gt;11),ABS($J525-$J527)=2,TRUE),$J525=INT($J525),$J527=INT($J527)),"","Error"),"")</f>
        <v/>
      </c>
      <c r="K523" s="136" t="str">
        <f>IF($Q525&lt;&gt;"",IF(AND($K525&lt;&gt;"",$K527&lt;&gt;""), IF(AND(AND($K525&gt;-1,$K527&gt;-1),OR($K525&gt;10,$K527&gt;10),ABS($K525-$K527)&gt;1,IF(OR($K525&gt;11,$K527&gt;11),ABS($K525-$K527)=2,TRUE),$K525=INT($K525),$K527=INT($K527)),"","Error"),""),"")</f>
        <v/>
      </c>
      <c r="L523" s="136" t="str">
        <f>IF($Q525&lt;&gt;"",IF(AND($L525&lt;&gt;"",$L527&lt;&gt;""), IF(AND(AND($L525&gt;-1,$L527&gt;-1),OR($L525&gt;10,$L527&gt;10),ABS($L525-$L527)&gt;1,IF(OR($L525&gt;11,$L527&gt;11),ABS($L525-$L527)=2,TRUE),$L525=INT($L525),$L527=INT($L527)),"","Error"),""),"")</f>
        <v/>
      </c>
      <c r="R523" s="1"/>
      <c r="S523" s="110"/>
      <c r="T523" s="110"/>
      <c r="U523" s="110"/>
      <c r="V523" s="110"/>
      <c r="W523" s="110"/>
      <c r="X523" s="111"/>
      <c r="Y523" s="111"/>
      <c r="Z523" s="111"/>
      <c r="AA523" s="111"/>
    </row>
    <row r="524" spans="1:32" ht="12.75" customHeight="1">
      <c r="A524" s="5" t="s">
        <v>1228</v>
      </c>
      <c r="B524" s="290" t="s">
        <v>1126</v>
      </c>
      <c r="C524" s="291"/>
      <c r="D524" s="291"/>
      <c r="E524" s="291"/>
      <c r="F524" s="291"/>
      <c r="G524" s="292"/>
      <c r="H524" s="5">
        <v>1</v>
      </c>
      <c r="I524" s="5">
        <v>2</v>
      </c>
      <c r="J524" s="5">
        <v>3</v>
      </c>
      <c r="K524" s="5">
        <v>4</v>
      </c>
      <c r="L524" s="5">
        <v>5</v>
      </c>
      <c r="M524" s="271"/>
      <c r="N524" s="272"/>
      <c r="O524" s="272"/>
      <c r="P524" s="273"/>
      <c r="R524" s="1"/>
      <c r="S524" s="110"/>
      <c r="T524" s="110"/>
      <c r="U524" s="110"/>
      <c r="V524" s="110"/>
      <c r="W524" s="110"/>
      <c r="X524" s="111"/>
      <c r="Y524" s="111"/>
      <c r="Z524" s="111"/>
      <c r="AA524" s="111"/>
    </row>
    <row r="525" spans="1:32" ht="12.75" customHeight="1">
      <c r="A525" s="300" t="str">
        <f>B519</f>
        <v>E</v>
      </c>
      <c r="B525" s="293" t="str">
        <f ca="1">IF(AND(OFFSET($AO$1,$C519-1,8,1,1),$A520&lt;&gt;"",$J520&lt;&gt;""),CHOOSE($C519,$AO$1,$AO$2,$AO$3,$AO$4,$AO$5,$AO$6,$AO$7,$AO$8,$AO$9,$AO$10,$AO$11,$AO$12),"")</f>
        <v/>
      </c>
      <c r="C525" s="294"/>
      <c r="D525" s="294"/>
      <c r="E525" s="294"/>
      <c r="F525" s="294"/>
      <c r="G525" s="294"/>
      <c r="H525" s="265"/>
      <c r="I525" s="265"/>
      <c r="J525" s="265"/>
      <c r="K525" s="265"/>
      <c r="L525" s="265"/>
      <c r="M525" s="297"/>
      <c r="N525" s="298"/>
      <c r="O525" s="298"/>
      <c r="P525" s="299"/>
      <c r="Q525" s="137" t="str">
        <f>IF($L525=$L527,IF($K525=$K527,IF($J525&lt;&gt;"",IF($J525&gt;$J527,"W","L"),""),IF($K525&gt;$K527,"W","L")),IF($L525&gt;$L527,"W","L"))</f>
        <v/>
      </c>
      <c r="R525" s="1"/>
      <c r="S525" s="110"/>
      <c r="T525" s="110"/>
      <c r="U525" s="110"/>
      <c r="V525" s="110"/>
      <c r="W525" s="110"/>
      <c r="X525" s="111"/>
      <c r="Y525" s="111"/>
      <c r="Z525" s="111"/>
      <c r="AA525" s="111"/>
    </row>
    <row r="526" spans="1:32" ht="12.75" customHeight="1">
      <c r="A526" s="301"/>
      <c r="B526" s="295"/>
      <c r="C526" s="296"/>
      <c r="D526" s="296"/>
      <c r="E526" s="296"/>
      <c r="F526" s="296"/>
      <c r="G526" s="296"/>
      <c r="H526" s="270"/>
      <c r="I526" s="270"/>
      <c r="J526" s="270"/>
      <c r="K526" s="270"/>
      <c r="L526" s="270"/>
      <c r="M526" s="297"/>
      <c r="N526" s="298"/>
      <c r="O526" s="298"/>
      <c r="P526" s="299"/>
      <c r="Q526" s="139" t="str">
        <f>IF($Q525&lt;&gt;"",IF($Q525="W",IF(SUM(IF($H525&gt;$H527,1,0),IF($I525&gt;$I527,1,0),IF($J525&gt;$J527,1,0),IF($K525&gt;$K527,1,0),IF($L525&gt;$L527,1,0))&lt;&gt;3,"Error",""),""),"")</f>
        <v/>
      </c>
      <c r="R526" s="328" t="str">
        <f>$A520</f>
        <v/>
      </c>
      <c r="S526" s="328"/>
      <c r="T526" s="328"/>
      <c r="U526" s="328"/>
      <c r="V526" s="328"/>
      <c r="W526" s="328"/>
      <c r="X526" s="256" t="str">
        <f>CONCATENATE("(",$B519," vs ",$K519,")")</f>
        <v>(E vs H)</v>
      </c>
      <c r="Y526" s="256"/>
      <c r="Z526" s="328" t="str">
        <f>$J520</f>
        <v/>
      </c>
      <c r="AA526" s="328"/>
      <c r="AB526" s="328"/>
      <c r="AC526" s="328"/>
      <c r="AD526" s="328"/>
      <c r="AE526" s="328"/>
      <c r="AF526" s="43"/>
    </row>
    <row r="527" spans="1:32" ht="12.75" customHeight="1">
      <c r="A527" s="300" t="str">
        <f>K519</f>
        <v>H</v>
      </c>
      <c r="B527" s="293" t="str">
        <f ca="1">IF(AND(OFFSET($AO$1,$L519-1,8,1,1),$A520&lt;&gt;"",$J520&lt;&gt;""),CHOOSE($L519,$AO$1,$AO$2,$AO$3,$AO$4,$AO$5,$AO$6,$AO$7,$AO$8,$AO$9,$AO$10,$AO$11,$AO$12),"")</f>
        <v/>
      </c>
      <c r="C527" s="294"/>
      <c r="D527" s="294"/>
      <c r="E527" s="294"/>
      <c r="F527" s="294"/>
      <c r="G527" s="294"/>
      <c r="H527" s="265"/>
      <c r="I527" s="265"/>
      <c r="J527" s="265"/>
      <c r="K527" s="265"/>
      <c r="L527" s="265"/>
      <c r="M527" s="267" t="s">
        <v>1237</v>
      </c>
      <c r="N527" s="268"/>
      <c r="O527" s="268"/>
      <c r="P527" s="269"/>
      <c r="Q527" s="137" t="str">
        <f>IF($Q525&lt;&gt;"",IF($Q525="W","L","W"),"")</f>
        <v/>
      </c>
      <c r="R527" s="43"/>
      <c r="S527" s="43"/>
      <c r="T527" s="43"/>
      <c r="U527" s="43"/>
      <c r="V527" s="43"/>
      <c r="W527" s="43"/>
      <c r="X527" s="43"/>
      <c r="Y527" s="43"/>
      <c r="Z527" s="43"/>
      <c r="AA527" s="43"/>
      <c r="AB527" s="43"/>
      <c r="AC527" s="43"/>
      <c r="AD527" s="43"/>
      <c r="AE527" s="43"/>
      <c r="AF527" s="43"/>
    </row>
    <row r="528" spans="1:32" ht="12.75" customHeight="1">
      <c r="A528" s="301"/>
      <c r="B528" s="295"/>
      <c r="C528" s="296"/>
      <c r="D528" s="296"/>
      <c r="E528" s="296"/>
      <c r="F528" s="296"/>
      <c r="G528" s="296"/>
      <c r="H528" s="270"/>
      <c r="I528" s="270"/>
      <c r="J528" s="266"/>
      <c r="K528" s="266"/>
      <c r="L528" s="266"/>
      <c r="M528" s="267"/>
      <c r="N528" s="268"/>
      <c r="O528" s="268"/>
      <c r="P528" s="269"/>
      <c r="Q528" s="139" t="str">
        <f>IF($Q527&lt;&gt;"",IF($Q527="W",IF(SUM(IF($H527&gt;$H525,1,0),IF($I527&gt;$I525,1,0),IF($J527&gt;$J525,1,0),IF($K527&gt;$K525,1,0),IF($L527&gt;$L525,1,0))&lt;&gt;3,"Error",""),""),"")</f>
        <v/>
      </c>
      <c r="R528" s="43" t="str">
        <f>$A530</f>
        <v>2nd Singles</v>
      </c>
      <c r="S528" s="43"/>
      <c r="T528" s="43"/>
      <c r="U528" s="43"/>
      <c r="V528" s="43"/>
      <c r="W528" s="43"/>
      <c r="X528" s="43"/>
      <c r="Y528" s="43"/>
      <c r="Z528" s="43"/>
      <c r="AA528" s="43"/>
      <c r="AB528" s="43"/>
      <c r="AC528" s="43"/>
      <c r="AD528" s="43"/>
      <c r="AE528" s="43"/>
      <c r="AF528" s="43"/>
    </row>
    <row r="529" spans="1:32" ht="12.75" customHeight="1">
      <c r="Q529" s="7"/>
      <c r="R529" s="60" t="s">
        <v>1228</v>
      </c>
      <c r="S529" s="339" t="s">
        <v>1126</v>
      </c>
      <c r="T529" s="340"/>
      <c r="U529" s="340"/>
      <c r="V529" s="340"/>
      <c r="W529" s="340"/>
      <c r="X529" s="341"/>
      <c r="Y529" s="60">
        <v>1</v>
      </c>
      <c r="Z529" s="60">
        <v>2</v>
      </c>
      <c r="AA529" s="60">
        <v>3</v>
      </c>
      <c r="AB529" s="60">
        <v>4</v>
      </c>
      <c r="AC529" s="60">
        <v>5</v>
      </c>
      <c r="AD529" s="342"/>
      <c r="AE529" s="343"/>
      <c r="AF529" s="344"/>
    </row>
    <row r="530" spans="1:32" ht="12.75" customHeight="1">
      <c r="A530" s="21" t="s">
        <v>1234</v>
      </c>
      <c r="H530" s="136" t="str">
        <f>IF($Q532&lt;&gt;"",IF(AND(AND($H532&gt;-1,$H534&gt;-1),OR($H532&gt;10,$H534&gt;10),ABS($H532-$H534)&gt;1,IF(OR($H532&gt;11,$H534&gt;11),ABS($H532-$H534)=2,TRUE),$H532=INT($H532),$H534=INT($H534)),"","Error"),"")</f>
        <v/>
      </c>
      <c r="I530" s="136" t="str">
        <f>IF($Q532&lt;&gt;"",IF(AND(AND($I532&gt;-1,$I534&gt;-1),OR($I532&gt;10,$I534&gt;10),ABS($I532-$I534)&gt;1,IF(OR($I532&gt;11,$I534&gt;11),ABS($I532-$I534)=2,TRUE),$I532=INT($I532),$I534=INT($I534)),"","Error"),"")</f>
        <v/>
      </c>
      <c r="J530" s="136" t="str">
        <f>IF($Q532&lt;&gt;"",IF(AND(AND($J532&gt;-1,$J534&gt;-1),OR($J532&gt;10,$J534&gt;10),ABS($J532-$J534)&gt;1,IF(OR($J532&gt;11,$J534&gt;11),ABS($J532-$J534)=2,TRUE),$J532=INT($J532),$J534=INT($J534)),"","Error"),"")</f>
        <v/>
      </c>
      <c r="K530" s="136" t="str">
        <f>IF($Q532&lt;&gt;"",IF(AND($K532&lt;&gt;"",$K534&lt;&gt;""), IF(AND(AND($K532&gt;-1,$K534&gt;-1),OR($K532&gt;10,$K534&gt;10),ABS($K532-$K534)&gt;1,IF(OR($K532&gt;11,$K534&gt;11),ABS($K532-$K534)=2,TRUE),$K532=INT($K532),$K534=INT($K534)),"","Error"),""),"")</f>
        <v/>
      </c>
      <c r="L530" s="136" t="str">
        <f>IF($Q532&lt;&gt;"",IF(AND($L532&lt;&gt;"",$L534&lt;&gt;""), IF(AND(AND($L532&gt;-1,$L534&gt;-1),OR($L532&gt;10,$L534&gt;10),ABS($L532-$L534)&gt;1,IF(OR($L532&gt;11,$L534&gt;11),ABS($L532-$L534)=2,TRUE),$L532=INT($L532),$L534=INT($L534)),"","Error"),""),"")</f>
        <v/>
      </c>
      <c r="Q530" s="7"/>
      <c r="R530" s="300" t="str">
        <f>$B519</f>
        <v>E</v>
      </c>
      <c r="S530" s="331" t="str">
        <f ca="1">IF($B532&lt;&gt;"",$B532,"")</f>
        <v/>
      </c>
      <c r="T530" s="332"/>
      <c r="U530" s="332"/>
      <c r="V530" s="332"/>
      <c r="W530" s="332"/>
      <c r="X530" s="333"/>
      <c r="Y530" s="329"/>
      <c r="Z530" s="329"/>
      <c r="AA530" s="329"/>
      <c r="AB530" s="329"/>
      <c r="AC530" s="329"/>
      <c r="AD530" s="345"/>
      <c r="AE530" s="358"/>
      <c r="AF530" s="359"/>
    </row>
    <row r="531" spans="1:32" ht="12.75" customHeight="1">
      <c r="A531" s="5" t="s">
        <v>1228</v>
      </c>
      <c r="B531" s="290" t="s">
        <v>1126</v>
      </c>
      <c r="C531" s="291"/>
      <c r="D531" s="291"/>
      <c r="E531" s="291"/>
      <c r="F531" s="291"/>
      <c r="G531" s="292"/>
      <c r="H531" s="5">
        <v>1</v>
      </c>
      <c r="I531" s="5">
        <v>2</v>
      </c>
      <c r="J531" s="5">
        <v>3</v>
      </c>
      <c r="K531" s="5">
        <v>4</v>
      </c>
      <c r="L531" s="5">
        <v>5</v>
      </c>
      <c r="M531" s="271"/>
      <c r="N531" s="272"/>
      <c r="O531" s="272"/>
      <c r="P531" s="273"/>
      <c r="Q531" s="7"/>
      <c r="R531" s="330"/>
      <c r="S531" s="334"/>
      <c r="T531" s="335"/>
      <c r="U531" s="335"/>
      <c r="V531" s="335"/>
      <c r="W531" s="335"/>
      <c r="X531" s="336"/>
      <c r="Y531" s="330"/>
      <c r="Z531" s="330"/>
      <c r="AA531" s="330"/>
      <c r="AB531" s="330"/>
      <c r="AC531" s="330"/>
      <c r="AD531" s="360"/>
      <c r="AE531" s="361"/>
      <c r="AF531" s="362"/>
    </row>
    <row r="532" spans="1:32" ht="12.75" customHeight="1">
      <c r="A532" s="300" t="str">
        <f>B519</f>
        <v>E</v>
      </c>
      <c r="B532" s="293" t="str">
        <f ca="1">IF(AND(OFFSET($AO$1,$C519-1,8,1,1),$A520&lt;&gt;"",$J520&lt;&gt;""),CHOOSE($C519,$AP$1,$AP$2,$AP$3,$AP$4,$AP$5,$AP$6,$AP$7,$AP$8,$AP$9,$AP$10,$AP$11,$AP$12),"")</f>
        <v/>
      </c>
      <c r="C532" s="294"/>
      <c r="D532" s="294"/>
      <c r="E532" s="294"/>
      <c r="F532" s="294"/>
      <c r="G532" s="294"/>
      <c r="H532" s="265"/>
      <c r="I532" s="265"/>
      <c r="J532" s="265"/>
      <c r="K532" s="265"/>
      <c r="L532" s="265"/>
      <c r="M532" s="262" t="str">
        <f ca="1">IF(OR(AND($B525&lt;&gt;"",$B532&lt;&gt;"",$C550&lt;=$B550),AND($B527&lt;&gt;"",$B534&lt;&gt;"",$G550&lt;=$F550)),"Invalid Lineup","")</f>
        <v/>
      </c>
      <c r="N532" s="263"/>
      <c r="O532" s="263"/>
      <c r="P532" s="264"/>
      <c r="Q532" s="137" t="str">
        <f>IF($L532=$L534,IF($K532=$K534,IF($J532&lt;&gt;"",IF($J532&gt;$J534,"W","L"),""),IF($K532&gt;$K534,"W","L")),IF($L532&gt;$L534,"W","L"))</f>
        <v/>
      </c>
      <c r="R532" s="300" t="str">
        <f>$K519</f>
        <v>H</v>
      </c>
      <c r="S532" s="331" t="str">
        <f ca="1">IF($B534&lt;&gt;"",$B534,"")</f>
        <v/>
      </c>
      <c r="T532" s="332"/>
      <c r="U532" s="332"/>
      <c r="V532" s="332"/>
      <c r="W532" s="332"/>
      <c r="X532" s="333"/>
      <c r="Y532" s="329"/>
      <c r="Z532" s="329"/>
      <c r="AA532" s="329"/>
      <c r="AB532" s="329"/>
      <c r="AC532" s="351"/>
      <c r="AD532" s="363" t="s">
        <v>1237</v>
      </c>
      <c r="AE532" s="358"/>
      <c r="AF532" s="359"/>
    </row>
    <row r="533" spans="1:32" ht="12.75" customHeight="1">
      <c r="A533" s="301"/>
      <c r="B533" s="295"/>
      <c r="C533" s="296"/>
      <c r="D533" s="296"/>
      <c r="E533" s="296"/>
      <c r="F533" s="296"/>
      <c r="G533" s="296"/>
      <c r="H533" s="270"/>
      <c r="I533" s="270"/>
      <c r="J533" s="270"/>
      <c r="K533" s="270"/>
      <c r="L533" s="270"/>
      <c r="M533" s="262"/>
      <c r="N533" s="263"/>
      <c r="O533" s="263"/>
      <c r="P533" s="264"/>
      <c r="Q533" s="139" t="str">
        <f>IF($Q532&lt;&gt;"",IF($Q532="W",IF(SUM(IF($H532&gt;$H534,1,0),IF($I532&gt;$I534,1,0),IF($J532&gt;$J534,1,0),IF($K532&gt;$K534,1,0),IF($L532&gt;$L534,1,0))&lt;&gt;3,"Error",""),""),"")</f>
        <v/>
      </c>
      <c r="R533" s="330"/>
      <c r="S533" s="334"/>
      <c r="T533" s="335"/>
      <c r="U533" s="335"/>
      <c r="V533" s="335"/>
      <c r="W533" s="335"/>
      <c r="X533" s="336"/>
      <c r="Y533" s="330"/>
      <c r="Z533" s="330"/>
      <c r="AA533" s="330"/>
      <c r="AB533" s="330"/>
      <c r="AC533" s="330"/>
      <c r="AD533" s="360"/>
      <c r="AE533" s="361"/>
      <c r="AF533" s="362"/>
    </row>
    <row r="534" spans="1:32" ht="12.75" customHeight="1">
      <c r="A534" s="300" t="str">
        <f>K519</f>
        <v>H</v>
      </c>
      <c r="B534" s="293" t="str">
        <f ca="1">IF(AND(OFFSET($AO$1,$L519-1,8,1,1),$A520&lt;&gt;"",$J520&lt;&gt;""),CHOOSE($L519,$AP$1,$AP$2,$AP$3,$AP$4,$AP$5,$AP$6,$AP$7,$AP$8,$AP$9,$AP$10,$AP$11,$AP$12),"")</f>
        <v/>
      </c>
      <c r="C534" s="294"/>
      <c r="D534" s="294"/>
      <c r="E534" s="294"/>
      <c r="F534" s="294"/>
      <c r="G534" s="294"/>
      <c r="H534" s="265"/>
      <c r="I534" s="265"/>
      <c r="J534" s="265"/>
      <c r="K534" s="265"/>
      <c r="L534" s="265"/>
      <c r="M534" s="267" t="s">
        <v>1237</v>
      </c>
      <c r="N534" s="268"/>
      <c r="O534" s="268"/>
      <c r="P534" s="269"/>
      <c r="Q534" s="137" t="str">
        <f>IF($Q532&lt;&gt;"",IF($Q532="W","L","W"),"")</f>
        <v/>
      </c>
      <c r="R534" s="20"/>
      <c r="S534" s="20"/>
      <c r="T534" s="20"/>
      <c r="U534" s="20"/>
      <c r="V534" s="20"/>
      <c r="W534" s="20"/>
      <c r="X534" s="26"/>
      <c r="Y534" s="26"/>
      <c r="Z534" s="20"/>
      <c r="AA534" s="20"/>
      <c r="AB534" s="20"/>
      <c r="AC534" s="20"/>
      <c r="AD534" s="20"/>
      <c r="AE534" s="20"/>
      <c r="AF534" s="27"/>
    </row>
    <row r="535" spans="1:32" ht="12.75" customHeight="1">
      <c r="A535" s="301"/>
      <c r="B535" s="295"/>
      <c r="C535" s="296"/>
      <c r="D535" s="296"/>
      <c r="E535" s="296"/>
      <c r="F535" s="296"/>
      <c r="G535" s="296"/>
      <c r="H535" s="270"/>
      <c r="I535" s="270"/>
      <c r="J535" s="266"/>
      <c r="K535" s="266"/>
      <c r="L535" s="266"/>
      <c r="M535" s="267"/>
      <c r="N535" s="268"/>
      <c r="O535" s="268"/>
      <c r="P535" s="269"/>
      <c r="Q535" s="139" t="str">
        <f>IF($Q534&lt;&gt;"",IF($Q534="W",IF(SUM(IF($H534&gt;$H532,1,0),IF($I534&gt;$I532,1,0),IF($J534&gt;$J532,1,0),IF($K534&gt;$K532,1,0),IF($L534&gt;$L532,1,0))&lt;&gt;3,"Error",""),""),"")</f>
        <v/>
      </c>
      <c r="R535" s="20"/>
      <c r="S535" s="20"/>
      <c r="T535" s="20"/>
      <c r="U535" s="20"/>
      <c r="V535" s="20"/>
      <c r="W535" s="20"/>
      <c r="X535" s="26"/>
      <c r="Y535" s="26"/>
      <c r="Z535" s="20"/>
      <c r="AA535" s="20"/>
      <c r="AB535" s="20"/>
      <c r="AC535" s="20"/>
      <c r="AD535" s="20"/>
      <c r="AE535" s="20"/>
      <c r="AF535" s="27"/>
    </row>
    <row r="536" spans="1:32" ht="12.75" customHeight="1">
      <c r="Q536" s="7"/>
      <c r="R536" s="20"/>
      <c r="S536" s="20"/>
      <c r="T536" s="20"/>
      <c r="U536" s="20"/>
      <c r="V536" s="20"/>
      <c r="W536" s="20"/>
      <c r="X536" s="26"/>
      <c r="Y536" s="26"/>
      <c r="Z536" s="20"/>
      <c r="AA536" s="20"/>
      <c r="AB536" s="20"/>
      <c r="AC536" s="20"/>
      <c r="AD536" s="20"/>
      <c r="AE536" s="20"/>
      <c r="AF536" s="27"/>
    </row>
    <row r="537" spans="1:32" ht="12.75" customHeight="1">
      <c r="A537" s="21" t="s">
        <v>1235</v>
      </c>
      <c r="H537" s="136" t="str">
        <f>IF($Q539&lt;&gt;"",IF(AND(AND($H539&gt;-1,$H541&gt;-1),OR($H539&gt;10,$H541&gt;10),ABS($H539-$H541)&gt;1,IF(OR($H539&gt;11,$H541&gt;11),ABS($H539-$H541)=2,TRUE),$H539=INT($H539),$H541=INT($H541)),"","Error"),"")</f>
        <v/>
      </c>
      <c r="I537" s="136" t="str">
        <f>IF($Q539&lt;&gt;"",IF(AND(AND($I539&gt;-1,$I541&gt;-1),OR($I539&gt;10,$I541&gt;10),ABS($I539-$I541)&gt;1,IF(OR($I539&gt;11,$I541&gt;11),ABS($I539-$I541)=2,TRUE),$I539=INT($I539),$I541=INT($I541)),"","Error"),"")</f>
        <v/>
      </c>
      <c r="J537" s="136" t="str">
        <f>IF($Q539&lt;&gt;"",IF(AND(AND($J539&gt;-1,$J541&gt;-1),OR($J539&gt;10,$J541&gt;10),ABS($J539-$J541)&gt;1,IF(OR($J539&gt;11,$J541&gt;11),ABS($J539-$J541)=2,TRUE),$J539=INT($J539),$J541=INT($J541)),"","Error"),"")</f>
        <v/>
      </c>
      <c r="K537" s="136" t="str">
        <f>IF($Q539&lt;&gt;"",IF(AND($K539&lt;&gt;"",$K541&lt;&gt;""), IF(AND(AND($K539&gt;-1,$K541&gt;-1),OR($K539&gt;10,$K541&gt;10),ABS($K539-$K541)&gt;1,IF(OR($K539&gt;11,$K541&gt;11),ABS($K539-$K541)=2,TRUE),$K539=INT($K539),$K541=INT($K541)),"","Error"),""),"")</f>
        <v/>
      </c>
      <c r="L537" s="136" t="str">
        <f>IF($Q539&lt;&gt;"",IF(AND($L539&lt;&gt;"",$L541&lt;&gt;""), IF(AND(AND($L539&gt;-1,$L541&gt;-1),OR($L539&gt;10,$L541&gt;10),ABS($L539-$L541)&gt;1,IF(OR($L539&gt;11,$L541&gt;11),ABS($L539-$L541)=2,TRUE),$L539=INT($L539),$L541=INT($L541)),"","Error"),""),"")</f>
        <v/>
      </c>
      <c r="Q537" s="7"/>
      <c r="R537" s="20"/>
      <c r="S537" s="20"/>
      <c r="T537" s="20"/>
      <c r="U537" s="20"/>
      <c r="V537" s="20"/>
      <c r="W537" s="20"/>
      <c r="X537" s="26"/>
      <c r="Y537" s="26"/>
      <c r="Z537" s="20"/>
      <c r="AA537" s="20"/>
      <c r="AB537" s="20"/>
      <c r="AC537" s="20"/>
      <c r="AD537" s="20"/>
      <c r="AE537" s="20"/>
      <c r="AF537" s="27"/>
    </row>
    <row r="538" spans="1:32" ht="12.75" customHeight="1">
      <c r="A538" s="5" t="s">
        <v>1228</v>
      </c>
      <c r="B538" s="290" t="s">
        <v>1126</v>
      </c>
      <c r="C538" s="291"/>
      <c r="D538" s="291"/>
      <c r="E538" s="291"/>
      <c r="F538" s="291"/>
      <c r="G538" s="292"/>
      <c r="H538" s="5">
        <v>1</v>
      </c>
      <c r="I538" s="5">
        <v>2</v>
      </c>
      <c r="J538" s="5">
        <v>3</v>
      </c>
      <c r="K538" s="5">
        <v>4</v>
      </c>
      <c r="L538" s="5">
        <v>5</v>
      </c>
      <c r="M538" s="271"/>
      <c r="N538" s="272"/>
      <c r="O538" s="272"/>
      <c r="P538" s="273"/>
      <c r="Q538" s="7"/>
      <c r="R538" s="20"/>
      <c r="S538" s="20"/>
      <c r="T538" s="20"/>
      <c r="U538" s="20"/>
      <c r="V538" s="20"/>
      <c r="W538" s="20"/>
      <c r="X538" s="26"/>
      <c r="Y538" s="26"/>
      <c r="Z538" s="20"/>
      <c r="AA538" s="20"/>
      <c r="AB538" s="20"/>
      <c r="AC538" s="20"/>
      <c r="AD538" s="20"/>
      <c r="AE538" s="20"/>
      <c r="AF538" s="27"/>
    </row>
    <row r="539" spans="1:32" ht="12.75" customHeight="1">
      <c r="A539" s="300" t="str">
        <f>B519</f>
        <v>E</v>
      </c>
      <c r="B539" s="293" t="str">
        <f ca="1">IF(AND(OFFSET($AO$1,$C519-1,8,1,1),$A520&lt;&gt;"",$J520&lt;&gt;""),CHOOSE($C519,$AQ$1,$AQ$2,$AQ$3,$AQ$4,$AQ$5,$AQ$6,$AQ$7,$AQ$8,$AQ$9,$AQ$10,$AQ$11,$AQ$12),"")</f>
        <v/>
      </c>
      <c r="C539" s="294"/>
      <c r="D539" s="294"/>
      <c r="E539" s="294"/>
      <c r="F539" s="294"/>
      <c r="G539" s="294"/>
      <c r="H539" s="265"/>
      <c r="I539" s="265"/>
      <c r="J539" s="265"/>
      <c r="K539" s="265"/>
      <c r="L539" s="265"/>
      <c r="M539" s="262" t="str">
        <f ca="1">IF(OR(AND($B532&lt;&gt;"",$B539&lt;&gt;"",$D550&lt;=$C550),AND($B534&lt;&gt;"",$B541&lt;&gt;"",$H550&lt;=$G550)),"Invalid Lineup","")</f>
        <v/>
      </c>
      <c r="N539" s="263"/>
      <c r="O539" s="263"/>
      <c r="P539" s="264"/>
      <c r="Q539" s="137" t="str">
        <f>IF($L539=$L541,IF($K539=$K541,IF($J539&lt;&gt;"",IF($J539&gt;$J541,"W","L"),""),IF($K539&gt;$K541,"W","L")),IF($L539&gt;$L541,"W","L"))</f>
        <v/>
      </c>
      <c r="R539" s="20"/>
      <c r="S539" s="20"/>
      <c r="T539" s="20"/>
      <c r="U539" s="20"/>
      <c r="V539" s="20"/>
      <c r="W539" s="20"/>
      <c r="X539" s="26"/>
      <c r="Y539" s="26"/>
      <c r="Z539" s="20"/>
      <c r="AA539" s="20"/>
      <c r="AB539" s="20"/>
      <c r="AC539" s="20"/>
      <c r="AD539" s="20"/>
      <c r="AE539" s="20"/>
      <c r="AF539" s="27"/>
    </row>
    <row r="540" spans="1:32" ht="12.75" customHeight="1">
      <c r="A540" s="301"/>
      <c r="B540" s="295"/>
      <c r="C540" s="296"/>
      <c r="D540" s="296"/>
      <c r="E540" s="296"/>
      <c r="F540" s="296"/>
      <c r="G540" s="296"/>
      <c r="H540" s="270"/>
      <c r="I540" s="270"/>
      <c r="J540" s="270"/>
      <c r="K540" s="270"/>
      <c r="L540" s="270"/>
      <c r="M540" s="262"/>
      <c r="N540" s="263"/>
      <c r="O540" s="263"/>
      <c r="P540" s="264"/>
      <c r="Q540" s="139" t="str">
        <f>IF($Q539&lt;&gt;"",IF($Q539="W",IF(SUM(IF($H539&gt;$H541,1,0),IF($I539&gt;$I541,1,0),IF($J539&gt;$J541,1,0),IF($K539&gt;$K541,1,0),IF($L539&gt;$L541,1,0))&lt;&gt;3,"Error",""),""),"")</f>
        <v/>
      </c>
      <c r="R540" s="328" t="str">
        <f>$A520</f>
        <v/>
      </c>
      <c r="S540" s="328"/>
      <c r="T540" s="328"/>
      <c r="U540" s="328"/>
      <c r="V540" s="328"/>
      <c r="W540" s="328"/>
      <c r="X540" s="256" t="str">
        <f>CONCATENATE("(",$B519," vs ",$K519,")")</f>
        <v>(E vs H)</v>
      </c>
      <c r="Y540" s="256"/>
      <c r="Z540" s="328" t="str">
        <f>$J520</f>
        <v/>
      </c>
      <c r="AA540" s="328"/>
      <c r="AB540" s="328"/>
      <c r="AC540" s="328"/>
      <c r="AD540" s="328"/>
      <c r="AE540" s="328"/>
      <c r="AF540" s="100"/>
    </row>
    <row r="541" spans="1:32" ht="12.75" customHeight="1">
      <c r="A541" s="300" t="str">
        <f>K519</f>
        <v>H</v>
      </c>
      <c r="B541" s="293" t="str">
        <f ca="1">IF(AND(OFFSET($AO$1,$L519-1,8,1,1),$A520&lt;&gt;"",$J520&lt;&gt;""),CHOOSE($L519,$AQ$1,$AQ$2,$AQ$3,$AQ$4,$AQ$5,$AQ$6,$AQ$7,$AQ$8,$AQ$9,$AQ$10,$AQ$11,$AQ$12),"")</f>
        <v/>
      </c>
      <c r="C541" s="294"/>
      <c r="D541" s="294"/>
      <c r="E541" s="294"/>
      <c r="F541" s="294"/>
      <c r="G541" s="294"/>
      <c r="H541" s="265"/>
      <c r="I541" s="265"/>
      <c r="J541" s="265"/>
      <c r="K541" s="265"/>
      <c r="L541" s="265"/>
      <c r="M541" s="267" t="s">
        <v>1237</v>
      </c>
      <c r="N541" s="268"/>
      <c r="O541" s="268"/>
      <c r="P541" s="269"/>
      <c r="Q541" s="137" t="str">
        <f>IF($Q539&lt;&gt;"",IF($Q539="W","L","W"),"")</f>
        <v/>
      </c>
      <c r="R541" s="100"/>
      <c r="S541" s="100"/>
      <c r="T541" s="100"/>
      <c r="U541" s="100"/>
      <c r="V541" s="100"/>
      <c r="W541" s="100"/>
      <c r="X541" s="100"/>
      <c r="Y541" s="100"/>
      <c r="Z541" s="100"/>
      <c r="AA541" s="100"/>
      <c r="AB541" s="100"/>
      <c r="AC541" s="100"/>
      <c r="AD541" s="100"/>
      <c r="AE541" s="100"/>
      <c r="AF541" s="100"/>
    </row>
    <row r="542" spans="1:32" ht="12.75" customHeight="1">
      <c r="A542" s="301"/>
      <c r="B542" s="295"/>
      <c r="C542" s="296"/>
      <c r="D542" s="296"/>
      <c r="E542" s="296"/>
      <c r="F542" s="296"/>
      <c r="G542" s="296"/>
      <c r="H542" s="270"/>
      <c r="I542" s="270"/>
      <c r="J542" s="266"/>
      <c r="K542" s="266"/>
      <c r="L542" s="266"/>
      <c r="M542" s="267"/>
      <c r="N542" s="268"/>
      <c r="O542" s="268"/>
      <c r="P542" s="269"/>
      <c r="Q542" s="139" t="str">
        <f>IF($Q541&lt;&gt;"",IF($Q541="W",IF(SUM(IF($H541&gt;$H539,1,0),IF($I541&gt;$I539,1,0),IF($J541&gt;$J539,1,0),IF($K541&gt;$K539,1,0),IF($L541&gt;$L539,1,0))&lt;&gt;3,"Error",""),""),"")</f>
        <v/>
      </c>
      <c r="R542" s="43" t="str">
        <f>$A537</f>
        <v>3rd Singles</v>
      </c>
      <c r="S542" s="43"/>
      <c r="T542" s="43"/>
      <c r="U542" s="43"/>
      <c r="V542" s="43"/>
      <c r="W542" s="43"/>
      <c r="X542" s="43"/>
      <c r="Y542" s="43"/>
      <c r="Z542" s="43"/>
      <c r="AA542" s="43"/>
      <c r="AB542" s="43"/>
      <c r="AC542" s="43"/>
      <c r="AD542" s="43"/>
      <c r="AE542" s="43"/>
      <c r="AF542" s="43"/>
    </row>
    <row r="543" spans="1:32" ht="12.75" customHeight="1">
      <c r="Q543" s="7"/>
      <c r="R543" s="60" t="s">
        <v>1228</v>
      </c>
      <c r="S543" s="101" t="s">
        <v>1126</v>
      </c>
      <c r="T543" s="102"/>
      <c r="U543" s="102"/>
      <c r="V543" s="102"/>
      <c r="W543" s="102"/>
      <c r="X543" s="103"/>
      <c r="Y543" s="60">
        <v>1</v>
      </c>
      <c r="Z543" s="60">
        <v>2</v>
      </c>
      <c r="AA543" s="60">
        <v>3</v>
      </c>
      <c r="AB543" s="60">
        <v>4</v>
      </c>
      <c r="AC543" s="60">
        <v>5</v>
      </c>
      <c r="AD543" s="104"/>
      <c r="AE543" s="105"/>
      <c r="AF543" s="106"/>
    </row>
    <row r="544" spans="1:32" ht="12.75" customHeight="1">
      <c r="A544" s="21" t="s">
        <v>1236</v>
      </c>
      <c r="H544" s="136" t="str">
        <f ca="1">IF($Q546&lt;&gt;"",IF(AND($B546&lt;&gt;"Missing Player",$B548&lt;&gt;"Missing Player"),IF(AND(AND($H546&gt;-1,$H548&gt;-1),OR($H546&gt;10,$H548&gt;10),ABS($H546-$H548)&gt;1,IF(OR($H546&gt;11,$H548&gt;11),ABS($H546-$H548)=2,TRUE),$H546=INT($H546),$H548=INT($H548)),"","Error"),""),"")</f>
        <v/>
      </c>
      <c r="I544" s="136" t="str">
        <f ca="1">IF($Q546&lt;&gt;"",IF(AND($B546&lt;&gt;"Missing Player",$B548&lt;&gt;"Missing Player"),IF(AND(AND($I546&gt;-1,$I548&gt;-1),OR($I546&gt;10,$I548&gt;10),ABS($I546-$I548)&gt;1,IF(OR($I546&gt;11,$I548&gt;11),ABS($I546-$I548)=2,TRUE),$I546=INT($I546),$I548=INT($I548)),"","Error"),""),"")</f>
        <v/>
      </c>
      <c r="J544" s="136" t="str">
        <f ca="1">IF($Q546&lt;&gt;"",IF(AND($B546&lt;&gt;"Missing Player",$B548&lt;&gt;"Missing Player"),IF(AND(AND($J546&gt;-1,$J548&gt;-1),OR($J546&gt;10,$J548&gt;10),ABS($J546-$J548)&gt;1,IF(OR($J546&gt;11,$J548&gt;11),ABS($J546-$J548)=2,TRUE),$J546=INT($J546),$J548=INT($J548)),"","Error"),""),"")</f>
        <v/>
      </c>
      <c r="K544" s="136" t="str">
        <f ca="1">IF($Q546&lt;&gt;"",IF(AND($K546&lt;&gt;"",$K548&lt;&gt;""), IF(AND(AND($K546&gt;-1,$K548&gt;-1),OR($K546&gt;10,$K548&gt;10),ABS($K546-$K548)&gt;1,IF(OR($K546&gt;11,$K548&gt;11),ABS($K546-$K548)=2,TRUE),$K546=INT($K546),$K548=INT($K548)),"","Error"),""),"")</f>
        <v/>
      </c>
      <c r="L544" s="136" t="str">
        <f ca="1">IF($Q546&lt;&gt;"",IF(AND($L546&lt;&gt;"",$L548&lt;&gt;""), IF(AND(AND($L546&gt;-1,$L548&gt;-1),OR($L546&gt;10,$L548&gt;10),ABS($L546-$L548)&gt;1,IF(OR($L546&gt;11,$L548&gt;11),ABS($L546-$L548)=2,TRUE),$L546=INT($L546),$L548=INT($L548)),"","Error"),""),"")</f>
        <v/>
      </c>
      <c r="Q544" s="7"/>
      <c r="R544" s="300" t="str">
        <f>$B519</f>
        <v>E</v>
      </c>
      <c r="S544" s="331" t="str">
        <f ca="1">IF($B539&lt;&gt;"",$B539,"")</f>
        <v/>
      </c>
      <c r="T544" s="332"/>
      <c r="U544" s="332"/>
      <c r="V544" s="332"/>
      <c r="W544" s="332"/>
      <c r="X544" s="333"/>
      <c r="Y544" s="329"/>
      <c r="Z544" s="329"/>
      <c r="AA544" s="329"/>
      <c r="AB544" s="329"/>
      <c r="AC544" s="329"/>
      <c r="AD544" s="345"/>
      <c r="AE544" s="358"/>
      <c r="AF544" s="359"/>
    </row>
    <row r="545" spans="1:32" ht="12.75" customHeight="1">
      <c r="A545" s="5" t="s">
        <v>1228</v>
      </c>
      <c r="B545" s="290" t="s">
        <v>1126</v>
      </c>
      <c r="C545" s="291"/>
      <c r="D545" s="291"/>
      <c r="E545" s="291"/>
      <c r="F545" s="291"/>
      <c r="G545" s="292"/>
      <c r="H545" s="5">
        <v>1</v>
      </c>
      <c r="I545" s="5">
        <v>2</v>
      </c>
      <c r="J545" s="5">
        <v>3</v>
      </c>
      <c r="K545" s="5">
        <v>4</v>
      </c>
      <c r="L545" s="5">
        <v>5</v>
      </c>
      <c r="M545" s="271"/>
      <c r="N545" s="272"/>
      <c r="O545" s="272"/>
      <c r="P545" s="273"/>
      <c r="Q545" s="7"/>
      <c r="R545" s="330"/>
      <c r="S545" s="334"/>
      <c r="T545" s="335"/>
      <c r="U545" s="335"/>
      <c r="V545" s="335"/>
      <c r="W545" s="335"/>
      <c r="X545" s="336"/>
      <c r="Y545" s="330"/>
      <c r="Z545" s="330"/>
      <c r="AA545" s="330"/>
      <c r="AB545" s="330"/>
      <c r="AC545" s="330"/>
      <c r="AD545" s="360"/>
      <c r="AE545" s="361"/>
      <c r="AF545" s="362"/>
    </row>
    <row r="546" spans="1:32" ht="12.75" customHeight="1">
      <c r="A546" s="300" t="str">
        <f>B519</f>
        <v>E</v>
      </c>
      <c r="B546" s="293" t="str">
        <f ca="1">IF(AND(OFFSET($AO$1,$C519-1,8,1,1),$A520&lt;&gt;"",$J520&lt;&gt;""),CHOOSE($C519,$AR$1,$AR$2,$AR$3,$AR$4,$AR$5,$AR$6,$AR$7,$AR$8,$AR$9,$AR$10,$AR$11,$AR$12),"")</f>
        <v/>
      </c>
      <c r="C546" s="294"/>
      <c r="D546" s="294"/>
      <c r="E546" s="294"/>
      <c r="F546" s="294"/>
      <c r="G546" s="294"/>
      <c r="H546" s="265"/>
      <c r="I546" s="265"/>
      <c r="J546" s="265"/>
      <c r="K546" s="265"/>
      <c r="L546" s="265" t="str">
        <f ca="1">IF(AND($B546&lt;&gt;"",$Q525&lt;&gt;""),IF($B546="Missing Player",0,IF($B548="Missing Player",11,"")),"")</f>
        <v/>
      </c>
      <c r="M546" s="262" t="str">
        <f ca="1">IF(OR(AND($B539&lt;&gt;"",$B546&lt;&gt;"",$E550&lt;=$D550),AND($B541&lt;&gt;"",$B548&lt;&gt;"",$I550&lt;=$H550)),"Invalid Lineup","")</f>
        <v/>
      </c>
      <c r="N546" s="263"/>
      <c r="O546" s="263"/>
      <c r="P546" s="264"/>
      <c r="Q546" s="137" t="str">
        <f ca="1">IF($L546=$L548,IF($K546=$K548,IF($J546&lt;&gt;"",IF($J546&gt;$J548,"W","L"),""),IF($K546&gt;$K548,"W","L")),IF($L546&gt;$L548,"W","L"))</f>
        <v/>
      </c>
      <c r="R546" s="300" t="str">
        <f>$K519</f>
        <v>H</v>
      </c>
      <c r="S546" s="331" t="str">
        <f ca="1">IF($B541&lt;&gt;"",$B541,"")</f>
        <v/>
      </c>
      <c r="T546" s="332"/>
      <c r="U546" s="332"/>
      <c r="V546" s="332"/>
      <c r="W546" s="332"/>
      <c r="X546" s="333"/>
      <c r="Y546" s="329"/>
      <c r="Z546" s="329"/>
      <c r="AA546" s="329"/>
      <c r="AB546" s="329"/>
      <c r="AC546" s="351"/>
      <c r="AD546" s="363" t="s">
        <v>1237</v>
      </c>
      <c r="AE546" s="358"/>
      <c r="AF546" s="359"/>
    </row>
    <row r="547" spans="1:32" ht="12.75" customHeight="1">
      <c r="A547" s="301"/>
      <c r="B547" s="295"/>
      <c r="C547" s="296"/>
      <c r="D547" s="296"/>
      <c r="E547" s="296"/>
      <c r="F547" s="296"/>
      <c r="G547" s="296"/>
      <c r="H547" s="270"/>
      <c r="I547" s="270"/>
      <c r="J547" s="270"/>
      <c r="K547" s="270"/>
      <c r="L547" s="270"/>
      <c r="M547" s="262"/>
      <c r="N547" s="263"/>
      <c r="O547" s="263"/>
      <c r="P547" s="264"/>
      <c r="Q547" s="139" t="str">
        <f ca="1">IF($Q546&lt;&gt;"",IF($B548&lt;&gt;"Missing Player",IF($Q546="W",IF(SUM(IF($H546&gt;$H548,1,0),IF($I546&gt;$I548,1,0),IF($J546&gt;$J548,1,0),IF($K546&gt;$K548,1,0),IF($L546&gt;$L548,1,0))&lt;&gt;3,"Error",""),""),""),"")</f>
        <v/>
      </c>
      <c r="R547" s="330"/>
      <c r="S547" s="334"/>
      <c r="T547" s="335"/>
      <c r="U547" s="335"/>
      <c r="V547" s="335"/>
      <c r="W547" s="335"/>
      <c r="X547" s="336"/>
      <c r="Y547" s="330"/>
      <c r="Z547" s="330"/>
      <c r="AA547" s="330"/>
      <c r="AB547" s="330"/>
      <c r="AC547" s="330"/>
      <c r="AD547" s="360"/>
      <c r="AE547" s="361"/>
      <c r="AF547" s="362"/>
    </row>
    <row r="548" spans="1:32" ht="12.75" customHeight="1">
      <c r="A548" s="300" t="str">
        <f>K519</f>
        <v>H</v>
      </c>
      <c r="B548" s="293" t="str">
        <f ca="1">IF(AND(OFFSET($AO$1,$L519-1,8,1,1),$A520&lt;&gt;"",$J520&lt;&gt;""),CHOOSE($L519,$AR$1,$AR$2,$AR$3,$AR$4,$AR$5,$AR$6,$AR$7,$AR$8,$AR$9,$AR$10,$AR$11,$AR$12),"")</f>
        <v/>
      </c>
      <c r="C548" s="294"/>
      <c r="D548" s="294"/>
      <c r="E548" s="294"/>
      <c r="F548" s="294"/>
      <c r="G548" s="294"/>
      <c r="H548" s="265"/>
      <c r="I548" s="265"/>
      <c r="J548" s="265"/>
      <c r="K548" s="265"/>
      <c r="L548" s="265" t="str">
        <f ca="1">IF(AND($B548&lt;&gt;"",$Q525&lt;&gt;""),IF($B548="Missing Player",0,IF($B546="Missing Player",11,"")),"")</f>
        <v/>
      </c>
      <c r="M548" s="267" t="s">
        <v>1237</v>
      </c>
      <c r="N548" s="268"/>
      <c r="O548" s="268"/>
      <c r="P548" s="269"/>
      <c r="Q548" s="137" t="str">
        <f ca="1">IF($Q546&lt;&gt;"",IF($Q546="W","L","W"),"")</f>
        <v/>
      </c>
      <c r="R548" s="112"/>
      <c r="S548" s="98"/>
      <c r="T548" s="108"/>
      <c r="U548" s="108"/>
      <c r="V548" s="108"/>
      <c r="W548" s="108"/>
      <c r="X548" s="108"/>
      <c r="Y548" s="113"/>
      <c r="Z548" s="113"/>
      <c r="AA548" s="113"/>
      <c r="AB548" s="113"/>
      <c r="AC548" s="113"/>
      <c r="AD548" s="107"/>
      <c r="AE548" s="109"/>
      <c r="AF548" s="109"/>
    </row>
    <row r="549" spans="1:32" ht="12.75" customHeight="1">
      <c r="A549" s="301"/>
      <c r="B549" s="295"/>
      <c r="C549" s="296"/>
      <c r="D549" s="296"/>
      <c r="E549" s="296"/>
      <c r="F549" s="296"/>
      <c r="G549" s="296"/>
      <c r="H549" s="270"/>
      <c r="I549" s="270"/>
      <c r="J549" s="266"/>
      <c r="K549" s="266"/>
      <c r="L549" s="266"/>
      <c r="M549" s="267"/>
      <c r="N549" s="268"/>
      <c r="O549" s="268"/>
      <c r="P549" s="269"/>
      <c r="Q549" s="139" t="str">
        <f ca="1">IF($Q548&lt;&gt;"",IF($B546&lt;&gt;"Missing Player",IF($Q548="W",IF(SUM(IF($H548&gt;$H546,1,0),IF($I548&gt;$I546,1,0),IF($J548&gt;$J546,1,0),IF($K548&gt;$K546,1,0),IF($L548&gt;$L546,1,0))&lt;&gt;3,"Error",""),""),""),"")</f>
        <v/>
      </c>
      <c r="R549" s="114"/>
      <c r="S549" s="115"/>
      <c r="T549" s="115"/>
      <c r="U549" s="115"/>
      <c r="V549" s="115"/>
      <c r="W549" s="115"/>
      <c r="X549" s="115"/>
      <c r="Y549" s="114"/>
      <c r="Z549" s="114"/>
      <c r="AA549" s="114"/>
      <c r="AB549" s="114"/>
      <c r="AC549" s="114"/>
      <c r="AD549" s="114"/>
      <c r="AE549" s="114"/>
      <c r="AF549" s="114"/>
    </row>
    <row r="550" spans="1:32" ht="12.75" customHeight="1">
      <c r="B550" s="140" t="str">
        <f ca="1">IF(ISERROR(VLOOKUP($B525&amp;"("&amp;$B519&amp;")",Players!$S$4:$T$132,2,FALSE)),"",VLOOKUP($B525&amp;"("&amp;$B519&amp;")",Players!$S$4:$T$132,2,FALSE))</f>
        <v>E1</v>
      </c>
      <c r="C550" s="140" t="str">
        <f ca="1">IF(ISERROR(VLOOKUP($B532&amp;"("&amp;$B519&amp;")",Players!$S$4:$T$132,2,FALSE)),"",VLOOKUP($B532&amp;"("&amp;$B519&amp;")",Players!$S$4:$T$132,2,FALSE))</f>
        <v>E1</v>
      </c>
      <c r="D550" s="141" t="str">
        <f ca="1">IF(ISERROR(VLOOKUP($B539&amp;"("&amp;$B519&amp;")",Players!$S$4:$T$132,2,FALSE)),"",VLOOKUP($B539&amp;"("&amp;$B519&amp;")",Players!$S$4:$T$132,2,FALSE))</f>
        <v>E1</v>
      </c>
      <c r="E550" s="141" t="str">
        <f ca="1">IF(ISERROR(VLOOKUP($B546&amp;"("&amp;$B519&amp;")",Players!$S$4:$T$132,2,FALSE)),"",VLOOKUP($B546&amp;"("&amp;$B519&amp;")",Players!$S$4:$T$132,2,FALSE))</f>
        <v>E1</v>
      </c>
      <c r="F550" s="141" t="str">
        <f ca="1">IF(ISERROR(VLOOKUP($B527&amp;"("&amp;$K519&amp;")",Players!$S$4:$T$132,2,FALSE)),"",VLOOKUP($B527&amp;"("&amp;$K519&amp;")",Players!$S$4:$T$132,2,FALSE))</f>
        <v>H1</v>
      </c>
      <c r="G550" s="141" t="str">
        <f ca="1">IF(ISERROR(VLOOKUP($B534&amp;"("&amp;$K519&amp;")",Players!$S$4:$T$132,2,FALSE)),"",VLOOKUP($B534&amp;"("&amp;$K519&amp;")",Players!$S$4:$T$132,2,FALSE))</f>
        <v>H1</v>
      </c>
      <c r="H550" s="141" t="str">
        <f ca="1">IF(ISERROR(VLOOKUP($B541&amp;"("&amp;$K519&amp;")",Players!$S$4:$T$132,2,FALSE)),"",VLOOKUP($B541&amp;"("&amp;$K519&amp;")",Players!$S$4:$T$132,2,FALSE))</f>
        <v>H1</v>
      </c>
      <c r="I550" s="141" t="str">
        <f ca="1">IF(ISERROR(VLOOKUP($B548&amp;"("&amp;$K519&amp;")",Players!$S$4:$T$132,2,FALSE)),"",VLOOKUP($B548&amp;"("&amp;$K519&amp;")",Players!$S$4:$T$132,2,FALSE))</f>
        <v>H1</v>
      </c>
      <c r="Q550" s="7"/>
      <c r="R550" s="50"/>
      <c r="S550" s="116"/>
      <c r="T550" s="115"/>
      <c r="U550" s="115"/>
      <c r="V550" s="115"/>
      <c r="W550" s="115"/>
      <c r="X550" s="115"/>
      <c r="Y550" s="99"/>
      <c r="Z550" s="99"/>
      <c r="AA550" s="99"/>
      <c r="AB550" s="99"/>
      <c r="AC550" s="117"/>
      <c r="AD550" s="118"/>
      <c r="AE550" s="114"/>
      <c r="AF550" s="114"/>
    </row>
    <row r="551" spans="1:32" ht="12.75" customHeight="1">
      <c r="A551" s="21" t="s">
        <v>1225</v>
      </c>
      <c r="H551" s="136" t="str">
        <f ca="1">IF($Q553&lt;&gt;"",IF(AND($B554&lt;&gt;"Missing Player",$B556&lt;&gt;"Missing Player"),IF(AND(AND($H553&gt;-1,$H555&gt;-1),OR($H553&gt;10,$H555&gt;10),ABS($H553-$H555)&gt;1,IF(OR($H553&gt;11,$H555&gt;11),ABS($H553-$H555)=2,TRUE),$H553=INT($H553),$H555=INT($H555)),"","Error"),""),"")</f>
        <v/>
      </c>
      <c r="I551" s="136" t="str">
        <f ca="1">IF($Q553&lt;&gt;"",IF(AND($B554&lt;&gt;"Missing Player",$B556&lt;&gt;"Missing Player"),IF(AND(AND($I553&gt;-1,$I555&gt;-1),OR($I553&gt;10,$I555&gt;10),ABS($I553-$I555)&gt;1,IF(OR($I553&gt;11,$I555&gt;11),ABS($I553-$I555)=2,TRUE),$I553=INT($I553),$I555=INT($I555)),"","Error"),""),"")</f>
        <v/>
      </c>
      <c r="J551" s="136" t="str">
        <f ca="1">IF($Q553&lt;&gt;"",IF(AND($B554&lt;&gt;"Missing Player",$B556&lt;&gt;"Missing Player"),IF(AND(AND($J553&gt;-1,$J555&gt;-1),OR($J553&gt;10,$J555&gt;10),ABS($J553-$J555)&gt;1,IF(OR($J553&gt;11,$J555&gt;11),ABS($J553-$J555)=2,TRUE),$J553=INT($J553),$J555=INT($J555)),"","Error"),""),"")</f>
        <v/>
      </c>
      <c r="K551" s="136" t="str">
        <f ca="1">IF($Q553&lt;&gt;"",IF(AND($K553&lt;&gt;"",$K555&lt;&gt;""), IF(AND(AND($K553&gt;-1,$K555&gt;-1),OR($K553&gt;10,$K555&gt;10),ABS($K553-$K555)&gt;1,IF(OR($K553&gt;11,$K555&gt;11),ABS($K553-$K555)=2,TRUE),$K553=INT($K553),$K555=INT($K555)),"","Error"),""),"")</f>
        <v/>
      </c>
      <c r="L551" s="136" t="str">
        <f ca="1">IF($Q553&lt;&gt;"",IF(AND($L553&lt;&gt;"",$L555&lt;&gt;""), IF(AND(AND($L553&gt;-1,$L555&gt;-1),OR($L553&gt;10,$L555&gt;10),ABS($L553-$L555)&gt;1,IF(OR($L553&gt;11,$L555&gt;11),ABS($L553-$L555)=2,TRUE),$L553=INT($L553),$L555=INT($L555)),"","Error"),""),"")</f>
        <v/>
      </c>
      <c r="Q551" s="7"/>
      <c r="R551" s="114"/>
      <c r="S551" s="115"/>
      <c r="T551" s="115"/>
      <c r="U551" s="115"/>
      <c r="V551" s="115"/>
      <c r="W551" s="115"/>
      <c r="X551" s="115"/>
      <c r="Y551" s="114"/>
      <c r="Z551" s="114"/>
      <c r="AA551" s="114"/>
      <c r="AB551" s="114"/>
      <c r="AC551" s="114"/>
      <c r="AD551" s="114"/>
      <c r="AE551" s="114"/>
      <c r="AF551" s="114"/>
    </row>
    <row r="552" spans="1:32" ht="12.75" customHeight="1">
      <c r="A552" s="5" t="s">
        <v>1228</v>
      </c>
      <c r="B552" s="290" t="s">
        <v>1126</v>
      </c>
      <c r="C552" s="291"/>
      <c r="D552" s="291"/>
      <c r="E552" s="291"/>
      <c r="F552" s="291"/>
      <c r="G552" s="292"/>
      <c r="H552" s="5">
        <v>1</v>
      </c>
      <c r="I552" s="5">
        <v>2</v>
      </c>
      <c r="J552" s="5">
        <v>3</v>
      </c>
      <c r="K552" s="5">
        <v>4</v>
      </c>
      <c r="L552" s="5">
        <v>5</v>
      </c>
      <c r="M552" s="271"/>
      <c r="N552" s="272"/>
      <c r="O552" s="272"/>
      <c r="P552" s="273"/>
      <c r="Q552" s="8"/>
      <c r="S552" s="24"/>
      <c r="T552" s="26"/>
    </row>
    <row r="553" spans="1:32" ht="12.75" customHeight="1">
      <c r="A553" s="300" t="str">
        <f>B519</f>
        <v>E</v>
      </c>
      <c r="B553" s="311" t="str">
        <f ca="1">IF($B525&lt;&gt;"",$B525,"")</f>
        <v/>
      </c>
      <c r="C553" s="312"/>
      <c r="D553" s="312"/>
      <c r="E553" s="312"/>
      <c r="F553" s="312"/>
      <c r="G553" s="313"/>
      <c r="H553" s="265"/>
      <c r="I553" s="265"/>
      <c r="J553" s="265"/>
      <c r="K553" s="265"/>
      <c r="L553" s="265" t="str">
        <f ca="1">IF($B546&lt;&gt;"",IF(AND($B546="Missing Player",$G557=2,$J557=2),0,IF(AND($B548="Missing Player",$G557=2,$J557=2),11,"")),"")</f>
        <v/>
      </c>
      <c r="M553" s="262" t="str">
        <f ca="1">IF(OR(AND($B553&lt;&gt;"",$B554&lt;&gt;"",$B553=$B554),AND($B555&lt;&gt;"",$B556&lt;&gt;"",$B555=$B556)),"Invalid Partner","")</f>
        <v/>
      </c>
      <c r="N553" s="263"/>
      <c r="O553" s="263"/>
      <c r="P553" s="264"/>
      <c r="Q553" s="138" t="str">
        <f ca="1">IF(L553=L555,IF(K553=K555,IF(J553&lt;&gt;"",IF(J553&gt;J555,"W","L"),""),IF(K553&gt;K555,"W","L")),IF(L553&gt;L555,"W","L"))</f>
        <v/>
      </c>
      <c r="S553" s="24"/>
      <c r="T553" s="26"/>
    </row>
    <row r="554" spans="1:32" ht="12.75" customHeight="1">
      <c r="A554" s="324"/>
      <c r="B554" s="308" t="str">
        <f ca="1">IF($B546="Missing Player",$B546,"")</f>
        <v/>
      </c>
      <c r="C554" s="309"/>
      <c r="D554" s="309"/>
      <c r="E554" s="309"/>
      <c r="F554" s="309"/>
      <c r="G554" s="310"/>
      <c r="H554" s="270"/>
      <c r="I554" s="270"/>
      <c r="J554" s="270"/>
      <c r="K554" s="270"/>
      <c r="L554" s="270"/>
      <c r="M554" s="262"/>
      <c r="N554" s="263"/>
      <c r="O554" s="263"/>
      <c r="P554" s="264"/>
      <c r="Q554" s="139" t="str">
        <f ca="1">IF($Q553&lt;&gt;"",IF($B556&lt;&gt;"Missing Player",IF($Q553="W",IF(SUM(IF($H553&gt;$H555,1,0),IF($I553&gt;$I555,1,0),IF($J553&gt;$J555,1,0),IF($K553&gt;$K555,1,0),IF($L553&gt;$L555,1,0))&lt;&gt;3,"Error",""),""),""),"")</f>
        <v/>
      </c>
      <c r="R554" s="328" t="str">
        <f>$A520</f>
        <v/>
      </c>
      <c r="S554" s="328"/>
      <c r="T554" s="328"/>
      <c r="U554" s="328"/>
      <c r="V554" s="328"/>
      <c r="W554" s="328"/>
      <c r="X554" s="256" t="str">
        <f>CONCATENATE("(",$B519," vs ",$K519,")")</f>
        <v>(E vs H)</v>
      </c>
      <c r="Y554" s="256"/>
      <c r="Z554" s="328" t="str">
        <f>$J520</f>
        <v/>
      </c>
      <c r="AA554" s="328"/>
      <c r="AB554" s="328"/>
      <c r="AC554" s="328"/>
      <c r="AD554" s="328"/>
      <c r="AE554" s="328"/>
      <c r="AF554" s="43"/>
    </row>
    <row r="555" spans="1:32" ht="12.75" customHeight="1">
      <c r="A555" s="325" t="str">
        <f>K519</f>
        <v>H</v>
      </c>
      <c r="B555" s="311" t="str">
        <f ca="1">IF($B527&lt;&gt;"",$B527,"")</f>
        <v/>
      </c>
      <c r="C555" s="312"/>
      <c r="D555" s="312"/>
      <c r="E555" s="312"/>
      <c r="F555" s="312"/>
      <c r="G555" s="313"/>
      <c r="H555" s="265"/>
      <c r="I555" s="265"/>
      <c r="J555" s="265"/>
      <c r="K555" s="265"/>
      <c r="L555" s="265" t="str">
        <f ca="1">IF($B548&lt;&gt;"",IF(AND($B548="Missing Player",$G557=2,$J557=2),0,IF(AND($B546="Missing Player",$G557=2,$J557=2),11,"")),"")</f>
        <v/>
      </c>
      <c r="M555" s="267" t="s">
        <v>1237</v>
      </c>
      <c r="N555" s="268"/>
      <c r="O555" s="268"/>
      <c r="P555" s="269"/>
      <c r="Q555" s="138" t="str">
        <f ca="1">IF(Q553&lt;&gt;"",IF(Q553="W","L","W"),"")</f>
        <v/>
      </c>
      <c r="R555" s="43"/>
      <c r="S555" s="43"/>
      <c r="T555" s="43"/>
      <c r="U555" s="43"/>
      <c r="V555" s="43"/>
      <c r="W555" s="43"/>
      <c r="X555" s="43"/>
      <c r="Y555" s="43"/>
      <c r="Z555" s="43"/>
      <c r="AA555" s="43"/>
      <c r="AB555" s="43"/>
      <c r="AC555" s="43"/>
      <c r="AD555" s="43"/>
      <c r="AE555" s="43"/>
      <c r="AF555" s="43"/>
    </row>
    <row r="556" spans="1:32" ht="12.75" customHeight="1">
      <c r="A556" s="324"/>
      <c r="B556" s="308" t="str">
        <f ca="1">IF($B548="Missing Player",$B548,"")</f>
        <v/>
      </c>
      <c r="C556" s="309"/>
      <c r="D556" s="309"/>
      <c r="E556" s="309"/>
      <c r="F556" s="309"/>
      <c r="G556" s="310"/>
      <c r="H556" s="270"/>
      <c r="I556" s="270"/>
      <c r="J556" s="266"/>
      <c r="K556" s="266"/>
      <c r="L556" s="266"/>
      <c r="M556" s="267"/>
      <c r="N556" s="268"/>
      <c r="O556" s="268"/>
      <c r="P556" s="269"/>
      <c r="Q556" s="139" t="str">
        <f ca="1">IF($Q555&lt;&gt;"",IF($B554&lt;&gt;"Missing Player",IF($Q555="W",IF(SUM(IF($H555&gt;$H553,1,0),IF($I555&gt;$I553,1,0),IF($J555&gt;$J553,1,0),IF($K555&gt;$K553,1,0),IF($L555&gt;$L553,1,0))&lt;&gt;3,"Error",""),""),""),"")</f>
        <v/>
      </c>
      <c r="R556" s="43" t="str">
        <f>A544</f>
        <v>4th Singles</v>
      </c>
      <c r="S556" s="43"/>
      <c r="T556" s="43"/>
      <c r="U556" s="43"/>
      <c r="V556" s="43"/>
      <c r="W556" s="43"/>
      <c r="X556" s="43"/>
      <c r="Y556" s="43"/>
      <c r="Z556" s="43"/>
      <c r="AA556" s="43"/>
      <c r="AB556" s="43"/>
      <c r="AC556" s="43"/>
      <c r="AD556" s="43"/>
      <c r="AE556" s="43"/>
      <c r="AF556" s="43"/>
    </row>
    <row r="557" spans="1:32" ht="12.75" customHeight="1">
      <c r="G557" s="66">
        <f ca="1">COUNTIF($Q525:$Q525,"W")+COUNTIF($Q532:$Q532,"W")+COUNTIF($Q539:$Q539,"W")+COUNTIF($Q546:$Q546,"W")</f>
        <v>0</v>
      </c>
      <c r="J557" s="66">
        <f ca="1">COUNTIF($Q527:$Q527,"W")+COUNTIF($Q534:$Q534,"W")+COUNTIF($Q541:$Q541,"W")+COUNTIF($Q548:$Q548,"W")</f>
        <v>0</v>
      </c>
      <c r="R557" s="60" t="s">
        <v>1228</v>
      </c>
      <c r="S557" s="339" t="s">
        <v>1126</v>
      </c>
      <c r="T557" s="340"/>
      <c r="U557" s="340"/>
      <c r="V557" s="340"/>
      <c r="W557" s="340"/>
      <c r="X557" s="341"/>
      <c r="Y557" s="60">
        <v>1</v>
      </c>
      <c r="Z557" s="60">
        <v>2</v>
      </c>
      <c r="AA557" s="60">
        <v>3</v>
      </c>
      <c r="AB557" s="60">
        <v>4</v>
      </c>
      <c r="AC557" s="60">
        <v>5</v>
      </c>
      <c r="AD557" s="342"/>
      <c r="AE557" s="343"/>
      <c r="AF557" s="344"/>
    </row>
    <row r="558" spans="1:32" ht="12.75" customHeight="1" thickBot="1">
      <c r="F558" s="246" t="s">
        <v>1238</v>
      </c>
      <c r="G558" s="246"/>
      <c r="H558" s="246"/>
      <c r="I558" s="246"/>
      <c r="J558" s="246"/>
      <c r="K558" s="246"/>
      <c r="R558" s="300" t="str">
        <f>B519</f>
        <v>E</v>
      </c>
      <c r="S558" s="331" t="str">
        <f ca="1">IF($B546&lt;&gt;"",$B546,"")</f>
        <v/>
      </c>
      <c r="T558" s="353"/>
      <c r="U558" s="353"/>
      <c r="V558" s="353"/>
      <c r="W558" s="353"/>
      <c r="X558" s="354"/>
      <c r="Y558" s="329"/>
      <c r="Z558" s="329"/>
      <c r="AA558" s="351"/>
      <c r="AB558" s="351"/>
      <c r="AC558" s="351"/>
      <c r="AD558" s="345"/>
      <c r="AE558" s="346"/>
      <c r="AF558" s="347"/>
    </row>
    <row r="559" spans="1:32" ht="12.75" customHeight="1">
      <c r="A559" s="22"/>
      <c r="B559" s="22"/>
      <c r="C559" s="22"/>
      <c r="D559" s="22"/>
      <c r="E559" s="22"/>
      <c r="G559" s="304" t="str">
        <f>B519</f>
        <v>E</v>
      </c>
      <c r="H559" s="305"/>
      <c r="I559" s="302" t="str">
        <f>K519</f>
        <v>H</v>
      </c>
      <c r="J559" s="303"/>
      <c r="L559" s="22"/>
      <c r="M559" s="22"/>
      <c r="N559" s="22"/>
      <c r="O559" s="22"/>
      <c r="P559" s="22"/>
      <c r="R559" s="301"/>
      <c r="S559" s="355"/>
      <c r="T559" s="356"/>
      <c r="U559" s="356"/>
      <c r="V559" s="356"/>
      <c r="W559" s="356"/>
      <c r="X559" s="357"/>
      <c r="Y559" s="338"/>
      <c r="Z559" s="338"/>
      <c r="AA559" s="352"/>
      <c r="AB559" s="352"/>
      <c r="AC559" s="352"/>
      <c r="AD559" s="348"/>
      <c r="AE559" s="349"/>
      <c r="AF559" s="350"/>
    </row>
    <row r="560" spans="1:32" ht="12.75" customHeight="1" thickBot="1">
      <c r="A560" s="2" t="s">
        <v>1228</v>
      </c>
      <c r="B560" s="53" t="str">
        <f>B519</f>
        <v>E</v>
      </c>
      <c r="C560" s="3" t="s">
        <v>1226</v>
      </c>
      <c r="F560" s="66" t="str">
        <f>CONCATENATE($B519,"-",$K519)</f>
        <v>E-H</v>
      </c>
      <c r="G560" s="320" t="str">
        <f ca="1">IF(OR(Q525&lt;&gt;"",Q532&lt;&gt;"",Q539&lt;&gt;"",Q546&lt;&gt;"",Q553&lt;&gt;""),COUNTIF(Q525:Q525,"W")+COUNTIF(Q532:Q532,"W")+COUNTIF(Q539:Q539,"W")+COUNTIF(Q546:Q546,"W")+COUNTIF(Q553:Q553,"W"),"")</f>
        <v/>
      </c>
      <c r="H560" s="321"/>
      <c r="I560" s="322" t="str">
        <f ca="1">IF(OR(Q527&lt;&gt;"",Q534&lt;&gt;"",Q541&lt;&gt;"",Q548&lt;&gt;"",Q555&lt;&gt;""),COUNTIF(Q527:Q527,"W")+COUNTIF(Q534:Q534,"W")+COUNTIF(Q541:Q541,"W")+COUNTIF(Q548:Q548,"W")+COUNTIF(Q555:Q555,"W"),"")</f>
        <v/>
      </c>
      <c r="J560" s="323"/>
      <c r="L560" s="2" t="s">
        <v>1228</v>
      </c>
      <c r="M560" s="53" t="str">
        <f>K519</f>
        <v>H</v>
      </c>
      <c r="N560" s="3" t="s">
        <v>1226</v>
      </c>
      <c r="R560" s="300" t="str">
        <f>K519</f>
        <v>H</v>
      </c>
      <c r="S560" s="331" t="str">
        <f ca="1">IF($B548&lt;&gt;"",$B548,"")</f>
        <v/>
      </c>
      <c r="T560" s="332"/>
      <c r="U560" s="332"/>
      <c r="V560" s="332"/>
      <c r="W560" s="332"/>
      <c r="X560" s="333"/>
      <c r="Y560" s="329"/>
      <c r="Z560" s="329"/>
      <c r="AA560" s="351"/>
      <c r="AB560" s="351"/>
      <c r="AC560" s="351"/>
      <c r="AD560" s="363" t="s">
        <v>1237</v>
      </c>
      <c r="AE560" s="358"/>
      <c r="AF560" s="359"/>
    </row>
    <row r="561" spans="1:32" ht="12.75" customHeight="1">
      <c r="F561" s="25" t="s">
        <v>3996</v>
      </c>
      <c r="G561" s="23"/>
      <c r="H561" s="23"/>
      <c r="I561" s="23"/>
      <c r="J561" s="23"/>
      <c r="K561" s="24"/>
      <c r="R561" s="330"/>
      <c r="S561" s="334"/>
      <c r="T561" s="335"/>
      <c r="U561" s="335"/>
      <c r="V561" s="335"/>
      <c r="W561" s="335"/>
      <c r="X561" s="336"/>
      <c r="Y561" s="330"/>
      <c r="Z561" s="330"/>
      <c r="AA561" s="330"/>
      <c r="AB561" s="330"/>
      <c r="AC561" s="330"/>
      <c r="AD561" s="360"/>
      <c r="AE561" s="361"/>
      <c r="AF561" s="362"/>
    </row>
    <row r="562" spans="1:32" ht="12.75" customHeight="1">
      <c r="R562" s="1"/>
      <c r="S562" s="110"/>
      <c r="T562" s="110"/>
      <c r="U562" s="110"/>
      <c r="V562" s="110"/>
      <c r="W562" s="110"/>
      <c r="X562" s="111"/>
      <c r="Y562" s="111"/>
      <c r="Z562" s="111"/>
      <c r="AA562" s="111"/>
    </row>
    <row r="563" spans="1:32" ht="12.75" customHeight="1">
      <c r="F563" s="246" t="s">
        <v>4929</v>
      </c>
      <c r="G563" s="246"/>
      <c r="H563" s="246"/>
      <c r="I563" s="246"/>
      <c r="R563" s="1"/>
      <c r="S563" s="110"/>
      <c r="T563" s="110"/>
      <c r="U563" s="110"/>
      <c r="V563" s="110"/>
      <c r="W563" s="110"/>
      <c r="X563" s="111"/>
      <c r="Y563" s="111"/>
      <c r="Z563" s="111"/>
      <c r="AA563" s="111"/>
    </row>
    <row r="564" spans="1:32" ht="12.75" customHeight="1">
      <c r="F564" s="246" t="s">
        <v>4930</v>
      </c>
      <c r="G564" s="246"/>
      <c r="H564" s="246"/>
      <c r="I564" s="246"/>
      <c r="R564" s="1"/>
      <c r="S564" s="110"/>
      <c r="T564" s="110"/>
      <c r="U564" s="110"/>
      <c r="V564" s="110"/>
      <c r="W564" s="110"/>
      <c r="X564" s="111"/>
      <c r="Y564" s="111"/>
      <c r="Z564" s="111"/>
      <c r="AA564" s="111"/>
    </row>
    <row r="565" spans="1:32" ht="12.75" customHeight="1">
      <c r="K565" s="281" t="s">
        <v>1244</v>
      </c>
      <c r="L565" s="281"/>
      <c r="M565" s="281"/>
      <c r="N565" s="281"/>
      <c r="O565" s="281"/>
      <c r="P565" s="281"/>
      <c r="R565" s="1"/>
      <c r="S565" s="110"/>
      <c r="T565" s="110"/>
      <c r="U565" s="110"/>
      <c r="V565" s="110"/>
      <c r="W565" s="110"/>
      <c r="X565" s="111"/>
      <c r="Y565" s="111"/>
      <c r="Z565" s="111"/>
      <c r="AA565" s="111"/>
    </row>
    <row r="566" spans="1:32" ht="12.75" customHeight="1">
      <c r="A566" s="12" t="s">
        <v>1229</v>
      </c>
      <c r="B566" s="11"/>
      <c r="C566" s="11"/>
      <c r="D566" s="11" t="str">
        <f>Draw!$B$1</f>
        <v>Enter Division Name</v>
      </c>
      <c r="E566" s="11"/>
      <c r="F566" s="7"/>
      <c r="G566" s="6"/>
      <c r="H566" s="7"/>
      <c r="I566" s="11"/>
      <c r="J566" s="11"/>
      <c r="K566" s="11"/>
      <c r="L566" s="11"/>
      <c r="M566" s="281"/>
      <c r="N566" s="281"/>
      <c r="O566" s="281"/>
      <c r="P566" s="281"/>
      <c r="R566" s="1"/>
      <c r="S566" s="110"/>
      <c r="T566" s="110"/>
      <c r="U566" s="110"/>
      <c r="V566" s="110"/>
      <c r="W566" s="110"/>
      <c r="X566" s="111"/>
      <c r="Y566" s="111"/>
      <c r="Z566" s="111"/>
      <c r="AA566" s="111"/>
    </row>
    <row r="567" spans="1:32" ht="12.75" customHeight="1">
      <c r="A567" s="2" t="s">
        <v>1230</v>
      </c>
      <c r="D567" s="43" t="str">
        <f>Draw!$D$1</f>
        <v>Enter Hosting Location (City, ST)</v>
      </c>
      <c r="J567" s="43" t="str">
        <f ca="1">$J$6</f>
        <v>[NCTTA Teams Template (v2.06).xlsx]</v>
      </c>
      <c r="R567" s="1"/>
      <c r="S567" s="110"/>
      <c r="T567" s="110"/>
      <c r="U567" s="110"/>
      <c r="V567" s="110"/>
      <c r="W567" s="110"/>
      <c r="X567" s="111"/>
      <c r="Y567" s="111"/>
      <c r="Z567" s="111"/>
      <c r="AA567" s="111"/>
    </row>
    <row r="568" spans="1:32" ht="12.75" customHeight="1">
      <c r="A568" s="2" t="s">
        <v>1231</v>
      </c>
      <c r="D568" s="337" t="str">
        <f>Draw!$P$1</f>
        <v>Enter Date</v>
      </c>
      <c r="E568" s="337"/>
      <c r="F568" s="337"/>
      <c r="G568" s="337"/>
      <c r="J568" s="280" t="str">
        <f>CHOOSE(Draw!$T$1,"Round 2, Match 6","Round 4, Match 3","Round 3, Match 4","Round 3, Match 4","","Round 4, Match 3","Round 4, Match 3","Round 3, Match 4","Round 3, Match 4","Round 3, Match 2","Round 3, Match 2")</f>
        <v>Round 3, Match 4</v>
      </c>
      <c r="K568" s="280"/>
      <c r="L568" s="280"/>
      <c r="M568" s="276" t="str">
        <f>IF(AND($J568&lt;&gt;"",Draw!$AC$10&lt;&gt;"",Draw!$AC$13&lt;&gt;""),Draw!$AC$10+TIME(0,VALUE(MID($J568,7,FIND(",",$J568)-FIND(" ",$J568)-1)-1)*Draw!$AC$13,0),"")</f>
        <v/>
      </c>
      <c r="N568" s="276"/>
      <c r="O568" s="157" t="str">
        <f>$F611</f>
        <v>F-G</v>
      </c>
      <c r="R568" s="1"/>
      <c r="S568" s="110"/>
      <c r="T568" s="110"/>
      <c r="U568" s="110"/>
      <c r="V568" s="110"/>
      <c r="W568" s="110"/>
      <c r="X568" s="111"/>
      <c r="Y568" s="111"/>
      <c r="Z568" s="111"/>
      <c r="AA568" s="111"/>
    </row>
    <row r="569" spans="1:32" ht="12.75" customHeight="1">
      <c r="A569" s="14"/>
      <c r="B569" s="15"/>
      <c r="C569" s="15"/>
      <c r="D569" s="15"/>
      <c r="E569" s="15"/>
      <c r="F569" s="14"/>
      <c r="G569" s="14"/>
      <c r="H569" s="16"/>
      <c r="I569" s="14"/>
      <c r="J569" s="15"/>
      <c r="K569" s="15"/>
      <c r="L569" s="15"/>
      <c r="M569" s="15"/>
      <c r="N569" s="15"/>
      <c r="O569" s="364" t="str">
        <f>IF(OR(AND(VLOOKUP($B570,$AM$1:$AX$12,12,FALSE)="C",VLOOKUP($K570,$AM$1:$AX$12,12,FALSE)="C"),AND(VLOOKUP($B570,$AM$1:$AX$12,12,FALSE)="W",VLOOKUP($K570,$AM$1:$AX$12,12,FALSE)="W")),"Official",IF(AND($A571="",$J571=""),"","Scrimmage"))</f>
        <v/>
      </c>
      <c r="P569" s="364"/>
      <c r="R569" s="1"/>
      <c r="S569" s="110"/>
      <c r="T569" s="110"/>
      <c r="U569" s="110"/>
      <c r="V569" s="110"/>
      <c r="W569" s="110"/>
      <c r="X569" s="111"/>
      <c r="Y569" s="111"/>
      <c r="Z569" s="111"/>
      <c r="AA569" s="111"/>
    </row>
    <row r="570" spans="1:32" ht="12.75" customHeight="1">
      <c r="A570" s="17" t="s">
        <v>1228</v>
      </c>
      <c r="B570" s="119" t="str">
        <f>CHOOSE(Draw!$T$1,"E","D","F","K","A","D","B","B","C","G","I")</f>
        <v>F</v>
      </c>
      <c r="C570" s="135">
        <f>VLOOKUP($B570,$AM$1:$AN$12,2)</f>
        <v>6</v>
      </c>
      <c r="D570" s="13"/>
      <c r="E570" s="13"/>
      <c r="F570" s="10"/>
      <c r="H570" s="19" t="s">
        <v>1232</v>
      </c>
      <c r="J570" s="17" t="s">
        <v>1228</v>
      </c>
      <c r="K570" s="119" t="str">
        <f>CHOOSE(Draw!$T$1,"F","E","G","L","G","E","F","H","D","I","K")</f>
        <v>G</v>
      </c>
      <c r="L570" s="135">
        <f>VLOOKUP($K570,$AM$1:$AN$12,2)</f>
        <v>7</v>
      </c>
      <c r="M570" s="13"/>
      <c r="N570" s="13"/>
      <c r="O570" s="18"/>
      <c r="P570" s="274"/>
      <c r="Q570" s="275"/>
      <c r="R570" s="1"/>
      <c r="S570" s="110"/>
      <c r="T570" s="110"/>
      <c r="U570" s="110"/>
      <c r="V570" s="110"/>
      <c r="W570" s="110"/>
      <c r="X570" s="111"/>
      <c r="Y570" s="111"/>
      <c r="Z570" s="111"/>
      <c r="AA570" s="111"/>
    </row>
    <row r="571" spans="1:32" ht="12.75" customHeight="1">
      <c r="A571" s="277" t="str">
        <f>IF(VLOOKUP($B570,Draw!$A$4:$B$27,2)&lt;&gt;0,VLOOKUP($B570,Draw!$A$4:$B$27,2),"")</f>
        <v/>
      </c>
      <c r="B571" s="278"/>
      <c r="C571" s="278"/>
      <c r="D571" s="278"/>
      <c r="E571" s="278"/>
      <c r="F571" s="279"/>
      <c r="G571" s="306" t="s">
        <v>4163</v>
      </c>
      <c r="H571" s="289"/>
      <c r="I571" s="307"/>
      <c r="J571" s="277" t="str">
        <f>IF(VLOOKUP($K570,Draw!$A$4:$B$27,2)&lt;&gt;0,VLOOKUP($K570,Draw!$A$4:$B$27,2),"")</f>
        <v/>
      </c>
      <c r="K571" s="278"/>
      <c r="L571" s="278"/>
      <c r="M571" s="278"/>
      <c r="N571" s="278"/>
      <c r="O571" s="279"/>
      <c r="P571" s="15"/>
      <c r="R571" s="1"/>
      <c r="S571" s="110"/>
      <c r="T571" s="110"/>
      <c r="U571" s="110"/>
      <c r="V571" s="110"/>
      <c r="W571" s="110"/>
      <c r="X571" s="111"/>
      <c r="Y571" s="111"/>
      <c r="Z571" s="111"/>
      <c r="AA571" s="111"/>
    </row>
    <row r="572" spans="1:32" ht="12.75" customHeight="1">
      <c r="A572" s="14"/>
      <c r="B572" s="15"/>
      <c r="C572" s="15"/>
      <c r="D572" s="15"/>
      <c r="E572" s="15"/>
      <c r="F572" s="14"/>
      <c r="G572" s="288" t="str">
        <f>"Page "&amp;VALUE(RIGHT($G571,LEN($G571)-SEARCH("-",$G571)))/2</f>
        <v>Page 12</v>
      </c>
      <c r="H572" s="289"/>
      <c r="I572" s="289"/>
      <c r="J572" s="15"/>
      <c r="K572" s="15"/>
      <c r="L572" s="15"/>
      <c r="M572" s="15"/>
      <c r="N572" s="15"/>
      <c r="O572" s="15"/>
      <c r="P572" s="15"/>
      <c r="R572" s="1"/>
      <c r="S572" s="110"/>
      <c r="T572" s="110"/>
      <c r="U572" s="110"/>
      <c r="V572" s="110"/>
      <c r="W572" s="110"/>
      <c r="X572" s="111"/>
      <c r="Y572" s="111"/>
      <c r="Z572" s="111"/>
      <c r="AA572" s="111"/>
      <c r="AF572" s="27"/>
    </row>
    <row r="573" spans="1:32" ht="12.75" customHeight="1">
      <c r="A573" s="327" t="s">
        <v>1245</v>
      </c>
      <c r="B573" s="327"/>
      <c r="C573" s="327"/>
      <c r="D573" s="327"/>
      <c r="E573" s="327"/>
      <c r="F573" s="327"/>
      <c r="G573" s="327"/>
      <c r="H573" s="327"/>
      <c r="I573" s="327"/>
      <c r="J573" s="327"/>
      <c r="K573" s="327"/>
      <c r="L573" s="327"/>
      <c r="M573" s="327"/>
      <c r="N573" s="327"/>
      <c r="O573" s="327"/>
      <c r="P573" s="327"/>
      <c r="Q573" s="7"/>
      <c r="R573" s="1"/>
      <c r="S573" s="110"/>
      <c r="T573" s="110"/>
      <c r="U573" s="110"/>
      <c r="V573" s="110"/>
      <c r="W573" s="110"/>
      <c r="X573" s="111"/>
      <c r="Y573" s="111"/>
      <c r="Z573" s="111"/>
      <c r="AA573" s="111"/>
      <c r="AF573" s="20"/>
    </row>
    <row r="574" spans="1:32" ht="12.75" customHeight="1">
      <c r="A574" s="21" t="s">
        <v>1233</v>
      </c>
      <c r="H574" s="136" t="str">
        <f>IF($Q576&lt;&gt;"",IF(AND(AND($H576&gt;-1,$H578&gt;-1),OR($H576&gt;10,$H578&gt;10),ABS($H576-$H578)&gt;1,IF(OR($H576&gt;11,$H578&gt;11),ABS($H576-$H578)=2,TRUE),$H576=INT($H576),$H578=INT($H578)),"","Error"),"")</f>
        <v/>
      </c>
      <c r="I574" s="136" t="str">
        <f>IF($Q576&lt;&gt;"",IF(AND(AND($I576&gt;-1,$I578&gt;-1),OR($I576&gt;10,$I578&gt;10),ABS($I576-$I578)&gt;1,IF(OR($I576&gt;11,$I578&gt;11),ABS($I576-$I578)=2,TRUE),$I576=INT($I576),$I578=INT($I578)),"","Error"),"")</f>
        <v/>
      </c>
      <c r="J574" s="136" t="str">
        <f>IF($Q576&lt;&gt;"",IF(AND(AND($J576&gt;-1,$J578&gt;-1),OR($J576&gt;10,$J578&gt;10),ABS($J576-$J578)&gt;1,IF(OR($J576&gt;11,$J578&gt;11),ABS($J576-$J578)=2,TRUE),$J576=INT($J576),$J578=INT($J578)),"","Error"),"")</f>
        <v/>
      </c>
      <c r="K574" s="136" t="str">
        <f>IF($Q576&lt;&gt;"",IF(AND($K576&lt;&gt;"",$K578&lt;&gt;""), IF(AND(AND($K576&gt;-1,$K578&gt;-1),OR($K576&gt;10,$K578&gt;10),ABS($K576-$K578)&gt;1,IF(OR($K576&gt;11,$K578&gt;11),ABS($K576-$K578)=2,TRUE),$K576=INT($K576),$K578=INT($K578)),"","Error"),""),"")</f>
        <v/>
      </c>
      <c r="L574" s="136" t="str">
        <f>IF($Q576&lt;&gt;"",IF(AND($L576&lt;&gt;"",$L578&lt;&gt;""), IF(AND(AND($L576&gt;-1,$L578&gt;-1),OR($L576&gt;10,$L578&gt;10),ABS($L576-$L578)&gt;1,IF(OR($L576&gt;11,$L578&gt;11),ABS($L576-$L578)=2,TRUE),$L576=INT($L576),$L578=INT($L578)),"","Error"),""),"")</f>
        <v/>
      </c>
      <c r="R574" s="1"/>
      <c r="S574" s="110"/>
      <c r="T574" s="110"/>
      <c r="U574" s="110"/>
      <c r="V574" s="110"/>
      <c r="W574" s="110"/>
      <c r="X574" s="111"/>
      <c r="Y574" s="111"/>
      <c r="Z574" s="111"/>
      <c r="AA574" s="111"/>
    </row>
    <row r="575" spans="1:32" ht="12.75" customHeight="1">
      <c r="A575" s="5" t="s">
        <v>1228</v>
      </c>
      <c r="B575" s="290" t="s">
        <v>1126</v>
      </c>
      <c r="C575" s="291"/>
      <c r="D575" s="291"/>
      <c r="E575" s="291"/>
      <c r="F575" s="291"/>
      <c r="G575" s="292"/>
      <c r="H575" s="5">
        <v>1</v>
      </c>
      <c r="I575" s="5">
        <v>2</v>
      </c>
      <c r="J575" s="5">
        <v>3</v>
      </c>
      <c r="K575" s="5">
        <v>4</v>
      </c>
      <c r="L575" s="5">
        <v>5</v>
      </c>
      <c r="M575" s="271"/>
      <c r="N575" s="272"/>
      <c r="O575" s="272"/>
      <c r="P575" s="273"/>
      <c r="R575" s="1"/>
      <c r="S575" s="110"/>
      <c r="T575" s="110"/>
      <c r="U575" s="110"/>
      <c r="V575" s="110"/>
      <c r="W575" s="110"/>
      <c r="X575" s="111"/>
      <c r="Y575" s="111"/>
      <c r="Z575" s="111"/>
      <c r="AA575" s="111"/>
    </row>
    <row r="576" spans="1:32" ht="12.75" customHeight="1">
      <c r="A576" s="300" t="str">
        <f>B570</f>
        <v>F</v>
      </c>
      <c r="B576" s="293" t="str">
        <f ca="1">IF(AND(OFFSET($AO$1,$C570-1,8,1,1),$A571&lt;&gt;"",$J571&lt;&gt;""),CHOOSE($C570,$AO$1,$AO$2,$AO$3,$AO$4,$AO$5,$AO$6,$AO$7,$AO$8,$AO$9,$AO$10,$AO$11,$AO$12),"")</f>
        <v/>
      </c>
      <c r="C576" s="294"/>
      <c r="D576" s="294"/>
      <c r="E576" s="294"/>
      <c r="F576" s="294"/>
      <c r="G576" s="294"/>
      <c r="H576" s="265"/>
      <c r="I576" s="265"/>
      <c r="J576" s="265"/>
      <c r="K576" s="265"/>
      <c r="L576" s="265"/>
      <c r="M576" s="297"/>
      <c r="N576" s="298"/>
      <c r="O576" s="298"/>
      <c r="P576" s="299"/>
      <c r="Q576" s="137" t="str">
        <f>IF($L576=$L578,IF($K576=$K578,IF($J576&lt;&gt;"",IF($J576&gt;$J578,"W","L"),""),IF($K576&gt;$K578,"W","L")),IF($L576&gt;$L578,"W","L"))</f>
        <v/>
      </c>
      <c r="R576" s="1"/>
      <c r="S576" s="110"/>
      <c r="T576" s="110"/>
      <c r="U576" s="110"/>
      <c r="V576" s="110"/>
      <c r="W576" s="110"/>
      <c r="X576" s="111"/>
      <c r="Y576" s="111"/>
      <c r="Z576" s="111"/>
      <c r="AA576" s="111"/>
    </row>
    <row r="577" spans="1:32" ht="12.75" customHeight="1">
      <c r="A577" s="301"/>
      <c r="B577" s="295"/>
      <c r="C577" s="296"/>
      <c r="D577" s="296"/>
      <c r="E577" s="296"/>
      <c r="F577" s="296"/>
      <c r="G577" s="296"/>
      <c r="H577" s="270"/>
      <c r="I577" s="270"/>
      <c r="J577" s="270"/>
      <c r="K577" s="270"/>
      <c r="L577" s="270"/>
      <c r="M577" s="297"/>
      <c r="N577" s="298"/>
      <c r="O577" s="298"/>
      <c r="P577" s="299"/>
      <c r="Q577" s="139" t="str">
        <f>IF($Q576&lt;&gt;"",IF($Q576="W",IF(SUM(IF($H576&gt;$H578,1,0),IF($I576&gt;$I578,1,0),IF($J576&gt;$J578,1,0),IF($K576&gt;$K578,1,0),IF($L576&gt;$L578,1,0))&lt;&gt;3,"Error",""),""),"")</f>
        <v/>
      </c>
      <c r="R577" s="328" t="str">
        <f>$A571</f>
        <v/>
      </c>
      <c r="S577" s="328"/>
      <c r="T577" s="328"/>
      <c r="U577" s="328"/>
      <c r="V577" s="328"/>
      <c r="W577" s="328"/>
      <c r="X577" s="256" t="str">
        <f>CONCATENATE("(",$B570," vs ",$K570,")")</f>
        <v>(F vs G)</v>
      </c>
      <c r="Y577" s="256"/>
      <c r="Z577" s="328" t="str">
        <f>$J571</f>
        <v/>
      </c>
      <c r="AA577" s="328"/>
      <c r="AB577" s="328"/>
      <c r="AC577" s="328"/>
      <c r="AD577" s="328"/>
      <c r="AE577" s="328"/>
      <c r="AF577" s="43"/>
    </row>
    <row r="578" spans="1:32" ht="12.75" customHeight="1">
      <c r="A578" s="300" t="str">
        <f>K570</f>
        <v>G</v>
      </c>
      <c r="B578" s="293" t="str">
        <f ca="1">IF(AND(OFFSET($AO$1,$L570-1,8,1,1),$A571&lt;&gt;"",$J571&lt;&gt;""),CHOOSE($L570,$AO$1,$AO$2,$AO$3,$AO$4,$AO$5,$AO$6,$AO$7,$AO$8,$AO$9,$AO$10,$AO$11,$AO$12),"")</f>
        <v/>
      </c>
      <c r="C578" s="294"/>
      <c r="D578" s="294"/>
      <c r="E578" s="294"/>
      <c r="F578" s="294"/>
      <c r="G578" s="294"/>
      <c r="H578" s="265"/>
      <c r="I578" s="265"/>
      <c r="J578" s="265"/>
      <c r="K578" s="265"/>
      <c r="L578" s="265"/>
      <c r="M578" s="267" t="s">
        <v>1237</v>
      </c>
      <c r="N578" s="268"/>
      <c r="O578" s="268"/>
      <c r="P578" s="269"/>
      <c r="Q578" s="137" t="str">
        <f>IF($Q576&lt;&gt;"",IF($Q576="W","L","W"),"")</f>
        <v/>
      </c>
      <c r="R578" s="43"/>
      <c r="S578" s="43"/>
      <c r="T578" s="43"/>
      <c r="U578" s="43"/>
      <c r="V578" s="43"/>
      <c r="W578" s="43"/>
      <c r="X578" s="43"/>
      <c r="Y578" s="43"/>
      <c r="Z578" s="43"/>
      <c r="AA578" s="43"/>
      <c r="AB578" s="43"/>
      <c r="AC578" s="43"/>
      <c r="AD578" s="43"/>
      <c r="AE578" s="43"/>
      <c r="AF578" s="43"/>
    </row>
    <row r="579" spans="1:32" ht="12.75" customHeight="1">
      <c r="A579" s="301"/>
      <c r="B579" s="295"/>
      <c r="C579" s="296"/>
      <c r="D579" s="296"/>
      <c r="E579" s="296"/>
      <c r="F579" s="296"/>
      <c r="G579" s="296"/>
      <c r="H579" s="270"/>
      <c r="I579" s="270"/>
      <c r="J579" s="266"/>
      <c r="K579" s="266"/>
      <c r="L579" s="266"/>
      <c r="M579" s="267"/>
      <c r="N579" s="268"/>
      <c r="O579" s="268"/>
      <c r="P579" s="269"/>
      <c r="Q579" s="139" t="str">
        <f>IF($Q578&lt;&gt;"",IF($Q578="W",IF(SUM(IF($H578&gt;$H576,1,0),IF($I578&gt;$I576,1,0),IF($J578&gt;$J576,1,0),IF($K578&gt;$K576,1,0),IF($L578&gt;$L576,1,0))&lt;&gt;3,"Error",""),""),"")</f>
        <v/>
      </c>
      <c r="R579" s="43" t="str">
        <f>$A581</f>
        <v>2nd Singles</v>
      </c>
      <c r="S579" s="43"/>
      <c r="T579" s="43"/>
      <c r="U579" s="43"/>
      <c r="V579" s="43"/>
      <c r="W579" s="43"/>
      <c r="X579" s="43"/>
      <c r="Y579" s="43"/>
      <c r="Z579" s="43"/>
      <c r="AA579" s="43"/>
      <c r="AB579" s="43"/>
      <c r="AC579" s="43"/>
      <c r="AD579" s="43"/>
      <c r="AE579" s="43"/>
      <c r="AF579" s="43"/>
    </row>
    <row r="580" spans="1:32" ht="12.75" customHeight="1">
      <c r="Q580" s="7"/>
      <c r="R580" s="60" t="s">
        <v>1228</v>
      </c>
      <c r="S580" s="339" t="s">
        <v>1126</v>
      </c>
      <c r="T580" s="340"/>
      <c r="U580" s="340"/>
      <c r="V580" s="340"/>
      <c r="W580" s="340"/>
      <c r="X580" s="341"/>
      <c r="Y580" s="60">
        <v>1</v>
      </c>
      <c r="Z580" s="60">
        <v>2</v>
      </c>
      <c r="AA580" s="60">
        <v>3</v>
      </c>
      <c r="AB580" s="60">
        <v>4</v>
      </c>
      <c r="AC580" s="60">
        <v>5</v>
      </c>
      <c r="AD580" s="342"/>
      <c r="AE580" s="343"/>
      <c r="AF580" s="344"/>
    </row>
    <row r="581" spans="1:32" ht="12.75" customHeight="1">
      <c r="A581" s="21" t="s">
        <v>1234</v>
      </c>
      <c r="H581" s="136" t="str">
        <f>IF($Q583&lt;&gt;"",IF(AND(AND($H583&gt;-1,$H585&gt;-1),OR($H583&gt;10,$H585&gt;10),ABS($H583-$H585)&gt;1,IF(OR($H583&gt;11,$H585&gt;11),ABS($H583-$H585)=2,TRUE),$H583=INT($H583),$H585=INT($H585)),"","Error"),"")</f>
        <v/>
      </c>
      <c r="I581" s="136" t="str">
        <f>IF($Q583&lt;&gt;"",IF(AND(AND($I583&gt;-1,$I585&gt;-1),OR($I583&gt;10,$I585&gt;10),ABS($I583-$I585)&gt;1,IF(OR($I583&gt;11,$I585&gt;11),ABS($I583-$I585)=2,TRUE),$I583=INT($I583),$I585=INT($I585)),"","Error"),"")</f>
        <v/>
      </c>
      <c r="J581" s="136" t="str">
        <f>IF($Q583&lt;&gt;"",IF(AND(AND($J583&gt;-1,$J585&gt;-1),OR($J583&gt;10,$J585&gt;10),ABS($J583-$J585)&gt;1,IF(OR($J583&gt;11,$J585&gt;11),ABS($J583-$J585)=2,TRUE),$J583=INT($J583),$J585=INT($J585)),"","Error"),"")</f>
        <v/>
      </c>
      <c r="K581" s="136" t="str">
        <f>IF($Q583&lt;&gt;"",IF(AND($K583&lt;&gt;"",$K585&lt;&gt;""), IF(AND(AND($K583&gt;-1,$K585&gt;-1),OR($K583&gt;10,$K585&gt;10),ABS($K583-$K585)&gt;1,IF(OR($K583&gt;11,$K585&gt;11),ABS($K583-$K585)=2,TRUE),$K583=INT($K583),$K585=INT($K585)),"","Error"),""),"")</f>
        <v/>
      </c>
      <c r="L581" s="136" t="str">
        <f>IF($Q583&lt;&gt;"",IF(AND($L583&lt;&gt;"",$L585&lt;&gt;""), IF(AND(AND($L583&gt;-1,$L585&gt;-1),OR($L583&gt;10,$L585&gt;10),ABS($L583-$L585)&gt;1,IF(OR($L583&gt;11,$L585&gt;11),ABS($L583-$L585)=2,TRUE),$L583=INT($L583),$L585=INT($L585)),"","Error"),""),"")</f>
        <v/>
      </c>
      <c r="Q581" s="7"/>
      <c r="R581" s="300" t="str">
        <f>$B570</f>
        <v>F</v>
      </c>
      <c r="S581" s="331" t="str">
        <f ca="1">IF($B583&lt;&gt;"",$B583,"")</f>
        <v/>
      </c>
      <c r="T581" s="332"/>
      <c r="U581" s="332"/>
      <c r="V581" s="332"/>
      <c r="W581" s="332"/>
      <c r="X581" s="333"/>
      <c r="Y581" s="329"/>
      <c r="Z581" s="329"/>
      <c r="AA581" s="329"/>
      <c r="AB581" s="329"/>
      <c r="AC581" s="329"/>
      <c r="AD581" s="345"/>
      <c r="AE581" s="358"/>
      <c r="AF581" s="359"/>
    </row>
    <row r="582" spans="1:32" ht="12.75" customHeight="1">
      <c r="A582" s="5" t="s">
        <v>1228</v>
      </c>
      <c r="B582" s="290" t="s">
        <v>1126</v>
      </c>
      <c r="C582" s="291"/>
      <c r="D582" s="291"/>
      <c r="E582" s="291"/>
      <c r="F582" s="291"/>
      <c r="G582" s="292"/>
      <c r="H582" s="5">
        <v>1</v>
      </c>
      <c r="I582" s="5">
        <v>2</v>
      </c>
      <c r="J582" s="5">
        <v>3</v>
      </c>
      <c r="K582" s="5">
        <v>4</v>
      </c>
      <c r="L582" s="5">
        <v>5</v>
      </c>
      <c r="M582" s="271"/>
      <c r="N582" s="272"/>
      <c r="O582" s="272"/>
      <c r="P582" s="273"/>
      <c r="Q582" s="7"/>
      <c r="R582" s="330"/>
      <c r="S582" s="334"/>
      <c r="T582" s="335"/>
      <c r="U582" s="335"/>
      <c r="V582" s="335"/>
      <c r="W582" s="335"/>
      <c r="X582" s="336"/>
      <c r="Y582" s="330"/>
      <c r="Z582" s="330"/>
      <c r="AA582" s="330"/>
      <c r="AB582" s="330"/>
      <c r="AC582" s="330"/>
      <c r="AD582" s="360"/>
      <c r="AE582" s="361"/>
      <c r="AF582" s="362"/>
    </row>
    <row r="583" spans="1:32" ht="12.75" customHeight="1">
      <c r="A583" s="300" t="str">
        <f>B570</f>
        <v>F</v>
      </c>
      <c r="B583" s="293" t="str">
        <f ca="1">IF(AND(OFFSET($AO$1,$C570-1,8,1,1),$A571&lt;&gt;"",$J571&lt;&gt;""),CHOOSE($C570,$AP$1,$AP$2,$AP$3,$AP$4,$AP$5,$AP$6,$AP$7,$AP$8,$AP$9,$AP$10,$AP$11,$AP$12),"")</f>
        <v/>
      </c>
      <c r="C583" s="294"/>
      <c r="D583" s="294"/>
      <c r="E583" s="294"/>
      <c r="F583" s="294"/>
      <c r="G583" s="294"/>
      <c r="H583" s="265"/>
      <c r="I583" s="265"/>
      <c r="J583" s="265"/>
      <c r="K583" s="265"/>
      <c r="L583" s="265"/>
      <c r="M583" s="262" t="str">
        <f ca="1">IF(OR(AND($B576&lt;&gt;"",$B583&lt;&gt;"",$C601&lt;=$B601),AND($B578&lt;&gt;"",$B585&lt;&gt;"",$G601&lt;=$F601)),"Invalid Lineup","")</f>
        <v/>
      </c>
      <c r="N583" s="263"/>
      <c r="O583" s="263"/>
      <c r="P583" s="264"/>
      <c r="Q583" s="137" t="str">
        <f>IF($L583=$L585,IF($K583=$K585,IF($J583&lt;&gt;"",IF($J583&gt;$J585,"W","L"),""),IF($K583&gt;$K585,"W","L")),IF($L583&gt;$L585,"W","L"))</f>
        <v/>
      </c>
      <c r="R583" s="300" t="str">
        <f>$K570</f>
        <v>G</v>
      </c>
      <c r="S583" s="331" t="str">
        <f ca="1">IF($B585&lt;&gt;"",$B585,"")</f>
        <v/>
      </c>
      <c r="T583" s="332"/>
      <c r="U583" s="332"/>
      <c r="V583" s="332"/>
      <c r="W583" s="332"/>
      <c r="X583" s="333"/>
      <c r="Y583" s="329"/>
      <c r="Z583" s="329"/>
      <c r="AA583" s="329"/>
      <c r="AB583" s="329"/>
      <c r="AC583" s="351"/>
      <c r="AD583" s="363" t="s">
        <v>1237</v>
      </c>
      <c r="AE583" s="358"/>
      <c r="AF583" s="359"/>
    </row>
    <row r="584" spans="1:32" ht="12.75" customHeight="1">
      <c r="A584" s="301"/>
      <c r="B584" s="295"/>
      <c r="C584" s="296"/>
      <c r="D584" s="296"/>
      <c r="E584" s="296"/>
      <c r="F584" s="296"/>
      <c r="G584" s="296"/>
      <c r="H584" s="270"/>
      <c r="I584" s="270"/>
      <c r="J584" s="270"/>
      <c r="K584" s="270"/>
      <c r="L584" s="270"/>
      <c r="M584" s="262"/>
      <c r="N584" s="263"/>
      <c r="O584" s="263"/>
      <c r="P584" s="264"/>
      <c r="Q584" s="139" t="str">
        <f>IF($Q583&lt;&gt;"",IF($Q583="W",IF(SUM(IF($H583&gt;$H585,1,0),IF($I583&gt;$I585,1,0),IF($J583&gt;$J585,1,0),IF($K583&gt;$K585,1,0),IF($L583&gt;$L585,1,0))&lt;&gt;3,"Error",""),""),"")</f>
        <v/>
      </c>
      <c r="R584" s="330"/>
      <c r="S584" s="334"/>
      <c r="T584" s="335"/>
      <c r="U584" s="335"/>
      <c r="V584" s="335"/>
      <c r="W584" s="335"/>
      <c r="X584" s="336"/>
      <c r="Y584" s="330"/>
      <c r="Z584" s="330"/>
      <c r="AA584" s="330"/>
      <c r="AB584" s="330"/>
      <c r="AC584" s="330"/>
      <c r="AD584" s="360"/>
      <c r="AE584" s="361"/>
      <c r="AF584" s="362"/>
    </row>
    <row r="585" spans="1:32" ht="12.75" customHeight="1">
      <c r="A585" s="300" t="str">
        <f>K570</f>
        <v>G</v>
      </c>
      <c r="B585" s="293" t="str">
        <f ca="1">IF(AND(OFFSET($AO$1,$L570-1,8,1,1),$A571&lt;&gt;"",$J571&lt;&gt;""),CHOOSE($L570,$AP$1,$AP$2,$AP$3,$AP$4,$AP$5,$AP$6,$AP$7,$AP$8,$AP$9,$AP$10,$AP$11,$AP$12),"")</f>
        <v/>
      </c>
      <c r="C585" s="294"/>
      <c r="D585" s="294"/>
      <c r="E585" s="294"/>
      <c r="F585" s="294"/>
      <c r="G585" s="294"/>
      <c r="H585" s="265"/>
      <c r="I585" s="265"/>
      <c r="J585" s="265"/>
      <c r="K585" s="265"/>
      <c r="L585" s="265"/>
      <c r="M585" s="267" t="s">
        <v>1237</v>
      </c>
      <c r="N585" s="268"/>
      <c r="O585" s="268"/>
      <c r="P585" s="269"/>
      <c r="Q585" s="137" t="str">
        <f>IF($Q583&lt;&gt;"",IF($Q583="W","L","W"),"")</f>
        <v/>
      </c>
      <c r="R585" s="20"/>
      <c r="S585" s="20"/>
      <c r="T585" s="20"/>
      <c r="U585" s="20"/>
      <c r="V585" s="20"/>
      <c r="W585" s="20"/>
      <c r="X585" s="26"/>
      <c r="Y585" s="26"/>
      <c r="Z585" s="20"/>
      <c r="AA585" s="20"/>
      <c r="AB585" s="20"/>
      <c r="AC585" s="20"/>
      <c r="AD585" s="20"/>
      <c r="AE585" s="20"/>
      <c r="AF585" s="27"/>
    </row>
    <row r="586" spans="1:32" ht="12.75" customHeight="1">
      <c r="A586" s="301"/>
      <c r="B586" s="295"/>
      <c r="C586" s="296"/>
      <c r="D586" s="296"/>
      <c r="E586" s="296"/>
      <c r="F586" s="296"/>
      <c r="G586" s="296"/>
      <c r="H586" s="270"/>
      <c r="I586" s="270"/>
      <c r="J586" s="266"/>
      <c r="K586" s="266"/>
      <c r="L586" s="266"/>
      <c r="M586" s="267"/>
      <c r="N586" s="268"/>
      <c r="O586" s="268"/>
      <c r="P586" s="269"/>
      <c r="Q586" s="139" t="str">
        <f>IF($Q585&lt;&gt;"",IF($Q585="W",IF(SUM(IF($H585&gt;$H583,1,0),IF($I585&gt;$I583,1,0),IF($J585&gt;$J583,1,0),IF($K585&gt;$K583,1,0),IF($L585&gt;$L583,1,0))&lt;&gt;3,"Error",""),""),"")</f>
        <v/>
      </c>
      <c r="R586" s="20"/>
      <c r="S586" s="20"/>
      <c r="T586" s="20"/>
      <c r="U586" s="20"/>
      <c r="V586" s="20"/>
      <c r="W586" s="20"/>
      <c r="X586" s="26"/>
      <c r="Y586" s="26"/>
      <c r="Z586" s="20"/>
      <c r="AA586" s="20"/>
      <c r="AB586" s="20"/>
      <c r="AC586" s="20"/>
      <c r="AD586" s="20"/>
      <c r="AE586" s="20"/>
      <c r="AF586" s="27"/>
    </row>
    <row r="587" spans="1:32" ht="12.75" customHeight="1">
      <c r="Q587" s="7"/>
      <c r="R587" s="20"/>
      <c r="S587" s="20"/>
      <c r="T587" s="20"/>
      <c r="U587" s="20"/>
      <c r="V587" s="20"/>
      <c r="W587" s="20"/>
      <c r="X587" s="26"/>
      <c r="Y587" s="26"/>
      <c r="Z587" s="20"/>
      <c r="AA587" s="20"/>
      <c r="AB587" s="20"/>
      <c r="AC587" s="20"/>
      <c r="AD587" s="20"/>
      <c r="AE587" s="20"/>
      <c r="AF587" s="27"/>
    </row>
    <row r="588" spans="1:32" ht="12.75" customHeight="1">
      <c r="A588" s="21" t="s">
        <v>1235</v>
      </c>
      <c r="H588" s="136" t="str">
        <f>IF($Q590&lt;&gt;"",IF(AND(AND($H590&gt;-1,$H592&gt;-1),OR($H590&gt;10,$H592&gt;10),ABS($H590-$H592)&gt;1,IF(OR($H590&gt;11,$H592&gt;11),ABS($H590-$H592)=2,TRUE),$H590=INT($H590),$H592=INT($H592)),"","Error"),"")</f>
        <v/>
      </c>
      <c r="I588" s="136" t="str">
        <f>IF($Q590&lt;&gt;"",IF(AND(AND($I590&gt;-1,$I592&gt;-1),OR($I590&gt;10,$I592&gt;10),ABS($I590-$I592)&gt;1,IF(OR($I590&gt;11,$I592&gt;11),ABS($I590-$I592)=2,TRUE),$I590=INT($I590),$I592=INT($I592)),"","Error"),"")</f>
        <v/>
      </c>
      <c r="J588" s="136" t="str">
        <f>IF($Q590&lt;&gt;"",IF(AND(AND($J590&gt;-1,$J592&gt;-1),OR($J590&gt;10,$J592&gt;10),ABS($J590-$J592)&gt;1,IF(OR($J590&gt;11,$J592&gt;11),ABS($J590-$J592)=2,TRUE),$J590=INT($J590),$J592=INT($J592)),"","Error"),"")</f>
        <v/>
      </c>
      <c r="K588" s="136" t="str">
        <f>IF($Q590&lt;&gt;"",IF(AND($K590&lt;&gt;"",$K592&lt;&gt;""), IF(AND(AND($K590&gt;-1,$K592&gt;-1),OR($K590&gt;10,$K592&gt;10),ABS($K590-$K592)&gt;1,IF(OR($K590&gt;11,$K592&gt;11),ABS($K590-$K592)=2,TRUE),$K590=INT($K590),$K592=INT($K592)),"","Error"),""),"")</f>
        <v/>
      </c>
      <c r="L588" s="136" t="str">
        <f>IF($Q590&lt;&gt;"",IF(AND($L590&lt;&gt;"",$L592&lt;&gt;""), IF(AND(AND($L590&gt;-1,$L592&gt;-1),OR($L590&gt;10,$L592&gt;10),ABS($L590-$L592)&gt;1,IF(OR($L590&gt;11,$L592&gt;11),ABS($L590-$L592)=2,TRUE),$L590=INT($L590),$L592=INT($L592)),"","Error"),""),"")</f>
        <v/>
      </c>
      <c r="Q588" s="7"/>
      <c r="R588" s="20"/>
      <c r="S588" s="20"/>
      <c r="T588" s="20"/>
      <c r="U588" s="20"/>
      <c r="V588" s="20"/>
      <c r="W588" s="20"/>
      <c r="X588" s="26"/>
      <c r="Y588" s="26"/>
      <c r="Z588" s="20"/>
      <c r="AA588" s="20"/>
      <c r="AB588" s="20"/>
      <c r="AC588" s="20"/>
      <c r="AD588" s="20"/>
      <c r="AE588" s="20"/>
      <c r="AF588" s="27"/>
    </row>
    <row r="589" spans="1:32" ht="12.75" customHeight="1">
      <c r="A589" s="5" t="s">
        <v>1228</v>
      </c>
      <c r="B589" s="290" t="s">
        <v>1126</v>
      </c>
      <c r="C589" s="291"/>
      <c r="D589" s="291"/>
      <c r="E589" s="291"/>
      <c r="F589" s="291"/>
      <c r="G589" s="292"/>
      <c r="H589" s="5">
        <v>1</v>
      </c>
      <c r="I589" s="5">
        <v>2</v>
      </c>
      <c r="J589" s="5">
        <v>3</v>
      </c>
      <c r="K589" s="5">
        <v>4</v>
      </c>
      <c r="L589" s="5">
        <v>5</v>
      </c>
      <c r="M589" s="271"/>
      <c r="N589" s="272"/>
      <c r="O589" s="272"/>
      <c r="P589" s="273"/>
      <c r="Q589" s="7"/>
      <c r="R589" s="20"/>
      <c r="S589" s="20"/>
      <c r="T589" s="20"/>
      <c r="U589" s="20"/>
      <c r="V589" s="20"/>
      <c r="W589" s="20"/>
      <c r="X589" s="26"/>
      <c r="Y589" s="26"/>
      <c r="Z589" s="20"/>
      <c r="AA589" s="20"/>
      <c r="AB589" s="20"/>
      <c r="AC589" s="20"/>
      <c r="AD589" s="20"/>
      <c r="AE589" s="20"/>
      <c r="AF589" s="27"/>
    </row>
    <row r="590" spans="1:32" ht="12.75" customHeight="1">
      <c r="A590" s="300" t="str">
        <f>B570</f>
        <v>F</v>
      </c>
      <c r="B590" s="293" t="str">
        <f ca="1">IF(AND(OFFSET($AO$1,$C570-1,8,1,1),$A571&lt;&gt;"",$J571&lt;&gt;""),CHOOSE($C570,$AQ$1,$AQ$2,$AQ$3,$AQ$4,$AQ$5,$AQ$6,$AQ$7,$AQ$8,$AQ$9,$AQ$10,$AQ$11,$AQ$12),"")</f>
        <v/>
      </c>
      <c r="C590" s="294"/>
      <c r="D590" s="294"/>
      <c r="E590" s="294"/>
      <c r="F590" s="294"/>
      <c r="G590" s="294"/>
      <c r="H590" s="265"/>
      <c r="I590" s="265"/>
      <c r="J590" s="265"/>
      <c r="K590" s="265"/>
      <c r="L590" s="265"/>
      <c r="M590" s="262" t="str">
        <f ca="1">IF(OR(AND($B583&lt;&gt;"",$B590&lt;&gt;"",$D601&lt;=$C601),AND($B585&lt;&gt;"",$B592&lt;&gt;"",$H601&lt;=$G601)),"Invalid Lineup","")</f>
        <v/>
      </c>
      <c r="N590" s="263"/>
      <c r="O590" s="263"/>
      <c r="P590" s="264"/>
      <c r="Q590" s="137" t="str">
        <f>IF($L590=$L592,IF($K590=$K592,IF($J590&lt;&gt;"",IF($J590&gt;$J592,"W","L"),""),IF($K590&gt;$K592,"W","L")),IF($L590&gt;$L592,"W","L"))</f>
        <v/>
      </c>
      <c r="R590" s="20"/>
      <c r="S590" s="20"/>
      <c r="T590" s="20"/>
      <c r="U590" s="20"/>
      <c r="V590" s="20"/>
      <c r="W590" s="20"/>
      <c r="X590" s="26"/>
      <c r="Y590" s="26"/>
      <c r="Z590" s="20"/>
      <c r="AA590" s="20"/>
      <c r="AB590" s="20"/>
      <c r="AC590" s="20"/>
      <c r="AD590" s="20"/>
      <c r="AE590" s="20"/>
      <c r="AF590" s="27"/>
    </row>
    <row r="591" spans="1:32" ht="12.75" customHeight="1">
      <c r="A591" s="301"/>
      <c r="B591" s="295"/>
      <c r="C591" s="296"/>
      <c r="D591" s="296"/>
      <c r="E591" s="296"/>
      <c r="F591" s="296"/>
      <c r="G591" s="296"/>
      <c r="H591" s="270"/>
      <c r="I591" s="270"/>
      <c r="J591" s="270"/>
      <c r="K591" s="270"/>
      <c r="L591" s="270"/>
      <c r="M591" s="262"/>
      <c r="N591" s="263"/>
      <c r="O591" s="263"/>
      <c r="P591" s="264"/>
      <c r="Q591" s="139" t="str">
        <f>IF($Q590&lt;&gt;"",IF($Q590="W",IF(SUM(IF($H590&gt;$H592,1,0),IF($I590&gt;$I592,1,0),IF($J590&gt;$J592,1,0),IF($K590&gt;$K592,1,0),IF($L590&gt;$L592,1,0))&lt;&gt;3,"Error",""),""),"")</f>
        <v/>
      </c>
      <c r="R591" s="328" t="str">
        <f>$A571</f>
        <v/>
      </c>
      <c r="S591" s="328"/>
      <c r="T591" s="328"/>
      <c r="U591" s="328"/>
      <c r="V591" s="328"/>
      <c r="W591" s="328"/>
      <c r="X591" s="256" t="str">
        <f>CONCATENATE("(",$B570," vs ",$K570,")")</f>
        <v>(F vs G)</v>
      </c>
      <c r="Y591" s="256"/>
      <c r="Z591" s="328" t="str">
        <f>$J571</f>
        <v/>
      </c>
      <c r="AA591" s="328"/>
      <c r="AB591" s="328"/>
      <c r="AC591" s="328"/>
      <c r="AD591" s="328"/>
      <c r="AE591" s="328"/>
      <c r="AF591" s="100"/>
    </row>
    <row r="592" spans="1:32" ht="12.75" customHeight="1">
      <c r="A592" s="300" t="str">
        <f>K570</f>
        <v>G</v>
      </c>
      <c r="B592" s="293" t="str">
        <f ca="1">IF(AND(OFFSET($AO$1,$L570-1,8,1,1),$A571&lt;&gt;"",$J571&lt;&gt;""),CHOOSE($L570,$AQ$1,$AQ$2,$AQ$3,$AQ$4,$AQ$5,$AQ$6,$AQ$7,$AQ$8,$AQ$9,$AQ$10,$AQ$11,$AQ$12),"")</f>
        <v/>
      </c>
      <c r="C592" s="294"/>
      <c r="D592" s="294"/>
      <c r="E592" s="294"/>
      <c r="F592" s="294"/>
      <c r="G592" s="294"/>
      <c r="H592" s="265"/>
      <c r="I592" s="265"/>
      <c r="J592" s="265"/>
      <c r="K592" s="265"/>
      <c r="L592" s="265"/>
      <c r="M592" s="267" t="s">
        <v>1237</v>
      </c>
      <c r="N592" s="268"/>
      <c r="O592" s="268"/>
      <c r="P592" s="269"/>
      <c r="Q592" s="137" t="str">
        <f>IF($Q590&lt;&gt;"",IF($Q590="W","L","W"),"")</f>
        <v/>
      </c>
      <c r="R592" s="100"/>
      <c r="S592" s="100"/>
      <c r="T592" s="100"/>
      <c r="U592" s="100"/>
      <c r="V592" s="100"/>
      <c r="W592" s="100"/>
      <c r="X592" s="100"/>
      <c r="Y592" s="100"/>
      <c r="Z592" s="100"/>
      <c r="AA592" s="100"/>
      <c r="AB592" s="100"/>
      <c r="AC592" s="100"/>
      <c r="AD592" s="100"/>
      <c r="AE592" s="100"/>
      <c r="AF592" s="100"/>
    </row>
    <row r="593" spans="1:32" ht="12.75" customHeight="1">
      <c r="A593" s="301"/>
      <c r="B593" s="295"/>
      <c r="C593" s="296"/>
      <c r="D593" s="296"/>
      <c r="E593" s="296"/>
      <c r="F593" s="296"/>
      <c r="G593" s="296"/>
      <c r="H593" s="270"/>
      <c r="I593" s="270"/>
      <c r="J593" s="266"/>
      <c r="K593" s="266"/>
      <c r="L593" s="266"/>
      <c r="M593" s="267"/>
      <c r="N593" s="268"/>
      <c r="O593" s="268"/>
      <c r="P593" s="269"/>
      <c r="Q593" s="139" t="str">
        <f>IF($Q592&lt;&gt;"",IF($Q592="W",IF(SUM(IF($H592&gt;$H590,1,0),IF($I592&gt;$I590,1,0),IF($J592&gt;$J590,1,0),IF($K592&gt;$K590,1,0),IF($L592&gt;$L590,1,0))&lt;&gt;3,"Error",""),""),"")</f>
        <v/>
      </c>
      <c r="R593" s="43" t="str">
        <f>$A588</f>
        <v>3rd Singles</v>
      </c>
      <c r="S593" s="43"/>
      <c r="T593" s="43"/>
      <c r="U593" s="43"/>
      <c r="V593" s="43"/>
      <c r="W593" s="43"/>
      <c r="X593" s="43"/>
      <c r="Y593" s="43"/>
      <c r="Z593" s="43"/>
      <c r="AA593" s="43"/>
      <c r="AB593" s="43"/>
      <c r="AC593" s="43"/>
      <c r="AD593" s="43"/>
      <c r="AE593" s="43"/>
      <c r="AF593" s="43"/>
    </row>
    <row r="594" spans="1:32" ht="12.75" customHeight="1">
      <c r="Q594" s="7"/>
      <c r="R594" s="60" t="s">
        <v>1228</v>
      </c>
      <c r="S594" s="101" t="s">
        <v>1126</v>
      </c>
      <c r="T594" s="102"/>
      <c r="U594" s="102"/>
      <c r="V594" s="102"/>
      <c r="W594" s="102"/>
      <c r="X594" s="103"/>
      <c r="Y594" s="60">
        <v>1</v>
      </c>
      <c r="Z594" s="60">
        <v>2</v>
      </c>
      <c r="AA594" s="60">
        <v>3</v>
      </c>
      <c r="AB594" s="60">
        <v>4</v>
      </c>
      <c r="AC594" s="60">
        <v>5</v>
      </c>
      <c r="AD594" s="104"/>
      <c r="AE594" s="105"/>
      <c r="AF594" s="106"/>
    </row>
    <row r="595" spans="1:32" ht="12.75" customHeight="1">
      <c r="A595" s="21" t="s">
        <v>1236</v>
      </c>
      <c r="H595" s="136" t="str">
        <f ca="1">IF($Q597&lt;&gt;"",IF(AND($B597&lt;&gt;"Missing Player",$B599&lt;&gt;"Missing Player"),IF(AND(AND($H597&gt;-1,$H599&gt;-1),OR($H597&gt;10,$H599&gt;10),ABS($H597-$H599)&gt;1,IF(OR($H597&gt;11,$H599&gt;11),ABS($H597-$H599)=2,TRUE),$H597=INT($H597),$H599=INT($H599)),"","Error"),""),"")</f>
        <v/>
      </c>
      <c r="I595" s="136" t="str">
        <f ca="1">IF($Q597&lt;&gt;"",IF(AND($B597&lt;&gt;"Missing Player",$B599&lt;&gt;"Missing Player"),IF(AND(AND($I597&gt;-1,$I599&gt;-1),OR($I597&gt;10,$I599&gt;10),ABS($I597-$I599)&gt;1,IF(OR($I597&gt;11,$I599&gt;11),ABS($I597-$I599)=2,TRUE),$I597=INT($I597),$I599=INT($I599)),"","Error"),""),"")</f>
        <v/>
      </c>
      <c r="J595" s="136" t="str">
        <f ca="1">IF($Q597&lt;&gt;"",IF(AND($B597&lt;&gt;"Missing Player",$B599&lt;&gt;"Missing Player"),IF(AND(AND($J597&gt;-1,$J599&gt;-1),OR($J597&gt;10,$J599&gt;10),ABS($J597-$J599)&gt;1,IF(OR($J597&gt;11,$J599&gt;11),ABS($J597-$J599)=2,TRUE),$J597=INT($J597),$J599=INT($J599)),"","Error"),""),"")</f>
        <v/>
      </c>
      <c r="K595" s="136" t="str">
        <f ca="1">IF($Q597&lt;&gt;"",IF(AND($K597&lt;&gt;"",$K599&lt;&gt;""), IF(AND(AND($K597&gt;-1,$K599&gt;-1),OR($K597&gt;10,$K599&gt;10),ABS($K597-$K599)&gt;1,IF(OR($K597&gt;11,$K599&gt;11),ABS($K597-$K599)=2,TRUE),$K597=INT($K597),$K599=INT($K599)),"","Error"),""),"")</f>
        <v/>
      </c>
      <c r="L595" s="136" t="str">
        <f ca="1">IF($Q597&lt;&gt;"",IF(AND($L597&lt;&gt;"",$L599&lt;&gt;""), IF(AND(AND($L597&gt;-1,$L599&gt;-1),OR($L597&gt;10,$L599&gt;10),ABS($L597-$L599)&gt;1,IF(OR($L597&gt;11,$L599&gt;11),ABS($L597-$L599)=2,TRUE),$L597=INT($L597),$L599=INT($L599)),"","Error"),""),"")</f>
        <v/>
      </c>
      <c r="Q595" s="7"/>
      <c r="R595" s="300" t="str">
        <f>$B570</f>
        <v>F</v>
      </c>
      <c r="S595" s="331" t="str">
        <f ca="1">IF($B590&lt;&gt;"",$B590,"")</f>
        <v/>
      </c>
      <c r="T595" s="332"/>
      <c r="U595" s="332"/>
      <c r="V595" s="332"/>
      <c r="W595" s="332"/>
      <c r="X595" s="333"/>
      <c r="Y595" s="329"/>
      <c r="Z595" s="329"/>
      <c r="AA595" s="329"/>
      <c r="AB595" s="329"/>
      <c r="AC595" s="329"/>
      <c r="AD595" s="345"/>
      <c r="AE595" s="358"/>
      <c r="AF595" s="359"/>
    </row>
    <row r="596" spans="1:32" ht="12.75" customHeight="1">
      <c r="A596" s="5" t="s">
        <v>1228</v>
      </c>
      <c r="B596" s="290" t="s">
        <v>1126</v>
      </c>
      <c r="C596" s="291"/>
      <c r="D596" s="291"/>
      <c r="E596" s="291"/>
      <c r="F596" s="291"/>
      <c r="G596" s="292"/>
      <c r="H596" s="5">
        <v>1</v>
      </c>
      <c r="I596" s="5">
        <v>2</v>
      </c>
      <c r="J596" s="5">
        <v>3</v>
      </c>
      <c r="K596" s="5">
        <v>4</v>
      </c>
      <c r="L596" s="5">
        <v>5</v>
      </c>
      <c r="M596" s="271"/>
      <c r="N596" s="272"/>
      <c r="O596" s="272"/>
      <c r="P596" s="273"/>
      <c r="Q596" s="7"/>
      <c r="R596" s="330"/>
      <c r="S596" s="334"/>
      <c r="T596" s="335"/>
      <c r="U596" s="335"/>
      <c r="V596" s="335"/>
      <c r="W596" s="335"/>
      <c r="X596" s="336"/>
      <c r="Y596" s="330"/>
      <c r="Z596" s="330"/>
      <c r="AA596" s="330"/>
      <c r="AB596" s="330"/>
      <c r="AC596" s="330"/>
      <c r="AD596" s="360"/>
      <c r="AE596" s="361"/>
      <c r="AF596" s="362"/>
    </row>
    <row r="597" spans="1:32" ht="12.75" customHeight="1">
      <c r="A597" s="300" t="str">
        <f>B570</f>
        <v>F</v>
      </c>
      <c r="B597" s="293" t="str">
        <f ca="1">IF(AND(OFFSET($AO$1,$C570-1,8,1,1),$A571&lt;&gt;"",$J571&lt;&gt;""),CHOOSE($C570,$AR$1,$AR$2,$AR$3,$AR$4,$AR$5,$AR$6,$AR$7,$AR$8,$AR$9,$AR$10,$AR$11,$AR$12),"")</f>
        <v/>
      </c>
      <c r="C597" s="294"/>
      <c r="D597" s="294"/>
      <c r="E597" s="294"/>
      <c r="F597" s="294"/>
      <c r="G597" s="294"/>
      <c r="H597" s="265"/>
      <c r="I597" s="265"/>
      <c r="J597" s="265"/>
      <c r="K597" s="265"/>
      <c r="L597" s="265" t="str">
        <f ca="1">IF(AND($B597&lt;&gt;"",$Q576&lt;&gt;""),IF($B597="Missing Player",0,IF($B599="Missing Player",11,"")),"")</f>
        <v/>
      </c>
      <c r="M597" s="262" t="str">
        <f ca="1">IF(OR(AND($B590&lt;&gt;"",$B597&lt;&gt;"",$E601&lt;=$D601),AND($B592&lt;&gt;"",$B599&lt;&gt;"",$I601&lt;=$H601)),"Invalid Lineup","")</f>
        <v/>
      </c>
      <c r="N597" s="263"/>
      <c r="O597" s="263"/>
      <c r="P597" s="264"/>
      <c r="Q597" s="137" t="str">
        <f ca="1">IF($L597=$L599,IF($K597=$K599,IF($J597&lt;&gt;"",IF($J597&gt;$J599,"W","L"),""),IF($K597&gt;$K599,"W","L")),IF($L597&gt;$L599,"W","L"))</f>
        <v/>
      </c>
      <c r="R597" s="300" t="str">
        <f>$K570</f>
        <v>G</v>
      </c>
      <c r="S597" s="331" t="str">
        <f ca="1">IF($B592&lt;&gt;"",$B592,"")</f>
        <v/>
      </c>
      <c r="T597" s="332"/>
      <c r="U597" s="332"/>
      <c r="V597" s="332"/>
      <c r="W597" s="332"/>
      <c r="X597" s="333"/>
      <c r="Y597" s="329"/>
      <c r="Z597" s="329"/>
      <c r="AA597" s="329"/>
      <c r="AB597" s="329"/>
      <c r="AC597" s="351"/>
      <c r="AD597" s="363" t="s">
        <v>1237</v>
      </c>
      <c r="AE597" s="358"/>
      <c r="AF597" s="359"/>
    </row>
    <row r="598" spans="1:32" ht="12.75" customHeight="1">
      <c r="A598" s="301"/>
      <c r="B598" s="295"/>
      <c r="C598" s="296"/>
      <c r="D598" s="296"/>
      <c r="E598" s="296"/>
      <c r="F598" s="296"/>
      <c r="G598" s="296"/>
      <c r="H598" s="270"/>
      <c r="I598" s="270"/>
      <c r="J598" s="270"/>
      <c r="K598" s="270"/>
      <c r="L598" s="270"/>
      <c r="M598" s="262"/>
      <c r="N598" s="263"/>
      <c r="O598" s="263"/>
      <c r="P598" s="264"/>
      <c r="Q598" s="139" t="str">
        <f ca="1">IF($Q597&lt;&gt;"",IF($B599&lt;&gt;"Missing Player",IF($Q597="W",IF(SUM(IF($H597&gt;$H599,1,0),IF($I597&gt;$I599,1,0),IF($J597&gt;$J599,1,0),IF($K597&gt;$K599,1,0),IF($L597&gt;$L599,1,0))&lt;&gt;3,"Error",""),""),""),"")</f>
        <v/>
      </c>
      <c r="R598" s="330"/>
      <c r="S598" s="334"/>
      <c r="T598" s="335"/>
      <c r="U598" s="335"/>
      <c r="V598" s="335"/>
      <c r="W598" s="335"/>
      <c r="X598" s="336"/>
      <c r="Y598" s="330"/>
      <c r="Z598" s="330"/>
      <c r="AA598" s="330"/>
      <c r="AB598" s="330"/>
      <c r="AC598" s="330"/>
      <c r="AD598" s="360"/>
      <c r="AE598" s="361"/>
      <c r="AF598" s="362"/>
    </row>
    <row r="599" spans="1:32" ht="12.75" customHeight="1">
      <c r="A599" s="300" t="str">
        <f>K570</f>
        <v>G</v>
      </c>
      <c r="B599" s="293" t="str">
        <f ca="1">IF(AND(OFFSET($AO$1,$L570-1,8,1,1),$A571&lt;&gt;"",$J571&lt;&gt;""),CHOOSE($L570,$AR$1,$AR$2,$AR$3,$AR$4,$AR$5,$AR$6,$AR$7,$AR$8,$AR$9,$AR$10,$AR$11,$AR$12),"")</f>
        <v/>
      </c>
      <c r="C599" s="294"/>
      <c r="D599" s="294"/>
      <c r="E599" s="294"/>
      <c r="F599" s="294"/>
      <c r="G599" s="294"/>
      <c r="H599" s="265"/>
      <c r="I599" s="265"/>
      <c r="J599" s="265"/>
      <c r="K599" s="265"/>
      <c r="L599" s="265" t="str">
        <f ca="1">IF(AND($B599&lt;&gt;"",$Q576&lt;&gt;""),IF($B599="Missing Player",0,IF($B597="Missing Player",11,"")),"")</f>
        <v/>
      </c>
      <c r="M599" s="267" t="s">
        <v>1237</v>
      </c>
      <c r="N599" s="268"/>
      <c r="O599" s="268"/>
      <c r="P599" s="269"/>
      <c r="Q599" s="137" t="str">
        <f ca="1">IF($Q597&lt;&gt;"",IF($Q597="W","L","W"),"")</f>
        <v/>
      </c>
      <c r="R599" s="112"/>
      <c r="S599" s="98"/>
      <c r="T599" s="108"/>
      <c r="U599" s="108"/>
      <c r="V599" s="108"/>
      <c r="W599" s="108"/>
      <c r="X599" s="108"/>
      <c r="Y599" s="113"/>
      <c r="Z599" s="113"/>
      <c r="AA599" s="113"/>
      <c r="AB599" s="113"/>
      <c r="AC599" s="113"/>
      <c r="AD599" s="107"/>
      <c r="AE599" s="109"/>
      <c r="AF599" s="109"/>
    </row>
    <row r="600" spans="1:32" ht="12.75" customHeight="1">
      <c r="A600" s="301"/>
      <c r="B600" s="295"/>
      <c r="C600" s="296"/>
      <c r="D600" s="296"/>
      <c r="E600" s="296"/>
      <c r="F600" s="296"/>
      <c r="G600" s="296"/>
      <c r="H600" s="270"/>
      <c r="I600" s="270"/>
      <c r="J600" s="266"/>
      <c r="K600" s="266"/>
      <c r="L600" s="266"/>
      <c r="M600" s="267"/>
      <c r="N600" s="268"/>
      <c r="O600" s="268"/>
      <c r="P600" s="269"/>
      <c r="Q600" s="139" t="str">
        <f ca="1">IF($Q599&lt;&gt;"",IF($B597&lt;&gt;"Missing Player",IF($Q599="W",IF(SUM(IF($H599&gt;$H597,1,0),IF($I599&gt;$I597,1,0),IF($J599&gt;$J597,1,0),IF($K599&gt;$K597,1,0),IF($L599&gt;$L597,1,0))&lt;&gt;3,"Error",""),""),""),"")</f>
        <v/>
      </c>
      <c r="R600" s="114"/>
      <c r="S600" s="115"/>
      <c r="T600" s="115"/>
      <c r="U600" s="115"/>
      <c r="V600" s="115"/>
      <c r="W600" s="115"/>
      <c r="X600" s="115"/>
      <c r="Y600" s="114"/>
      <c r="Z600" s="114"/>
      <c r="AA600" s="114"/>
      <c r="AB600" s="114"/>
      <c r="AC600" s="114"/>
      <c r="AD600" s="114"/>
      <c r="AE600" s="114"/>
      <c r="AF600" s="114"/>
    </row>
    <row r="601" spans="1:32" ht="12.75" customHeight="1">
      <c r="B601" s="140" t="str">
        <f ca="1">IF(ISERROR(VLOOKUP($B576&amp;"("&amp;$B570&amp;")",Players!$S$4:$T$132,2,FALSE)),"",VLOOKUP($B576&amp;"("&amp;$B570&amp;")",Players!$S$4:$T$132,2,FALSE))</f>
        <v>F1</v>
      </c>
      <c r="C601" s="140" t="str">
        <f ca="1">IF(ISERROR(VLOOKUP($B583&amp;"("&amp;$B570&amp;")",Players!$S$4:$T$132,2,FALSE)),"",VLOOKUP($B583&amp;"("&amp;$B570&amp;")",Players!$S$4:$T$132,2,FALSE))</f>
        <v>F1</v>
      </c>
      <c r="D601" s="141" t="str">
        <f ca="1">IF(ISERROR(VLOOKUP($B590&amp;"("&amp;$B570&amp;")",Players!$S$4:$T$132,2,FALSE)),"",VLOOKUP($B590&amp;"("&amp;$B570&amp;")",Players!$S$4:$T$132,2,FALSE))</f>
        <v>F1</v>
      </c>
      <c r="E601" s="141" t="str">
        <f ca="1">IF(ISERROR(VLOOKUP($B597&amp;"("&amp;$B570&amp;")",Players!$S$4:$T$132,2,FALSE)),"",VLOOKUP($B597&amp;"("&amp;$B570&amp;")",Players!$S$4:$T$132,2,FALSE))</f>
        <v>F1</v>
      </c>
      <c r="F601" s="141" t="str">
        <f ca="1">IF(ISERROR(VLOOKUP($B578&amp;"("&amp;$K570&amp;")",Players!$S$4:$T$132,2,FALSE)),"",VLOOKUP($B578&amp;"("&amp;$K570&amp;")",Players!$S$4:$T$132,2,FALSE))</f>
        <v>G1</v>
      </c>
      <c r="G601" s="141" t="str">
        <f ca="1">IF(ISERROR(VLOOKUP($B585&amp;"("&amp;$K570&amp;")",Players!$S$4:$T$132,2,FALSE)),"",VLOOKUP($B585&amp;"("&amp;$K570&amp;")",Players!$S$4:$T$132,2,FALSE))</f>
        <v>G1</v>
      </c>
      <c r="H601" s="141" t="str">
        <f ca="1">IF(ISERROR(VLOOKUP($B592&amp;"("&amp;$K570&amp;")",Players!$S$4:$T$132,2,FALSE)),"",VLOOKUP($B592&amp;"("&amp;$K570&amp;")",Players!$S$4:$T$132,2,FALSE))</f>
        <v>G1</v>
      </c>
      <c r="I601" s="141" t="str">
        <f ca="1">IF(ISERROR(VLOOKUP($B599&amp;"("&amp;$K570&amp;")",Players!$S$4:$T$132,2,FALSE)),"",VLOOKUP($B599&amp;"("&amp;$K570&amp;")",Players!$S$4:$T$132,2,FALSE))</f>
        <v>G1</v>
      </c>
      <c r="Q601" s="7"/>
      <c r="R601" s="50"/>
      <c r="S601" s="116"/>
      <c r="T601" s="115"/>
      <c r="U601" s="115"/>
      <c r="V601" s="115"/>
      <c r="W601" s="115"/>
      <c r="X601" s="115"/>
      <c r="Y601" s="99"/>
      <c r="Z601" s="99"/>
      <c r="AA601" s="99"/>
      <c r="AB601" s="99"/>
      <c r="AC601" s="117"/>
      <c r="AD601" s="118"/>
      <c r="AE601" s="114"/>
      <c r="AF601" s="114"/>
    </row>
    <row r="602" spans="1:32" ht="12.75" customHeight="1">
      <c r="A602" s="21" t="s">
        <v>1225</v>
      </c>
      <c r="H602" s="136" t="str">
        <f ca="1">IF($Q604&lt;&gt;"",IF(AND($B605&lt;&gt;"Missing Player",$B607&lt;&gt;"Missing Player"),IF(AND(AND($H604&gt;-1,$H606&gt;-1),OR($H604&gt;10,$H606&gt;10),ABS($H604-$H606)&gt;1,IF(OR($H604&gt;11,$H606&gt;11),ABS($H604-$H606)=2,TRUE),$H604=INT($H604),$H606=INT($H606)),"","Error"),""),"")</f>
        <v/>
      </c>
      <c r="I602" s="136" t="str">
        <f ca="1">IF($Q604&lt;&gt;"",IF(AND($B605&lt;&gt;"Missing Player",$B607&lt;&gt;"Missing Player"),IF(AND(AND($I604&gt;-1,$I606&gt;-1),OR($I604&gt;10,$I606&gt;10),ABS($I604-$I606)&gt;1,IF(OR($I604&gt;11,$I606&gt;11),ABS($I604-$I606)=2,TRUE),$I604=INT($I604),$I606=INT($I606)),"","Error"),""),"")</f>
        <v/>
      </c>
      <c r="J602" s="136" t="str">
        <f ca="1">IF($Q604&lt;&gt;"",IF(AND($B605&lt;&gt;"Missing Player",$B607&lt;&gt;"Missing Player"),IF(AND(AND($J604&gt;-1,$J606&gt;-1),OR($J604&gt;10,$J606&gt;10),ABS($J604-$J606)&gt;1,IF(OR($J604&gt;11,$J606&gt;11),ABS($J604-$J606)=2,TRUE),$J604=INT($J604),$J606=INT($J606)),"","Error"),""),"")</f>
        <v/>
      </c>
      <c r="K602" s="136" t="str">
        <f ca="1">IF($Q604&lt;&gt;"",IF(AND($K604&lt;&gt;"",$K606&lt;&gt;""), IF(AND(AND($K604&gt;-1,$K606&gt;-1),OR($K604&gt;10,$K606&gt;10),ABS($K604-$K606)&gt;1,IF(OR($K604&gt;11,$K606&gt;11),ABS($K604-$K606)=2,TRUE),$K604=INT($K604),$K606=INT($K606)),"","Error"),""),"")</f>
        <v/>
      </c>
      <c r="L602" s="136" t="str">
        <f ca="1">IF($Q604&lt;&gt;"",IF(AND($L604&lt;&gt;"",$L606&lt;&gt;""), IF(AND(AND($L604&gt;-1,$L606&gt;-1),OR($L604&gt;10,$L606&gt;10),ABS($L604-$L606)&gt;1,IF(OR($L604&gt;11,$L606&gt;11),ABS($L604-$L606)=2,TRUE),$L604=INT($L604),$L606=INT($L606)),"","Error"),""),"")</f>
        <v/>
      </c>
      <c r="Q602" s="7"/>
      <c r="R602" s="114"/>
      <c r="S602" s="115"/>
      <c r="T602" s="115"/>
      <c r="U602" s="115"/>
      <c r="V602" s="115"/>
      <c r="W602" s="115"/>
      <c r="X602" s="115"/>
      <c r="Y602" s="114"/>
      <c r="Z602" s="114"/>
      <c r="AA602" s="114"/>
      <c r="AB602" s="114"/>
      <c r="AC602" s="114"/>
      <c r="AD602" s="114"/>
      <c r="AE602" s="114"/>
      <c r="AF602" s="114"/>
    </row>
    <row r="603" spans="1:32" ht="12.75" customHeight="1">
      <c r="A603" s="5" t="s">
        <v>1228</v>
      </c>
      <c r="B603" s="290" t="s">
        <v>1126</v>
      </c>
      <c r="C603" s="291"/>
      <c r="D603" s="291"/>
      <c r="E603" s="291"/>
      <c r="F603" s="291"/>
      <c r="G603" s="292"/>
      <c r="H603" s="5">
        <v>1</v>
      </c>
      <c r="I603" s="5">
        <v>2</v>
      </c>
      <c r="J603" s="5">
        <v>3</v>
      </c>
      <c r="K603" s="5">
        <v>4</v>
      </c>
      <c r="L603" s="5">
        <v>5</v>
      </c>
      <c r="M603" s="271"/>
      <c r="N603" s="272"/>
      <c r="O603" s="272"/>
      <c r="P603" s="273"/>
      <c r="Q603" s="8"/>
      <c r="S603" s="24"/>
      <c r="T603" s="26"/>
    </row>
    <row r="604" spans="1:32" ht="12.75" customHeight="1">
      <c r="A604" s="300" t="str">
        <f>B570</f>
        <v>F</v>
      </c>
      <c r="B604" s="366" t="str">
        <f ca="1">IF($B576&lt;&gt;"",$B576,"")</f>
        <v/>
      </c>
      <c r="C604" s="367"/>
      <c r="D604" s="367"/>
      <c r="E604" s="367"/>
      <c r="F604" s="367"/>
      <c r="G604" s="368"/>
      <c r="H604" s="265"/>
      <c r="I604" s="265"/>
      <c r="J604" s="265"/>
      <c r="K604" s="265"/>
      <c r="L604" s="265" t="str">
        <f ca="1">IF($B597&lt;&gt;"",IF(AND($B597="Missing Player",$G608=2,$J608=2),0,IF(AND($B599="Missing Player",$G608=2,$J608=2),11,"")),"")</f>
        <v/>
      </c>
      <c r="M604" s="262" t="str">
        <f ca="1">IF(OR(AND($B604&lt;&gt;"",$B605&lt;&gt;"",$B604=$B605),AND($B606&lt;&gt;"",$B607&lt;&gt;"",$B606=$B607)),"Invalid Partner","")</f>
        <v/>
      </c>
      <c r="N604" s="263"/>
      <c r="O604" s="263"/>
      <c r="P604" s="264"/>
      <c r="Q604" s="138" t="str">
        <f ca="1">IF(L604=L606,IF(K604=K606,IF(J604&lt;&gt;"",IF(J604&gt;J606,"W","L"),""),IF(K604&gt;K606,"W","L")),IF(L604&gt;L606,"W","L"))</f>
        <v/>
      </c>
      <c r="S604" s="24"/>
      <c r="T604" s="26"/>
    </row>
    <row r="605" spans="1:32" ht="12.75" customHeight="1">
      <c r="A605" s="324"/>
      <c r="B605" s="308" t="str">
        <f ca="1">IF($B597="Missing Player",$B597,"")</f>
        <v/>
      </c>
      <c r="C605" s="309"/>
      <c r="D605" s="309"/>
      <c r="E605" s="309"/>
      <c r="F605" s="309"/>
      <c r="G605" s="310"/>
      <c r="H605" s="270"/>
      <c r="I605" s="270"/>
      <c r="J605" s="270"/>
      <c r="K605" s="270"/>
      <c r="L605" s="270"/>
      <c r="M605" s="262"/>
      <c r="N605" s="263"/>
      <c r="O605" s="263"/>
      <c r="P605" s="264"/>
      <c r="Q605" s="139" t="str">
        <f ca="1">IF($Q604&lt;&gt;"",IF($B607&lt;&gt;"Missing Player",IF($Q604="W",IF(SUM(IF($H604&gt;$H606,1,0),IF($I604&gt;$I606,1,0),IF($J604&gt;$J606,1,0),IF($K604&gt;$K606,1,0),IF($L604&gt;$L606,1,0))&lt;&gt;3,"Error",""),""),""),"")</f>
        <v/>
      </c>
      <c r="R605" s="328" t="str">
        <f>$A571</f>
        <v/>
      </c>
      <c r="S605" s="328"/>
      <c r="T605" s="328"/>
      <c r="U605" s="328"/>
      <c r="V605" s="328"/>
      <c r="W605" s="328"/>
      <c r="X605" s="256" t="str">
        <f>CONCATENATE("(",$B570," vs ",$K570,")")</f>
        <v>(F vs G)</v>
      </c>
      <c r="Y605" s="256"/>
      <c r="Z605" s="328" t="str">
        <f>$J571</f>
        <v/>
      </c>
      <c r="AA605" s="328"/>
      <c r="AB605" s="328"/>
      <c r="AC605" s="328"/>
      <c r="AD605" s="328"/>
      <c r="AE605" s="328"/>
      <c r="AF605" s="43"/>
    </row>
    <row r="606" spans="1:32" ht="12.75" customHeight="1">
      <c r="A606" s="325" t="str">
        <f>K570</f>
        <v>G</v>
      </c>
      <c r="B606" s="311" t="str">
        <f ca="1">IF($B578&lt;&gt;"",$B578,"")</f>
        <v/>
      </c>
      <c r="C606" s="312"/>
      <c r="D606" s="312"/>
      <c r="E606" s="312"/>
      <c r="F606" s="312"/>
      <c r="G606" s="313"/>
      <c r="H606" s="265"/>
      <c r="I606" s="265"/>
      <c r="J606" s="265"/>
      <c r="K606" s="265"/>
      <c r="L606" s="265" t="str">
        <f ca="1">IF($B599&lt;&gt;"",IF(AND($B599="Missing Player",$G608=2,$J608=2),0,IF(AND($B597="Missing Player",$G608=2,$J608=2),11,"")),"")</f>
        <v/>
      </c>
      <c r="M606" s="267" t="s">
        <v>1237</v>
      </c>
      <c r="N606" s="268"/>
      <c r="O606" s="268"/>
      <c r="P606" s="269"/>
      <c r="Q606" s="138" t="str">
        <f ca="1">IF(Q604&lt;&gt;"",IF(Q604="W","L","W"),"")</f>
        <v/>
      </c>
      <c r="R606" s="43"/>
      <c r="S606" s="43"/>
      <c r="T606" s="43"/>
      <c r="U606" s="43"/>
      <c r="V606" s="43"/>
      <c r="W606" s="43"/>
      <c r="X606" s="43"/>
      <c r="Y606" s="43"/>
      <c r="Z606" s="43"/>
      <c r="AA606" s="43"/>
      <c r="AB606" s="43"/>
      <c r="AC606" s="43"/>
      <c r="AD606" s="43"/>
      <c r="AE606" s="43"/>
      <c r="AF606" s="43"/>
    </row>
    <row r="607" spans="1:32" ht="12.75" customHeight="1">
      <c r="A607" s="324"/>
      <c r="B607" s="308" t="str">
        <f ca="1">IF($B599="Missing Player",$B599,"")</f>
        <v/>
      </c>
      <c r="C607" s="309"/>
      <c r="D607" s="309"/>
      <c r="E607" s="309"/>
      <c r="F607" s="309"/>
      <c r="G607" s="310"/>
      <c r="H607" s="270"/>
      <c r="I607" s="270"/>
      <c r="J607" s="266"/>
      <c r="K607" s="266"/>
      <c r="L607" s="266"/>
      <c r="M607" s="267"/>
      <c r="N607" s="268"/>
      <c r="O607" s="268"/>
      <c r="P607" s="269"/>
      <c r="Q607" s="139" t="str">
        <f ca="1">IF($Q606&lt;&gt;"",IF($B605&lt;&gt;"Missing Player",IF($Q606="W",IF(SUM(IF($H606&gt;$H604,1,0),IF($I606&gt;$I604,1,0),IF($J606&gt;$J604,1,0),IF($K606&gt;$K604,1,0),IF($L606&gt;$L604,1,0))&lt;&gt;3,"Error",""),""),""),"")</f>
        <v/>
      </c>
      <c r="R607" s="43" t="str">
        <f>A595</f>
        <v>4th Singles</v>
      </c>
      <c r="S607" s="43"/>
      <c r="T607" s="43"/>
      <c r="U607" s="43"/>
      <c r="V607" s="43"/>
      <c r="W607" s="43"/>
      <c r="X607" s="43"/>
      <c r="Y607" s="43"/>
      <c r="Z607" s="43"/>
      <c r="AA607" s="43"/>
      <c r="AB607" s="43"/>
      <c r="AC607" s="43"/>
      <c r="AD607" s="43"/>
      <c r="AE607" s="43"/>
      <c r="AF607" s="43"/>
    </row>
    <row r="608" spans="1:32" ht="12.75" customHeight="1">
      <c r="G608" s="66">
        <f ca="1">COUNTIF($Q576:$Q576,"W")+COUNTIF($Q583:$Q583,"W")+COUNTIF($Q590:$Q590,"W")+COUNTIF($Q597:$Q597,"W")</f>
        <v>0</v>
      </c>
      <c r="J608" s="66">
        <f ca="1">COUNTIF($Q578:$Q578,"W")+COUNTIF($Q585:$Q585,"W")+COUNTIF($Q592:$Q592,"W")+COUNTIF($Q599:$Q599,"W")</f>
        <v>0</v>
      </c>
      <c r="R608" s="60" t="s">
        <v>1228</v>
      </c>
      <c r="S608" s="339" t="s">
        <v>1126</v>
      </c>
      <c r="T608" s="340"/>
      <c r="U608" s="340"/>
      <c r="V608" s="340"/>
      <c r="W608" s="340"/>
      <c r="X608" s="341"/>
      <c r="Y608" s="60">
        <v>1</v>
      </c>
      <c r="Z608" s="60">
        <v>2</v>
      </c>
      <c r="AA608" s="60">
        <v>3</v>
      </c>
      <c r="AB608" s="60">
        <v>4</v>
      </c>
      <c r="AC608" s="60">
        <v>5</v>
      </c>
      <c r="AD608" s="342"/>
      <c r="AE608" s="343"/>
      <c r="AF608" s="344"/>
    </row>
    <row r="609" spans="1:32" ht="12.75" customHeight="1" thickBot="1">
      <c r="F609" s="246" t="s">
        <v>1238</v>
      </c>
      <c r="G609" s="246"/>
      <c r="H609" s="246"/>
      <c r="I609" s="246"/>
      <c r="J609" s="246"/>
      <c r="K609" s="246"/>
      <c r="R609" s="300" t="str">
        <f>B570</f>
        <v>F</v>
      </c>
      <c r="S609" s="331" t="str">
        <f ca="1">IF($B597&lt;&gt;"",$B597,"")</f>
        <v/>
      </c>
      <c r="T609" s="353"/>
      <c r="U609" s="353"/>
      <c r="V609" s="353"/>
      <c r="W609" s="353"/>
      <c r="X609" s="354"/>
      <c r="Y609" s="329"/>
      <c r="Z609" s="329"/>
      <c r="AA609" s="351"/>
      <c r="AB609" s="351"/>
      <c r="AC609" s="351"/>
      <c r="AD609" s="345"/>
      <c r="AE609" s="346"/>
      <c r="AF609" s="347"/>
    </row>
    <row r="610" spans="1:32" ht="12.75" customHeight="1">
      <c r="A610" s="22"/>
      <c r="B610" s="22"/>
      <c r="C610" s="22"/>
      <c r="D610" s="22"/>
      <c r="E610" s="22"/>
      <c r="G610" s="304" t="str">
        <f>B570</f>
        <v>F</v>
      </c>
      <c r="H610" s="305"/>
      <c r="I610" s="302" t="str">
        <f>K570</f>
        <v>G</v>
      </c>
      <c r="J610" s="303"/>
      <c r="L610" s="22"/>
      <c r="M610" s="22"/>
      <c r="N610" s="22"/>
      <c r="O610" s="22"/>
      <c r="P610" s="22"/>
      <c r="R610" s="301"/>
      <c r="S610" s="355"/>
      <c r="T610" s="356"/>
      <c r="U610" s="356"/>
      <c r="V610" s="356"/>
      <c r="W610" s="356"/>
      <c r="X610" s="357"/>
      <c r="Y610" s="338"/>
      <c r="Z610" s="338"/>
      <c r="AA610" s="352"/>
      <c r="AB610" s="352"/>
      <c r="AC610" s="352"/>
      <c r="AD610" s="348"/>
      <c r="AE610" s="349"/>
      <c r="AF610" s="350"/>
    </row>
    <row r="611" spans="1:32" ht="12.75" customHeight="1" thickBot="1">
      <c r="A611" s="2" t="s">
        <v>1228</v>
      </c>
      <c r="B611" s="53" t="str">
        <f>B570</f>
        <v>F</v>
      </c>
      <c r="C611" s="3" t="s">
        <v>1226</v>
      </c>
      <c r="F611" s="66" t="str">
        <f>CONCATENATE($B570,"-",$K570)</f>
        <v>F-G</v>
      </c>
      <c r="G611" s="320" t="str">
        <f ca="1">IF(OR(Q576&lt;&gt;"",Q583&lt;&gt;"",Q590&lt;&gt;"",Q597&lt;&gt;"",Q604&lt;&gt;""),COUNTIF(Q576:Q576,"W")+COUNTIF(Q583:Q583,"W")+COUNTIF(Q590:Q590,"W")+COUNTIF(Q597:Q597,"W")+COUNTIF(Q604:Q604,"W"),"")</f>
        <v/>
      </c>
      <c r="H611" s="321"/>
      <c r="I611" s="322" t="str">
        <f ca="1">IF(OR(Q578&lt;&gt;"",Q585&lt;&gt;"",Q592&lt;&gt;"",Q599&lt;&gt;"",Q606&lt;&gt;""),COUNTIF(Q578:Q578,"W")+COUNTIF(Q585:Q585,"W")+COUNTIF(Q592:Q592,"W")+COUNTIF(Q599:Q599,"W")+COUNTIF(Q606:Q606,"W"),"")</f>
        <v/>
      </c>
      <c r="J611" s="323"/>
      <c r="L611" s="2" t="s">
        <v>1228</v>
      </c>
      <c r="M611" s="53" t="str">
        <f>K570</f>
        <v>G</v>
      </c>
      <c r="N611" s="3" t="s">
        <v>1226</v>
      </c>
      <c r="R611" s="300" t="str">
        <f>K570</f>
        <v>G</v>
      </c>
      <c r="S611" s="331" t="str">
        <f ca="1">IF($B599&lt;&gt;"",$B599,"")</f>
        <v/>
      </c>
      <c r="T611" s="332"/>
      <c r="U611" s="332"/>
      <c r="V611" s="332"/>
      <c r="W611" s="332"/>
      <c r="X611" s="333"/>
      <c r="Y611" s="329"/>
      <c r="Z611" s="329"/>
      <c r="AA611" s="351"/>
      <c r="AB611" s="351"/>
      <c r="AC611" s="351"/>
      <c r="AD611" s="363" t="s">
        <v>1237</v>
      </c>
      <c r="AE611" s="358"/>
      <c r="AF611" s="359"/>
    </row>
    <row r="612" spans="1:32" ht="12.75" customHeight="1">
      <c r="F612" s="25" t="s">
        <v>3996</v>
      </c>
      <c r="G612" s="23"/>
      <c r="H612" s="23"/>
      <c r="I612" s="23"/>
      <c r="J612" s="23"/>
      <c r="K612" s="24"/>
      <c r="R612" s="330"/>
      <c r="S612" s="334"/>
      <c r="T612" s="335"/>
      <c r="U612" s="335"/>
      <c r="V612" s="335"/>
      <c r="W612" s="335"/>
      <c r="X612" s="336"/>
      <c r="Y612" s="330"/>
      <c r="Z612" s="330"/>
      <c r="AA612" s="330"/>
      <c r="AB612" s="330"/>
      <c r="AC612" s="330"/>
      <c r="AD612" s="360"/>
      <c r="AE612" s="361"/>
      <c r="AF612" s="362"/>
    </row>
    <row r="613" spans="1:32" ht="12.75" customHeight="1">
      <c r="R613" s="1"/>
      <c r="S613" s="110"/>
      <c r="T613" s="110"/>
      <c r="U613" s="110"/>
      <c r="V613" s="110"/>
      <c r="W613" s="110"/>
      <c r="X613" s="111"/>
      <c r="Y613" s="111"/>
      <c r="Z613" s="111"/>
      <c r="AA613" s="111"/>
    </row>
    <row r="614" spans="1:32" ht="12.75" customHeight="1">
      <c r="F614" s="246" t="s">
        <v>4929</v>
      </c>
      <c r="G614" s="246"/>
      <c r="H614" s="246"/>
      <c r="I614" s="246"/>
      <c r="R614" s="1"/>
      <c r="S614" s="110"/>
      <c r="T614" s="110"/>
      <c r="U614" s="110"/>
      <c r="V614" s="110"/>
      <c r="W614" s="110"/>
      <c r="X614" s="111"/>
      <c r="Y614" s="111"/>
      <c r="Z614" s="111"/>
      <c r="AA614" s="111"/>
    </row>
    <row r="615" spans="1:32" ht="12.75" customHeight="1">
      <c r="F615" s="246" t="s">
        <v>4930</v>
      </c>
      <c r="G615" s="246"/>
      <c r="H615" s="246"/>
      <c r="I615" s="246"/>
      <c r="R615" s="1"/>
      <c r="S615" s="110"/>
      <c r="T615" s="110"/>
      <c r="U615" s="110"/>
      <c r="V615" s="110"/>
      <c r="W615" s="110"/>
      <c r="X615" s="111"/>
      <c r="Y615" s="111"/>
      <c r="Z615" s="111"/>
      <c r="AA615" s="111"/>
    </row>
    <row r="616" spans="1:32" ht="12.75" customHeight="1">
      <c r="K616" s="281" t="s">
        <v>1244</v>
      </c>
      <c r="L616" s="281"/>
      <c r="M616" s="281"/>
      <c r="N616" s="281"/>
      <c r="O616" s="281"/>
      <c r="P616" s="281"/>
      <c r="R616" s="1"/>
      <c r="S616" s="110"/>
      <c r="T616" s="110"/>
      <c r="U616" s="110"/>
      <c r="V616" s="110"/>
      <c r="W616" s="110"/>
      <c r="X616" s="111"/>
      <c r="Y616" s="111"/>
      <c r="Z616" s="111"/>
      <c r="AA616" s="111"/>
    </row>
    <row r="617" spans="1:32" ht="12.75" customHeight="1">
      <c r="A617" s="12" t="s">
        <v>1229</v>
      </c>
      <c r="B617" s="11"/>
      <c r="C617" s="11"/>
      <c r="D617" s="11" t="str">
        <f>Draw!$B$1</f>
        <v>Enter Division Name</v>
      </c>
      <c r="E617" s="11"/>
      <c r="F617" s="7"/>
      <c r="G617" s="6"/>
      <c r="H617" s="7"/>
      <c r="I617" s="11"/>
      <c r="J617" s="11"/>
      <c r="K617" s="11"/>
      <c r="L617" s="11"/>
      <c r="M617" s="281"/>
      <c r="N617" s="281"/>
      <c r="O617" s="281"/>
      <c r="P617" s="281"/>
      <c r="R617" s="1"/>
      <c r="S617" s="110"/>
      <c r="T617" s="110"/>
      <c r="U617" s="110"/>
      <c r="V617" s="110"/>
      <c r="W617" s="110"/>
      <c r="X617" s="111"/>
      <c r="Y617" s="111"/>
      <c r="Z617" s="111"/>
      <c r="AA617" s="111"/>
    </row>
    <row r="618" spans="1:32" ht="12.75" customHeight="1">
      <c r="A618" s="2" t="s">
        <v>1230</v>
      </c>
      <c r="D618" s="43" t="str">
        <f>Draw!$D$1</f>
        <v>Enter Hosting Location (City, ST)</v>
      </c>
      <c r="J618" s="43" t="str">
        <f ca="1">$J$6</f>
        <v>[NCTTA Teams Template (v2.06).xlsx]</v>
      </c>
      <c r="R618" s="1"/>
      <c r="S618" s="110"/>
      <c r="T618" s="110"/>
      <c r="U618" s="110"/>
      <c r="V618" s="110"/>
      <c r="W618" s="110"/>
      <c r="X618" s="111"/>
      <c r="Y618" s="111"/>
      <c r="Z618" s="111"/>
      <c r="AA618" s="111"/>
    </row>
    <row r="619" spans="1:32" ht="12.75" customHeight="1">
      <c r="A619" s="2" t="s">
        <v>1231</v>
      </c>
      <c r="D619" s="337" t="str">
        <f>Draw!$P$1</f>
        <v>Enter Date</v>
      </c>
      <c r="E619" s="337"/>
      <c r="F619" s="337"/>
      <c r="G619" s="337"/>
      <c r="J619" s="280" t="str">
        <f>CHOOSE(Draw!$T$1,"Round 3, Match 1","Round 5, Match 1","Round 1, Match 5","","","Round 5, Match 1","Round 5, Match 1","Round 4, Match 1","Round 4, Match 1","Round 3, Match 3","Round 3, Match 3")</f>
        <v>Round 1, Match 5</v>
      </c>
      <c r="K619" s="280"/>
      <c r="L619" s="280"/>
      <c r="M619" s="276" t="str">
        <f>IF(AND($J619&lt;&gt;"",Draw!$AC$10&lt;&gt;"",Draw!$AC$13&lt;&gt;""),Draw!$AC$10+TIME(0,VALUE(MID($J619,7,FIND(",",$J619)-FIND(" ",$J619)-1)-1)*Draw!$AC$13,0),"")</f>
        <v/>
      </c>
      <c r="N619" s="276"/>
      <c r="O619" s="157" t="str">
        <f>$F662</f>
        <v>I-K</v>
      </c>
      <c r="R619" s="1"/>
      <c r="S619" s="110"/>
      <c r="T619" s="110"/>
      <c r="U619" s="110"/>
      <c r="V619" s="110"/>
      <c r="W619" s="110"/>
      <c r="X619" s="111"/>
      <c r="Y619" s="111"/>
      <c r="Z619" s="111"/>
      <c r="AA619" s="111"/>
    </row>
    <row r="620" spans="1:32" ht="12.75" customHeight="1">
      <c r="A620" s="14"/>
      <c r="B620" s="15"/>
      <c r="C620" s="15"/>
      <c r="D620" s="15"/>
      <c r="E620" s="15"/>
      <c r="F620" s="14"/>
      <c r="G620" s="14"/>
      <c r="H620" s="16"/>
      <c r="I620" s="14"/>
      <c r="J620" s="15"/>
      <c r="K620" s="15"/>
      <c r="L620" s="15"/>
      <c r="M620" s="15"/>
      <c r="N620" s="15"/>
      <c r="O620" s="364" t="str">
        <f>IF(OR(AND(VLOOKUP($B621,$AM$1:$AX$12,12,FALSE)="C",VLOOKUP($K621,$AM$1:$AX$12,12,FALSE)="C"),AND(VLOOKUP($B621,$AM$1:$AX$12,12,FALSE)="W",VLOOKUP($K621,$AM$1:$AX$12,12,FALSE)="W")),"Official",IF(AND($A622="",$J622=""),"","Scrimmage"))</f>
        <v/>
      </c>
      <c r="P620" s="364"/>
      <c r="R620" s="1"/>
      <c r="S620" s="110"/>
      <c r="T620" s="110"/>
      <c r="U620" s="110"/>
      <c r="V620" s="110"/>
      <c r="W620" s="110"/>
      <c r="X620" s="111"/>
      <c r="Y620" s="111"/>
      <c r="Z620" s="111"/>
      <c r="AA620" s="111"/>
    </row>
    <row r="621" spans="1:32" ht="12.75" customHeight="1">
      <c r="A621" s="17" t="s">
        <v>1228</v>
      </c>
      <c r="B621" s="119" t="str">
        <f>CHOOSE(Draw!$T$1,"A","A","I","A","A","A","A","A","A","F","B")</f>
        <v>I</v>
      </c>
      <c r="C621" s="135">
        <f>VLOOKUP($B621,$AM$1:$AN$12,2)</f>
        <v>9</v>
      </c>
      <c r="D621" s="13"/>
      <c r="E621" s="13"/>
      <c r="F621" s="10"/>
      <c r="H621" s="19" t="s">
        <v>1232</v>
      </c>
      <c r="J621" s="17" t="s">
        <v>1228</v>
      </c>
      <c r="K621" s="119" t="str">
        <f>CHOOSE(Draw!$T$1,"J","E","K","D","H","E","C","D","F","J","G")</f>
        <v>K</v>
      </c>
      <c r="L621" s="135">
        <f>VLOOKUP($K621,$AM$1:$AN$12,2)</f>
        <v>11</v>
      </c>
      <c r="M621" s="13"/>
      <c r="N621" s="13"/>
      <c r="O621" s="18"/>
      <c r="P621" s="274"/>
      <c r="Q621" s="275"/>
      <c r="R621" s="1"/>
      <c r="S621" s="110"/>
      <c r="T621" s="110"/>
      <c r="U621" s="110"/>
      <c r="V621" s="110"/>
      <c r="W621" s="110"/>
      <c r="X621" s="111"/>
      <c r="Y621" s="111"/>
      <c r="Z621" s="111"/>
      <c r="AA621" s="111"/>
    </row>
    <row r="622" spans="1:32" ht="12.75" customHeight="1">
      <c r="A622" s="277" t="str">
        <f>IF(VLOOKUP($B621,Draw!$A$4:$B$27,2)&lt;&gt;0,VLOOKUP($B621,Draw!$A$4:$B$27,2),"")</f>
        <v/>
      </c>
      <c r="B622" s="278"/>
      <c r="C622" s="278"/>
      <c r="D622" s="278"/>
      <c r="E622" s="278"/>
      <c r="F622" s="279"/>
      <c r="G622" s="306" t="s">
        <v>4164</v>
      </c>
      <c r="H622" s="289"/>
      <c r="I622" s="307"/>
      <c r="J622" s="277" t="str">
        <f>IF(VLOOKUP($K621,Draw!$A$4:$B$27,2)&lt;&gt;0,VLOOKUP($K621,Draw!$A$4:$B$27,2),"")</f>
        <v/>
      </c>
      <c r="K622" s="278"/>
      <c r="L622" s="278"/>
      <c r="M622" s="278"/>
      <c r="N622" s="278"/>
      <c r="O622" s="279"/>
      <c r="P622" s="15"/>
      <c r="R622" s="1"/>
      <c r="S622" s="110"/>
      <c r="T622" s="110"/>
      <c r="U622" s="110"/>
      <c r="V622" s="110"/>
      <c r="W622" s="110"/>
      <c r="X622" s="111"/>
      <c r="Y622" s="111"/>
      <c r="Z622" s="111"/>
      <c r="AA622" s="111"/>
    </row>
    <row r="623" spans="1:32" ht="12.75" customHeight="1">
      <c r="A623" s="14"/>
      <c r="B623" s="15"/>
      <c r="C623" s="15"/>
      <c r="D623" s="15"/>
      <c r="E623" s="15"/>
      <c r="F623" s="14"/>
      <c r="G623" s="288" t="str">
        <f>"Page "&amp;VALUE(RIGHT($G622,LEN($G622)-SEARCH("-",$G622)))/2</f>
        <v>Page 13</v>
      </c>
      <c r="H623" s="289"/>
      <c r="I623" s="289"/>
      <c r="J623" s="15"/>
      <c r="K623" s="15"/>
      <c r="L623" s="15"/>
      <c r="M623" s="15"/>
      <c r="N623" s="15"/>
      <c r="O623" s="15"/>
      <c r="P623" s="15"/>
      <c r="R623" s="1"/>
      <c r="S623" s="110"/>
      <c r="T623" s="110"/>
      <c r="U623" s="110"/>
      <c r="V623" s="110"/>
      <c r="W623" s="110"/>
      <c r="X623" s="111"/>
      <c r="Y623" s="111"/>
      <c r="Z623" s="111"/>
      <c r="AA623" s="111"/>
      <c r="AF623" s="27"/>
    </row>
    <row r="624" spans="1:32" ht="12.75" customHeight="1">
      <c r="A624" s="327" t="s">
        <v>1245</v>
      </c>
      <c r="B624" s="327"/>
      <c r="C624" s="327"/>
      <c r="D624" s="327"/>
      <c r="E624" s="327"/>
      <c r="F624" s="327"/>
      <c r="G624" s="327"/>
      <c r="H624" s="327"/>
      <c r="I624" s="327"/>
      <c r="J624" s="327"/>
      <c r="K624" s="327"/>
      <c r="L624" s="327"/>
      <c r="M624" s="327"/>
      <c r="N624" s="327"/>
      <c r="O624" s="327"/>
      <c r="P624" s="327"/>
      <c r="Q624" s="7"/>
      <c r="R624" s="1"/>
      <c r="S624" s="110"/>
      <c r="T624" s="110"/>
      <c r="U624" s="110"/>
      <c r="V624" s="110"/>
      <c r="W624" s="110"/>
      <c r="X624" s="111"/>
      <c r="Y624" s="111"/>
      <c r="Z624" s="111"/>
      <c r="AA624" s="111"/>
      <c r="AF624" s="20"/>
    </row>
    <row r="625" spans="1:32" ht="12.75" customHeight="1">
      <c r="A625" s="21" t="s">
        <v>1233</v>
      </c>
      <c r="H625" s="136" t="str">
        <f>IF($Q627&lt;&gt;"",IF(AND(AND($H627&gt;-1,$H629&gt;-1),OR($H627&gt;10,$H629&gt;10),ABS($H627-$H629)&gt;1,IF(OR($H627&gt;11,$H629&gt;11),ABS($H627-$H629)=2,TRUE),$H627=INT($H627),$H629=INT($H629)),"","Error"),"")</f>
        <v/>
      </c>
      <c r="I625" s="136" t="str">
        <f>IF($Q627&lt;&gt;"",IF(AND(AND($I627&gt;-1,$I629&gt;-1),OR($I627&gt;10,$I629&gt;10),ABS($I627-$I629)&gt;1,IF(OR($I627&gt;11,$I629&gt;11),ABS($I627-$I629)=2,TRUE),$I627=INT($I627),$I629=INT($I629)),"","Error"),"")</f>
        <v/>
      </c>
      <c r="J625" s="136" t="str">
        <f>IF($Q627&lt;&gt;"",IF(AND(AND($J627&gt;-1,$J629&gt;-1),OR($J627&gt;10,$J629&gt;10),ABS($J627-$J629)&gt;1,IF(OR($J627&gt;11,$J629&gt;11),ABS($J627-$J629)=2,TRUE),$J627=INT($J627),$J629=INT($J629)),"","Error"),"")</f>
        <v/>
      </c>
      <c r="K625" s="136" t="str">
        <f>IF($Q627&lt;&gt;"",IF(AND($K627&lt;&gt;"",$K629&lt;&gt;""), IF(AND(AND($K627&gt;-1,$K629&gt;-1),OR($K627&gt;10,$K629&gt;10),ABS($K627-$K629)&gt;1,IF(OR($K627&gt;11,$K629&gt;11),ABS($K627-$K629)=2,TRUE),$K627=INT($K627),$K629=INT($K629)),"","Error"),""),"")</f>
        <v/>
      </c>
      <c r="L625" s="136" t="str">
        <f>IF($Q627&lt;&gt;"",IF(AND($L627&lt;&gt;"",$L629&lt;&gt;""), IF(AND(AND($L627&gt;-1,$L629&gt;-1),OR($L627&gt;10,$L629&gt;10),ABS($L627-$L629)&gt;1,IF(OR($L627&gt;11,$L629&gt;11),ABS($L627-$L629)=2,TRUE),$L627=INT($L627),$L629=INT($L629)),"","Error"),""),"")</f>
        <v/>
      </c>
      <c r="R625" s="1"/>
      <c r="S625" s="110"/>
      <c r="T625" s="110"/>
      <c r="U625" s="110"/>
      <c r="V625" s="110"/>
      <c r="W625" s="110"/>
      <c r="X625" s="111"/>
      <c r="Y625" s="111"/>
      <c r="Z625" s="111"/>
      <c r="AA625" s="111"/>
    </row>
    <row r="626" spans="1:32" ht="12.75" customHeight="1">
      <c r="A626" s="5" t="s">
        <v>1228</v>
      </c>
      <c r="B626" s="290" t="s">
        <v>1126</v>
      </c>
      <c r="C626" s="291"/>
      <c r="D626" s="291"/>
      <c r="E626" s="291"/>
      <c r="F626" s="291"/>
      <c r="G626" s="292"/>
      <c r="H626" s="5">
        <v>1</v>
      </c>
      <c r="I626" s="5">
        <v>2</v>
      </c>
      <c r="J626" s="5">
        <v>3</v>
      </c>
      <c r="K626" s="5">
        <v>4</v>
      </c>
      <c r="L626" s="5">
        <v>5</v>
      </c>
      <c r="M626" s="271"/>
      <c r="N626" s="272"/>
      <c r="O626" s="272"/>
      <c r="P626" s="273"/>
      <c r="R626" s="1"/>
      <c r="S626" s="110"/>
      <c r="T626" s="110"/>
      <c r="U626" s="110"/>
      <c r="V626" s="110"/>
      <c r="W626" s="110"/>
      <c r="X626" s="111"/>
      <c r="Y626" s="111"/>
      <c r="Z626" s="111"/>
      <c r="AA626" s="111"/>
    </row>
    <row r="627" spans="1:32" ht="12.75" customHeight="1">
      <c r="A627" s="300" t="str">
        <f>B621</f>
        <v>I</v>
      </c>
      <c r="B627" s="293" t="str">
        <f ca="1">IF(AND(OFFSET($AO$1,$C621-1,8,1,1),$A622&lt;&gt;"",$J622&lt;&gt;""),CHOOSE($C621,$AO$1,$AO$2,$AO$3,$AO$4,$AO$5,$AO$6,$AO$7,$AO$8,$AO$9,$AO$10,$AO$11,$AO$12),"")</f>
        <v/>
      </c>
      <c r="C627" s="294"/>
      <c r="D627" s="294"/>
      <c r="E627" s="294"/>
      <c r="F627" s="294"/>
      <c r="G627" s="294"/>
      <c r="H627" s="265"/>
      <c r="I627" s="265"/>
      <c r="J627" s="265"/>
      <c r="K627" s="265"/>
      <c r="L627" s="265"/>
      <c r="M627" s="297"/>
      <c r="N627" s="298"/>
      <c r="O627" s="298"/>
      <c r="P627" s="299"/>
      <c r="Q627" s="137" t="str">
        <f>IF($L627=$L629,IF($K627=$K629,IF($J627&lt;&gt;"",IF($J627&gt;$J629,"W","L"),""),IF($K627&gt;$K629,"W","L")),IF($L627&gt;$L629,"W","L"))</f>
        <v/>
      </c>
      <c r="R627" s="1"/>
      <c r="S627" s="110"/>
      <c r="T627" s="110"/>
      <c r="U627" s="110"/>
      <c r="V627" s="110"/>
      <c r="W627" s="110"/>
      <c r="X627" s="111"/>
      <c r="Y627" s="111"/>
      <c r="Z627" s="111"/>
      <c r="AA627" s="111"/>
    </row>
    <row r="628" spans="1:32" ht="12.75" customHeight="1">
      <c r="A628" s="301"/>
      <c r="B628" s="295"/>
      <c r="C628" s="296"/>
      <c r="D628" s="296"/>
      <c r="E628" s="296"/>
      <c r="F628" s="296"/>
      <c r="G628" s="296"/>
      <c r="H628" s="270"/>
      <c r="I628" s="270"/>
      <c r="J628" s="270"/>
      <c r="K628" s="270"/>
      <c r="L628" s="270"/>
      <c r="M628" s="297"/>
      <c r="N628" s="298"/>
      <c r="O628" s="298"/>
      <c r="P628" s="299"/>
      <c r="Q628" s="139" t="str">
        <f>IF($Q627&lt;&gt;"",IF($Q627="W",IF(SUM(IF($H627&gt;$H629,1,0),IF($I627&gt;$I629,1,0),IF($J627&gt;$J629,1,0),IF($K627&gt;$K629,1,0),IF($L627&gt;$L629,1,0))&lt;&gt;3,"Error",""),""),"")</f>
        <v/>
      </c>
      <c r="R628" s="328" t="str">
        <f>$A622</f>
        <v/>
      </c>
      <c r="S628" s="328"/>
      <c r="T628" s="328"/>
      <c r="U628" s="328"/>
      <c r="V628" s="328"/>
      <c r="W628" s="328"/>
      <c r="X628" s="256" t="str">
        <f>CONCATENATE("(",$B621," vs ",$K621,")")</f>
        <v>(I vs K)</v>
      </c>
      <c r="Y628" s="256"/>
      <c r="Z628" s="328" t="str">
        <f>$J622</f>
        <v/>
      </c>
      <c r="AA628" s="328"/>
      <c r="AB628" s="328"/>
      <c r="AC628" s="328"/>
      <c r="AD628" s="328"/>
      <c r="AE628" s="328"/>
      <c r="AF628" s="43"/>
    </row>
    <row r="629" spans="1:32" ht="12.75" customHeight="1">
      <c r="A629" s="300" t="str">
        <f>K621</f>
        <v>K</v>
      </c>
      <c r="B629" s="293" t="str">
        <f ca="1">IF(AND(OFFSET($AO$1,$L621-1,8,1,1),$A622&lt;&gt;"",$J622&lt;&gt;""),CHOOSE($L621,$AO$1,$AO$2,$AO$3,$AO$4,$AO$5,$AO$6,$AO$7,$AO$8,$AO$9,$AO$10,$AO$11,$AO$12),"")</f>
        <v/>
      </c>
      <c r="C629" s="294"/>
      <c r="D629" s="294"/>
      <c r="E629" s="294"/>
      <c r="F629" s="294"/>
      <c r="G629" s="294"/>
      <c r="H629" s="265"/>
      <c r="I629" s="265"/>
      <c r="J629" s="265"/>
      <c r="K629" s="265"/>
      <c r="L629" s="265"/>
      <c r="M629" s="267" t="s">
        <v>1237</v>
      </c>
      <c r="N629" s="268"/>
      <c r="O629" s="268"/>
      <c r="P629" s="269"/>
      <c r="Q629" s="137" t="str">
        <f>IF($Q627&lt;&gt;"",IF($Q627="W","L","W"),"")</f>
        <v/>
      </c>
      <c r="R629" s="43"/>
      <c r="S629" s="43"/>
      <c r="T629" s="43"/>
      <c r="U629" s="43"/>
      <c r="V629" s="43"/>
      <c r="W629" s="43"/>
      <c r="X629" s="43"/>
      <c r="Y629" s="43"/>
      <c r="Z629" s="43"/>
      <c r="AA629" s="43"/>
      <c r="AB629" s="43"/>
      <c r="AC629" s="43"/>
      <c r="AD629" s="43"/>
      <c r="AE629" s="43"/>
      <c r="AF629" s="43"/>
    </row>
    <row r="630" spans="1:32" ht="12.75" customHeight="1">
      <c r="A630" s="301"/>
      <c r="B630" s="295"/>
      <c r="C630" s="296"/>
      <c r="D630" s="296"/>
      <c r="E630" s="296"/>
      <c r="F630" s="296"/>
      <c r="G630" s="296"/>
      <c r="H630" s="270"/>
      <c r="I630" s="270"/>
      <c r="J630" s="266"/>
      <c r="K630" s="266"/>
      <c r="L630" s="266"/>
      <c r="M630" s="267"/>
      <c r="N630" s="268"/>
      <c r="O630" s="268"/>
      <c r="P630" s="269"/>
      <c r="Q630" s="139" t="str">
        <f>IF($Q629&lt;&gt;"",IF($Q629="W",IF(SUM(IF($H629&gt;$H627,1,0),IF($I629&gt;$I627,1,0),IF($J629&gt;$J627,1,0),IF($K629&gt;$K627,1,0),IF($L629&gt;$L627,1,0))&lt;&gt;3,"Error",""),""),"")</f>
        <v/>
      </c>
      <c r="R630" s="43" t="str">
        <f>$A632</f>
        <v>2nd Singles</v>
      </c>
      <c r="S630" s="43"/>
      <c r="T630" s="43"/>
      <c r="U630" s="43"/>
      <c r="V630" s="43"/>
      <c r="W630" s="43"/>
      <c r="X630" s="43"/>
      <c r="Y630" s="43"/>
      <c r="Z630" s="43"/>
      <c r="AA630" s="43"/>
      <c r="AB630" s="43"/>
      <c r="AC630" s="43"/>
      <c r="AD630" s="43"/>
      <c r="AE630" s="43"/>
      <c r="AF630" s="43"/>
    </row>
    <row r="631" spans="1:32" ht="12.75" customHeight="1">
      <c r="Q631" s="7"/>
      <c r="R631" s="60" t="s">
        <v>1228</v>
      </c>
      <c r="S631" s="339" t="s">
        <v>1126</v>
      </c>
      <c r="T631" s="340"/>
      <c r="U631" s="340"/>
      <c r="V631" s="340"/>
      <c r="W631" s="340"/>
      <c r="X631" s="341"/>
      <c r="Y631" s="60">
        <v>1</v>
      </c>
      <c r="Z631" s="60">
        <v>2</v>
      </c>
      <c r="AA631" s="60">
        <v>3</v>
      </c>
      <c r="AB631" s="60">
        <v>4</v>
      </c>
      <c r="AC631" s="60">
        <v>5</v>
      </c>
      <c r="AD631" s="342"/>
      <c r="AE631" s="343"/>
      <c r="AF631" s="344"/>
    </row>
    <row r="632" spans="1:32" ht="12.75" customHeight="1">
      <c r="A632" s="21" t="s">
        <v>1234</v>
      </c>
      <c r="H632" s="136" t="str">
        <f>IF($Q634&lt;&gt;"",IF(AND(AND($H634&gt;-1,$H636&gt;-1),OR($H634&gt;10,$H636&gt;10),ABS($H634-$H636)&gt;1,IF(OR($H634&gt;11,$H636&gt;11),ABS($H634-$H636)=2,TRUE),$H634=INT($H634),$H636=INT($H636)),"","Error"),"")</f>
        <v/>
      </c>
      <c r="I632" s="136" t="str">
        <f>IF($Q634&lt;&gt;"",IF(AND(AND($I634&gt;-1,$I636&gt;-1),OR($I634&gt;10,$I636&gt;10),ABS($I634-$I636)&gt;1,IF(OR($I634&gt;11,$I636&gt;11),ABS($I634-$I636)=2,TRUE),$I634=INT($I634),$I636=INT($I636)),"","Error"),"")</f>
        <v/>
      </c>
      <c r="J632" s="136" t="str">
        <f>IF($Q634&lt;&gt;"",IF(AND(AND($J634&gt;-1,$J636&gt;-1),OR($J634&gt;10,$J636&gt;10),ABS($J634-$J636)&gt;1,IF(OR($J634&gt;11,$J636&gt;11),ABS($J634-$J636)=2,TRUE),$J634=INT($J634),$J636=INT($J636)),"","Error"),"")</f>
        <v/>
      </c>
      <c r="K632" s="136" t="str">
        <f>IF($Q634&lt;&gt;"",IF(AND($K634&lt;&gt;"",$K636&lt;&gt;""), IF(AND(AND($K634&gt;-1,$K636&gt;-1),OR($K634&gt;10,$K636&gt;10),ABS($K634-$K636)&gt;1,IF(OR($K634&gt;11,$K636&gt;11),ABS($K634-$K636)=2,TRUE),$K634=INT($K634),$K636=INT($K636)),"","Error"),""),"")</f>
        <v/>
      </c>
      <c r="L632" s="136" t="str">
        <f>IF($Q634&lt;&gt;"",IF(AND($L634&lt;&gt;"",$L636&lt;&gt;""), IF(AND(AND($L634&gt;-1,$L636&gt;-1),OR($L634&gt;10,$L636&gt;10),ABS($L634-$L636)&gt;1,IF(OR($L634&gt;11,$L636&gt;11),ABS($L634-$L636)=2,TRUE),$L634=INT($L634),$L636=INT($L636)),"","Error"),""),"")</f>
        <v/>
      </c>
      <c r="Q632" s="7"/>
      <c r="R632" s="300" t="str">
        <f>$B621</f>
        <v>I</v>
      </c>
      <c r="S632" s="331" t="str">
        <f ca="1">IF($B634&lt;&gt;"",$B634,"")</f>
        <v/>
      </c>
      <c r="T632" s="332"/>
      <c r="U632" s="332"/>
      <c r="V632" s="332"/>
      <c r="W632" s="332"/>
      <c r="X632" s="333"/>
      <c r="Y632" s="329"/>
      <c r="Z632" s="329"/>
      <c r="AA632" s="329"/>
      <c r="AB632" s="329"/>
      <c r="AC632" s="329"/>
      <c r="AD632" s="345"/>
      <c r="AE632" s="358"/>
      <c r="AF632" s="359"/>
    </row>
    <row r="633" spans="1:32" ht="12.75" customHeight="1">
      <c r="A633" s="5" t="s">
        <v>1228</v>
      </c>
      <c r="B633" s="290" t="s">
        <v>1126</v>
      </c>
      <c r="C633" s="291"/>
      <c r="D633" s="291"/>
      <c r="E633" s="291"/>
      <c r="F633" s="291"/>
      <c r="G633" s="292"/>
      <c r="H633" s="5">
        <v>1</v>
      </c>
      <c r="I633" s="5">
        <v>2</v>
      </c>
      <c r="J633" s="5">
        <v>3</v>
      </c>
      <c r="K633" s="5">
        <v>4</v>
      </c>
      <c r="L633" s="5">
        <v>5</v>
      </c>
      <c r="M633" s="271"/>
      <c r="N633" s="272"/>
      <c r="O633" s="272"/>
      <c r="P633" s="273"/>
      <c r="Q633" s="7"/>
      <c r="R633" s="330"/>
      <c r="S633" s="334"/>
      <c r="T633" s="335"/>
      <c r="U633" s="335"/>
      <c r="V633" s="335"/>
      <c r="W633" s="335"/>
      <c r="X633" s="336"/>
      <c r="Y633" s="330"/>
      <c r="Z633" s="330"/>
      <c r="AA633" s="330"/>
      <c r="AB633" s="330"/>
      <c r="AC633" s="330"/>
      <c r="AD633" s="360"/>
      <c r="AE633" s="361"/>
      <c r="AF633" s="362"/>
    </row>
    <row r="634" spans="1:32" ht="12.75" customHeight="1">
      <c r="A634" s="300" t="str">
        <f>B621</f>
        <v>I</v>
      </c>
      <c r="B634" s="293" t="str">
        <f ca="1">IF(AND(OFFSET($AO$1,$C621-1,8,1,1),$A622&lt;&gt;"",$J622&lt;&gt;""),CHOOSE($C621,$AP$1,$AP$2,$AP$3,$AP$4,$AP$5,$AP$6,$AP$7,$AP$8,$AP$9,$AP$10,$AP$11,$AP$12),"")</f>
        <v/>
      </c>
      <c r="C634" s="294"/>
      <c r="D634" s="294"/>
      <c r="E634" s="294"/>
      <c r="F634" s="294"/>
      <c r="G634" s="294"/>
      <c r="H634" s="265"/>
      <c r="I634" s="265"/>
      <c r="J634" s="265"/>
      <c r="K634" s="265"/>
      <c r="L634" s="265"/>
      <c r="M634" s="262" t="str">
        <f ca="1">IF(OR(AND($B627&lt;&gt;"",$B634&lt;&gt;"",$C652&lt;=$B652),AND($B629&lt;&gt;"",$B636&lt;&gt;"",$G652&lt;=$F652)),"Invalid Lineup","")</f>
        <v/>
      </c>
      <c r="N634" s="263"/>
      <c r="O634" s="263"/>
      <c r="P634" s="264"/>
      <c r="Q634" s="137" t="str">
        <f>IF($L634=$L636,IF($K634=$K636,IF($J634&lt;&gt;"",IF($J634&gt;$J636,"W","L"),""),IF($K634&gt;$K636,"W","L")),IF($L634&gt;$L636,"W","L"))</f>
        <v/>
      </c>
      <c r="R634" s="300" t="str">
        <f>$K621</f>
        <v>K</v>
      </c>
      <c r="S634" s="331" t="str">
        <f ca="1">IF($B636&lt;&gt;"",$B636,"")</f>
        <v/>
      </c>
      <c r="T634" s="332"/>
      <c r="U634" s="332"/>
      <c r="V634" s="332"/>
      <c r="W634" s="332"/>
      <c r="X634" s="333"/>
      <c r="Y634" s="329"/>
      <c r="Z634" s="329"/>
      <c r="AA634" s="329"/>
      <c r="AB634" s="329"/>
      <c r="AC634" s="351"/>
      <c r="AD634" s="363" t="s">
        <v>1237</v>
      </c>
      <c r="AE634" s="358"/>
      <c r="AF634" s="359"/>
    </row>
    <row r="635" spans="1:32" ht="12.75" customHeight="1">
      <c r="A635" s="301"/>
      <c r="B635" s="295"/>
      <c r="C635" s="296"/>
      <c r="D635" s="296"/>
      <c r="E635" s="296"/>
      <c r="F635" s="296"/>
      <c r="G635" s="296"/>
      <c r="H635" s="270"/>
      <c r="I635" s="270"/>
      <c r="J635" s="270"/>
      <c r="K635" s="270"/>
      <c r="L635" s="270"/>
      <c r="M635" s="262"/>
      <c r="N635" s="263"/>
      <c r="O635" s="263"/>
      <c r="P635" s="264"/>
      <c r="Q635" s="139" t="str">
        <f>IF($Q634&lt;&gt;"",IF($Q634="W",IF(SUM(IF($H634&gt;$H636,1,0),IF($I634&gt;$I636,1,0),IF($J634&gt;$J636,1,0),IF($K634&gt;$K636,1,0),IF($L634&gt;$L636,1,0))&lt;&gt;3,"Error",""),""),"")</f>
        <v/>
      </c>
      <c r="R635" s="330"/>
      <c r="S635" s="334"/>
      <c r="T635" s="335"/>
      <c r="U635" s="335"/>
      <c r="V635" s="335"/>
      <c r="W635" s="335"/>
      <c r="X635" s="336"/>
      <c r="Y635" s="330"/>
      <c r="Z635" s="330"/>
      <c r="AA635" s="330"/>
      <c r="AB635" s="330"/>
      <c r="AC635" s="330"/>
      <c r="AD635" s="360"/>
      <c r="AE635" s="361"/>
      <c r="AF635" s="362"/>
    </row>
    <row r="636" spans="1:32" ht="12.75" customHeight="1">
      <c r="A636" s="300" t="str">
        <f>K621</f>
        <v>K</v>
      </c>
      <c r="B636" s="293" t="str">
        <f ca="1">IF(AND(OFFSET($AO$1,$L621-1,8,1,1),$A622&lt;&gt;"",$J622&lt;&gt;""),CHOOSE($L621,$AP$1,$AP$2,$AP$3,$AP$4,$AP$5,$AP$6,$AP$7,$AP$8,$AP$9,$AP$10,$AP$11,$AP$12),"")</f>
        <v/>
      </c>
      <c r="C636" s="294"/>
      <c r="D636" s="294"/>
      <c r="E636" s="294"/>
      <c r="F636" s="294"/>
      <c r="G636" s="294"/>
      <c r="H636" s="265"/>
      <c r="I636" s="265"/>
      <c r="J636" s="265"/>
      <c r="K636" s="265"/>
      <c r="L636" s="265"/>
      <c r="M636" s="267" t="s">
        <v>1237</v>
      </c>
      <c r="N636" s="268"/>
      <c r="O636" s="268"/>
      <c r="P636" s="269"/>
      <c r="Q636" s="137" t="str">
        <f>IF($Q634&lt;&gt;"",IF($Q634="W","L","W"),"")</f>
        <v/>
      </c>
      <c r="R636" s="20"/>
      <c r="S636" s="20"/>
      <c r="T636" s="20"/>
      <c r="U636" s="20"/>
      <c r="V636" s="20"/>
      <c r="W636" s="20"/>
      <c r="X636" s="26"/>
      <c r="Y636" s="26"/>
      <c r="Z636" s="20"/>
      <c r="AA636" s="20"/>
      <c r="AB636" s="20"/>
      <c r="AC636" s="20"/>
      <c r="AD636" s="20"/>
      <c r="AE636" s="20"/>
      <c r="AF636" s="27"/>
    </row>
    <row r="637" spans="1:32" ht="12.75" customHeight="1">
      <c r="A637" s="301"/>
      <c r="B637" s="295"/>
      <c r="C637" s="296"/>
      <c r="D637" s="296"/>
      <c r="E637" s="296"/>
      <c r="F637" s="296"/>
      <c r="G637" s="296"/>
      <c r="H637" s="270"/>
      <c r="I637" s="270"/>
      <c r="J637" s="266"/>
      <c r="K637" s="266"/>
      <c r="L637" s="266"/>
      <c r="M637" s="267"/>
      <c r="N637" s="268"/>
      <c r="O637" s="268"/>
      <c r="P637" s="269"/>
      <c r="Q637" s="139" t="str">
        <f>IF($Q636&lt;&gt;"",IF($Q636="W",IF(SUM(IF($H636&gt;$H634,1,0),IF($I636&gt;$I634,1,0),IF($J636&gt;$J634,1,0),IF($K636&gt;$K634,1,0),IF($L636&gt;$L634,1,0))&lt;&gt;3,"Error",""),""),"")</f>
        <v/>
      </c>
      <c r="R637" s="20"/>
      <c r="S637" s="20"/>
      <c r="T637" s="20"/>
      <c r="U637" s="20"/>
      <c r="V637" s="20"/>
      <c r="W637" s="20"/>
      <c r="X637" s="26"/>
      <c r="Y637" s="26"/>
      <c r="Z637" s="20"/>
      <c r="AA637" s="20"/>
      <c r="AB637" s="20"/>
      <c r="AC637" s="20"/>
      <c r="AD637" s="20"/>
      <c r="AE637" s="20"/>
      <c r="AF637" s="27"/>
    </row>
    <row r="638" spans="1:32" ht="12.75" customHeight="1">
      <c r="Q638" s="7"/>
      <c r="R638" s="20"/>
      <c r="S638" s="20"/>
      <c r="T638" s="20"/>
      <c r="U638" s="20"/>
      <c r="V638" s="20"/>
      <c r="W638" s="20"/>
      <c r="X638" s="26"/>
      <c r="Y638" s="26"/>
      <c r="Z638" s="20"/>
      <c r="AA638" s="20"/>
      <c r="AB638" s="20"/>
      <c r="AC638" s="20"/>
      <c r="AD638" s="20"/>
      <c r="AE638" s="20"/>
      <c r="AF638" s="27"/>
    </row>
    <row r="639" spans="1:32" ht="12.75" customHeight="1">
      <c r="A639" s="21" t="s">
        <v>1235</v>
      </c>
      <c r="H639" s="136" t="str">
        <f>IF($Q641&lt;&gt;"",IF(AND(AND($H641&gt;-1,$H643&gt;-1),OR($H641&gt;10,$H643&gt;10),ABS($H641-$H643)&gt;1,IF(OR($H641&gt;11,$H643&gt;11),ABS($H641-$H643)=2,TRUE),$H641=INT($H641),$H643=INT($H643)),"","Error"),"")</f>
        <v/>
      </c>
      <c r="I639" s="136" t="str">
        <f>IF($Q641&lt;&gt;"",IF(AND(AND($I641&gt;-1,$I643&gt;-1),OR($I641&gt;10,$I643&gt;10),ABS($I641-$I643)&gt;1,IF(OR($I641&gt;11,$I643&gt;11),ABS($I641-$I643)=2,TRUE),$I641=INT($I641),$I643=INT($I643)),"","Error"),"")</f>
        <v/>
      </c>
      <c r="J639" s="136" t="str">
        <f>IF($Q641&lt;&gt;"",IF(AND(AND($J641&gt;-1,$J643&gt;-1),OR($J641&gt;10,$J643&gt;10),ABS($J641-$J643)&gt;1,IF(OR($J641&gt;11,$J643&gt;11),ABS($J641-$J643)=2,TRUE),$J641=INT($J641),$J643=INT($J643)),"","Error"),"")</f>
        <v/>
      </c>
      <c r="K639" s="136" t="str">
        <f>IF($Q641&lt;&gt;"",IF(AND($K641&lt;&gt;"",$K643&lt;&gt;""), IF(AND(AND($K641&gt;-1,$K643&gt;-1),OR($K641&gt;10,$K643&gt;10),ABS($K641-$K643)&gt;1,IF(OR($K641&gt;11,$K643&gt;11),ABS($K641-$K643)=2,TRUE),$K641=INT($K641),$K643=INT($K643)),"","Error"),""),"")</f>
        <v/>
      </c>
      <c r="L639" s="136" t="str">
        <f>IF($Q641&lt;&gt;"",IF(AND($L641&lt;&gt;"",$L643&lt;&gt;""), IF(AND(AND($L641&gt;-1,$L643&gt;-1),OR($L641&gt;10,$L643&gt;10),ABS($L641-$L643)&gt;1,IF(OR($L641&gt;11,$L643&gt;11),ABS($L641-$L643)=2,TRUE),$L641=INT($L641),$L643=INT($L643)),"","Error"),""),"")</f>
        <v/>
      </c>
      <c r="Q639" s="7"/>
      <c r="R639" s="20"/>
      <c r="S639" s="20"/>
      <c r="T639" s="20"/>
      <c r="U639" s="20"/>
      <c r="V639" s="20"/>
      <c r="W639" s="20"/>
      <c r="X639" s="26"/>
      <c r="Y639" s="26"/>
      <c r="Z639" s="20"/>
      <c r="AA639" s="20"/>
      <c r="AB639" s="20"/>
      <c r="AC639" s="20"/>
      <c r="AD639" s="20"/>
      <c r="AE639" s="20"/>
      <c r="AF639" s="27"/>
    </row>
    <row r="640" spans="1:32" ht="12.75" customHeight="1">
      <c r="A640" s="5" t="s">
        <v>1228</v>
      </c>
      <c r="B640" s="290" t="s">
        <v>1126</v>
      </c>
      <c r="C640" s="291"/>
      <c r="D640" s="291"/>
      <c r="E640" s="291"/>
      <c r="F640" s="291"/>
      <c r="G640" s="292"/>
      <c r="H640" s="5">
        <v>1</v>
      </c>
      <c r="I640" s="5">
        <v>2</v>
      </c>
      <c r="J640" s="5">
        <v>3</v>
      </c>
      <c r="K640" s="5">
        <v>4</v>
      </c>
      <c r="L640" s="5">
        <v>5</v>
      </c>
      <c r="M640" s="271"/>
      <c r="N640" s="272"/>
      <c r="O640" s="272"/>
      <c r="P640" s="273"/>
      <c r="Q640" s="7"/>
      <c r="R640" s="20"/>
      <c r="S640" s="20"/>
      <c r="T640" s="20"/>
      <c r="U640" s="20"/>
      <c r="V640" s="20"/>
      <c r="W640" s="20"/>
      <c r="X640" s="26"/>
      <c r="Y640" s="26"/>
      <c r="Z640" s="20"/>
      <c r="AA640" s="20"/>
      <c r="AB640" s="20"/>
      <c r="AC640" s="20"/>
      <c r="AD640" s="20"/>
      <c r="AE640" s="20"/>
      <c r="AF640" s="27"/>
    </row>
    <row r="641" spans="1:32" ht="12.75" customHeight="1">
      <c r="A641" s="300" t="str">
        <f>B621</f>
        <v>I</v>
      </c>
      <c r="B641" s="293" t="str">
        <f ca="1">IF(AND(OFFSET($AO$1,$C621-1,8,1,1),$A622&lt;&gt;"",$J622&lt;&gt;""),CHOOSE($C621,$AQ$1,$AQ$2,$AQ$3,$AQ$4,$AQ$5,$AQ$6,$AQ$7,$AQ$8,$AQ$9,$AQ$10,$AQ$11,$AQ$12),"")</f>
        <v/>
      </c>
      <c r="C641" s="294"/>
      <c r="D641" s="294"/>
      <c r="E641" s="294"/>
      <c r="F641" s="294"/>
      <c r="G641" s="294"/>
      <c r="H641" s="265"/>
      <c r="I641" s="265"/>
      <c r="J641" s="265"/>
      <c r="K641" s="265"/>
      <c r="L641" s="265"/>
      <c r="M641" s="262" t="str">
        <f ca="1">IF(OR(AND($B634&lt;&gt;"",$B641&lt;&gt;"",$D652&lt;=$C652),AND($B636&lt;&gt;"",$B643&lt;&gt;"",$H652&lt;=$G652)),"Invalid Lineup","")</f>
        <v/>
      </c>
      <c r="N641" s="263"/>
      <c r="O641" s="263"/>
      <c r="P641" s="264"/>
      <c r="Q641" s="137" t="str">
        <f>IF($L641=$L643,IF($K641=$K643,IF($J641&lt;&gt;"",IF($J641&gt;$J643,"W","L"),""),IF($K641&gt;$K643,"W","L")),IF($L641&gt;$L643,"W","L"))</f>
        <v/>
      </c>
      <c r="R641" s="20"/>
      <c r="S641" s="20"/>
      <c r="T641" s="20"/>
      <c r="U641" s="20"/>
      <c r="V641" s="20"/>
      <c r="W641" s="20"/>
      <c r="X641" s="26"/>
      <c r="Y641" s="26"/>
      <c r="Z641" s="20"/>
      <c r="AA641" s="20"/>
      <c r="AB641" s="20"/>
      <c r="AC641" s="20"/>
      <c r="AD641" s="20"/>
      <c r="AE641" s="20"/>
      <c r="AF641" s="27"/>
    </row>
    <row r="642" spans="1:32" ht="12.75" customHeight="1">
      <c r="A642" s="301"/>
      <c r="B642" s="295"/>
      <c r="C642" s="296"/>
      <c r="D642" s="296"/>
      <c r="E642" s="296"/>
      <c r="F642" s="296"/>
      <c r="G642" s="296"/>
      <c r="H642" s="270"/>
      <c r="I642" s="270"/>
      <c r="J642" s="270"/>
      <c r="K642" s="270"/>
      <c r="L642" s="270"/>
      <c r="M642" s="262"/>
      <c r="N642" s="263"/>
      <c r="O642" s="263"/>
      <c r="P642" s="264"/>
      <c r="Q642" s="139" t="str">
        <f>IF($Q641&lt;&gt;"",IF($Q641="W",IF(SUM(IF($H641&gt;$H643,1,0),IF($I641&gt;$I643,1,0),IF($J641&gt;$J643,1,0),IF($K641&gt;$K643,1,0),IF($L641&gt;$L643,1,0))&lt;&gt;3,"Error",""),""),"")</f>
        <v/>
      </c>
      <c r="R642" s="328" t="str">
        <f>$A622</f>
        <v/>
      </c>
      <c r="S642" s="328"/>
      <c r="T642" s="328"/>
      <c r="U642" s="328"/>
      <c r="V642" s="328"/>
      <c r="W642" s="328"/>
      <c r="X642" s="256" t="str">
        <f>CONCATENATE("(",$B621," vs ",$K621,")")</f>
        <v>(I vs K)</v>
      </c>
      <c r="Y642" s="256"/>
      <c r="Z642" s="328" t="str">
        <f>$J622</f>
        <v/>
      </c>
      <c r="AA642" s="328"/>
      <c r="AB642" s="328"/>
      <c r="AC642" s="328"/>
      <c r="AD642" s="328"/>
      <c r="AE642" s="328"/>
      <c r="AF642" s="100"/>
    </row>
    <row r="643" spans="1:32" ht="12.75" customHeight="1">
      <c r="A643" s="300" t="str">
        <f>K621</f>
        <v>K</v>
      </c>
      <c r="B643" s="293" t="str">
        <f ca="1">IF(AND(OFFSET($AO$1,$L621-1,8,1,1),$A622&lt;&gt;"",$J622&lt;&gt;""),CHOOSE($L621,$AQ$1,$AQ$2,$AQ$3,$AQ$4,$AQ$5,$AQ$6,$AQ$7,$AQ$8,$AQ$9,$AQ$10,$AQ$11,$AQ$12),"")</f>
        <v/>
      </c>
      <c r="C643" s="294"/>
      <c r="D643" s="294"/>
      <c r="E643" s="294"/>
      <c r="F643" s="294"/>
      <c r="G643" s="294"/>
      <c r="H643" s="265"/>
      <c r="I643" s="265"/>
      <c r="J643" s="265"/>
      <c r="K643" s="265"/>
      <c r="L643" s="265"/>
      <c r="M643" s="267" t="s">
        <v>1237</v>
      </c>
      <c r="N643" s="268"/>
      <c r="O643" s="268"/>
      <c r="P643" s="269"/>
      <c r="Q643" s="137" t="str">
        <f>IF($Q641&lt;&gt;"",IF($Q641="W","L","W"),"")</f>
        <v/>
      </c>
      <c r="R643" s="100"/>
      <c r="S643" s="100"/>
      <c r="T643" s="100"/>
      <c r="U643" s="100"/>
      <c r="V643" s="100"/>
      <c r="W643" s="100"/>
      <c r="X643" s="100"/>
      <c r="Y643" s="100"/>
      <c r="Z643" s="100"/>
      <c r="AA643" s="100"/>
      <c r="AB643" s="100"/>
      <c r="AC643" s="100"/>
      <c r="AD643" s="100"/>
      <c r="AE643" s="100"/>
      <c r="AF643" s="100"/>
    </row>
    <row r="644" spans="1:32" ht="12.75" customHeight="1">
      <c r="A644" s="301"/>
      <c r="B644" s="295"/>
      <c r="C644" s="296"/>
      <c r="D644" s="296"/>
      <c r="E644" s="296"/>
      <c r="F644" s="296"/>
      <c r="G644" s="296"/>
      <c r="H644" s="270"/>
      <c r="I644" s="270"/>
      <c r="J644" s="266"/>
      <c r="K644" s="266"/>
      <c r="L644" s="266"/>
      <c r="M644" s="267"/>
      <c r="N644" s="268"/>
      <c r="O644" s="268"/>
      <c r="P644" s="269"/>
      <c r="Q644" s="139" t="str">
        <f>IF($Q643&lt;&gt;"",IF($Q643="W",IF(SUM(IF($H643&gt;$H641,1,0),IF($I643&gt;$I641,1,0),IF($J643&gt;$J641,1,0),IF($K643&gt;$K641,1,0),IF($L643&gt;$L641,1,0))&lt;&gt;3,"Error",""),""),"")</f>
        <v/>
      </c>
      <c r="R644" s="43" t="str">
        <f>$A639</f>
        <v>3rd Singles</v>
      </c>
      <c r="S644" s="43"/>
      <c r="T644" s="43"/>
      <c r="U644" s="43"/>
      <c r="V644" s="43"/>
      <c r="W644" s="43"/>
      <c r="X644" s="43"/>
      <c r="Y644" s="43"/>
      <c r="Z644" s="43"/>
      <c r="AA644" s="43"/>
      <c r="AB644" s="43"/>
      <c r="AC644" s="43"/>
      <c r="AD644" s="43"/>
      <c r="AE644" s="43"/>
      <c r="AF644" s="43"/>
    </row>
    <row r="645" spans="1:32" ht="12.75" customHeight="1">
      <c r="Q645" s="7"/>
      <c r="R645" s="60" t="s">
        <v>1228</v>
      </c>
      <c r="S645" s="101" t="s">
        <v>1126</v>
      </c>
      <c r="T645" s="102"/>
      <c r="U645" s="102"/>
      <c r="V645" s="102"/>
      <c r="W645" s="102"/>
      <c r="X645" s="103"/>
      <c r="Y645" s="60">
        <v>1</v>
      </c>
      <c r="Z645" s="60">
        <v>2</v>
      </c>
      <c r="AA645" s="60">
        <v>3</v>
      </c>
      <c r="AB645" s="60">
        <v>4</v>
      </c>
      <c r="AC645" s="60">
        <v>5</v>
      </c>
      <c r="AD645" s="104"/>
      <c r="AE645" s="105"/>
      <c r="AF645" s="106"/>
    </row>
    <row r="646" spans="1:32" ht="12.75" customHeight="1">
      <c r="A646" s="21" t="s">
        <v>1236</v>
      </c>
      <c r="H646" s="136" t="str">
        <f ca="1">IF($Q648&lt;&gt;"",IF(AND($B648&lt;&gt;"Missing Player",$B650&lt;&gt;"Missing Player"),IF(AND(AND($H648&gt;-1,$H650&gt;-1),OR($H648&gt;10,$H650&gt;10),ABS($H648-$H650)&gt;1,IF(OR($H648&gt;11,$H650&gt;11),ABS($H648-$H650)=2,TRUE),$H648=INT($H648),$H650=INT($H650)),"","Error"),""),"")</f>
        <v/>
      </c>
      <c r="I646" s="136" t="str">
        <f ca="1">IF($Q648&lt;&gt;"",IF(AND($B648&lt;&gt;"Missing Player",$B650&lt;&gt;"Missing Player"),IF(AND(AND($I648&gt;-1,$I650&gt;-1),OR($I648&gt;10,$I650&gt;10),ABS($I648-$I650)&gt;1,IF(OR($I648&gt;11,$I650&gt;11),ABS($I648-$I650)=2,TRUE),$I648=INT($I648),$I650=INT($I650)),"","Error"),""),"")</f>
        <v/>
      </c>
      <c r="J646" s="136" t="str">
        <f ca="1">IF($Q648&lt;&gt;"",IF(AND($B648&lt;&gt;"Missing Player",$B650&lt;&gt;"Missing Player"),IF(AND(AND($J648&gt;-1,$J650&gt;-1),OR($J648&gt;10,$J650&gt;10),ABS($J648-$J650)&gt;1,IF(OR($J648&gt;11,$J650&gt;11),ABS($J648-$J650)=2,TRUE),$J648=INT($J648),$J650=INT($J650)),"","Error"),""),"")</f>
        <v/>
      </c>
      <c r="K646" s="136" t="str">
        <f ca="1">IF($Q648&lt;&gt;"",IF(AND($K648&lt;&gt;"",$K650&lt;&gt;""), IF(AND(AND($K648&gt;-1,$K650&gt;-1),OR($K648&gt;10,$K650&gt;10),ABS($K648-$K650)&gt;1,IF(OR($K648&gt;11,$K650&gt;11),ABS($K648-$K650)=2,TRUE),$K648=INT($K648),$K650=INT($K650)),"","Error"),""),"")</f>
        <v/>
      </c>
      <c r="L646" s="136" t="str">
        <f ca="1">IF($Q648&lt;&gt;"",IF(AND($L648&lt;&gt;"",$L650&lt;&gt;""), IF(AND(AND($L648&gt;-1,$L650&gt;-1),OR($L648&gt;10,$L650&gt;10),ABS($L648-$L650)&gt;1,IF(OR($L648&gt;11,$L650&gt;11),ABS($L648-$L650)=2,TRUE),$L648=INT($L648),$L650=INT($L650)),"","Error"),""),"")</f>
        <v/>
      </c>
      <c r="Q646" s="7"/>
      <c r="R646" s="300" t="str">
        <f>$B621</f>
        <v>I</v>
      </c>
      <c r="S646" s="331" t="str">
        <f ca="1">IF($B641&lt;&gt;"",$B641,"")</f>
        <v/>
      </c>
      <c r="T646" s="332"/>
      <c r="U646" s="332"/>
      <c r="V646" s="332"/>
      <c r="W646" s="332"/>
      <c r="X646" s="333"/>
      <c r="Y646" s="329"/>
      <c r="Z646" s="329"/>
      <c r="AA646" s="329"/>
      <c r="AB646" s="329"/>
      <c r="AC646" s="329"/>
      <c r="AD646" s="345"/>
      <c r="AE646" s="358"/>
      <c r="AF646" s="359"/>
    </row>
    <row r="647" spans="1:32" ht="12.75" customHeight="1">
      <c r="A647" s="5" t="s">
        <v>1228</v>
      </c>
      <c r="B647" s="290" t="s">
        <v>1126</v>
      </c>
      <c r="C647" s="291"/>
      <c r="D647" s="291"/>
      <c r="E647" s="291"/>
      <c r="F647" s="291"/>
      <c r="G647" s="292"/>
      <c r="H647" s="5">
        <v>1</v>
      </c>
      <c r="I647" s="5">
        <v>2</v>
      </c>
      <c r="J647" s="5">
        <v>3</v>
      </c>
      <c r="K647" s="5">
        <v>4</v>
      </c>
      <c r="L647" s="5">
        <v>5</v>
      </c>
      <c r="M647" s="271"/>
      <c r="N647" s="272"/>
      <c r="O647" s="272"/>
      <c r="P647" s="273"/>
      <c r="Q647" s="7"/>
      <c r="R647" s="330"/>
      <c r="S647" s="334"/>
      <c r="T647" s="335"/>
      <c r="U647" s="335"/>
      <c r="V647" s="335"/>
      <c r="W647" s="335"/>
      <c r="X647" s="336"/>
      <c r="Y647" s="330"/>
      <c r="Z647" s="330"/>
      <c r="AA647" s="330"/>
      <c r="AB647" s="330"/>
      <c r="AC647" s="330"/>
      <c r="AD647" s="360"/>
      <c r="AE647" s="361"/>
      <c r="AF647" s="362"/>
    </row>
    <row r="648" spans="1:32" ht="12.75" customHeight="1">
      <c r="A648" s="300" t="str">
        <f>B621</f>
        <v>I</v>
      </c>
      <c r="B648" s="293" t="str">
        <f ca="1">IF(AND(OFFSET($AO$1,$C621-1,8,1,1),$A622&lt;&gt;"",$J622&lt;&gt;""),CHOOSE($C621,$AR$1,$AR$2,$AR$3,$AR$4,$AR$5,$AR$6,$AR$7,$AR$8,$AR$9,$AR$10,$AR$11,$AR$12),"")</f>
        <v/>
      </c>
      <c r="C648" s="294"/>
      <c r="D648" s="294"/>
      <c r="E648" s="294"/>
      <c r="F648" s="294"/>
      <c r="G648" s="294"/>
      <c r="H648" s="265"/>
      <c r="I648" s="265"/>
      <c r="J648" s="265"/>
      <c r="K648" s="265"/>
      <c r="L648" s="265" t="str">
        <f ca="1">IF(AND($B648&lt;&gt;"",$Q627&lt;&gt;""),IF($B648="Missing Player",0,IF($B650="Missing Player",11,"")),"")</f>
        <v/>
      </c>
      <c r="M648" s="262" t="str">
        <f ca="1">IF(OR(AND($B641&lt;&gt;"",$B648&lt;&gt;"",$E652&lt;=$D652),AND($B643&lt;&gt;"",$B650&lt;&gt;"",$I652&lt;=$H652)),"Invalid Lineup","")</f>
        <v/>
      </c>
      <c r="N648" s="263"/>
      <c r="O648" s="263"/>
      <c r="P648" s="264"/>
      <c r="Q648" s="137" t="str">
        <f ca="1">IF($L648=$L650,IF($K648=$K650,IF($J648&lt;&gt;"",IF($J648&gt;$J650,"W","L"),""),IF($K648&gt;$K650,"W","L")),IF($L648&gt;$L650,"W","L"))</f>
        <v/>
      </c>
      <c r="R648" s="300" t="str">
        <f>$K621</f>
        <v>K</v>
      </c>
      <c r="S648" s="331" t="str">
        <f ca="1">IF($B643&lt;&gt;"",$B643,"")</f>
        <v/>
      </c>
      <c r="T648" s="332"/>
      <c r="U648" s="332"/>
      <c r="V648" s="332"/>
      <c r="W648" s="332"/>
      <c r="X648" s="333"/>
      <c r="Y648" s="329"/>
      <c r="Z648" s="329"/>
      <c r="AA648" s="329"/>
      <c r="AB648" s="329"/>
      <c r="AC648" s="351"/>
      <c r="AD648" s="363" t="s">
        <v>1237</v>
      </c>
      <c r="AE648" s="358"/>
      <c r="AF648" s="359"/>
    </row>
    <row r="649" spans="1:32" ht="12.75" customHeight="1">
      <c r="A649" s="301"/>
      <c r="B649" s="295"/>
      <c r="C649" s="296"/>
      <c r="D649" s="296"/>
      <c r="E649" s="296"/>
      <c r="F649" s="296"/>
      <c r="G649" s="296"/>
      <c r="H649" s="270"/>
      <c r="I649" s="270"/>
      <c r="J649" s="270"/>
      <c r="K649" s="270"/>
      <c r="L649" s="270"/>
      <c r="M649" s="262"/>
      <c r="N649" s="263"/>
      <c r="O649" s="263"/>
      <c r="P649" s="264"/>
      <c r="Q649" s="139" t="str">
        <f ca="1">IF($Q648&lt;&gt;"",IF($B650&lt;&gt;"Missing Player",IF($Q648="W",IF(SUM(IF($H648&gt;$H650,1,0),IF($I648&gt;$I650,1,0),IF($J648&gt;$J650,1,0),IF($K648&gt;$K650,1,0),IF($L648&gt;$L650,1,0))&lt;&gt;3,"Error",""),""),""),"")</f>
        <v/>
      </c>
      <c r="R649" s="330"/>
      <c r="S649" s="334"/>
      <c r="T649" s="335"/>
      <c r="U649" s="335"/>
      <c r="V649" s="335"/>
      <c r="W649" s="335"/>
      <c r="X649" s="336"/>
      <c r="Y649" s="330"/>
      <c r="Z649" s="330"/>
      <c r="AA649" s="330"/>
      <c r="AB649" s="330"/>
      <c r="AC649" s="330"/>
      <c r="AD649" s="360"/>
      <c r="AE649" s="361"/>
      <c r="AF649" s="362"/>
    </row>
    <row r="650" spans="1:32" ht="12.75" customHeight="1">
      <c r="A650" s="300" t="str">
        <f>K621</f>
        <v>K</v>
      </c>
      <c r="B650" s="293" t="str">
        <f ca="1">IF(AND(OFFSET($AO$1,$L621-1,8,1,1),$A622&lt;&gt;"",$J622&lt;&gt;""),CHOOSE($L621,$AR$1,$AR$2,$AR$3,$AR$4,$AR$5,$AR$6,$AR$7,$AR$8,$AR$9,$AR$10,$AR$11,$AR$12),"")</f>
        <v/>
      </c>
      <c r="C650" s="294"/>
      <c r="D650" s="294"/>
      <c r="E650" s="294"/>
      <c r="F650" s="294"/>
      <c r="G650" s="294"/>
      <c r="H650" s="265"/>
      <c r="I650" s="265"/>
      <c r="J650" s="265"/>
      <c r="K650" s="265"/>
      <c r="L650" s="265" t="str">
        <f ca="1">IF(AND($B650&lt;&gt;"",$Q627&lt;&gt;""),IF($B650="Missing Player",0,IF($B648="Missing Player",11,"")),"")</f>
        <v/>
      </c>
      <c r="M650" s="267" t="s">
        <v>1237</v>
      </c>
      <c r="N650" s="268"/>
      <c r="O650" s="268"/>
      <c r="P650" s="269"/>
      <c r="Q650" s="137" t="str">
        <f ca="1">IF($Q648&lt;&gt;"",IF($Q648="W","L","W"),"")</f>
        <v/>
      </c>
      <c r="R650" s="112"/>
      <c r="S650" s="98"/>
      <c r="T650" s="108"/>
      <c r="U650" s="108"/>
      <c r="V650" s="108"/>
      <c r="W650" s="108"/>
      <c r="X650" s="108"/>
      <c r="Y650" s="113"/>
      <c r="Z650" s="113"/>
      <c r="AA650" s="113"/>
      <c r="AB650" s="113"/>
      <c r="AC650" s="113"/>
      <c r="AD650" s="107"/>
      <c r="AE650" s="109"/>
      <c r="AF650" s="109"/>
    </row>
    <row r="651" spans="1:32" ht="12.75" customHeight="1">
      <c r="A651" s="301"/>
      <c r="B651" s="295"/>
      <c r="C651" s="296"/>
      <c r="D651" s="296"/>
      <c r="E651" s="296"/>
      <c r="F651" s="296"/>
      <c r="G651" s="296"/>
      <c r="H651" s="270"/>
      <c r="I651" s="270"/>
      <c r="J651" s="266"/>
      <c r="K651" s="266"/>
      <c r="L651" s="266"/>
      <c r="M651" s="267"/>
      <c r="N651" s="268"/>
      <c r="O651" s="268"/>
      <c r="P651" s="269"/>
      <c r="Q651" s="139" t="str">
        <f ca="1">IF($Q650&lt;&gt;"",IF($B648&lt;&gt;"Missing Player",IF($Q650="W",IF(SUM(IF($H650&gt;$H648,1,0),IF($I650&gt;$I648,1,0),IF($J650&gt;$J648,1,0),IF($K650&gt;$K648,1,0),IF($L650&gt;$L648,1,0))&lt;&gt;3,"Error",""),""),""),"")</f>
        <v/>
      </c>
      <c r="R651" s="114"/>
      <c r="S651" s="115"/>
      <c r="T651" s="115"/>
      <c r="U651" s="115"/>
      <c r="V651" s="115"/>
      <c r="W651" s="115"/>
      <c r="X651" s="115"/>
      <c r="Y651" s="114"/>
      <c r="Z651" s="114"/>
      <c r="AA651" s="114"/>
      <c r="AB651" s="114"/>
      <c r="AC651" s="114"/>
      <c r="AD651" s="114"/>
      <c r="AE651" s="114"/>
      <c r="AF651" s="114"/>
    </row>
    <row r="652" spans="1:32" ht="12.75" customHeight="1">
      <c r="B652" s="140" t="str">
        <f ca="1">IF(ISERROR(VLOOKUP($B627&amp;"("&amp;$B621&amp;")",Players!$S$4:$T$132,2,FALSE)),"",VLOOKUP($B627&amp;"("&amp;$B621&amp;")",Players!$S$4:$T$132,2,FALSE))</f>
        <v>I1</v>
      </c>
      <c r="C652" s="140" t="str">
        <f ca="1">IF(ISERROR(VLOOKUP($B634&amp;"("&amp;$B621&amp;")",Players!$S$4:$T$132,2,FALSE)),"",VLOOKUP($B634&amp;"("&amp;$B621&amp;")",Players!$S$4:$T$132,2,FALSE))</f>
        <v>I1</v>
      </c>
      <c r="D652" s="141" t="str">
        <f ca="1">IF(ISERROR(VLOOKUP($B641&amp;"("&amp;$B621&amp;")",Players!$S$4:$T$132,2,FALSE)),"",VLOOKUP($B641&amp;"("&amp;$B621&amp;")",Players!$S$4:$T$132,2,FALSE))</f>
        <v>I1</v>
      </c>
      <c r="E652" s="141" t="str">
        <f ca="1">IF(ISERROR(VLOOKUP($B648&amp;"("&amp;$B621&amp;")",Players!$S$4:$T$132,2,FALSE)),"",VLOOKUP($B648&amp;"("&amp;$B621&amp;")",Players!$S$4:$T$132,2,FALSE))</f>
        <v>I1</v>
      </c>
      <c r="F652" s="141" t="str">
        <f ca="1">IF(ISERROR(VLOOKUP($B629&amp;"("&amp;$K621&amp;")",Players!$S$4:$T$132,2,FALSE)),"",VLOOKUP($B629&amp;"("&amp;$K621&amp;")",Players!$S$4:$T$132,2,FALSE))</f>
        <v>K1</v>
      </c>
      <c r="G652" s="141" t="str">
        <f ca="1">IF(ISERROR(VLOOKUP($B636&amp;"("&amp;$K621&amp;")",Players!$S$4:$T$132,2,FALSE)),"",VLOOKUP($B636&amp;"("&amp;$K621&amp;")",Players!$S$4:$T$132,2,FALSE))</f>
        <v>K1</v>
      </c>
      <c r="H652" s="141" t="str">
        <f ca="1">IF(ISERROR(VLOOKUP($B643&amp;"("&amp;$K621&amp;")",Players!$S$4:$T$132,2,FALSE)),"",VLOOKUP($B643&amp;"("&amp;$K621&amp;")",Players!$S$4:$T$132,2,FALSE))</f>
        <v>K1</v>
      </c>
      <c r="I652" s="141" t="str">
        <f ca="1">IF(ISERROR(VLOOKUP($B650&amp;"("&amp;$K621&amp;")",Players!$S$4:$T$132,2,FALSE)),"",VLOOKUP($B650&amp;"("&amp;$K621&amp;")",Players!$S$4:$T$132,2,FALSE))</f>
        <v>K1</v>
      </c>
      <c r="Q652" s="7"/>
      <c r="R652" s="50"/>
      <c r="S652" s="116"/>
      <c r="T652" s="115"/>
      <c r="U652" s="115"/>
      <c r="V652" s="115"/>
      <c r="W652" s="115"/>
      <c r="X652" s="115"/>
      <c r="Y652" s="99"/>
      <c r="Z652" s="99"/>
      <c r="AA652" s="99"/>
      <c r="AB652" s="99"/>
      <c r="AC652" s="117"/>
      <c r="AD652" s="118"/>
      <c r="AE652" s="114"/>
      <c r="AF652" s="114"/>
    </row>
    <row r="653" spans="1:32" ht="12.75" customHeight="1">
      <c r="A653" s="21" t="s">
        <v>1225</v>
      </c>
      <c r="H653" s="136" t="str">
        <f ca="1">IF($Q655&lt;&gt;"",IF(AND($B656&lt;&gt;"Missing Player",$B658&lt;&gt;"Missing Player"),IF(AND(AND($H655&gt;-1,$H657&gt;-1),OR($H655&gt;10,$H657&gt;10),ABS($H655-$H657)&gt;1,IF(OR($H655&gt;11,$H657&gt;11),ABS($H655-$H657)=2,TRUE),$H655=INT($H655),$H657=INT($H657)),"","Error"),""),"")</f>
        <v/>
      </c>
      <c r="I653" s="136" t="str">
        <f ca="1">IF($Q655&lt;&gt;"",IF(AND($B656&lt;&gt;"Missing Player",$B658&lt;&gt;"Missing Player"),IF(AND(AND($I655&gt;-1,$I657&gt;-1),OR($I655&gt;10,$I657&gt;10),ABS($I655-$I657)&gt;1,IF(OR($I655&gt;11,$I657&gt;11),ABS($I655-$I657)=2,TRUE),$I655=INT($I655),$I657=INT($I657)),"","Error"),""),"")</f>
        <v/>
      </c>
      <c r="J653" s="136" t="str">
        <f ca="1">IF($Q655&lt;&gt;"",IF(AND($B656&lt;&gt;"Missing Player",$B658&lt;&gt;"Missing Player"),IF(AND(AND($J655&gt;-1,$J657&gt;-1),OR($J655&gt;10,$J657&gt;10),ABS($J655-$J657)&gt;1,IF(OR($J655&gt;11,$J657&gt;11),ABS($J655-$J657)=2,TRUE),$J655=INT($J655),$J657=INT($J657)),"","Error"),""),"")</f>
        <v/>
      </c>
      <c r="K653" s="136" t="str">
        <f ca="1">IF($Q655&lt;&gt;"",IF(AND($K655&lt;&gt;"",$K657&lt;&gt;""), IF(AND(AND($K655&gt;-1,$K657&gt;-1),OR($K655&gt;10,$K657&gt;10),ABS($K655-$K657)&gt;1,IF(OR($K655&gt;11,$K657&gt;11),ABS($K655-$K657)=2,TRUE),$K655=INT($K655),$K657=INT($K657)),"","Error"),""),"")</f>
        <v/>
      </c>
      <c r="L653" s="136" t="str">
        <f ca="1">IF($Q655&lt;&gt;"",IF(AND($L655&lt;&gt;"",$L657&lt;&gt;""), IF(AND(AND($L655&gt;-1,$L657&gt;-1),OR($L655&gt;10,$L657&gt;10),ABS($L655-$L657)&gt;1,IF(OR($L655&gt;11,$L657&gt;11),ABS($L655-$L657)=2,TRUE),$L655=INT($L655),$L657=INT($L657)),"","Error"),""),"")</f>
        <v/>
      </c>
      <c r="Q653" s="7"/>
      <c r="R653" s="114"/>
      <c r="S653" s="115"/>
      <c r="T653" s="115"/>
      <c r="U653" s="115"/>
      <c r="V653" s="115"/>
      <c r="W653" s="115"/>
      <c r="X653" s="115"/>
      <c r="Y653" s="114"/>
      <c r="Z653" s="114"/>
      <c r="AA653" s="114"/>
      <c r="AB653" s="114"/>
      <c r="AC653" s="114"/>
      <c r="AD653" s="114"/>
      <c r="AE653" s="114"/>
      <c r="AF653" s="114"/>
    </row>
    <row r="654" spans="1:32" ht="12.75" customHeight="1">
      <c r="A654" s="5" t="s">
        <v>1228</v>
      </c>
      <c r="B654" s="290" t="s">
        <v>1126</v>
      </c>
      <c r="C654" s="291"/>
      <c r="D654" s="291"/>
      <c r="E654" s="291"/>
      <c r="F654" s="291"/>
      <c r="G654" s="292"/>
      <c r="H654" s="5">
        <v>1</v>
      </c>
      <c r="I654" s="5">
        <v>2</v>
      </c>
      <c r="J654" s="5">
        <v>3</v>
      </c>
      <c r="K654" s="5">
        <v>4</v>
      </c>
      <c r="L654" s="5">
        <v>5</v>
      </c>
      <c r="M654" s="271"/>
      <c r="N654" s="272"/>
      <c r="O654" s="272"/>
      <c r="P654" s="273"/>
      <c r="Q654" s="8"/>
      <c r="S654" s="24"/>
      <c r="T654" s="26"/>
    </row>
    <row r="655" spans="1:32" ht="12.75" customHeight="1">
      <c r="A655" s="300" t="str">
        <f>B621</f>
        <v>I</v>
      </c>
      <c r="B655" s="311" t="str">
        <f ca="1">IF($B627&lt;&gt;"",$B627,"")</f>
        <v/>
      </c>
      <c r="C655" s="312"/>
      <c r="D655" s="312"/>
      <c r="E655" s="312"/>
      <c r="F655" s="312"/>
      <c r="G655" s="313"/>
      <c r="H655" s="265"/>
      <c r="I655" s="265"/>
      <c r="J655" s="265"/>
      <c r="K655" s="265"/>
      <c r="L655" s="265" t="str">
        <f ca="1">IF($B648&lt;&gt;"",IF(AND($B648="Missing Player",$G659=2,$J659=2),0,IF(AND($B650="Missing Player",$G659=2,$J659=2),11,"")),"")</f>
        <v/>
      </c>
      <c r="M655" s="262" t="str">
        <f ca="1">IF(OR(AND($B655&lt;&gt;"",$B656&lt;&gt;"",$B655=$B656),AND($B657&lt;&gt;"",$B658&lt;&gt;"",$B657=$B658)),"Invalid Partner","")</f>
        <v/>
      </c>
      <c r="N655" s="263"/>
      <c r="O655" s="263"/>
      <c r="P655" s="264"/>
      <c r="Q655" s="138" t="str">
        <f ca="1">IF(L655=L657,IF(K655=K657,IF(J655&lt;&gt;"",IF(J655&gt;J657,"W","L"),""),IF(K655&gt;K657,"W","L")),IF(L655&gt;L657,"W","L"))</f>
        <v/>
      </c>
      <c r="S655" s="24"/>
      <c r="T655" s="26"/>
    </row>
    <row r="656" spans="1:32" ht="12.75" customHeight="1">
      <c r="A656" s="324"/>
      <c r="B656" s="308" t="str">
        <f ca="1">IF($B648="Missing Player",$B648,"")</f>
        <v/>
      </c>
      <c r="C656" s="309"/>
      <c r="D656" s="309"/>
      <c r="E656" s="309"/>
      <c r="F656" s="309"/>
      <c r="G656" s="310"/>
      <c r="H656" s="270"/>
      <c r="I656" s="270"/>
      <c r="J656" s="270"/>
      <c r="K656" s="270"/>
      <c r="L656" s="270"/>
      <c r="M656" s="262"/>
      <c r="N656" s="263"/>
      <c r="O656" s="263"/>
      <c r="P656" s="264"/>
      <c r="Q656" s="139" t="str">
        <f ca="1">IF($Q655&lt;&gt;"",IF($B658&lt;&gt;"Missing Player",IF($Q655="W",IF(SUM(IF($H655&gt;$H657,1,0),IF($I655&gt;$I657,1,0),IF($J655&gt;$J657,1,0),IF($K655&gt;$K657,1,0),IF($L655&gt;$L657,1,0))&lt;&gt;3,"Error",""),""),""),"")</f>
        <v/>
      </c>
      <c r="R656" s="328" t="str">
        <f>$A622</f>
        <v/>
      </c>
      <c r="S656" s="328"/>
      <c r="T656" s="328"/>
      <c r="U656" s="328"/>
      <c r="V656" s="328"/>
      <c r="W656" s="328"/>
      <c r="X656" s="256" t="str">
        <f>CONCATENATE("(",$B621," vs ",$K621,")")</f>
        <v>(I vs K)</v>
      </c>
      <c r="Y656" s="256"/>
      <c r="Z656" s="328" t="str">
        <f>$J622</f>
        <v/>
      </c>
      <c r="AA656" s="328"/>
      <c r="AB656" s="328"/>
      <c r="AC656" s="328"/>
      <c r="AD656" s="328"/>
      <c r="AE656" s="328"/>
      <c r="AF656" s="43"/>
    </row>
    <row r="657" spans="1:32" ht="12.75" customHeight="1">
      <c r="A657" s="325" t="str">
        <f>K621</f>
        <v>K</v>
      </c>
      <c r="B657" s="311" t="str">
        <f ca="1">IF($B629&lt;&gt;"",$B629,"")</f>
        <v/>
      </c>
      <c r="C657" s="312"/>
      <c r="D657" s="312"/>
      <c r="E657" s="312"/>
      <c r="F657" s="312"/>
      <c r="G657" s="313"/>
      <c r="H657" s="265"/>
      <c r="I657" s="265"/>
      <c r="J657" s="265"/>
      <c r="K657" s="265"/>
      <c r="L657" s="265" t="str">
        <f ca="1">IF($B650&lt;&gt;"",IF(AND($B650="Missing Player",$G659=2,$J659=2),0,IF(AND($B648="Missing Player",$G659=2,$J659=2),11,"")),"")</f>
        <v/>
      </c>
      <c r="M657" s="267" t="s">
        <v>1237</v>
      </c>
      <c r="N657" s="268"/>
      <c r="O657" s="268"/>
      <c r="P657" s="269"/>
      <c r="Q657" s="138" t="str">
        <f ca="1">IF(Q655&lt;&gt;"",IF(Q655="W","L","W"),"")</f>
        <v/>
      </c>
      <c r="R657" s="43"/>
      <c r="S657" s="43"/>
      <c r="T657" s="43"/>
      <c r="U657" s="43"/>
      <c r="V657" s="43"/>
      <c r="W657" s="43"/>
      <c r="X657" s="43"/>
      <c r="Y657" s="43"/>
      <c r="Z657" s="43"/>
      <c r="AA657" s="43"/>
      <c r="AB657" s="43"/>
      <c r="AC657" s="43"/>
      <c r="AD657" s="43"/>
      <c r="AE657" s="43"/>
      <c r="AF657" s="43"/>
    </row>
    <row r="658" spans="1:32" ht="12.75" customHeight="1">
      <c r="A658" s="324"/>
      <c r="B658" s="308" t="str">
        <f ca="1">IF($B650="Missing Player",$B650,"")</f>
        <v/>
      </c>
      <c r="C658" s="309"/>
      <c r="D658" s="309"/>
      <c r="E658" s="309"/>
      <c r="F658" s="309"/>
      <c r="G658" s="310"/>
      <c r="H658" s="270"/>
      <c r="I658" s="270"/>
      <c r="J658" s="266"/>
      <c r="K658" s="266"/>
      <c r="L658" s="266"/>
      <c r="M658" s="267"/>
      <c r="N658" s="268"/>
      <c r="O658" s="268"/>
      <c r="P658" s="269"/>
      <c r="Q658" s="139" t="str">
        <f ca="1">IF($Q657&lt;&gt;"",IF($B656&lt;&gt;"Missing Player",IF($Q657="W",IF(SUM(IF($H657&gt;$H655,1,0),IF($I657&gt;$I655,1,0),IF($J657&gt;$J655,1,0),IF($K657&gt;$K655,1,0),IF($L657&gt;$L655,1,0))&lt;&gt;3,"Error",""),""),""),"")</f>
        <v/>
      </c>
      <c r="R658" s="43" t="str">
        <f>A646</f>
        <v>4th Singles</v>
      </c>
      <c r="S658" s="43"/>
      <c r="T658" s="43"/>
      <c r="U658" s="43"/>
      <c r="V658" s="43"/>
      <c r="W658" s="43"/>
      <c r="X658" s="43"/>
      <c r="Y658" s="43"/>
      <c r="Z658" s="43"/>
      <c r="AA658" s="43"/>
      <c r="AB658" s="43"/>
      <c r="AC658" s="43"/>
      <c r="AD658" s="43"/>
      <c r="AE658" s="43"/>
      <c r="AF658" s="43"/>
    </row>
    <row r="659" spans="1:32" ht="12.75" customHeight="1">
      <c r="G659" s="66">
        <f ca="1">COUNTIF($Q627:$Q627,"W")+COUNTIF($Q634:$Q634,"W")+COUNTIF($Q641:$Q641,"W")+COUNTIF($Q648:$Q648,"W")</f>
        <v>0</v>
      </c>
      <c r="J659" s="66">
        <f ca="1">COUNTIF($Q629:$Q629,"W")+COUNTIF($Q636:$Q636,"W")+COUNTIF($Q643:$Q643,"W")+COUNTIF($Q650:$Q650,"W")</f>
        <v>0</v>
      </c>
      <c r="R659" s="60" t="s">
        <v>1228</v>
      </c>
      <c r="S659" s="339" t="s">
        <v>1126</v>
      </c>
      <c r="T659" s="340"/>
      <c r="U659" s="340"/>
      <c r="V659" s="340"/>
      <c r="W659" s="340"/>
      <c r="X659" s="341"/>
      <c r="Y659" s="60">
        <v>1</v>
      </c>
      <c r="Z659" s="60">
        <v>2</v>
      </c>
      <c r="AA659" s="60">
        <v>3</v>
      </c>
      <c r="AB659" s="60">
        <v>4</v>
      </c>
      <c r="AC659" s="60">
        <v>5</v>
      </c>
      <c r="AD659" s="342"/>
      <c r="AE659" s="343"/>
      <c r="AF659" s="344"/>
    </row>
    <row r="660" spans="1:32" ht="12.75" customHeight="1" thickBot="1">
      <c r="F660" s="246" t="s">
        <v>1238</v>
      </c>
      <c r="G660" s="246"/>
      <c r="H660" s="246"/>
      <c r="I660" s="246"/>
      <c r="J660" s="246"/>
      <c r="K660" s="246"/>
      <c r="R660" s="300" t="str">
        <f>B621</f>
        <v>I</v>
      </c>
      <c r="S660" s="331" t="str">
        <f ca="1">IF($B648&lt;&gt;"",$B648,"")</f>
        <v/>
      </c>
      <c r="T660" s="353"/>
      <c r="U660" s="353"/>
      <c r="V660" s="353"/>
      <c r="W660" s="353"/>
      <c r="X660" s="354"/>
      <c r="Y660" s="329"/>
      <c r="Z660" s="329"/>
      <c r="AA660" s="351"/>
      <c r="AB660" s="351"/>
      <c r="AC660" s="351"/>
      <c r="AD660" s="345"/>
      <c r="AE660" s="346"/>
      <c r="AF660" s="347"/>
    </row>
    <row r="661" spans="1:32" ht="12.75" customHeight="1">
      <c r="A661" s="22"/>
      <c r="B661" s="22"/>
      <c r="C661" s="22"/>
      <c r="D661" s="22"/>
      <c r="E661" s="22"/>
      <c r="G661" s="304" t="str">
        <f>B621</f>
        <v>I</v>
      </c>
      <c r="H661" s="305"/>
      <c r="I661" s="302" t="str">
        <f>K621</f>
        <v>K</v>
      </c>
      <c r="J661" s="303"/>
      <c r="L661" s="22"/>
      <c r="M661" s="22"/>
      <c r="N661" s="22"/>
      <c r="O661" s="22"/>
      <c r="P661" s="22"/>
      <c r="R661" s="301"/>
      <c r="S661" s="355"/>
      <c r="T661" s="356"/>
      <c r="U661" s="356"/>
      <c r="V661" s="356"/>
      <c r="W661" s="356"/>
      <c r="X661" s="357"/>
      <c r="Y661" s="338"/>
      <c r="Z661" s="338"/>
      <c r="AA661" s="352"/>
      <c r="AB661" s="352"/>
      <c r="AC661" s="352"/>
      <c r="AD661" s="348"/>
      <c r="AE661" s="349"/>
      <c r="AF661" s="350"/>
    </row>
    <row r="662" spans="1:32" ht="12.75" customHeight="1" thickBot="1">
      <c r="A662" s="2" t="s">
        <v>1228</v>
      </c>
      <c r="B662" s="53" t="str">
        <f>B621</f>
        <v>I</v>
      </c>
      <c r="C662" s="3" t="s">
        <v>1226</v>
      </c>
      <c r="F662" s="66" t="str">
        <f>CONCATENATE($B621,"-",$K621)</f>
        <v>I-K</v>
      </c>
      <c r="G662" s="320" t="str">
        <f ca="1">IF(OR(Q627&lt;&gt;"",Q634&lt;&gt;"",Q641&lt;&gt;"",Q648&lt;&gt;"",Q655&lt;&gt;""),COUNTIF(Q627:Q627,"W")+COUNTIF(Q634:Q634,"W")+COUNTIF(Q641:Q641,"W")+COUNTIF(Q648:Q648,"W")+COUNTIF(Q655:Q655,"W"),"")</f>
        <v/>
      </c>
      <c r="H662" s="321"/>
      <c r="I662" s="322" t="str">
        <f ca="1">IF(OR(Q629&lt;&gt;"",Q636&lt;&gt;"",Q643&lt;&gt;"",Q650&lt;&gt;"",Q657&lt;&gt;""),COUNTIF(Q629:Q629,"W")+COUNTIF(Q636:Q636,"W")+COUNTIF(Q643:Q643,"W")+COUNTIF(Q650:Q650,"W")+COUNTIF(Q657:Q657,"W"),"")</f>
        <v/>
      </c>
      <c r="J662" s="323"/>
      <c r="L662" s="2" t="s">
        <v>1228</v>
      </c>
      <c r="M662" s="53" t="str">
        <f>K621</f>
        <v>K</v>
      </c>
      <c r="N662" s="3" t="s">
        <v>1226</v>
      </c>
      <c r="R662" s="300" t="str">
        <f>K621</f>
        <v>K</v>
      </c>
      <c r="S662" s="331" t="str">
        <f ca="1">IF($B650&lt;&gt;"",$B650,"")</f>
        <v/>
      </c>
      <c r="T662" s="332"/>
      <c r="U662" s="332"/>
      <c r="V662" s="332"/>
      <c r="W662" s="332"/>
      <c r="X662" s="333"/>
      <c r="Y662" s="329"/>
      <c r="Z662" s="329"/>
      <c r="AA662" s="351"/>
      <c r="AB662" s="351"/>
      <c r="AC662" s="351"/>
      <c r="AD662" s="363" t="s">
        <v>1237</v>
      </c>
      <c r="AE662" s="358"/>
      <c r="AF662" s="359"/>
    </row>
    <row r="663" spans="1:32" ht="12.75" customHeight="1">
      <c r="F663" s="25" t="s">
        <v>3996</v>
      </c>
      <c r="G663" s="23"/>
      <c r="H663" s="23"/>
      <c r="I663" s="23"/>
      <c r="J663" s="23"/>
      <c r="K663" s="24"/>
      <c r="R663" s="330"/>
      <c r="S663" s="334"/>
      <c r="T663" s="335"/>
      <c r="U663" s="335"/>
      <c r="V663" s="335"/>
      <c r="W663" s="335"/>
      <c r="X663" s="336"/>
      <c r="Y663" s="330"/>
      <c r="Z663" s="330"/>
      <c r="AA663" s="330"/>
      <c r="AB663" s="330"/>
      <c r="AC663" s="330"/>
      <c r="AD663" s="360"/>
      <c r="AE663" s="361"/>
      <c r="AF663" s="362"/>
    </row>
    <row r="664" spans="1:32" ht="12.75" customHeight="1">
      <c r="R664" s="1"/>
      <c r="S664" s="110"/>
      <c r="T664" s="110"/>
      <c r="U664" s="110"/>
      <c r="V664" s="110"/>
      <c r="W664" s="110"/>
      <c r="X664" s="111"/>
      <c r="Y664" s="111"/>
      <c r="Z664" s="111"/>
      <c r="AA664" s="111"/>
    </row>
    <row r="665" spans="1:32" ht="12.75" customHeight="1">
      <c r="F665" s="246" t="s">
        <v>4929</v>
      </c>
      <c r="G665" s="246"/>
      <c r="H665" s="246"/>
      <c r="I665" s="246"/>
      <c r="R665" s="1"/>
      <c r="S665" s="110"/>
      <c r="T665" s="110"/>
      <c r="U665" s="110"/>
      <c r="V665" s="110"/>
      <c r="W665" s="110"/>
      <c r="X665" s="111"/>
      <c r="Y665" s="111"/>
      <c r="Z665" s="111"/>
      <c r="AA665" s="111"/>
    </row>
    <row r="666" spans="1:32" ht="12.75" customHeight="1">
      <c r="F666" s="246" t="s">
        <v>4930</v>
      </c>
      <c r="G666" s="246"/>
      <c r="H666" s="246"/>
      <c r="I666" s="246"/>
      <c r="R666" s="1"/>
      <c r="S666" s="110"/>
      <c r="T666" s="110"/>
      <c r="U666" s="110"/>
      <c r="V666" s="110"/>
      <c r="W666" s="110"/>
      <c r="X666" s="111"/>
      <c r="Y666" s="111"/>
      <c r="Z666" s="111"/>
      <c r="AA666" s="111"/>
    </row>
    <row r="667" spans="1:32" ht="12.75" customHeight="1">
      <c r="K667" s="281" t="s">
        <v>1244</v>
      </c>
      <c r="L667" s="281"/>
      <c r="M667" s="281"/>
      <c r="N667" s="281"/>
      <c r="O667" s="281"/>
      <c r="P667" s="281"/>
      <c r="R667" s="1"/>
      <c r="S667" s="110"/>
      <c r="T667" s="110"/>
      <c r="U667" s="110"/>
      <c r="V667" s="110"/>
      <c r="W667" s="110"/>
      <c r="X667" s="111"/>
      <c r="Y667" s="111"/>
      <c r="Z667" s="111"/>
      <c r="AA667" s="111"/>
    </row>
    <row r="668" spans="1:32" ht="12.75" customHeight="1">
      <c r="A668" s="12" t="s">
        <v>1229</v>
      </c>
      <c r="B668" s="11"/>
      <c r="C668" s="11"/>
      <c r="D668" s="11" t="str">
        <f>Draw!$B$1</f>
        <v>Enter Division Name</v>
      </c>
      <c r="E668" s="11"/>
      <c r="F668" s="7"/>
      <c r="G668" s="6"/>
      <c r="H668" s="7"/>
      <c r="I668" s="11"/>
      <c r="J668" s="11"/>
      <c r="K668" s="11"/>
      <c r="L668" s="11"/>
      <c r="M668" s="281"/>
      <c r="N668" s="281"/>
      <c r="O668" s="281"/>
      <c r="P668" s="281"/>
      <c r="R668" s="1"/>
      <c r="S668" s="110"/>
      <c r="T668" s="110"/>
      <c r="U668" s="110"/>
      <c r="V668" s="110"/>
      <c r="W668" s="110"/>
      <c r="X668" s="111"/>
      <c r="Y668" s="111"/>
      <c r="Z668" s="111"/>
      <c r="AA668" s="111"/>
    </row>
    <row r="669" spans="1:32" ht="12.75" customHeight="1">
      <c r="A669" s="2" t="s">
        <v>1230</v>
      </c>
      <c r="D669" s="43" t="str">
        <f>Draw!$D$1</f>
        <v>Enter Hosting Location (City, ST)</v>
      </c>
      <c r="J669" s="43" t="str">
        <f ca="1">$J$6</f>
        <v>[NCTTA Teams Template (v2.06).xlsx]</v>
      </c>
      <c r="R669" s="1"/>
      <c r="S669" s="110"/>
      <c r="T669" s="110"/>
      <c r="U669" s="110"/>
      <c r="V669" s="110"/>
      <c r="W669" s="110"/>
      <c r="X669" s="111"/>
      <c r="Y669" s="111"/>
      <c r="Z669" s="111"/>
      <c r="AA669" s="111"/>
    </row>
    <row r="670" spans="1:32" ht="12.75" customHeight="1">
      <c r="A670" s="2" t="s">
        <v>1231</v>
      </c>
      <c r="D670" s="337" t="str">
        <f>Draw!$P$1</f>
        <v>Enter Date</v>
      </c>
      <c r="E670" s="337"/>
      <c r="F670" s="337"/>
      <c r="G670" s="337"/>
      <c r="J670" s="280" t="str">
        <f>CHOOSE(Draw!$T$1,"Round 3, Match 2","Round 5, Match 2","Round 1, Match 6","","","Round 5, Match 2","Round 5, Match 2","Round 4, Match 2","Round 4, Match 2","Round 3, Match 4","Round 3, Match 4")</f>
        <v>Round 1, Match 6</v>
      </c>
      <c r="K670" s="280"/>
      <c r="L670" s="280"/>
      <c r="M670" s="276" t="str">
        <f>IF(AND($J670&lt;&gt;"",Draw!$AC$10&lt;&gt;"",Draw!$AC$13&lt;&gt;""),Draw!$AC$10+TIME(0,VALUE(MID($J670,7,FIND(",",$J670)-FIND(" ",$J670)-1)-1)*Draw!$AC$13,0),"")</f>
        <v/>
      </c>
      <c r="N670" s="276"/>
      <c r="O670" s="157" t="str">
        <f>$F713</f>
        <v>J-L</v>
      </c>
      <c r="R670" s="1"/>
      <c r="S670" s="110"/>
      <c r="T670" s="110"/>
      <c r="U670" s="110"/>
      <c r="V670" s="110"/>
      <c r="W670" s="110"/>
      <c r="X670" s="111"/>
      <c r="Y670" s="111"/>
      <c r="Z670" s="111"/>
      <c r="AA670" s="111"/>
    </row>
    <row r="671" spans="1:32" ht="12.75" customHeight="1">
      <c r="A671" s="14"/>
      <c r="B671" s="15"/>
      <c r="C671" s="15"/>
      <c r="D671" s="15"/>
      <c r="E671" s="15"/>
      <c r="F671" s="14"/>
      <c r="G671" s="14"/>
      <c r="H671" s="16"/>
      <c r="I671" s="14"/>
      <c r="J671" s="15"/>
      <c r="K671" s="15"/>
      <c r="L671" s="15"/>
      <c r="M671" s="15"/>
      <c r="N671" s="15"/>
      <c r="O671" s="364" t="str">
        <f>IF(OR(AND(VLOOKUP($B672,$AM$1:$AX$12,12,FALSE)="C",VLOOKUP($K672,$AM$1:$AX$12,12,FALSE)="C"),AND(VLOOKUP($B672,$AM$1:$AX$12,12,FALSE)="W",VLOOKUP($K672,$AM$1:$AX$12,12,FALSE)="W")),"Official",IF(AND($A673="",$J673=""),"","Scrimmage"))</f>
        <v/>
      </c>
      <c r="P671" s="364"/>
      <c r="R671" s="1"/>
      <c r="S671" s="110"/>
      <c r="T671" s="110"/>
      <c r="U671" s="110"/>
      <c r="V671" s="110"/>
      <c r="W671" s="110"/>
      <c r="X671" s="111"/>
      <c r="Y671" s="111"/>
      <c r="Z671" s="111"/>
      <c r="AA671" s="111"/>
    </row>
    <row r="672" spans="1:32" ht="12.75" customHeight="1">
      <c r="A672" s="17" t="s">
        <v>1228</v>
      </c>
      <c r="B672" s="119" t="str">
        <f>CHOOSE(Draw!$T$1,"I","D","J","A","A","D","B","C","E","B","C")</f>
        <v>J</v>
      </c>
      <c r="C672" s="135">
        <f>VLOOKUP($B672,$AM$1:$AN$12,2)</f>
        <v>10</v>
      </c>
      <c r="D672" s="13"/>
      <c r="E672" s="13"/>
      <c r="F672" s="10"/>
      <c r="H672" s="19" t="s">
        <v>1232</v>
      </c>
      <c r="J672" s="17" t="s">
        <v>1228</v>
      </c>
      <c r="K672" s="119" t="str">
        <f>CHOOSE(Draw!$T$1,"K","F","L","E","I","F","D","E","G","E","F")</f>
        <v>L</v>
      </c>
      <c r="L672" s="135">
        <f>VLOOKUP($K672,$AM$1:$AN$12,2)</f>
        <v>12</v>
      </c>
      <c r="M672" s="13"/>
      <c r="N672" s="13"/>
      <c r="O672" s="18"/>
      <c r="P672" s="274"/>
      <c r="Q672" s="275"/>
      <c r="R672" s="1"/>
      <c r="S672" s="110"/>
      <c r="T672" s="110"/>
      <c r="U672" s="110"/>
      <c r="V672" s="110"/>
      <c r="W672" s="110"/>
      <c r="X672" s="111"/>
      <c r="Y672" s="111"/>
      <c r="Z672" s="111"/>
      <c r="AA672" s="111"/>
    </row>
    <row r="673" spans="1:32" ht="12.75" customHeight="1">
      <c r="A673" s="277" t="str">
        <f>IF(VLOOKUP($B672,Draw!$A$4:$B$27,2)&lt;&gt;0,VLOOKUP($B672,Draw!$A$4:$B$27,2),"")</f>
        <v/>
      </c>
      <c r="B673" s="278"/>
      <c r="C673" s="278"/>
      <c r="D673" s="278"/>
      <c r="E673" s="278"/>
      <c r="F673" s="279"/>
      <c r="G673" s="306" t="s">
        <v>4165</v>
      </c>
      <c r="H673" s="289"/>
      <c r="I673" s="307"/>
      <c r="J673" s="277" t="str">
        <f>IF(VLOOKUP($K672,Draw!$A$4:$B$27,2)&lt;&gt;0,VLOOKUP($K672,Draw!$A$4:$B$27,2),"")</f>
        <v/>
      </c>
      <c r="K673" s="278"/>
      <c r="L673" s="278"/>
      <c r="M673" s="278"/>
      <c r="N673" s="278"/>
      <c r="O673" s="279"/>
      <c r="P673" s="15"/>
      <c r="R673" s="1"/>
      <c r="S673" s="110"/>
      <c r="T673" s="110"/>
      <c r="U673" s="110"/>
      <c r="V673" s="110"/>
      <c r="W673" s="110"/>
      <c r="X673" s="111"/>
      <c r="Y673" s="111"/>
      <c r="Z673" s="111"/>
      <c r="AA673" s="111"/>
    </row>
    <row r="674" spans="1:32" ht="12.75" customHeight="1">
      <c r="A674" s="14"/>
      <c r="B674" s="15"/>
      <c r="C674" s="15"/>
      <c r="D674" s="15"/>
      <c r="E674" s="15"/>
      <c r="F674" s="14"/>
      <c r="G674" s="288" t="str">
        <f>"Page "&amp;VALUE(RIGHT($G673,LEN($G673)-SEARCH("-",$G673)))/2</f>
        <v>Page 14</v>
      </c>
      <c r="H674" s="289"/>
      <c r="I674" s="289"/>
      <c r="J674" s="15"/>
      <c r="K674" s="15"/>
      <c r="L674" s="15"/>
      <c r="M674" s="15"/>
      <c r="N674" s="15"/>
      <c r="O674" s="15"/>
      <c r="P674" s="15"/>
      <c r="R674" s="1"/>
      <c r="S674" s="110"/>
      <c r="T674" s="110"/>
      <c r="U674" s="110"/>
      <c r="V674" s="110"/>
      <c r="W674" s="110"/>
      <c r="X674" s="111"/>
      <c r="Y674" s="111"/>
      <c r="Z674" s="111"/>
      <c r="AA674" s="111"/>
      <c r="AF674" s="27"/>
    </row>
    <row r="675" spans="1:32" ht="12.75" customHeight="1">
      <c r="A675" s="327" t="s">
        <v>1245</v>
      </c>
      <c r="B675" s="327"/>
      <c r="C675" s="327"/>
      <c r="D675" s="327"/>
      <c r="E675" s="327"/>
      <c r="F675" s="327"/>
      <c r="G675" s="327"/>
      <c r="H675" s="327"/>
      <c r="I675" s="327"/>
      <c r="J675" s="327"/>
      <c r="K675" s="327"/>
      <c r="L675" s="327"/>
      <c r="M675" s="327"/>
      <c r="N675" s="327"/>
      <c r="O675" s="327"/>
      <c r="P675" s="327"/>
      <c r="Q675" s="7"/>
      <c r="R675" s="1"/>
      <c r="S675" s="110"/>
      <c r="T675" s="110"/>
      <c r="U675" s="110"/>
      <c r="V675" s="110"/>
      <c r="W675" s="110"/>
      <c r="X675" s="111"/>
      <c r="Y675" s="111"/>
      <c r="Z675" s="111"/>
      <c r="AA675" s="111"/>
      <c r="AF675" s="20"/>
    </row>
    <row r="676" spans="1:32" ht="12.75" customHeight="1">
      <c r="A676" s="21" t="s">
        <v>1233</v>
      </c>
      <c r="H676" s="136" t="str">
        <f>IF($Q678&lt;&gt;"",IF(AND(AND($H678&gt;-1,$H680&gt;-1),OR($H678&gt;10,$H680&gt;10),ABS($H678-$H680)&gt;1,IF(OR($H678&gt;11,$H680&gt;11),ABS($H678-$H680)=2,TRUE),$H678=INT($H678),$H680=INT($H680)),"","Error"),"")</f>
        <v/>
      </c>
      <c r="I676" s="136" t="str">
        <f>IF($Q678&lt;&gt;"",IF(AND(AND($I678&gt;-1,$I680&gt;-1),OR($I678&gt;10,$I680&gt;10),ABS($I678-$I680)&gt;1,IF(OR($I678&gt;11,$I680&gt;11),ABS($I678-$I680)=2,TRUE),$I678=INT($I678),$I680=INT($I680)),"","Error"),"")</f>
        <v/>
      </c>
      <c r="J676" s="136" t="str">
        <f>IF($Q678&lt;&gt;"",IF(AND(AND($J678&gt;-1,$J680&gt;-1),OR($J678&gt;10,$J680&gt;10),ABS($J678-$J680)&gt;1,IF(OR($J678&gt;11,$J680&gt;11),ABS($J678-$J680)=2,TRUE),$J678=INT($J678),$J680=INT($J680)),"","Error"),"")</f>
        <v/>
      </c>
      <c r="K676" s="136" t="str">
        <f>IF($Q678&lt;&gt;"",IF(AND($K678&lt;&gt;"",$K680&lt;&gt;""), IF(AND(AND($K678&gt;-1,$K680&gt;-1),OR($K678&gt;10,$K680&gt;10),ABS($K678-$K680)&gt;1,IF(OR($K678&gt;11,$K680&gt;11),ABS($K678-$K680)=2,TRUE),$K678=INT($K678),$K680=INT($K680)),"","Error"),""),"")</f>
        <v/>
      </c>
      <c r="L676" s="136" t="str">
        <f>IF($Q678&lt;&gt;"",IF(AND($L678&lt;&gt;"",$L680&lt;&gt;""), IF(AND(AND($L678&gt;-1,$L680&gt;-1),OR($L678&gt;10,$L680&gt;10),ABS($L678-$L680)&gt;1,IF(OR($L678&gt;11,$L680&gt;11),ABS($L678-$L680)=2,TRUE),$L678=INT($L678),$L680=INT($L680)),"","Error"),""),"")</f>
        <v/>
      </c>
      <c r="R676" s="1"/>
      <c r="S676" s="110"/>
      <c r="T676" s="110"/>
      <c r="U676" s="110"/>
      <c r="V676" s="110"/>
      <c r="W676" s="110"/>
      <c r="X676" s="111"/>
      <c r="Y676" s="111"/>
      <c r="Z676" s="111"/>
      <c r="AA676" s="111"/>
    </row>
    <row r="677" spans="1:32" ht="12.75" customHeight="1">
      <c r="A677" s="5" t="s">
        <v>1228</v>
      </c>
      <c r="B677" s="290" t="s">
        <v>1126</v>
      </c>
      <c r="C677" s="291"/>
      <c r="D677" s="291"/>
      <c r="E677" s="291"/>
      <c r="F677" s="291"/>
      <c r="G677" s="292"/>
      <c r="H677" s="5">
        <v>1</v>
      </c>
      <c r="I677" s="5">
        <v>2</v>
      </c>
      <c r="J677" s="5">
        <v>3</v>
      </c>
      <c r="K677" s="5">
        <v>4</v>
      </c>
      <c r="L677" s="5">
        <v>5</v>
      </c>
      <c r="M677" s="271"/>
      <c r="N677" s="272"/>
      <c r="O677" s="272"/>
      <c r="P677" s="273"/>
      <c r="R677" s="1"/>
      <c r="S677" s="110"/>
      <c r="T677" s="110"/>
      <c r="U677" s="110"/>
      <c r="V677" s="110"/>
      <c r="W677" s="110"/>
      <c r="X677" s="111"/>
      <c r="Y677" s="111"/>
      <c r="Z677" s="111"/>
      <c r="AA677" s="111"/>
    </row>
    <row r="678" spans="1:32" ht="12.75" customHeight="1">
      <c r="A678" s="300" t="str">
        <f>B672</f>
        <v>J</v>
      </c>
      <c r="B678" s="293" t="str">
        <f ca="1">IF(AND(OFFSET($AO$1,$C672-1,8,1,1),$A673&lt;&gt;"",$J673&lt;&gt;""),CHOOSE($C672,$AO$1,$AO$2,$AO$3,$AO$4,$AO$5,$AO$6,$AO$7,$AO$8,$AO$9,$AO$10,$AO$11,$AO$12),"")</f>
        <v/>
      </c>
      <c r="C678" s="294"/>
      <c r="D678" s="294"/>
      <c r="E678" s="294"/>
      <c r="F678" s="294"/>
      <c r="G678" s="294"/>
      <c r="H678" s="265"/>
      <c r="I678" s="265"/>
      <c r="J678" s="265"/>
      <c r="K678" s="265"/>
      <c r="L678" s="265"/>
      <c r="M678" s="297"/>
      <c r="N678" s="298"/>
      <c r="O678" s="298"/>
      <c r="P678" s="299"/>
      <c r="Q678" s="137" t="str">
        <f>IF($L678=$L680,IF($K678=$K680,IF($J678&lt;&gt;"",IF($J678&gt;$J680,"W","L"),""),IF($K678&gt;$K680,"W","L")),IF($L678&gt;$L680,"W","L"))</f>
        <v/>
      </c>
      <c r="R678" s="1"/>
      <c r="S678" s="110"/>
      <c r="T678" s="110"/>
      <c r="U678" s="110"/>
      <c r="V678" s="110"/>
      <c r="W678" s="110"/>
      <c r="X678" s="111"/>
      <c r="Y678" s="111"/>
      <c r="Z678" s="111"/>
      <c r="AA678" s="111"/>
    </row>
    <row r="679" spans="1:32" ht="12.75" customHeight="1">
      <c r="A679" s="301"/>
      <c r="B679" s="295"/>
      <c r="C679" s="296"/>
      <c r="D679" s="296"/>
      <c r="E679" s="296"/>
      <c r="F679" s="296"/>
      <c r="G679" s="296"/>
      <c r="H679" s="270"/>
      <c r="I679" s="270"/>
      <c r="J679" s="270"/>
      <c r="K679" s="270"/>
      <c r="L679" s="270"/>
      <c r="M679" s="297"/>
      <c r="N679" s="298"/>
      <c r="O679" s="298"/>
      <c r="P679" s="299"/>
      <c r="Q679" s="139" t="str">
        <f>IF($Q678&lt;&gt;"",IF($Q678="W",IF(SUM(IF($H678&gt;$H680,1,0),IF($I678&gt;$I680,1,0),IF($J678&gt;$J680,1,0),IF($K678&gt;$K680,1,0),IF($L678&gt;$L680,1,0))&lt;&gt;3,"Error",""),""),"")</f>
        <v/>
      </c>
      <c r="R679" s="328" t="str">
        <f>$A673</f>
        <v/>
      </c>
      <c r="S679" s="328"/>
      <c r="T679" s="328"/>
      <c r="U679" s="328"/>
      <c r="V679" s="328"/>
      <c r="W679" s="328"/>
      <c r="X679" s="256" t="str">
        <f>CONCATENATE("(",$B672," vs ",$K672,")")</f>
        <v>(J vs L)</v>
      </c>
      <c r="Y679" s="256"/>
      <c r="Z679" s="328" t="str">
        <f>$J673</f>
        <v/>
      </c>
      <c r="AA679" s="328"/>
      <c r="AB679" s="328"/>
      <c r="AC679" s="328"/>
      <c r="AD679" s="328"/>
      <c r="AE679" s="328"/>
      <c r="AF679" s="43"/>
    </row>
    <row r="680" spans="1:32" ht="12.75" customHeight="1">
      <c r="A680" s="300" t="str">
        <f>K672</f>
        <v>L</v>
      </c>
      <c r="B680" s="293" t="str">
        <f ca="1">IF(AND(OFFSET($AO$1,$L672-1,8,1,1),$A673&lt;&gt;"",$J673&lt;&gt;""),CHOOSE($L672,$AO$1,$AO$2,$AO$3,$AO$4,$AO$5,$AO$6,$AO$7,$AO$8,$AO$9,$AO$10,$AO$11,$AO$12),"")</f>
        <v/>
      </c>
      <c r="C680" s="294"/>
      <c r="D680" s="294"/>
      <c r="E680" s="294"/>
      <c r="F680" s="294"/>
      <c r="G680" s="294"/>
      <c r="H680" s="265"/>
      <c r="I680" s="265"/>
      <c r="J680" s="265"/>
      <c r="K680" s="265"/>
      <c r="L680" s="265"/>
      <c r="M680" s="267" t="s">
        <v>1237</v>
      </c>
      <c r="N680" s="268"/>
      <c r="O680" s="268"/>
      <c r="P680" s="269"/>
      <c r="Q680" s="137" t="str">
        <f>IF($Q678&lt;&gt;"",IF($Q678="W","L","W"),"")</f>
        <v/>
      </c>
      <c r="R680" s="43"/>
      <c r="S680" s="43"/>
      <c r="T680" s="43"/>
      <c r="U680" s="43"/>
      <c r="V680" s="43"/>
      <c r="W680" s="43"/>
      <c r="X680" s="43"/>
      <c r="Y680" s="43"/>
      <c r="Z680" s="43"/>
      <c r="AA680" s="43"/>
      <c r="AB680" s="43"/>
      <c r="AC680" s="43"/>
      <c r="AD680" s="43"/>
      <c r="AE680" s="43"/>
      <c r="AF680" s="43"/>
    </row>
    <row r="681" spans="1:32" ht="12.75" customHeight="1">
      <c r="A681" s="301"/>
      <c r="B681" s="295"/>
      <c r="C681" s="296"/>
      <c r="D681" s="296"/>
      <c r="E681" s="296"/>
      <c r="F681" s="296"/>
      <c r="G681" s="296"/>
      <c r="H681" s="270"/>
      <c r="I681" s="270"/>
      <c r="J681" s="266"/>
      <c r="K681" s="266"/>
      <c r="L681" s="266"/>
      <c r="M681" s="267"/>
      <c r="N681" s="268"/>
      <c r="O681" s="268"/>
      <c r="P681" s="269"/>
      <c r="Q681" s="139" t="str">
        <f>IF($Q680&lt;&gt;"",IF($Q680="W",IF(SUM(IF($H680&gt;$H678,1,0),IF($I680&gt;$I678,1,0),IF($J680&gt;$J678,1,0),IF($K680&gt;$K678,1,0),IF($L680&gt;$L678,1,0))&lt;&gt;3,"Error",""),""),"")</f>
        <v/>
      </c>
      <c r="R681" s="43" t="str">
        <f>$A683</f>
        <v>2nd Singles</v>
      </c>
      <c r="S681" s="43"/>
      <c r="T681" s="43"/>
      <c r="U681" s="43"/>
      <c r="V681" s="43"/>
      <c r="W681" s="43"/>
      <c r="X681" s="43"/>
      <c r="Y681" s="43"/>
      <c r="Z681" s="43"/>
      <c r="AA681" s="43"/>
      <c r="AB681" s="43"/>
      <c r="AC681" s="43"/>
      <c r="AD681" s="43"/>
      <c r="AE681" s="43"/>
      <c r="AF681" s="43"/>
    </row>
    <row r="682" spans="1:32" ht="12.75" customHeight="1">
      <c r="Q682" s="7"/>
      <c r="R682" s="60" t="s">
        <v>1228</v>
      </c>
      <c r="S682" s="339" t="s">
        <v>1126</v>
      </c>
      <c r="T682" s="340"/>
      <c r="U682" s="340"/>
      <c r="V682" s="340"/>
      <c r="W682" s="340"/>
      <c r="X682" s="341"/>
      <c r="Y682" s="60">
        <v>1</v>
      </c>
      <c r="Z682" s="60">
        <v>2</v>
      </c>
      <c r="AA682" s="60">
        <v>3</v>
      </c>
      <c r="AB682" s="60">
        <v>4</v>
      </c>
      <c r="AC682" s="60">
        <v>5</v>
      </c>
      <c r="AD682" s="342"/>
      <c r="AE682" s="343"/>
      <c r="AF682" s="344"/>
    </row>
    <row r="683" spans="1:32" ht="12.75" customHeight="1">
      <c r="A683" s="21" t="s">
        <v>1234</v>
      </c>
      <c r="H683" s="136" t="str">
        <f>IF($Q685&lt;&gt;"",IF(AND(AND($H685&gt;-1,$H687&gt;-1),OR($H685&gt;10,$H687&gt;10),ABS($H685-$H687)&gt;1,IF(OR($H685&gt;11,$H687&gt;11),ABS($H685-$H687)=2,TRUE),$H685=INT($H685),$H687=INT($H687)),"","Error"),"")</f>
        <v/>
      </c>
      <c r="I683" s="136" t="str">
        <f>IF($Q685&lt;&gt;"",IF(AND(AND($I685&gt;-1,$I687&gt;-1),OR($I685&gt;10,$I687&gt;10),ABS($I685-$I687)&gt;1,IF(OR($I685&gt;11,$I687&gt;11),ABS($I685-$I687)=2,TRUE),$I685=INT($I685),$I687=INT($I687)),"","Error"),"")</f>
        <v/>
      </c>
      <c r="J683" s="136" t="str">
        <f>IF($Q685&lt;&gt;"",IF(AND(AND($J685&gt;-1,$J687&gt;-1),OR($J685&gt;10,$J687&gt;10),ABS($J685-$J687)&gt;1,IF(OR($J685&gt;11,$J687&gt;11),ABS($J685-$J687)=2,TRUE),$J685=INT($J685),$J687=INT($J687)),"","Error"),"")</f>
        <v/>
      </c>
      <c r="K683" s="136" t="str">
        <f>IF($Q685&lt;&gt;"",IF(AND($K685&lt;&gt;"",$K687&lt;&gt;""), IF(AND(AND($K685&gt;-1,$K687&gt;-1),OR($K685&gt;10,$K687&gt;10),ABS($K685-$K687)&gt;1,IF(OR($K685&gt;11,$K687&gt;11),ABS($K685-$K687)=2,TRUE),$K685=INT($K685),$K687=INT($K687)),"","Error"),""),"")</f>
        <v/>
      </c>
      <c r="L683" s="136" t="str">
        <f>IF($Q685&lt;&gt;"",IF(AND($L685&lt;&gt;"",$L687&lt;&gt;""), IF(AND(AND($L685&gt;-1,$L687&gt;-1),OR($L685&gt;10,$L687&gt;10),ABS($L685-$L687)&gt;1,IF(OR($L685&gt;11,$L687&gt;11),ABS($L685-$L687)=2,TRUE),$L685=INT($L685),$L687=INT($L687)),"","Error"),""),"")</f>
        <v/>
      </c>
      <c r="Q683" s="7"/>
      <c r="R683" s="300" t="str">
        <f>$B672</f>
        <v>J</v>
      </c>
      <c r="S683" s="331" t="str">
        <f ca="1">IF($B685&lt;&gt;"",$B685,"")</f>
        <v/>
      </c>
      <c r="T683" s="332"/>
      <c r="U683" s="332"/>
      <c r="V683" s="332"/>
      <c r="W683" s="332"/>
      <c r="X683" s="333"/>
      <c r="Y683" s="329"/>
      <c r="Z683" s="329"/>
      <c r="AA683" s="329"/>
      <c r="AB683" s="329"/>
      <c r="AC683" s="329"/>
      <c r="AD683" s="345"/>
      <c r="AE683" s="358"/>
      <c r="AF683" s="359"/>
    </row>
    <row r="684" spans="1:32" ht="12.75" customHeight="1">
      <c r="A684" s="5" t="s">
        <v>1228</v>
      </c>
      <c r="B684" s="290" t="s">
        <v>1126</v>
      </c>
      <c r="C684" s="291"/>
      <c r="D684" s="291"/>
      <c r="E684" s="291"/>
      <c r="F684" s="291"/>
      <c r="G684" s="292"/>
      <c r="H684" s="5">
        <v>1</v>
      </c>
      <c r="I684" s="5">
        <v>2</v>
      </c>
      <c r="J684" s="5">
        <v>3</v>
      </c>
      <c r="K684" s="5">
        <v>4</v>
      </c>
      <c r="L684" s="5">
        <v>5</v>
      </c>
      <c r="M684" s="271"/>
      <c r="N684" s="272"/>
      <c r="O684" s="272"/>
      <c r="P684" s="273"/>
      <c r="Q684" s="7"/>
      <c r="R684" s="330"/>
      <c r="S684" s="334"/>
      <c r="T684" s="335"/>
      <c r="U684" s="335"/>
      <c r="V684" s="335"/>
      <c r="W684" s="335"/>
      <c r="X684" s="336"/>
      <c r="Y684" s="330"/>
      <c r="Z684" s="330"/>
      <c r="AA684" s="330"/>
      <c r="AB684" s="330"/>
      <c r="AC684" s="330"/>
      <c r="AD684" s="360"/>
      <c r="AE684" s="361"/>
      <c r="AF684" s="362"/>
    </row>
    <row r="685" spans="1:32" ht="12.75" customHeight="1">
      <c r="A685" s="300" t="str">
        <f>B672</f>
        <v>J</v>
      </c>
      <c r="B685" s="293" t="str">
        <f ca="1">IF(AND(OFFSET($AO$1,$C672-1,8,1,1),$A673&lt;&gt;"",$J673&lt;&gt;""),CHOOSE($C672,$AP$1,$AP$2,$AP$3,$AP$4,$AP$5,$AP$6,$AP$7,$AP$8,$AP$9,$AP$10,$AP$11,$AP$12),"")</f>
        <v/>
      </c>
      <c r="C685" s="294"/>
      <c r="D685" s="294"/>
      <c r="E685" s="294"/>
      <c r="F685" s="294"/>
      <c r="G685" s="294"/>
      <c r="H685" s="265"/>
      <c r="I685" s="265"/>
      <c r="J685" s="265"/>
      <c r="K685" s="265"/>
      <c r="L685" s="265"/>
      <c r="M685" s="262" t="str">
        <f ca="1">IF(OR(AND($B678&lt;&gt;"",$B685&lt;&gt;"",$C703&lt;=$B703),AND($B680&lt;&gt;"",$B687&lt;&gt;"",$G703&lt;=$F703)),"Invalid Lineup","")</f>
        <v/>
      </c>
      <c r="N685" s="263"/>
      <c r="O685" s="263"/>
      <c r="P685" s="264"/>
      <c r="Q685" s="137" t="str">
        <f>IF($L685=$L687,IF($K685=$K687,IF($J685&lt;&gt;"",IF($J685&gt;$J687,"W","L"),""),IF($K685&gt;$K687,"W","L")),IF($L685&gt;$L687,"W","L"))</f>
        <v/>
      </c>
      <c r="R685" s="300" t="str">
        <f>$K672</f>
        <v>L</v>
      </c>
      <c r="S685" s="331" t="str">
        <f ca="1">IF($B687&lt;&gt;"",$B687,"")</f>
        <v/>
      </c>
      <c r="T685" s="332"/>
      <c r="U685" s="332"/>
      <c r="V685" s="332"/>
      <c r="W685" s="332"/>
      <c r="X685" s="333"/>
      <c r="Y685" s="329"/>
      <c r="Z685" s="329"/>
      <c r="AA685" s="329"/>
      <c r="AB685" s="329"/>
      <c r="AC685" s="351"/>
      <c r="AD685" s="363" t="s">
        <v>1237</v>
      </c>
      <c r="AE685" s="358"/>
      <c r="AF685" s="359"/>
    </row>
    <row r="686" spans="1:32" ht="12.75" customHeight="1">
      <c r="A686" s="301"/>
      <c r="B686" s="295"/>
      <c r="C686" s="296"/>
      <c r="D686" s="296"/>
      <c r="E686" s="296"/>
      <c r="F686" s="296"/>
      <c r="G686" s="296"/>
      <c r="H686" s="270"/>
      <c r="I686" s="270"/>
      <c r="J686" s="270"/>
      <c r="K686" s="270"/>
      <c r="L686" s="270"/>
      <c r="M686" s="262"/>
      <c r="N686" s="263"/>
      <c r="O686" s="263"/>
      <c r="P686" s="264"/>
      <c r="Q686" s="139" t="str">
        <f>IF($Q685&lt;&gt;"",IF($Q685="W",IF(SUM(IF($H685&gt;$H687,1,0),IF($I685&gt;$I687,1,0),IF($J685&gt;$J687,1,0),IF($K685&gt;$K687,1,0),IF($L685&gt;$L687,1,0))&lt;&gt;3,"Error",""),""),"")</f>
        <v/>
      </c>
      <c r="R686" s="330"/>
      <c r="S686" s="334"/>
      <c r="T686" s="335"/>
      <c r="U686" s="335"/>
      <c r="V686" s="335"/>
      <c r="W686" s="335"/>
      <c r="X686" s="336"/>
      <c r="Y686" s="330"/>
      <c r="Z686" s="330"/>
      <c r="AA686" s="330"/>
      <c r="AB686" s="330"/>
      <c r="AC686" s="330"/>
      <c r="AD686" s="360"/>
      <c r="AE686" s="361"/>
      <c r="AF686" s="362"/>
    </row>
    <row r="687" spans="1:32" ht="12.75" customHeight="1">
      <c r="A687" s="300" t="str">
        <f>K672</f>
        <v>L</v>
      </c>
      <c r="B687" s="293" t="str">
        <f ca="1">IF(AND(OFFSET($AO$1,$L672-1,8,1,1),$A673&lt;&gt;"",$J673&lt;&gt;""),CHOOSE($L672,$AP$1,$AP$2,$AP$3,$AP$4,$AP$5,$AP$6,$AP$7,$AP$8,$AP$9,$AP$10,$AP$11,$AP$12),"")</f>
        <v/>
      </c>
      <c r="C687" s="294"/>
      <c r="D687" s="294"/>
      <c r="E687" s="294"/>
      <c r="F687" s="294"/>
      <c r="G687" s="294"/>
      <c r="H687" s="265"/>
      <c r="I687" s="265"/>
      <c r="J687" s="265"/>
      <c r="K687" s="265"/>
      <c r="L687" s="265"/>
      <c r="M687" s="267" t="s">
        <v>1237</v>
      </c>
      <c r="N687" s="268"/>
      <c r="O687" s="268"/>
      <c r="P687" s="269"/>
      <c r="Q687" s="137" t="str">
        <f>IF($Q685&lt;&gt;"",IF($Q685="W","L","W"),"")</f>
        <v/>
      </c>
      <c r="R687" s="20"/>
      <c r="S687" s="20"/>
      <c r="T687" s="20"/>
      <c r="U687" s="20"/>
      <c r="V687" s="20"/>
      <c r="W687" s="20"/>
      <c r="X687" s="26"/>
      <c r="Y687" s="26"/>
      <c r="Z687" s="20"/>
      <c r="AA687" s="20"/>
      <c r="AB687" s="20"/>
      <c r="AC687" s="20"/>
      <c r="AD687" s="20"/>
      <c r="AE687" s="20"/>
      <c r="AF687" s="27"/>
    </row>
    <row r="688" spans="1:32" ht="12.75" customHeight="1">
      <c r="A688" s="301"/>
      <c r="B688" s="295"/>
      <c r="C688" s="296"/>
      <c r="D688" s="296"/>
      <c r="E688" s="296"/>
      <c r="F688" s="296"/>
      <c r="G688" s="296"/>
      <c r="H688" s="270"/>
      <c r="I688" s="270"/>
      <c r="J688" s="266"/>
      <c r="K688" s="266"/>
      <c r="L688" s="266"/>
      <c r="M688" s="267"/>
      <c r="N688" s="268"/>
      <c r="O688" s="268"/>
      <c r="P688" s="269"/>
      <c r="Q688" s="139" t="str">
        <f>IF($Q687&lt;&gt;"",IF($Q687="W",IF(SUM(IF($H687&gt;$H685,1,0),IF($I687&gt;$I685,1,0),IF($J687&gt;$J685,1,0),IF($K687&gt;$K685,1,0),IF($L687&gt;$L685,1,0))&lt;&gt;3,"Error",""),""),"")</f>
        <v/>
      </c>
      <c r="R688" s="20"/>
      <c r="S688" s="20"/>
      <c r="T688" s="20"/>
      <c r="U688" s="20"/>
      <c r="V688" s="20"/>
      <c r="W688" s="20"/>
      <c r="X688" s="26"/>
      <c r="Y688" s="26"/>
      <c r="Z688" s="20"/>
      <c r="AA688" s="20"/>
      <c r="AB688" s="20"/>
      <c r="AC688" s="20"/>
      <c r="AD688" s="20"/>
      <c r="AE688" s="20"/>
      <c r="AF688" s="27"/>
    </row>
    <row r="689" spans="1:32" ht="12.75" customHeight="1">
      <c r="Q689" s="7"/>
      <c r="R689" s="20"/>
      <c r="S689" s="20"/>
      <c r="T689" s="20"/>
      <c r="U689" s="20"/>
      <c r="V689" s="20"/>
      <c r="W689" s="20"/>
      <c r="X689" s="26"/>
      <c r="Y689" s="26"/>
      <c r="Z689" s="20"/>
      <c r="AA689" s="20"/>
      <c r="AB689" s="20"/>
      <c r="AC689" s="20"/>
      <c r="AD689" s="20"/>
      <c r="AE689" s="20"/>
      <c r="AF689" s="27"/>
    </row>
    <row r="690" spans="1:32" ht="12.75" customHeight="1">
      <c r="A690" s="21" t="s">
        <v>1235</v>
      </c>
      <c r="H690" s="136" t="str">
        <f>IF($Q692&lt;&gt;"",IF(AND(AND($H692&gt;-1,$H694&gt;-1),OR($H692&gt;10,$H694&gt;10),ABS($H692-$H694)&gt;1,IF(OR($H692&gt;11,$H694&gt;11),ABS($H692-$H694)=2,TRUE),$H692=INT($H692),$H694=INT($H694)),"","Error"),"")</f>
        <v/>
      </c>
      <c r="I690" s="136" t="str">
        <f>IF($Q692&lt;&gt;"",IF(AND(AND($I692&gt;-1,$I694&gt;-1),OR($I692&gt;10,$I694&gt;10),ABS($I692-$I694)&gt;1,IF(OR($I692&gt;11,$I694&gt;11),ABS($I692-$I694)=2,TRUE),$I692=INT($I692),$I694=INT($I694)),"","Error"),"")</f>
        <v/>
      </c>
      <c r="J690" s="136" t="str">
        <f>IF($Q692&lt;&gt;"",IF(AND(AND($J692&gt;-1,$J694&gt;-1),OR($J692&gt;10,$J694&gt;10),ABS($J692-$J694)&gt;1,IF(OR($J692&gt;11,$J694&gt;11),ABS($J692-$J694)=2,TRUE),$J692=INT($J692),$J694=INT($J694)),"","Error"),"")</f>
        <v/>
      </c>
      <c r="K690" s="136" t="str">
        <f>IF($Q692&lt;&gt;"",IF(AND($K692&lt;&gt;"",$K694&lt;&gt;""), IF(AND(AND($K692&gt;-1,$K694&gt;-1),OR($K692&gt;10,$K694&gt;10),ABS($K692-$K694)&gt;1,IF(OR($K692&gt;11,$K694&gt;11),ABS($K692-$K694)=2,TRUE),$K692=INT($K692),$K694=INT($K694)),"","Error"),""),"")</f>
        <v/>
      </c>
      <c r="L690" s="136" t="str">
        <f>IF($Q692&lt;&gt;"",IF(AND($L692&lt;&gt;"",$L694&lt;&gt;""), IF(AND(AND($L692&gt;-1,$L694&gt;-1),OR($L692&gt;10,$L694&gt;10),ABS($L692-$L694)&gt;1,IF(OR($L692&gt;11,$L694&gt;11),ABS($L692-$L694)=2,TRUE),$L692=INT($L692),$L694=INT($L694)),"","Error"),""),"")</f>
        <v/>
      </c>
      <c r="Q690" s="7"/>
      <c r="R690" s="20"/>
      <c r="S690" s="20"/>
      <c r="T690" s="20"/>
      <c r="U690" s="20"/>
      <c r="V690" s="20"/>
      <c r="W690" s="20"/>
      <c r="X690" s="26"/>
      <c r="Y690" s="26"/>
      <c r="Z690" s="20"/>
      <c r="AA690" s="20"/>
      <c r="AB690" s="20"/>
      <c r="AC690" s="20"/>
      <c r="AD690" s="20"/>
      <c r="AE690" s="20"/>
      <c r="AF690" s="27"/>
    </row>
    <row r="691" spans="1:32" ht="12.75" customHeight="1">
      <c r="A691" s="5" t="s">
        <v>1228</v>
      </c>
      <c r="B691" s="290" t="s">
        <v>1126</v>
      </c>
      <c r="C691" s="291"/>
      <c r="D691" s="291"/>
      <c r="E691" s="291"/>
      <c r="F691" s="291"/>
      <c r="G691" s="292"/>
      <c r="H691" s="5">
        <v>1</v>
      </c>
      <c r="I691" s="5">
        <v>2</v>
      </c>
      <c r="J691" s="5">
        <v>3</v>
      </c>
      <c r="K691" s="5">
        <v>4</v>
      </c>
      <c r="L691" s="5">
        <v>5</v>
      </c>
      <c r="M691" s="271"/>
      <c r="N691" s="272"/>
      <c r="O691" s="272"/>
      <c r="P691" s="273"/>
      <c r="Q691" s="7"/>
      <c r="R691" s="20"/>
      <c r="S691" s="20"/>
      <c r="T691" s="20"/>
      <c r="U691" s="20"/>
      <c r="V691" s="20"/>
      <c r="W691" s="20"/>
      <c r="X691" s="26"/>
      <c r="Y691" s="26"/>
      <c r="Z691" s="20"/>
      <c r="AA691" s="20"/>
      <c r="AB691" s="20"/>
      <c r="AC691" s="20"/>
      <c r="AD691" s="20"/>
      <c r="AE691" s="20"/>
      <c r="AF691" s="27"/>
    </row>
    <row r="692" spans="1:32" ht="12.75" customHeight="1">
      <c r="A692" s="300" t="str">
        <f>B672</f>
        <v>J</v>
      </c>
      <c r="B692" s="293" t="str">
        <f ca="1">IF(AND(OFFSET($AO$1,$C672-1,8,1,1),$A673&lt;&gt;"",$J673&lt;&gt;""),CHOOSE($C672,$AQ$1,$AQ$2,$AQ$3,$AQ$4,$AQ$5,$AQ$6,$AQ$7,$AQ$8,$AQ$9,$AQ$10,$AQ$11,$AQ$12),"")</f>
        <v/>
      </c>
      <c r="C692" s="294"/>
      <c r="D692" s="294"/>
      <c r="E692" s="294"/>
      <c r="F692" s="294"/>
      <c r="G692" s="294"/>
      <c r="H692" s="265"/>
      <c r="I692" s="265"/>
      <c r="J692" s="265"/>
      <c r="K692" s="265"/>
      <c r="L692" s="265"/>
      <c r="M692" s="262" t="str">
        <f ca="1">IF(OR(AND($B685&lt;&gt;"",$B692&lt;&gt;"",$D703&lt;=$C703),AND($B687&lt;&gt;"",$B694&lt;&gt;"",$H703&lt;=$G703)),"Invalid Lineup","")</f>
        <v/>
      </c>
      <c r="N692" s="263"/>
      <c r="O692" s="263"/>
      <c r="P692" s="264"/>
      <c r="Q692" s="137" t="str">
        <f>IF($L692=$L694,IF($K692=$K694,IF($J692&lt;&gt;"",IF($J692&gt;$J694,"W","L"),""),IF($K692&gt;$K694,"W","L")),IF($L692&gt;$L694,"W","L"))</f>
        <v/>
      </c>
      <c r="R692" s="20"/>
      <c r="S692" s="20"/>
      <c r="T692" s="20"/>
      <c r="U692" s="20"/>
      <c r="V692" s="20"/>
      <c r="W692" s="20"/>
      <c r="X692" s="26"/>
      <c r="Y692" s="26"/>
      <c r="Z692" s="20"/>
      <c r="AA692" s="20"/>
      <c r="AB692" s="20"/>
      <c r="AC692" s="20"/>
      <c r="AD692" s="20"/>
      <c r="AE692" s="20"/>
      <c r="AF692" s="27"/>
    </row>
    <row r="693" spans="1:32" ht="12.75" customHeight="1">
      <c r="A693" s="301"/>
      <c r="B693" s="295"/>
      <c r="C693" s="296"/>
      <c r="D693" s="296"/>
      <c r="E693" s="296"/>
      <c r="F693" s="296"/>
      <c r="G693" s="296"/>
      <c r="H693" s="270"/>
      <c r="I693" s="270"/>
      <c r="J693" s="270"/>
      <c r="K693" s="270"/>
      <c r="L693" s="270"/>
      <c r="M693" s="262"/>
      <c r="N693" s="263"/>
      <c r="O693" s="263"/>
      <c r="P693" s="264"/>
      <c r="Q693" s="139" t="str">
        <f>IF($Q692&lt;&gt;"",IF($Q692="W",IF(SUM(IF($H692&gt;$H694,1,0),IF($I692&gt;$I694,1,0),IF($J692&gt;$J694,1,0),IF($K692&gt;$K694,1,0),IF($L692&gt;$L694,1,0))&lt;&gt;3,"Error",""),""),"")</f>
        <v/>
      </c>
      <c r="R693" s="328" t="str">
        <f>$A673</f>
        <v/>
      </c>
      <c r="S693" s="328"/>
      <c r="T693" s="328"/>
      <c r="U693" s="328"/>
      <c r="V693" s="328"/>
      <c r="W693" s="328"/>
      <c r="X693" s="256" t="str">
        <f>CONCATENATE("(",$B672," vs ",$K672,")")</f>
        <v>(J vs L)</v>
      </c>
      <c r="Y693" s="256"/>
      <c r="Z693" s="328" t="str">
        <f>$J673</f>
        <v/>
      </c>
      <c r="AA693" s="328"/>
      <c r="AB693" s="328"/>
      <c r="AC693" s="328"/>
      <c r="AD693" s="328"/>
      <c r="AE693" s="328"/>
      <c r="AF693" s="100"/>
    </row>
    <row r="694" spans="1:32" ht="12.75" customHeight="1">
      <c r="A694" s="300" t="str">
        <f>K672</f>
        <v>L</v>
      </c>
      <c r="B694" s="293" t="str">
        <f ca="1">IF(AND(OFFSET($AO$1,$L672-1,8,1,1),$A673&lt;&gt;"",$J673&lt;&gt;""),CHOOSE($L672,$AQ$1,$AQ$2,$AQ$3,$AQ$4,$AQ$5,$AQ$6,$AQ$7,$AQ$8,$AQ$9,$AQ$10,$AQ$11,$AQ$12),"")</f>
        <v/>
      </c>
      <c r="C694" s="294"/>
      <c r="D694" s="294"/>
      <c r="E694" s="294"/>
      <c r="F694" s="294"/>
      <c r="G694" s="294"/>
      <c r="H694" s="265"/>
      <c r="I694" s="265"/>
      <c r="J694" s="265"/>
      <c r="K694" s="265"/>
      <c r="L694" s="265"/>
      <c r="M694" s="267" t="s">
        <v>1237</v>
      </c>
      <c r="N694" s="268"/>
      <c r="O694" s="268"/>
      <c r="P694" s="269"/>
      <c r="Q694" s="137" t="str">
        <f>IF($Q692&lt;&gt;"",IF($Q692="W","L","W"),"")</f>
        <v/>
      </c>
      <c r="R694" s="100"/>
      <c r="S694" s="100"/>
      <c r="T694" s="100"/>
      <c r="U694" s="100"/>
      <c r="V694" s="100"/>
      <c r="W694" s="100"/>
      <c r="X694" s="100"/>
      <c r="Y694" s="100"/>
      <c r="Z694" s="100"/>
      <c r="AA694" s="100"/>
      <c r="AB694" s="100"/>
      <c r="AC694" s="100"/>
      <c r="AD694" s="100"/>
      <c r="AE694" s="100"/>
      <c r="AF694" s="100"/>
    </row>
    <row r="695" spans="1:32" ht="12.75" customHeight="1">
      <c r="A695" s="301"/>
      <c r="B695" s="295"/>
      <c r="C695" s="296"/>
      <c r="D695" s="296"/>
      <c r="E695" s="296"/>
      <c r="F695" s="296"/>
      <c r="G695" s="296"/>
      <c r="H695" s="270"/>
      <c r="I695" s="270"/>
      <c r="J695" s="266"/>
      <c r="K695" s="266"/>
      <c r="L695" s="266"/>
      <c r="M695" s="267"/>
      <c r="N695" s="268"/>
      <c r="O695" s="268"/>
      <c r="P695" s="269"/>
      <c r="Q695" s="139" t="str">
        <f>IF($Q694&lt;&gt;"",IF($Q694="W",IF(SUM(IF($H694&gt;$H692,1,0),IF($I694&gt;$I692,1,0),IF($J694&gt;$J692,1,0),IF($K694&gt;$K692,1,0),IF($L694&gt;$L692,1,0))&lt;&gt;3,"Error",""),""),"")</f>
        <v/>
      </c>
      <c r="R695" s="43" t="str">
        <f>$A690</f>
        <v>3rd Singles</v>
      </c>
      <c r="S695" s="43"/>
      <c r="T695" s="43"/>
      <c r="U695" s="43"/>
      <c r="V695" s="43"/>
      <c r="W695" s="43"/>
      <c r="X695" s="43"/>
      <c r="Y695" s="43"/>
      <c r="Z695" s="43"/>
      <c r="AA695" s="43"/>
      <c r="AB695" s="43"/>
      <c r="AC695" s="43"/>
      <c r="AD695" s="43"/>
      <c r="AE695" s="43"/>
      <c r="AF695" s="43"/>
    </row>
    <row r="696" spans="1:32" ht="12.75" customHeight="1">
      <c r="Q696" s="7"/>
      <c r="R696" s="60" t="s">
        <v>1228</v>
      </c>
      <c r="S696" s="101" t="s">
        <v>1126</v>
      </c>
      <c r="T696" s="102"/>
      <c r="U696" s="102"/>
      <c r="V696" s="102"/>
      <c r="W696" s="102"/>
      <c r="X696" s="103"/>
      <c r="Y696" s="60">
        <v>1</v>
      </c>
      <c r="Z696" s="60">
        <v>2</v>
      </c>
      <c r="AA696" s="60">
        <v>3</v>
      </c>
      <c r="AB696" s="60">
        <v>4</v>
      </c>
      <c r="AC696" s="60">
        <v>5</v>
      </c>
      <c r="AD696" s="104"/>
      <c r="AE696" s="105"/>
      <c r="AF696" s="106"/>
    </row>
    <row r="697" spans="1:32" ht="12.75" customHeight="1">
      <c r="A697" s="21" t="s">
        <v>1236</v>
      </c>
      <c r="H697" s="136" t="str">
        <f ca="1">IF($Q699&lt;&gt;"",IF(AND($B699&lt;&gt;"Missing Player",$B701&lt;&gt;"Missing Player"),IF(AND(AND($H699&gt;-1,$H701&gt;-1),OR($H699&gt;10,$H701&gt;10),ABS($H699-$H701)&gt;1,IF(OR($H699&gt;11,$H701&gt;11),ABS($H699-$H701)=2,TRUE),$H699=INT($H699),$H701=INT($H701)),"","Error"),""),"")</f>
        <v/>
      </c>
      <c r="I697" s="136" t="str">
        <f ca="1">IF($Q699&lt;&gt;"",IF(AND($B699&lt;&gt;"Missing Player",$B701&lt;&gt;"Missing Player"),IF(AND(AND($I699&gt;-1,$I701&gt;-1),OR($I699&gt;10,$I701&gt;10),ABS($I699-$I701)&gt;1,IF(OR($I699&gt;11,$I701&gt;11),ABS($I699-$I701)=2,TRUE),$I699=INT($I699),$I701=INT($I701)),"","Error"),""),"")</f>
        <v/>
      </c>
      <c r="J697" s="136" t="str">
        <f ca="1">IF($Q699&lt;&gt;"",IF(AND($B699&lt;&gt;"Missing Player",$B701&lt;&gt;"Missing Player"),IF(AND(AND($J699&gt;-1,$J701&gt;-1),OR($J699&gt;10,$J701&gt;10),ABS($J699-$J701)&gt;1,IF(OR($J699&gt;11,$J701&gt;11),ABS($J699-$J701)=2,TRUE),$J699=INT($J699),$J701=INT($J701)),"","Error"),""),"")</f>
        <v/>
      </c>
      <c r="K697" s="136" t="str">
        <f ca="1">IF($Q699&lt;&gt;"",IF(AND($K699&lt;&gt;"",$K701&lt;&gt;""), IF(AND(AND($K699&gt;-1,$K701&gt;-1),OR($K699&gt;10,$K701&gt;10),ABS($K699-$K701)&gt;1,IF(OR($K699&gt;11,$K701&gt;11),ABS($K699-$K701)=2,TRUE),$K699=INT($K699),$K701=INT($K701)),"","Error"),""),"")</f>
        <v/>
      </c>
      <c r="L697" s="136" t="str">
        <f ca="1">IF($Q699&lt;&gt;"",IF(AND($L699&lt;&gt;"",$L701&lt;&gt;""), IF(AND(AND($L699&gt;-1,$L701&gt;-1),OR($L699&gt;10,$L701&gt;10),ABS($L699-$L701)&gt;1,IF(OR($L699&gt;11,$L701&gt;11),ABS($L699-$L701)=2,TRUE),$L699=INT($L699),$L701=INT($L701)),"","Error"),""),"")</f>
        <v/>
      </c>
      <c r="Q697" s="7"/>
      <c r="R697" s="300" t="str">
        <f>$B672</f>
        <v>J</v>
      </c>
      <c r="S697" s="331" t="str">
        <f ca="1">IF($B692&lt;&gt;"",$B692,"")</f>
        <v/>
      </c>
      <c r="T697" s="332"/>
      <c r="U697" s="332"/>
      <c r="V697" s="332"/>
      <c r="W697" s="332"/>
      <c r="X697" s="333"/>
      <c r="Y697" s="329"/>
      <c r="Z697" s="329"/>
      <c r="AA697" s="329"/>
      <c r="AB697" s="329"/>
      <c r="AC697" s="329"/>
      <c r="AD697" s="345"/>
      <c r="AE697" s="358"/>
      <c r="AF697" s="359"/>
    </row>
    <row r="698" spans="1:32" ht="12.75" customHeight="1">
      <c r="A698" s="5" t="s">
        <v>1228</v>
      </c>
      <c r="B698" s="290" t="s">
        <v>1126</v>
      </c>
      <c r="C698" s="291"/>
      <c r="D698" s="291"/>
      <c r="E698" s="291"/>
      <c r="F698" s="291"/>
      <c r="G698" s="292"/>
      <c r="H698" s="5">
        <v>1</v>
      </c>
      <c r="I698" s="5">
        <v>2</v>
      </c>
      <c r="J698" s="5">
        <v>3</v>
      </c>
      <c r="K698" s="5">
        <v>4</v>
      </c>
      <c r="L698" s="5">
        <v>5</v>
      </c>
      <c r="M698" s="271"/>
      <c r="N698" s="272"/>
      <c r="O698" s="272"/>
      <c r="P698" s="273"/>
      <c r="Q698" s="7"/>
      <c r="R698" s="330"/>
      <c r="S698" s="334"/>
      <c r="T698" s="335"/>
      <c r="U698" s="335"/>
      <c r="V698" s="335"/>
      <c r="W698" s="335"/>
      <c r="X698" s="336"/>
      <c r="Y698" s="330"/>
      <c r="Z698" s="330"/>
      <c r="AA698" s="330"/>
      <c r="AB698" s="330"/>
      <c r="AC698" s="330"/>
      <c r="AD698" s="360"/>
      <c r="AE698" s="361"/>
      <c r="AF698" s="362"/>
    </row>
    <row r="699" spans="1:32" ht="12.75" customHeight="1">
      <c r="A699" s="300" t="str">
        <f>B672</f>
        <v>J</v>
      </c>
      <c r="B699" s="293" t="str">
        <f ca="1">IF(AND(OFFSET($AO$1,$C672-1,8,1,1),$A673&lt;&gt;"",$J673&lt;&gt;""),CHOOSE($C672,$AR$1,$AR$2,$AR$3,$AR$4,$AR$5,$AR$6,$AR$7,$AR$8,$AR$9,$AR$10,$AR$11,$AR$12),"")</f>
        <v/>
      </c>
      <c r="C699" s="294"/>
      <c r="D699" s="294"/>
      <c r="E699" s="294"/>
      <c r="F699" s="294"/>
      <c r="G699" s="294"/>
      <c r="H699" s="265"/>
      <c r="I699" s="265"/>
      <c r="J699" s="265"/>
      <c r="K699" s="265"/>
      <c r="L699" s="265" t="str">
        <f ca="1">IF(AND($B699&lt;&gt;"",$Q678&lt;&gt;""),IF($B699="Missing Player",0,IF($B701="Missing Player",11,"")),"")</f>
        <v/>
      </c>
      <c r="M699" s="262" t="str">
        <f ca="1">IF(OR(AND($B692&lt;&gt;"",$B699&lt;&gt;"",$E703&lt;=$D703),AND($B694&lt;&gt;"",$B701&lt;&gt;"",$I703&lt;=$H703)),"Invalid Lineup","")</f>
        <v/>
      </c>
      <c r="N699" s="263"/>
      <c r="O699" s="263"/>
      <c r="P699" s="264"/>
      <c r="Q699" s="137" t="str">
        <f ca="1">IF($L699=$L701,IF($K699=$K701,IF($J699&lt;&gt;"",IF($J699&gt;$J701,"W","L"),""),IF($K699&gt;$K701,"W","L")),IF($L699&gt;$L701,"W","L"))</f>
        <v/>
      </c>
      <c r="R699" s="300" t="str">
        <f>$K672</f>
        <v>L</v>
      </c>
      <c r="S699" s="331" t="str">
        <f ca="1">IF($B694&lt;&gt;"",$B694,"")</f>
        <v/>
      </c>
      <c r="T699" s="332"/>
      <c r="U699" s="332"/>
      <c r="V699" s="332"/>
      <c r="W699" s="332"/>
      <c r="X699" s="333"/>
      <c r="Y699" s="329"/>
      <c r="Z699" s="329"/>
      <c r="AA699" s="329"/>
      <c r="AB699" s="329"/>
      <c r="AC699" s="351"/>
      <c r="AD699" s="363" t="s">
        <v>1237</v>
      </c>
      <c r="AE699" s="358"/>
      <c r="AF699" s="359"/>
    </row>
    <row r="700" spans="1:32" ht="12.75" customHeight="1">
      <c r="A700" s="301"/>
      <c r="B700" s="295"/>
      <c r="C700" s="296"/>
      <c r="D700" s="296"/>
      <c r="E700" s="296"/>
      <c r="F700" s="296"/>
      <c r="G700" s="296"/>
      <c r="H700" s="270"/>
      <c r="I700" s="270"/>
      <c r="J700" s="270"/>
      <c r="K700" s="270"/>
      <c r="L700" s="270"/>
      <c r="M700" s="262"/>
      <c r="N700" s="263"/>
      <c r="O700" s="263"/>
      <c r="P700" s="264"/>
      <c r="Q700" s="139" t="str">
        <f ca="1">IF($Q699&lt;&gt;"",IF($B701&lt;&gt;"Missing Player",IF($Q699="W",IF(SUM(IF($H699&gt;$H701,1,0),IF($I699&gt;$I701,1,0),IF($J699&gt;$J701,1,0),IF($K699&gt;$K701,1,0),IF($L699&gt;$L701,1,0))&lt;&gt;3,"Error",""),""),""),"")</f>
        <v/>
      </c>
      <c r="R700" s="330"/>
      <c r="S700" s="334"/>
      <c r="T700" s="335"/>
      <c r="U700" s="335"/>
      <c r="V700" s="335"/>
      <c r="W700" s="335"/>
      <c r="X700" s="336"/>
      <c r="Y700" s="330"/>
      <c r="Z700" s="330"/>
      <c r="AA700" s="330"/>
      <c r="AB700" s="330"/>
      <c r="AC700" s="330"/>
      <c r="AD700" s="360"/>
      <c r="AE700" s="361"/>
      <c r="AF700" s="362"/>
    </row>
    <row r="701" spans="1:32" ht="12.75" customHeight="1">
      <c r="A701" s="300" t="str">
        <f>K672</f>
        <v>L</v>
      </c>
      <c r="B701" s="293" t="str">
        <f ca="1">IF(AND(OFFSET($AO$1,$L672-1,8,1,1),$A673&lt;&gt;"",$J673&lt;&gt;""),CHOOSE($L672,$AR$1,$AR$2,$AR$3,$AR$4,$AR$5,$AR$6,$AR$7,$AR$8,$AR$9,$AR$10,$AR$11,$AR$12),"")</f>
        <v/>
      </c>
      <c r="C701" s="294"/>
      <c r="D701" s="294"/>
      <c r="E701" s="294"/>
      <c r="F701" s="294"/>
      <c r="G701" s="294"/>
      <c r="H701" s="265"/>
      <c r="I701" s="265"/>
      <c r="J701" s="265"/>
      <c r="K701" s="265"/>
      <c r="L701" s="265" t="str">
        <f ca="1">IF(AND($B701&lt;&gt;"",$Q678&lt;&gt;""),IF($B701="Missing Player",0,IF($B699="Missing Player",11,"")),"")</f>
        <v/>
      </c>
      <c r="M701" s="267" t="s">
        <v>1237</v>
      </c>
      <c r="N701" s="268"/>
      <c r="O701" s="268"/>
      <c r="P701" s="269"/>
      <c r="Q701" s="137" t="str">
        <f ca="1">IF($Q699&lt;&gt;"",IF($Q699="W","L","W"),"")</f>
        <v/>
      </c>
      <c r="R701" s="112"/>
      <c r="S701" s="98"/>
      <c r="T701" s="108"/>
      <c r="U701" s="108"/>
      <c r="V701" s="108"/>
      <c r="W701" s="108"/>
      <c r="X701" s="108"/>
      <c r="Y701" s="113"/>
      <c r="Z701" s="113"/>
      <c r="AA701" s="113"/>
      <c r="AB701" s="113"/>
      <c r="AC701" s="113"/>
      <c r="AD701" s="107"/>
      <c r="AE701" s="109"/>
      <c r="AF701" s="109"/>
    </row>
    <row r="702" spans="1:32" ht="12.75" customHeight="1">
      <c r="A702" s="301"/>
      <c r="B702" s="295"/>
      <c r="C702" s="296"/>
      <c r="D702" s="296"/>
      <c r="E702" s="296"/>
      <c r="F702" s="296"/>
      <c r="G702" s="296"/>
      <c r="H702" s="270"/>
      <c r="I702" s="270"/>
      <c r="J702" s="266"/>
      <c r="K702" s="266"/>
      <c r="L702" s="266"/>
      <c r="M702" s="267"/>
      <c r="N702" s="268"/>
      <c r="O702" s="268"/>
      <c r="P702" s="269"/>
      <c r="Q702" s="139" t="str">
        <f ca="1">IF($Q701&lt;&gt;"",IF($B699&lt;&gt;"Missing Player",IF($Q701="W",IF(SUM(IF($H701&gt;$H699,1,0),IF($I701&gt;$I699,1,0),IF($J701&gt;$J699,1,0),IF($K701&gt;$K699,1,0),IF($L701&gt;$L699,1,0))&lt;&gt;3,"Error",""),""),""),"")</f>
        <v/>
      </c>
      <c r="R702" s="114"/>
      <c r="S702" s="115"/>
      <c r="T702" s="115"/>
      <c r="U702" s="115"/>
      <c r="V702" s="115"/>
      <c r="W702" s="115"/>
      <c r="X702" s="115"/>
      <c r="Y702" s="114"/>
      <c r="Z702" s="114"/>
      <c r="AA702" s="114"/>
      <c r="AB702" s="114"/>
      <c r="AC702" s="114"/>
      <c r="AD702" s="114"/>
      <c r="AE702" s="114"/>
      <c r="AF702" s="114"/>
    </row>
    <row r="703" spans="1:32" ht="12.75" customHeight="1">
      <c r="B703" s="140" t="str">
        <f ca="1">IF(ISERROR(VLOOKUP($B678&amp;"("&amp;$B672&amp;")",Players!$S$4:$T$132,2,FALSE)),"",VLOOKUP($B678&amp;"("&amp;$B672&amp;")",Players!$S$4:$T$132,2,FALSE))</f>
        <v>J1</v>
      </c>
      <c r="C703" s="140" t="str">
        <f ca="1">IF(ISERROR(VLOOKUP($B685&amp;"("&amp;$B672&amp;")",Players!$S$4:$T$132,2,FALSE)),"",VLOOKUP($B685&amp;"("&amp;$B672&amp;")",Players!$S$4:$T$132,2,FALSE))</f>
        <v>J1</v>
      </c>
      <c r="D703" s="141" t="str">
        <f ca="1">IF(ISERROR(VLOOKUP($B692&amp;"("&amp;$B672&amp;")",Players!$S$4:$T$132,2,FALSE)),"",VLOOKUP($B692&amp;"("&amp;$B672&amp;")",Players!$S$4:$T$132,2,FALSE))</f>
        <v>J1</v>
      </c>
      <c r="E703" s="141" t="str">
        <f ca="1">IF(ISERROR(VLOOKUP($B699&amp;"("&amp;$B672&amp;")",Players!$S$4:$T$132,2,FALSE)),"",VLOOKUP($B699&amp;"("&amp;$B672&amp;")",Players!$S$4:$T$132,2,FALSE))</f>
        <v>J1</v>
      </c>
      <c r="F703" s="141" t="str">
        <f ca="1">IF(ISERROR(VLOOKUP($B680&amp;"("&amp;$K672&amp;")",Players!$S$4:$T$132,2,FALSE)),"",VLOOKUP($B680&amp;"("&amp;$K672&amp;")",Players!$S$4:$T$132,2,FALSE))</f>
        <v>L1</v>
      </c>
      <c r="G703" s="141" t="str">
        <f ca="1">IF(ISERROR(VLOOKUP($B687&amp;"("&amp;$K672&amp;")",Players!$S$4:$T$132,2,FALSE)),"",VLOOKUP($B687&amp;"("&amp;$K672&amp;")",Players!$S$4:$T$132,2,FALSE))</f>
        <v>L1</v>
      </c>
      <c r="H703" s="141" t="str">
        <f ca="1">IF(ISERROR(VLOOKUP($B694&amp;"("&amp;$K672&amp;")",Players!$S$4:$T$132,2,FALSE)),"",VLOOKUP($B694&amp;"("&amp;$K672&amp;")",Players!$S$4:$T$132,2,FALSE))</f>
        <v>L1</v>
      </c>
      <c r="I703" s="141" t="str">
        <f ca="1">IF(ISERROR(VLOOKUP($B701&amp;"("&amp;$K672&amp;")",Players!$S$4:$T$132,2,FALSE)),"",VLOOKUP($B701&amp;"("&amp;$K672&amp;")",Players!$S$4:$T$132,2,FALSE))</f>
        <v>L1</v>
      </c>
      <c r="Q703" s="7"/>
      <c r="R703" s="50"/>
      <c r="S703" s="116"/>
      <c r="T703" s="115"/>
      <c r="U703" s="115"/>
      <c r="V703" s="115"/>
      <c r="W703" s="115"/>
      <c r="X703" s="115"/>
      <c r="Y703" s="99"/>
      <c r="Z703" s="99"/>
      <c r="AA703" s="99"/>
      <c r="AB703" s="99"/>
      <c r="AC703" s="117"/>
      <c r="AD703" s="118"/>
      <c r="AE703" s="114"/>
      <c r="AF703" s="114"/>
    </row>
    <row r="704" spans="1:32" ht="12.75" customHeight="1">
      <c r="A704" s="21" t="s">
        <v>1225</v>
      </c>
      <c r="H704" s="136" t="str">
        <f ca="1">IF($Q706&lt;&gt;"",IF(AND($B707&lt;&gt;"Missing Player",$B709&lt;&gt;"Missing Player"),IF(AND(AND($H706&gt;-1,$H708&gt;-1),OR($H706&gt;10,$H708&gt;10),ABS($H706-$H708)&gt;1,IF(OR($H706&gt;11,$H708&gt;11),ABS($H706-$H708)=2,TRUE),$H706=INT($H706),$H708=INT($H708)),"","Error"),""),"")</f>
        <v/>
      </c>
      <c r="I704" s="136" t="str">
        <f ca="1">IF($Q706&lt;&gt;"",IF(AND($B707&lt;&gt;"Missing Player",$B709&lt;&gt;"Missing Player"),IF(AND(AND($I706&gt;-1,$I708&gt;-1),OR($I706&gt;10,$I708&gt;10),ABS($I706-$I708)&gt;1,IF(OR($I706&gt;11,$I708&gt;11),ABS($I706-$I708)=2,TRUE),$I706=INT($I706),$I708=INT($I708)),"","Error"),""),"")</f>
        <v/>
      </c>
      <c r="J704" s="136" t="str">
        <f ca="1">IF($Q706&lt;&gt;"",IF(AND($B707&lt;&gt;"Missing Player",$B709&lt;&gt;"Missing Player"),IF(AND(AND($J706&gt;-1,$J708&gt;-1),OR($J706&gt;10,$J708&gt;10),ABS($J706-$J708)&gt;1,IF(OR($J706&gt;11,$J708&gt;11),ABS($J706-$J708)=2,TRUE),$J706=INT($J706),$J708=INT($J708)),"","Error"),""),"")</f>
        <v/>
      </c>
      <c r="K704" s="136" t="str">
        <f ca="1">IF($Q706&lt;&gt;"",IF(AND($K706&lt;&gt;"",$K708&lt;&gt;""), IF(AND(AND($K706&gt;-1,$K708&gt;-1),OR($K706&gt;10,$K708&gt;10),ABS($K706-$K708)&gt;1,IF(OR($K706&gt;11,$K708&gt;11),ABS($K706-$K708)=2,TRUE),$K706=INT($K706),$K708=INT($K708)),"","Error"),""),"")</f>
        <v/>
      </c>
      <c r="L704" s="136" t="str">
        <f ca="1">IF($Q706&lt;&gt;"",IF(AND($L706&lt;&gt;"",$L708&lt;&gt;""), IF(AND(AND($L706&gt;-1,$L708&gt;-1),OR($L706&gt;10,$L708&gt;10),ABS($L706-$L708)&gt;1,IF(OR($L706&gt;11,$L708&gt;11),ABS($L706-$L708)=2,TRUE),$L706=INT($L706),$L708=INT($L708)),"","Error"),""),"")</f>
        <v/>
      </c>
      <c r="Q704" s="7"/>
      <c r="R704" s="114"/>
      <c r="S704" s="115"/>
      <c r="T704" s="115"/>
      <c r="U704" s="115"/>
      <c r="V704" s="115"/>
      <c r="W704" s="115"/>
      <c r="X704" s="115"/>
      <c r="Y704" s="114"/>
      <c r="Z704" s="114"/>
      <c r="AA704" s="114"/>
      <c r="AB704" s="114"/>
      <c r="AC704" s="114"/>
      <c r="AD704" s="114"/>
      <c r="AE704" s="114"/>
      <c r="AF704" s="114"/>
    </row>
    <row r="705" spans="1:32" ht="12.75" customHeight="1">
      <c r="A705" s="5" t="s">
        <v>1228</v>
      </c>
      <c r="B705" s="290" t="s">
        <v>1126</v>
      </c>
      <c r="C705" s="291"/>
      <c r="D705" s="291"/>
      <c r="E705" s="291"/>
      <c r="F705" s="291"/>
      <c r="G705" s="292"/>
      <c r="H705" s="5">
        <v>1</v>
      </c>
      <c r="I705" s="5">
        <v>2</v>
      </c>
      <c r="J705" s="5">
        <v>3</v>
      </c>
      <c r="K705" s="5">
        <v>4</v>
      </c>
      <c r="L705" s="5">
        <v>5</v>
      </c>
      <c r="M705" s="271"/>
      <c r="N705" s="272"/>
      <c r="O705" s="272"/>
      <c r="P705" s="273"/>
      <c r="Q705" s="8"/>
      <c r="S705" s="24"/>
      <c r="T705" s="26"/>
    </row>
    <row r="706" spans="1:32" ht="12.75" customHeight="1">
      <c r="A706" s="300" t="str">
        <f>B672</f>
        <v>J</v>
      </c>
      <c r="B706" s="311" t="str">
        <f ca="1">IF($B678&lt;&gt;"",$B678,"")</f>
        <v/>
      </c>
      <c r="C706" s="312"/>
      <c r="D706" s="312"/>
      <c r="E706" s="312"/>
      <c r="F706" s="312"/>
      <c r="G706" s="313"/>
      <c r="H706" s="265"/>
      <c r="I706" s="265"/>
      <c r="J706" s="265"/>
      <c r="K706" s="265"/>
      <c r="L706" s="265" t="str">
        <f ca="1">IF($B699&lt;&gt;"",IF(AND($B699="Missing Player",$G710=2,$J710=2),0,IF(AND($B701="Missing Player",$G710=2,$J710=2),11,"")),"")</f>
        <v/>
      </c>
      <c r="M706" s="262" t="str">
        <f ca="1">IF(OR(AND($B706&lt;&gt;"",$B707&lt;&gt;"",$B706=$B707),AND($B708&lt;&gt;"",$B709&lt;&gt;"",$B708=$B709)),"Invalid Partner","")</f>
        <v/>
      </c>
      <c r="N706" s="263"/>
      <c r="O706" s="263"/>
      <c r="P706" s="264"/>
      <c r="Q706" s="138" t="str">
        <f ca="1">IF(L706=L708,IF(K706=K708,IF(J706&lt;&gt;"",IF(J706&gt;J708,"W","L"),""),IF(K706&gt;K708,"W","L")),IF(L706&gt;L708,"W","L"))</f>
        <v/>
      </c>
      <c r="S706" s="24"/>
      <c r="T706" s="26"/>
    </row>
    <row r="707" spans="1:32" ht="12.75" customHeight="1">
      <c r="A707" s="324"/>
      <c r="B707" s="308" t="str">
        <f ca="1">IF($B699="Missing Player",$B699,"")</f>
        <v/>
      </c>
      <c r="C707" s="309"/>
      <c r="D707" s="309"/>
      <c r="E707" s="309"/>
      <c r="F707" s="309"/>
      <c r="G707" s="310"/>
      <c r="H707" s="270"/>
      <c r="I707" s="270"/>
      <c r="J707" s="270"/>
      <c r="K707" s="270"/>
      <c r="L707" s="270"/>
      <c r="M707" s="262"/>
      <c r="N707" s="263"/>
      <c r="O707" s="263"/>
      <c r="P707" s="264"/>
      <c r="Q707" s="139" t="str">
        <f ca="1">IF($Q706&lt;&gt;"",IF($B709&lt;&gt;"Missing Player",IF($Q706="W",IF(SUM(IF($H706&gt;$H708,1,0),IF($I706&gt;$I708,1,0),IF($J706&gt;$J708,1,0),IF($K706&gt;$K708,1,0),IF($L706&gt;$L708,1,0))&lt;&gt;3,"Error",""),""),""),"")</f>
        <v/>
      </c>
      <c r="R707" s="328" t="str">
        <f>$A673</f>
        <v/>
      </c>
      <c r="S707" s="328"/>
      <c r="T707" s="328"/>
      <c r="U707" s="328"/>
      <c r="V707" s="328"/>
      <c r="W707" s="328"/>
      <c r="X707" s="256" t="str">
        <f>CONCATENATE("(",$B672," vs ",$K672,")")</f>
        <v>(J vs L)</v>
      </c>
      <c r="Y707" s="256"/>
      <c r="Z707" s="328" t="str">
        <f>$J673</f>
        <v/>
      </c>
      <c r="AA707" s="328"/>
      <c r="AB707" s="328"/>
      <c r="AC707" s="328"/>
      <c r="AD707" s="328"/>
      <c r="AE707" s="328"/>
      <c r="AF707" s="43"/>
    </row>
    <row r="708" spans="1:32" ht="12.75" customHeight="1">
      <c r="A708" s="325" t="str">
        <f>K672</f>
        <v>L</v>
      </c>
      <c r="B708" s="311" t="str">
        <f ca="1">IF($B680&lt;&gt;"",$B680,"")</f>
        <v/>
      </c>
      <c r="C708" s="312"/>
      <c r="D708" s="312"/>
      <c r="E708" s="312"/>
      <c r="F708" s="312"/>
      <c r="G708" s="313"/>
      <c r="H708" s="265"/>
      <c r="I708" s="265"/>
      <c r="J708" s="265"/>
      <c r="K708" s="265"/>
      <c r="L708" s="265" t="str">
        <f ca="1">IF($B701&lt;&gt;"",IF(AND($B701="Missing Player",$G710=2,$J710=2),0,IF(AND($B699="Missing Player",$G710=2,$J710=2),11,"")),"")</f>
        <v/>
      </c>
      <c r="M708" s="267" t="s">
        <v>1237</v>
      </c>
      <c r="N708" s="268"/>
      <c r="O708" s="268"/>
      <c r="P708" s="269"/>
      <c r="Q708" s="138" t="str">
        <f ca="1">IF(Q706&lt;&gt;"",IF(Q706="W","L","W"),"")</f>
        <v/>
      </c>
      <c r="R708" s="43"/>
      <c r="S708" s="43"/>
      <c r="T708" s="43"/>
      <c r="U708" s="43"/>
      <c r="V708" s="43"/>
      <c r="W708" s="43"/>
      <c r="X708" s="43"/>
      <c r="Y708" s="43"/>
      <c r="Z708" s="43"/>
      <c r="AA708" s="43"/>
      <c r="AB708" s="43"/>
      <c r="AC708" s="43"/>
      <c r="AD708" s="43"/>
      <c r="AE708" s="43"/>
      <c r="AF708" s="43"/>
    </row>
    <row r="709" spans="1:32" ht="12.75" customHeight="1">
      <c r="A709" s="324"/>
      <c r="B709" s="308" t="str">
        <f ca="1">IF($B701="Missing Player",$B701,"")</f>
        <v/>
      </c>
      <c r="C709" s="309"/>
      <c r="D709" s="309"/>
      <c r="E709" s="309"/>
      <c r="F709" s="309"/>
      <c r="G709" s="310"/>
      <c r="H709" s="270"/>
      <c r="I709" s="270"/>
      <c r="J709" s="266"/>
      <c r="K709" s="266"/>
      <c r="L709" s="266"/>
      <c r="M709" s="267"/>
      <c r="N709" s="268"/>
      <c r="O709" s="268"/>
      <c r="P709" s="269"/>
      <c r="Q709" s="139" t="str">
        <f ca="1">IF($Q708&lt;&gt;"",IF($B707&lt;&gt;"Missing Player",IF($Q708="W",IF(SUM(IF($H708&gt;$H706,1,0),IF($I708&gt;$I706,1,0),IF($J708&gt;$J706,1,0),IF($K708&gt;$K706,1,0),IF($L708&gt;$L706,1,0))&lt;&gt;3,"Error",""),""),""),"")</f>
        <v/>
      </c>
      <c r="R709" s="43" t="str">
        <f>A697</f>
        <v>4th Singles</v>
      </c>
      <c r="S709" s="43"/>
      <c r="T709" s="43"/>
      <c r="U709" s="43"/>
      <c r="V709" s="43"/>
      <c r="W709" s="43"/>
      <c r="X709" s="43"/>
      <c r="Y709" s="43"/>
      <c r="Z709" s="43"/>
      <c r="AA709" s="43"/>
      <c r="AB709" s="43"/>
      <c r="AC709" s="43"/>
      <c r="AD709" s="43"/>
      <c r="AE709" s="43"/>
      <c r="AF709" s="43"/>
    </row>
    <row r="710" spans="1:32" ht="12.75" customHeight="1">
      <c r="G710" s="66">
        <f ca="1">COUNTIF($Q678:$Q678,"W")+COUNTIF($Q685:$Q685,"W")+COUNTIF($Q692:$Q692,"W")+COUNTIF($Q699:$Q699,"W")</f>
        <v>0</v>
      </c>
      <c r="J710" s="66">
        <f ca="1">COUNTIF($Q680:$Q680,"W")+COUNTIF($Q687:$Q687,"W")+COUNTIF($Q694:$Q694,"W")+COUNTIF($Q701:$Q701,"W")</f>
        <v>0</v>
      </c>
      <c r="R710" s="60" t="s">
        <v>1228</v>
      </c>
      <c r="S710" s="339" t="s">
        <v>1126</v>
      </c>
      <c r="T710" s="340"/>
      <c r="U710" s="340"/>
      <c r="V710" s="340"/>
      <c r="W710" s="340"/>
      <c r="X710" s="341"/>
      <c r="Y710" s="60">
        <v>1</v>
      </c>
      <c r="Z710" s="60">
        <v>2</v>
      </c>
      <c r="AA710" s="60">
        <v>3</v>
      </c>
      <c r="AB710" s="60">
        <v>4</v>
      </c>
      <c r="AC710" s="60">
        <v>5</v>
      </c>
      <c r="AD710" s="342"/>
      <c r="AE710" s="343"/>
      <c r="AF710" s="344"/>
    </row>
    <row r="711" spans="1:32" ht="12.75" customHeight="1" thickBot="1">
      <c r="F711" s="246" t="s">
        <v>1238</v>
      </c>
      <c r="G711" s="246"/>
      <c r="H711" s="246"/>
      <c r="I711" s="246"/>
      <c r="J711" s="246"/>
      <c r="K711" s="246"/>
      <c r="R711" s="300" t="str">
        <f>B672</f>
        <v>J</v>
      </c>
      <c r="S711" s="331" t="str">
        <f ca="1">IF($B699&lt;&gt;"",$B699,"")</f>
        <v/>
      </c>
      <c r="T711" s="353"/>
      <c r="U711" s="353"/>
      <c r="V711" s="353"/>
      <c r="W711" s="353"/>
      <c r="X711" s="354"/>
      <c r="Y711" s="329"/>
      <c r="Z711" s="329"/>
      <c r="AA711" s="351"/>
      <c r="AB711" s="351"/>
      <c r="AC711" s="351"/>
      <c r="AD711" s="345"/>
      <c r="AE711" s="346"/>
      <c r="AF711" s="347"/>
    </row>
    <row r="712" spans="1:32" ht="12.75" customHeight="1">
      <c r="A712" s="22"/>
      <c r="B712" s="22"/>
      <c r="C712" s="22"/>
      <c r="D712" s="22"/>
      <c r="E712" s="22"/>
      <c r="G712" s="304" t="str">
        <f>B672</f>
        <v>J</v>
      </c>
      <c r="H712" s="305"/>
      <c r="I712" s="302" t="str">
        <f>K672</f>
        <v>L</v>
      </c>
      <c r="J712" s="303"/>
      <c r="L712" s="22"/>
      <c r="M712" s="22"/>
      <c r="N712" s="22"/>
      <c r="O712" s="22"/>
      <c r="P712" s="22"/>
      <c r="R712" s="301"/>
      <c r="S712" s="355"/>
      <c r="T712" s="356"/>
      <c r="U712" s="356"/>
      <c r="V712" s="356"/>
      <c r="W712" s="356"/>
      <c r="X712" s="357"/>
      <c r="Y712" s="338"/>
      <c r="Z712" s="338"/>
      <c r="AA712" s="352"/>
      <c r="AB712" s="352"/>
      <c r="AC712" s="352"/>
      <c r="AD712" s="348"/>
      <c r="AE712" s="349"/>
      <c r="AF712" s="350"/>
    </row>
    <row r="713" spans="1:32" ht="12.75" customHeight="1" thickBot="1">
      <c r="A713" s="2" t="s">
        <v>1228</v>
      </c>
      <c r="B713" s="53" t="str">
        <f>B672</f>
        <v>J</v>
      </c>
      <c r="C713" s="3" t="s">
        <v>1226</v>
      </c>
      <c r="F713" s="66" t="str">
        <f>CONCATENATE($B672,"-",$K672)</f>
        <v>J-L</v>
      </c>
      <c r="G713" s="320" t="str">
        <f ca="1">IF(OR(Q678&lt;&gt;"",Q685&lt;&gt;"",Q692&lt;&gt;"",Q699&lt;&gt;"",Q706&lt;&gt;""),COUNTIF(Q678:Q678,"W")+COUNTIF(Q685:Q685,"W")+COUNTIF(Q692:Q692,"W")+COUNTIF(Q699:Q699,"W")+COUNTIF(Q706:Q706,"W"),"")</f>
        <v/>
      </c>
      <c r="H713" s="321"/>
      <c r="I713" s="322" t="str">
        <f ca="1">IF(OR(Q680&lt;&gt;"",Q687&lt;&gt;"",Q694&lt;&gt;"",Q701&lt;&gt;"",Q708&lt;&gt;""),COUNTIF(Q680:Q680,"W")+COUNTIF(Q687:Q687,"W")+COUNTIF(Q694:Q694,"W")+COUNTIF(Q701:Q701,"W")+COUNTIF(Q708:Q708,"W"),"")</f>
        <v/>
      </c>
      <c r="J713" s="323"/>
      <c r="L713" s="2" t="s">
        <v>1228</v>
      </c>
      <c r="M713" s="53" t="str">
        <f>K672</f>
        <v>L</v>
      </c>
      <c r="N713" s="3" t="s">
        <v>1226</v>
      </c>
      <c r="R713" s="300" t="str">
        <f>K672</f>
        <v>L</v>
      </c>
      <c r="S713" s="331" t="str">
        <f ca="1">IF($B701&lt;&gt;"",$B701,"")</f>
        <v/>
      </c>
      <c r="T713" s="332"/>
      <c r="U713" s="332"/>
      <c r="V713" s="332"/>
      <c r="W713" s="332"/>
      <c r="X713" s="333"/>
      <c r="Y713" s="329"/>
      <c r="Z713" s="329"/>
      <c r="AA713" s="351"/>
      <c r="AB713" s="351"/>
      <c r="AC713" s="351"/>
      <c r="AD713" s="363" t="s">
        <v>1237</v>
      </c>
      <c r="AE713" s="358"/>
      <c r="AF713" s="359"/>
    </row>
    <row r="714" spans="1:32" ht="12.75" customHeight="1">
      <c r="F714" s="25" t="s">
        <v>3996</v>
      </c>
      <c r="G714" s="23"/>
      <c r="H714" s="23"/>
      <c r="I714" s="23"/>
      <c r="J714" s="23"/>
      <c r="K714" s="24"/>
      <c r="R714" s="330"/>
      <c r="S714" s="334"/>
      <c r="T714" s="335"/>
      <c r="U714" s="335"/>
      <c r="V714" s="335"/>
      <c r="W714" s="335"/>
      <c r="X714" s="336"/>
      <c r="Y714" s="330"/>
      <c r="Z714" s="330"/>
      <c r="AA714" s="330"/>
      <c r="AB714" s="330"/>
      <c r="AC714" s="330"/>
      <c r="AD714" s="360"/>
      <c r="AE714" s="361"/>
      <c r="AF714" s="362"/>
    </row>
    <row r="715" spans="1:32" ht="12.75" customHeight="1">
      <c r="R715" s="1"/>
      <c r="S715" s="110"/>
      <c r="T715" s="110"/>
      <c r="U715" s="110"/>
      <c r="V715" s="110"/>
      <c r="W715" s="110"/>
      <c r="X715" s="111"/>
      <c r="Y715" s="111"/>
      <c r="Z715" s="111"/>
      <c r="AA715" s="111"/>
    </row>
    <row r="716" spans="1:32" ht="12.75" customHeight="1">
      <c r="F716" s="246" t="s">
        <v>4929</v>
      </c>
      <c r="G716" s="246"/>
      <c r="H716" s="246"/>
      <c r="I716" s="246"/>
      <c r="R716" s="1"/>
      <c r="S716" s="110"/>
      <c r="T716" s="110"/>
      <c r="U716" s="110"/>
      <c r="V716" s="110"/>
      <c r="W716" s="110"/>
      <c r="X716" s="111"/>
      <c r="Y716" s="111"/>
      <c r="Z716" s="111"/>
      <c r="AA716" s="111"/>
    </row>
    <row r="717" spans="1:32" ht="12.75" customHeight="1">
      <c r="F717" s="246" t="s">
        <v>4930</v>
      </c>
      <c r="G717" s="246"/>
      <c r="H717" s="246"/>
      <c r="I717" s="246"/>
      <c r="R717" s="1"/>
      <c r="S717" s="110"/>
      <c r="T717" s="110"/>
      <c r="U717" s="110"/>
      <c r="V717" s="110"/>
      <c r="W717" s="110"/>
      <c r="X717" s="111"/>
      <c r="Y717" s="111"/>
      <c r="Z717" s="111"/>
      <c r="AA717" s="111"/>
    </row>
    <row r="718" spans="1:32" ht="12.75" customHeight="1">
      <c r="K718" s="281" t="s">
        <v>1244</v>
      </c>
      <c r="L718" s="281"/>
      <c r="M718" s="281"/>
      <c r="N718" s="281"/>
      <c r="O718" s="281"/>
      <c r="P718" s="281"/>
      <c r="R718" s="1"/>
      <c r="S718" s="110"/>
      <c r="T718" s="110"/>
      <c r="U718" s="110"/>
      <c r="V718" s="110"/>
      <c r="W718" s="110"/>
      <c r="X718" s="111"/>
      <c r="Y718" s="111"/>
      <c r="Z718" s="111"/>
      <c r="AA718" s="111"/>
    </row>
    <row r="719" spans="1:32" ht="12.75" customHeight="1">
      <c r="A719" s="12" t="s">
        <v>1229</v>
      </c>
      <c r="B719" s="11"/>
      <c r="C719" s="11"/>
      <c r="D719" s="11" t="str">
        <f>Draw!$B$1</f>
        <v>Enter Division Name</v>
      </c>
      <c r="E719" s="11"/>
      <c r="F719" s="7"/>
      <c r="G719" s="6"/>
      <c r="H719" s="7"/>
      <c r="I719" s="11"/>
      <c r="J719" s="11"/>
      <c r="K719" s="11"/>
      <c r="L719" s="11"/>
      <c r="M719" s="281"/>
      <c r="N719" s="281"/>
      <c r="O719" s="281"/>
      <c r="P719" s="281"/>
      <c r="R719" s="1"/>
      <c r="S719" s="110"/>
      <c r="T719" s="110"/>
      <c r="U719" s="110"/>
      <c r="V719" s="110"/>
      <c r="W719" s="110"/>
      <c r="X719" s="111"/>
      <c r="Y719" s="111"/>
      <c r="Z719" s="111"/>
      <c r="AA719" s="111"/>
    </row>
    <row r="720" spans="1:32" ht="12.75" customHeight="1">
      <c r="A720" s="2" t="s">
        <v>1230</v>
      </c>
      <c r="D720" s="43" t="str">
        <f>Draw!$D$1</f>
        <v>Enter Hosting Location (City, ST)</v>
      </c>
      <c r="J720" s="43" t="str">
        <f ca="1">$J$6</f>
        <v>[NCTTA Teams Template (v2.06).xlsx]</v>
      </c>
      <c r="R720" s="1"/>
      <c r="S720" s="110"/>
      <c r="T720" s="110"/>
      <c r="U720" s="110"/>
      <c r="V720" s="110"/>
      <c r="W720" s="110"/>
      <c r="X720" s="111"/>
      <c r="Y720" s="111"/>
      <c r="Z720" s="111"/>
      <c r="AA720" s="111"/>
    </row>
    <row r="721" spans="1:32" ht="12.75" customHeight="1">
      <c r="A721" s="2" t="s">
        <v>1231</v>
      </c>
      <c r="D721" s="337" t="str">
        <f>Draw!$P$1</f>
        <v>Enter Date</v>
      </c>
      <c r="E721" s="337"/>
      <c r="F721" s="337"/>
      <c r="G721" s="337"/>
      <c r="J721" s="280" t="str">
        <f>CHOOSE(Draw!$T$1,"Round 3, Match 3","Round 5, Match 3","Round 2, Match 5","","","Round 5, Match 3","Round 5, Match 3","Round 4, Match 3","Round 4, Match 3","Round 3, Match 5","Round 3, Match 5")</f>
        <v>Round 2, Match 5</v>
      </c>
      <c r="K721" s="280"/>
      <c r="L721" s="280"/>
      <c r="M721" s="276" t="str">
        <f>IF(AND($J721&lt;&gt;"",Draw!$AC$10&lt;&gt;"",Draw!$AC$13&lt;&gt;""),Draw!$AC$10+TIME(0,VALUE(MID($J721,7,FIND(",",$J721)-FIND(" ",$J721)-1)-1)*Draw!$AC$13,0),"")</f>
        <v/>
      </c>
      <c r="N721" s="276"/>
      <c r="O721" s="157" t="str">
        <f>$F764</f>
        <v>I-J</v>
      </c>
      <c r="R721" s="1"/>
      <c r="S721" s="110"/>
      <c r="T721" s="110"/>
      <c r="U721" s="110"/>
      <c r="V721" s="110"/>
      <c r="W721" s="110"/>
      <c r="X721" s="111"/>
      <c r="Y721" s="111"/>
      <c r="Z721" s="111"/>
      <c r="AA721" s="111"/>
    </row>
    <row r="722" spans="1:32" ht="12.75" customHeight="1">
      <c r="A722" s="14"/>
      <c r="B722" s="15"/>
      <c r="C722" s="15"/>
      <c r="D722" s="15"/>
      <c r="E722" s="15"/>
      <c r="F722" s="14"/>
      <c r="G722" s="14"/>
      <c r="H722" s="16"/>
      <c r="I722" s="14"/>
      <c r="J722" s="15"/>
      <c r="K722" s="15"/>
      <c r="L722" s="15"/>
      <c r="M722" s="15"/>
      <c r="N722" s="15"/>
      <c r="O722" s="364" t="str">
        <f>IF(OR(AND(VLOOKUP($B723,$AM$1:$AX$12,12,FALSE)="C",VLOOKUP($K723,$AM$1:$AX$12,12,FALSE)="C"),AND(VLOOKUP($B723,$AM$1:$AX$12,12,FALSE)="W",VLOOKUP($K723,$AM$1:$AX$12,12,FALSE)="W")),"Official",IF(AND($A724="",$J724=""),"","Scrimmage"))</f>
        <v/>
      </c>
      <c r="P722" s="364"/>
      <c r="R722" s="1"/>
      <c r="S722" s="110"/>
      <c r="T722" s="110"/>
      <c r="U722" s="110"/>
      <c r="V722" s="110"/>
      <c r="W722" s="110"/>
      <c r="X722" s="111"/>
      <c r="Y722" s="111"/>
      <c r="Z722" s="111"/>
      <c r="AA722" s="111"/>
    </row>
    <row r="723" spans="1:32" ht="12.75" customHeight="1">
      <c r="A723" s="17" t="s">
        <v>1228</v>
      </c>
      <c r="B723" s="119" t="str">
        <f>CHOOSE(Draw!$T$1,"H","B","I","A","A","B","F","B","D","C","D")</f>
        <v>I</v>
      </c>
      <c r="C723" s="135">
        <f>VLOOKUP($B723,$AM$1:$AN$12,2)</f>
        <v>9</v>
      </c>
      <c r="D723" s="13"/>
      <c r="E723" s="13"/>
      <c r="F723" s="10"/>
      <c r="H723" s="19" t="s">
        <v>1232</v>
      </c>
      <c r="J723" s="17" t="s">
        <v>1228</v>
      </c>
      <c r="K723" s="119" t="str">
        <f>CHOOSE(Draw!$T$1,"L","C","J","F","J","C","G","F","H","D","E")</f>
        <v>J</v>
      </c>
      <c r="L723" s="135">
        <f>VLOOKUP($K723,$AM$1:$AN$12,2)</f>
        <v>10</v>
      </c>
      <c r="M723" s="13"/>
      <c r="N723" s="13"/>
      <c r="O723" s="18"/>
      <c r="P723" s="274"/>
      <c r="Q723" s="275"/>
      <c r="R723" s="1"/>
      <c r="S723" s="110"/>
      <c r="T723" s="110"/>
      <c r="U723" s="110"/>
      <c r="V723" s="110"/>
      <c r="W723" s="110"/>
      <c r="X723" s="111"/>
      <c r="Y723" s="111"/>
      <c r="Z723" s="111"/>
      <c r="AA723" s="111"/>
    </row>
    <row r="724" spans="1:32" ht="12.75" customHeight="1">
      <c r="A724" s="277" t="str">
        <f>IF(VLOOKUP($B723,Draw!$A$4:$B$27,2)&lt;&gt;0,VLOOKUP($B723,Draw!$A$4:$B$27,2),"")</f>
        <v/>
      </c>
      <c r="B724" s="278"/>
      <c r="C724" s="278"/>
      <c r="D724" s="278"/>
      <c r="E724" s="278"/>
      <c r="F724" s="279"/>
      <c r="G724" s="306" t="s">
        <v>4166</v>
      </c>
      <c r="H724" s="289"/>
      <c r="I724" s="307"/>
      <c r="J724" s="277" t="str">
        <f>IF(VLOOKUP($K723,Draw!$A$4:$B$27,2)&lt;&gt;0,VLOOKUP($K723,Draw!$A$4:$B$27,2),"")</f>
        <v/>
      </c>
      <c r="K724" s="278"/>
      <c r="L724" s="278"/>
      <c r="M724" s="278"/>
      <c r="N724" s="278"/>
      <c r="O724" s="279"/>
      <c r="P724" s="15"/>
      <c r="R724" s="1"/>
      <c r="S724" s="110"/>
      <c r="T724" s="110"/>
      <c r="U724" s="110"/>
      <c r="V724" s="110"/>
      <c r="W724" s="110"/>
      <c r="X724" s="111"/>
      <c r="Y724" s="111"/>
      <c r="Z724" s="111"/>
      <c r="AA724" s="111"/>
    </row>
    <row r="725" spans="1:32" ht="12.75" customHeight="1">
      <c r="A725" s="14"/>
      <c r="B725" s="15"/>
      <c r="C725" s="15"/>
      <c r="D725" s="15"/>
      <c r="E725" s="15"/>
      <c r="F725" s="14"/>
      <c r="G725" s="288" t="str">
        <f>"Page "&amp;VALUE(RIGHT($G724,LEN($G724)-SEARCH("-",$G724)))/2</f>
        <v>Page 15</v>
      </c>
      <c r="H725" s="289"/>
      <c r="I725" s="289"/>
      <c r="J725" s="15"/>
      <c r="K725" s="15"/>
      <c r="L725" s="15"/>
      <c r="M725" s="15"/>
      <c r="N725" s="15"/>
      <c r="O725" s="15"/>
      <c r="P725" s="15"/>
      <c r="R725" s="1"/>
      <c r="S725" s="110"/>
      <c r="T725" s="110"/>
      <c r="U725" s="110"/>
      <c r="V725" s="110"/>
      <c r="W725" s="110"/>
      <c r="X725" s="111"/>
      <c r="Y725" s="111"/>
      <c r="Z725" s="111"/>
      <c r="AA725" s="111"/>
      <c r="AF725" s="27"/>
    </row>
    <row r="726" spans="1:32" ht="12.75" customHeight="1">
      <c r="A726" s="327" t="s">
        <v>1245</v>
      </c>
      <c r="B726" s="327"/>
      <c r="C726" s="327"/>
      <c r="D726" s="327"/>
      <c r="E726" s="327"/>
      <c r="F726" s="327"/>
      <c r="G726" s="327"/>
      <c r="H726" s="327"/>
      <c r="I726" s="327"/>
      <c r="J726" s="327"/>
      <c r="K726" s="327"/>
      <c r="L726" s="327"/>
      <c r="M726" s="327"/>
      <c r="N726" s="327"/>
      <c r="O726" s="327"/>
      <c r="P726" s="327"/>
      <c r="Q726" s="7"/>
      <c r="R726" s="1"/>
      <c r="S726" s="110"/>
      <c r="T726" s="110"/>
      <c r="U726" s="110"/>
      <c r="V726" s="110"/>
      <c r="W726" s="110"/>
      <c r="X726" s="111"/>
      <c r="Y726" s="111"/>
      <c r="Z726" s="111"/>
      <c r="AA726" s="111"/>
      <c r="AF726" s="20"/>
    </row>
    <row r="727" spans="1:32" ht="12.75" customHeight="1">
      <c r="A727" s="21" t="s">
        <v>1233</v>
      </c>
      <c r="H727" s="136" t="str">
        <f>IF($Q729&lt;&gt;"",IF(AND(AND($H729&gt;-1,$H731&gt;-1),OR($H729&gt;10,$H731&gt;10),ABS($H729-$H731)&gt;1,IF(OR($H729&gt;11,$H731&gt;11),ABS($H729-$H731)=2,TRUE),$H729=INT($H729),$H731=INT($H731)),"","Error"),"")</f>
        <v/>
      </c>
      <c r="I727" s="136" t="str">
        <f>IF($Q729&lt;&gt;"",IF(AND(AND($I729&gt;-1,$I731&gt;-1),OR($I729&gt;10,$I731&gt;10),ABS($I729-$I731)&gt;1,IF(OR($I729&gt;11,$I731&gt;11),ABS($I729-$I731)=2,TRUE),$I729=INT($I729),$I731=INT($I731)),"","Error"),"")</f>
        <v/>
      </c>
      <c r="J727" s="136" t="str">
        <f>IF($Q729&lt;&gt;"",IF(AND(AND($J729&gt;-1,$J731&gt;-1),OR($J729&gt;10,$J731&gt;10),ABS($J729-$J731)&gt;1,IF(OR($J729&gt;11,$J731&gt;11),ABS($J729-$J731)=2,TRUE),$J729=INT($J729),$J731=INT($J731)),"","Error"),"")</f>
        <v/>
      </c>
      <c r="K727" s="136" t="str">
        <f>IF($Q729&lt;&gt;"",IF(AND($K729&lt;&gt;"",$K731&lt;&gt;""), IF(AND(AND($K729&gt;-1,$K731&gt;-1),OR($K729&gt;10,$K731&gt;10),ABS($K729-$K731)&gt;1,IF(OR($K729&gt;11,$K731&gt;11),ABS($K729-$K731)=2,TRUE),$K729=INT($K729),$K731=INT($K731)),"","Error"),""),"")</f>
        <v/>
      </c>
      <c r="L727" s="136" t="str">
        <f>IF($Q729&lt;&gt;"",IF(AND($L729&lt;&gt;"",$L731&lt;&gt;""), IF(AND(AND($L729&gt;-1,$L731&gt;-1),OR($L729&gt;10,$L731&gt;10),ABS($L729-$L731)&gt;1,IF(OR($L729&gt;11,$L731&gt;11),ABS($L729-$L731)=2,TRUE),$L729=INT($L729),$L731=INT($L731)),"","Error"),""),"")</f>
        <v/>
      </c>
      <c r="R727" s="1"/>
      <c r="S727" s="110"/>
      <c r="T727" s="110"/>
      <c r="U727" s="110"/>
      <c r="V727" s="110"/>
      <c r="W727" s="110"/>
      <c r="X727" s="111"/>
      <c r="Y727" s="111"/>
      <c r="Z727" s="111"/>
      <c r="AA727" s="111"/>
    </row>
    <row r="728" spans="1:32" ht="12.75" customHeight="1">
      <c r="A728" s="5" t="s">
        <v>1228</v>
      </c>
      <c r="B728" s="290" t="s">
        <v>1126</v>
      </c>
      <c r="C728" s="291"/>
      <c r="D728" s="291"/>
      <c r="E728" s="291"/>
      <c r="F728" s="291"/>
      <c r="G728" s="292"/>
      <c r="H728" s="5">
        <v>1</v>
      </c>
      <c r="I728" s="5">
        <v>2</v>
      </c>
      <c r="J728" s="5">
        <v>3</v>
      </c>
      <c r="K728" s="5">
        <v>4</v>
      </c>
      <c r="L728" s="5">
        <v>5</v>
      </c>
      <c r="M728" s="271"/>
      <c r="N728" s="272"/>
      <c r="O728" s="272"/>
      <c r="P728" s="273"/>
      <c r="R728" s="1"/>
      <c r="S728" s="110"/>
      <c r="T728" s="110"/>
      <c r="U728" s="110"/>
      <c r="V728" s="110"/>
      <c r="W728" s="110"/>
      <c r="X728" s="111"/>
      <c r="Y728" s="111"/>
      <c r="Z728" s="111"/>
      <c r="AA728" s="111"/>
    </row>
    <row r="729" spans="1:32" ht="12.75" customHeight="1">
      <c r="A729" s="300" t="str">
        <f>B723</f>
        <v>I</v>
      </c>
      <c r="B729" s="293" t="str">
        <f ca="1">IF(AND(OFFSET($AO$1,$C723-1,8,1,1),$A724&lt;&gt;"",$J724&lt;&gt;""),CHOOSE($C723,$AO$1,$AO$2,$AO$3,$AO$4,$AO$5,$AO$6,$AO$7,$AO$8,$AO$9,$AO$10,$AO$11,$AO$12),"")</f>
        <v/>
      </c>
      <c r="C729" s="294"/>
      <c r="D729" s="294"/>
      <c r="E729" s="294"/>
      <c r="F729" s="294"/>
      <c r="G729" s="294"/>
      <c r="H729" s="265"/>
      <c r="I729" s="265"/>
      <c r="J729" s="265"/>
      <c r="K729" s="265"/>
      <c r="L729" s="265"/>
      <c r="M729" s="297"/>
      <c r="N729" s="298"/>
      <c r="O729" s="298"/>
      <c r="P729" s="299"/>
      <c r="Q729" s="137" t="str">
        <f>IF($L729=$L731,IF($K729=$K731,IF($J729&lt;&gt;"",IF($J729&gt;$J731,"W","L"),""),IF($K729&gt;$K731,"W","L")),IF($L729&gt;$L731,"W","L"))</f>
        <v/>
      </c>
      <c r="R729" s="1"/>
      <c r="S729" s="110"/>
      <c r="T729" s="110"/>
      <c r="U729" s="110"/>
      <c r="V729" s="110"/>
      <c r="W729" s="110"/>
      <c r="X729" s="111"/>
      <c r="Y729" s="111"/>
      <c r="Z729" s="111"/>
      <c r="AA729" s="111"/>
    </row>
    <row r="730" spans="1:32" ht="12.75" customHeight="1">
      <c r="A730" s="301"/>
      <c r="B730" s="295"/>
      <c r="C730" s="296"/>
      <c r="D730" s="296"/>
      <c r="E730" s="296"/>
      <c r="F730" s="296"/>
      <c r="G730" s="296"/>
      <c r="H730" s="270"/>
      <c r="I730" s="270"/>
      <c r="J730" s="270"/>
      <c r="K730" s="270"/>
      <c r="L730" s="270"/>
      <c r="M730" s="297"/>
      <c r="N730" s="298"/>
      <c r="O730" s="298"/>
      <c r="P730" s="299"/>
      <c r="Q730" s="139" t="str">
        <f>IF($Q729&lt;&gt;"",IF($Q729="W",IF(SUM(IF($H729&gt;$H731,1,0),IF($I729&gt;$I731,1,0),IF($J729&gt;$J731,1,0),IF($K729&gt;$K731,1,0),IF($L729&gt;$L731,1,0))&lt;&gt;3,"Error",""),""),"")</f>
        <v/>
      </c>
      <c r="R730" s="328" t="str">
        <f>$A724</f>
        <v/>
      </c>
      <c r="S730" s="328"/>
      <c r="T730" s="328"/>
      <c r="U730" s="328"/>
      <c r="V730" s="328"/>
      <c r="W730" s="328"/>
      <c r="X730" s="256" t="str">
        <f>CONCATENATE("(",$B723," vs ",$K723,")")</f>
        <v>(I vs J)</v>
      </c>
      <c r="Y730" s="256"/>
      <c r="Z730" s="328" t="str">
        <f>$J724</f>
        <v/>
      </c>
      <c r="AA730" s="328"/>
      <c r="AB730" s="328"/>
      <c r="AC730" s="328"/>
      <c r="AD730" s="328"/>
      <c r="AE730" s="328"/>
      <c r="AF730" s="43"/>
    </row>
    <row r="731" spans="1:32" ht="12.75" customHeight="1">
      <c r="A731" s="300" t="str">
        <f>K723</f>
        <v>J</v>
      </c>
      <c r="B731" s="293" t="str">
        <f ca="1">IF(AND(OFFSET($AO$1,$L723-1,8,1,1),$A724&lt;&gt;"",$J724&lt;&gt;""),CHOOSE($L723,$AO$1,$AO$2,$AO$3,$AO$4,$AO$5,$AO$6,$AO$7,$AO$8,$AO$9,$AO$10,$AO$11,$AO$12),"")</f>
        <v/>
      </c>
      <c r="C731" s="294"/>
      <c r="D731" s="294"/>
      <c r="E731" s="294"/>
      <c r="F731" s="294"/>
      <c r="G731" s="294"/>
      <c r="H731" s="265"/>
      <c r="I731" s="265"/>
      <c r="J731" s="265"/>
      <c r="K731" s="265"/>
      <c r="L731" s="265"/>
      <c r="M731" s="267" t="s">
        <v>1237</v>
      </c>
      <c r="N731" s="268"/>
      <c r="O731" s="268"/>
      <c r="P731" s="269"/>
      <c r="Q731" s="137" t="str">
        <f>IF($Q729&lt;&gt;"",IF($Q729="W","L","W"),"")</f>
        <v/>
      </c>
      <c r="R731" s="43"/>
      <c r="S731" s="43"/>
      <c r="T731" s="43"/>
      <c r="U731" s="43"/>
      <c r="V731" s="43"/>
      <c r="W731" s="43"/>
      <c r="X731" s="43"/>
      <c r="Y731" s="43"/>
      <c r="Z731" s="43"/>
      <c r="AA731" s="43"/>
      <c r="AB731" s="43"/>
      <c r="AC731" s="43"/>
      <c r="AD731" s="43"/>
      <c r="AE731" s="43"/>
      <c r="AF731" s="43"/>
    </row>
    <row r="732" spans="1:32" ht="12.75" customHeight="1">
      <c r="A732" s="301"/>
      <c r="B732" s="295"/>
      <c r="C732" s="296"/>
      <c r="D732" s="296"/>
      <c r="E732" s="296"/>
      <c r="F732" s="296"/>
      <c r="G732" s="296"/>
      <c r="H732" s="270"/>
      <c r="I732" s="270"/>
      <c r="J732" s="266"/>
      <c r="K732" s="266"/>
      <c r="L732" s="266"/>
      <c r="M732" s="267"/>
      <c r="N732" s="268"/>
      <c r="O732" s="268"/>
      <c r="P732" s="269"/>
      <c r="Q732" s="139" t="str">
        <f>IF($Q731&lt;&gt;"",IF($Q731="W",IF(SUM(IF($H731&gt;$H729,1,0),IF($I731&gt;$I729,1,0),IF($J731&gt;$J729,1,0),IF($K731&gt;$K729,1,0),IF($L731&gt;$L729,1,0))&lt;&gt;3,"Error",""),""),"")</f>
        <v/>
      </c>
      <c r="R732" s="43" t="str">
        <f>$A734</f>
        <v>2nd Singles</v>
      </c>
      <c r="S732" s="43"/>
      <c r="T732" s="43"/>
      <c r="U732" s="43"/>
      <c r="V732" s="43"/>
      <c r="W732" s="43"/>
      <c r="X732" s="43"/>
      <c r="Y732" s="43"/>
      <c r="Z732" s="43"/>
      <c r="AA732" s="43"/>
      <c r="AB732" s="43"/>
      <c r="AC732" s="43"/>
      <c r="AD732" s="43"/>
      <c r="AE732" s="43"/>
      <c r="AF732" s="43"/>
    </row>
    <row r="733" spans="1:32" ht="12.75" customHeight="1">
      <c r="Q733" s="7"/>
      <c r="R733" s="60" t="s">
        <v>1228</v>
      </c>
      <c r="S733" s="339" t="s">
        <v>1126</v>
      </c>
      <c r="T733" s="340"/>
      <c r="U733" s="340"/>
      <c r="V733" s="340"/>
      <c r="W733" s="340"/>
      <c r="X733" s="341"/>
      <c r="Y733" s="60">
        <v>1</v>
      </c>
      <c r="Z733" s="60">
        <v>2</v>
      </c>
      <c r="AA733" s="60">
        <v>3</v>
      </c>
      <c r="AB733" s="60">
        <v>4</v>
      </c>
      <c r="AC733" s="60">
        <v>5</v>
      </c>
      <c r="AD733" s="342"/>
      <c r="AE733" s="343"/>
      <c r="AF733" s="344"/>
    </row>
    <row r="734" spans="1:32" ht="12.75" customHeight="1">
      <c r="A734" s="21" t="s">
        <v>1234</v>
      </c>
      <c r="H734" s="136" t="str">
        <f>IF($Q736&lt;&gt;"",IF(AND(AND($H736&gt;-1,$H738&gt;-1),OR($H736&gt;10,$H738&gt;10),ABS($H736-$H738)&gt;1,IF(OR($H736&gt;11,$H738&gt;11),ABS($H736-$H738)=2,TRUE),$H736=INT($H736),$H738=INT($H738)),"","Error"),"")</f>
        <v/>
      </c>
      <c r="I734" s="136" t="str">
        <f>IF($Q736&lt;&gt;"",IF(AND(AND($I736&gt;-1,$I738&gt;-1),OR($I736&gt;10,$I738&gt;10),ABS($I736-$I738)&gt;1,IF(OR($I736&gt;11,$I738&gt;11),ABS($I736-$I738)=2,TRUE),$I736=INT($I736),$I738=INT($I738)),"","Error"),"")</f>
        <v/>
      </c>
      <c r="J734" s="136" t="str">
        <f>IF($Q736&lt;&gt;"",IF(AND(AND($J736&gt;-1,$J738&gt;-1),OR($J736&gt;10,$J738&gt;10),ABS($J736-$J738)&gt;1,IF(OR($J736&gt;11,$J738&gt;11),ABS($J736-$J738)=2,TRUE),$J736=INT($J736),$J738=INT($J738)),"","Error"),"")</f>
        <v/>
      </c>
      <c r="K734" s="136" t="str">
        <f>IF($Q736&lt;&gt;"",IF(AND($K736&lt;&gt;"",$K738&lt;&gt;""), IF(AND(AND($K736&gt;-1,$K738&gt;-1),OR($K736&gt;10,$K738&gt;10),ABS($K736-$K738)&gt;1,IF(OR($K736&gt;11,$K738&gt;11),ABS($K736-$K738)=2,TRUE),$K736=INT($K736),$K738=INT($K738)),"","Error"),""),"")</f>
        <v/>
      </c>
      <c r="L734" s="136" t="str">
        <f>IF($Q736&lt;&gt;"",IF(AND($L736&lt;&gt;"",$L738&lt;&gt;""), IF(AND(AND($L736&gt;-1,$L738&gt;-1),OR($L736&gt;10,$L738&gt;10),ABS($L736-$L738)&gt;1,IF(OR($L736&gt;11,$L738&gt;11),ABS($L736-$L738)=2,TRUE),$L736=INT($L736),$L738=INT($L738)),"","Error"),""),"")</f>
        <v/>
      </c>
      <c r="Q734" s="7"/>
      <c r="R734" s="300" t="str">
        <f>$B723</f>
        <v>I</v>
      </c>
      <c r="S734" s="331" t="str">
        <f ca="1">IF($B736&lt;&gt;"",$B736,"")</f>
        <v/>
      </c>
      <c r="T734" s="332"/>
      <c r="U734" s="332"/>
      <c r="V734" s="332"/>
      <c r="W734" s="332"/>
      <c r="X734" s="333"/>
      <c r="Y734" s="329"/>
      <c r="Z734" s="329"/>
      <c r="AA734" s="329"/>
      <c r="AB734" s="329"/>
      <c r="AC734" s="329"/>
      <c r="AD734" s="345"/>
      <c r="AE734" s="358"/>
      <c r="AF734" s="359"/>
    </row>
    <row r="735" spans="1:32" ht="12.75" customHeight="1">
      <c r="A735" s="5" t="s">
        <v>1228</v>
      </c>
      <c r="B735" s="290" t="s">
        <v>1126</v>
      </c>
      <c r="C735" s="291"/>
      <c r="D735" s="291"/>
      <c r="E735" s="291"/>
      <c r="F735" s="291"/>
      <c r="G735" s="292"/>
      <c r="H735" s="5">
        <v>1</v>
      </c>
      <c r="I735" s="5">
        <v>2</v>
      </c>
      <c r="J735" s="5">
        <v>3</v>
      </c>
      <c r="K735" s="5">
        <v>4</v>
      </c>
      <c r="L735" s="5">
        <v>5</v>
      </c>
      <c r="M735" s="271"/>
      <c r="N735" s="272"/>
      <c r="O735" s="272"/>
      <c r="P735" s="273"/>
      <c r="Q735" s="7"/>
      <c r="R735" s="330"/>
      <c r="S735" s="334"/>
      <c r="T735" s="335"/>
      <c r="U735" s="335"/>
      <c r="V735" s="335"/>
      <c r="W735" s="335"/>
      <c r="X735" s="336"/>
      <c r="Y735" s="330"/>
      <c r="Z735" s="330"/>
      <c r="AA735" s="330"/>
      <c r="AB735" s="330"/>
      <c r="AC735" s="330"/>
      <c r="AD735" s="360"/>
      <c r="AE735" s="361"/>
      <c r="AF735" s="362"/>
    </row>
    <row r="736" spans="1:32" ht="12.75" customHeight="1">
      <c r="A736" s="300" t="str">
        <f>B723</f>
        <v>I</v>
      </c>
      <c r="B736" s="293" t="str">
        <f ca="1">IF(AND(OFFSET($AO$1,$C723-1,8,1,1),$A724&lt;&gt;"",$J724&lt;&gt;""),CHOOSE($C723,$AP$1,$AP$2,$AP$3,$AP$4,$AP$5,$AP$6,$AP$7,$AP$8,$AP$9,$AP$10,$AP$11,$AP$12),"")</f>
        <v/>
      </c>
      <c r="C736" s="294"/>
      <c r="D736" s="294"/>
      <c r="E736" s="294"/>
      <c r="F736" s="294"/>
      <c r="G736" s="294"/>
      <c r="H736" s="265"/>
      <c r="I736" s="265"/>
      <c r="J736" s="265"/>
      <c r="K736" s="265"/>
      <c r="L736" s="265"/>
      <c r="M736" s="262" t="str">
        <f ca="1">IF(OR(AND($B729&lt;&gt;"",$B736&lt;&gt;"",$C754&lt;=$B754),AND($B731&lt;&gt;"",$B738&lt;&gt;"",$G754&lt;=$F754)),"Invalid Lineup","")</f>
        <v/>
      </c>
      <c r="N736" s="263"/>
      <c r="O736" s="263"/>
      <c r="P736" s="264"/>
      <c r="Q736" s="137" t="str">
        <f>IF($L736=$L738,IF($K736=$K738,IF($J736&lt;&gt;"",IF($J736&gt;$J738,"W","L"),""),IF($K736&gt;$K738,"W","L")),IF($L736&gt;$L738,"W","L"))</f>
        <v/>
      </c>
      <c r="R736" s="300" t="str">
        <f>$K723</f>
        <v>J</v>
      </c>
      <c r="S736" s="331" t="str">
        <f ca="1">IF($B738&lt;&gt;"",$B738,"")</f>
        <v/>
      </c>
      <c r="T736" s="332"/>
      <c r="U736" s="332"/>
      <c r="V736" s="332"/>
      <c r="W736" s="332"/>
      <c r="X736" s="333"/>
      <c r="Y736" s="329"/>
      <c r="Z736" s="329"/>
      <c r="AA736" s="329"/>
      <c r="AB736" s="329"/>
      <c r="AC736" s="351"/>
      <c r="AD736" s="363" t="s">
        <v>1237</v>
      </c>
      <c r="AE736" s="358"/>
      <c r="AF736" s="359"/>
    </row>
    <row r="737" spans="1:32" ht="12.75" customHeight="1">
      <c r="A737" s="301"/>
      <c r="B737" s="295"/>
      <c r="C737" s="296"/>
      <c r="D737" s="296"/>
      <c r="E737" s="296"/>
      <c r="F737" s="296"/>
      <c r="G737" s="296"/>
      <c r="H737" s="270"/>
      <c r="I737" s="270"/>
      <c r="J737" s="270"/>
      <c r="K737" s="270"/>
      <c r="L737" s="270"/>
      <c r="M737" s="262"/>
      <c r="N737" s="263"/>
      <c r="O737" s="263"/>
      <c r="P737" s="264"/>
      <c r="Q737" s="139" t="str">
        <f>IF($Q736&lt;&gt;"",IF($Q736="W",IF(SUM(IF($H736&gt;$H738,1,0),IF($I736&gt;$I738,1,0),IF($J736&gt;$J738,1,0),IF($K736&gt;$K738,1,0),IF($L736&gt;$L738,1,0))&lt;&gt;3,"Error",""),""),"")</f>
        <v/>
      </c>
      <c r="R737" s="330"/>
      <c r="S737" s="334"/>
      <c r="T737" s="335"/>
      <c r="U737" s="335"/>
      <c r="V737" s="335"/>
      <c r="W737" s="335"/>
      <c r="X737" s="336"/>
      <c r="Y737" s="330"/>
      <c r="Z737" s="330"/>
      <c r="AA737" s="330"/>
      <c r="AB737" s="330"/>
      <c r="AC737" s="330"/>
      <c r="AD737" s="360"/>
      <c r="AE737" s="361"/>
      <c r="AF737" s="362"/>
    </row>
    <row r="738" spans="1:32" ht="12.75" customHeight="1">
      <c r="A738" s="300" t="str">
        <f>K723</f>
        <v>J</v>
      </c>
      <c r="B738" s="293" t="str">
        <f ca="1">IF(AND(OFFSET($AO$1,$L723-1,8,1,1),$A724&lt;&gt;"",$J724&lt;&gt;""),CHOOSE($L723,$AP$1,$AP$2,$AP$3,$AP$4,$AP$5,$AP$6,$AP$7,$AP$8,$AP$9,$AP$10,$AP$11,$AP$12),"")</f>
        <v/>
      </c>
      <c r="C738" s="294"/>
      <c r="D738" s="294"/>
      <c r="E738" s="294"/>
      <c r="F738" s="294"/>
      <c r="G738" s="294"/>
      <c r="H738" s="265"/>
      <c r="I738" s="265"/>
      <c r="J738" s="265"/>
      <c r="K738" s="265"/>
      <c r="L738" s="265"/>
      <c r="M738" s="267" t="s">
        <v>1237</v>
      </c>
      <c r="N738" s="268"/>
      <c r="O738" s="268"/>
      <c r="P738" s="269"/>
      <c r="Q738" s="137" t="str">
        <f>IF($Q736&lt;&gt;"",IF($Q736="W","L","W"),"")</f>
        <v/>
      </c>
      <c r="R738" s="20"/>
      <c r="S738" s="20"/>
      <c r="T738" s="20"/>
      <c r="U738" s="20"/>
      <c r="V738" s="20"/>
      <c r="W738" s="20"/>
      <c r="X738" s="26"/>
      <c r="Y738" s="26"/>
      <c r="Z738" s="20"/>
      <c r="AA738" s="20"/>
      <c r="AB738" s="20"/>
      <c r="AC738" s="20"/>
      <c r="AD738" s="20"/>
      <c r="AE738" s="20"/>
      <c r="AF738" s="27"/>
    </row>
    <row r="739" spans="1:32" ht="12.75" customHeight="1">
      <c r="A739" s="301"/>
      <c r="B739" s="295"/>
      <c r="C739" s="296"/>
      <c r="D739" s="296"/>
      <c r="E739" s="296"/>
      <c r="F739" s="296"/>
      <c r="G739" s="296"/>
      <c r="H739" s="270"/>
      <c r="I739" s="270"/>
      <c r="J739" s="266"/>
      <c r="K739" s="266"/>
      <c r="L739" s="266"/>
      <c r="M739" s="267"/>
      <c r="N739" s="268"/>
      <c r="O739" s="268"/>
      <c r="P739" s="269"/>
      <c r="Q739" s="139" t="str">
        <f>IF($Q738&lt;&gt;"",IF($Q738="W",IF(SUM(IF($H738&gt;$H736,1,0),IF($I738&gt;$I736,1,0),IF($J738&gt;$J736,1,0),IF($K738&gt;$K736,1,0),IF($L738&gt;$L736,1,0))&lt;&gt;3,"Error",""),""),"")</f>
        <v/>
      </c>
      <c r="R739" s="20"/>
      <c r="S739" s="20"/>
      <c r="T739" s="20"/>
      <c r="U739" s="20"/>
      <c r="V739" s="20"/>
      <c r="W739" s="20"/>
      <c r="X739" s="26"/>
      <c r="Y739" s="26"/>
      <c r="Z739" s="20"/>
      <c r="AA739" s="20"/>
      <c r="AB739" s="20"/>
      <c r="AC739" s="20"/>
      <c r="AD739" s="20"/>
      <c r="AE739" s="20"/>
      <c r="AF739" s="27"/>
    </row>
    <row r="740" spans="1:32" ht="12.75" customHeight="1">
      <c r="Q740" s="7"/>
      <c r="R740" s="20"/>
      <c r="S740" s="20"/>
      <c r="T740" s="20"/>
      <c r="U740" s="20"/>
      <c r="V740" s="20"/>
      <c r="W740" s="20"/>
      <c r="X740" s="26"/>
      <c r="Y740" s="26"/>
      <c r="Z740" s="20"/>
      <c r="AA740" s="20"/>
      <c r="AB740" s="20"/>
      <c r="AC740" s="20"/>
      <c r="AD740" s="20"/>
      <c r="AE740" s="20"/>
      <c r="AF740" s="27"/>
    </row>
    <row r="741" spans="1:32" ht="12.75" customHeight="1">
      <c r="A741" s="21" t="s">
        <v>1235</v>
      </c>
      <c r="H741" s="136" t="str">
        <f>IF($Q743&lt;&gt;"",IF(AND(AND($H743&gt;-1,$H745&gt;-1),OR($H743&gt;10,$H745&gt;10),ABS($H743-$H745)&gt;1,IF(OR($H743&gt;11,$H745&gt;11),ABS($H743-$H745)=2,TRUE),$H743=INT($H743),$H745=INT($H745)),"","Error"),"")</f>
        <v/>
      </c>
      <c r="I741" s="136" t="str">
        <f>IF($Q743&lt;&gt;"",IF(AND(AND($I743&gt;-1,$I745&gt;-1),OR($I743&gt;10,$I745&gt;10),ABS($I743-$I745)&gt;1,IF(OR($I743&gt;11,$I745&gt;11),ABS($I743-$I745)=2,TRUE),$I743=INT($I743),$I745=INT($I745)),"","Error"),"")</f>
        <v/>
      </c>
      <c r="J741" s="136" t="str">
        <f>IF($Q743&lt;&gt;"",IF(AND(AND($J743&gt;-1,$J745&gt;-1),OR($J743&gt;10,$J745&gt;10),ABS($J743-$J745)&gt;1,IF(OR($J743&gt;11,$J745&gt;11),ABS($J743-$J745)=2,TRUE),$J743=INT($J743),$J745=INT($J745)),"","Error"),"")</f>
        <v/>
      </c>
      <c r="K741" s="136" t="str">
        <f>IF($Q743&lt;&gt;"",IF(AND($K743&lt;&gt;"",$K745&lt;&gt;""), IF(AND(AND($K743&gt;-1,$K745&gt;-1),OR($K743&gt;10,$K745&gt;10),ABS($K743-$K745)&gt;1,IF(OR($K743&gt;11,$K745&gt;11),ABS($K743-$K745)=2,TRUE),$K743=INT($K743),$K745=INT($K745)),"","Error"),""),"")</f>
        <v/>
      </c>
      <c r="L741" s="136" t="str">
        <f>IF($Q743&lt;&gt;"",IF(AND($L743&lt;&gt;"",$L745&lt;&gt;""), IF(AND(AND($L743&gt;-1,$L745&gt;-1),OR($L743&gt;10,$L745&gt;10),ABS($L743-$L745)&gt;1,IF(OR($L743&gt;11,$L745&gt;11),ABS($L743-$L745)=2,TRUE),$L743=INT($L743),$L745=INT($L745)),"","Error"),""),"")</f>
        <v/>
      </c>
      <c r="Q741" s="7"/>
      <c r="R741" s="20"/>
      <c r="S741" s="20"/>
      <c r="T741" s="20"/>
      <c r="U741" s="20"/>
      <c r="V741" s="20"/>
      <c r="W741" s="20"/>
      <c r="X741" s="26"/>
      <c r="Y741" s="26"/>
      <c r="Z741" s="20"/>
      <c r="AA741" s="20"/>
      <c r="AB741" s="20"/>
      <c r="AC741" s="20"/>
      <c r="AD741" s="20"/>
      <c r="AE741" s="20"/>
      <c r="AF741" s="27"/>
    </row>
    <row r="742" spans="1:32" ht="12.75" customHeight="1">
      <c r="A742" s="5" t="s">
        <v>1228</v>
      </c>
      <c r="B742" s="290" t="s">
        <v>1126</v>
      </c>
      <c r="C742" s="291"/>
      <c r="D742" s="291"/>
      <c r="E742" s="291"/>
      <c r="F742" s="291"/>
      <c r="G742" s="292"/>
      <c r="H742" s="5">
        <v>1</v>
      </c>
      <c r="I742" s="5">
        <v>2</v>
      </c>
      <c r="J742" s="5">
        <v>3</v>
      </c>
      <c r="K742" s="5">
        <v>4</v>
      </c>
      <c r="L742" s="5">
        <v>5</v>
      </c>
      <c r="M742" s="271"/>
      <c r="N742" s="272"/>
      <c r="O742" s="272"/>
      <c r="P742" s="273"/>
      <c r="Q742" s="7"/>
      <c r="R742" s="20"/>
      <c r="S742" s="20"/>
      <c r="T742" s="20"/>
      <c r="U742" s="20"/>
      <c r="V742" s="20"/>
      <c r="W742" s="20"/>
      <c r="X742" s="26"/>
      <c r="Y742" s="26"/>
      <c r="Z742" s="20"/>
      <c r="AA742" s="20"/>
      <c r="AB742" s="20"/>
      <c r="AC742" s="20"/>
      <c r="AD742" s="20"/>
      <c r="AE742" s="20"/>
      <c r="AF742" s="27"/>
    </row>
    <row r="743" spans="1:32" ht="12.75" customHeight="1">
      <c r="A743" s="300" t="str">
        <f>B723</f>
        <v>I</v>
      </c>
      <c r="B743" s="293" t="str">
        <f ca="1">IF(AND(OFFSET($AO$1,$C723-1,8,1,1),$A724&lt;&gt;"",$J724&lt;&gt;""),CHOOSE($C723,$AQ$1,$AQ$2,$AQ$3,$AQ$4,$AQ$5,$AQ$6,$AQ$7,$AQ$8,$AQ$9,$AQ$10,$AQ$11,$AQ$12),"")</f>
        <v/>
      </c>
      <c r="C743" s="294"/>
      <c r="D743" s="294"/>
      <c r="E743" s="294"/>
      <c r="F743" s="294"/>
      <c r="G743" s="294"/>
      <c r="H743" s="265"/>
      <c r="I743" s="265"/>
      <c r="J743" s="265"/>
      <c r="K743" s="265"/>
      <c r="L743" s="265"/>
      <c r="M743" s="262" t="str">
        <f ca="1">IF(OR(AND($B736&lt;&gt;"",$B743&lt;&gt;"",$D754&lt;=$C754),AND($B738&lt;&gt;"",$B745&lt;&gt;"",$H754&lt;=$G754)),"Invalid Lineup","")</f>
        <v/>
      </c>
      <c r="N743" s="263"/>
      <c r="O743" s="263"/>
      <c r="P743" s="264"/>
      <c r="Q743" s="137" t="str">
        <f>IF($L743=$L745,IF($K743=$K745,IF($J743&lt;&gt;"",IF($J743&gt;$J745,"W","L"),""),IF($K743&gt;$K745,"W","L")),IF($L743&gt;$L745,"W","L"))</f>
        <v/>
      </c>
      <c r="R743" s="20"/>
      <c r="S743" s="20"/>
      <c r="T743" s="20"/>
      <c r="U743" s="20"/>
      <c r="V743" s="20"/>
      <c r="W743" s="20"/>
      <c r="X743" s="26"/>
      <c r="Y743" s="26"/>
      <c r="Z743" s="20"/>
      <c r="AA743" s="20"/>
      <c r="AB743" s="20"/>
      <c r="AC743" s="20"/>
      <c r="AD743" s="20"/>
      <c r="AE743" s="20"/>
      <c r="AF743" s="27"/>
    </row>
    <row r="744" spans="1:32" ht="12.75" customHeight="1">
      <c r="A744" s="301"/>
      <c r="B744" s="295"/>
      <c r="C744" s="296"/>
      <c r="D744" s="296"/>
      <c r="E744" s="296"/>
      <c r="F744" s="296"/>
      <c r="G744" s="296"/>
      <c r="H744" s="270"/>
      <c r="I744" s="270"/>
      <c r="J744" s="270"/>
      <c r="K744" s="270"/>
      <c r="L744" s="270"/>
      <c r="M744" s="262"/>
      <c r="N744" s="263"/>
      <c r="O744" s="263"/>
      <c r="P744" s="264"/>
      <c r="Q744" s="139" t="str">
        <f>IF($Q743&lt;&gt;"",IF($Q743="W",IF(SUM(IF($H743&gt;$H745,1,0),IF($I743&gt;$I745,1,0),IF($J743&gt;$J745,1,0),IF($K743&gt;$K745,1,0),IF($L743&gt;$L745,1,0))&lt;&gt;3,"Error",""),""),"")</f>
        <v/>
      </c>
      <c r="R744" s="328" t="str">
        <f>$A724</f>
        <v/>
      </c>
      <c r="S744" s="328"/>
      <c r="T744" s="328"/>
      <c r="U744" s="328"/>
      <c r="V744" s="328"/>
      <c r="W744" s="328"/>
      <c r="X744" s="256" t="str">
        <f>CONCATENATE("(",$B723," vs ",$K723,")")</f>
        <v>(I vs J)</v>
      </c>
      <c r="Y744" s="256"/>
      <c r="Z744" s="328" t="str">
        <f>$J724</f>
        <v/>
      </c>
      <c r="AA744" s="328"/>
      <c r="AB744" s="328"/>
      <c r="AC744" s="328"/>
      <c r="AD744" s="328"/>
      <c r="AE744" s="328"/>
      <c r="AF744" s="100"/>
    </row>
    <row r="745" spans="1:32" ht="12.75" customHeight="1">
      <c r="A745" s="300" t="str">
        <f>K723</f>
        <v>J</v>
      </c>
      <c r="B745" s="293" t="str">
        <f ca="1">IF(AND(OFFSET($AO$1,$L723-1,8,1,1),$A724&lt;&gt;"",$J724&lt;&gt;""),CHOOSE($L723,$AQ$1,$AQ$2,$AQ$3,$AQ$4,$AQ$5,$AQ$6,$AQ$7,$AQ$8,$AQ$9,$AQ$10,$AQ$11,$AQ$12),"")</f>
        <v/>
      </c>
      <c r="C745" s="294"/>
      <c r="D745" s="294"/>
      <c r="E745" s="294"/>
      <c r="F745" s="294"/>
      <c r="G745" s="294"/>
      <c r="H745" s="265"/>
      <c r="I745" s="265"/>
      <c r="J745" s="265"/>
      <c r="K745" s="265"/>
      <c r="L745" s="265"/>
      <c r="M745" s="267" t="s">
        <v>1237</v>
      </c>
      <c r="N745" s="268"/>
      <c r="O745" s="268"/>
      <c r="P745" s="269"/>
      <c r="Q745" s="137" t="str">
        <f>IF($Q743&lt;&gt;"",IF($Q743="W","L","W"),"")</f>
        <v/>
      </c>
      <c r="R745" s="100"/>
      <c r="S745" s="100"/>
      <c r="T745" s="100"/>
      <c r="U745" s="100"/>
      <c r="V745" s="100"/>
      <c r="W745" s="100"/>
      <c r="X745" s="100"/>
      <c r="Y745" s="100"/>
      <c r="Z745" s="100"/>
      <c r="AA745" s="100"/>
      <c r="AB745" s="100"/>
      <c r="AC745" s="100"/>
      <c r="AD745" s="100"/>
      <c r="AE745" s="100"/>
      <c r="AF745" s="100"/>
    </row>
    <row r="746" spans="1:32" ht="12.75" customHeight="1">
      <c r="A746" s="301"/>
      <c r="B746" s="295"/>
      <c r="C746" s="296"/>
      <c r="D746" s="296"/>
      <c r="E746" s="296"/>
      <c r="F746" s="296"/>
      <c r="G746" s="296"/>
      <c r="H746" s="270"/>
      <c r="I746" s="270"/>
      <c r="J746" s="266"/>
      <c r="K746" s="266"/>
      <c r="L746" s="266"/>
      <c r="M746" s="267"/>
      <c r="N746" s="268"/>
      <c r="O746" s="268"/>
      <c r="P746" s="269"/>
      <c r="Q746" s="139" t="str">
        <f>IF($Q745&lt;&gt;"",IF($Q745="W",IF(SUM(IF($H745&gt;$H743,1,0),IF($I745&gt;$I743,1,0),IF($J745&gt;$J743,1,0),IF($K745&gt;$K743,1,0),IF($L745&gt;$L743,1,0))&lt;&gt;3,"Error",""),""),"")</f>
        <v/>
      </c>
      <c r="R746" s="43" t="str">
        <f>$A741</f>
        <v>3rd Singles</v>
      </c>
      <c r="S746" s="43"/>
      <c r="T746" s="43"/>
      <c r="U746" s="43"/>
      <c r="V746" s="43"/>
      <c r="W746" s="43"/>
      <c r="X746" s="43"/>
      <c r="Y746" s="43"/>
      <c r="Z746" s="43"/>
      <c r="AA746" s="43"/>
      <c r="AB746" s="43"/>
      <c r="AC746" s="43"/>
      <c r="AD746" s="43"/>
      <c r="AE746" s="43"/>
      <c r="AF746" s="43"/>
    </row>
    <row r="747" spans="1:32" ht="12.75" customHeight="1">
      <c r="Q747" s="7"/>
      <c r="R747" s="60" t="s">
        <v>1228</v>
      </c>
      <c r="S747" s="101" t="s">
        <v>1126</v>
      </c>
      <c r="T747" s="102"/>
      <c r="U747" s="102"/>
      <c r="V747" s="102"/>
      <c r="W747" s="102"/>
      <c r="X747" s="103"/>
      <c r="Y747" s="60">
        <v>1</v>
      </c>
      <c r="Z747" s="60">
        <v>2</v>
      </c>
      <c r="AA747" s="60">
        <v>3</v>
      </c>
      <c r="AB747" s="60">
        <v>4</v>
      </c>
      <c r="AC747" s="60">
        <v>5</v>
      </c>
      <c r="AD747" s="104"/>
      <c r="AE747" s="105"/>
      <c r="AF747" s="106"/>
    </row>
    <row r="748" spans="1:32" ht="12.75" customHeight="1">
      <c r="A748" s="21" t="s">
        <v>1236</v>
      </c>
      <c r="H748" s="136" t="str">
        <f ca="1">IF($Q750&lt;&gt;"",IF(AND($B750&lt;&gt;"Missing Player",$B752&lt;&gt;"Missing Player"),IF(AND(AND($H750&gt;-1,$H752&gt;-1),OR($H750&gt;10,$H752&gt;10),ABS($H750-$H752)&gt;1,IF(OR($H750&gt;11,$H752&gt;11),ABS($H750-$H752)=2,TRUE),$H750=INT($H750),$H752=INT($H752)),"","Error"),""),"")</f>
        <v/>
      </c>
      <c r="I748" s="136" t="str">
        <f ca="1">IF($Q750&lt;&gt;"",IF(AND($B750&lt;&gt;"Missing Player",$B752&lt;&gt;"Missing Player"),IF(AND(AND($I750&gt;-1,$I752&gt;-1),OR($I750&gt;10,$I752&gt;10),ABS($I750-$I752)&gt;1,IF(OR($I750&gt;11,$I752&gt;11),ABS($I750-$I752)=2,TRUE),$I750=INT($I750),$I752=INT($I752)),"","Error"),""),"")</f>
        <v/>
      </c>
      <c r="J748" s="136" t="str">
        <f ca="1">IF($Q750&lt;&gt;"",IF(AND($B750&lt;&gt;"Missing Player",$B752&lt;&gt;"Missing Player"),IF(AND(AND($J750&gt;-1,$J752&gt;-1),OR($J750&gt;10,$J752&gt;10),ABS($J750-$J752)&gt;1,IF(OR($J750&gt;11,$J752&gt;11),ABS($J750-$J752)=2,TRUE),$J750=INT($J750),$J752=INT($J752)),"","Error"),""),"")</f>
        <v/>
      </c>
      <c r="K748" s="136" t="str">
        <f ca="1">IF($Q750&lt;&gt;"",IF(AND($K750&lt;&gt;"",$K752&lt;&gt;""), IF(AND(AND($K750&gt;-1,$K752&gt;-1),OR($K750&gt;10,$K752&gt;10),ABS($K750-$K752)&gt;1,IF(OR($K750&gt;11,$K752&gt;11),ABS($K750-$K752)=2,TRUE),$K750=INT($K750),$K752=INT($K752)),"","Error"),""),"")</f>
        <v/>
      </c>
      <c r="L748" s="136" t="str">
        <f ca="1">IF($Q750&lt;&gt;"",IF(AND($L750&lt;&gt;"",$L752&lt;&gt;""), IF(AND(AND($L750&gt;-1,$L752&gt;-1),OR($L750&gt;10,$L752&gt;10),ABS($L750-$L752)&gt;1,IF(OR($L750&gt;11,$L752&gt;11),ABS($L750-$L752)=2,TRUE),$L750=INT($L750),$L752=INT($L752)),"","Error"),""),"")</f>
        <v/>
      </c>
      <c r="Q748" s="7"/>
      <c r="R748" s="300" t="str">
        <f>$B723</f>
        <v>I</v>
      </c>
      <c r="S748" s="331" t="str">
        <f ca="1">IF($B743&lt;&gt;"",$B743,"")</f>
        <v/>
      </c>
      <c r="T748" s="332"/>
      <c r="U748" s="332"/>
      <c r="V748" s="332"/>
      <c r="W748" s="332"/>
      <c r="X748" s="333"/>
      <c r="Y748" s="329"/>
      <c r="Z748" s="329"/>
      <c r="AA748" s="329"/>
      <c r="AB748" s="329"/>
      <c r="AC748" s="329"/>
      <c r="AD748" s="345"/>
      <c r="AE748" s="358"/>
      <c r="AF748" s="359"/>
    </row>
    <row r="749" spans="1:32" ht="12.75" customHeight="1">
      <c r="A749" s="5" t="s">
        <v>1228</v>
      </c>
      <c r="B749" s="290" t="s">
        <v>1126</v>
      </c>
      <c r="C749" s="291"/>
      <c r="D749" s="291"/>
      <c r="E749" s="291"/>
      <c r="F749" s="291"/>
      <c r="G749" s="292"/>
      <c r="H749" s="5">
        <v>1</v>
      </c>
      <c r="I749" s="5">
        <v>2</v>
      </c>
      <c r="J749" s="5">
        <v>3</v>
      </c>
      <c r="K749" s="5">
        <v>4</v>
      </c>
      <c r="L749" s="5">
        <v>5</v>
      </c>
      <c r="M749" s="271"/>
      <c r="N749" s="272"/>
      <c r="O749" s="272"/>
      <c r="P749" s="273"/>
      <c r="Q749" s="7"/>
      <c r="R749" s="330"/>
      <c r="S749" s="334"/>
      <c r="T749" s="335"/>
      <c r="U749" s="335"/>
      <c r="V749" s="335"/>
      <c r="W749" s="335"/>
      <c r="X749" s="336"/>
      <c r="Y749" s="330"/>
      <c r="Z749" s="330"/>
      <c r="AA749" s="330"/>
      <c r="AB749" s="330"/>
      <c r="AC749" s="330"/>
      <c r="AD749" s="360"/>
      <c r="AE749" s="361"/>
      <c r="AF749" s="362"/>
    </row>
    <row r="750" spans="1:32" ht="12.75" customHeight="1">
      <c r="A750" s="300" t="str">
        <f>B723</f>
        <v>I</v>
      </c>
      <c r="B750" s="293" t="str">
        <f ca="1">IF(AND(OFFSET($AO$1,$C723-1,8,1,1),$A724&lt;&gt;"",$J724&lt;&gt;""),CHOOSE($C723,$AR$1,$AR$2,$AR$3,$AR$4,$AR$5,$AR$6,$AR$7,$AR$8,$AR$9,$AR$10,$AR$11,$AR$12),"")</f>
        <v/>
      </c>
      <c r="C750" s="294"/>
      <c r="D750" s="294"/>
      <c r="E750" s="294"/>
      <c r="F750" s="294"/>
      <c r="G750" s="294"/>
      <c r="H750" s="265"/>
      <c r="I750" s="265"/>
      <c r="J750" s="265"/>
      <c r="K750" s="265"/>
      <c r="L750" s="265" t="str">
        <f ca="1">IF(AND($B750&lt;&gt;"",$Q729&lt;&gt;""),IF($B750="Missing Player",0,IF($B752="Missing Player",11,"")),"")</f>
        <v/>
      </c>
      <c r="M750" s="262" t="str">
        <f ca="1">IF(OR(AND($B743&lt;&gt;"",$B750&lt;&gt;"",$E754&lt;=$D754),AND($B745&lt;&gt;"",$B752&lt;&gt;"",$I754&lt;=$H754)),"Invalid Lineup","")</f>
        <v/>
      </c>
      <c r="N750" s="263"/>
      <c r="O750" s="263"/>
      <c r="P750" s="264"/>
      <c r="Q750" s="137" t="str">
        <f ca="1">IF($L750=$L752,IF($K750=$K752,IF($J750&lt;&gt;"",IF($J750&gt;$J752,"W","L"),""),IF($K750&gt;$K752,"W","L")),IF($L750&gt;$L752,"W","L"))</f>
        <v/>
      </c>
      <c r="R750" s="300" t="str">
        <f>$K723</f>
        <v>J</v>
      </c>
      <c r="S750" s="331" t="str">
        <f ca="1">IF($B745&lt;&gt;"",$B745,"")</f>
        <v/>
      </c>
      <c r="T750" s="332"/>
      <c r="U750" s="332"/>
      <c r="V750" s="332"/>
      <c r="W750" s="332"/>
      <c r="X750" s="333"/>
      <c r="Y750" s="329"/>
      <c r="Z750" s="329"/>
      <c r="AA750" s="329"/>
      <c r="AB750" s="329"/>
      <c r="AC750" s="351"/>
      <c r="AD750" s="363" t="s">
        <v>1237</v>
      </c>
      <c r="AE750" s="358"/>
      <c r="AF750" s="359"/>
    </row>
    <row r="751" spans="1:32" ht="12.75" customHeight="1">
      <c r="A751" s="301"/>
      <c r="B751" s="295"/>
      <c r="C751" s="296"/>
      <c r="D751" s="296"/>
      <c r="E751" s="296"/>
      <c r="F751" s="296"/>
      <c r="G751" s="296"/>
      <c r="H751" s="270"/>
      <c r="I751" s="270"/>
      <c r="J751" s="270"/>
      <c r="K751" s="270"/>
      <c r="L751" s="270"/>
      <c r="M751" s="262"/>
      <c r="N751" s="263"/>
      <c r="O751" s="263"/>
      <c r="P751" s="264"/>
      <c r="Q751" s="139" t="str">
        <f ca="1">IF($Q750&lt;&gt;"",IF($B752&lt;&gt;"Missing Player",IF($Q750="W",IF(SUM(IF($H750&gt;$H752,1,0),IF($I750&gt;$I752,1,0),IF($J750&gt;$J752,1,0),IF($K750&gt;$K752,1,0),IF($L750&gt;$L752,1,0))&lt;&gt;3,"Error",""),""),""),"")</f>
        <v/>
      </c>
      <c r="R751" s="330"/>
      <c r="S751" s="334"/>
      <c r="T751" s="335"/>
      <c r="U751" s="335"/>
      <c r="V751" s="335"/>
      <c r="W751" s="335"/>
      <c r="X751" s="336"/>
      <c r="Y751" s="330"/>
      <c r="Z751" s="330"/>
      <c r="AA751" s="330"/>
      <c r="AB751" s="330"/>
      <c r="AC751" s="330"/>
      <c r="AD751" s="360"/>
      <c r="AE751" s="361"/>
      <c r="AF751" s="362"/>
    </row>
    <row r="752" spans="1:32" ht="12.75" customHeight="1">
      <c r="A752" s="300" t="str">
        <f>K723</f>
        <v>J</v>
      </c>
      <c r="B752" s="293" t="str">
        <f ca="1">IF(AND(OFFSET($AO$1,$L723-1,8,1,1),$A724&lt;&gt;"",$J724&lt;&gt;""),CHOOSE($L723,$AR$1,$AR$2,$AR$3,$AR$4,$AR$5,$AR$6,$AR$7,$AR$8,$AR$9,$AR$10,$AR$11,$AR$12),"")</f>
        <v/>
      </c>
      <c r="C752" s="294"/>
      <c r="D752" s="294"/>
      <c r="E752" s="294"/>
      <c r="F752" s="294"/>
      <c r="G752" s="294"/>
      <c r="H752" s="265"/>
      <c r="I752" s="265"/>
      <c r="J752" s="265"/>
      <c r="K752" s="265"/>
      <c r="L752" s="265" t="str">
        <f ca="1">IF(AND($B752&lt;&gt;"",$Q729&lt;&gt;""),IF($B752="Missing Player",0,IF($B750="Missing Player",11,"")),"")</f>
        <v/>
      </c>
      <c r="M752" s="267" t="s">
        <v>1237</v>
      </c>
      <c r="N752" s="268"/>
      <c r="O752" s="268"/>
      <c r="P752" s="269"/>
      <c r="Q752" s="137" t="str">
        <f ca="1">IF($Q750&lt;&gt;"",IF($Q750="W","L","W"),"")</f>
        <v/>
      </c>
      <c r="R752" s="112"/>
      <c r="S752" s="98"/>
      <c r="T752" s="108"/>
      <c r="U752" s="108"/>
      <c r="V752" s="108"/>
      <c r="W752" s="108"/>
      <c r="X752" s="108"/>
      <c r="Y752" s="113"/>
      <c r="Z752" s="113"/>
      <c r="AA752" s="113"/>
      <c r="AB752" s="113"/>
      <c r="AC752" s="113"/>
      <c r="AD752" s="107"/>
      <c r="AE752" s="109"/>
      <c r="AF752" s="109"/>
    </row>
    <row r="753" spans="1:32" ht="12.75" customHeight="1">
      <c r="A753" s="301"/>
      <c r="B753" s="295"/>
      <c r="C753" s="296"/>
      <c r="D753" s="296"/>
      <c r="E753" s="296"/>
      <c r="F753" s="296"/>
      <c r="G753" s="296"/>
      <c r="H753" s="270"/>
      <c r="I753" s="270"/>
      <c r="J753" s="266"/>
      <c r="K753" s="266"/>
      <c r="L753" s="266"/>
      <c r="M753" s="267"/>
      <c r="N753" s="268"/>
      <c r="O753" s="268"/>
      <c r="P753" s="269"/>
      <c r="Q753" s="139" t="str">
        <f ca="1">IF($Q752&lt;&gt;"",IF($B750&lt;&gt;"Missing Player",IF($Q752="W",IF(SUM(IF($H752&gt;$H750,1,0),IF($I752&gt;$I750,1,0),IF($J752&gt;$J750,1,0),IF($K752&gt;$K750,1,0),IF($L752&gt;$L750,1,0))&lt;&gt;3,"Error",""),""),""),"")</f>
        <v/>
      </c>
      <c r="R753" s="114"/>
      <c r="S753" s="115"/>
      <c r="T753" s="115"/>
      <c r="U753" s="115"/>
      <c r="V753" s="115"/>
      <c r="W753" s="115"/>
      <c r="X753" s="115"/>
      <c r="Y753" s="114"/>
      <c r="Z753" s="114"/>
      <c r="AA753" s="114"/>
      <c r="AB753" s="114"/>
      <c r="AC753" s="114"/>
      <c r="AD753" s="114"/>
      <c r="AE753" s="114"/>
      <c r="AF753" s="114"/>
    </row>
    <row r="754" spans="1:32" ht="12.75" customHeight="1">
      <c r="B754" s="140" t="str">
        <f ca="1">IF(ISERROR(VLOOKUP($B729&amp;"("&amp;$B723&amp;")",Players!$S$4:$T$132,2,FALSE)),"",VLOOKUP($B729&amp;"("&amp;$B723&amp;")",Players!$S$4:$T$132,2,FALSE))</f>
        <v>I1</v>
      </c>
      <c r="C754" s="140" t="str">
        <f ca="1">IF(ISERROR(VLOOKUP($B736&amp;"("&amp;$B723&amp;")",Players!$S$4:$T$132,2,FALSE)),"",VLOOKUP($B736&amp;"("&amp;$B723&amp;")",Players!$S$4:$T$132,2,FALSE))</f>
        <v>I1</v>
      </c>
      <c r="D754" s="141" t="str">
        <f ca="1">IF(ISERROR(VLOOKUP($B743&amp;"("&amp;$B723&amp;")",Players!$S$4:$T$132,2,FALSE)),"",VLOOKUP($B743&amp;"("&amp;$B723&amp;")",Players!$S$4:$T$132,2,FALSE))</f>
        <v>I1</v>
      </c>
      <c r="E754" s="141" t="str">
        <f ca="1">IF(ISERROR(VLOOKUP($B750&amp;"("&amp;$B723&amp;")",Players!$S$4:$T$132,2,FALSE)),"",VLOOKUP($B750&amp;"("&amp;$B723&amp;")",Players!$S$4:$T$132,2,FALSE))</f>
        <v>I1</v>
      </c>
      <c r="F754" s="141" t="str">
        <f ca="1">IF(ISERROR(VLOOKUP($B731&amp;"("&amp;$K723&amp;")",Players!$S$4:$T$132,2,FALSE)),"",VLOOKUP($B731&amp;"("&amp;$K723&amp;")",Players!$S$4:$T$132,2,FALSE))</f>
        <v>J1</v>
      </c>
      <c r="G754" s="141" t="str">
        <f ca="1">IF(ISERROR(VLOOKUP($B738&amp;"("&amp;$K723&amp;")",Players!$S$4:$T$132,2,FALSE)),"",VLOOKUP($B738&amp;"("&amp;$K723&amp;")",Players!$S$4:$T$132,2,FALSE))</f>
        <v>J1</v>
      </c>
      <c r="H754" s="141" t="str">
        <f ca="1">IF(ISERROR(VLOOKUP($B745&amp;"("&amp;$K723&amp;")",Players!$S$4:$T$132,2,FALSE)),"",VLOOKUP($B745&amp;"("&amp;$K723&amp;")",Players!$S$4:$T$132,2,FALSE))</f>
        <v>J1</v>
      </c>
      <c r="I754" s="141" t="str">
        <f ca="1">IF(ISERROR(VLOOKUP($B752&amp;"("&amp;$K723&amp;")",Players!$S$4:$T$132,2,FALSE)),"",VLOOKUP($B752&amp;"("&amp;$K723&amp;")",Players!$S$4:$T$132,2,FALSE))</f>
        <v>J1</v>
      </c>
      <c r="Q754" s="7"/>
      <c r="R754" s="50"/>
      <c r="S754" s="116"/>
      <c r="T754" s="115"/>
      <c r="U754" s="115"/>
      <c r="V754" s="115"/>
      <c r="W754" s="115"/>
      <c r="X754" s="115"/>
      <c r="Y754" s="99"/>
      <c r="Z754" s="99"/>
      <c r="AA754" s="99"/>
      <c r="AB754" s="99"/>
      <c r="AC754" s="117"/>
      <c r="AD754" s="118"/>
      <c r="AE754" s="114"/>
      <c r="AF754" s="114"/>
    </row>
    <row r="755" spans="1:32" ht="12.75" customHeight="1">
      <c r="A755" s="21" t="s">
        <v>1225</v>
      </c>
      <c r="H755" s="136" t="str">
        <f ca="1">IF($Q757&lt;&gt;"",IF(AND($B758&lt;&gt;"Missing Player",$B760&lt;&gt;"Missing Player"),IF(AND(AND($H757&gt;-1,$H759&gt;-1),OR($H757&gt;10,$H759&gt;10),ABS($H757-$H759)&gt;1,IF(OR($H757&gt;11,$H759&gt;11),ABS($H757-$H759)=2,TRUE),$H757=INT($H757),$H759=INT($H759)),"","Error"),""),"")</f>
        <v/>
      </c>
      <c r="I755" s="136" t="str">
        <f ca="1">IF($Q757&lt;&gt;"",IF(AND($B758&lt;&gt;"Missing Player",$B760&lt;&gt;"Missing Player"),IF(AND(AND($I757&gt;-1,$I759&gt;-1),OR($I757&gt;10,$I759&gt;10),ABS($I757-$I759)&gt;1,IF(OR($I757&gt;11,$I759&gt;11),ABS($I757-$I759)=2,TRUE),$I757=INT($I757),$I759=INT($I759)),"","Error"),""),"")</f>
        <v/>
      </c>
      <c r="J755" s="136" t="str">
        <f ca="1">IF($Q757&lt;&gt;"",IF(AND($B758&lt;&gt;"Missing Player",$B760&lt;&gt;"Missing Player"),IF(AND(AND($J757&gt;-1,$J759&gt;-1),OR($J757&gt;10,$J759&gt;10),ABS($J757-$J759)&gt;1,IF(OR($J757&gt;11,$J759&gt;11),ABS($J757-$J759)=2,TRUE),$J757=INT($J757),$J759=INT($J759)),"","Error"),""),"")</f>
        <v/>
      </c>
      <c r="K755" s="136" t="str">
        <f ca="1">IF($Q757&lt;&gt;"",IF(AND($K757&lt;&gt;"",$K759&lt;&gt;""), IF(AND(AND($K757&gt;-1,$K759&gt;-1),OR($K757&gt;10,$K759&gt;10),ABS($K757-$K759)&gt;1,IF(OR($K757&gt;11,$K759&gt;11),ABS($K757-$K759)=2,TRUE),$K757=INT($K757),$K759=INT($K759)),"","Error"),""),"")</f>
        <v/>
      </c>
      <c r="L755" s="136" t="str">
        <f ca="1">IF($Q757&lt;&gt;"",IF(AND($L757&lt;&gt;"",$L759&lt;&gt;""), IF(AND(AND($L757&gt;-1,$L759&gt;-1),OR($L757&gt;10,$L759&gt;10),ABS($L757-$L759)&gt;1,IF(OR($L757&gt;11,$L759&gt;11),ABS($L757-$L759)=2,TRUE),$L757=INT($L757),$L759=INT($L759)),"","Error"),""),"")</f>
        <v/>
      </c>
      <c r="Q755" s="7"/>
      <c r="R755" s="114"/>
      <c r="S755" s="115"/>
      <c r="T755" s="115"/>
      <c r="U755" s="115"/>
      <c r="V755" s="115"/>
      <c r="W755" s="115"/>
      <c r="X755" s="115"/>
      <c r="Y755" s="114"/>
      <c r="Z755" s="114"/>
      <c r="AA755" s="114"/>
      <c r="AB755" s="114"/>
      <c r="AC755" s="114"/>
      <c r="AD755" s="114"/>
      <c r="AE755" s="114"/>
      <c r="AF755" s="114"/>
    </row>
    <row r="756" spans="1:32" ht="12.75" customHeight="1">
      <c r="A756" s="5" t="s">
        <v>1228</v>
      </c>
      <c r="B756" s="290" t="s">
        <v>1126</v>
      </c>
      <c r="C756" s="291"/>
      <c r="D756" s="291"/>
      <c r="E756" s="291"/>
      <c r="F756" s="291"/>
      <c r="G756" s="292"/>
      <c r="H756" s="5">
        <v>1</v>
      </c>
      <c r="I756" s="5">
        <v>2</v>
      </c>
      <c r="J756" s="5">
        <v>3</v>
      </c>
      <c r="K756" s="5">
        <v>4</v>
      </c>
      <c r="L756" s="5">
        <v>5</v>
      </c>
      <c r="M756" s="271"/>
      <c r="N756" s="272"/>
      <c r="O756" s="272"/>
      <c r="P756" s="273"/>
      <c r="Q756" s="8"/>
      <c r="S756" s="24"/>
      <c r="T756" s="26"/>
    </row>
    <row r="757" spans="1:32" ht="12.75" customHeight="1">
      <c r="A757" s="300" t="str">
        <f>B723</f>
        <v>I</v>
      </c>
      <c r="B757" s="311" t="str">
        <f ca="1">IF($B729&lt;&gt;"",$B729,"")</f>
        <v/>
      </c>
      <c r="C757" s="312"/>
      <c r="D757" s="312"/>
      <c r="E757" s="312"/>
      <c r="F757" s="312"/>
      <c r="G757" s="313"/>
      <c r="H757" s="265"/>
      <c r="I757" s="265"/>
      <c r="J757" s="265"/>
      <c r="K757" s="265"/>
      <c r="L757" s="265" t="str">
        <f ca="1">IF($B750&lt;&gt;"",IF(AND($B750="Missing Player",$G761=2,$J761=2),0,IF(AND($B752="Missing Player",$G761=2,$J761=2),11,"")),"")</f>
        <v/>
      </c>
      <c r="M757" s="262" t="str">
        <f ca="1">IF(OR(AND($B757&lt;&gt;"",$B758&lt;&gt;"",$B757=$B758),AND($B759&lt;&gt;"",$B760&lt;&gt;"",$B759=$B760)),"Invalid Partner","")</f>
        <v/>
      </c>
      <c r="N757" s="263"/>
      <c r="O757" s="263"/>
      <c r="P757" s="264"/>
      <c r="Q757" s="138" t="str">
        <f ca="1">IF(L757=L759,IF(K757=K759,IF(J757&lt;&gt;"",IF(J757&gt;J759,"W","L"),""),IF(K757&gt;K759,"W","L")),IF(L757&gt;L759,"W","L"))</f>
        <v/>
      </c>
      <c r="S757" s="24"/>
      <c r="T757" s="26"/>
    </row>
    <row r="758" spans="1:32" ht="12.75" customHeight="1">
      <c r="A758" s="324"/>
      <c r="B758" s="308" t="str">
        <f ca="1">IF($B750="Missing Player",$B750,"")</f>
        <v/>
      </c>
      <c r="C758" s="309"/>
      <c r="D758" s="309"/>
      <c r="E758" s="309"/>
      <c r="F758" s="309"/>
      <c r="G758" s="310"/>
      <c r="H758" s="270"/>
      <c r="I758" s="270"/>
      <c r="J758" s="270"/>
      <c r="K758" s="270"/>
      <c r="L758" s="270"/>
      <c r="M758" s="262"/>
      <c r="N758" s="263"/>
      <c r="O758" s="263"/>
      <c r="P758" s="264"/>
      <c r="Q758" s="139" t="str">
        <f ca="1">IF($Q757&lt;&gt;"",IF($B760&lt;&gt;"Missing Player",IF($Q757="W",IF(SUM(IF($H757&gt;$H759,1,0),IF($I757&gt;$I759,1,0),IF($J757&gt;$J759,1,0),IF($K757&gt;$K759,1,0),IF($L757&gt;$L759,1,0))&lt;&gt;3,"Error",""),""),""),"")</f>
        <v/>
      </c>
      <c r="R758" s="328" t="str">
        <f>$A724</f>
        <v/>
      </c>
      <c r="S758" s="328"/>
      <c r="T758" s="328"/>
      <c r="U758" s="328"/>
      <c r="V758" s="328"/>
      <c r="W758" s="328"/>
      <c r="X758" s="256" t="str">
        <f>CONCATENATE("(",$B723," vs ",$K723,")")</f>
        <v>(I vs J)</v>
      </c>
      <c r="Y758" s="256"/>
      <c r="Z758" s="328" t="str">
        <f>$J724</f>
        <v/>
      </c>
      <c r="AA758" s="328"/>
      <c r="AB758" s="328"/>
      <c r="AC758" s="328"/>
      <c r="AD758" s="328"/>
      <c r="AE758" s="328"/>
      <c r="AF758" s="43"/>
    </row>
    <row r="759" spans="1:32" ht="12.75" customHeight="1">
      <c r="A759" s="325" t="str">
        <f>K723</f>
        <v>J</v>
      </c>
      <c r="B759" s="311" t="str">
        <f ca="1">IF($B731&lt;&gt;"",$B731,"")</f>
        <v/>
      </c>
      <c r="C759" s="312"/>
      <c r="D759" s="312"/>
      <c r="E759" s="312"/>
      <c r="F759" s="312"/>
      <c r="G759" s="313"/>
      <c r="H759" s="265"/>
      <c r="I759" s="265"/>
      <c r="J759" s="265"/>
      <c r="K759" s="265"/>
      <c r="L759" s="265" t="str">
        <f ca="1">IF($B752&lt;&gt;"",IF(AND($B752="Missing Player",$G761=2,$J761=2),0,IF(AND($B750="Missing Player",$G761=2,$J761=2),11,"")),"")</f>
        <v/>
      </c>
      <c r="M759" s="267" t="s">
        <v>1237</v>
      </c>
      <c r="N759" s="268"/>
      <c r="O759" s="268"/>
      <c r="P759" s="269"/>
      <c r="Q759" s="138" t="str">
        <f ca="1">IF(Q757&lt;&gt;"",IF(Q757="W","L","W"),"")</f>
        <v/>
      </c>
      <c r="R759" s="43"/>
      <c r="S759" s="43"/>
      <c r="T759" s="43"/>
      <c r="U759" s="43"/>
      <c r="V759" s="43"/>
      <c r="W759" s="43"/>
      <c r="X759" s="43"/>
      <c r="Y759" s="43"/>
      <c r="Z759" s="43"/>
      <c r="AA759" s="43"/>
      <c r="AB759" s="43"/>
      <c r="AC759" s="43"/>
      <c r="AD759" s="43"/>
      <c r="AE759" s="43"/>
      <c r="AF759" s="43"/>
    </row>
    <row r="760" spans="1:32" ht="12.75" customHeight="1">
      <c r="A760" s="324"/>
      <c r="B760" s="308" t="str">
        <f ca="1">IF($B752="Missing Player",$B752,"")</f>
        <v/>
      </c>
      <c r="C760" s="309"/>
      <c r="D760" s="309"/>
      <c r="E760" s="309"/>
      <c r="F760" s="309"/>
      <c r="G760" s="310"/>
      <c r="H760" s="270"/>
      <c r="I760" s="270"/>
      <c r="J760" s="266"/>
      <c r="K760" s="266"/>
      <c r="L760" s="266"/>
      <c r="M760" s="267"/>
      <c r="N760" s="268"/>
      <c r="O760" s="268"/>
      <c r="P760" s="269"/>
      <c r="Q760" s="139" t="str">
        <f ca="1">IF($Q759&lt;&gt;"",IF($B758&lt;&gt;"Missing Player",IF($Q759="W",IF(SUM(IF($H759&gt;$H757,1,0),IF($I759&gt;$I757,1,0),IF($J759&gt;$J757,1,0),IF($K759&gt;$K757,1,0),IF($L759&gt;$L757,1,0))&lt;&gt;3,"Error",""),""),""),"")</f>
        <v/>
      </c>
      <c r="R760" s="43" t="str">
        <f>A748</f>
        <v>4th Singles</v>
      </c>
      <c r="S760" s="43"/>
      <c r="T760" s="43"/>
      <c r="U760" s="43"/>
      <c r="V760" s="43"/>
      <c r="W760" s="43"/>
      <c r="X760" s="43"/>
      <c r="Y760" s="43"/>
      <c r="Z760" s="43"/>
      <c r="AA760" s="43"/>
      <c r="AB760" s="43"/>
      <c r="AC760" s="43"/>
      <c r="AD760" s="43"/>
      <c r="AE760" s="43"/>
      <c r="AF760" s="43"/>
    </row>
    <row r="761" spans="1:32" ht="12.75" customHeight="1">
      <c r="G761" s="66">
        <f ca="1">COUNTIF($Q729:$Q729,"W")+COUNTIF($Q736:$Q736,"W")+COUNTIF($Q743:$Q743,"W")+COUNTIF($Q750:$Q750,"W")</f>
        <v>0</v>
      </c>
      <c r="J761" s="66">
        <f ca="1">COUNTIF($Q731:$Q731,"W")+COUNTIF($Q738:$Q738,"W")+COUNTIF($Q745:$Q745,"W")+COUNTIF($Q752:$Q752,"W")</f>
        <v>0</v>
      </c>
      <c r="R761" s="60" t="s">
        <v>1228</v>
      </c>
      <c r="S761" s="339" t="s">
        <v>1126</v>
      </c>
      <c r="T761" s="340"/>
      <c r="U761" s="340"/>
      <c r="V761" s="340"/>
      <c r="W761" s="340"/>
      <c r="X761" s="341"/>
      <c r="Y761" s="60">
        <v>1</v>
      </c>
      <c r="Z761" s="60">
        <v>2</v>
      </c>
      <c r="AA761" s="60">
        <v>3</v>
      </c>
      <c r="AB761" s="60">
        <v>4</v>
      </c>
      <c r="AC761" s="60">
        <v>5</v>
      </c>
      <c r="AD761" s="342"/>
      <c r="AE761" s="343"/>
      <c r="AF761" s="344"/>
    </row>
    <row r="762" spans="1:32" ht="12.75" customHeight="1" thickBot="1">
      <c r="F762" s="246" t="s">
        <v>1238</v>
      </c>
      <c r="G762" s="246"/>
      <c r="H762" s="246"/>
      <c r="I762" s="246"/>
      <c r="J762" s="246"/>
      <c r="K762" s="246"/>
      <c r="R762" s="300" t="str">
        <f>B723</f>
        <v>I</v>
      </c>
      <c r="S762" s="331" t="str">
        <f ca="1">IF($B750&lt;&gt;"",$B750,"")</f>
        <v/>
      </c>
      <c r="T762" s="353"/>
      <c r="U762" s="353"/>
      <c r="V762" s="353"/>
      <c r="W762" s="353"/>
      <c r="X762" s="354"/>
      <c r="Y762" s="329"/>
      <c r="Z762" s="329"/>
      <c r="AA762" s="351"/>
      <c r="AB762" s="351"/>
      <c r="AC762" s="351"/>
      <c r="AD762" s="345"/>
      <c r="AE762" s="346"/>
      <c r="AF762" s="347"/>
    </row>
    <row r="763" spans="1:32" ht="12.75" customHeight="1">
      <c r="A763" s="22"/>
      <c r="B763" s="22"/>
      <c r="C763" s="22"/>
      <c r="D763" s="22"/>
      <c r="E763" s="22"/>
      <c r="G763" s="304" t="str">
        <f>B723</f>
        <v>I</v>
      </c>
      <c r="H763" s="305"/>
      <c r="I763" s="302" t="str">
        <f>K723</f>
        <v>J</v>
      </c>
      <c r="J763" s="303"/>
      <c r="L763" s="22"/>
      <c r="M763" s="22"/>
      <c r="N763" s="22"/>
      <c r="O763" s="22"/>
      <c r="P763" s="22"/>
      <c r="R763" s="301"/>
      <c r="S763" s="355"/>
      <c r="T763" s="356"/>
      <c r="U763" s="356"/>
      <c r="V763" s="356"/>
      <c r="W763" s="356"/>
      <c r="X763" s="357"/>
      <c r="Y763" s="338"/>
      <c r="Z763" s="338"/>
      <c r="AA763" s="352"/>
      <c r="AB763" s="352"/>
      <c r="AC763" s="352"/>
      <c r="AD763" s="348"/>
      <c r="AE763" s="349"/>
      <c r="AF763" s="350"/>
    </row>
    <row r="764" spans="1:32" ht="12.75" customHeight="1" thickBot="1">
      <c r="A764" s="2" t="s">
        <v>1228</v>
      </c>
      <c r="B764" s="53" t="str">
        <f>B723</f>
        <v>I</v>
      </c>
      <c r="C764" s="3" t="s">
        <v>1226</v>
      </c>
      <c r="F764" s="66" t="str">
        <f>CONCATENATE($B723,"-",$K723)</f>
        <v>I-J</v>
      </c>
      <c r="G764" s="320" t="str">
        <f ca="1">IF(OR(Q729&lt;&gt;"",Q736&lt;&gt;"",Q743&lt;&gt;"",Q750&lt;&gt;"",Q757&lt;&gt;""),COUNTIF(Q729:Q729,"W")+COUNTIF(Q736:Q736,"W")+COUNTIF(Q743:Q743,"W")+COUNTIF(Q750:Q750,"W")+COUNTIF(Q757:Q757,"W"),"")</f>
        <v/>
      </c>
      <c r="H764" s="321"/>
      <c r="I764" s="322" t="str">
        <f ca="1">IF(OR(Q731&lt;&gt;"",Q738&lt;&gt;"",Q745&lt;&gt;"",Q752&lt;&gt;"",Q759&lt;&gt;""),COUNTIF(Q731:Q731,"W")+COUNTIF(Q738:Q738,"W")+COUNTIF(Q745:Q745,"W")+COUNTIF(Q752:Q752,"W")+COUNTIF(Q759:Q759,"W"),"")</f>
        <v/>
      </c>
      <c r="J764" s="323"/>
      <c r="L764" s="2" t="s">
        <v>1228</v>
      </c>
      <c r="M764" s="53" t="str">
        <f>K723</f>
        <v>J</v>
      </c>
      <c r="N764" s="3" t="s">
        <v>1226</v>
      </c>
      <c r="R764" s="300" t="str">
        <f>K723</f>
        <v>J</v>
      </c>
      <c r="S764" s="331" t="str">
        <f ca="1">IF($B752&lt;&gt;"",$B752,"")</f>
        <v/>
      </c>
      <c r="T764" s="332"/>
      <c r="U764" s="332"/>
      <c r="V764" s="332"/>
      <c r="W764" s="332"/>
      <c r="X764" s="333"/>
      <c r="Y764" s="329"/>
      <c r="Z764" s="329"/>
      <c r="AA764" s="351"/>
      <c r="AB764" s="351"/>
      <c r="AC764" s="351"/>
      <c r="AD764" s="363" t="s">
        <v>1237</v>
      </c>
      <c r="AE764" s="358"/>
      <c r="AF764" s="359"/>
    </row>
    <row r="765" spans="1:32" ht="12.75" customHeight="1">
      <c r="F765" s="25" t="s">
        <v>3996</v>
      </c>
      <c r="G765" s="23"/>
      <c r="H765" s="23"/>
      <c r="I765" s="23"/>
      <c r="J765" s="23"/>
      <c r="K765" s="24"/>
      <c r="R765" s="330"/>
      <c r="S765" s="334"/>
      <c r="T765" s="335"/>
      <c r="U765" s="335"/>
      <c r="V765" s="335"/>
      <c r="W765" s="335"/>
      <c r="X765" s="336"/>
      <c r="Y765" s="330"/>
      <c r="Z765" s="330"/>
      <c r="AA765" s="330"/>
      <c r="AB765" s="330"/>
      <c r="AC765" s="330"/>
      <c r="AD765" s="360"/>
      <c r="AE765" s="361"/>
      <c r="AF765" s="362"/>
    </row>
    <row r="766" spans="1:32" ht="12.75" customHeight="1">
      <c r="R766" s="1"/>
      <c r="S766" s="110"/>
      <c r="T766" s="110"/>
      <c r="U766" s="110"/>
      <c r="V766" s="110"/>
      <c r="W766" s="110"/>
      <c r="X766" s="111"/>
      <c r="Y766" s="111"/>
      <c r="Z766" s="111"/>
      <c r="AA766" s="111"/>
    </row>
    <row r="767" spans="1:32" ht="12.75" customHeight="1">
      <c r="F767" s="246" t="s">
        <v>4929</v>
      </c>
      <c r="G767" s="246"/>
      <c r="H767" s="246"/>
      <c r="I767" s="246"/>
      <c r="R767" s="1"/>
      <c r="S767" s="110"/>
      <c r="T767" s="110"/>
      <c r="U767" s="110"/>
      <c r="V767" s="110"/>
      <c r="W767" s="110"/>
      <c r="X767" s="111"/>
      <c r="Y767" s="111"/>
      <c r="Z767" s="111"/>
      <c r="AA767" s="111"/>
    </row>
    <row r="768" spans="1:32" ht="12.75" customHeight="1">
      <c r="F768" s="246" t="s">
        <v>4930</v>
      </c>
      <c r="G768" s="246"/>
      <c r="H768" s="246"/>
      <c r="I768" s="246"/>
      <c r="R768" s="1"/>
      <c r="S768" s="110"/>
      <c r="T768" s="110"/>
      <c r="U768" s="110"/>
      <c r="V768" s="110"/>
      <c r="W768" s="110"/>
      <c r="X768" s="111"/>
      <c r="Y768" s="111"/>
      <c r="Z768" s="111"/>
      <c r="AA768" s="111"/>
    </row>
    <row r="769" spans="1:32" ht="12.75" customHeight="1">
      <c r="K769" s="281" t="s">
        <v>1244</v>
      </c>
      <c r="L769" s="281"/>
      <c r="M769" s="281"/>
      <c r="N769" s="281"/>
      <c r="O769" s="281"/>
      <c r="P769" s="281"/>
      <c r="R769" s="1"/>
      <c r="S769" s="110"/>
      <c r="T769" s="110"/>
      <c r="U769" s="110"/>
      <c r="V769" s="110"/>
      <c r="W769" s="110"/>
      <c r="X769" s="111"/>
      <c r="Y769" s="111"/>
      <c r="Z769" s="111"/>
      <c r="AA769" s="111"/>
    </row>
    <row r="770" spans="1:32" ht="12.75" customHeight="1">
      <c r="A770" s="12" t="s">
        <v>1229</v>
      </c>
      <c r="B770" s="11"/>
      <c r="C770" s="11"/>
      <c r="D770" s="11" t="str">
        <f>Draw!$B$1</f>
        <v>Enter Division Name</v>
      </c>
      <c r="E770" s="11"/>
      <c r="F770" s="7"/>
      <c r="G770" s="6"/>
      <c r="H770" s="7"/>
      <c r="I770" s="11"/>
      <c r="J770" s="11"/>
      <c r="K770" s="11"/>
      <c r="L770" s="11"/>
      <c r="M770" s="281"/>
      <c r="N770" s="281"/>
      <c r="O770" s="281"/>
      <c r="P770" s="281"/>
      <c r="R770" s="1"/>
      <c r="S770" s="110"/>
      <c r="T770" s="110"/>
      <c r="U770" s="110"/>
      <c r="V770" s="110"/>
      <c r="W770" s="110"/>
      <c r="X770" s="111"/>
      <c r="Y770" s="111"/>
      <c r="Z770" s="111"/>
      <c r="AA770" s="111"/>
    </row>
    <row r="771" spans="1:32" ht="12.75" customHeight="1">
      <c r="A771" s="2" t="s">
        <v>1230</v>
      </c>
      <c r="D771" s="43" t="str">
        <f>Draw!$D$1</f>
        <v>Enter Hosting Location (City, ST)</v>
      </c>
      <c r="J771" s="43" t="str">
        <f ca="1">$J$6</f>
        <v>[NCTTA Teams Template (v2.06).xlsx]</v>
      </c>
      <c r="R771" s="1"/>
      <c r="S771" s="110"/>
      <c r="T771" s="110"/>
      <c r="U771" s="110"/>
      <c r="V771" s="110"/>
      <c r="W771" s="110"/>
      <c r="X771" s="111"/>
      <c r="Y771" s="111"/>
      <c r="Z771" s="111"/>
      <c r="AA771" s="111"/>
    </row>
    <row r="772" spans="1:32" ht="12.75" customHeight="1">
      <c r="A772" s="2" t="s">
        <v>1231</v>
      </c>
      <c r="D772" s="337" t="str">
        <f>Draw!$P$1</f>
        <v>Enter Date</v>
      </c>
      <c r="E772" s="337"/>
      <c r="F772" s="337"/>
      <c r="G772" s="337"/>
      <c r="J772" s="280" t="str">
        <f>CHOOSE(Draw!$T$1,"Round 3, Match 4","Round 1, Match 4","Round 2, Match 6","","","","Round 6, Match 1","Round 4, Match 4","Round 4, Match 4","Round 4, Match 1","Round 4, Match 1")</f>
        <v>Round 2, Match 6</v>
      </c>
      <c r="K772" s="280"/>
      <c r="L772" s="280"/>
      <c r="M772" s="276" t="str">
        <f>IF(AND($J772&lt;&gt;"",Draw!$AC$10&lt;&gt;"",Draw!$AC$13&lt;&gt;""),Draw!$AC$10+TIME(0,VALUE(MID($J772,7,FIND(",",$J772)-FIND(" ",$J772)-1)-1)*Draw!$AC$13,0),"")</f>
        <v/>
      </c>
      <c r="N772" s="276"/>
      <c r="O772" s="157" t="str">
        <f>$F815</f>
        <v>K-L</v>
      </c>
      <c r="R772" s="1"/>
      <c r="S772" s="110"/>
      <c r="T772" s="110"/>
      <c r="U772" s="110"/>
      <c r="V772" s="110"/>
      <c r="W772" s="110"/>
      <c r="X772" s="111"/>
      <c r="Y772" s="111"/>
      <c r="Z772" s="111"/>
      <c r="AA772" s="111"/>
    </row>
    <row r="773" spans="1:32" ht="12.75" customHeight="1">
      <c r="A773" s="14"/>
      <c r="B773" s="15"/>
      <c r="C773" s="15"/>
      <c r="D773" s="15"/>
      <c r="E773" s="15"/>
      <c r="F773" s="14"/>
      <c r="G773" s="14"/>
      <c r="H773" s="16"/>
      <c r="I773" s="14"/>
      <c r="J773" s="15"/>
      <c r="K773" s="15"/>
      <c r="L773" s="15"/>
      <c r="M773" s="15"/>
      <c r="N773" s="15"/>
      <c r="O773" s="364" t="str">
        <f>IF(OR(AND(VLOOKUP($B774,$AM$1:$AX$12,12,FALSE)="C",VLOOKUP($K774,$AM$1:$AX$12,12,FALSE)="C"),AND(VLOOKUP($B774,$AM$1:$AX$12,12,FALSE)="W",VLOOKUP($K774,$AM$1:$AX$12,12,FALSE)="W")),"Official",IF(AND($A775="",$J775=""),"","Scrimmage"))</f>
        <v/>
      </c>
      <c r="P773" s="364"/>
      <c r="R773" s="1"/>
      <c r="S773" s="110"/>
      <c r="T773" s="110"/>
      <c r="U773" s="110"/>
      <c r="V773" s="110"/>
      <c r="W773" s="110"/>
      <c r="X773" s="111"/>
      <c r="Y773" s="111"/>
      <c r="Z773" s="111"/>
      <c r="AA773" s="111"/>
    </row>
    <row r="774" spans="1:32" ht="12.75" customHeight="1">
      <c r="A774" s="17" t="s">
        <v>1228</v>
      </c>
      <c r="B774" s="119" t="str">
        <f>CHOOSE(Draw!$T$1,"B","G","K","A","A","A","A","G","C","A","A")</f>
        <v>K</v>
      </c>
      <c r="C774" s="135">
        <f>VLOOKUP($B774,$AM$1:$AN$12,2)</f>
        <v>11</v>
      </c>
      <c r="D774" s="13"/>
      <c r="E774" s="13"/>
      <c r="F774" s="10"/>
      <c r="H774" s="19" t="s">
        <v>1232</v>
      </c>
      <c r="J774" s="17" t="s">
        <v>1228</v>
      </c>
      <c r="K774" s="119" t="str">
        <f>CHOOSE(Draw!$T$1,"G","L","L","G","K","G","B","H","I","F","I")</f>
        <v>L</v>
      </c>
      <c r="L774" s="135">
        <f>VLOOKUP($K774,$AM$1:$AN$12,2)</f>
        <v>12</v>
      </c>
      <c r="M774" s="13"/>
      <c r="N774" s="13"/>
      <c r="O774" s="18"/>
      <c r="P774" s="274"/>
      <c r="Q774" s="275"/>
      <c r="R774" s="1"/>
      <c r="S774" s="110"/>
      <c r="T774" s="110"/>
      <c r="U774" s="110"/>
      <c r="V774" s="110"/>
      <c r="W774" s="110"/>
      <c r="X774" s="111"/>
      <c r="Y774" s="111"/>
      <c r="Z774" s="111"/>
      <c r="AA774" s="111"/>
    </row>
    <row r="775" spans="1:32" ht="12.75" customHeight="1">
      <c r="A775" s="277" t="str">
        <f>IF(VLOOKUP($B774,Draw!$A$4:$B$27,2)&lt;&gt;0,VLOOKUP($B774,Draw!$A$4:$B$27,2),"")</f>
        <v/>
      </c>
      <c r="B775" s="278"/>
      <c r="C775" s="278"/>
      <c r="D775" s="278"/>
      <c r="E775" s="278"/>
      <c r="F775" s="279"/>
      <c r="G775" s="306" t="s">
        <v>4167</v>
      </c>
      <c r="H775" s="289"/>
      <c r="I775" s="307"/>
      <c r="J775" s="277" t="str">
        <f>IF(VLOOKUP($K774,Draw!$A$4:$B$27,2)&lt;&gt;0,VLOOKUP($K774,Draw!$A$4:$B$27,2),"")</f>
        <v/>
      </c>
      <c r="K775" s="278"/>
      <c r="L775" s="278"/>
      <c r="M775" s="278"/>
      <c r="N775" s="278"/>
      <c r="O775" s="279"/>
      <c r="P775" s="15"/>
      <c r="R775" s="1"/>
      <c r="S775" s="110"/>
      <c r="T775" s="110"/>
      <c r="U775" s="110"/>
      <c r="V775" s="110"/>
      <c r="W775" s="110"/>
      <c r="X775" s="111"/>
      <c r="Y775" s="111"/>
      <c r="Z775" s="111"/>
      <c r="AA775" s="111"/>
    </row>
    <row r="776" spans="1:32" ht="12.75" customHeight="1">
      <c r="A776" s="14"/>
      <c r="B776" s="15"/>
      <c r="C776" s="15"/>
      <c r="D776" s="15"/>
      <c r="E776" s="15"/>
      <c r="F776" s="14"/>
      <c r="G776" s="288" t="str">
        <f>"Page "&amp;VALUE(RIGHT($G775,LEN($G775)-SEARCH("-",$G775)))/2</f>
        <v>Page 16</v>
      </c>
      <c r="H776" s="289"/>
      <c r="I776" s="289"/>
      <c r="J776" s="15"/>
      <c r="K776" s="15"/>
      <c r="L776" s="15"/>
      <c r="M776" s="15"/>
      <c r="N776" s="15"/>
      <c r="O776" s="15"/>
      <c r="P776" s="15"/>
      <c r="R776" s="1"/>
      <c r="S776" s="110"/>
      <c r="T776" s="110"/>
      <c r="U776" s="110"/>
      <c r="V776" s="110"/>
      <c r="W776" s="110"/>
      <c r="X776" s="111"/>
      <c r="Y776" s="111"/>
      <c r="Z776" s="111"/>
      <c r="AA776" s="111"/>
      <c r="AF776" s="27"/>
    </row>
    <row r="777" spans="1:32" ht="12.75" customHeight="1">
      <c r="A777" s="327" t="s">
        <v>1245</v>
      </c>
      <c r="B777" s="327"/>
      <c r="C777" s="327"/>
      <c r="D777" s="327"/>
      <c r="E777" s="327"/>
      <c r="F777" s="327"/>
      <c r="G777" s="327"/>
      <c r="H777" s="327"/>
      <c r="I777" s="327"/>
      <c r="J777" s="327"/>
      <c r="K777" s="327"/>
      <c r="L777" s="327"/>
      <c r="M777" s="327"/>
      <c r="N777" s="327"/>
      <c r="O777" s="327"/>
      <c r="P777" s="327"/>
      <c r="Q777" s="7"/>
      <c r="R777" s="1"/>
      <c r="S777" s="110"/>
      <c r="T777" s="110"/>
      <c r="U777" s="110"/>
      <c r="V777" s="110"/>
      <c r="W777" s="110"/>
      <c r="X777" s="111"/>
      <c r="Y777" s="111"/>
      <c r="Z777" s="111"/>
      <c r="AA777" s="111"/>
      <c r="AF777" s="20"/>
    </row>
    <row r="778" spans="1:32" ht="12.75" customHeight="1">
      <c r="A778" s="21" t="s">
        <v>1233</v>
      </c>
      <c r="H778" s="136" t="str">
        <f>IF($Q780&lt;&gt;"",IF(AND(AND($H780&gt;-1,$H782&gt;-1),OR($H780&gt;10,$H782&gt;10),ABS($H780-$H782)&gt;1,IF(OR($H780&gt;11,$H782&gt;11),ABS($H780-$H782)=2,TRUE),$H780=INT($H780),$H782=INT($H782)),"","Error"),"")</f>
        <v/>
      </c>
      <c r="I778" s="136" t="str">
        <f>IF($Q780&lt;&gt;"",IF(AND(AND($I780&gt;-1,$I782&gt;-1),OR($I780&gt;10,$I782&gt;10),ABS($I780-$I782)&gt;1,IF(OR($I780&gt;11,$I782&gt;11),ABS($I780-$I782)=2,TRUE),$I780=INT($I780),$I782=INT($I782)),"","Error"),"")</f>
        <v/>
      </c>
      <c r="J778" s="136" t="str">
        <f>IF($Q780&lt;&gt;"",IF(AND(AND($J780&gt;-1,$J782&gt;-1),OR($J780&gt;10,$J782&gt;10),ABS($J780-$J782)&gt;1,IF(OR($J780&gt;11,$J782&gt;11),ABS($J780-$J782)=2,TRUE),$J780=INT($J780),$J782=INT($J782)),"","Error"),"")</f>
        <v/>
      </c>
      <c r="K778" s="136" t="str">
        <f>IF($Q780&lt;&gt;"",IF(AND($K780&lt;&gt;"",$K782&lt;&gt;""), IF(AND(AND($K780&gt;-1,$K782&gt;-1),OR($K780&gt;10,$K782&gt;10),ABS($K780-$K782)&gt;1,IF(OR($K780&gt;11,$K782&gt;11),ABS($K780-$K782)=2,TRUE),$K780=INT($K780),$K782=INT($K782)),"","Error"),""),"")</f>
        <v/>
      </c>
      <c r="L778" s="136" t="str">
        <f>IF($Q780&lt;&gt;"",IF(AND($L780&lt;&gt;"",$L782&lt;&gt;""), IF(AND(AND($L780&gt;-1,$L782&gt;-1),OR($L780&gt;10,$L782&gt;10),ABS($L780-$L782)&gt;1,IF(OR($L780&gt;11,$L782&gt;11),ABS($L780-$L782)=2,TRUE),$L780=INT($L780),$L782=INT($L782)),"","Error"),""),"")</f>
        <v/>
      </c>
      <c r="R778" s="1"/>
      <c r="S778" s="110"/>
      <c r="T778" s="110"/>
      <c r="U778" s="110"/>
      <c r="V778" s="110"/>
      <c r="W778" s="110"/>
      <c r="X778" s="111"/>
      <c r="Y778" s="111"/>
      <c r="Z778" s="111"/>
      <c r="AA778" s="111"/>
    </row>
    <row r="779" spans="1:32" ht="12.75" customHeight="1">
      <c r="A779" s="5" t="s">
        <v>1228</v>
      </c>
      <c r="B779" s="290" t="s">
        <v>1126</v>
      </c>
      <c r="C779" s="291"/>
      <c r="D779" s="291"/>
      <c r="E779" s="291"/>
      <c r="F779" s="291"/>
      <c r="G779" s="292"/>
      <c r="H779" s="5">
        <v>1</v>
      </c>
      <c r="I779" s="5">
        <v>2</v>
      </c>
      <c r="J779" s="5">
        <v>3</v>
      </c>
      <c r="K779" s="5">
        <v>4</v>
      </c>
      <c r="L779" s="5">
        <v>5</v>
      </c>
      <c r="M779" s="271"/>
      <c r="N779" s="272"/>
      <c r="O779" s="272"/>
      <c r="P779" s="273"/>
      <c r="R779" s="1"/>
      <c r="S779" s="110"/>
      <c r="T779" s="110"/>
      <c r="U779" s="110"/>
      <c r="V779" s="110"/>
      <c r="W779" s="110"/>
      <c r="X779" s="111"/>
      <c r="Y779" s="111"/>
      <c r="Z779" s="111"/>
      <c r="AA779" s="111"/>
    </row>
    <row r="780" spans="1:32" ht="12.75" customHeight="1">
      <c r="A780" s="300" t="str">
        <f>B774</f>
        <v>K</v>
      </c>
      <c r="B780" s="293" t="str">
        <f ca="1">IF(AND(OFFSET($AO$1,$C774-1,8,1,1),$A775&lt;&gt;"",$J775&lt;&gt;""),CHOOSE($C774,$AO$1,$AO$2,$AO$3,$AO$4,$AO$5,$AO$6,$AO$7,$AO$8,$AO$9,$AO$10,$AO$11,$AO$12),"")</f>
        <v/>
      </c>
      <c r="C780" s="294"/>
      <c r="D780" s="294"/>
      <c r="E780" s="294"/>
      <c r="F780" s="294"/>
      <c r="G780" s="294"/>
      <c r="H780" s="265"/>
      <c r="I780" s="265"/>
      <c r="J780" s="265"/>
      <c r="K780" s="265"/>
      <c r="L780" s="265"/>
      <c r="M780" s="297"/>
      <c r="N780" s="298"/>
      <c r="O780" s="298"/>
      <c r="P780" s="299"/>
      <c r="Q780" s="137" t="str">
        <f>IF($L780=$L782,IF($K780=$K782,IF($J780&lt;&gt;"",IF($J780&gt;$J782,"W","L"),""),IF($K780&gt;$K782,"W","L")),IF($L780&gt;$L782,"W","L"))</f>
        <v/>
      </c>
      <c r="R780" s="1"/>
      <c r="S780" s="110"/>
      <c r="T780" s="110"/>
      <c r="U780" s="110"/>
      <c r="V780" s="110"/>
      <c r="W780" s="110"/>
      <c r="X780" s="111"/>
      <c r="Y780" s="111"/>
      <c r="Z780" s="111"/>
      <c r="AA780" s="111"/>
    </row>
    <row r="781" spans="1:32" ht="12.75" customHeight="1">
      <c r="A781" s="301"/>
      <c r="B781" s="295"/>
      <c r="C781" s="296"/>
      <c r="D781" s="296"/>
      <c r="E781" s="296"/>
      <c r="F781" s="296"/>
      <c r="G781" s="296"/>
      <c r="H781" s="270"/>
      <c r="I781" s="270"/>
      <c r="J781" s="270"/>
      <c r="K781" s="270"/>
      <c r="L781" s="270"/>
      <c r="M781" s="297"/>
      <c r="N781" s="298"/>
      <c r="O781" s="298"/>
      <c r="P781" s="299"/>
      <c r="Q781" s="139" t="str">
        <f>IF($Q780&lt;&gt;"",IF($Q780="W",IF(SUM(IF($H780&gt;$H782,1,0),IF($I780&gt;$I782,1,0),IF($J780&gt;$J782,1,0),IF($K780&gt;$K782,1,0),IF($L780&gt;$L782,1,0))&lt;&gt;3,"Error",""),""),"")</f>
        <v/>
      </c>
      <c r="R781" s="328" t="str">
        <f>$A775</f>
        <v/>
      </c>
      <c r="S781" s="328"/>
      <c r="T781" s="328"/>
      <c r="U781" s="328"/>
      <c r="V781" s="328"/>
      <c r="W781" s="328"/>
      <c r="X781" s="256" t="str">
        <f>CONCATENATE("(",$B774," vs ",$K774,")")</f>
        <v>(K vs L)</v>
      </c>
      <c r="Y781" s="256"/>
      <c r="Z781" s="328" t="str">
        <f>$J775</f>
        <v/>
      </c>
      <c r="AA781" s="328"/>
      <c r="AB781" s="328"/>
      <c r="AC781" s="328"/>
      <c r="AD781" s="328"/>
      <c r="AE781" s="328"/>
      <c r="AF781" s="43"/>
    </row>
    <row r="782" spans="1:32" ht="12.75" customHeight="1">
      <c r="A782" s="300" t="str">
        <f>K774</f>
        <v>L</v>
      </c>
      <c r="B782" s="293" t="str">
        <f ca="1">IF(AND(OFFSET($AO$1,$L774-1,8,1,1),$A775&lt;&gt;"",$J775&lt;&gt;""),CHOOSE($L774,$AO$1,$AO$2,$AO$3,$AO$4,$AO$5,$AO$6,$AO$7,$AO$8,$AO$9,$AO$10,$AO$11,$AO$12),"")</f>
        <v/>
      </c>
      <c r="C782" s="294"/>
      <c r="D782" s="294"/>
      <c r="E782" s="294"/>
      <c r="F782" s="294"/>
      <c r="G782" s="294"/>
      <c r="H782" s="265"/>
      <c r="I782" s="265"/>
      <c r="J782" s="265"/>
      <c r="K782" s="265"/>
      <c r="L782" s="265"/>
      <c r="M782" s="267" t="s">
        <v>1237</v>
      </c>
      <c r="N782" s="268"/>
      <c r="O782" s="268"/>
      <c r="P782" s="269"/>
      <c r="Q782" s="137" t="str">
        <f>IF($Q780&lt;&gt;"",IF($Q780="W","L","W"),"")</f>
        <v/>
      </c>
      <c r="R782" s="43"/>
      <c r="S782" s="43"/>
      <c r="T782" s="43"/>
      <c r="U782" s="43"/>
      <c r="V782" s="43"/>
      <c r="W782" s="43"/>
      <c r="X782" s="43"/>
      <c r="Y782" s="43"/>
      <c r="Z782" s="43"/>
      <c r="AA782" s="43"/>
      <c r="AB782" s="43"/>
      <c r="AC782" s="43"/>
      <c r="AD782" s="43"/>
      <c r="AE782" s="43"/>
      <c r="AF782" s="43"/>
    </row>
    <row r="783" spans="1:32" ht="12.75" customHeight="1">
      <c r="A783" s="301"/>
      <c r="B783" s="295"/>
      <c r="C783" s="296"/>
      <c r="D783" s="296"/>
      <c r="E783" s="296"/>
      <c r="F783" s="296"/>
      <c r="G783" s="296"/>
      <c r="H783" s="270"/>
      <c r="I783" s="270"/>
      <c r="J783" s="266"/>
      <c r="K783" s="266"/>
      <c r="L783" s="266"/>
      <c r="M783" s="267"/>
      <c r="N783" s="268"/>
      <c r="O783" s="268"/>
      <c r="P783" s="269"/>
      <c r="Q783" s="139" t="str">
        <f>IF($Q782&lt;&gt;"",IF($Q782="W",IF(SUM(IF($H782&gt;$H780,1,0),IF($I782&gt;$I780,1,0),IF($J782&gt;$J780,1,0),IF($K782&gt;$K780,1,0),IF($L782&gt;$L780,1,0))&lt;&gt;3,"Error",""),""),"")</f>
        <v/>
      </c>
      <c r="R783" s="43" t="str">
        <f>$A785</f>
        <v>2nd Singles</v>
      </c>
      <c r="S783" s="43"/>
      <c r="T783" s="43"/>
      <c r="U783" s="43"/>
      <c r="V783" s="43"/>
      <c r="W783" s="43"/>
      <c r="X783" s="43"/>
      <c r="Y783" s="43"/>
      <c r="Z783" s="43"/>
      <c r="AA783" s="43"/>
      <c r="AB783" s="43"/>
      <c r="AC783" s="43"/>
      <c r="AD783" s="43"/>
      <c r="AE783" s="43"/>
      <c r="AF783" s="43"/>
    </row>
    <row r="784" spans="1:32" ht="12.75" customHeight="1">
      <c r="Q784" s="7"/>
      <c r="R784" s="60" t="s">
        <v>1228</v>
      </c>
      <c r="S784" s="339" t="s">
        <v>1126</v>
      </c>
      <c r="T784" s="340"/>
      <c r="U784" s="340"/>
      <c r="V784" s="340"/>
      <c r="W784" s="340"/>
      <c r="X784" s="341"/>
      <c r="Y784" s="60">
        <v>1</v>
      </c>
      <c r="Z784" s="60">
        <v>2</v>
      </c>
      <c r="AA784" s="60">
        <v>3</v>
      </c>
      <c r="AB784" s="60">
        <v>4</v>
      </c>
      <c r="AC784" s="60">
        <v>5</v>
      </c>
      <c r="AD784" s="342"/>
      <c r="AE784" s="343"/>
      <c r="AF784" s="344"/>
    </row>
    <row r="785" spans="1:32" ht="12.75" customHeight="1">
      <c r="A785" s="21" t="s">
        <v>1234</v>
      </c>
      <c r="H785" s="136" t="str">
        <f>IF($Q787&lt;&gt;"",IF(AND(AND($H787&gt;-1,$H789&gt;-1),OR($H787&gt;10,$H789&gt;10),ABS($H787-$H789)&gt;1,IF(OR($H787&gt;11,$H789&gt;11),ABS($H787-$H789)=2,TRUE),$H787=INT($H787),$H789=INT($H789)),"","Error"),"")</f>
        <v/>
      </c>
      <c r="I785" s="136" t="str">
        <f>IF($Q787&lt;&gt;"",IF(AND(AND($I787&gt;-1,$I789&gt;-1),OR($I787&gt;10,$I789&gt;10),ABS($I787-$I789)&gt;1,IF(OR($I787&gt;11,$I789&gt;11),ABS($I787-$I789)=2,TRUE),$I787=INT($I787),$I789=INT($I789)),"","Error"),"")</f>
        <v/>
      </c>
      <c r="J785" s="136" t="str">
        <f>IF($Q787&lt;&gt;"",IF(AND(AND($J787&gt;-1,$J789&gt;-1),OR($J787&gt;10,$J789&gt;10),ABS($J787-$J789)&gt;1,IF(OR($J787&gt;11,$J789&gt;11),ABS($J787-$J789)=2,TRUE),$J787=INT($J787),$J789=INT($J789)),"","Error"),"")</f>
        <v/>
      </c>
      <c r="K785" s="136" t="str">
        <f>IF($Q787&lt;&gt;"",IF(AND($K787&lt;&gt;"",$K789&lt;&gt;""), IF(AND(AND($K787&gt;-1,$K789&gt;-1),OR($K787&gt;10,$K789&gt;10),ABS($K787-$K789)&gt;1,IF(OR($K787&gt;11,$K789&gt;11),ABS($K787-$K789)=2,TRUE),$K787=INT($K787),$K789=INT($K789)),"","Error"),""),"")</f>
        <v/>
      </c>
      <c r="L785" s="136" t="str">
        <f>IF($Q787&lt;&gt;"",IF(AND($L787&lt;&gt;"",$L789&lt;&gt;""), IF(AND(AND($L787&gt;-1,$L789&gt;-1),OR($L787&gt;10,$L789&gt;10),ABS($L787-$L789)&gt;1,IF(OR($L787&gt;11,$L789&gt;11),ABS($L787-$L789)=2,TRUE),$L787=INT($L787),$L789=INT($L789)),"","Error"),""),"")</f>
        <v/>
      </c>
      <c r="Q785" s="7"/>
      <c r="R785" s="300" t="str">
        <f>$B774</f>
        <v>K</v>
      </c>
      <c r="S785" s="331" t="str">
        <f ca="1">IF($B787&lt;&gt;"",$B787,"")</f>
        <v/>
      </c>
      <c r="T785" s="332"/>
      <c r="U785" s="332"/>
      <c r="V785" s="332"/>
      <c r="W785" s="332"/>
      <c r="X785" s="333"/>
      <c r="Y785" s="329"/>
      <c r="Z785" s="329"/>
      <c r="AA785" s="329"/>
      <c r="AB785" s="329"/>
      <c r="AC785" s="329"/>
      <c r="AD785" s="345"/>
      <c r="AE785" s="358"/>
      <c r="AF785" s="359"/>
    </row>
    <row r="786" spans="1:32" ht="12.75" customHeight="1">
      <c r="A786" s="5" t="s">
        <v>1228</v>
      </c>
      <c r="B786" s="290" t="s">
        <v>1126</v>
      </c>
      <c r="C786" s="291"/>
      <c r="D786" s="291"/>
      <c r="E786" s="291"/>
      <c r="F786" s="291"/>
      <c r="G786" s="292"/>
      <c r="H786" s="5">
        <v>1</v>
      </c>
      <c r="I786" s="5">
        <v>2</v>
      </c>
      <c r="J786" s="5">
        <v>3</v>
      </c>
      <c r="K786" s="5">
        <v>4</v>
      </c>
      <c r="L786" s="5">
        <v>5</v>
      </c>
      <c r="M786" s="271"/>
      <c r="N786" s="272"/>
      <c r="O786" s="272"/>
      <c r="P786" s="273"/>
      <c r="Q786" s="7"/>
      <c r="R786" s="330"/>
      <c r="S786" s="334"/>
      <c r="T786" s="335"/>
      <c r="U786" s="335"/>
      <c r="V786" s="335"/>
      <c r="W786" s="335"/>
      <c r="X786" s="336"/>
      <c r="Y786" s="330"/>
      <c r="Z786" s="330"/>
      <c r="AA786" s="330"/>
      <c r="AB786" s="330"/>
      <c r="AC786" s="330"/>
      <c r="AD786" s="360"/>
      <c r="AE786" s="361"/>
      <c r="AF786" s="362"/>
    </row>
    <row r="787" spans="1:32" ht="12.75" customHeight="1">
      <c r="A787" s="300" t="str">
        <f>B774</f>
        <v>K</v>
      </c>
      <c r="B787" s="293" t="str">
        <f ca="1">IF(AND(OFFSET($AO$1,$C774-1,8,1,1),$A775&lt;&gt;"",$J775&lt;&gt;""),CHOOSE($C774,$AP$1,$AP$2,$AP$3,$AP$4,$AP$5,$AP$6,$AP$7,$AP$8,$AP$9,$AP$10,$AP$11,$AP$12),"")</f>
        <v/>
      </c>
      <c r="C787" s="294"/>
      <c r="D787" s="294"/>
      <c r="E787" s="294"/>
      <c r="F787" s="294"/>
      <c r="G787" s="294"/>
      <c r="H787" s="265"/>
      <c r="I787" s="265"/>
      <c r="J787" s="265"/>
      <c r="K787" s="265"/>
      <c r="L787" s="265"/>
      <c r="M787" s="262" t="str">
        <f ca="1">IF(OR(AND($B780&lt;&gt;"",$B787&lt;&gt;"",$C805&lt;=$B805),AND($B782&lt;&gt;"",$B789&lt;&gt;"",$G805&lt;=$F805)),"Invalid Lineup","")</f>
        <v/>
      </c>
      <c r="N787" s="263"/>
      <c r="O787" s="263"/>
      <c r="P787" s="264"/>
      <c r="Q787" s="137" t="str">
        <f>IF($L787=$L789,IF($K787=$K789,IF($J787&lt;&gt;"",IF($J787&gt;$J789,"W","L"),""),IF($K787&gt;$K789,"W","L")),IF($L787&gt;$L789,"W","L"))</f>
        <v/>
      </c>
      <c r="R787" s="300" t="str">
        <f>$K774</f>
        <v>L</v>
      </c>
      <c r="S787" s="331" t="str">
        <f ca="1">IF($B789&lt;&gt;"",$B789,"")</f>
        <v/>
      </c>
      <c r="T787" s="332"/>
      <c r="U787" s="332"/>
      <c r="V787" s="332"/>
      <c r="W787" s="332"/>
      <c r="X787" s="333"/>
      <c r="Y787" s="329"/>
      <c r="Z787" s="329"/>
      <c r="AA787" s="329"/>
      <c r="AB787" s="329"/>
      <c r="AC787" s="351"/>
      <c r="AD787" s="363" t="s">
        <v>1237</v>
      </c>
      <c r="AE787" s="358"/>
      <c r="AF787" s="359"/>
    </row>
    <row r="788" spans="1:32" ht="12.75" customHeight="1">
      <c r="A788" s="301"/>
      <c r="B788" s="295"/>
      <c r="C788" s="296"/>
      <c r="D788" s="296"/>
      <c r="E788" s="296"/>
      <c r="F788" s="296"/>
      <c r="G788" s="296"/>
      <c r="H788" s="270"/>
      <c r="I788" s="270"/>
      <c r="J788" s="270"/>
      <c r="K788" s="270"/>
      <c r="L788" s="270"/>
      <c r="M788" s="262"/>
      <c r="N788" s="263"/>
      <c r="O788" s="263"/>
      <c r="P788" s="264"/>
      <c r="Q788" s="139" t="str">
        <f>IF($Q787&lt;&gt;"",IF($Q787="W",IF(SUM(IF($H787&gt;$H789,1,0),IF($I787&gt;$I789,1,0),IF($J787&gt;$J789,1,0),IF($K787&gt;$K789,1,0),IF($L787&gt;$L789,1,0))&lt;&gt;3,"Error",""),""),"")</f>
        <v/>
      </c>
      <c r="R788" s="330"/>
      <c r="S788" s="334"/>
      <c r="T788" s="335"/>
      <c r="U788" s="335"/>
      <c r="V788" s="335"/>
      <c r="W788" s="335"/>
      <c r="X788" s="336"/>
      <c r="Y788" s="330"/>
      <c r="Z788" s="330"/>
      <c r="AA788" s="330"/>
      <c r="AB788" s="330"/>
      <c r="AC788" s="330"/>
      <c r="AD788" s="360"/>
      <c r="AE788" s="361"/>
      <c r="AF788" s="362"/>
    </row>
    <row r="789" spans="1:32" ht="12.75" customHeight="1">
      <c r="A789" s="300" t="str">
        <f>K774</f>
        <v>L</v>
      </c>
      <c r="B789" s="293" t="str">
        <f ca="1">IF(AND(OFFSET($AO$1,$L774-1,8,1,1),$A775&lt;&gt;"",$J775&lt;&gt;""),CHOOSE($L774,$AP$1,$AP$2,$AP$3,$AP$4,$AP$5,$AP$6,$AP$7,$AP$8,$AP$9,$AP$10,$AP$11,$AP$12),"")</f>
        <v/>
      </c>
      <c r="C789" s="294"/>
      <c r="D789" s="294"/>
      <c r="E789" s="294"/>
      <c r="F789" s="294"/>
      <c r="G789" s="294"/>
      <c r="H789" s="265"/>
      <c r="I789" s="265"/>
      <c r="J789" s="265"/>
      <c r="K789" s="265"/>
      <c r="L789" s="265"/>
      <c r="M789" s="267" t="s">
        <v>1237</v>
      </c>
      <c r="N789" s="268"/>
      <c r="O789" s="268"/>
      <c r="P789" s="269"/>
      <c r="Q789" s="137" t="str">
        <f>IF($Q787&lt;&gt;"",IF($Q787="W","L","W"),"")</f>
        <v/>
      </c>
      <c r="R789" s="20"/>
      <c r="S789" s="20"/>
      <c r="T789" s="20"/>
      <c r="U789" s="20"/>
      <c r="V789" s="20"/>
      <c r="W789" s="20"/>
      <c r="X789" s="26"/>
      <c r="Y789" s="26"/>
      <c r="Z789" s="20"/>
      <c r="AA789" s="20"/>
      <c r="AB789" s="20"/>
      <c r="AC789" s="20"/>
      <c r="AD789" s="20"/>
      <c r="AE789" s="20"/>
      <c r="AF789" s="27"/>
    </row>
    <row r="790" spans="1:32" ht="12.75" customHeight="1">
      <c r="A790" s="301"/>
      <c r="B790" s="295"/>
      <c r="C790" s="296"/>
      <c r="D790" s="296"/>
      <c r="E790" s="296"/>
      <c r="F790" s="296"/>
      <c r="G790" s="296"/>
      <c r="H790" s="270"/>
      <c r="I790" s="270"/>
      <c r="J790" s="266"/>
      <c r="K790" s="266"/>
      <c r="L790" s="266"/>
      <c r="M790" s="267"/>
      <c r="N790" s="268"/>
      <c r="O790" s="268"/>
      <c r="P790" s="269"/>
      <c r="Q790" s="139" t="str">
        <f>IF($Q789&lt;&gt;"",IF($Q789="W",IF(SUM(IF($H789&gt;$H787,1,0),IF($I789&gt;$I787,1,0),IF($J789&gt;$J787,1,0),IF($K789&gt;$K787,1,0),IF($L789&gt;$L787,1,0))&lt;&gt;3,"Error",""),""),"")</f>
        <v/>
      </c>
      <c r="R790" s="20"/>
      <c r="S790" s="20"/>
      <c r="T790" s="20"/>
      <c r="U790" s="20"/>
      <c r="V790" s="20"/>
      <c r="W790" s="20"/>
      <c r="X790" s="26"/>
      <c r="Y790" s="26"/>
      <c r="Z790" s="20"/>
      <c r="AA790" s="20"/>
      <c r="AB790" s="20"/>
      <c r="AC790" s="20"/>
      <c r="AD790" s="20"/>
      <c r="AE790" s="20"/>
      <c r="AF790" s="27"/>
    </row>
    <row r="791" spans="1:32" ht="12.75" customHeight="1">
      <c r="Q791" s="7"/>
      <c r="R791" s="20"/>
      <c r="S791" s="20"/>
      <c r="T791" s="20"/>
      <c r="U791" s="20"/>
      <c r="V791" s="20"/>
      <c r="W791" s="20"/>
      <c r="X791" s="26"/>
      <c r="Y791" s="26"/>
      <c r="Z791" s="20"/>
      <c r="AA791" s="20"/>
      <c r="AB791" s="20"/>
      <c r="AC791" s="20"/>
      <c r="AD791" s="20"/>
      <c r="AE791" s="20"/>
      <c r="AF791" s="27"/>
    </row>
    <row r="792" spans="1:32" ht="12.75" customHeight="1">
      <c r="A792" s="21" t="s">
        <v>1235</v>
      </c>
      <c r="H792" s="136" t="str">
        <f>IF($Q794&lt;&gt;"",IF(AND(AND($H794&gt;-1,$H796&gt;-1),OR($H794&gt;10,$H796&gt;10),ABS($H794-$H796)&gt;1,IF(OR($H794&gt;11,$H796&gt;11),ABS($H794-$H796)=2,TRUE),$H794=INT($H794),$H796=INT($H796)),"","Error"),"")</f>
        <v/>
      </c>
      <c r="I792" s="136" t="str">
        <f>IF($Q794&lt;&gt;"",IF(AND(AND($I794&gt;-1,$I796&gt;-1),OR($I794&gt;10,$I796&gt;10),ABS($I794-$I796)&gt;1,IF(OR($I794&gt;11,$I796&gt;11),ABS($I794-$I796)=2,TRUE),$I794=INT($I794),$I796=INT($I796)),"","Error"),"")</f>
        <v/>
      </c>
      <c r="J792" s="136" t="str">
        <f>IF($Q794&lt;&gt;"",IF(AND(AND($J794&gt;-1,$J796&gt;-1),OR($J794&gt;10,$J796&gt;10),ABS($J794-$J796)&gt;1,IF(OR($J794&gt;11,$J796&gt;11),ABS($J794-$J796)=2,TRUE),$J794=INT($J794),$J796=INT($J796)),"","Error"),"")</f>
        <v/>
      </c>
      <c r="K792" s="136" t="str">
        <f>IF($Q794&lt;&gt;"",IF(AND($K794&lt;&gt;"",$K796&lt;&gt;""), IF(AND(AND($K794&gt;-1,$K796&gt;-1),OR($K794&gt;10,$K796&gt;10),ABS($K794-$K796)&gt;1,IF(OR($K794&gt;11,$K796&gt;11),ABS($K794-$K796)=2,TRUE),$K794=INT($K794),$K796=INT($K796)),"","Error"),""),"")</f>
        <v/>
      </c>
      <c r="L792" s="136" t="str">
        <f>IF($Q794&lt;&gt;"",IF(AND($L794&lt;&gt;"",$L796&lt;&gt;""), IF(AND(AND($L794&gt;-1,$L796&gt;-1),OR($L794&gt;10,$L796&gt;10),ABS($L794-$L796)&gt;1,IF(OR($L794&gt;11,$L796&gt;11),ABS($L794-$L796)=2,TRUE),$L794=INT($L794),$L796=INT($L796)),"","Error"),""),"")</f>
        <v/>
      </c>
      <c r="Q792" s="7"/>
      <c r="R792" s="20"/>
      <c r="S792" s="20"/>
      <c r="T792" s="20"/>
      <c r="U792" s="20"/>
      <c r="V792" s="20"/>
      <c r="W792" s="20"/>
      <c r="X792" s="26"/>
      <c r="Y792" s="26"/>
      <c r="Z792" s="20"/>
      <c r="AA792" s="20"/>
      <c r="AB792" s="20"/>
      <c r="AC792" s="20"/>
      <c r="AD792" s="20"/>
      <c r="AE792" s="20"/>
      <c r="AF792" s="27"/>
    </row>
    <row r="793" spans="1:32" ht="12.75" customHeight="1">
      <c r="A793" s="5" t="s">
        <v>1228</v>
      </c>
      <c r="B793" s="290" t="s">
        <v>1126</v>
      </c>
      <c r="C793" s="291"/>
      <c r="D793" s="291"/>
      <c r="E793" s="291"/>
      <c r="F793" s="291"/>
      <c r="G793" s="292"/>
      <c r="H793" s="5">
        <v>1</v>
      </c>
      <c r="I793" s="5">
        <v>2</v>
      </c>
      <c r="J793" s="5">
        <v>3</v>
      </c>
      <c r="K793" s="5">
        <v>4</v>
      </c>
      <c r="L793" s="5">
        <v>5</v>
      </c>
      <c r="M793" s="271"/>
      <c r="N793" s="272"/>
      <c r="O793" s="272"/>
      <c r="P793" s="273"/>
      <c r="Q793" s="7"/>
      <c r="R793" s="20"/>
      <c r="S793" s="20"/>
      <c r="T793" s="20"/>
      <c r="U793" s="20"/>
      <c r="V793" s="20"/>
      <c r="W793" s="20"/>
      <c r="X793" s="26"/>
      <c r="Y793" s="26"/>
      <c r="Z793" s="20"/>
      <c r="AA793" s="20"/>
      <c r="AB793" s="20"/>
      <c r="AC793" s="20"/>
      <c r="AD793" s="20"/>
      <c r="AE793" s="20"/>
      <c r="AF793" s="27"/>
    </row>
    <row r="794" spans="1:32" ht="12.75" customHeight="1">
      <c r="A794" s="300" t="str">
        <f>B774</f>
        <v>K</v>
      </c>
      <c r="B794" s="293" t="str">
        <f ca="1">IF(AND(OFFSET($AO$1,$C774-1,8,1,1),$A775&lt;&gt;"",$J775&lt;&gt;""),CHOOSE($C774,$AQ$1,$AQ$2,$AQ$3,$AQ$4,$AQ$5,$AQ$6,$AQ$7,$AQ$8,$AQ$9,$AQ$10,$AQ$11,$AQ$12),"")</f>
        <v/>
      </c>
      <c r="C794" s="294"/>
      <c r="D794" s="294"/>
      <c r="E794" s="294"/>
      <c r="F794" s="294"/>
      <c r="G794" s="294"/>
      <c r="H794" s="265"/>
      <c r="I794" s="265"/>
      <c r="J794" s="265"/>
      <c r="K794" s="265"/>
      <c r="L794" s="265"/>
      <c r="M794" s="262" t="str">
        <f ca="1">IF(OR(AND($B787&lt;&gt;"",$B794&lt;&gt;"",$D805&lt;=$C805),AND($B789&lt;&gt;"",$B796&lt;&gt;"",$H805&lt;=$G805)),"Invalid Lineup","")</f>
        <v/>
      </c>
      <c r="N794" s="263"/>
      <c r="O794" s="263"/>
      <c r="P794" s="264"/>
      <c r="Q794" s="137" t="str">
        <f>IF($L794=$L796,IF($K794=$K796,IF($J794&lt;&gt;"",IF($J794&gt;$J796,"W","L"),""),IF($K794&gt;$K796,"W","L")),IF($L794&gt;$L796,"W","L"))</f>
        <v/>
      </c>
      <c r="R794" s="20"/>
      <c r="S794" s="20"/>
      <c r="T794" s="20"/>
      <c r="U794" s="20"/>
      <c r="V794" s="20"/>
      <c r="W794" s="20"/>
      <c r="X794" s="26"/>
      <c r="Y794" s="26"/>
      <c r="Z794" s="20"/>
      <c r="AA794" s="20"/>
      <c r="AB794" s="20"/>
      <c r="AC794" s="20"/>
      <c r="AD794" s="20"/>
      <c r="AE794" s="20"/>
      <c r="AF794" s="27"/>
    </row>
    <row r="795" spans="1:32" ht="12.75" customHeight="1">
      <c r="A795" s="301"/>
      <c r="B795" s="295"/>
      <c r="C795" s="296"/>
      <c r="D795" s="296"/>
      <c r="E795" s="296"/>
      <c r="F795" s="296"/>
      <c r="G795" s="296"/>
      <c r="H795" s="270"/>
      <c r="I795" s="270"/>
      <c r="J795" s="270"/>
      <c r="K795" s="270"/>
      <c r="L795" s="270"/>
      <c r="M795" s="262"/>
      <c r="N795" s="263"/>
      <c r="O795" s="263"/>
      <c r="P795" s="264"/>
      <c r="Q795" s="139" t="str">
        <f>IF($Q794&lt;&gt;"",IF($Q794="W",IF(SUM(IF($H794&gt;$H796,1,0),IF($I794&gt;$I796,1,0),IF($J794&gt;$J796,1,0),IF($K794&gt;$K796,1,0),IF($L794&gt;$L796,1,0))&lt;&gt;3,"Error",""),""),"")</f>
        <v/>
      </c>
      <c r="R795" s="328" t="str">
        <f>$A775</f>
        <v/>
      </c>
      <c r="S795" s="328"/>
      <c r="T795" s="328"/>
      <c r="U795" s="328"/>
      <c r="V795" s="328"/>
      <c r="W795" s="328"/>
      <c r="X795" s="256" t="str">
        <f>CONCATENATE("(",$B774," vs ",$K774,")")</f>
        <v>(K vs L)</v>
      </c>
      <c r="Y795" s="256"/>
      <c r="Z795" s="328" t="str">
        <f>$J775</f>
        <v/>
      </c>
      <c r="AA795" s="328"/>
      <c r="AB795" s="328"/>
      <c r="AC795" s="328"/>
      <c r="AD795" s="328"/>
      <c r="AE795" s="328"/>
      <c r="AF795" s="100"/>
    </row>
    <row r="796" spans="1:32" ht="12.75" customHeight="1">
      <c r="A796" s="300" t="str">
        <f>K774</f>
        <v>L</v>
      </c>
      <c r="B796" s="293" t="str">
        <f ca="1">IF(AND(OFFSET($AO$1,$L774-1,8,1,1),$A775&lt;&gt;"",$J775&lt;&gt;""),CHOOSE($L774,$AQ$1,$AQ$2,$AQ$3,$AQ$4,$AQ$5,$AQ$6,$AQ$7,$AQ$8,$AQ$9,$AQ$10,$AQ$11,$AQ$12),"")</f>
        <v/>
      </c>
      <c r="C796" s="294"/>
      <c r="D796" s="294"/>
      <c r="E796" s="294"/>
      <c r="F796" s="294"/>
      <c r="G796" s="294"/>
      <c r="H796" s="265"/>
      <c r="I796" s="265"/>
      <c r="J796" s="265"/>
      <c r="K796" s="265"/>
      <c r="L796" s="265"/>
      <c r="M796" s="267" t="s">
        <v>1237</v>
      </c>
      <c r="N796" s="268"/>
      <c r="O796" s="268"/>
      <c r="P796" s="269"/>
      <c r="Q796" s="137" t="str">
        <f>IF($Q794&lt;&gt;"",IF($Q794="W","L","W"),"")</f>
        <v/>
      </c>
      <c r="R796" s="100"/>
      <c r="S796" s="100"/>
      <c r="T796" s="100"/>
      <c r="U796" s="100"/>
      <c r="V796" s="100"/>
      <c r="W796" s="100"/>
      <c r="X796" s="100"/>
      <c r="Y796" s="100"/>
      <c r="Z796" s="100"/>
      <c r="AA796" s="100"/>
      <c r="AB796" s="100"/>
      <c r="AC796" s="100"/>
      <c r="AD796" s="100"/>
      <c r="AE796" s="100"/>
      <c r="AF796" s="100"/>
    </row>
    <row r="797" spans="1:32" ht="12.75" customHeight="1">
      <c r="A797" s="301"/>
      <c r="B797" s="295"/>
      <c r="C797" s="296"/>
      <c r="D797" s="296"/>
      <c r="E797" s="296"/>
      <c r="F797" s="296"/>
      <c r="G797" s="296"/>
      <c r="H797" s="270"/>
      <c r="I797" s="270"/>
      <c r="J797" s="266"/>
      <c r="K797" s="266"/>
      <c r="L797" s="266"/>
      <c r="M797" s="267"/>
      <c r="N797" s="268"/>
      <c r="O797" s="268"/>
      <c r="P797" s="269"/>
      <c r="Q797" s="139" t="str">
        <f>IF($Q796&lt;&gt;"",IF($Q796="W",IF(SUM(IF($H796&gt;$H794,1,0),IF($I796&gt;$I794,1,0),IF($J796&gt;$J794,1,0),IF($K796&gt;$K794,1,0),IF($L796&gt;$L794,1,0))&lt;&gt;3,"Error",""),""),"")</f>
        <v/>
      </c>
      <c r="R797" s="43" t="str">
        <f>$A792</f>
        <v>3rd Singles</v>
      </c>
      <c r="S797" s="43"/>
      <c r="T797" s="43"/>
      <c r="U797" s="43"/>
      <c r="V797" s="43"/>
      <c r="W797" s="43"/>
      <c r="X797" s="43"/>
      <c r="Y797" s="43"/>
      <c r="Z797" s="43"/>
      <c r="AA797" s="43"/>
      <c r="AB797" s="43"/>
      <c r="AC797" s="43"/>
      <c r="AD797" s="43"/>
      <c r="AE797" s="43"/>
      <c r="AF797" s="43"/>
    </row>
    <row r="798" spans="1:32" ht="12.75" customHeight="1">
      <c r="Q798" s="7"/>
      <c r="R798" s="60" t="s">
        <v>1228</v>
      </c>
      <c r="S798" s="101" t="s">
        <v>1126</v>
      </c>
      <c r="T798" s="102"/>
      <c r="U798" s="102"/>
      <c r="V798" s="102"/>
      <c r="W798" s="102"/>
      <c r="X798" s="103"/>
      <c r="Y798" s="60">
        <v>1</v>
      </c>
      <c r="Z798" s="60">
        <v>2</v>
      </c>
      <c r="AA798" s="60">
        <v>3</v>
      </c>
      <c r="AB798" s="60">
        <v>4</v>
      </c>
      <c r="AC798" s="60">
        <v>5</v>
      </c>
      <c r="AD798" s="104"/>
      <c r="AE798" s="105"/>
      <c r="AF798" s="106"/>
    </row>
    <row r="799" spans="1:32" ht="12.75" customHeight="1">
      <c r="A799" s="21" t="s">
        <v>1236</v>
      </c>
      <c r="H799" s="136" t="str">
        <f ca="1">IF($Q801&lt;&gt;"",IF(AND($B801&lt;&gt;"Missing Player",$B803&lt;&gt;"Missing Player"),IF(AND(AND($H801&gt;-1,$H803&gt;-1),OR($H801&gt;10,$H803&gt;10),ABS($H801-$H803)&gt;1,IF(OR($H801&gt;11,$H803&gt;11),ABS($H801-$H803)=2,TRUE),$H801=INT($H801),$H803=INT($H803)),"","Error"),""),"")</f>
        <v/>
      </c>
      <c r="I799" s="136" t="str">
        <f ca="1">IF($Q801&lt;&gt;"",IF(AND($B801&lt;&gt;"Missing Player",$B803&lt;&gt;"Missing Player"),IF(AND(AND($I801&gt;-1,$I803&gt;-1),OR($I801&gt;10,$I803&gt;10),ABS($I801-$I803)&gt;1,IF(OR($I801&gt;11,$I803&gt;11),ABS($I801-$I803)=2,TRUE),$I801=INT($I801),$I803=INT($I803)),"","Error"),""),"")</f>
        <v/>
      </c>
      <c r="J799" s="136" t="str">
        <f ca="1">IF($Q801&lt;&gt;"",IF(AND($B801&lt;&gt;"Missing Player",$B803&lt;&gt;"Missing Player"),IF(AND(AND($J801&gt;-1,$J803&gt;-1),OR($J801&gt;10,$J803&gt;10),ABS($J801-$J803)&gt;1,IF(OR($J801&gt;11,$J803&gt;11),ABS($J801-$J803)=2,TRUE),$J801=INT($J801),$J803=INT($J803)),"","Error"),""),"")</f>
        <v/>
      </c>
      <c r="K799" s="136" t="str">
        <f ca="1">IF($Q801&lt;&gt;"",IF(AND($K801&lt;&gt;"",$K803&lt;&gt;""), IF(AND(AND($K801&gt;-1,$K803&gt;-1),OR($K801&gt;10,$K803&gt;10),ABS($K801-$K803)&gt;1,IF(OR($K801&gt;11,$K803&gt;11),ABS($K801-$K803)=2,TRUE),$K801=INT($K801),$K803=INT($K803)),"","Error"),""),"")</f>
        <v/>
      </c>
      <c r="L799" s="136" t="str">
        <f ca="1">IF($Q801&lt;&gt;"",IF(AND($L801&lt;&gt;"",$L803&lt;&gt;""), IF(AND(AND($L801&gt;-1,$L803&gt;-1),OR($L801&gt;10,$L803&gt;10),ABS($L801-$L803)&gt;1,IF(OR($L801&gt;11,$L803&gt;11),ABS($L801-$L803)=2,TRUE),$L801=INT($L801),$L803=INT($L803)),"","Error"),""),"")</f>
        <v/>
      </c>
      <c r="Q799" s="7"/>
      <c r="R799" s="300" t="str">
        <f>$B774</f>
        <v>K</v>
      </c>
      <c r="S799" s="331" t="str">
        <f ca="1">IF($B794&lt;&gt;"",$B794,"")</f>
        <v/>
      </c>
      <c r="T799" s="332"/>
      <c r="U799" s="332"/>
      <c r="V799" s="332"/>
      <c r="W799" s="332"/>
      <c r="X799" s="333"/>
      <c r="Y799" s="329"/>
      <c r="Z799" s="329"/>
      <c r="AA799" s="329"/>
      <c r="AB799" s="329"/>
      <c r="AC799" s="329"/>
      <c r="AD799" s="345"/>
      <c r="AE799" s="358"/>
      <c r="AF799" s="359"/>
    </row>
    <row r="800" spans="1:32" ht="12.75" customHeight="1">
      <c r="A800" s="5" t="s">
        <v>1228</v>
      </c>
      <c r="B800" s="290" t="s">
        <v>1126</v>
      </c>
      <c r="C800" s="291"/>
      <c r="D800" s="291"/>
      <c r="E800" s="291"/>
      <c r="F800" s="291"/>
      <c r="G800" s="292"/>
      <c r="H800" s="5">
        <v>1</v>
      </c>
      <c r="I800" s="5">
        <v>2</v>
      </c>
      <c r="J800" s="5">
        <v>3</v>
      </c>
      <c r="K800" s="5">
        <v>4</v>
      </c>
      <c r="L800" s="5">
        <v>5</v>
      </c>
      <c r="M800" s="271"/>
      <c r="N800" s="272"/>
      <c r="O800" s="272"/>
      <c r="P800" s="273"/>
      <c r="Q800" s="7"/>
      <c r="R800" s="330"/>
      <c r="S800" s="334"/>
      <c r="T800" s="335"/>
      <c r="U800" s="335"/>
      <c r="V800" s="335"/>
      <c r="W800" s="335"/>
      <c r="X800" s="336"/>
      <c r="Y800" s="330"/>
      <c r="Z800" s="330"/>
      <c r="AA800" s="330"/>
      <c r="AB800" s="330"/>
      <c r="AC800" s="330"/>
      <c r="AD800" s="360"/>
      <c r="AE800" s="361"/>
      <c r="AF800" s="362"/>
    </row>
    <row r="801" spans="1:32" ht="12.75" customHeight="1">
      <c r="A801" s="300" t="str">
        <f>B774</f>
        <v>K</v>
      </c>
      <c r="B801" s="293" t="str">
        <f ca="1">IF(AND(OFFSET($AO$1,$C774-1,8,1,1),$A775&lt;&gt;"",$J775&lt;&gt;""),CHOOSE($C774,$AR$1,$AR$2,$AR$3,$AR$4,$AR$5,$AR$6,$AR$7,$AR$8,$AR$9,$AR$10,$AR$11,$AR$12),"")</f>
        <v/>
      </c>
      <c r="C801" s="294"/>
      <c r="D801" s="294"/>
      <c r="E801" s="294"/>
      <c r="F801" s="294"/>
      <c r="G801" s="294"/>
      <c r="H801" s="265"/>
      <c r="I801" s="265"/>
      <c r="J801" s="265"/>
      <c r="K801" s="265"/>
      <c r="L801" s="265" t="str">
        <f ca="1">IF(AND($B801&lt;&gt;"",$Q780&lt;&gt;""),IF($B801="Missing Player",0,IF($B803="Missing Player",11,"")),"")</f>
        <v/>
      </c>
      <c r="M801" s="262" t="str">
        <f ca="1">IF(OR(AND($B794&lt;&gt;"",$B801&lt;&gt;"",$E805&lt;=$D805),AND($B796&lt;&gt;"",$B803&lt;&gt;"",$I805&lt;=$H805)),"Invalid Lineup","")</f>
        <v/>
      </c>
      <c r="N801" s="263"/>
      <c r="O801" s="263"/>
      <c r="P801" s="264"/>
      <c r="Q801" s="137" t="str">
        <f ca="1">IF($L801=$L803,IF($K801=$K803,IF($J801&lt;&gt;"",IF($J801&gt;$J803,"W","L"),""),IF($K801&gt;$K803,"W","L")),IF($L801&gt;$L803,"W","L"))</f>
        <v/>
      </c>
      <c r="R801" s="300" t="str">
        <f>$K774</f>
        <v>L</v>
      </c>
      <c r="S801" s="331" t="str">
        <f ca="1">IF($B796&lt;&gt;"",$B796,"")</f>
        <v/>
      </c>
      <c r="T801" s="332"/>
      <c r="U801" s="332"/>
      <c r="V801" s="332"/>
      <c r="W801" s="332"/>
      <c r="X801" s="333"/>
      <c r="Y801" s="329"/>
      <c r="Z801" s="329"/>
      <c r="AA801" s="329"/>
      <c r="AB801" s="329"/>
      <c r="AC801" s="351"/>
      <c r="AD801" s="363" t="s">
        <v>1237</v>
      </c>
      <c r="AE801" s="358"/>
      <c r="AF801" s="359"/>
    </row>
    <row r="802" spans="1:32" ht="12.75" customHeight="1">
      <c r="A802" s="301"/>
      <c r="B802" s="295"/>
      <c r="C802" s="296"/>
      <c r="D802" s="296"/>
      <c r="E802" s="296"/>
      <c r="F802" s="296"/>
      <c r="G802" s="296"/>
      <c r="H802" s="270"/>
      <c r="I802" s="270"/>
      <c r="J802" s="270"/>
      <c r="K802" s="270"/>
      <c r="L802" s="270"/>
      <c r="M802" s="262"/>
      <c r="N802" s="263"/>
      <c r="O802" s="263"/>
      <c r="P802" s="264"/>
      <c r="Q802" s="139" t="str">
        <f ca="1">IF($Q801&lt;&gt;"",IF($B803&lt;&gt;"Missing Player",IF($Q801="W",IF(SUM(IF($H801&gt;$H803,1,0),IF($I801&gt;$I803,1,0),IF($J801&gt;$J803,1,0),IF($K801&gt;$K803,1,0),IF($L801&gt;$L803,1,0))&lt;&gt;3,"Error",""),""),""),"")</f>
        <v/>
      </c>
      <c r="R802" s="330"/>
      <c r="S802" s="334"/>
      <c r="T802" s="335"/>
      <c r="U802" s="335"/>
      <c r="V802" s="335"/>
      <c r="W802" s="335"/>
      <c r="X802" s="336"/>
      <c r="Y802" s="330"/>
      <c r="Z802" s="330"/>
      <c r="AA802" s="330"/>
      <c r="AB802" s="330"/>
      <c r="AC802" s="330"/>
      <c r="AD802" s="360"/>
      <c r="AE802" s="361"/>
      <c r="AF802" s="362"/>
    </row>
    <row r="803" spans="1:32" ht="12.75" customHeight="1">
      <c r="A803" s="300" t="str">
        <f>K774</f>
        <v>L</v>
      </c>
      <c r="B803" s="293" t="str">
        <f ca="1">IF(AND(OFFSET($AO$1,$L774-1,8,1,1),$A775&lt;&gt;"",$J775&lt;&gt;""),CHOOSE($L774,$AR$1,$AR$2,$AR$3,$AR$4,$AR$5,$AR$6,$AR$7,$AR$8,$AR$9,$AR$10,$AR$11,$AR$12),"")</f>
        <v/>
      </c>
      <c r="C803" s="294"/>
      <c r="D803" s="294"/>
      <c r="E803" s="294"/>
      <c r="F803" s="294"/>
      <c r="G803" s="294"/>
      <c r="H803" s="265"/>
      <c r="I803" s="265"/>
      <c r="J803" s="265"/>
      <c r="K803" s="265"/>
      <c r="L803" s="265" t="str">
        <f ca="1">IF(AND($B803&lt;&gt;"",$Q780&lt;&gt;""),IF($B803="Missing Player",0,IF($B801="Missing Player",11,"")),"")</f>
        <v/>
      </c>
      <c r="M803" s="267" t="s">
        <v>1237</v>
      </c>
      <c r="N803" s="268"/>
      <c r="O803" s="268"/>
      <c r="P803" s="269"/>
      <c r="Q803" s="137" t="str">
        <f ca="1">IF($Q801&lt;&gt;"",IF($Q801="W","L","W"),"")</f>
        <v/>
      </c>
      <c r="R803" s="112"/>
      <c r="S803" s="98"/>
      <c r="T803" s="108"/>
      <c r="U803" s="108"/>
      <c r="V803" s="108"/>
      <c r="W803" s="108"/>
      <c r="X803" s="108"/>
      <c r="Y803" s="113"/>
      <c r="Z803" s="113"/>
      <c r="AA803" s="113"/>
      <c r="AB803" s="113"/>
      <c r="AC803" s="113"/>
      <c r="AD803" s="107"/>
      <c r="AE803" s="109"/>
      <c r="AF803" s="109"/>
    </row>
    <row r="804" spans="1:32" ht="12.75" customHeight="1">
      <c r="A804" s="301"/>
      <c r="B804" s="295"/>
      <c r="C804" s="296"/>
      <c r="D804" s="296"/>
      <c r="E804" s="296"/>
      <c r="F804" s="296"/>
      <c r="G804" s="296"/>
      <c r="H804" s="270"/>
      <c r="I804" s="270"/>
      <c r="J804" s="266"/>
      <c r="K804" s="266"/>
      <c r="L804" s="266"/>
      <c r="M804" s="267"/>
      <c r="N804" s="268"/>
      <c r="O804" s="268"/>
      <c r="P804" s="269"/>
      <c r="Q804" s="139" t="str">
        <f ca="1">IF($Q803&lt;&gt;"",IF($B801&lt;&gt;"Missing Player",IF($Q803="W",IF(SUM(IF($H803&gt;$H801,1,0),IF($I803&gt;$I801,1,0),IF($J803&gt;$J801,1,0),IF($K803&gt;$K801,1,0),IF($L803&gt;$L801,1,0))&lt;&gt;3,"Error",""),""),""),"")</f>
        <v/>
      </c>
      <c r="R804" s="114"/>
      <c r="S804" s="115"/>
      <c r="T804" s="115"/>
      <c r="U804" s="115"/>
      <c r="V804" s="115"/>
      <c r="W804" s="115"/>
      <c r="X804" s="115"/>
      <c r="Y804" s="114"/>
      <c r="Z804" s="114"/>
      <c r="AA804" s="114"/>
      <c r="AB804" s="114"/>
      <c r="AC804" s="114"/>
      <c r="AD804" s="114"/>
      <c r="AE804" s="114"/>
      <c r="AF804" s="114"/>
    </row>
    <row r="805" spans="1:32" ht="12.75" customHeight="1">
      <c r="B805" s="140" t="str">
        <f ca="1">IF(ISERROR(VLOOKUP($B780&amp;"("&amp;$B774&amp;")",Players!$S$4:$T$132,2,FALSE)),"",VLOOKUP($B780&amp;"("&amp;$B774&amp;")",Players!$S$4:$T$132,2,FALSE))</f>
        <v>K1</v>
      </c>
      <c r="C805" s="140" t="str">
        <f ca="1">IF(ISERROR(VLOOKUP($B787&amp;"("&amp;$B774&amp;")",Players!$S$4:$T$132,2,FALSE)),"",VLOOKUP($B787&amp;"("&amp;$B774&amp;")",Players!$S$4:$T$132,2,FALSE))</f>
        <v>K1</v>
      </c>
      <c r="D805" s="141" t="str">
        <f ca="1">IF(ISERROR(VLOOKUP($B794&amp;"("&amp;$B774&amp;")",Players!$S$4:$T$132,2,FALSE)),"",VLOOKUP($B794&amp;"("&amp;$B774&amp;")",Players!$S$4:$T$132,2,FALSE))</f>
        <v>K1</v>
      </c>
      <c r="E805" s="141" t="str">
        <f ca="1">IF(ISERROR(VLOOKUP($B801&amp;"("&amp;$B774&amp;")",Players!$S$4:$T$132,2,FALSE)),"",VLOOKUP($B801&amp;"("&amp;$B774&amp;")",Players!$S$4:$T$132,2,FALSE))</f>
        <v>K1</v>
      </c>
      <c r="F805" s="141" t="str">
        <f ca="1">IF(ISERROR(VLOOKUP($B782&amp;"("&amp;$K774&amp;")",Players!$S$4:$T$132,2,FALSE)),"",VLOOKUP($B782&amp;"("&amp;$K774&amp;")",Players!$S$4:$T$132,2,FALSE))</f>
        <v>L1</v>
      </c>
      <c r="G805" s="141" t="str">
        <f ca="1">IF(ISERROR(VLOOKUP($B789&amp;"("&amp;$K774&amp;")",Players!$S$4:$T$132,2,FALSE)),"",VLOOKUP($B789&amp;"("&amp;$K774&amp;")",Players!$S$4:$T$132,2,FALSE))</f>
        <v>L1</v>
      </c>
      <c r="H805" s="141" t="str">
        <f ca="1">IF(ISERROR(VLOOKUP($B796&amp;"("&amp;$K774&amp;")",Players!$S$4:$T$132,2,FALSE)),"",VLOOKUP($B796&amp;"("&amp;$K774&amp;")",Players!$S$4:$T$132,2,FALSE))</f>
        <v>L1</v>
      </c>
      <c r="I805" s="141" t="str">
        <f ca="1">IF(ISERROR(VLOOKUP($B803&amp;"("&amp;$K774&amp;")",Players!$S$4:$T$132,2,FALSE)),"",VLOOKUP($B803&amp;"("&amp;$K774&amp;")",Players!$S$4:$T$132,2,FALSE))</f>
        <v>L1</v>
      </c>
      <c r="Q805" s="7"/>
      <c r="R805" s="50"/>
      <c r="S805" s="116"/>
      <c r="T805" s="115"/>
      <c r="U805" s="115"/>
      <c r="V805" s="115"/>
      <c r="W805" s="115"/>
      <c r="X805" s="115"/>
      <c r="Y805" s="99"/>
      <c r="Z805" s="99"/>
      <c r="AA805" s="99"/>
      <c r="AB805" s="99"/>
      <c r="AC805" s="117"/>
      <c r="AD805" s="118"/>
      <c r="AE805" s="114"/>
      <c r="AF805" s="114"/>
    </row>
    <row r="806" spans="1:32" ht="12.75" customHeight="1">
      <c r="A806" s="21" t="s">
        <v>1225</v>
      </c>
      <c r="H806" s="136" t="str">
        <f ca="1">IF($Q808&lt;&gt;"",IF(AND($B809&lt;&gt;"Missing Player",$B811&lt;&gt;"Missing Player"),IF(AND(AND($H808&gt;-1,$H810&gt;-1),OR($H808&gt;10,$H810&gt;10),ABS($H808-$H810)&gt;1,IF(OR($H808&gt;11,$H810&gt;11),ABS($H808-$H810)=2,TRUE),$H808=INT($H808),$H810=INT($H810)),"","Error"),""),"")</f>
        <v/>
      </c>
      <c r="I806" s="136" t="str">
        <f ca="1">IF($Q808&lt;&gt;"",IF(AND($B809&lt;&gt;"Missing Player",$B811&lt;&gt;"Missing Player"),IF(AND(AND($I808&gt;-1,$I810&gt;-1),OR($I808&gt;10,$I810&gt;10),ABS($I808-$I810)&gt;1,IF(OR($I808&gt;11,$I810&gt;11),ABS($I808-$I810)=2,TRUE),$I808=INT($I808),$I810=INT($I810)),"","Error"),""),"")</f>
        <v/>
      </c>
      <c r="J806" s="136" t="str">
        <f ca="1">IF($Q808&lt;&gt;"",IF(AND($B809&lt;&gt;"Missing Player",$B811&lt;&gt;"Missing Player"),IF(AND(AND($J808&gt;-1,$J810&gt;-1),OR($J808&gt;10,$J810&gt;10),ABS($J808-$J810)&gt;1,IF(OR($J808&gt;11,$J810&gt;11),ABS($J808-$J810)=2,TRUE),$J808=INT($J808),$J810=INT($J810)),"","Error"),""),"")</f>
        <v/>
      </c>
      <c r="K806" s="136" t="str">
        <f ca="1">IF($Q808&lt;&gt;"",IF(AND($K808&lt;&gt;"",$K810&lt;&gt;""), IF(AND(AND($K808&gt;-1,$K810&gt;-1),OR($K808&gt;10,$K810&gt;10),ABS($K808-$K810)&gt;1,IF(OR($K808&gt;11,$K810&gt;11),ABS($K808-$K810)=2,TRUE),$K808=INT($K808),$K810=INT($K810)),"","Error"),""),"")</f>
        <v/>
      </c>
      <c r="L806" s="136" t="str">
        <f ca="1">IF($Q808&lt;&gt;"",IF(AND($L808&lt;&gt;"",$L810&lt;&gt;""), IF(AND(AND($L808&gt;-1,$L810&gt;-1),OR($L808&gt;10,$L810&gt;10),ABS($L808-$L810)&gt;1,IF(OR($L808&gt;11,$L810&gt;11),ABS($L808-$L810)=2,TRUE),$L808=INT($L808),$L810=INT($L810)),"","Error"),""),"")</f>
        <v/>
      </c>
      <c r="Q806" s="7"/>
      <c r="R806" s="114"/>
      <c r="S806" s="115"/>
      <c r="T806" s="115"/>
      <c r="U806" s="115"/>
      <c r="V806" s="115"/>
      <c r="W806" s="115"/>
      <c r="X806" s="115"/>
      <c r="Y806" s="114"/>
      <c r="Z806" s="114"/>
      <c r="AA806" s="114"/>
      <c r="AB806" s="114"/>
      <c r="AC806" s="114"/>
      <c r="AD806" s="114"/>
      <c r="AE806" s="114"/>
      <c r="AF806" s="114"/>
    </row>
    <row r="807" spans="1:32" ht="12.75" customHeight="1">
      <c r="A807" s="5" t="s">
        <v>1228</v>
      </c>
      <c r="B807" s="290" t="s">
        <v>1126</v>
      </c>
      <c r="C807" s="291"/>
      <c r="D807" s="291"/>
      <c r="E807" s="291"/>
      <c r="F807" s="291"/>
      <c r="G807" s="292"/>
      <c r="H807" s="5">
        <v>1</v>
      </c>
      <c r="I807" s="5">
        <v>2</v>
      </c>
      <c r="J807" s="5">
        <v>3</v>
      </c>
      <c r="K807" s="5">
        <v>4</v>
      </c>
      <c r="L807" s="5">
        <v>5</v>
      </c>
      <c r="M807" s="271"/>
      <c r="N807" s="272"/>
      <c r="O807" s="272"/>
      <c r="P807" s="273"/>
      <c r="Q807" s="8"/>
      <c r="S807" s="24"/>
      <c r="T807" s="26"/>
    </row>
    <row r="808" spans="1:32" ht="12.75" customHeight="1">
      <c r="A808" s="300" t="str">
        <f>B774</f>
        <v>K</v>
      </c>
      <c r="B808" s="311" t="str">
        <f ca="1">IF($B780&lt;&gt;"",$B780,"")</f>
        <v/>
      </c>
      <c r="C808" s="312"/>
      <c r="D808" s="312"/>
      <c r="E808" s="312"/>
      <c r="F808" s="312"/>
      <c r="G808" s="313"/>
      <c r="H808" s="265"/>
      <c r="I808" s="265"/>
      <c r="J808" s="265"/>
      <c r="K808" s="265"/>
      <c r="L808" s="265" t="str">
        <f ca="1">IF($B801&lt;&gt;"",IF(AND($B801="Missing Player",$G812=2,$J812=2),0,IF(AND($B803="Missing Player",$G812=2,$J812=2),11,"")),"")</f>
        <v/>
      </c>
      <c r="M808" s="262" t="str">
        <f ca="1">IF(OR(AND($B808&lt;&gt;"",$B809&lt;&gt;"",$B808=$B809),AND($B810&lt;&gt;"",$B811&lt;&gt;"",$B810=$B811)),"Invalid Partner","")</f>
        <v/>
      </c>
      <c r="N808" s="263"/>
      <c r="O808" s="263"/>
      <c r="P808" s="264"/>
      <c r="Q808" s="138" t="str">
        <f ca="1">IF(L808=L810,IF(K808=K810,IF(J808&lt;&gt;"",IF(J808&gt;J810,"W","L"),""),IF(K808&gt;K810,"W","L")),IF(L808&gt;L810,"W","L"))</f>
        <v/>
      </c>
      <c r="S808" s="24"/>
      <c r="T808" s="26"/>
    </row>
    <row r="809" spans="1:32" ht="12.75" customHeight="1">
      <c r="A809" s="324"/>
      <c r="B809" s="308" t="str">
        <f ca="1">IF($B801="Missing Player",$B801,"")</f>
        <v/>
      </c>
      <c r="C809" s="309"/>
      <c r="D809" s="309"/>
      <c r="E809" s="309"/>
      <c r="F809" s="309"/>
      <c r="G809" s="310"/>
      <c r="H809" s="270"/>
      <c r="I809" s="270"/>
      <c r="J809" s="270"/>
      <c r="K809" s="270"/>
      <c r="L809" s="270"/>
      <c r="M809" s="262"/>
      <c r="N809" s="263"/>
      <c r="O809" s="263"/>
      <c r="P809" s="264"/>
      <c r="Q809" s="139" t="str">
        <f ca="1">IF($Q808&lt;&gt;"",IF($B811&lt;&gt;"Missing Player",IF($Q808="W",IF(SUM(IF($H808&gt;$H810,1,0),IF($I808&gt;$I810,1,0),IF($J808&gt;$J810,1,0),IF($K808&gt;$K810,1,0),IF($L808&gt;$L810,1,0))&lt;&gt;3,"Error",""),""),""),"")</f>
        <v/>
      </c>
      <c r="R809" s="328" t="str">
        <f>$A775</f>
        <v/>
      </c>
      <c r="S809" s="328"/>
      <c r="T809" s="328"/>
      <c r="U809" s="328"/>
      <c r="V809" s="328"/>
      <c r="W809" s="328"/>
      <c r="X809" s="256" t="str">
        <f>CONCATENATE("(",$B774," vs ",$K774,")")</f>
        <v>(K vs L)</v>
      </c>
      <c r="Y809" s="256"/>
      <c r="Z809" s="328" t="str">
        <f>$J775</f>
        <v/>
      </c>
      <c r="AA809" s="328"/>
      <c r="AB809" s="328"/>
      <c r="AC809" s="328"/>
      <c r="AD809" s="328"/>
      <c r="AE809" s="328"/>
      <c r="AF809" s="43"/>
    </row>
    <row r="810" spans="1:32" ht="12.75" customHeight="1">
      <c r="A810" s="325" t="str">
        <f>K774</f>
        <v>L</v>
      </c>
      <c r="B810" s="311" t="str">
        <f ca="1">IF($B782&lt;&gt;"",$B782,"")</f>
        <v/>
      </c>
      <c r="C810" s="312"/>
      <c r="D810" s="312"/>
      <c r="E810" s="312"/>
      <c r="F810" s="312"/>
      <c r="G810" s="313"/>
      <c r="H810" s="265"/>
      <c r="I810" s="265"/>
      <c r="J810" s="265"/>
      <c r="K810" s="265"/>
      <c r="L810" s="265" t="str">
        <f ca="1">IF($B803&lt;&gt;"",IF(AND($B803="Missing Player",$G812=2,$J812=2),0,IF(AND($B801="Missing Player",$G812=2,$J812=2),11,"")),"")</f>
        <v/>
      </c>
      <c r="M810" s="267" t="s">
        <v>1237</v>
      </c>
      <c r="N810" s="268"/>
      <c r="O810" s="268"/>
      <c r="P810" s="269"/>
      <c r="Q810" s="138" t="str">
        <f ca="1">IF(Q808&lt;&gt;"",IF(Q808="W","L","W"),"")</f>
        <v/>
      </c>
      <c r="R810" s="43"/>
      <c r="S810" s="43"/>
      <c r="T810" s="43"/>
      <c r="U810" s="43"/>
      <c r="V810" s="43"/>
      <c r="W810" s="43"/>
      <c r="X810" s="43"/>
      <c r="Y810" s="43"/>
      <c r="Z810" s="43"/>
      <c r="AA810" s="43"/>
      <c r="AB810" s="43"/>
      <c r="AC810" s="43"/>
      <c r="AD810" s="43"/>
      <c r="AE810" s="43"/>
      <c r="AF810" s="43"/>
    </row>
    <row r="811" spans="1:32" ht="12.75" customHeight="1">
      <c r="A811" s="324"/>
      <c r="B811" s="308" t="str">
        <f ca="1">IF($B803="Missing Player",$B803,"")</f>
        <v/>
      </c>
      <c r="C811" s="309"/>
      <c r="D811" s="309"/>
      <c r="E811" s="309"/>
      <c r="F811" s="309"/>
      <c r="G811" s="310"/>
      <c r="H811" s="270"/>
      <c r="I811" s="270"/>
      <c r="J811" s="266"/>
      <c r="K811" s="266"/>
      <c r="L811" s="266"/>
      <c r="M811" s="267"/>
      <c r="N811" s="268"/>
      <c r="O811" s="268"/>
      <c r="P811" s="269"/>
      <c r="Q811" s="139" t="str">
        <f ca="1">IF($Q810&lt;&gt;"",IF($B809&lt;&gt;"Missing Player",IF($Q810="W",IF(SUM(IF($H810&gt;$H808,1,0),IF($I810&gt;$I808,1,0),IF($J810&gt;$J808,1,0),IF($K810&gt;$K808,1,0),IF($L810&gt;$L808,1,0))&lt;&gt;3,"Error",""),""),""),"")</f>
        <v/>
      </c>
      <c r="R811" s="43" t="str">
        <f>A799</f>
        <v>4th Singles</v>
      </c>
      <c r="S811" s="43"/>
      <c r="T811" s="43"/>
      <c r="U811" s="43"/>
      <c r="V811" s="43"/>
      <c r="W811" s="43"/>
      <c r="X811" s="43"/>
      <c r="Y811" s="43"/>
      <c r="Z811" s="43"/>
      <c r="AA811" s="43"/>
      <c r="AB811" s="43"/>
      <c r="AC811" s="43"/>
      <c r="AD811" s="43"/>
      <c r="AE811" s="43"/>
      <c r="AF811" s="43"/>
    </row>
    <row r="812" spans="1:32" ht="12.75" customHeight="1">
      <c r="G812" s="66">
        <f ca="1">COUNTIF($Q780:$Q780,"W")+COUNTIF($Q787:$Q787,"W")+COUNTIF($Q794:$Q794,"W")+COUNTIF($Q801:$Q801,"W")</f>
        <v>0</v>
      </c>
      <c r="J812" s="66">
        <f ca="1">COUNTIF($Q782:$Q782,"W")+COUNTIF($Q789:$Q789,"W")+COUNTIF($Q796:$Q796,"W")+COUNTIF($Q803:$Q803,"W")</f>
        <v>0</v>
      </c>
      <c r="R812" s="60" t="s">
        <v>1228</v>
      </c>
      <c r="S812" s="339" t="s">
        <v>1126</v>
      </c>
      <c r="T812" s="340"/>
      <c r="U812" s="340"/>
      <c r="V812" s="340"/>
      <c r="W812" s="340"/>
      <c r="X812" s="341"/>
      <c r="Y812" s="60">
        <v>1</v>
      </c>
      <c r="Z812" s="60">
        <v>2</v>
      </c>
      <c r="AA812" s="60">
        <v>3</v>
      </c>
      <c r="AB812" s="60">
        <v>4</v>
      </c>
      <c r="AC812" s="60">
        <v>5</v>
      </c>
      <c r="AD812" s="342"/>
      <c r="AE812" s="343"/>
      <c r="AF812" s="344"/>
    </row>
    <row r="813" spans="1:32" ht="12.75" customHeight="1" thickBot="1">
      <c r="F813" s="246" t="s">
        <v>1238</v>
      </c>
      <c r="G813" s="246"/>
      <c r="H813" s="246"/>
      <c r="I813" s="246"/>
      <c r="J813" s="246"/>
      <c r="K813" s="246"/>
      <c r="R813" s="300" t="str">
        <f>B774</f>
        <v>K</v>
      </c>
      <c r="S813" s="331" t="str">
        <f ca="1">IF($B801&lt;&gt;"",$B801,"")</f>
        <v/>
      </c>
      <c r="T813" s="353"/>
      <c r="U813" s="353"/>
      <c r="V813" s="353"/>
      <c r="W813" s="353"/>
      <c r="X813" s="354"/>
      <c r="Y813" s="329"/>
      <c r="Z813" s="329"/>
      <c r="AA813" s="351"/>
      <c r="AB813" s="351"/>
      <c r="AC813" s="351"/>
      <c r="AD813" s="345"/>
      <c r="AE813" s="346"/>
      <c r="AF813" s="347"/>
    </row>
    <row r="814" spans="1:32" ht="12.75" customHeight="1">
      <c r="A814" s="22"/>
      <c r="B814" s="22"/>
      <c r="C814" s="22"/>
      <c r="D814" s="22"/>
      <c r="E814" s="22"/>
      <c r="G814" s="304" t="str">
        <f>B774</f>
        <v>K</v>
      </c>
      <c r="H814" s="305"/>
      <c r="I814" s="302" t="str">
        <f>K774</f>
        <v>L</v>
      </c>
      <c r="J814" s="303"/>
      <c r="L814" s="22"/>
      <c r="M814" s="22"/>
      <c r="N814" s="22"/>
      <c r="O814" s="22"/>
      <c r="P814" s="22"/>
      <c r="R814" s="301"/>
      <c r="S814" s="355"/>
      <c r="T814" s="356"/>
      <c r="U814" s="356"/>
      <c r="V814" s="356"/>
      <c r="W814" s="356"/>
      <c r="X814" s="357"/>
      <c r="Y814" s="338"/>
      <c r="Z814" s="338"/>
      <c r="AA814" s="352"/>
      <c r="AB814" s="352"/>
      <c r="AC814" s="352"/>
      <c r="AD814" s="348"/>
      <c r="AE814" s="349"/>
      <c r="AF814" s="350"/>
    </row>
    <row r="815" spans="1:32" ht="12.75" customHeight="1" thickBot="1">
      <c r="A815" s="2" t="s">
        <v>1228</v>
      </c>
      <c r="B815" s="53" t="str">
        <f>B774</f>
        <v>K</v>
      </c>
      <c r="C815" s="3" t="s">
        <v>1226</v>
      </c>
      <c r="F815" s="66" t="str">
        <f>CONCATENATE($B774,"-",$K774)</f>
        <v>K-L</v>
      </c>
      <c r="G815" s="320" t="str">
        <f ca="1">IF(OR(Q780&lt;&gt;"",Q787&lt;&gt;"",Q794&lt;&gt;"",Q801&lt;&gt;"",Q808&lt;&gt;""),COUNTIF(Q780:Q780,"W")+COUNTIF(Q787:Q787,"W")+COUNTIF(Q794:Q794,"W")+COUNTIF(Q801:Q801,"W")+COUNTIF(Q808:Q808,"W"),"")</f>
        <v/>
      </c>
      <c r="H815" s="321"/>
      <c r="I815" s="322" t="str">
        <f ca="1">IF(OR(Q782&lt;&gt;"",Q789&lt;&gt;"",Q796&lt;&gt;"",Q803&lt;&gt;"",Q810&lt;&gt;""),COUNTIF(Q782:Q782,"W")+COUNTIF(Q789:Q789,"W")+COUNTIF(Q796:Q796,"W")+COUNTIF(Q803:Q803,"W")+COUNTIF(Q810:Q810,"W"),"")</f>
        <v/>
      </c>
      <c r="J815" s="323"/>
      <c r="L815" s="2" t="s">
        <v>1228</v>
      </c>
      <c r="M815" s="53" t="str">
        <f>K774</f>
        <v>L</v>
      </c>
      <c r="N815" s="3" t="s">
        <v>1226</v>
      </c>
      <c r="R815" s="300" t="str">
        <f>K774</f>
        <v>L</v>
      </c>
      <c r="S815" s="331" t="str">
        <f ca="1">IF($B803&lt;&gt;"",$B803,"")</f>
        <v/>
      </c>
      <c r="T815" s="332"/>
      <c r="U815" s="332"/>
      <c r="V815" s="332"/>
      <c r="W815" s="332"/>
      <c r="X815" s="333"/>
      <c r="Y815" s="329"/>
      <c r="Z815" s="329"/>
      <c r="AA815" s="351"/>
      <c r="AB815" s="351"/>
      <c r="AC815" s="351"/>
      <c r="AD815" s="363" t="s">
        <v>1237</v>
      </c>
      <c r="AE815" s="358"/>
      <c r="AF815" s="359"/>
    </row>
    <row r="816" spans="1:32" ht="12.75" customHeight="1">
      <c r="F816" s="25" t="s">
        <v>3996</v>
      </c>
      <c r="G816" s="23"/>
      <c r="H816" s="23"/>
      <c r="I816" s="23"/>
      <c r="J816" s="23"/>
      <c r="K816" s="24"/>
      <c r="R816" s="330"/>
      <c r="S816" s="334"/>
      <c r="T816" s="335"/>
      <c r="U816" s="335"/>
      <c r="V816" s="335"/>
      <c r="W816" s="335"/>
      <c r="X816" s="336"/>
      <c r="Y816" s="330"/>
      <c r="Z816" s="330"/>
      <c r="AA816" s="330"/>
      <c r="AB816" s="330"/>
      <c r="AC816" s="330"/>
      <c r="AD816" s="360"/>
      <c r="AE816" s="361"/>
      <c r="AF816" s="362"/>
    </row>
    <row r="817" spans="1:32" ht="12.75" customHeight="1">
      <c r="R817" s="1"/>
      <c r="S817" s="110"/>
      <c r="T817" s="110"/>
      <c r="U817" s="110"/>
      <c r="V817" s="110"/>
      <c r="W817" s="110"/>
      <c r="X817" s="111"/>
      <c r="Y817" s="111"/>
      <c r="Z817" s="111"/>
      <c r="AA817" s="111"/>
    </row>
    <row r="818" spans="1:32" ht="12.75" customHeight="1">
      <c r="F818" s="246" t="s">
        <v>4929</v>
      </c>
      <c r="G818" s="246"/>
      <c r="H818" s="246"/>
      <c r="I818" s="246"/>
      <c r="R818" s="1"/>
      <c r="S818" s="110"/>
      <c r="T818" s="110"/>
      <c r="U818" s="110"/>
      <c r="V818" s="110"/>
      <c r="W818" s="110"/>
      <c r="X818" s="111"/>
      <c r="Y818" s="111"/>
      <c r="Z818" s="111"/>
      <c r="AA818" s="111"/>
    </row>
    <row r="819" spans="1:32" ht="12.75" customHeight="1">
      <c r="F819" s="246" t="s">
        <v>4930</v>
      </c>
      <c r="G819" s="246"/>
      <c r="H819" s="246"/>
      <c r="I819" s="246"/>
      <c r="R819" s="1"/>
      <c r="S819" s="110"/>
      <c r="T819" s="110"/>
      <c r="U819" s="110"/>
      <c r="V819" s="110"/>
      <c r="W819" s="110"/>
      <c r="X819" s="111"/>
      <c r="Y819" s="111"/>
      <c r="Z819" s="111"/>
      <c r="AA819" s="111"/>
    </row>
    <row r="820" spans="1:32" ht="12.75" customHeight="1">
      <c r="K820" s="281" t="s">
        <v>1244</v>
      </c>
      <c r="L820" s="281"/>
      <c r="M820" s="281"/>
      <c r="N820" s="281"/>
      <c r="O820" s="281"/>
      <c r="P820" s="281"/>
      <c r="R820" s="1"/>
      <c r="S820" s="110"/>
      <c r="T820" s="110"/>
      <c r="U820" s="110"/>
      <c r="V820" s="110"/>
      <c r="W820" s="110"/>
      <c r="X820" s="111"/>
      <c r="Y820" s="111"/>
      <c r="Z820" s="111"/>
      <c r="AA820" s="111"/>
    </row>
    <row r="821" spans="1:32" ht="12.75" customHeight="1">
      <c r="A821" s="12" t="s">
        <v>1229</v>
      </c>
      <c r="B821" s="11"/>
      <c r="C821" s="11"/>
      <c r="D821" s="11" t="str">
        <f>Draw!$B$1</f>
        <v>Enter Division Name</v>
      </c>
      <c r="E821" s="11"/>
      <c r="F821" s="7"/>
      <c r="G821" s="6"/>
      <c r="H821" s="7"/>
      <c r="I821" s="11"/>
      <c r="J821" s="11"/>
      <c r="K821" s="11"/>
      <c r="L821" s="11"/>
      <c r="M821" s="281"/>
      <c r="N821" s="281"/>
      <c r="O821" s="281"/>
      <c r="P821" s="281"/>
      <c r="R821" s="1"/>
      <c r="S821" s="110"/>
      <c r="T821" s="110"/>
      <c r="U821" s="110"/>
      <c r="V821" s="110"/>
      <c r="W821" s="110"/>
      <c r="X821" s="111"/>
      <c r="Y821" s="111"/>
      <c r="Z821" s="111"/>
      <c r="AA821" s="111"/>
    </row>
    <row r="822" spans="1:32" ht="12.75" customHeight="1">
      <c r="A822" s="2" t="s">
        <v>1230</v>
      </c>
      <c r="D822" s="43" t="str">
        <f>Draw!$D$1</f>
        <v>Enter Hosting Location (City, ST)</v>
      </c>
      <c r="J822" s="43" t="str">
        <f ca="1">$J$6</f>
        <v>[NCTTA Teams Template (v2.06).xlsx]</v>
      </c>
      <c r="R822" s="1"/>
      <c r="S822" s="110"/>
      <c r="T822" s="110"/>
      <c r="U822" s="110"/>
      <c r="V822" s="110"/>
      <c r="W822" s="110"/>
      <c r="X822" s="111"/>
      <c r="Y822" s="111"/>
      <c r="Z822" s="111"/>
      <c r="AA822" s="111"/>
    </row>
    <row r="823" spans="1:32" ht="12.75" customHeight="1">
      <c r="A823" s="2" t="s">
        <v>1231</v>
      </c>
      <c r="D823" s="337" t="str">
        <f>Draw!$P$1</f>
        <v>Enter Date</v>
      </c>
      <c r="E823" s="337"/>
      <c r="F823" s="337"/>
      <c r="G823" s="337"/>
      <c r="J823" s="280" t="str">
        <f>CHOOSE(Draw!$T$1,"Round 3, Match 5","Round 1, Match 5","Round 3, Match 5","","","","Round 6, Match 2","Round 5, Match 1","Round 5, Match 1","Round 4, Match 2","Round 4, Match 2")</f>
        <v>Round 3, Match 5</v>
      </c>
      <c r="K823" s="280"/>
      <c r="L823" s="280"/>
      <c r="M823" s="276" t="str">
        <f>IF(AND($J823&lt;&gt;"",Draw!$AC$10&lt;&gt;"",Draw!$AC$13&lt;&gt;""),Draw!$AC$10+TIME(0,VALUE(MID($J823,7,FIND(",",$J823)-FIND(" ",$J823)-1)-1)*Draw!$AC$13,0),"")</f>
        <v/>
      </c>
      <c r="N823" s="276"/>
      <c r="O823" s="157" t="str">
        <f>$F866</f>
        <v>I-L</v>
      </c>
      <c r="R823" s="1"/>
      <c r="S823" s="110"/>
      <c r="T823" s="110"/>
      <c r="U823" s="110"/>
      <c r="V823" s="110"/>
      <c r="W823" s="110"/>
      <c r="X823" s="111"/>
      <c r="Y823" s="111"/>
      <c r="Z823" s="111"/>
      <c r="AA823" s="111"/>
    </row>
    <row r="824" spans="1:32" ht="12.75" customHeight="1">
      <c r="A824" s="14"/>
      <c r="B824" s="15"/>
      <c r="C824" s="15"/>
      <c r="D824" s="15"/>
      <c r="E824" s="15"/>
      <c r="F824" s="14"/>
      <c r="G824" s="14"/>
      <c r="H824" s="16"/>
      <c r="I824" s="14"/>
      <c r="J824" s="15"/>
      <c r="K824" s="15"/>
      <c r="L824" s="15"/>
      <c r="M824" s="15"/>
      <c r="N824" s="15"/>
      <c r="O824" s="364" t="str">
        <f>IF(OR(AND(VLOOKUP($B825,$AM$1:$AX$12,12,FALSE)="C",VLOOKUP($K825,$AM$1:$AX$12,12,FALSE)="C"),AND(VLOOKUP($B825,$AM$1:$AX$12,12,FALSE)="W",VLOOKUP($K825,$AM$1:$AX$12,12,FALSE)="W")),"Official",IF(AND($A826="",$J826=""),"","Scrimmage"))</f>
        <v/>
      </c>
      <c r="P824" s="364"/>
      <c r="R824" s="1"/>
      <c r="S824" s="110"/>
      <c r="T824" s="110"/>
      <c r="U824" s="110"/>
      <c r="V824" s="110"/>
      <c r="W824" s="110"/>
      <c r="X824" s="111"/>
      <c r="Y824" s="111"/>
      <c r="Z824" s="111"/>
      <c r="AA824" s="111"/>
    </row>
    <row r="825" spans="1:32" ht="12.75" customHeight="1">
      <c r="A825" s="17" t="s">
        <v>1228</v>
      </c>
      <c r="B825" s="119" t="str">
        <f>CHOOSE(Draw!$T$1,"C","H","I","A","A","A","D","A","A","E","H")</f>
        <v>I</v>
      </c>
      <c r="C825" s="135">
        <f>VLOOKUP($B825,$AM$1:$AN$12,2)</f>
        <v>9</v>
      </c>
      <c r="D825" s="13"/>
      <c r="E825" s="13"/>
      <c r="F825" s="10"/>
      <c r="H825" s="19" t="s">
        <v>1232</v>
      </c>
      <c r="J825" s="17" t="s">
        <v>1228</v>
      </c>
      <c r="K825" s="119" t="str">
        <f>CHOOSE(Draw!$T$1,"F","K","L","H","L","H","G","C","E","G","J")</f>
        <v>L</v>
      </c>
      <c r="L825" s="135">
        <f>VLOOKUP($K825,$AM$1:$AN$12,2)</f>
        <v>12</v>
      </c>
      <c r="M825" s="13"/>
      <c r="N825" s="13"/>
      <c r="O825" s="18"/>
      <c r="P825" s="274"/>
      <c r="Q825" s="275"/>
      <c r="R825" s="1"/>
      <c r="S825" s="110"/>
      <c r="T825" s="110"/>
      <c r="U825" s="110"/>
      <c r="V825" s="110"/>
      <c r="W825" s="110"/>
      <c r="X825" s="111"/>
      <c r="Y825" s="111"/>
      <c r="Z825" s="111"/>
      <c r="AA825" s="111"/>
    </row>
    <row r="826" spans="1:32" ht="12.75" customHeight="1">
      <c r="A826" s="277" t="str">
        <f>IF(VLOOKUP($B825,Draw!$A$4:$B$27,2)&lt;&gt;0,VLOOKUP($B825,Draw!$A$4:$B$27,2),"")</f>
        <v/>
      </c>
      <c r="B826" s="278"/>
      <c r="C826" s="278"/>
      <c r="D826" s="278"/>
      <c r="E826" s="278"/>
      <c r="F826" s="279"/>
      <c r="G826" s="306" t="s">
        <v>4168</v>
      </c>
      <c r="H826" s="289"/>
      <c r="I826" s="307"/>
      <c r="J826" s="277" t="str">
        <f>IF(VLOOKUP($K825,Draw!$A$4:$B$27,2)&lt;&gt;0,VLOOKUP($K825,Draw!$A$4:$B$27,2),"")</f>
        <v/>
      </c>
      <c r="K826" s="278"/>
      <c r="L826" s="278"/>
      <c r="M826" s="278"/>
      <c r="N826" s="278"/>
      <c r="O826" s="279"/>
      <c r="P826" s="15"/>
      <c r="R826" s="1"/>
      <c r="S826" s="110"/>
      <c r="T826" s="110"/>
      <c r="U826" s="110"/>
      <c r="V826" s="110"/>
      <c r="W826" s="110"/>
      <c r="X826" s="111"/>
      <c r="Y826" s="111"/>
      <c r="Z826" s="111"/>
      <c r="AA826" s="111"/>
    </row>
    <row r="827" spans="1:32" ht="12.75" customHeight="1">
      <c r="A827" s="14"/>
      <c r="B827" s="15"/>
      <c r="C827" s="15"/>
      <c r="D827" s="15"/>
      <c r="E827" s="15"/>
      <c r="F827" s="14"/>
      <c r="G827" s="288" t="str">
        <f>"Page "&amp;VALUE(RIGHT($G826,LEN($G826)-SEARCH("-",$G826)))/2</f>
        <v>Page 17</v>
      </c>
      <c r="H827" s="289"/>
      <c r="I827" s="289"/>
      <c r="J827" s="15"/>
      <c r="K827" s="15"/>
      <c r="L827" s="15"/>
      <c r="M827" s="15"/>
      <c r="N827" s="15"/>
      <c r="O827" s="15"/>
      <c r="P827" s="15"/>
      <c r="R827" s="1"/>
      <c r="S827" s="110"/>
      <c r="T827" s="110"/>
      <c r="U827" s="110"/>
      <c r="V827" s="110"/>
      <c r="W827" s="110"/>
      <c r="X827" s="111"/>
      <c r="Y827" s="111"/>
      <c r="Z827" s="111"/>
      <c r="AA827" s="111"/>
      <c r="AF827" s="27"/>
    </row>
    <row r="828" spans="1:32" ht="12.75" customHeight="1">
      <c r="A828" s="327" t="s">
        <v>1245</v>
      </c>
      <c r="B828" s="327"/>
      <c r="C828" s="327"/>
      <c r="D828" s="327"/>
      <c r="E828" s="327"/>
      <c r="F828" s="327"/>
      <c r="G828" s="327"/>
      <c r="H828" s="327"/>
      <c r="I828" s="327"/>
      <c r="J828" s="327"/>
      <c r="K828" s="327"/>
      <c r="L828" s="327"/>
      <c r="M828" s="327"/>
      <c r="N828" s="327"/>
      <c r="O828" s="327"/>
      <c r="P828" s="327"/>
      <c r="Q828" s="7"/>
      <c r="R828" s="1"/>
      <c r="S828" s="110"/>
      <c r="T828" s="110"/>
      <c r="U828" s="110"/>
      <c r="V828" s="110"/>
      <c r="W828" s="110"/>
      <c r="X828" s="111"/>
      <c r="Y828" s="111"/>
      <c r="Z828" s="111"/>
      <c r="AA828" s="111"/>
      <c r="AF828" s="20"/>
    </row>
    <row r="829" spans="1:32" ht="12.75" customHeight="1">
      <c r="A829" s="21" t="s">
        <v>1233</v>
      </c>
      <c r="H829" s="136" t="str">
        <f>IF($Q831&lt;&gt;"",IF(AND(AND($H831&gt;-1,$H833&gt;-1),OR($H831&gt;10,$H833&gt;10),ABS($H831-$H833)&gt;1,IF(OR($H831&gt;11,$H833&gt;11),ABS($H831-$H833)=2,TRUE),$H831=INT($H831),$H833=INT($H833)),"","Error"),"")</f>
        <v/>
      </c>
      <c r="I829" s="136" t="str">
        <f>IF($Q831&lt;&gt;"",IF(AND(AND($I831&gt;-1,$I833&gt;-1),OR($I831&gt;10,$I833&gt;10),ABS($I831-$I833)&gt;1,IF(OR($I831&gt;11,$I833&gt;11),ABS($I831-$I833)=2,TRUE),$I831=INT($I831),$I833=INT($I833)),"","Error"),"")</f>
        <v/>
      </c>
      <c r="J829" s="136" t="str">
        <f>IF($Q831&lt;&gt;"",IF(AND(AND($J831&gt;-1,$J833&gt;-1),OR($J831&gt;10,$J833&gt;10),ABS($J831-$J833)&gt;1,IF(OR($J831&gt;11,$J833&gt;11),ABS($J831-$J833)=2,TRUE),$J831=INT($J831),$J833=INT($J833)),"","Error"),"")</f>
        <v/>
      </c>
      <c r="K829" s="136" t="str">
        <f>IF($Q831&lt;&gt;"",IF(AND($K831&lt;&gt;"",$K833&lt;&gt;""), IF(AND(AND($K831&gt;-1,$K833&gt;-1),OR($K831&gt;10,$K833&gt;10),ABS($K831-$K833)&gt;1,IF(OR($K831&gt;11,$K833&gt;11),ABS($K831-$K833)=2,TRUE),$K831=INT($K831),$K833=INT($K833)),"","Error"),""),"")</f>
        <v/>
      </c>
      <c r="L829" s="136" t="str">
        <f>IF($Q831&lt;&gt;"",IF(AND($L831&lt;&gt;"",$L833&lt;&gt;""), IF(AND(AND($L831&gt;-1,$L833&gt;-1),OR($L831&gt;10,$L833&gt;10),ABS($L831-$L833)&gt;1,IF(OR($L831&gt;11,$L833&gt;11),ABS($L831-$L833)=2,TRUE),$L831=INT($L831),$L833=INT($L833)),"","Error"),""),"")</f>
        <v/>
      </c>
      <c r="R829" s="1"/>
      <c r="S829" s="110"/>
      <c r="T829" s="110"/>
      <c r="U829" s="110"/>
      <c r="V829" s="110"/>
      <c r="W829" s="110"/>
      <c r="X829" s="111"/>
      <c r="Y829" s="111"/>
      <c r="Z829" s="111"/>
      <c r="AA829" s="111"/>
    </row>
    <row r="830" spans="1:32" ht="12.75" customHeight="1">
      <c r="A830" s="5" t="s">
        <v>1228</v>
      </c>
      <c r="B830" s="290" t="s">
        <v>1126</v>
      </c>
      <c r="C830" s="291"/>
      <c r="D830" s="291"/>
      <c r="E830" s="291"/>
      <c r="F830" s="291"/>
      <c r="G830" s="292"/>
      <c r="H830" s="5">
        <v>1</v>
      </c>
      <c r="I830" s="5">
        <v>2</v>
      </c>
      <c r="J830" s="5">
        <v>3</v>
      </c>
      <c r="K830" s="5">
        <v>4</v>
      </c>
      <c r="L830" s="5">
        <v>5</v>
      </c>
      <c r="M830" s="271"/>
      <c r="N830" s="272"/>
      <c r="O830" s="272"/>
      <c r="P830" s="273"/>
      <c r="R830" s="1"/>
      <c r="S830" s="110"/>
      <c r="T830" s="110"/>
      <c r="U830" s="110"/>
      <c r="V830" s="110"/>
      <c r="W830" s="110"/>
      <c r="X830" s="111"/>
      <c r="Y830" s="111"/>
      <c r="Z830" s="111"/>
      <c r="AA830" s="111"/>
    </row>
    <row r="831" spans="1:32" ht="12.75" customHeight="1">
      <c r="A831" s="300" t="str">
        <f>B825</f>
        <v>I</v>
      </c>
      <c r="B831" s="293" t="str">
        <f ca="1">IF(AND(OFFSET($AO$1,$C825-1,8,1,1),$A826&lt;&gt;"",$J826&lt;&gt;""),CHOOSE($C825,$AO$1,$AO$2,$AO$3,$AO$4,$AO$5,$AO$6,$AO$7,$AO$8,$AO$9,$AO$10,$AO$11,$AO$12),"")</f>
        <v/>
      </c>
      <c r="C831" s="294"/>
      <c r="D831" s="294"/>
      <c r="E831" s="294"/>
      <c r="F831" s="294"/>
      <c r="G831" s="294"/>
      <c r="H831" s="265"/>
      <c r="I831" s="265"/>
      <c r="J831" s="265"/>
      <c r="K831" s="265"/>
      <c r="L831" s="265"/>
      <c r="M831" s="297"/>
      <c r="N831" s="298"/>
      <c r="O831" s="298"/>
      <c r="P831" s="299"/>
      <c r="Q831" s="137" t="str">
        <f>IF($L831=$L833,IF($K831=$K833,IF($J831&lt;&gt;"",IF($J831&gt;$J833,"W","L"),""),IF($K831&gt;$K833,"W","L")),IF($L831&gt;$L833,"W","L"))</f>
        <v/>
      </c>
      <c r="R831" s="1"/>
      <c r="S831" s="110"/>
      <c r="T831" s="110"/>
      <c r="U831" s="110"/>
      <c r="V831" s="110"/>
      <c r="W831" s="110"/>
      <c r="X831" s="111"/>
      <c r="Y831" s="111"/>
      <c r="Z831" s="111"/>
      <c r="AA831" s="111"/>
    </row>
    <row r="832" spans="1:32" ht="12.75" customHeight="1">
      <c r="A832" s="301"/>
      <c r="B832" s="295"/>
      <c r="C832" s="296"/>
      <c r="D832" s="296"/>
      <c r="E832" s="296"/>
      <c r="F832" s="296"/>
      <c r="G832" s="296"/>
      <c r="H832" s="270"/>
      <c r="I832" s="270"/>
      <c r="J832" s="270"/>
      <c r="K832" s="270"/>
      <c r="L832" s="270"/>
      <c r="M832" s="297"/>
      <c r="N832" s="298"/>
      <c r="O832" s="298"/>
      <c r="P832" s="299"/>
      <c r="Q832" s="139" t="str">
        <f>IF($Q831&lt;&gt;"",IF($Q831="W",IF(SUM(IF($H831&gt;$H833,1,0),IF($I831&gt;$I833,1,0),IF($J831&gt;$J833,1,0),IF($K831&gt;$K833,1,0),IF($L831&gt;$L833,1,0))&lt;&gt;3,"Error",""),""),"")</f>
        <v/>
      </c>
      <c r="R832" s="328" t="str">
        <f>$A826</f>
        <v/>
      </c>
      <c r="S832" s="328"/>
      <c r="T832" s="328"/>
      <c r="U832" s="328"/>
      <c r="V832" s="328"/>
      <c r="W832" s="328"/>
      <c r="X832" s="256" t="str">
        <f>CONCATENATE("(",$B825," vs ",$K825,")")</f>
        <v>(I vs L)</v>
      </c>
      <c r="Y832" s="256"/>
      <c r="Z832" s="328" t="str">
        <f>$J826</f>
        <v/>
      </c>
      <c r="AA832" s="328"/>
      <c r="AB832" s="328"/>
      <c r="AC832" s="328"/>
      <c r="AD832" s="328"/>
      <c r="AE832" s="328"/>
      <c r="AF832" s="43"/>
    </row>
    <row r="833" spans="1:32" ht="12.75" customHeight="1">
      <c r="A833" s="300" t="str">
        <f>K825</f>
        <v>L</v>
      </c>
      <c r="B833" s="293" t="str">
        <f ca="1">IF(AND(OFFSET($AO$1,$L825-1,8,1,1),$A826&lt;&gt;"",$J826&lt;&gt;""),CHOOSE($L825,$AO$1,$AO$2,$AO$3,$AO$4,$AO$5,$AO$6,$AO$7,$AO$8,$AO$9,$AO$10,$AO$11,$AO$12),"")</f>
        <v/>
      </c>
      <c r="C833" s="294"/>
      <c r="D833" s="294"/>
      <c r="E833" s="294"/>
      <c r="F833" s="294"/>
      <c r="G833" s="294"/>
      <c r="H833" s="265"/>
      <c r="I833" s="265"/>
      <c r="J833" s="265"/>
      <c r="K833" s="265"/>
      <c r="L833" s="265"/>
      <c r="M833" s="267" t="s">
        <v>1237</v>
      </c>
      <c r="N833" s="268"/>
      <c r="O833" s="268"/>
      <c r="P833" s="269"/>
      <c r="Q833" s="137" t="str">
        <f>IF($Q831&lt;&gt;"",IF($Q831="W","L","W"),"")</f>
        <v/>
      </c>
      <c r="R833" s="43"/>
      <c r="S833" s="43"/>
      <c r="T833" s="43"/>
      <c r="U833" s="43"/>
      <c r="V833" s="43"/>
      <c r="W833" s="43"/>
      <c r="X833" s="43"/>
      <c r="Y833" s="43"/>
      <c r="Z833" s="43"/>
      <c r="AA833" s="43"/>
      <c r="AB833" s="43"/>
      <c r="AC833" s="43"/>
      <c r="AD833" s="43"/>
      <c r="AE833" s="43"/>
      <c r="AF833" s="43"/>
    </row>
    <row r="834" spans="1:32" ht="12.75" customHeight="1">
      <c r="A834" s="301"/>
      <c r="B834" s="295"/>
      <c r="C834" s="296"/>
      <c r="D834" s="296"/>
      <c r="E834" s="296"/>
      <c r="F834" s="296"/>
      <c r="G834" s="296"/>
      <c r="H834" s="270"/>
      <c r="I834" s="270"/>
      <c r="J834" s="266"/>
      <c r="K834" s="266"/>
      <c r="L834" s="266"/>
      <c r="M834" s="267"/>
      <c r="N834" s="268"/>
      <c r="O834" s="268"/>
      <c r="P834" s="269"/>
      <c r="Q834" s="139" t="str">
        <f>IF($Q833&lt;&gt;"",IF($Q833="W",IF(SUM(IF($H833&gt;$H831,1,0),IF($I833&gt;$I831,1,0),IF($J833&gt;$J831,1,0),IF($K833&gt;$K831,1,0),IF($L833&gt;$L831,1,0))&lt;&gt;3,"Error",""),""),"")</f>
        <v/>
      </c>
      <c r="R834" s="43" t="str">
        <f>$A836</f>
        <v>2nd Singles</v>
      </c>
      <c r="S834" s="43"/>
      <c r="T834" s="43"/>
      <c r="U834" s="43"/>
      <c r="V834" s="43"/>
      <c r="W834" s="43"/>
      <c r="X834" s="43"/>
      <c r="Y834" s="43"/>
      <c r="Z834" s="43"/>
      <c r="AA834" s="43"/>
      <c r="AB834" s="43"/>
      <c r="AC834" s="43"/>
      <c r="AD834" s="43"/>
      <c r="AE834" s="43"/>
      <c r="AF834" s="43"/>
    </row>
    <row r="835" spans="1:32" ht="12.75" customHeight="1">
      <c r="Q835" s="7"/>
      <c r="R835" s="60" t="s">
        <v>1228</v>
      </c>
      <c r="S835" s="339" t="s">
        <v>1126</v>
      </c>
      <c r="T835" s="340"/>
      <c r="U835" s="340"/>
      <c r="V835" s="340"/>
      <c r="W835" s="340"/>
      <c r="X835" s="341"/>
      <c r="Y835" s="60">
        <v>1</v>
      </c>
      <c r="Z835" s="60">
        <v>2</v>
      </c>
      <c r="AA835" s="60">
        <v>3</v>
      </c>
      <c r="AB835" s="60">
        <v>4</v>
      </c>
      <c r="AC835" s="60">
        <v>5</v>
      </c>
      <c r="AD835" s="342"/>
      <c r="AE835" s="343"/>
      <c r="AF835" s="344"/>
    </row>
    <row r="836" spans="1:32" ht="12.75" customHeight="1">
      <c r="A836" s="21" t="s">
        <v>1234</v>
      </c>
      <c r="H836" s="136" t="str">
        <f>IF($Q838&lt;&gt;"",IF(AND(AND($H838&gt;-1,$H840&gt;-1),OR($H838&gt;10,$H840&gt;10),ABS($H838-$H840)&gt;1,IF(OR($H838&gt;11,$H840&gt;11),ABS($H838-$H840)=2,TRUE),$H838=INT($H838),$H840=INT($H840)),"","Error"),"")</f>
        <v/>
      </c>
      <c r="I836" s="136" t="str">
        <f>IF($Q838&lt;&gt;"",IF(AND(AND($I838&gt;-1,$I840&gt;-1),OR($I838&gt;10,$I840&gt;10),ABS($I838-$I840)&gt;1,IF(OR($I838&gt;11,$I840&gt;11),ABS($I838-$I840)=2,TRUE),$I838=INT($I838),$I840=INT($I840)),"","Error"),"")</f>
        <v/>
      </c>
      <c r="J836" s="136" t="str">
        <f>IF($Q838&lt;&gt;"",IF(AND(AND($J838&gt;-1,$J840&gt;-1),OR($J838&gt;10,$J840&gt;10),ABS($J838-$J840)&gt;1,IF(OR($J838&gt;11,$J840&gt;11),ABS($J838-$J840)=2,TRUE),$J838=INT($J838),$J840=INT($J840)),"","Error"),"")</f>
        <v/>
      </c>
      <c r="K836" s="136" t="str">
        <f>IF($Q838&lt;&gt;"",IF(AND($K838&lt;&gt;"",$K840&lt;&gt;""), IF(AND(AND($K838&gt;-1,$K840&gt;-1),OR($K838&gt;10,$K840&gt;10),ABS($K838-$K840)&gt;1,IF(OR($K838&gt;11,$K840&gt;11),ABS($K838-$K840)=2,TRUE),$K838=INT($K838),$K840=INT($K840)),"","Error"),""),"")</f>
        <v/>
      </c>
      <c r="L836" s="136" t="str">
        <f>IF($Q838&lt;&gt;"",IF(AND($L838&lt;&gt;"",$L840&lt;&gt;""), IF(AND(AND($L838&gt;-1,$L840&gt;-1),OR($L838&gt;10,$L840&gt;10),ABS($L838-$L840)&gt;1,IF(OR($L838&gt;11,$L840&gt;11),ABS($L838-$L840)=2,TRUE),$L838=INT($L838),$L840=INT($L840)),"","Error"),""),"")</f>
        <v/>
      </c>
      <c r="Q836" s="7"/>
      <c r="R836" s="300" t="str">
        <f>$B825</f>
        <v>I</v>
      </c>
      <c r="S836" s="331" t="str">
        <f ca="1">IF($B838&lt;&gt;"",$B838,"")</f>
        <v/>
      </c>
      <c r="T836" s="332"/>
      <c r="U836" s="332"/>
      <c r="V836" s="332"/>
      <c r="W836" s="332"/>
      <c r="X836" s="333"/>
      <c r="Y836" s="329"/>
      <c r="Z836" s="329"/>
      <c r="AA836" s="329"/>
      <c r="AB836" s="329"/>
      <c r="AC836" s="329"/>
      <c r="AD836" s="345"/>
      <c r="AE836" s="358"/>
      <c r="AF836" s="359"/>
    </row>
    <row r="837" spans="1:32" ht="12.75" customHeight="1">
      <c r="A837" s="5" t="s">
        <v>1228</v>
      </c>
      <c r="B837" s="290" t="s">
        <v>1126</v>
      </c>
      <c r="C837" s="291"/>
      <c r="D837" s="291"/>
      <c r="E837" s="291"/>
      <c r="F837" s="291"/>
      <c r="G837" s="292"/>
      <c r="H837" s="5">
        <v>1</v>
      </c>
      <c r="I837" s="5">
        <v>2</v>
      </c>
      <c r="J837" s="5">
        <v>3</v>
      </c>
      <c r="K837" s="5">
        <v>4</v>
      </c>
      <c r="L837" s="5">
        <v>5</v>
      </c>
      <c r="M837" s="271"/>
      <c r="N837" s="272"/>
      <c r="O837" s="272"/>
      <c r="P837" s="273"/>
      <c r="Q837" s="7"/>
      <c r="R837" s="330"/>
      <c r="S837" s="334"/>
      <c r="T837" s="335"/>
      <c r="U837" s="335"/>
      <c r="V837" s="335"/>
      <c r="W837" s="335"/>
      <c r="X837" s="336"/>
      <c r="Y837" s="330"/>
      <c r="Z837" s="330"/>
      <c r="AA837" s="330"/>
      <c r="AB837" s="330"/>
      <c r="AC837" s="330"/>
      <c r="AD837" s="360"/>
      <c r="AE837" s="361"/>
      <c r="AF837" s="362"/>
    </row>
    <row r="838" spans="1:32" ht="12.75" customHeight="1">
      <c r="A838" s="300" t="str">
        <f>B825</f>
        <v>I</v>
      </c>
      <c r="B838" s="293" t="str">
        <f ca="1">IF(AND(OFFSET($AO$1,$C825-1,8,1,1),$A826&lt;&gt;"",$J826&lt;&gt;""),CHOOSE($C825,$AP$1,$AP$2,$AP$3,$AP$4,$AP$5,$AP$6,$AP$7,$AP$8,$AP$9,$AP$10,$AP$11,$AP$12),"")</f>
        <v/>
      </c>
      <c r="C838" s="294"/>
      <c r="D838" s="294"/>
      <c r="E838" s="294"/>
      <c r="F838" s="294"/>
      <c r="G838" s="294"/>
      <c r="H838" s="265"/>
      <c r="I838" s="265"/>
      <c r="J838" s="265"/>
      <c r="K838" s="265"/>
      <c r="L838" s="265"/>
      <c r="M838" s="262" t="str">
        <f ca="1">IF(OR(AND($B831&lt;&gt;"",$B838&lt;&gt;"",$C856&lt;=$B856),AND($B833&lt;&gt;"",$B840&lt;&gt;"",$G856&lt;=$F856)),"Invalid Lineup","")</f>
        <v/>
      </c>
      <c r="N838" s="263"/>
      <c r="O838" s="263"/>
      <c r="P838" s="264"/>
      <c r="Q838" s="137" t="str">
        <f>IF($L838=$L840,IF($K838=$K840,IF($J838&lt;&gt;"",IF($J838&gt;$J840,"W","L"),""),IF($K838&gt;$K840,"W","L")),IF($L838&gt;$L840,"W","L"))</f>
        <v/>
      </c>
      <c r="R838" s="300" t="str">
        <f>$K825</f>
        <v>L</v>
      </c>
      <c r="S838" s="331" t="str">
        <f ca="1">IF($B840&lt;&gt;"",$B840,"")</f>
        <v/>
      </c>
      <c r="T838" s="332"/>
      <c r="U838" s="332"/>
      <c r="V838" s="332"/>
      <c r="W838" s="332"/>
      <c r="X838" s="333"/>
      <c r="Y838" s="329"/>
      <c r="Z838" s="329"/>
      <c r="AA838" s="329"/>
      <c r="AB838" s="329"/>
      <c r="AC838" s="351"/>
      <c r="AD838" s="363" t="s">
        <v>1237</v>
      </c>
      <c r="AE838" s="358"/>
      <c r="AF838" s="359"/>
    </row>
    <row r="839" spans="1:32" ht="12.75" customHeight="1">
      <c r="A839" s="301"/>
      <c r="B839" s="295"/>
      <c r="C839" s="296"/>
      <c r="D839" s="296"/>
      <c r="E839" s="296"/>
      <c r="F839" s="296"/>
      <c r="G839" s="296"/>
      <c r="H839" s="270"/>
      <c r="I839" s="270"/>
      <c r="J839" s="270"/>
      <c r="K839" s="270"/>
      <c r="L839" s="270"/>
      <c r="M839" s="262"/>
      <c r="N839" s="263"/>
      <c r="O839" s="263"/>
      <c r="P839" s="264"/>
      <c r="Q839" s="139" t="str">
        <f>IF($Q838&lt;&gt;"",IF($Q838="W",IF(SUM(IF($H838&gt;$H840,1,0),IF($I838&gt;$I840,1,0),IF($J838&gt;$J840,1,0),IF($K838&gt;$K840,1,0),IF($L838&gt;$L840,1,0))&lt;&gt;3,"Error",""),""),"")</f>
        <v/>
      </c>
      <c r="R839" s="330"/>
      <c r="S839" s="334"/>
      <c r="T839" s="335"/>
      <c r="U839" s="335"/>
      <c r="V839" s="335"/>
      <c r="W839" s="335"/>
      <c r="X839" s="336"/>
      <c r="Y839" s="330"/>
      <c r="Z839" s="330"/>
      <c r="AA839" s="330"/>
      <c r="AB839" s="330"/>
      <c r="AC839" s="330"/>
      <c r="AD839" s="360"/>
      <c r="AE839" s="361"/>
      <c r="AF839" s="362"/>
    </row>
    <row r="840" spans="1:32" ht="12.75" customHeight="1">
      <c r="A840" s="300" t="str">
        <f>K825</f>
        <v>L</v>
      </c>
      <c r="B840" s="293" t="str">
        <f ca="1">IF(AND(OFFSET($AO$1,$L825-1,8,1,1),$A826&lt;&gt;"",$J826&lt;&gt;""),CHOOSE($L825,$AP$1,$AP$2,$AP$3,$AP$4,$AP$5,$AP$6,$AP$7,$AP$8,$AP$9,$AP$10,$AP$11,$AP$12),"")</f>
        <v/>
      </c>
      <c r="C840" s="294"/>
      <c r="D840" s="294"/>
      <c r="E840" s="294"/>
      <c r="F840" s="294"/>
      <c r="G840" s="294"/>
      <c r="H840" s="265"/>
      <c r="I840" s="265"/>
      <c r="J840" s="265"/>
      <c r="K840" s="265"/>
      <c r="L840" s="265"/>
      <c r="M840" s="267" t="s">
        <v>1237</v>
      </c>
      <c r="N840" s="268"/>
      <c r="O840" s="268"/>
      <c r="P840" s="269"/>
      <c r="Q840" s="137" t="str">
        <f>IF($Q838&lt;&gt;"",IF($Q838="W","L","W"),"")</f>
        <v/>
      </c>
      <c r="R840" s="20"/>
      <c r="S840" s="20"/>
      <c r="T840" s="20"/>
      <c r="U840" s="20"/>
      <c r="V840" s="20"/>
      <c r="W840" s="20"/>
      <c r="X840" s="26"/>
      <c r="Y840" s="26"/>
      <c r="Z840" s="20"/>
      <c r="AA840" s="20"/>
      <c r="AB840" s="20"/>
      <c r="AC840" s="20"/>
      <c r="AD840" s="20"/>
      <c r="AE840" s="20"/>
      <c r="AF840" s="27"/>
    </row>
    <row r="841" spans="1:32" ht="12.75" customHeight="1">
      <c r="A841" s="301"/>
      <c r="B841" s="295"/>
      <c r="C841" s="296"/>
      <c r="D841" s="296"/>
      <c r="E841" s="296"/>
      <c r="F841" s="296"/>
      <c r="G841" s="296"/>
      <c r="H841" s="270"/>
      <c r="I841" s="270"/>
      <c r="J841" s="266"/>
      <c r="K841" s="266"/>
      <c r="L841" s="266"/>
      <c r="M841" s="267"/>
      <c r="N841" s="268"/>
      <c r="O841" s="268"/>
      <c r="P841" s="269"/>
      <c r="Q841" s="139" t="str">
        <f>IF($Q840&lt;&gt;"",IF($Q840="W",IF(SUM(IF($H840&gt;$H838,1,0),IF($I840&gt;$I838,1,0),IF($J840&gt;$J838,1,0),IF($K840&gt;$K838,1,0),IF($L840&gt;$L838,1,0))&lt;&gt;3,"Error",""),""),"")</f>
        <v/>
      </c>
      <c r="R841" s="20"/>
      <c r="S841" s="20"/>
      <c r="T841" s="20"/>
      <c r="U841" s="20"/>
      <c r="V841" s="20"/>
      <c r="W841" s="20"/>
      <c r="X841" s="26"/>
      <c r="Y841" s="26"/>
      <c r="Z841" s="20"/>
      <c r="AA841" s="20"/>
      <c r="AB841" s="20"/>
      <c r="AC841" s="20"/>
      <c r="AD841" s="20"/>
      <c r="AE841" s="20"/>
      <c r="AF841" s="27"/>
    </row>
    <row r="842" spans="1:32" ht="12.75" customHeight="1">
      <c r="Q842" s="7"/>
      <c r="R842" s="20"/>
      <c r="S842" s="20"/>
      <c r="T842" s="20"/>
      <c r="U842" s="20"/>
      <c r="V842" s="20"/>
      <c r="W842" s="20"/>
      <c r="X842" s="26"/>
      <c r="Y842" s="26"/>
      <c r="Z842" s="20"/>
      <c r="AA842" s="20"/>
      <c r="AB842" s="20"/>
      <c r="AC842" s="20"/>
      <c r="AD842" s="20"/>
      <c r="AE842" s="20"/>
      <c r="AF842" s="27"/>
    </row>
    <row r="843" spans="1:32" ht="12.75" customHeight="1">
      <c r="A843" s="21" t="s">
        <v>1235</v>
      </c>
      <c r="H843" s="136" t="str">
        <f>IF($Q845&lt;&gt;"",IF(AND(AND($H845&gt;-1,$H847&gt;-1),OR($H845&gt;10,$H847&gt;10),ABS($H845-$H847)&gt;1,IF(OR($H845&gt;11,$H847&gt;11),ABS($H845-$H847)=2,TRUE),$H845=INT($H845),$H847=INT($H847)),"","Error"),"")</f>
        <v/>
      </c>
      <c r="I843" s="136" t="str">
        <f>IF($Q845&lt;&gt;"",IF(AND(AND($I845&gt;-1,$I847&gt;-1),OR($I845&gt;10,$I847&gt;10),ABS($I845-$I847)&gt;1,IF(OR($I845&gt;11,$I847&gt;11),ABS($I845-$I847)=2,TRUE),$I845=INT($I845),$I847=INT($I847)),"","Error"),"")</f>
        <v/>
      </c>
      <c r="J843" s="136" t="str">
        <f>IF($Q845&lt;&gt;"",IF(AND(AND($J845&gt;-1,$J847&gt;-1),OR($J845&gt;10,$J847&gt;10),ABS($J845-$J847)&gt;1,IF(OR($J845&gt;11,$J847&gt;11),ABS($J845-$J847)=2,TRUE),$J845=INT($J845),$J847=INT($J847)),"","Error"),"")</f>
        <v/>
      </c>
      <c r="K843" s="136" t="str">
        <f>IF($Q845&lt;&gt;"",IF(AND($K845&lt;&gt;"",$K847&lt;&gt;""), IF(AND(AND($K845&gt;-1,$K847&gt;-1),OR($K845&gt;10,$K847&gt;10),ABS($K845-$K847)&gt;1,IF(OR($K845&gt;11,$K847&gt;11),ABS($K845-$K847)=2,TRUE),$K845=INT($K845),$K847=INT($K847)),"","Error"),""),"")</f>
        <v/>
      </c>
      <c r="L843" s="136" t="str">
        <f>IF($Q845&lt;&gt;"",IF(AND($L845&lt;&gt;"",$L847&lt;&gt;""), IF(AND(AND($L845&gt;-1,$L847&gt;-1),OR($L845&gt;10,$L847&gt;10),ABS($L845-$L847)&gt;1,IF(OR($L845&gt;11,$L847&gt;11),ABS($L845-$L847)=2,TRUE),$L845=INT($L845),$L847=INT($L847)),"","Error"),""),"")</f>
        <v/>
      </c>
      <c r="Q843" s="7"/>
      <c r="R843" s="20"/>
      <c r="S843" s="20"/>
      <c r="T843" s="20"/>
      <c r="U843" s="20"/>
      <c r="V843" s="20"/>
      <c r="W843" s="20"/>
      <c r="X843" s="26"/>
      <c r="Y843" s="26"/>
      <c r="Z843" s="20"/>
      <c r="AA843" s="20"/>
      <c r="AB843" s="20"/>
      <c r="AC843" s="20"/>
      <c r="AD843" s="20"/>
      <c r="AE843" s="20"/>
      <c r="AF843" s="27"/>
    </row>
    <row r="844" spans="1:32" ht="12.75" customHeight="1">
      <c r="A844" s="5" t="s">
        <v>1228</v>
      </c>
      <c r="B844" s="290" t="s">
        <v>1126</v>
      </c>
      <c r="C844" s="291"/>
      <c r="D844" s="291"/>
      <c r="E844" s="291"/>
      <c r="F844" s="291"/>
      <c r="G844" s="292"/>
      <c r="H844" s="5">
        <v>1</v>
      </c>
      <c r="I844" s="5">
        <v>2</v>
      </c>
      <c r="J844" s="5">
        <v>3</v>
      </c>
      <c r="K844" s="5">
        <v>4</v>
      </c>
      <c r="L844" s="5">
        <v>5</v>
      </c>
      <c r="M844" s="271"/>
      <c r="N844" s="272"/>
      <c r="O844" s="272"/>
      <c r="P844" s="273"/>
      <c r="Q844" s="7"/>
      <c r="R844" s="20"/>
      <c r="S844" s="20"/>
      <c r="T844" s="20"/>
      <c r="U844" s="20"/>
      <c r="V844" s="20"/>
      <c r="W844" s="20"/>
      <c r="X844" s="26"/>
      <c r="Y844" s="26"/>
      <c r="Z844" s="20"/>
      <c r="AA844" s="20"/>
      <c r="AB844" s="20"/>
      <c r="AC844" s="20"/>
      <c r="AD844" s="20"/>
      <c r="AE844" s="20"/>
      <c r="AF844" s="27"/>
    </row>
    <row r="845" spans="1:32" ht="12.75" customHeight="1">
      <c r="A845" s="300" t="str">
        <f>B825</f>
        <v>I</v>
      </c>
      <c r="B845" s="293" t="str">
        <f ca="1">IF(AND(OFFSET($AO$1,$C825-1,8,1,1),$A826&lt;&gt;"",$J826&lt;&gt;""),CHOOSE($C825,$AQ$1,$AQ$2,$AQ$3,$AQ$4,$AQ$5,$AQ$6,$AQ$7,$AQ$8,$AQ$9,$AQ$10,$AQ$11,$AQ$12),"")</f>
        <v/>
      </c>
      <c r="C845" s="294"/>
      <c r="D845" s="294"/>
      <c r="E845" s="294"/>
      <c r="F845" s="294"/>
      <c r="G845" s="294"/>
      <c r="H845" s="265"/>
      <c r="I845" s="265"/>
      <c r="J845" s="265"/>
      <c r="K845" s="265"/>
      <c r="L845" s="265"/>
      <c r="M845" s="262" t="str">
        <f ca="1">IF(OR(AND($B838&lt;&gt;"",$B845&lt;&gt;"",$D856&lt;=$C856),AND($B840&lt;&gt;"",$B847&lt;&gt;"",$H856&lt;=$G856)),"Invalid Lineup","")</f>
        <v/>
      </c>
      <c r="N845" s="263"/>
      <c r="O845" s="263"/>
      <c r="P845" s="264"/>
      <c r="Q845" s="137" t="str">
        <f>IF($L845=$L847,IF($K845=$K847,IF($J845&lt;&gt;"",IF($J845&gt;$J847,"W","L"),""),IF($K845&gt;$K847,"W","L")),IF($L845&gt;$L847,"W","L"))</f>
        <v/>
      </c>
      <c r="R845" s="20"/>
      <c r="S845" s="20"/>
      <c r="T845" s="20"/>
      <c r="U845" s="20"/>
      <c r="V845" s="20"/>
      <c r="W845" s="20"/>
      <c r="X845" s="26"/>
      <c r="Y845" s="26"/>
      <c r="Z845" s="20"/>
      <c r="AA845" s="20"/>
      <c r="AB845" s="20"/>
      <c r="AC845" s="20"/>
      <c r="AD845" s="20"/>
      <c r="AE845" s="20"/>
      <c r="AF845" s="27"/>
    </row>
    <row r="846" spans="1:32" ht="12.75" customHeight="1">
      <c r="A846" s="301"/>
      <c r="B846" s="295"/>
      <c r="C846" s="296"/>
      <c r="D846" s="296"/>
      <c r="E846" s="296"/>
      <c r="F846" s="296"/>
      <c r="G846" s="296"/>
      <c r="H846" s="270"/>
      <c r="I846" s="270"/>
      <c r="J846" s="270"/>
      <c r="K846" s="270"/>
      <c r="L846" s="270"/>
      <c r="M846" s="262"/>
      <c r="N846" s="263"/>
      <c r="O846" s="263"/>
      <c r="P846" s="264"/>
      <c r="Q846" s="139" t="str">
        <f>IF($Q845&lt;&gt;"",IF($Q845="W",IF(SUM(IF($H845&gt;$H847,1,0),IF($I845&gt;$I847,1,0),IF($J845&gt;$J847,1,0),IF($K845&gt;$K847,1,0),IF($L845&gt;$L847,1,0))&lt;&gt;3,"Error",""),""),"")</f>
        <v/>
      </c>
      <c r="R846" s="328" t="str">
        <f>$A826</f>
        <v/>
      </c>
      <c r="S846" s="328"/>
      <c r="T846" s="328"/>
      <c r="U846" s="328"/>
      <c r="V846" s="328"/>
      <c r="W846" s="328"/>
      <c r="X846" s="256" t="str">
        <f>CONCATENATE("(",$B825," vs ",$K825,")")</f>
        <v>(I vs L)</v>
      </c>
      <c r="Y846" s="256"/>
      <c r="Z846" s="328" t="str">
        <f>$J826</f>
        <v/>
      </c>
      <c r="AA846" s="328"/>
      <c r="AB846" s="328"/>
      <c r="AC846" s="328"/>
      <c r="AD846" s="328"/>
      <c r="AE846" s="328"/>
      <c r="AF846" s="100"/>
    </row>
    <row r="847" spans="1:32" ht="12.75" customHeight="1">
      <c r="A847" s="300" t="str">
        <f>K825</f>
        <v>L</v>
      </c>
      <c r="B847" s="293" t="str">
        <f ca="1">IF(AND(OFFSET($AO$1,$L825-1,8,1,1),$A826&lt;&gt;"",$J826&lt;&gt;""),CHOOSE($L825,$AQ$1,$AQ$2,$AQ$3,$AQ$4,$AQ$5,$AQ$6,$AQ$7,$AQ$8,$AQ$9,$AQ$10,$AQ$11,$AQ$12),"")</f>
        <v/>
      </c>
      <c r="C847" s="294"/>
      <c r="D847" s="294"/>
      <c r="E847" s="294"/>
      <c r="F847" s="294"/>
      <c r="G847" s="294"/>
      <c r="H847" s="265"/>
      <c r="I847" s="265"/>
      <c r="J847" s="265"/>
      <c r="K847" s="265"/>
      <c r="L847" s="265"/>
      <c r="M847" s="267" t="s">
        <v>1237</v>
      </c>
      <c r="N847" s="268"/>
      <c r="O847" s="268"/>
      <c r="P847" s="269"/>
      <c r="Q847" s="137" t="str">
        <f>IF($Q845&lt;&gt;"",IF($Q845="W","L","W"),"")</f>
        <v/>
      </c>
      <c r="R847" s="100"/>
      <c r="S847" s="100"/>
      <c r="T847" s="100"/>
      <c r="U847" s="100"/>
      <c r="V847" s="100"/>
      <c r="W847" s="100"/>
      <c r="X847" s="100"/>
      <c r="Y847" s="100"/>
      <c r="Z847" s="100"/>
      <c r="AA847" s="100"/>
      <c r="AB847" s="100"/>
      <c r="AC847" s="100"/>
      <c r="AD847" s="100"/>
      <c r="AE847" s="100"/>
      <c r="AF847" s="100"/>
    </row>
    <row r="848" spans="1:32" ht="12.75" customHeight="1">
      <c r="A848" s="301"/>
      <c r="B848" s="295"/>
      <c r="C848" s="296"/>
      <c r="D848" s="296"/>
      <c r="E848" s="296"/>
      <c r="F848" s="296"/>
      <c r="G848" s="296"/>
      <c r="H848" s="270"/>
      <c r="I848" s="270"/>
      <c r="J848" s="266"/>
      <c r="K848" s="266"/>
      <c r="L848" s="266"/>
      <c r="M848" s="267"/>
      <c r="N848" s="268"/>
      <c r="O848" s="268"/>
      <c r="P848" s="269"/>
      <c r="Q848" s="139" t="str">
        <f>IF($Q847&lt;&gt;"",IF($Q847="W",IF(SUM(IF($H847&gt;$H845,1,0),IF($I847&gt;$I845,1,0),IF($J847&gt;$J845,1,0),IF($K847&gt;$K845,1,0),IF($L847&gt;$L845,1,0))&lt;&gt;3,"Error",""),""),"")</f>
        <v/>
      </c>
      <c r="R848" s="43" t="str">
        <f>$A843</f>
        <v>3rd Singles</v>
      </c>
      <c r="S848" s="43"/>
      <c r="T848" s="43"/>
      <c r="U848" s="43"/>
      <c r="V848" s="43"/>
      <c r="W848" s="43"/>
      <c r="X848" s="43"/>
      <c r="Y848" s="43"/>
      <c r="Z848" s="43"/>
      <c r="AA848" s="43"/>
      <c r="AB848" s="43"/>
      <c r="AC848" s="43"/>
      <c r="AD848" s="43"/>
      <c r="AE848" s="43"/>
      <c r="AF848" s="43"/>
    </row>
    <row r="849" spans="1:32" ht="12.75" customHeight="1">
      <c r="Q849" s="7"/>
      <c r="R849" s="60" t="s">
        <v>1228</v>
      </c>
      <c r="S849" s="101" t="s">
        <v>1126</v>
      </c>
      <c r="T849" s="102"/>
      <c r="U849" s="102"/>
      <c r="V849" s="102"/>
      <c r="W849" s="102"/>
      <c r="X849" s="103"/>
      <c r="Y849" s="60">
        <v>1</v>
      </c>
      <c r="Z849" s="60">
        <v>2</v>
      </c>
      <c r="AA849" s="60">
        <v>3</v>
      </c>
      <c r="AB849" s="60">
        <v>4</v>
      </c>
      <c r="AC849" s="60">
        <v>5</v>
      </c>
      <c r="AD849" s="104"/>
      <c r="AE849" s="105"/>
      <c r="AF849" s="106"/>
    </row>
    <row r="850" spans="1:32" ht="12.75" customHeight="1">
      <c r="A850" s="21" t="s">
        <v>1236</v>
      </c>
      <c r="H850" s="136" t="str">
        <f ca="1">IF($Q852&lt;&gt;"",IF(AND($B852&lt;&gt;"Missing Player",$B854&lt;&gt;"Missing Player"),IF(AND(AND($H852&gt;-1,$H854&gt;-1),OR($H852&gt;10,$H854&gt;10),ABS($H852-$H854)&gt;1,IF(OR($H852&gt;11,$H854&gt;11),ABS($H852-$H854)=2,TRUE),$H852=INT($H852),$H854=INT($H854)),"","Error"),""),"")</f>
        <v/>
      </c>
      <c r="I850" s="136" t="str">
        <f ca="1">IF($Q852&lt;&gt;"",IF(AND($B852&lt;&gt;"Missing Player",$B854&lt;&gt;"Missing Player"),IF(AND(AND($I852&gt;-1,$I854&gt;-1),OR($I852&gt;10,$I854&gt;10),ABS($I852-$I854)&gt;1,IF(OR($I852&gt;11,$I854&gt;11),ABS($I852-$I854)=2,TRUE),$I852=INT($I852),$I854=INT($I854)),"","Error"),""),"")</f>
        <v/>
      </c>
      <c r="J850" s="136" t="str">
        <f ca="1">IF($Q852&lt;&gt;"",IF(AND($B852&lt;&gt;"Missing Player",$B854&lt;&gt;"Missing Player"),IF(AND(AND($J852&gt;-1,$J854&gt;-1),OR($J852&gt;10,$J854&gt;10),ABS($J852-$J854)&gt;1,IF(OR($J852&gt;11,$J854&gt;11),ABS($J852-$J854)=2,TRUE),$J852=INT($J852),$J854=INT($J854)),"","Error"),""),"")</f>
        <v/>
      </c>
      <c r="K850" s="136" t="str">
        <f ca="1">IF($Q852&lt;&gt;"",IF(AND($K852&lt;&gt;"",$K854&lt;&gt;""), IF(AND(AND($K852&gt;-1,$K854&gt;-1),OR($K852&gt;10,$K854&gt;10),ABS($K852-$K854)&gt;1,IF(OR($K852&gt;11,$K854&gt;11),ABS($K852-$K854)=2,TRUE),$K852=INT($K852),$K854=INT($K854)),"","Error"),""),"")</f>
        <v/>
      </c>
      <c r="L850" s="136" t="str">
        <f ca="1">IF($Q852&lt;&gt;"",IF(AND($L852&lt;&gt;"",$L854&lt;&gt;""), IF(AND(AND($L852&gt;-1,$L854&gt;-1),OR($L852&gt;10,$L854&gt;10),ABS($L852-$L854)&gt;1,IF(OR($L852&gt;11,$L854&gt;11),ABS($L852-$L854)=2,TRUE),$L852=INT($L852),$L854=INT($L854)),"","Error"),""),"")</f>
        <v/>
      </c>
      <c r="Q850" s="7"/>
      <c r="R850" s="300" t="str">
        <f>$B825</f>
        <v>I</v>
      </c>
      <c r="S850" s="331" t="str">
        <f ca="1">IF($B845&lt;&gt;"",$B845,"")</f>
        <v/>
      </c>
      <c r="T850" s="332"/>
      <c r="U850" s="332"/>
      <c r="V850" s="332"/>
      <c r="W850" s="332"/>
      <c r="X850" s="333"/>
      <c r="Y850" s="329"/>
      <c r="Z850" s="329"/>
      <c r="AA850" s="329"/>
      <c r="AB850" s="329"/>
      <c r="AC850" s="329"/>
      <c r="AD850" s="345"/>
      <c r="AE850" s="358"/>
      <c r="AF850" s="359"/>
    </row>
    <row r="851" spans="1:32" ht="12.75" customHeight="1">
      <c r="A851" s="5" t="s">
        <v>1228</v>
      </c>
      <c r="B851" s="290" t="s">
        <v>1126</v>
      </c>
      <c r="C851" s="291"/>
      <c r="D851" s="291"/>
      <c r="E851" s="291"/>
      <c r="F851" s="291"/>
      <c r="G851" s="292"/>
      <c r="H851" s="5">
        <v>1</v>
      </c>
      <c r="I851" s="5">
        <v>2</v>
      </c>
      <c r="J851" s="5">
        <v>3</v>
      </c>
      <c r="K851" s="5">
        <v>4</v>
      </c>
      <c r="L851" s="5">
        <v>5</v>
      </c>
      <c r="M851" s="271"/>
      <c r="N851" s="272"/>
      <c r="O851" s="272"/>
      <c r="P851" s="273"/>
      <c r="Q851" s="7"/>
      <c r="R851" s="330"/>
      <c r="S851" s="334"/>
      <c r="T851" s="335"/>
      <c r="U851" s="335"/>
      <c r="V851" s="335"/>
      <c r="W851" s="335"/>
      <c r="X851" s="336"/>
      <c r="Y851" s="330"/>
      <c r="Z851" s="330"/>
      <c r="AA851" s="330"/>
      <c r="AB851" s="330"/>
      <c r="AC851" s="330"/>
      <c r="AD851" s="360"/>
      <c r="AE851" s="361"/>
      <c r="AF851" s="362"/>
    </row>
    <row r="852" spans="1:32" ht="12.75" customHeight="1">
      <c r="A852" s="300" t="str">
        <f>B825</f>
        <v>I</v>
      </c>
      <c r="B852" s="293" t="str">
        <f ca="1">IF(AND(OFFSET($AO$1,$C825-1,8,1,1),$A826&lt;&gt;"",$J826&lt;&gt;""),CHOOSE($C825,$AR$1,$AR$2,$AR$3,$AR$4,$AR$5,$AR$6,$AR$7,$AR$8,$AR$9,$AR$10,$AR$11,$AR$12),"")</f>
        <v/>
      </c>
      <c r="C852" s="294"/>
      <c r="D852" s="294"/>
      <c r="E852" s="294"/>
      <c r="F852" s="294"/>
      <c r="G852" s="294"/>
      <c r="H852" s="265"/>
      <c r="I852" s="265"/>
      <c r="J852" s="265"/>
      <c r="K852" s="265"/>
      <c r="L852" s="265" t="str">
        <f ca="1">IF(AND($B852&lt;&gt;"",$Q831&lt;&gt;""),IF($B852="Missing Player",0,IF($B854="Missing Player",11,"")),"")</f>
        <v/>
      </c>
      <c r="M852" s="262" t="str">
        <f ca="1">IF(OR(AND($B845&lt;&gt;"",$B852&lt;&gt;"",$E856&lt;=$D856),AND($B847&lt;&gt;"",$B854&lt;&gt;"",$I856&lt;=$H856)),"Invalid Lineup","")</f>
        <v/>
      </c>
      <c r="N852" s="263"/>
      <c r="O852" s="263"/>
      <c r="P852" s="264"/>
      <c r="Q852" s="137" t="str">
        <f ca="1">IF($L852=$L854,IF($K852=$K854,IF($J852&lt;&gt;"",IF($J852&gt;$J854,"W","L"),""),IF($K852&gt;$K854,"W","L")),IF($L852&gt;$L854,"W","L"))</f>
        <v/>
      </c>
      <c r="R852" s="300" t="str">
        <f>$K825</f>
        <v>L</v>
      </c>
      <c r="S852" s="331" t="str">
        <f ca="1">IF($B847&lt;&gt;"",$B847,"")</f>
        <v/>
      </c>
      <c r="T852" s="332"/>
      <c r="U852" s="332"/>
      <c r="V852" s="332"/>
      <c r="W852" s="332"/>
      <c r="X852" s="333"/>
      <c r="Y852" s="329"/>
      <c r="Z852" s="329"/>
      <c r="AA852" s="329"/>
      <c r="AB852" s="329"/>
      <c r="AC852" s="351"/>
      <c r="AD852" s="363" t="s">
        <v>1237</v>
      </c>
      <c r="AE852" s="358"/>
      <c r="AF852" s="359"/>
    </row>
    <row r="853" spans="1:32" ht="12.75" customHeight="1">
      <c r="A853" s="301"/>
      <c r="B853" s="295"/>
      <c r="C853" s="296"/>
      <c r="D853" s="296"/>
      <c r="E853" s="296"/>
      <c r="F853" s="296"/>
      <c r="G853" s="296"/>
      <c r="H853" s="270"/>
      <c r="I853" s="270"/>
      <c r="J853" s="270"/>
      <c r="K853" s="270"/>
      <c r="L853" s="270"/>
      <c r="M853" s="262"/>
      <c r="N853" s="263"/>
      <c r="O853" s="263"/>
      <c r="P853" s="264"/>
      <c r="Q853" s="139" t="str">
        <f ca="1">IF($Q852&lt;&gt;"",IF($B854&lt;&gt;"Missing Player",IF($Q852="W",IF(SUM(IF($H852&gt;$H854,1,0),IF($I852&gt;$I854,1,0),IF($J852&gt;$J854,1,0),IF($K852&gt;$K854,1,0),IF($L852&gt;$L854,1,0))&lt;&gt;3,"Error",""),""),""),"")</f>
        <v/>
      </c>
      <c r="R853" s="330"/>
      <c r="S853" s="334"/>
      <c r="T853" s="335"/>
      <c r="U853" s="335"/>
      <c r="V853" s="335"/>
      <c r="W853" s="335"/>
      <c r="X853" s="336"/>
      <c r="Y853" s="330"/>
      <c r="Z853" s="330"/>
      <c r="AA853" s="330"/>
      <c r="AB853" s="330"/>
      <c r="AC853" s="330"/>
      <c r="AD853" s="360"/>
      <c r="AE853" s="361"/>
      <c r="AF853" s="362"/>
    </row>
    <row r="854" spans="1:32" ht="12.75" customHeight="1">
      <c r="A854" s="300" t="str">
        <f>K825</f>
        <v>L</v>
      </c>
      <c r="B854" s="293" t="str">
        <f ca="1">IF(AND(OFFSET($AO$1,$L825-1,8,1,1),$A826&lt;&gt;"",$J826&lt;&gt;""),CHOOSE($L825,$AR$1,$AR$2,$AR$3,$AR$4,$AR$5,$AR$6,$AR$7,$AR$8,$AR$9,$AR$10,$AR$11,$AR$12),"")</f>
        <v/>
      </c>
      <c r="C854" s="294"/>
      <c r="D854" s="294"/>
      <c r="E854" s="294"/>
      <c r="F854" s="294"/>
      <c r="G854" s="294"/>
      <c r="H854" s="265"/>
      <c r="I854" s="265"/>
      <c r="J854" s="265"/>
      <c r="K854" s="265"/>
      <c r="L854" s="265" t="str">
        <f ca="1">IF(AND($B854&lt;&gt;"",$Q831&lt;&gt;""),IF($B854="Missing Player",0,IF($B852="Missing Player",11,"")),"")</f>
        <v/>
      </c>
      <c r="M854" s="267" t="s">
        <v>1237</v>
      </c>
      <c r="N854" s="268"/>
      <c r="O854" s="268"/>
      <c r="P854" s="269"/>
      <c r="Q854" s="137" t="str">
        <f ca="1">IF($Q852&lt;&gt;"",IF($Q852="W","L","W"),"")</f>
        <v/>
      </c>
      <c r="R854" s="112"/>
      <c r="S854" s="98"/>
      <c r="T854" s="108"/>
      <c r="U854" s="108"/>
      <c r="V854" s="108"/>
      <c r="W854" s="108"/>
      <c r="X854" s="108"/>
      <c r="Y854" s="113"/>
      <c r="Z854" s="113"/>
      <c r="AA854" s="113"/>
      <c r="AB854" s="113"/>
      <c r="AC854" s="113"/>
      <c r="AD854" s="107"/>
      <c r="AE854" s="109"/>
      <c r="AF854" s="109"/>
    </row>
    <row r="855" spans="1:32" ht="12.75" customHeight="1">
      <c r="A855" s="301"/>
      <c r="B855" s="295"/>
      <c r="C855" s="296"/>
      <c r="D855" s="296"/>
      <c r="E855" s="296"/>
      <c r="F855" s="296"/>
      <c r="G855" s="296"/>
      <c r="H855" s="270"/>
      <c r="I855" s="270"/>
      <c r="J855" s="266"/>
      <c r="K855" s="266"/>
      <c r="L855" s="266"/>
      <c r="M855" s="267"/>
      <c r="N855" s="268"/>
      <c r="O855" s="268"/>
      <c r="P855" s="269"/>
      <c r="Q855" s="139" t="str">
        <f ca="1">IF($Q854&lt;&gt;"",IF($B852&lt;&gt;"Missing Player",IF($Q854="W",IF(SUM(IF($H854&gt;$H852,1,0),IF($I854&gt;$I852,1,0),IF($J854&gt;$J852,1,0),IF($K854&gt;$K852,1,0),IF($L854&gt;$L852,1,0))&lt;&gt;3,"Error",""),""),""),"")</f>
        <v/>
      </c>
      <c r="R855" s="114"/>
      <c r="S855" s="115"/>
      <c r="T855" s="115"/>
      <c r="U855" s="115"/>
      <c r="V855" s="115"/>
      <c r="W855" s="115"/>
      <c r="X855" s="115"/>
      <c r="Y855" s="114"/>
      <c r="Z855" s="114"/>
      <c r="AA855" s="114"/>
      <c r="AB855" s="114"/>
      <c r="AC855" s="114"/>
      <c r="AD855" s="114"/>
      <c r="AE855" s="114"/>
      <c r="AF855" s="114"/>
    </row>
    <row r="856" spans="1:32" ht="12.75" customHeight="1">
      <c r="B856" s="140" t="str">
        <f ca="1">IF(ISERROR(VLOOKUP($B831&amp;"("&amp;$B825&amp;")",Players!$S$4:$T$132,2,FALSE)),"",VLOOKUP($B831&amp;"("&amp;$B825&amp;")",Players!$S$4:$T$132,2,FALSE))</f>
        <v>I1</v>
      </c>
      <c r="C856" s="140" t="str">
        <f ca="1">IF(ISERROR(VLOOKUP($B838&amp;"("&amp;$B825&amp;")",Players!$S$4:$T$132,2,FALSE)),"",VLOOKUP($B838&amp;"("&amp;$B825&amp;")",Players!$S$4:$T$132,2,FALSE))</f>
        <v>I1</v>
      </c>
      <c r="D856" s="141" t="str">
        <f ca="1">IF(ISERROR(VLOOKUP($B845&amp;"("&amp;$B825&amp;")",Players!$S$4:$T$132,2,FALSE)),"",VLOOKUP($B845&amp;"("&amp;$B825&amp;")",Players!$S$4:$T$132,2,FALSE))</f>
        <v>I1</v>
      </c>
      <c r="E856" s="141" t="str">
        <f ca="1">IF(ISERROR(VLOOKUP($B852&amp;"("&amp;$B825&amp;")",Players!$S$4:$T$132,2,FALSE)),"",VLOOKUP($B852&amp;"("&amp;$B825&amp;")",Players!$S$4:$T$132,2,FALSE))</f>
        <v>I1</v>
      </c>
      <c r="F856" s="141" t="str">
        <f ca="1">IF(ISERROR(VLOOKUP($B833&amp;"("&amp;$K825&amp;")",Players!$S$4:$T$132,2,FALSE)),"",VLOOKUP($B833&amp;"("&amp;$K825&amp;")",Players!$S$4:$T$132,2,FALSE))</f>
        <v>L1</v>
      </c>
      <c r="G856" s="141" t="str">
        <f ca="1">IF(ISERROR(VLOOKUP($B840&amp;"("&amp;$K825&amp;")",Players!$S$4:$T$132,2,FALSE)),"",VLOOKUP($B840&amp;"("&amp;$K825&amp;")",Players!$S$4:$T$132,2,FALSE))</f>
        <v>L1</v>
      </c>
      <c r="H856" s="141" t="str">
        <f ca="1">IF(ISERROR(VLOOKUP($B847&amp;"("&amp;$K825&amp;")",Players!$S$4:$T$132,2,FALSE)),"",VLOOKUP($B847&amp;"("&amp;$K825&amp;")",Players!$S$4:$T$132,2,FALSE))</f>
        <v>L1</v>
      </c>
      <c r="I856" s="141" t="str">
        <f ca="1">IF(ISERROR(VLOOKUP($B854&amp;"("&amp;$K825&amp;")",Players!$S$4:$T$132,2,FALSE)),"",VLOOKUP($B854&amp;"("&amp;$K825&amp;")",Players!$S$4:$T$132,2,FALSE))</f>
        <v>L1</v>
      </c>
      <c r="Q856" s="7"/>
      <c r="R856" s="50"/>
      <c r="S856" s="116"/>
      <c r="T856" s="115"/>
      <c r="U856" s="115"/>
      <c r="V856" s="115"/>
      <c r="W856" s="115"/>
      <c r="X856" s="115"/>
      <c r="Y856" s="99"/>
      <c r="Z856" s="99"/>
      <c r="AA856" s="99"/>
      <c r="AB856" s="99"/>
      <c r="AC856" s="117"/>
      <c r="AD856" s="118"/>
      <c r="AE856" s="114"/>
      <c r="AF856" s="114"/>
    </row>
    <row r="857" spans="1:32" ht="12.75" customHeight="1">
      <c r="A857" s="21" t="s">
        <v>1225</v>
      </c>
      <c r="H857" s="136" t="str">
        <f ca="1">IF($Q859&lt;&gt;"",IF(AND($B860&lt;&gt;"Missing Player",$B862&lt;&gt;"Missing Player"),IF(AND(AND($H859&gt;-1,$H861&gt;-1),OR($H859&gt;10,$H861&gt;10),ABS($H859-$H861)&gt;1,IF(OR($H859&gt;11,$H861&gt;11),ABS($H859-$H861)=2,TRUE),$H859=INT($H859),$H861=INT($H861)),"","Error"),""),"")</f>
        <v/>
      </c>
      <c r="I857" s="136" t="str">
        <f ca="1">IF($Q859&lt;&gt;"",IF(AND($B860&lt;&gt;"Missing Player",$B862&lt;&gt;"Missing Player"),IF(AND(AND($I859&gt;-1,$I861&gt;-1),OR($I859&gt;10,$I861&gt;10),ABS($I859-$I861)&gt;1,IF(OR($I859&gt;11,$I861&gt;11),ABS($I859-$I861)=2,TRUE),$I859=INT($I859),$I861=INT($I861)),"","Error"),""),"")</f>
        <v/>
      </c>
      <c r="J857" s="136" t="str">
        <f ca="1">IF($Q859&lt;&gt;"",IF(AND($B860&lt;&gt;"Missing Player",$B862&lt;&gt;"Missing Player"),IF(AND(AND($J859&gt;-1,$J861&gt;-1),OR($J859&gt;10,$J861&gt;10),ABS($J859-$J861)&gt;1,IF(OR($J859&gt;11,$J861&gt;11),ABS($J859-$J861)=2,TRUE),$J859=INT($J859),$J861=INT($J861)),"","Error"),""),"")</f>
        <v/>
      </c>
      <c r="K857" s="136" t="str">
        <f ca="1">IF($Q859&lt;&gt;"",IF(AND($K859&lt;&gt;"",$K861&lt;&gt;""), IF(AND(AND($K859&gt;-1,$K861&gt;-1),OR($K859&gt;10,$K861&gt;10),ABS($K859-$K861)&gt;1,IF(OR($K859&gt;11,$K861&gt;11),ABS($K859-$K861)=2,TRUE),$K859=INT($K859),$K861=INT($K861)),"","Error"),""),"")</f>
        <v/>
      </c>
      <c r="L857" s="136" t="str">
        <f ca="1">IF($Q859&lt;&gt;"",IF(AND($L859&lt;&gt;"",$L861&lt;&gt;""), IF(AND(AND($L859&gt;-1,$L861&gt;-1),OR($L859&gt;10,$L861&gt;10),ABS($L859-$L861)&gt;1,IF(OR($L859&gt;11,$L861&gt;11),ABS($L859-$L861)=2,TRUE),$L859=INT($L859),$L861=INT($L861)),"","Error"),""),"")</f>
        <v/>
      </c>
      <c r="Q857" s="7"/>
      <c r="R857" s="114"/>
      <c r="S857" s="115"/>
      <c r="T857" s="115"/>
      <c r="U857" s="115"/>
      <c r="V857" s="115"/>
      <c r="W857" s="115"/>
      <c r="X857" s="115"/>
      <c r="Y857" s="114"/>
      <c r="Z857" s="114"/>
      <c r="AA857" s="114"/>
      <c r="AB857" s="114"/>
      <c r="AC857" s="114"/>
      <c r="AD857" s="114"/>
      <c r="AE857" s="114"/>
      <c r="AF857" s="114"/>
    </row>
    <row r="858" spans="1:32" ht="12.75" customHeight="1">
      <c r="A858" s="5" t="s">
        <v>1228</v>
      </c>
      <c r="B858" s="290" t="s">
        <v>1126</v>
      </c>
      <c r="C858" s="291"/>
      <c r="D858" s="291"/>
      <c r="E858" s="291"/>
      <c r="F858" s="291"/>
      <c r="G858" s="292"/>
      <c r="H858" s="5">
        <v>1</v>
      </c>
      <c r="I858" s="5">
        <v>2</v>
      </c>
      <c r="J858" s="5">
        <v>3</v>
      </c>
      <c r="K858" s="5">
        <v>4</v>
      </c>
      <c r="L858" s="5">
        <v>5</v>
      </c>
      <c r="M858" s="271"/>
      <c r="N858" s="272"/>
      <c r="O858" s="272"/>
      <c r="P858" s="273"/>
      <c r="Q858" s="8"/>
      <c r="S858" s="24"/>
      <c r="T858" s="26"/>
    </row>
    <row r="859" spans="1:32" ht="12.75" customHeight="1">
      <c r="A859" s="300" t="str">
        <f>B825</f>
        <v>I</v>
      </c>
      <c r="B859" s="311" t="str">
        <f ca="1">IF($B831&lt;&gt;"",$B831,"")</f>
        <v/>
      </c>
      <c r="C859" s="312"/>
      <c r="D859" s="312"/>
      <c r="E859" s="312"/>
      <c r="F859" s="312"/>
      <c r="G859" s="313"/>
      <c r="H859" s="265"/>
      <c r="I859" s="265"/>
      <c r="J859" s="265"/>
      <c r="K859" s="265"/>
      <c r="L859" s="265" t="str">
        <f ca="1">IF($B852&lt;&gt;"",IF(AND($B852="Missing Player",$G863=2,$J863=2),0,IF(AND($B854="Missing Player",$G863=2,$J863=2),11,"")),"")</f>
        <v/>
      </c>
      <c r="M859" s="262" t="str">
        <f ca="1">IF(OR(AND($B859&lt;&gt;"",$B860&lt;&gt;"",$B859=$B860),AND($B861&lt;&gt;"",$B862&lt;&gt;"",$B861=$B862)),"Invalid Partner","")</f>
        <v/>
      </c>
      <c r="N859" s="263"/>
      <c r="O859" s="263"/>
      <c r="P859" s="264"/>
      <c r="Q859" s="138" t="str">
        <f ca="1">IF(L859=L861,IF(K859=K861,IF(J859&lt;&gt;"",IF(J859&gt;J861,"W","L"),""),IF(K859&gt;K861,"W","L")),IF(L859&gt;L861,"W","L"))</f>
        <v/>
      </c>
      <c r="S859" s="24"/>
      <c r="T859" s="26"/>
    </row>
    <row r="860" spans="1:32" ht="12.75" customHeight="1">
      <c r="A860" s="324"/>
      <c r="B860" s="308" t="str">
        <f ca="1">IF($B852="Missing Player",$B852,"")</f>
        <v/>
      </c>
      <c r="C860" s="309"/>
      <c r="D860" s="309"/>
      <c r="E860" s="309"/>
      <c r="F860" s="309"/>
      <c r="G860" s="310"/>
      <c r="H860" s="270"/>
      <c r="I860" s="270"/>
      <c r="J860" s="270"/>
      <c r="K860" s="270"/>
      <c r="L860" s="270"/>
      <c r="M860" s="262"/>
      <c r="N860" s="263"/>
      <c r="O860" s="263"/>
      <c r="P860" s="264"/>
      <c r="Q860" s="139" t="str">
        <f ca="1">IF($Q859&lt;&gt;"",IF($B862&lt;&gt;"Missing Player",IF($Q859="W",IF(SUM(IF($H859&gt;$H861,1,0),IF($I859&gt;$I861,1,0),IF($J859&gt;$J861,1,0),IF($K859&gt;$K861,1,0),IF($L859&gt;$L861,1,0))&lt;&gt;3,"Error",""),""),""),"")</f>
        <v/>
      </c>
      <c r="R860" s="328" t="str">
        <f>$A826</f>
        <v/>
      </c>
      <c r="S860" s="328"/>
      <c r="T860" s="328"/>
      <c r="U860" s="328"/>
      <c r="V860" s="328"/>
      <c r="W860" s="328"/>
      <c r="X860" s="256" t="str">
        <f>CONCATENATE("(",$B825," vs ",$K825,")")</f>
        <v>(I vs L)</v>
      </c>
      <c r="Y860" s="256"/>
      <c r="Z860" s="328" t="str">
        <f>$J826</f>
        <v/>
      </c>
      <c r="AA860" s="328"/>
      <c r="AB860" s="328"/>
      <c r="AC860" s="328"/>
      <c r="AD860" s="328"/>
      <c r="AE860" s="328"/>
      <c r="AF860" s="43"/>
    </row>
    <row r="861" spans="1:32" ht="12.75" customHeight="1">
      <c r="A861" s="325" t="str">
        <f>K825</f>
        <v>L</v>
      </c>
      <c r="B861" s="311" t="str">
        <f ca="1">IF($B833&lt;&gt;"",$B833,"")</f>
        <v/>
      </c>
      <c r="C861" s="312"/>
      <c r="D861" s="312"/>
      <c r="E861" s="312"/>
      <c r="F861" s="312"/>
      <c r="G861" s="313"/>
      <c r="H861" s="265"/>
      <c r="I861" s="265"/>
      <c r="J861" s="265"/>
      <c r="K861" s="265"/>
      <c r="L861" s="265" t="str">
        <f ca="1">IF($B854&lt;&gt;"",IF(AND($B854="Missing Player",$G863=2,$J863=2),0,IF(AND($B852="Missing Player",$G863=2,$J863=2),11,"")),"")</f>
        <v/>
      </c>
      <c r="M861" s="267" t="s">
        <v>1237</v>
      </c>
      <c r="N861" s="268"/>
      <c r="O861" s="268"/>
      <c r="P861" s="269"/>
      <c r="Q861" s="138" t="str">
        <f ca="1">IF(Q859&lt;&gt;"",IF(Q859="W","L","W"),"")</f>
        <v/>
      </c>
      <c r="R861" s="43"/>
      <c r="S861" s="43"/>
      <c r="T861" s="43"/>
      <c r="U861" s="43"/>
      <c r="V861" s="43"/>
      <c r="W861" s="43"/>
      <c r="X861" s="43"/>
      <c r="Y861" s="43"/>
      <c r="Z861" s="43"/>
      <c r="AA861" s="43"/>
      <c r="AB861" s="43"/>
      <c r="AC861" s="43"/>
      <c r="AD861" s="43"/>
      <c r="AE861" s="43"/>
      <c r="AF861" s="43"/>
    </row>
    <row r="862" spans="1:32" ht="12.75" customHeight="1">
      <c r="A862" s="324"/>
      <c r="B862" s="308" t="str">
        <f ca="1">IF($B854="Missing Player",$B854,"")</f>
        <v/>
      </c>
      <c r="C862" s="309"/>
      <c r="D862" s="309"/>
      <c r="E862" s="309"/>
      <c r="F862" s="309"/>
      <c r="G862" s="310"/>
      <c r="H862" s="270"/>
      <c r="I862" s="270"/>
      <c r="J862" s="266"/>
      <c r="K862" s="266"/>
      <c r="L862" s="266"/>
      <c r="M862" s="267"/>
      <c r="N862" s="268"/>
      <c r="O862" s="268"/>
      <c r="P862" s="269"/>
      <c r="Q862" s="139" t="str">
        <f ca="1">IF($Q861&lt;&gt;"",IF($B860&lt;&gt;"Missing Player",IF($Q861="W",IF(SUM(IF($H861&gt;$H859,1,0),IF($I861&gt;$I859,1,0),IF($J861&gt;$J859,1,0),IF($K861&gt;$K859,1,0),IF($L861&gt;$L859,1,0))&lt;&gt;3,"Error",""),""),""),"")</f>
        <v/>
      </c>
      <c r="R862" s="43" t="str">
        <f>A850</f>
        <v>4th Singles</v>
      </c>
      <c r="S862" s="43"/>
      <c r="T862" s="43"/>
      <c r="U862" s="43"/>
      <c r="V862" s="43"/>
      <c r="W862" s="43"/>
      <c r="X862" s="43"/>
      <c r="Y862" s="43"/>
      <c r="Z862" s="43"/>
      <c r="AA862" s="43"/>
      <c r="AB862" s="43"/>
      <c r="AC862" s="43"/>
      <c r="AD862" s="43"/>
      <c r="AE862" s="43"/>
      <c r="AF862" s="43"/>
    </row>
    <row r="863" spans="1:32" ht="12.75" customHeight="1">
      <c r="G863" s="66">
        <f ca="1">COUNTIF($Q831:$Q831,"W")+COUNTIF($Q838:$Q838,"W")+COUNTIF($Q845:$Q845,"W")+COUNTIF($Q852:$Q852,"W")</f>
        <v>0</v>
      </c>
      <c r="J863" s="66">
        <f ca="1">COUNTIF($Q833:$Q833,"W")+COUNTIF($Q840:$Q840,"W")+COUNTIF($Q847:$Q847,"W")+COUNTIF($Q854:$Q854,"W")</f>
        <v>0</v>
      </c>
      <c r="R863" s="60" t="s">
        <v>1228</v>
      </c>
      <c r="S863" s="339" t="s">
        <v>1126</v>
      </c>
      <c r="T863" s="340"/>
      <c r="U863" s="340"/>
      <c r="V863" s="340"/>
      <c r="W863" s="340"/>
      <c r="X863" s="341"/>
      <c r="Y863" s="60">
        <v>1</v>
      </c>
      <c r="Z863" s="60">
        <v>2</v>
      </c>
      <c r="AA863" s="60">
        <v>3</v>
      </c>
      <c r="AB863" s="60">
        <v>4</v>
      </c>
      <c r="AC863" s="60">
        <v>5</v>
      </c>
      <c r="AD863" s="342"/>
      <c r="AE863" s="343"/>
      <c r="AF863" s="344"/>
    </row>
    <row r="864" spans="1:32" ht="12.75" customHeight="1" thickBot="1">
      <c r="F864" s="246" t="s">
        <v>1238</v>
      </c>
      <c r="G864" s="246"/>
      <c r="H864" s="246"/>
      <c r="I864" s="246"/>
      <c r="J864" s="246"/>
      <c r="K864" s="246"/>
      <c r="R864" s="300" t="str">
        <f>B825</f>
        <v>I</v>
      </c>
      <c r="S864" s="331" t="str">
        <f ca="1">IF($B852&lt;&gt;"",$B852,"")</f>
        <v/>
      </c>
      <c r="T864" s="353"/>
      <c r="U864" s="353"/>
      <c r="V864" s="353"/>
      <c r="W864" s="353"/>
      <c r="X864" s="354"/>
      <c r="Y864" s="329"/>
      <c r="Z864" s="329"/>
      <c r="AA864" s="351"/>
      <c r="AB864" s="351"/>
      <c r="AC864" s="351"/>
      <c r="AD864" s="345"/>
      <c r="AE864" s="346"/>
      <c r="AF864" s="347"/>
    </row>
    <row r="865" spans="1:32" ht="12.75" customHeight="1">
      <c r="A865" s="22"/>
      <c r="B865" s="22"/>
      <c r="C865" s="22"/>
      <c r="D865" s="22"/>
      <c r="E865" s="22"/>
      <c r="G865" s="304" t="str">
        <f>B825</f>
        <v>I</v>
      </c>
      <c r="H865" s="305"/>
      <c r="I865" s="302" t="str">
        <f>K825</f>
        <v>L</v>
      </c>
      <c r="J865" s="303"/>
      <c r="L865" s="22"/>
      <c r="M865" s="22"/>
      <c r="N865" s="22"/>
      <c r="O865" s="22"/>
      <c r="P865" s="22"/>
      <c r="R865" s="301"/>
      <c r="S865" s="355"/>
      <c r="T865" s="356"/>
      <c r="U865" s="356"/>
      <c r="V865" s="356"/>
      <c r="W865" s="356"/>
      <c r="X865" s="357"/>
      <c r="Y865" s="338"/>
      <c r="Z865" s="338"/>
      <c r="AA865" s="352"/>
      <c r="AB865" s="352"/>
      <c r="AC865" s="352"/>
      <c r="AD865" s="348"/>
      <c r="AE865" s="349"/>
      <c r="AF865" s="350"/>
    </row>
    <row r="866" spans="1:32" ht="12.75" customHeight="1" thickBot="1">
      <c r="A866" s="2" t="s">
        <v>1228</v>
      </c>
      <c r="B866" s="53" t="str">
        <f>B825</f>
        <v>I</v>
      </c>
      <c r="C866" s="3" t="s">
        <v>1226</v>
      </c>
      <c r="F866" s="66" t="str">
        <f>CONCATENATE($B825,"-",$K825)</f>
        <v>I-L</v>
      </c>
      <c r="G866" s="320" t="str">
        <f ca="1">IF(OR(Q831&lt;&gt;"",Q838&lt;&gt;"",Q845&lt;&gt;"",Q852&lt;&gt;"",Q859&lt;&gt;""),COUNTIF(Q831:Q831,"W")+COUNTIF(Q838:Q838,"W")+COUNTIF(Q845:Q845,"W")+COUNTIF(Q852:Q852,"W")+COUNTIF(Q859:Q859,"W"),"")</f>
        <v/>
      </c>
      <c r="H866" s="321"/>
      <c r="I866" s="322" t="str">
        <f ca="1">IF(OR(Q833&lt;&gt;"",Q840&lt;&gt;"",Q847&lt;&gt;"",Q854&lt;&gt;"",Q861&lt;&gt;""),COUNTIF(Q833:Q833,"W")+COUNTIF(Q840:Q840,"W")+COUNTIF(Q847:Q847,"W")+COUNTIF(Q854:Q854,"W")+COUNTIF(Q861:Q861,"W"),"")</f>
        <v/>
      </c>
      <c r="J866" s="323"/>
      <c r="L866" s="2" t="s">
        <v>1228</v>
      </c>
      <c r="M866" s="53" t="str">
        <f>K825</f>
        <v>L</v>
      </c>
      <c r="N866" s="3" t="s">
        <v>1226</v>
      </c>
      <c r="R866" s="300" t="str">
        <f>K825</f>
        <v>L</v>
      </c>
      <c r="S866" s="331" t="str">
        <f ca="1">IF($B854&lt;&gt;"",$B854,"")</f>
        <v/>
      </c>
      <c r="T866" s="332"/>
      <c r="U866" s="332"/>
      <c r="V866" s="332"/>
      <c r="W866" s="332"/>
      <c r="X866" s="333"/>
      <c r="Y866" s="329"/>
      <c r="Z866" s="329"/>
      <c r="AA866" s="351"/>
      <c r="AB866" s="351"/>
      <c r="AC866" s="351"/>
      <c r="AD866" s="363" t="s">
        <v>1237</v>
      </c>
      <c r="AE866" s="358"/>
      <c r="AF866" s="359"/>
    </row>
    <row r="867" spans="1:32" ht="12.75" customHeight="1">
      <c r="F867" s="25" t="s">
        <v>3996</v>
      </c>
      <c r="G867" s="23"/>
      <c r="H867" s="23"/>
      <c r="I867" s="23"/>
      <c r="J867" s="23"/>
      <c r="K867" s="24"/>
      <c r="R867" s="330"/>
      <c r="S867" s="334"/>
      <c r="T867" s="335"/>
      <c r="U867" s="335"/>
      <c r="V867" s="335"/>
      <c r="W867" s="335"/>
      <c r="X867" s="336"/>
      <c r="Y867" s="330"/>
      <c r="Z867" s="330"/>
      <c r="AA867" s="330"/>
      <c r="AB867" s="330"/>
      <c r="AC867" s="330"/>
      <c r="AD867" s="360"/>
      <c r="AE867" s="361"/>
      <c r="AF867" s="362"/>
    </row>
    <row r="868" spans="1:32" ht="12.75" customHeight="1">
      <c r="R868" s="1"/>
      <c r="S868" s="110"/>
      <c r="T868" s="110"/>
      <c r="U868" s="110"/>
      <c r="V868" s="110"/>
      <c r="W868" s="110"/>
      <c r="X868" s="111"/>
      <c r="Y868" s="111"/>
      <c r="Z868" s="111"/>
      <c r="AA868" s="111"/>
    </row>
    <row r="869" spans="1:32" ht="12.75" customHeight="1">
      <c r="F869" s="246" t="s">
        <v>4929</v>
      </c>
      <c r="G869" s="246"/>
      <c r="H869" s="246"/>
      <c r="I869" s="246"/>
      <c r="R869" s="1"/>
      <c r="S869" s="110"/>
      <c r="T869" s="110"/>
      <c r="U869" s="110"/>
      <c r="V869" s="110"/>
      <c r="W869" s="110"/>
      <c r="X869" s="111"/>
      <c r="Y869" s="111"/>
      <c r="Z869" s="111"/>
      <c r="AA869" s="111"/>
    </row>
    <row r="870" spans="1:32" ht="12.75" customHeight="1">
      <c r="F870" s="246" t="s">
        <v>4930</v>
      </c>
      <c r="G870" s="246"/>
      <c r="H870" s="246"/>
      <c r="I870" s="246"/>
      <c r="R870" s="1"/>
      <c r="S870" s="110"/>
      <c r="T870" s="110"/>
      <c r="U870" s="110"/>
      <c r="V870" s="110"/>
      <c r="W870" s="110"/>
      <c r="X870" s="111"/>
      <c r="Y870" s="111"/>
      <c r="Z870" s="111"/>
      <c r="AA870" s="111"/>
    </row>
    <row r="871" spans="1:32" ht="12.75" customHeight="1">
      <c r="K871" s="281" t="s">
        <v>1244</v>
      </c>
      <c r="L871" s="281"/>
      <c r="M871" s="281"/>
      <c r="N871" s="281"/>
      <c r="O871" s="281"/>
      <c r="P871" s="281"/>
      <c r="R871" s="1"/>
      <c r="S871" s="110"/>
      <c r="T871" s="110"/>
      <c r="U871" s="110"/>
      <c r="V871" s="110"/>
      <c r="W871" s="110"/>
      <c r="X871" s="111"/>
      <c r="Y871" s="111"/>
      <c r="Z871" s="111"/>
      <c r="AA871" s="111"/>
    </row>
    <row r="872" spans="1:32" ht="12.75" customHeight="1">
      <c r="A872" s="12" t="s">
        <v>1229</v>
      </c>
      <c r="B872" s="11"/>
      <c r="C872" s="11"/>
      <c r="D872" s="11" t="str">
        <f>Draw!$B$1</f>
        <v>Enter Division Name</v>
      </c>
      <c r="E872" s="11"/>
      <c r="F872" s="7"/>
      <c r="G872" s="6"/>
      <c r="H872" s="7"/>
      <c r="I872" s="11"/>
      <c r="J872" s="11"/>
      <c r="K872" s="11"/>
      <c r="L872" s="11"/>
      <c r="M872" s="281"/>
      <c r="N872" s="281"/>
      <c r="O872" s="281"/>
      <c r="P872" s="281"/>
      <c r="R872" s="1"/>
      <c r="S872" s="110"/>
      <c r="T872" s="110"/>
      <c r="U872" s="110"/>
      <c r="V872" s="110"/>
      <c r="W872" s="110"/>
      <c r="X872" s="111"/>
      <c r="Y872" s="111"/>
      <c r="Z872" s="111"/>
      <c r="AA872" s="111"/>
    </row>
    <row r="873" spans="1:32" ht="12.75" customHeight="1">
      <c r="A873" s="2" t="s">
        <v>1230</v>
      </c>
      <c r="D873" s="43" t="str">
        <f>Draw!$D$1</f>
        <v>Enter Hosting Location (City, ST)</v>
      </c>
      <c r="J873" s="43" t="str">
        <f ca="1">$J$6</f>
        <v>[NCTTA Teams Template (v2.06).xlsx]</v>
      </c>
      <c r="R873" s="1"/>
      <c r="S873" s="110"/>
      <c r="T873" s="110"/>
      <c r="U873" s="110"/>
      <c r="V873" s="110"/>
      <c r="W873" s="110"/>
      <c r="X873" s="111"/>
      <c r="Y873" s="111"/>
      <c r="Z873" s="111"/>
      <c r="AA873" s="111"/>
    </row>
    <row r="874" spans="1:32" ht="12.75" customHeight="1">
      <c r="A874" s="2" t="s">
        <v>1231</v>
      </c>
      <c r="D874" s="337" t="str">
        <f>Draw!$P$1</f>
        <v>Enter Date</v>
      </c>
      <c r="E874" s="337"/>
      <c r="F874" s="337"/>
      <c r="G874" s="337"/>
      <c r="J874" s="280" t="str">
        <f>CHOOSE(Draw!$T$1,"Round 3, Match 6","Round 1, Match 6","Round 3, Match 6","","","","Round 6, Match 3","Round 5, Match 2","Round 5, Match 2","Round 4, Match 3","Round 4, Match 3")</f>
        <v>Round 3, Match 6</v>
      </c>
      <c r="K874" s="280"/>
      <c r="L874" s="280"/>
      <c r="M874" s="276" t="str">
        <f>IF(AND($J874&lt;&gt;"",Draw!$AC$10&lt;&gt;"",Draw!$AC$13&lt;&gt;""),Draw!$AC$10+TIME(0,VALUE(MID($J874,7,FIND(",",$J874)-FIND(" ",$J874)-1)-1)*Draw!$AC$13,0),"")</f>
        <v/>
      </c>
      <c r="N874" s="276"/>
      <c r="O874" s="157" t="str">
        <f>$F917</f>
        <v>J-K</v>
      </c>
      <c r="R874" s="1"/>
      <c r="S874" s="110"/>
      <c r="T874" s="110"/>
      <c r="U874" s="110"/>
      <c r="V874" s="110"/>
      <c r="W874" s="110"/>
      <c r="X874" s="111"/>
      <c r="Y874" s="111"/>
      <c r="Z874" s="111"/>
      <c r="AA874" s="111"/>
    </row>
    <row r="875" spans="1:32" ht="12.75" customHeight="1">
      <c r="A875" s="14"/>
      <c r="B875" s="15"/>
      <c r="C875" s="15"/>
      <c r="D875" s="15"/>
      <c r="E875" s="15"/>
      <c r="F875" s="14"/>
      <c r="G875" s="14"/>
      <c r="H875" s="16"/>
      <c r="I875" s="14"/>
      <c r="J875" s="15"/>
      <c r="K875" s="15"/>
      <c r="L875" s="15"/>
      <c r="M875" s="15"/>
      <c r="N875" s="15"/>
      <c r="O875" s="364" t="str">
        <f>IF(OR(AND(VLOOKUP($B876,$AM$1:$AX$12,12,FALSE)="C",VLOOKUP($K876,$AM$1:$AX$12,12,FALSE)="C"),AND(VLOOKUP($B876,$AM$1:$AX$12,12,FALSE)="W",VLOOKUP($K876,$AM$1:$AX$12,12,FALSE)="W")),"Official",IF(AND($A877="",$J877=""),"","Scrimmage"))</f>
        <v/>
      </c>
      <c r="P875" s="364"/>
      <c r="R875" s="1"/>
      <c r="S875" s="110"/>
      <c r="T875" s="110"/>
      <c r="U875" s="110"/>
      <c r="V875" s="110"/>
      <c r="W875" s="110"/>
      <c r="X875" s="111"/>
      <c r="Y875" s="111"/>
      <c r="Z875" s="111"/>
      <c r="AA875" s="111"/>
    </row>
    <row r="876" spans="1:32" ht="12.75" customHeight="1">
      <c r="A876" s="17" t="s">
        <v>1228</v>
      </c>
      <c r="B876" s="119" t="str">
        <f>CHOOSE(Draw!$T$1,"D","I","J","A","B","A","E","B","D","D","G")</f>
        <v>J</v>
      </c>
      <c r="C876" s="135">
        <f>VLOOKUP($B876,$AM$1:$AN$12,2)</f>
        <v>10</v>
      </c>
      <c r="D876" s="13"/>
      <c r="E876" s="13"/>
      <c r="F876" s="10"/>
      <c r="H876" s="19" t="s">
        <v>1232</v>
      </c>
      <c r="J876" s="17" t="s">
        <v>1228</v>
      </c>
      <c r="K876" s="119" t="str">
        <f>CHOOSE(Draw!$T$1,"E","J","K","I","F","I","F","D","F","H","K")</f>
        <v>K</v>
      </c>
      <c r="L876" s="135">
        <f>VLOOKUP($K876,$AM$1:$AN$12,2)</f>
        <v>11</v>
      </c>
      <c r="M876" s="13"/>
      <c r="N876" s="13"/>
      <c r="O876" s="18"/>
      <c r="P876" s="274"/>
      <c r="Q876" s="275"/>
      <c r="R876" s="1"/>
      <c r="S876" s="110"/>
      <c r="T876" s="110"/>
      <c r="U876" s="110"/>
      <c r="V876" s="110"/>
      <c r="W876" s="110"/>
      <c r="X876" s="111"/>
      <c r="Y876" s="111"/>
      <c r="Z876" s="111"/>
      <c r="AA876" s="111"/>
    </row>
    <row r="877" spans="1:32" ht="12.75" customHeight="1">
      <c r="A877" s="277" t="str">
        <f>IF(VLOOKUP($B876,Draw!$A$4:$B$27,2)&lt;&gt;0,VLOOKUP($B876,Draw!$A$4:$B$27,2),"")</f>
        <v/>
      </c>
      <c r="B877" s="278"/>
      <c r="C877" s="278"/>
      <c r="D877" s="278"/>
      <c r="E877" s="278"/>
      <c r="F877" s="279"/>
      <c r="G877" s="306" t="s">
        <v>4169</v>
      </c>
      <c r="H877" s="289"/>
      <c r="I877" s="307"/>
      <c r="J877" s="277" t="str">
        <f>IF(VLOOKUP($K876,Draw!$A$4:$B$27,2)&lt;&gt;0,VLOOKUP($K876,Draw!$A$4:$B$27,2),"")</f>
        <v/>
      </c>
      <c r="K877" s="278"/>
      <c r="L877" s="278"/>
      <c r="M877" s="278"/>
      <c r="N877" s="278"/>
      <c r="O877" s="279"/>
      <c r="P877" s="15"/>
      <c r="R877" s="1"/>
      <c r="S877" s="110"/>
      <c r="T877" s="110"/>
      <c r="U877" s="110"/>
      <c r="V877" s="110"/>
      <c r="W877" s="110"/>
      <c r="X877" s="111"/>
      <c r="Y877" s="111"/>
      <c r="Z877" s="111"/>
      <c r="AA877" s="111"/>
    </row>
    <row r="878" spans="1:32" ht="12.75" customHeight="1">
      <c r="A878" s="14"/>
      <c r="B878" s="15"/>
      <c r="C878" s="15"/>
      <c r="D878" s="15"/>
      <c r="E878" s="15"/>
      <c r="F878" s="14"/>
      <c r="G878" s="288" t="str">
        <f>"Page "&amp;VALUE(RIGHT($G877,LEN($G877)-SEARCH("-",$G877)))/2</f>
        <v>Page 18</v>
      </c>
      <c r="H878" s="289"/>
      <c r="I878" s="289"/>
      <c r="J878" s="15"/>
      <c r="K878" s="15"/>
      <c r="L878" s="15"/>
      <c r="M878" s="15"/>
      <c r="N878" s="15"/>
      <c r="O878" s="15"/>
      <c r="P878" s="15"/>
      <c r="R878" s="1"/>
      <c r="S878" s="110"/>
      <c r="T878" s="110"/>
      <c r="U878" s="110"/>
      <c r="V878" s="110"/>
      <c r="W878" s="110"/>
      <c r="X878" s="111"/>
      <c r="Y878" s="111"/>
      <c r="Z878" s="111"/>
      <c r="AA878" s="111"/>
      <c r="AF878" s="27"/>
    </row>
    <row r="879" spans="1:32" ht="12.75" customHeight="1">
      <c r="A879" s="327" t="s">
        <v>1245</v>
      </c>
      <c r="B879" s="327"/>
      <c r="C879" s="327"/>
      <c r="D879" s="327"/>
      <c r="E879" s="327"/>
      <c r="F879" s="327"/>
      <c r="G879" s="327"/>
      <c r="H879" s="327"/>
      <c r="I879" s="327"/>
      <c r="J879" s="327"/>
      <c r="K879" s="327"/>
      <c r="L879" s="327"/>
      <c r="M879" s="327"/>
      <c r="N879" s="327"/>
      <c r="O879" s="327"/>
      <c r="P879" s="327"/>
      <c r="Q879" s="7"/>
      <c r="R879" s="1"/>
      <c r="S879" s="110"/>
      <c r="T879" s="110"/>
      <c r="U879" s="110"/>
      <c r="V879" s="110"/>
      <c r="W879" s="110"/>
      <c r="X879" s="111"/>
      <c r="Y879" s="111"/>
      <c r="Z879" s="111"/>
      <c r="AA879" s="111"/>
      <c r="AF879" s="20"/>
    </row>
    <row r="880" spans="1:32" ht="12.75" customHeight="1">
      <c r="A880" s="21" t="s">
        <v>1233</v>
      </c>
      <c r="H880" s="136" t="str">
        <f>IF($Q882&lt;&gt;"",IF(AND(AND($H882&gt;-1,$H884&gt;-1),OR($H882&gt;10,$H884&gt;10),ABS($H882-$H884)&gt;1,IF(OR($H882&gt;11,$H884&gt;11),ABS($H882-$H884)=2,TRUE),$H882=INT($H882),$H884=INT($H884)),"","Error"),"")</f>
        <v/>
      </c>
      <c r="I880" s="136" t="str">
        <f>IF($Q882&lt;&gt;"",IF(AND(AND($I882&gt;-1,$I884&gt;-1),OR($I882&gt;10,$I884&gt;10),ABS($I882-$I884)&gt;1,IF(OR($I882&gt;11,$I884&gt;11),ABS($I882-$I884)=2,TRUE),$I882=INT($I882),$I884=INT($I884)),"","Error"),"")</f>
        <v/>
      </c>
      <c r="J880" s="136" t="str">
        <f>IF($Q882&lt;&gt;"",IF(AND(AND($J882&gt;-1,$J884&gt;-1),OR($J882&gt;10,$J884&gt;10),ABS($J882-$J884)&gt;1,IF(OR($J882&gt;11,$J884&gt;11),ABS($J882-$J884)=2,TRUE),$J882=INT($J882),$J884=INT($J884)),"","Error"),"")</f>
        <v/>
      </c>
      <c r="K880" s="136" t="str">
        <f>IF($Q882&lt;&gt;"",IF(AND($K882&lt;&gt;"",$K884&lt;&gt;""), IF(AND(AND($K882&gt;-1,$K884&gt;-1),OR($K882&gt;10,$K884&gt;10),ABS($K882-$K884)&gt;1,IF(OR($K882&gt;11,$K884&gt;11),ABS($K882-$K884)=2,TRUE),$K882=INT($K882),$K884=INT($K884)),"","Error"),""),"")</f>
        <v/>
      </c>
      <c r="L880" s="136" t="str">
        <f>IF($Q882&lt;&gt;"",IF(AND($L882&lt;&gt;"",$L884&lt;&gt;""), IF(AND(AND($L882&gt;-1,$L884&gt;-1),OR($L882&gt;10,$L884&gt;10),ABS($L882-$L884)&gt;1,IF(OR($L882&gt;11,$L884&gt;11),ABS($L882-$L884)=2,TRUE),$L882=INT($L882),$L884=INT($L884)),"","Error"),""),"")</f>
        <v/>
      </c>
      <c r="R880" s="1"/>
      <c r="S880" s="110"/>
      <c r="T880" s="110"/>
      <c r="U880" s="110"/>
      <c r="V880" s="110"/>
      <c r="W880" s="110"/>
      <c r="X880" s="111"/>
      <c r="Y880" s="111"/>
      <c r="Z880" s="111"/>
      <c r="AA880" s="111"/>
    </row>
    <row r="881" spans="1:32" ht="12.75" customHeight="1">
      <c r="A881" s="5" t="s">
        <v>1228</v>
      </c>
      <c r="B881" s="290" t="s">
        <v>1126</v>
      </c>
      <c r="C881" s="291"/>
      <c r="D881" s="291"/>
      <c r="E881" s="291"/>
      <c r="F881" s="291"/>
      <c r="G881" s="292"/>
      <c r="H881" s="5">
        <v>1</v>
      </c>
      <c r="I881" s="5">
        <v>2</v>
      </c>
      <c r="J881" s="5">
        <v>3</v>
      </c>
      <c r="K881" s="5">
        <v>4</v>
      </c>
      <c r="L881" s="5">
        <v>5</v>
      </c>
      <c r="M881" s="271"/>
      <c r="N881" s="272"/>
      <c r="O881" s="272"/>
      <c r="P881" s="273"/>
      <c r="R881" s="1"/>
      <c r="S881" s="110"/>
      <c r="T881" s="110"/>
      <c r="U881" s="110"/>
      <c r="V881" s="110"/>
      <c r="W881" s="110"/>
      <c r="X881" s="111"/>
      <c r="Y881" s="111"/>
      <c r="Z881" s="111"/>
      <c r="AA881" s="111"/>
    </row>
    <row r="882" spans="1:32" ht="12.75" customHeight="1">
      <c r="A882" s="300" t="str">
        <f>B876</f>
        <v>J</v>
      </c>
      <c r="B882" s="293" t="str">
        <f ca="1">IF(AND(OFFSET($AO$1,$C876-1,8,1,1),$A877&lt;&gt;"",$J877&lt;&gt;""),CHOOSE($C876,$AO$1,$AO$2,$AO$3,$AO$4,$AO$5,$AO$6,$AO$7,$AO$8,$AO$9,$AO$10,$AO$11,$AO$12),"")</f>
        <v/>
      </c>
      <c r="C882" s="294"/>
      <c r="D882" s="294"/>
      <c r="E882" s="294"/>
      <c r="F882" s="294"/>
      <c r="G882" s="294"/>
      <c r="H882" s="265"/>
      <c r="I882" s="265"/>
      <c r="J882" s="265"/>
      <c r="K882" s="265"/>
      <c r="L882" s="265"/>
      <c r="M882" s="297"/>
      <c r="N882" s="298"/>
      <c r="O882" s="298"/>
      <c r="P882" s="299"/>
      <c r="Q882" s="137" t="str">
        <f>IF($L882=$L884,IF($K882=$K884,IF($J882&lt;&gt;"",IF($J882&gt;$J884,"W","L"),""),IF($K882&gt;$K884,"W","L")),IF($L882&gt;$L884,"W","L"))</f>
        <v/>
      </c>
      <c r="R882" s="1"/>
      <c r="S882" s="110"/>
      <c r="T882" s="110"/>
      <c r="U882" s="110"/>
      <c r="V882" s="110"/>
      <c r="W882" s="110"/>
      <c r="X882" s="111"/>
      <c r="Y882" s="111"/>
      <c r="Z882" s="111"/>
      <c r="AA882" s="111"/>
    </row>
    <row r="883" spans="1:32" ht="12.75" customHeight="1">
      <c r="A883" s="301"/>
      <c r="B883" s="295"/>
      <c r="C883" s="296"/>
      <c r="D883" s="296"/>
      <c r="E883" s="296"/>
      <c r="F883" s="296"/>
      <c r="G883" s="296"/>
      <c r="H883" s="270"/>
      <c r="I883" s="270"/>
      <c r="J883" s="270"/>
      <c r="K883" s="270"/>
      <c r="L883" s="270"/>
      <c r="M883" s="297"/>
      <c r="N883" s="298"/>
      <c r="O883" s="298"/>
      <c r="P883" s="299"/>
      <c r="Q883" s="139" t="str">
        <f>IF($Q882&lt;&gt;"",IF($Q882="W",IF(SUM(IF($H882&gt;$H884,1,0),IF($I882&gt;$I884,1,0),IF($J882&gt;$J884,1,0),IF($K882&gt;$K884,1,0),IF($L882&gt;$L884,1,0))&lt;&gt;3,"Error",""),""),"")</f>
        <v/>
      </c>
      <c r="R883" s="328" t="str">
        <f>$A877</f>
        <v/>
      </c>
      <c r="S883" s="328"/>
      <c r="T883" s="328"/>
      <c r="U883" s="328"/>
      <c r="V883" s="328"/>
      <c r="W883" s="328"/>
      <c r="X883" s="256" t="str">
        <f>CONCATENATE("(",$B876," vs ",$K876,")")</f>
        <v>(J vs K)</v>
      </c>
      <c r="Y883" s="256"/>
      <c r="Z883" s="328" t="str">
        <f>$J877</f>
        <v/>
      </c>
      <c r="AA883" s="328"/>
      <c r="AB883" s="328"/>
      <c r="AC883" s="328"/>
      <c r="AD883" s="328"/>
      <c r="AE883" s="328"/>
      <c r="AF883" s="43"/>
    </row>
    <row r="884" spans="1:32" ht="12.75" customHeight="1">
      <c r="A884" s="300" t="str">
        <f>K876</f>
        <v>K</v>
      </c>
      <c r="B884" s="293" t="str">
        <f ca="1">IF(AND(OFFSET($AO$1,$L876-1,8,1,1),$A877&lt;&gt;"",$J877&lt;&gt;""),CHOOSE($L876,$AO$1,$AO$2,$AO$3,$AO$4,$AO$5,$AO$6,$AO$7,$AO$8,$AO$9,$AO$10,$AO$11,$AO$12),"")</f>
        <v/>
      </c>
      <c r="C884" s="294"/>
      <c r="D884" s="294"/>
      <c r="E884" s="294"/>
      <c r="F884" s="294"/>
      <c r="G884" s="294"/>
      <c r="H884" s="265"/>
      <c r="I884" s="265"/>
      <c r="J884" s="265"/>
      <c r="K884" s="265"/>
      <c r="L884" s="265"/>
      <c r="M884" s="267" t="s">
        <v>1237</v>
      </c>
      <c r="N884" s="268"/>
      <c r="O884" s="268"/>
      <c r="P884" s="269"/>
      <c r="Q884" s="137" t="str">
        <f>IF($Q882&lt;&gt;"",IF($Q882="W","L","W"),"")</f>
        <v/>
      </c>
      <c r="R884" s="43"/>
      <c r="S884" s="43"/>
      <c r="T884" s="43"/>
      <c r="U884" s="43"/>
      <c r="V884" s="43"/>
      <c r="W884" s="43"/>
      <c r="X884" s="43"/>
      <c r="Y884" s="43"/>
      <c r="Z884" s="43"/>
      <c r="AA884" s="43"/>
      <c r="AB884" s="43"/>
      <c r="AC884" s="43"/>
      <c r="AD884" s="43"/>
      <c r="AE884" s="43"/>
      <c r="AF884" s="43"/>
    </row>
    <row r="885" spans="1:32" ht="12.75" customHeight="1">
      <c r="A885" s="301"/>
      <c r="B885" s="295"/>
      <c r="C885" s="296"/>
      <c r="D885" s="296"/>
      <c r="E885" s="296"/>
      <c r="F885" s="296"/>
      <c r="G885" s="296"/>
      <c r="H885" s="270"/>
      <c r="I885" s="270"/>
      <c r="J885" s="266"/>
      <c r="K885" s="266"/>
      <c r="L885" s="266"/>
      <c r="M885" s="267"/>
      <c r="N885" s="268"/>
      <c r="O885" s="268"/>
      <c r="P885" s="269"/>
      <c r="Q885" s="139" t="str">
        <f>IF($Q884&lt;&gt;"",IF($Q884="W",IF(SUM(IF($H884&gt;$H882,1,0),IF($I884&gt;$I882,1,0),IF($J884&gt;$J882,1,0),IF($K884&gt;$K882,1,0),IF($L884&gt;$L882,1,0))&lt;&gt;3,"Error",""),""),"")</f>
        <v/>
      </c>
      <c r="R885" s="43" t="str">
        <f>$A887</f>
        <v>2nd Singles</v>
      </c>
      <c r="S885" s="43"/>
      <c r="T885" s="43"/>
      <c r="U885" s="43"/>
      <c r="V885" s="43"/>
      <c r="W885" s="43"/>
      <c r="X885" s="43"/>
      <c r="Y885" s="43"/>
      <c r="Z885" s="43"/>
      <c r="AA885" s="43"/>
      <c r="AB885" s="43"/>
      <c r="AC885" s="43"/>
      <c r="AD885" s="43"/>
      <c r="AE885" s="43"/>
      <c r="AF885" s="43"/>
    </row>
    <row r="886" spans="1:32" ht="12.75" customHeight="1">
      <c r="Q886" s="7"/>
      <c r="R886" s="60" t="s">
        <v>1228</v>
      </c>
      <c r="S886" s="339" t="s">
        <v>1126</v>
      </c>
      <c r="T886" s="340"/>
      <c r="U886" s="340"/>
      <c r="V886" s="340"/>
      <c r="W886" s="340"/>
      <c r="X886" s="341"/>
      <c r="Y886" s="60">
        <v>1</v>
      </c>
      <c r="Z886" s="60">
        <v>2</v>
      </c>
      <c r="AA886" s="60">
        <v>3</v>
      </c>
      <c r="AB886" s="60">
        <v>4</v>
      </c>
      <c r="AC886" s="60">
        <v>5</v>
      </c>
      <c r="AD886" s="342"/>
      <c r="AE886" s="343"/>
      <c r="AF886" s="344"/>
    </row>
    <row r="887" spans="1:32" ht="12.75" customHeight="1">
      <c r="A887" s="21" t="s">
        <v>1234</v>
      </c>
      <c r="H887" s="136" t="str">
        <f>IF($Q889&lt;&gt;"",IF(AND(AND($H889&gt;-1,$H891&gt;-1),OR($H889&gt;10,$H891&gt;10),ABS($H889-$H891)&gt;1,IF(OR($H889&gt;11,$H891&gt;11),ABS($H889-$H891)=2,TRUE),$H889=INT($H889),$H891=INT($H891)),"","Error"),"")</f>
        <v/>
      </c>
      <c r="I887" s="136" t="str">
        <f>IF($Q889&lt;&gt;"",IF(AND(AND($I889&gt;-1,$I891&gt;-1),OR($I889&gt;10,$I891&gt;10),ABS($I889-$I891)&gt;1,IF(OR($I889&gt;11,$I891&gt;11),ABS($I889-$I891)=2,TRUE),$I889=INT($I889),$I891=INT($I891)),"","Error"),"")</f>
        <v/>
      </c>
      <c r="J887" s="136" t="str">
        <f>IF($Q889&lt;&gt;"",IF(AND(AND($J889&gt;-1,$J891&gt;-1),OR($J889&gt;10,$J891&gt;10),ABS($J889-$J891)&gt;1,IF(OR($J889&gt;11,$J891&gt;11),ABS($J889-$J891)=2,TRUE),$J889=INT($J889),$J891=INT($J891)),"","Error"),"")</f>
        <v/>
      </c>
      <c r="K887" s="136" t="str">
        <f>IF($Q889&lt;&gt;"",IF(AND($K889&lt;&gt;"",$K891&lt;&gt;""), IF(AND(AND($K889&gt;-1,$K891&gt;-1),OR($K889&gt;10,$K891&gt;10),ABS($K889-$K891)&gt;1,IF(OR($K889&gt;11,$K891&gt;11),ABS($K889-$K891)=2,TRUE),$K889=INT($K889),$K891=INT($K891)),"","Error"),""),"")</f>
        <v/>
      </c>
      <c r="L887" s="136" t="str">
        <f>IF($Q889&lt;&gt;"",IF(AND($L889&lt;&gt;"",$L891&lt;&gt;""), IF(AND(AND($L889&gt;-1,$L891&gt;-1),OR($L889&gt;10,$L891&gt;10),ABS($L889-$L891)&gt;1,IF(OR($L889&gt;11,$L891&gt;11),ABS($L889-$L891)=2,TRUE),$L889=INT($L889),$L891=INT($L891)),"","Error"),""),"")</f>
        <v/>
      </c>
      <c r="Q887" s="7"/>
      <c r="R887" s="300" t="str">
        <f>$B876</f>
        <v>J</v>
      </c>
      <c r="S887" s="331" t="str">
        <f ca="1">IF($B889&lt;&gt;"",$B889,"")</f>
        <v/>
      </c>
      <c r="T887" s="332"/>
      <c r="U887" s="332"/>
      <c r="V887" s="332"/>
      <c r="W887" s="332"/>
      <c r="X887" s="333"/>
      <c r="Y887" s="329"/>
      <c r="Z887" s="329"/>
      <c r="AA887" s="329"/>
      <c r="AB887" s="329"/>
      <c r="AC887" s="329"/>
      <c r="AD887" s="345"/>
      <c r="AE887" s="358"/>
      <c r="AF887" s="359"/>
    </row>
    <row r="888" spans="1:32" ht="12.75" customHeight="1">
      <c r="A888" s="5" t="s">
        <v>1228</v>
      </c>
      <c r="B888" s="290" t="s">
        <v>1126</v>
      </c>
      <c r="C888" s="291"/>
      <c r="D888" s="291"/>
      <c r="E888" s="291"/>
      <c r="F888" s="291"/>
      <c r="G888" s="292"/>
      <c r="H888" s="5">
        <v>1</v>
      </c>
      <c r="I888" s="5">
        <v>2</v>
      </c>
      <c r="J888" s="5">
        <v>3</v>
      </c>
      <c r="K888" s="5">
        <v>4</v>
      </c>
      <c r="L888" s="5">
        <v>5</v>
      </c>
      <c r="M888" s="271"/>
      <c r="N888" s="272"/>
      <c r="O888" s="272"/>
      <c r="P888" s="273"/>
      <c r="Q888" s="7"/>
      <c r="R888" s="330"/>
      <c r="S888" s="334"/>
      <c r="T888" s="335"/>
      <c r="U888" s="335"/>
      <c r="V888" s="335"/>
      <c r="W888" s="335"/>
      <c r="X888" s="336"/>
      <c r="Y888" s="330"/>
      <c r="Z888" s="330"/>
      <c r="AA888" s="330"/>
      <c r="AB888" s="330"/>
      <c r="AC888" s="330"/>
      <c r="AD888" s="360"/>
      <c r="AE888" s="361"/>
      <c r="AF888" s="362"/>
    </row>
    <row r="889" spans="1:32" ht="12.75" customHeight="1">
      <c r="A889" s="300" t="str">
        <f>B876</f>
        <v>J</v>
      </c>
      <c r="B889" s="293" t="str">
        <f ca="1">IF(AND(OFFSET($AO$1,$C876-1,8,1,1),$A877&lt;&gt;"",$J877&lt;&gt;""),CHOOSE($C876,$AP$1,$AP$2,$AP$3,$AP$4,$AP$5,$AP$6,$AP$7,$AP$8,$AP$9,$AP$10,$AP$11,$AP$12),"")</f>
        <v/>
      </c>
      <c r="C889" s="294"/>
      <c r="D889" s="294"/>
      <c r="E889" s="294"/>
      <c r="F889" s="294"/>
      <c r="G889" s="294"/>
      <c r="H889" s="265"/>
      <c r="I889" s="265"/>
      <c r="J889" s="265"/>
      <c r="K889" s="265"/>
      <c r="L889" s="265"/>
      <c r="M889" s="262" t="str">
        <f ca="1">IF(OR(AND($B882&lt;&gt;"",$B889&lt;&gt;"",$C907&lt;=$B907),AND($B884&lt;&gt;"",$B891&lt;&gt;"",$G907&lt;=$F907)),"Invalid Lineup","")</f>
        <v/>
      </c>
      <c r="N889" s="263"/>
      <c r="O889" s="263"/>
      <c r="P889" s="264"/>
      <c r="Q889" s="137" t="str">
        <f>IF($L889=$L891,IF($K889=$K891,IF($J889&lt;&gt;"",IF($J889&gt;$J891,"W","L"),""),IF($K889&gt;$K891,"W","L")),IF($L889&gt;$L891,"W","L"))</f>
        <v/>
      </c>
      <c r="R889" s="300" t="str">
        <f>$K876</f>
        <v>K</v>
      </c>
      <c r="S889" s="331" t="str">
        <f ca="1">IF($B891&lt;&gt;"",$B891,"")</f>
        <v/>
      </c>
      <c r="T889" s="332"/>
      <c r="U889" s="332"/>
      <c r="V889" s="332"/>
      <c r="W889" s="332"/>
      <c r="X889" s="333"/>
      <c r="Y889" s="329"/>
      <c r="Z889" s="329"/>
      <c r="AA889" s="329"/>
      <c r="AB889" s="329"/>
      <c r="AC889" s="351"/>
      <c r="AD889" s="363" t="s">
        <v>1237</v>
      </c>
      <c r="AE889" s="358"/>
      <c r="AF889" s="359"/>
    </row>
    <row r="890" spans="1:32" ht="12.75" customHeight="1">
      <c r="A890" s="301"/>
      <c r="B890" s="295"/>
      <c r="C890" s="296"/>
      <c r="D890" s="296"/>
      <c r="E890" s="296"/>
      <c r="F890" s="296"/>
      <c r="G890" s="296"/>
      <c r="H890" s="270"/>
      <c r="I890" s="270"/>
      <c r="J890" s="270"/>
      <c r="K890" s="270"/>
      <c r="L890" s="270"/>
      <c r="M890" s="262"/>
      <c r="N890" s="263"/>
      <c r="O890" s="263"/>
      <c r="P890" s="264"/>
      <c r="Q890" s="139" t="str">
        <f>IF($Q889&lt;&gt;"",IF($Q889="W",IF(SUM(IF($H889&gt;$H891,1,0),IF($I889&gt;$I891,1,0),IF($J889&gt;$J891,1,0),IF($K889&gt;$K891,1,0),IF($L889&gt;$L891,1,0))&lt;&gt;3,"Error",""),""),"")</f>
        <v/>
      </c>
      <c r="R890" s="330"/>
      <c r="S890" s="334"/>
      <c r="T890" s="335"/>
      <c r="U890" s="335"/>
      <c r="V890" s="335"/>
      <c r="W890" s="335"/>
      <c r="X890" s="336"/>
      <c r="Y890" s="330"/>
      <c r="Z890" s="330"/>
      <c r="AA890" s="330"/>
      <c r="AB890" s="330"/>
      <c r="AC890" s="330"/>
      <c r="AD890" s="360"/>
      <c r="AE890" s="361"/>
      <c r="AF890" s="362"/>
    </row>
    <row r="891" spans="1:32" ht="12.75" customHeight="1">
      <c r="A891" s="300" t="str">
        <f>K876</f>
        <v>K</v>
      </c>
      <c r="B891" s="293" t="str">
        <f ca="1">IF(AND(OFFSET($AO$1,$L876-1,8,1,1),$A877&lt;&gt;"",$J877&lt;&gt;""),CHOOSE($L876,$AP$1,$AP$2,$AP$3,$AP$4,$AP$5,$AP$6,$AP$7,$AP$8,$AP$9,$AP$10,$AP$11,$AP$12),"")</f>
        <v/>
      </c>
      <c r="C891" s="294"/>
      <c r="D891" s="294"/>
      <c r="E891" s="294"/>
      <c r="F891" s="294"/>
      <c r="G891" s="294"/>
      <c r="H891" s="265"/>
      <c r="I891" s="265"/>
      <c r="J891" s="265"/>
      <c r="K891" s="265"/>
      <c r="L891" s="265"/>
      <c r="M891" s="267" t="s">
        <v>1237</v>
      </c>
      <c r="N891" s="268"/>
      <c r="O891" s="268"/>
      <c r="P891" s="269"/>
      <c r="Q891" s="137" t="str">
        <f>IF($Q889&lt;&gt;"",IF($Q889="W","L","W"),"")</f>
        <v/>
      </c>
      <c r="R891" s="20"/>
      <c r="S891" s="20"/>
      <c r="T891" s="20"/>
      <c r="U891" s="20"/>
      <c r="V891" s="20"/>
      <c r="W891" s="20"/>
      <c r="X891" s="26"/>
      <c r="Y891" s="26"/>
      <c r="Z891" s="20"/>
      <c r="AA891" s="20"/>
      <c r="AB891" s="20"/>
      <c r="AC891" s="20"/>
      <c r="AD891" s="20"/>
      <c r="AE891" s="20"/>
      <c r="AF891" s="27"/>
    </row>
    <row r="892" spans="1:32" ht="12.75" customHeight="1">
      <c r="A892" s="301"/>
      <c r="B892" s="295"/>
      <c r="C892" s="296"/>
      <c r="D892" s="296"/>
      <c r="E892" s="296"/>
      <c r="F892" s="296"/>
      <c r="G892" s="296"/>
      <c r="H892" s="270"/>
      <c r="I892" s="270"/>
      <c r="J892" s="266"/>
      <c r="K892" s="266"/>
      <c r="L892" s="266"/>
      <c r="M892" s="267"/>
      <c r="N892" s="268"/>
      <c r="O892" s="268"/>
      <c r="P892" s="269"/>
      <c r="Q892" s="139" t="str">
        <f>IF($Q891&lt;&gt;"",IF($Q891="W",IF(SUM(IF($H891&gt;$H889,1,0),IF($I891&gt;$I889,1,0),IF($J891&gt;$J889,1,0),IF($K891&gt;$K889,1,0),IF($L891&gt;$L889,1,0))&lt;&gt;3,"Error",""),""),"")</f>
        <v/>
      </c>
      <c r="R892" s="20"/>
      <c r="S892" s="20"/>
      <c r="T892" s="20"/>
      <c r="U892" s="20"/>
      <c r="V892" s="20"/>
      <c r="W892" s="20"/>
      <c r="X892" s="26"/>
      <c r="Y892" s="26"/>
      <c r="Z892" s="20"/>
      <c r="AA892" s="20"/>
      <c r="AB892" s="20"/>
      <c r="AC892" s="20"/>
      <c r="AD892" s="20"/>
      <c r="AE892" s="20"/>
      <c r="AF892" s="27"/>
    </row>
    <row r="893" spans="1:32" ht="12.75" customHeight="1">
      <c r="Q893" s="7"/>
      <c r="R893" s="20"/>
      <c r="S893" s="20"/>
      <c r="T893" s="20"/>
      <c r="U893" s="20"/>
      <c r="V893" s="20"/>
      <c r="W893" s="20"/>
      <c r="X893" s="26"/>
      <c r="Y893" s="26"/>
      <c r="Z893" s="20"/>
      <c r="AA893" s="20"/>
      <c r="AB893" s="20"/>
      <c r="AC893" s="20"/>
      <c r="AD893" s="20"/>
      <c r="AE893" s="20"/>
      <c r="AF893" s="27"/>
    </row>
    <row r="894" spans="1:32" ht="12.75" customHeight="1">
      <c r="A894" s="21" t="s">
        <v>1235</v>
      </c>
      <c r="H894" s="136" t="str">
        <f>IF($Q896&lt;&gt;"",IF(AND(AND($H896&gt;-1,$H898&gt;-1),OR($H896&gt;10,$H898&gt;10),ABS($H896-$H898)&gt;1,IF(OR($H896&gt;11,$H898&gt;11),ABS($H896-$H898)=2,TRUE),$H896=INT($H896),$H898=INT($H898)),"","Error"),"")</f>
        <v/>
      </c>
      <c r="I894" s="136" t="str">
        <f>IF($Q896&lt;&gt;"",IF(AND(AND($I896&gt;-1,$I898&gt;-1),OR($I896&gt;10,$I898&gt;10),ABS($I896-$I898)&gt;1,IF(OR($I896&gt;11,$I898&gt;11),ABS($I896-$I898)=2,TRUE),$I896=INT($I896),$I898=INT($I898)),"","Error"),"")</f>
        <v/>
      </c>
      <c r="J894" s="136" t="str">
        <f>IF($Q896&lt;&gt;"",IF(AND(AND($J896&gt;-1,$J898&gt;-1),OR($J896&gt;10,$J898&gt;10),ABS($J896-$J898)&gt;1,IF(OR($J896&gt;11,$J898&gt;11),ABS($J896-$J898)=2,TRUE),$J896=INT($J896),$J898=INT($J898)),"","Error"),"")</f>
        <v/>
      </c>
      <c r="K894" s="136" t="str">
        <f>IF($Q896&lt;&gt;"",IF(AND($K896&lt;&gt;"",$K898&lt;&gt;""), IF(AND(AND($K896&gt;-1,$K898&gt;-1),OR($K896&gt;10,$K898&gt;10),ABS($K896-$K898)&gt;1,IF(OR($K896&gt;11,$K898&gt;11),ABS($K896-$K898)=2,TRUE),$K896=INT($K896),$K898=INT($K898)),"","Error"),""),"")</f>
        <v/>
      </c>
      <c r="L894" s="136" t="str">
        <f>IF($Q896&lt;&gt;"",IF(AND($L896&lt;&gt;"",$L898&lt;&gt;""), IF(AND(AND($L896&gt;-1,$L898&gt;-1),OR($L896&gt;10,$L898&gt;10),ABS($L896-$L898)&gt;1,IF(OR($L896&gt;11,$L898&gt;11),ABS($L896-$L898)=2,TRUE),$L896=INT($L896),$L898=INT($L898)),"","Error"),""),"")</f>
        <v/>
      </c>
      <c r="Q894" s="7"/>
      <c r="R894" s="20"/>
      <c r="S894" s="20"/>
      <c r="T894" s="20"/>
      <c r="U894" s="20"/>
      <c r="V894" s="20"/>
      <c r="W894" s="20"/>
      <c r="X894" s="26"/>
      <c r="Y894" s="26"/>
      <c r="Z894" s="20"/>
      <c r="AA894" s="20"/>
      <c r="AB894" s="20"/>
      <c r="AC894" s="20"/>
      <c r="AD894" s="20"/>
      <c r="AE894" s="20"/>
      <c r="AF894" s="27"/>
    </row>
    <row r="895" spans="1:32" ht="12.75" customHeight="1">
      <c r="A895" s="5" t="s">
        <v>1228</v>
      </c>
      <c r="B895" s="290" t="s">
        <v>1126</v>
      </c>
      <c r="C895" s="291"/>
      <c r="D895" s="291"/>
      <c r="E895" s="291"/>
      <c r="F895" s="291"/>
      <c r="G895" s="292"/>
      <c r="H895" s="5">
        <v>1</v>
      </c>
      <c r="I895" s="5">
        <v>2</v>
      </c>
      <c r="J895" s="5">
        <v>3</v>
      </c>
      <c r="K895" s="5">
        <v>4</v>
      </c>
      <c r="L895" s="5">
        <v>5</v>
      </c>
      <c r="M895" s="271"/>
      <c r="N895" s="272"/>
      <c r="O895" s="272"/>
      <c r="P895" s="273"/>
      <c r="Q895" s="7"/>
      <c r="R895" s="20"/>
      <c r="S895" s="20"/>
      <c r="T895" s="20"/>
      <c r="U895" s="20"/>
      <c r="V895" s="20"/>
      <c r="W895" s="20"/>
      <c r="X895" s="26"/>
      <c r="Y895" s="26"/>
      <c r="Z895" s="20"/>
      <c r="AA895" s="20"/>
      <c r="AB895" s="20"/>
      <c r="AC895" s="20"/>
      <c r="AD895" s="20"/>
      <c r="AE895" s="20"/>
      <c r="AF895" s="27"/>
    </row>
    <row r="896" spans="1:32" ht="12.75" customHeight="1">
      <c r="A896" s="300" t="str">
        <f>B876</f>
        <v>J</v>
      </c>
      <c r="B896" s="293" t="str">
        <f ca="1">IF(AND(OFFSET($AO$1,$C876-1,8,1,1),$A877&lt;&gt;"",$J877&lt;&gt;""),CHOOSE($C876,$AQ$1,$AQ$2,$AQ$3,$AQ$4,$AQ$5,$AQ$6,$AQ$7,$AQ$8,$AQ$9,$AQ$10,$AQ$11,$AQ$12),"")</f>
        <v/>
      </c>
      <c r="C896" s="294"/>
      <c r="D896" s="294"/>
      <c r="E896" s="294"/>
      <c r="F896" s="294"/>
      <c r="G896" s="294"/>
      <c r="H896" s="265"/>
      <c r="I896" s="265"/>
      <c r="J896" s="265"/>
      <c r="K896" s="265"/>
      <c r="L896" s="265"/>
      <c r="M896" s="262" t="str">
        <f ca="1">IF(OR(AND($B889&lt;&gt;"",$B896&lt;&gt;"",$D907&lt;=$C907),AND($B891&lt;&gt;"",$B898&lt;&gt;"",$H907&lt;=$G907)),"Invalid Lineup","")</f>
        <v/>
      </c>
      <c r="N896" s="263"/>
      <c r="O896" s="263"/>
      <c r="P896" s="264"/>
      <c r="Q896" s="137" t="str">
        <f>IF($L896=$L898,IF($K896=$K898,IF($J896&lt;&gt;"",IF($J896&gt;$J898,"W","L"),""),IF($K896&gt;$K898,"W","L")),IF($L896&gt;$L898,"W","L"))</f>
        <v/>
      </c>
      <c r="R896" s="20"/>
      <c r="S896" s="20"/>
      <c r="T896" s="20"/>
      <c r="U896" s="20"/>
      <c r="V896" s="20"/>
      <c r="W896" s="20"/>
      <c r="X896" s="26"/>
      <c r="Y896" s="26"/>
      <c r="Z896" s="20"/>
      <c r="AA896" s="20"/>
      <c r="AB896" s="20"/>
      <c r="AC896" s="20"/>
      <c r="AD896" s="20"/>
      <c r="AE896" s="20"/>
      <c r="AF896" s="27"/>
    </row>
    <row r="897" spans="1:32" ht="12.75" customHeight="1">
      <c r="A897" s="301"/>
      <c r="B897" s="295"/>
      <c r="C897" s="296"/>
      <c r="D897" s="296"/>
      <c r="E897" s="296"/>
      <c r="F897" s="296"/>
      <c r="G897" s="296"/>
      <c r="H897" s="270"/>
      <c r="I897" s="270"/>
      <c r="J897" s="270"/>
      <c r="K897" s="270"/>
      <c r="L897" s="270"/>
      <c r="M897" s="262"/>
      <c r="N897" s="263"/>
      <c r="O897" s="263"/>
      <c r="P897" s="264"/>
      <c r="Q897" s="139" t="str">
        <f>IF($Q896&lt;&gt;"",IF($Q896="W",IF(SUM(IF($H896&gt;$H898,1,0),IF($I896&gt;$I898,1,0),IF($J896&gt;$J898,1,0),IF($K896&gt;$K898,1,0),IF($L896&gt;$L898,1,0))&lt;&gt;3,"Error",""),""),"")</f>
        <v/>
      </c>
      <c r="R897" s="328" t="str">
        <f>$A877</f>
        <v/>
      </c>
      <c r="S897" s="328"/>
      <c r="T897" s="328"/>
      <c r="U897" s="328"/>
      <c r="V897" s="328"/>
      <c r="W897" s="328"/>
      <c r="X897" s="256" t="str">
        <f>CONCATENATE("(",$B876," vs ",$K876,")")</f>
        <v>(J vs K)</v>
      </c>
      <c r="Y897" s="256"/>
      <c r="Z897" s="328" t="str">
        <f>$J877</f>
        <v/>
      </c>
      <c r="AA897" s="328"/>
      <c r="AB897" s="328"/>
      <c r="AC897" s="328"/>
      <c r="AD897" s="328"/>
      <c r="AE897" s="328"/>
      <c r="AF897" s="100"/>
    </row>
    <row r="898" spans="1:32" ht="12.75" customHeight="1">
      <c r="A898" s="300" t="str">
        <f>K876</f>
        <v>K</v>
      </c>
      <c r="B898" s="293" t="str">
        <f ca="1">IF(AND(OFFSET($AO$1,$L876-1,8,1,1),$A877&lt;&gt;"",$J877&lt;&gt;""),CHOOSE($L876,$AQ$1,$AQ$2,$AQ$3,$AQ$4,$AQ$5,$AQ$6,$AQ$7,$AQ$8,$AQ$9,$AQ$10,$AQ$11,$AQ$12),"")</f>
        <v/>
      </c>
      <c r="C898" s="294"/>
      <c r="D898" s="294"/>
      <c r="E898" s="294"/>
      <c r="F898" s="294"/>
      <c r="G898" s="294"/>
      <c r="H898" s="265"/>
      <c r="I898" s="265"/>
      <c r="J898" s="265"/>
      <c r="K898" s="265"/>
      <c r="L898" s="265"/>
      <c r="M898" s="267" t="s">
        <v>1237</v>
      </c>
      <c r="N898" s="268"/>
      <c r="O898" s="268"/>
      <c r="P898" s="269"/>
      <c r="Q898" s="137" t="str">
        <f>IF($Q896&lt;&gt;"",IF($Q896="W","L","W"),"")</f>
        <v/>
      </c>
      <c r="R898" s="100"/>
      <c r="S898" s="100"/>
      <c r="T898" s="100"/>
      <c r="U898" s="100"/>
      <c r="V898" s="100"/>
      <c r="W898" s="100"/>
      <c r="X898" s="100"/>
      <c r="Y898" s="100"/>
      <c r="Z898" s="100"/>
      <c r="AA898" s="100"/>
      <c r="AB898" s="100"/>
      <c r="AC898" s="100"/>
      <c r="AD898" s="100"/>
      <c r="AE898" s="100"/>
      <c r="AF898" s="100"/>
    </row>
    <row r="899" spans="1:32" ht="12.75" customHeight="1">
      <c r="A899" s="301"/>
      <c r="B899" s="295"/>
      <c r="C899" s="296"/>
      <c r="D899" s="296"/>
      <c r="E899" s="296"/>
      <c r="F899" s="296"/>
      <c r="G899" s="296"/>
      <c r="H899" s="270"/>
      <c r="I899" s="270"/>
      <c r="J899" s="266"/>
      <c r="K899" s="266"/>
      <c r="L899" s="266"/>
      <c r="M899" s="267"/>
      <c r="N899" s="268"/>
      <c r="O899" s="268"/>
      <c r="P899" s="269"/>
      <c r="Q899" s="139" t="str">
        <f>IF($Q898&lt;&gt;"",IF($Q898="W",IF(SUM(IF($H898&gt;$H896,1,0),IF($I898&gt;$I896,1,0),IF($J898&gt;$J896,1,0),IF($K898&gt;$K896,1,0),IF($L898&gt;$L896,1,0))&lt;&gt;3,"Error",""),""),"")</f>
        <v/>
      </c>
      <c r="R899" s="43" t="str">
        <f>$A894</f>
        <v>3rd Singles</v>
      </c>
      <c r="S899" s="43"/>
      <c r="T899" s="43"/>
      <c r="U899" s="43"/>
      <c r="V899" s="43"/>
      <c r="W899" s="43"/>
      <c r="X899" s="43"/>
      <c r="Y899" s="43"/>
      <c r="Z899" s="43"/>
      <c r="AA899" s="43"/>
      <c r="AB899" s="43"/>
      <c r="AC899" s="43"/>
      <c r="AD899" s="43"/>
      <c r="AE899" s="43"/>
      <c r="AF899" s="43"/>
    </row>
    <row r="900" spans="1:32" ht="12.75" customHeight="1">
      <c r="Q900" s="7"/>
      <c r="R900" s="60" t="s">
        <v>1228</v>
      </c>
      <c r="S900" s="101" t="s">
        <v>1126</v>
      </c>
      <c r="T900" s="102"/>
      <c r="U900" s="102"/>
      <c r="V900" s="102"/>
      <c r="W900" s="102"/>
      <c r="X900" s="103"/>
      <c r="Y900" s="60">
        <v>1</v>
      </c>
      <c r="Z900" s="60">
        <v>2</v>
      </c>
      <c r="AA900" s="60">
        <v>3</v>
      </c>
      <c r="AB900" s="60">
        <v>4</v>
      </c>
      <c r="AC900" s="60">
        <v>5</v>
      </c>
      <c r="AD900" s="104"/>
      <c r="AE900" s="105"/>
      <c r="AF900" s="106"/>
    </row>
    <row r="901" spans="1:32" ht="12.75" customHeight="1">
      <c r="A901" s="21" t="s">
        <v>1236</v>
      </c>
      <c r="H901" s="136" t="str">
        <f ca="1">IF($Q903&lt;&gt;"",IF(AND($B903&lt;&gt;"Missing Player",$B905&lt;&gt;"Missing Player"),IF(AND(AND($H903&gt;-1,$H905&gt;-1),OR($H903&gt;10,$H905&gt;10),ABS($H903-$H905)&gt;1,IF(OR($H903&gt;11,$H905&gt;11),ABS($H903-$H905)=2,TRUE),$H903=INT($H903),$H905=INT($H905)),"","Error"),""),"")</f>
        <v/>
      </c>
      <c r="I901" s="136" t="str">
        <f ca="1">IF($Q903&lt;&gt;"",IF(AND($B903&lt;&gt;"Missing Player",$B905&lt;&gt;"Missing Player"),IF(AND(AND($I903&gt;-1,$I905&gt;-1),OR($I903&gt;10,$I905&gt;10),ABS($I903-$I905)&gt;1,IF(OR($I903&gt;11,$I905&gt;11),ABS($I903-$I905)=2,TRUE),$I903=INT($I903),$I905=INT($I905)),"","Error"),""),"")</f>
        <v/>
      </c>
      <c r="J901" s="136" t="str">
        <f ca="1">IF($Q903&lt;&gt;"",IF(AND($B903&lt;&gt;"Missing Player",$B905&lt;&gt;"Missing Player"),IF(AND(AND($J903&gt;-1,$J905&gt;-1),OR($J903&gt;10,$J905&gt;10),ABS($J903-$J905)&gt;1,IF(OR($J903&gt;11,$J905&gt;11),ABS($J903-$J905)=2,TRUE),$J903=INT($J903),$J905=INT($J905)),"","Error"),""),"")</f>
        <v/>
      </c>
      <c r="K901" s="136" t="str">
        <f ca="1">IF($Q903&lt;&gt;"",IF(AND($K903&lt;&gt;"",$K905&lt;&gt;""), IF(AND(AND($K903&gt;-1,$K905&gt;-1),OR($K903&gt;10,$K905&gt;10),ABS($K903-$K905)&gt;1,IF(OR($K903&gt;11,$K905&gt;11),ABS($K903-$K905)=2,TRUE),$K903=INT($K903),$K905=INT($K905)),"","Error"),""),"")</f>
        <v/>
      </c>
      <c r="L901" s="136" t="str">
        <f ca="1">IF($Q903&lt;&gt;"",IF(AND($L903&lt;&gt;"",$L905&lt;&gt;""), IF(AND(AND($L903&gt;-1,$L905&gt;-1),OR($L903&gt;10,$L905&gt;10),ABS($L903-$L905)&gt;1,IF(OR($L903&gt;11,$L905&gt;11),ABS($L903-$L905)=2,TRUE),$L903=INT($L903),$L905=INT($L905)),"","Error"),""),"")</f>
        <v/>
      </c>
      <c r="Q901" s="7"/>
      <c r="R901" s="300" t="str">
        <f>$B876</f>
        <v>J</v>
      </c>
      <c r="S901" s="331" t="str">
        <f ca="1">IF($B896&lt;&gt;"",$B896,"")</f>
        <v/>
      </c>
      <c r="T901" s="332"/>
      <c r="U901" s="332"/>
      <c r="V901" s="332"/>
      <c r="W901" s="332"/>
      <c r="X901" s="333"/>
      <c r="Y901" s="329"/>
      <c r="Z901" s="329"/>
      <c r="AA901" s="329"/>
      <c r="AB901" s="329"/>
      <c r="AC901" s="329"/>
      <c r="AD901" s="345"/>
      <c r="AE901" s="358"/>
      <c r="AF901" s="359"/>
    </row>
    <row r="902" spans="1:32" ht="12.75" customHeight="1">
      <c r="A902" s="5" t="s">
        <v>1228</v>
      </c>
      <c r="B902" s="290" t="s">
        <v>1126</v>
      </c>
      <c r="C902" s="291"/>
      <c r="D902" s="291"/>
      <c r="E902" s="291"/>
      <c r="F902" s="291"/>
      <c r="G902" s="292"/>
      <c r="H902" s="5">
        <v>1</v>
      </c>
      <c r="I902" s="5">
        <v>2</v>
      </c>
      <c r="J902" s="5">
        <v>3</v>
      </c>
      <c r="K902" s="5">
        <v>4</v>
      </c>
      <c r="L902" s="5">
        <v>5</v>
      </c>
      <c r="M902" s="271"/>
      <c r="N902" s="272"/>
      <c r="O902" s="272"/>
      <c r="P902" s="273"/>
      <c r="Q902" s="7"/>
      <c r="R902" s="330"/>
      <c r="S902" s="334"/>
      <c r="T902" s="335"/>
      <c r="U902" s="335"/>
      <c r="V902" s="335"/>
      <c r="W902" s="335"/>
      <c r="X902" s="336"/>
      <c r="Y902" s="330"/>
      <c r="Z902" s="330"/>
      <c r="AA902" s="330"/>
      <c r="AB902" s="330"/>
      <c r="AC902" s="330"/>
      <c r="AD902" s="360"/>
      <c r="AE902" s="361"/>
      <c r="AF902" s="362"/>
    </row>
    <row r="903" spans="1:32" ht="12.75" customHeight="1">
      <c r="A903" s="300" t="str">
        <f>B876</f>
        <v>J</v>
      </c>
      <c r="B903" s="293" t="str">
        <f ca="1">IF(AND(OFFSET($AO$1,$C876-1,8,1,1),$A877&lt;&gt;"",$J877&lt;&gt;""),CHOOSE($C876,$AR$1,$AR$2,$AR$3,$AR$4,$AR$5,$AR$6,$AR$7,$AR$8,$AR$9,$AR$10,$AR$11,$AR$12),"")</f>
        <v/>
      </c>
      <c r="C903" s="294"/>
      <c r="D903" s="294"/>
      <c r="E903" s="294"/>
      <c r="F903" s="294"/>
      <c r="G903" s="294"/>
      <c r="H903" s="265"/>
      <c r="I903" s="265"/>
      <c r="J903" s="265"/>
      <c r="K903" s="265"/>
      <c r="L903" s="265" t="str">
        <f ca="1">IF(AND($B903&lt;&gt;"",$Q882&lt;&gt;""),IF($B903="Missing Player",0,IF($B905="Missing Player",11,"")),"")</f>
        <v/>
      </c>
      <c r="M903" s="262" t="str">
        <f ca="1">IF(OR(AND($B896&lt;&gt;"",$B903&lt;&gt;"",$E907&lt;=$D907),AND($B898&lt;&gt;"",$B905&lt;&gt;"",$I907&lt;=$H907)),"Invalid Lineup","")</f>
        <v/>
      </c>
      <c r="N903" s="263"/>
      <c r="O903" s="263"/>
      <c r="P903" s="264"/>
      <c r="Q903" s="137" t="str">
        <f ca="1">IF($L903=$L905,IF($K903=$K905,IF($J903&lt;&gt;"",IF($J903&gt;$J905,"W","L"),""),IF($K903&gt;$K905,"W","L")),IF($L903&gt;$L905,"W","L"))</f>
        <v/>
      </c>
      <c r="R903" s="300" t="str">
        <f>$K876</f>
        <v>K</v>
      </c>
      <c r="S903" s="331" t="str">
        <f ca="1">IF($B898&lt;&gt;"",$B898,"")</f>
        <v/>
      </c>
      <c r="T903" s="332"/>
      <c r="U903" s="332"/>
      <c r="V903" s="332"/>
      <c r="W903" s="332"/>
      <c r="X903" s="333"/>
      <c r="Y903" s="329"/>
      <c r="Z903" s="329"/>
      <c r="AA903" s="329"/>
      <c r="AB903" s="329"/>
      <c r="AC903" s="351"/>
      <c r="AD903" s="363" t="s">
        <v>1237</v>
      </c>
      <c r="AE903" s="358"/>
      <c r="AF903" s="359"/>
    </row>
    <row r="904" spans="1:32" ht="12.75" customHeight="1">
      <c r="A904" s="301"/>
      <c r="B904" s="295"/>
      <c r="C904" s="296"/>
      <c r="D904" s="296"/>
      <c r="E904" s="296"/>
      <c r="F904" s="296"/>
      <c r="G904" s="296"/>
      <c r="H904" s="270"/>
      <c r="I904" s="270"/>
      <c r="J904" s="270"/>
      <c r="K904" s="270"/>
      <c r="L904" s="270"/>
      <c r="M904" s="262"/>
      <c r="N904" s="263"/>
      <c r="O904" s="263"/>
      <c r="P904" s="264"/>
      <c r="Q904" s="139" t="str">
        <f ca="1">IF($Q903&lt;&gt;"",IF($B905&lt;&gt;"Missing Player",IF($Q903="W",IF(SUM(IF($H903&gt;$H905,1,0),IF($I903&gt;$I905,1,0),IF($J903&gt;$J905,1,0),IF($K903&gt;$K905,1,0),IF($L903&gt;$L905,1,0))&lt;&gt;3,"Error",""),""),""),"")</f>
        <v/>
      </c>
      <c r="R904" s="330"/>
      <c r="S904" s="334"/>
      <c r="T904" s="335"/>
      <c r="U904" s="335"/>
      <c r="V904" s="335"/>
      <c r="W904" s="335"/>
      <c r="X904" s="336"/>
      <c r="Y904" s="330"/>
      <c r="Z904" s="330"/>
      <c r="AA904" s="330"/>
      <c r="AB904" s="330"/>
      <c r="AC904" s="330"/>
      <c r="AD904" s="360"/>
      <c r="AE904" s="361"/>
      <c r="AF904" s="362"/>
    </row>
    <row r="905" spans="1:32" ht="12.75" customHeight="1">
      <c r="A905" s="300" t="str">
        <f>K876</f>
        <v>K</v>
      </c>
      <c r="B905" s="293" t="str">
        <f ca="1">IF(AND(OFFSET($AO$1,$L876-1,8,1,1),$A877&lt;&gt;"",$J877&lt;&gt;""),CHOOSE($L876,$AR$1,$AR$2,$AR$3,$AR$4,$AR$5,$AR$6,$AR$7,$AR$8,$AR$9,$AR$10,$AR$11,$AR$12),"")</f>
        <v/>
      </c>
      <c r="C905" s="294"/>
      <c r="D905" s="294"/>
      <c r="E905" s="294"/>
      <c r="F905" s="294"/>
      <c r="G905" s="294"/>
      <c r="H905" s="265"/>
      <c r="I905" s="265"/>
      <c r="J905" s="265"/>
      <c r="K905" s="265"/>
      <c r="L905" s="265" t="str">
        <f ca="1">IF(AND($B905&lt;&gt;"",$Q882&lt;&gt;""),IF($B905="Missing Player",0,IF($B903="Missing Player",11,"")),"")</f>
        <v/>
      </c>
      <c r="M905" s="267" t="s">
        <v>1237</v>
      </c>
      <c r="N905" s="268"/>
      <c r="O905" s="268"/>
      <c r="P905" s="269"/>
      <c r="Q905" s="137" t="str">
        <f ca="1">IF($Q903&lt;&gt;"",IF($Q903="W","L","W"),"")</f>
        <v/>
      </c>
      <c r="R905" s="112"/>
      <c r="S905" s="98"/>
      <c r="T905" s="108"/>
      <c r="U905" s="108"/>
      <c r="V905" s="108"/>
      <c r="W905" s="108"/>
      <c r="X905" s="108"/>
      <c r="Y905" s="113"/>
      <c r="Z905" s="113"/>
      <c r="AA905" s="113"/>
      <c r="AB905" s="113"/>
      <c r="AC905" s="113"/>
      <c r="AD905" s="107"/>
      <c r="AE905" s="109"/>
      <c r="AF905" s="109"/>
    </row>
    <row r="906" spans="1:32" ht="12.75" customHeight="1">
      <c r="A906" s="301"/>
      <c r="B906" s="295"/>
      <c r="C906" s="296"/>
      <c r="D906" s="296"/>
      <c r="E906" s="296"/>
      <c r="F906" s="296"/>
      <c r="G906" s="296"/>
      <c r="H906" s="270"/>
      <c r="I906" s="270"/>
      <c r="J906" s="266"/>
      <c r="K906" s="266"/>
      <c r="L906" s="266"/>
      <c r="M906" s="267"/>
      <c r="N906" s="268"/>
      <c r="O906" s="268"/>
      <c r="P906" s="269"/>
      <c r="Q906" s="139" t="str">
        <f ca="1">IF($Q905&lt;&gt;"",IF($B903&lt;&gt;"Missing Player",IF($Q905="W",IF(SUM(IF($H905&gt;$H903,1,0),IF($I905&gt;$I903,1,0),IF($J905&gt;$J903,1,0),IF($K905&gt;$K903,1,0),IF($L905&gt;$L903,1,0))&lt;&gt;3,"Error",""),""),""),"")</f>
        <v/>
      </c>
      <c r="R906" s="114"/>
      <c r="S906" s="115"/>
      <c r="T906" s="115"/>
      <c r="U906" s="115"/>
      <c r="V906" s="115"/>
      <c r="W906" s="115"/>
      <c r="X906" s="115"/>
      <c r="Y906" s="114"/>
      <c r="Z906" s="114"/>
      <c r="AA906" s="114"/>
      <c r="AB906" s="114"/>
      <c r="AC906" s="114"/>
      <c r="AD906" s="114"/>
      <c r="AE906" s="114"/>
      <c r="AF906" s="114"/>
    </row>
    <row r="907" spans="1:32" ht="12.75" customHeight="1">
      <c r="B907" s="140" t="str">
        <f ca="1">IF(ISERROR(VLOOKUP($B882&amp;"("&amp;$B876&amp;")",Players!$S$4:$T$132,2,FALSE)),"",VLOOKUP($B882&amp;"("&amp;$B876&amp;")",Players!$S$4:$T$132,2,FALSE))</f>
        <v>J1</v>
      </c>
      <c r="C907" s="140" t="str">
        <f ca="1">IF(ISERROR(VLOOKUP($B889&amp;"("&amp;$B876&amp;")",Players!$S$4:$T$132,2,FALSE)),"",VLOOKUP($B889&amp;"("&amp;$B876&amp;")",Players!$S$4:$T$132,2,FALSE))</f>
        <v>J1</v>
      </c>
      <c r="D907" s="141" t="str">
        <f ca="1">IF(ISERROR(VLOOKUP($B896&amp;"("&amp;$B876&amp;")",Players!$S$4:$T$132,2,FALSE)),"",VLOOKUP($B896&amp;"("&amp;$B876&amp;")",Players!$S$4:$T$132,2,FALSE))</f>
        <v>J1</v>
      </c>
      <c r="E907" s="141" t="str">
        <f ca="1">IF(ISERROR(VLOOKUP($B903&amp;"("&amp;$B876&amp;")",Players!$S$4:$T$132,2,FALSE)),"",VLOOKUP($B903&amp;"("&amp;$B876&amp;")",Players!$S$4:$T$132,2,FALSE))</f>
        <v>J1</v>
      </c>
      <c r="F907" s="141" t="str">
        <f ca="1">IF(ISERROR(VLOOKUP($B884&amp;"("&amp;$K876&amp;")",Players!$S$4:$T$132,2,FALSE)),"",VLOOKUP($B884&amp;"("&amp;$K876&amp;")",Players!$S$4:$T$132,2,FALSE))</f>
        <v>K1</v>
      </c>
      <c r="G907" s="141" t="str">
        <f ca="1">IF(ISERROR(VLOOKUP($B891&amp;"("&amp;$K876&amp;")",Players!$S$4:$T$132,2,FALSE)),"",VLOOKUP($B891&amp;"("&amp;$K876&amp;")",Players!$S$4:$T$132,2,FALSE))</f>
        <v>K1</v>
      </c>
      <c r="H907" s="141" t="str">
        <f ca="1">IF(ISERROR(VLOOKUP($B898&amp;"("&amp;$K876&amp;")",Players!$S$4:$T$132,2,FALSE)),"",VLOOKUP($B898&amp;"("&amp;$K876&amp;")",Players!$S$4:$T$132,2,FALSE))</f>
        <v>K1</v>
      </c>
      <c r="I907" s="141" t="str">
        <f ca="1">IF(ISERROR(VLOOKUP($B905&amp;"("&amp;$K876&amp;")",Players!$S$4:$T$132,2,FALSE)),"",VLOOKUP($B905&amp;"("&amp;$K876&amp;")",Players!$S$4:$T$132,2,FALSE))</f>
        <v>K1</v>
      </c>
      <c r="Q907" s="7"/>
      <c r="R907" s="50"/>
      <c r="S907" s="116"/>
      <c r="T907" s="115"/>
      <c r="U907" s="115"/>
      <c r="V907" s="115"/>
      <c r="W907" s="115"/>
      <c r="X907" s="115"/>
      <c r="Y907" s="99"/>
      <c r="Z907" s="99"/>
      <c r="AA907" s="99"/>
      <c r="AB907" s="99"/>
      <c r="AC907" s="117"/>
      <c r="AD907" s="118"/>
      <c r="AE907" s="114"/>
      <c r="AF907" s="114"/>
    </row>
    <row r="908" spans="1:32" ht="12.75" customHeight="1">
      <c r="A908" s="21" t="s">
        <v>1225</v>
      </c>
      <c r="H908" s="136" t="str">
        <f ca="1">IF($Q910&lt;&gt;"",IF(AND($B911&lt;&gt;"Missing Player",$B913&lt;&gt;"Missing Player"),IF(AND(AND($H910&gt;-1,$H912&gt;-1),OR($H910&gt;10,$H912&gt;10),ABS($H910-$H912)&gt;1,IF(OR($H910&gt;11,$H912&gt;11),ABS($H910-$H912)=2,TRUE),$H910=INT($H910),$H912=INT($H912)),"","Error"),""),"")</f>
        <v/>
      </c>
      <c r="I908" s="136" t="str">
        <f ca="1">IF($Q910&lt;&gt;"",IF(AND($B911&lt;&gt;"Missing Player",$B913&lt;&gt;"Missing Player"),IF(AND(AND($I910&gt;-1,$I912&gt;-1),OR($I910&gt;10,$I912&gt;10),ABS($I910-$I912)&gt;1,IF(OR($I910&gt;11,$I912&gt;11),ABS($I910-$I912)=2,TRUE),$I910=INT($I910),$I912=INT($I912)),"","Error"),""),"")</f>
        <v/>
      </c>
      <c r="J908" s="136" t="str">
        <f ca="1">IF($Q910&lt;&gt;"",IF(AND($B911&lt;&gt;"Missing Player",$B913&lt;&gt;"Missing Player"),IF(AND(AND($J910&gt;-1,$J912&gt;-1),OR($J910&gt;10,$J912&gt;10),ABS($J910-$J912)&gt;1,IF(OR($J910&gt;11,$J912&gt;11),ABS($J910-$J912)=2,TRUE),$J910=INT($J910),$J912=INT($J912)),"","Error"),""),"")</f>
        <v/>
      </c>
      <c r="K908" s="136" t="str">
        <f ca="1">IF($Q910&lt;&gt;"",IF(AND($K910&lt;&gt;"",$K912&lt;&gt;""), IF(AND(AND($K910&gt;-1,$K912&gt;-1),OR($K910&gt;10,$K912&gt;10),ABS($K910-$K912)&gt;1,IF(OR($K910&gt;11,$K912&gt;11),ABS($K910-$K912)=2,TRUE),$K910=INT($K910),$K912=INT($K912)),"","Error"),""),"")</f>
        <v/>
      </c>
      <c r="L908" s="136" t="str">
        <f ca="1">IF($Q910&lt;&gt;"",IF(AND($L910&lt;&gt;"",$L912&lt;&gt;""), IF(AND(AND($L910&gt;-1,$L912&gt;-1),OR($L910&gt;10,$L912&gt;10),ABS($L910-$L912)&gt;1,IF(OR($L910&gt;11,$L912&gt;11),ABS($L910-$L912)=2,TRUE),$L910=INT($L910),$L912=INT($L912)),"","Error"),""),"")</f>
        <v/>
      </c>
      <c r="Q908" s="7"/>
      <c r="R908" s="114"/>
      <c r="S908" s="115"/>
      <c r="T908" s="115"/>
      <c r="U908" s="115"/>
      <c r="V908" s="115"/>
      <c r="W908" s="115"/>
      <c r="X908" s="115"/>
      <c r="Y908" s="114"/>
      <c r="Z908" s="114"/>
      <c r="AA908" s="114"/>
      <c r="AB908" s="114"/>
      <c r="AC908" s="114"/>
      <c r="AD908" s="114"/>
      <c r="AE908" s="114"/>
      <c r="AF908" s="114"/>
    </row>
    <row r="909" spans="1:32" ht="12.75" customHeight="1">
      <c r="A909" s="5" t="s">
        <v>1228</v>
      </c>
      <c r="B909" s="290" t="s">
        <v>1126</v>
      </c>
      <c r="C909" s="291"/>
      <c r="D909" s="291"/>
      <c r="E909" s="291"/>
      <c r="F909" s="291"/>
      <c r="G909" s="292"/>
      <c r="H909" s="5">
        <v>1</v>
      </c>
      <c r="I909" s="5">
        <v>2</v>
      </c>
      <c r="J909" s="5">
        <v>3</v>
      </c>
      <c r="K909" s="5">
        <v>4</v>
      </c>
      <c r="L909" s="5">
        <v>5</v>
      </c>
      <c r="M909" s="271"/>
      <c r="N909" s="272"/>
      <c r="O909" s="272"/>
      <c r="P909" s="273"/>
      <c r="Q909" s="8"/>
      <c r="S909" s="24"/>
      <c r="T909" s="26"/>
    </row>
    <row r="910" spans="1:32" ht="12.75" customHeight="1">
      <c r="A910" s="300" t="str">
        <f>B876</f>
        <v>J</v>
      </c>
      <c r="B910" s="311" t="str">
        <f ca="1">IF($B882&lt;&gt;"",$B882,"")</f>
        <v/>
      </c>
      <c r="C910" s="312"/>
      <c r="D910" s="312"/>
      <c r="E910" s="312"/>
      <c r="F910" s="312"/>
      <c r="G910" s="313"/>
      <c r="H910" s="265"/>
      <c r="I910" s="265"/>
      <c r="J910" s="265"/>
      <c r="K910" s="265"/>
      <c r="L910" s="265" t="str">
        <f ca="1">IF($B903&lt;&gt;"",IF(AND($B903="Missing Player",$G914=2,$J914=2),0,IF(AND($B905="Missing Player",$G914=2,$J914=2),11,"")),"")</f>
        <v/>
      </c>
      <c r="M910" s="262" t="str">
        <f ca="1">IF(OR(AND($B910&lt;&gt;"",$B911&lt;&gt;"",$B910=$B911),AND($B912&lt;&gt;"",$B913&lt;&gt;"",$B912=$B913)),"Invalid Partner","")</f>
        <v/>
      </c>
      <c r="N910" s="263"/>
      <c r="O910" s="263"/>
      <c r="P910" s="264"/>
      <c r="Q910" s="138" t="str">
        <f ca="1">IF(L910=L912,IF(K910=K912,IF(J910&lt;&gt;"",IF(J910&gt;J912,"W","L"),""),IF(K910&gt;K912,"W","L")),IF(L910&gt;L912,"W","L"))</f>
        <v/>
      </c>
      <c r="S910" s="24"/>
      <c r="T910" s="26"/>
    </row>
    <row r="911" spans="1:32" ht="12.75" customHeight="1">
      <c r="A911" s="324"/>
      <c r="B911" s="308" t="str">
        <f ca="1">IF($B903="Missing Player",$B903,"")</f>
        <v/>
      </c>
      <c r="C911" s="309"/>
      <c r="D911" s="309"/>
      <c r="E911" s="309"/>
      <c r="F911" s="309"/>
      <c r="G911" s="310"/>
      <c r="H911" s="270"/>
      <c r="I911" s="270"/>
      <c r="J911" s="270"/>
      <c r="K911" s="270"/>
      <c r="L911" s="270"/>
      <c r="M911" s="262"/>
      <c r="N911" s="263"/>
      <c r="O911" s="263"/>
      <c r="P911" s="264"/>
      <c r="Q911" s="139" t="str">
        <f ca="1">IF($Q910&lt;&gt;"",IF($B913&lt;&gt;"Missing Player",IF($Q910="W",IF(SUM(IF($H910&gt;$H912,1,0),IF($I910&gt;$I912,1,0),IF($J910&gt;$J912,1,0),IF($K910&gt;$K912,1,0),IF($L910&gt;$L912,1,0))&lt;&gt;3,"Error",""),""),""),"")</f>
        <v/>
      </c>
      <c r="R911" s="328" t="str">
        <f>$A877</f>
        <v/>
      </c>
      <c r="S911" s="328"/>
      <c r="T911" s="328"/>
      <c r="U911" s="328"/>
      <c r="V911" s="328"/>
      <c r="W911" s="328"/>
      <c r="X911" s="256" t="str">
        <f>CONCATENATE("(",$B876," vs ",$K876,")")</f>
        <v>(J vs K)</v>
      </c>
      <c r="Y911" s="256"/>
      <c r="Z911" s="328" t="str">
        <f>$J877</f>
        <v/>
      </c>
      <c r="AA911" s="328"/>
      <c r="AB911" s="328"/>
      <c r="AC911" s="328"/>
      <c r="AD911" s="328"/>
      <c r="AE911" s="328"/>
      <c r="AF911" s="43"/>
    </row>
    <row r="912" spans="1:32" ht="12.75" customHeight="1">
      <c r="A912" s="325" t="str">
        <f>K876</f>
        <v>K</v>
      </c>
      <c r="B912" s="311" t="str">
        <f ca="1">IF($B884&lt;&gt;"",$B884,"")</f>
        <v/>
      </c>
      <c r="C912" s="312"/>
      <c r="D912" s="312"/>
      <c r="E912" s="312"/>
      <c r="F912" s="312"/>
      <c r="G912" s="313"/>
      <c r="H912" s="265"/>
      <c r="I912" s="265"/>
      <c r="J912" s="265"/>
      <c r="K912" s="265"/>
      <c r="L912" s="265" t="str">
        <f ca="1">IF($B905&lt;&gt;"",IF(AND($B905="Missing Player",$G914=2,$J914=2),0,IF(AND($B903="Missing Player",$G914=2,$J914=2),11,"")),"")</f>
        <v/>
      </c>
      <c r="M912" s="267" t="s">
        <v>1237</v>
      </c>
      <c r="N912" s="268"/>
      <c r="O912" s="268"/>
      <c r="P912" s="269"/>
      <c r="Q912" s="138" t="str">
        <f ca="1">IF(Q910&lt;&gt;"",IF(Q910="W","L","W"),"")</f>
        <v/>
      </c>
      <c r="R912" s="43"/>
      <c r="S912" s="43"/>
      <c r="T912" s="43"/>
      <c r="U912" s="43"/>
      <c r="V912" s="43"/>
      <c r="W912" s="43"/>
      <c r="X912" s="43"/>
      <c r="Y912" s="43"/>
      <c r="Z912" s="43"/>
      <c r="AA912" s="43"/>
      <c r="AB912" s="43"/>
      <c r="AC912" s="43"/>
      <c r="AD912" s="43"/>
      <c r="AE912" s="43"/>
      <c r="AF912" s="43"/>
    </row>
    <row r="913" spans="1:32" ht="12.75" customHeight="1">
      <c r="A913" s="324"/>
      <c r="B913" s="308" t="str">
        <f ca="1">IF($B905="Missing Player",$B905,"")</f>
        <v/>
      </c>
      <c r="C913" s="309"/>
      <c r="D913" s="309"/>
      <c r="E913" s="309"/>
      <c r="F913" s="309"/>
      <c r="G913" s="310"/>
      <c r="H913" s="270"/>
      <c r="I913" s="270"/>
      <c r="J913" s="266"/>
      <c r="K913" s="266"/>
      <c r="L913" s="266"/>
      <c r="M913" s="267"/>
      <c r="N913" s="268"/>
      <c r="O913" s="268"/>
      <c r="P913" s="269"/>
      <c r="Q913" s="139" t="str">
        <f ca="1">IF($Q912&lt;&gt;"",IF($B911&lt;&gt;"Missing Player",IF($Q912="W",IF(SUM(IF($H912&gt;$H910,1,0),IF($I912&gt;$I910,1,0),IF($J912&gt;$J910,1,0),IF($K912&gt;$K910,1,0),IF($L912&gt;$L910,1,0))&lt;&gt;3,"Error",""),""),""),"")</f>
        <v/>
      </c>
      <c r="R913" s="43" t="str">
        <f>A901</f>
        <v>4th Singles</v>
      </c>
      <c r="S913" s="43"/>
      <c r="T913" s="43"/>
      <c r="U913" s="43"/>
      <c r="V913" s="43"/>
      <c r="W913" s="43"/>
      <c r="X913" s="43"/>
      <c r="Y913" s="43"/>
      <c r="Z913" s="43"/>
      <c r="AA913" s="43"/>
      <c r="AB913" s="43"/>
      <c r="AC913" s="43"/>
      <c r="AD913" s="43"/>
      <c r="AE913" s="43"/>
      <c r="AF913" s="43"/>
    </row>
    <row r="914" spans="1:32" ht="12.75" customHeight="1">
      <c r="G914" s="66">
        <f ca="1">COUNTIF($Q882:$Q882,"W")+COUNTIF($Q889:$Q889,"W")+COUNTIF($Q896:$Q896,"W")+COUNTIF($Q903:$Q903,"W")</f>
        <v>0</v>
      </c>
      <c r="J914" s="66">
        <f ca="1">COUNTIF($Q884:$Q884,"W")+COUNTIF($Q891:$Q891,"W")+COUNTIF($Q898:$Q898,"W")+COUNTIF($Q905:$Q905,"W")</f>
        <v>0</v>
      </c>
      <c r="R914" s="60" t="s">
        <v>1228</v>
      </c>
      <c r="S914" s="339" t="s">
        <v>1126</v>
      </c>
      <c r="T914" s="340"/>
      <c r="U914" s="340"/>
      <c r="V914" s="340"/>
      <c r="W914" s="340"/>
      <c r="X914" s="341"/>
      <c r="Y914" s="60">
        <v>1</v>
      </c>
      <c r="Z914" s="60">
        <v>2</v>
      </c>
      <c r="AA914" s="60">
        <v>3</v>
      </c>
      <c r="AB914" s="60">
        <v>4</v>
      </c>
      <c r="AC914" s="60">
        <v>5</v>
      </c>
      <c r="AD914" s="342"/>
      <c r="AE914" s="343"/>
      <c r="AF914" s="344"/>
    </row>
    <row r="915" spans="1:32" ht="12.75" customHeight="1" thickBot="1">
      <c r="F915" s="246" t="s">
        <v>1238</v>
      </c>
      <c r="G915" s="246"/>
      <c r="H915" s="246"/>
      <c r="I915" s="246"/>
      <c r="J915" s="246"/>
      <c r="K915" s="246"/>
      <c r="R915" s="300" t="str">
        <f>B876</f>
        <v>J</v>
      </c>
      <c r="S915" s="331" t="str">
        <f ca="1">IF($B903&lt;&gt;"",$B903,"")</f>
        <v/>
      </c>
      <c r="T915" s="353"/>
      <c r="U915" s="353"/>
      <c r="V915" s="353"/>
      <c r="W915" s="353"/>
      <c r="X915" s="354"/>
      <c r="Y915" s="329"/>
      <c r="Z915" s="329"/>
      <c r="AA915" s="351"/>
      <c r="AB915" s="351"/>
      <c r="AC915" s="351"/>
      <c r="AD915" s="345"/>
      <c r="AE915" s="346"/>
      <c r="AF915" s="347"/>
    </row>
    <row r="916" spans="1:32" ht="12.75" customHeight="1">
      <c r="A916" s="22"/>
      <c r="B916" s="22"/>
      <c r="C916" s="22"/>
      <c r="D916" s="22"/>
      <c r="E916" s="22"/>
      <c r="G916" s="304" t="str">
        <f>B876</f>
        <v>J</v>
      </c>
      <c r="H916" s="305"/>
      <c r="I916" s="302" t="str">
        <f>K876</f>
        <v>K</v>
      </c>
      <c r="J916" s="303"/>
      <c r="L916" s="22"/>
      <c r="M916" s="22"/>
      <c r="N916" s="22"/>
      <c r="O916" s="22"/>
      <c r="P916" s="22"/>
      <c r="R916" s="301"/>
      <c r="S916" s="355"/>
      <c r="T916" s="356"/>
      <c r="U916" s="356"/>
      <c r="V916" s="356"/>
      <c r="W916" s="356"/>
      <c r="X916" s="357"/>
      <c r="Y916" s="338"/>
      <c r="Z916" s="338"/>
      <c r="AA916" s="352"/>
      <c r="AB916" s="352"/>
      <c r="AC916" s="352"/>
      <c r="AD916" s="348"/>
      <c r="AE916" s="349"/>
      <c r="AF916" s="350"/>
    </row>
    <row r="917" spans="1:32" ht="12.75" customHeight="1" thickBot="1">
      <c r="A917" s="2" t="s">
        <v>1228</v>
      </c>
      <c r="B917" s="53" t="str">
        <f>B876</f>
        <v>J</v>
      </c>
      <c r="C917" s="3" t="s">
        <v>1226</v>
      </c>
      <c r="F917" s="66" t="str">
        <f>CONCATENATE($B876,"-",$K876)</f>
        <v>J-K</v>
      </c>
      <c r="G917" s="320" t="str">
        <f ca="1">IF(OR(Q882&lt;&gt;"",Q889&lt;&gt;"",Q896&lt;&gt;"",Q903&lt;&gt;"",Q910&lt;&gt;""),COUNTIF(Q882:Q882,"W")+COUNTIF(Q889:Q889,"W")+COUNTIF(Q896:Q896,"W")+COUNTIF(Q903:Q903,"W")+COUNTIF(Q910:Q910,"W"),"")</f>
        <v/>
      </c>
      <c r="H917" s="321"/>
      <c r="I917" s="322" t="str">
        <f ca="1">IF(OR(Q884&lt;&gt;"",Q891&lt;&gt;"",Q898&lt;&gt;"",Q905&lt;&gt;"",Q912&lt;&gt;""),COUNTIF(Q884:Q884,"W")+COUNTIF(Q891:Q891,"W")+COUNTIF(Q898:Q898,"W")+COUNTIF(Q905:Q905,"W")+COUNTIF(Q912:Q912,"W"),"")</f>
        <v/>
      </c>
      <c r="J917" s="323"/>
      <c r="L917" s="2" t="s">
        <v>1228</v>
      </c>
      <c r="M917" s="53" t="str">
        <f>K876</f>
        <v>K</v>
      </c>
      <c r="N917" s="3" t="s">
        <v>1226</v>
      </c>
      <c r="R917" s="300" t="str">
        <f>K876</f>
        <v>K</v>
      </c>
      <c r="S917" s="331" t="str">
        <f ca="1">IF($B905&lt;&gt;"",$B905,"")</f>
        <v/>
      </c>
      <c r="T917" s="332"/>
      <c r="U917" s="332"/>
      <c r="V917" s="332"/>
      <c r="W917" s="332"/>
      <c r="X917" s="333"/>
      <c r="Y917" s="329"/>
      <c r="Z917" s="329"/>
      <c r="AA917" s="351"/>
      <c r="AB917" s="351"/>
      <c r="AC917" s="351"/>
      <c r="AD917" s="363" t="s">
        <v>1237</v>
      </c>
      <c r="AE917" s="358"/>
      <c r="AF917" s="359"/>
    </row>
    <row r="918" spans="1:32" ht="12.75" customHeight="1">
      <c r="F918" s="25" t="s">
        <v>3996</v>
      </c>
      <c r="G918" s="23"/>
      <c r="H918" s="23"/>
      <c r="I918" s="23"/>
      <c r="J918" s="23"/>
      <c r="K918" s="24"/>
      <c r="R918" s="330"/>
      <c r="S918" s="334"/>
      <c r="T918" s="335"/>
      <c r="U918" s="335"/>
      <c r="V918" s="335"/>
      <c r="W918" s="335"/>
      <c r="X918" s="336"/>
      <c r="Y918" s="330"/>
      <c r="Z918" s="330"/>
      <c r="AA918" s="330"/>
      <c r="AB918" s="330"/>
      <c r="AC918" s="330"/>
      <c r="AD918" s="360"/>
      <c r="AE918" s="361"/>
      <c r="AF918" s="362"/>
    </row>
    <row r="919" spans="1:32" ht="12.75" customHeight="1">
      <c r="R919" s="1"/>
      <c r="S919" s="110"/>
      <c r="T919" s="110"/>
      <c r="U919" s="110"/>
      <c r="V919" s="110"/>
      <c r="W919" s="110"/>
      <c r="X919" s="111"/>
      <c r="Y919" s="111"/>
      <c r="Z919" s="111"/>
      <c r="AA919" s="111"/>
    </row>
    <row r="920" spans="1:32" ht="12.75" customHeight="1">
      <c r="F920" s="246" t="s">
        <v>4929</v>
      </c>
      <c r="G920" s="246"/>
      <c r="H920" s="246"/>
      <c r="I920" s="246"/>
      <c r="R920" s="1"/>
      <c r="S920" s="110"/>
      <c r="T920" s="110"/>
      <c r="U920" s="110"/>
      <c r="V920" s="110"/>
      <c r="W920" s="110"/>
      <c r="X920" s="111"/>
      <c r="Y920" s="111"/>
      <c r="Z920" s="111"/>
      <c r="AA920" s="111"/>
    </row>
    <row r="921" spans="1:32" ht="12.75" customHeight="1">
      <c r="F921" s="246" t="s">
        <v>4930</v>
      </c>
      <c r="G921" s="246"/>
      <c r="H921" s="246"/>
      <c r="I921" s="246"/>
      <c r="R921" s="1"/>
      <c r="S921" s="110"/>
      <c r="T921" s="110"/>
      <c r="U921" s="110"/>
      <c r="V921" s="110"/>
      <c r="W921" s="110"/>
      <c r="X921" s="111"/>
      <c r="Y921" s="111"/>
      <c r="Z921" s="111"/>
      <c r="AA921" s="111"/>
    </row>
    <row r="922" spans="1:32" ht="12.75" customHeight="1">
      <c r="K922" s="281" t="s">
        <v>1244</v>
      </c>
      <c r="L922" s="281"/>
      <c r="M922" s="281"/>
      <c r="N922" s="281"/>
      <c r="O922" s="281"/>
      <c r="P922" s="281"/>
      <c r="R922" s="1"/>
      <c r="S922" s="110"/>
      <c r="T922" s="110"/>
      <c r="U922" s="110"/>
      <c r="V922" s="110"/>
      <c r="W922" s="110"/>
      <c r="X922" s="111"/>
      <c r="Y922" s="111"/>
      <c r="Z922" s="111"/>
      <c r="AA922" s="111"/>
    </row>
    <row r="923" spans="1:32" ht="12.75" customHeight="1">
      <c r="A923" s="12" t="s">
        <v>1229</v>
      </c>
      <c r="B923" s="11"/>
      <c r="C923" s="11"/>
      <c r="D923" s="11" t="str">
        <f>Draw!$B$1</f>
        <v>Enter Division Name</v>
      </c>
      <c r="E923" s="11"/>
      <c r="F923" s="7"/>
      <c r="G923" s="6"/>
      <c r="H923" s="7"/>
      <c r="I923" s="11"/>
      <c r="J923" s="11"/>
      <c r="K923" s="11"/>
      <c r="L923" s="11"/>
      <c r="M923" s="281"/>
      <c r="N923" s="281"/>
      <c r="O923" s="281"/>
      <c r="P923" s="281"/>
      <c r="R923" s="1"/>
      <c r="S923" s="110"/>
      <c r="T923" s="110"/>
      <c r="U923" s="110"/>
      <c r="V923" s="110"/>
      <c r="W923" s="110"/>
      <c r="X923" s="111"/>
      <c r="Y923" s="111"/>
      <c r="Z923" s="111"/>
      <c r="AA923" s="111"/>
    </row>
    <row r="924" spans="1:32" ht="12.75" customHeight="1">
      <c r="A924" s="2" t="s">
        <v>1230</v>
      </c>
      <c r="D924" s="43" t="str">
        <f>Draw!$D$1</f>
        <v>Enter Hosting Location (City, ST)</v>
      </c>
      <c r="J924" s="43" t="str">
        <f ca="1">$J$6</f>
        <v>[NCTTA Teams Template (v2.06).xlsx]</v>
      </c>
      <c r="R924" s="1"/>
      <c r="S924" s="110"/>
      <c r="T924" s="110"/>
      <c r="U924" s="110"/>
      <c r="V924" s="110"/>
      <c r="W924" s="110"/>
      <c r="X924" s="111"/>
      <c r="Y924" s="111"/>
      <c r="Z924" s="111"/>
      <c r="AA924" s="111"/>
    </row>
    <row r="925" spans="1:32" ht="12.75" customHeight="1">
      <c r="A925" s="2" t="s">
        <v>1231</v>
      </c>
      <c r="D925" s="337" t="str">
        <f>Draw!$P$1</f>
        <v>Enter Date</v>
      </c>
      <c r="E925" s="337"/>
      <c r="F925" s="337"/>
      <c r="G925" s="337"/>
      <c r="J925" s="280" t="str">
        <f>CHOOSE(Draw!$T$1,"Round 4, Match 1","Round 2, Match 4","","","","","Round 7, Match 1","Round 5, Match 3","Round 5, Match 3","Round 4, Match 4","Round 4, Match 4")</f>
        <v/>
      </c>
      <c r="K925" s="280"/>
      <c r="L925" s="280"/>
      <c r="M925" s="276" t="str">
        <f>IF(AND($J925&lt;&gt;"",Draw!$AC$10&lt;&gt;"",Draw!$AC$13&lt;&gt;""),Draw!$AC$10+TIME(0,VALUE(MID($J925,7,FIND(",",$J925)-FIND(" ",$J925)-1)-1)*Draw!$AC$13,0),"")</f>
        <v/>
      </c>
      <c r="N925" s="276"/>
      <c r="O925" s="157" t="str">
        <f>$F968</f>
        <v>A-E</v>
      </c>
      <c r="R925" s="1"/>
      <c r="S925" s="110"/>
      <c r="T925" s="110"/>
      <c r="U925" s="110"/>
      <c r="V925" s="110"/>
      <c r="W925" s="110"/>
      <c r="X925" s="111"/>
      <c r="Y925" s="111"/>
      <c r="Z925" s="111"/>
      <c r="AA925" s="111"/>
    </row>
    <row r="926" spans="1:32" ht="12.75" customHeight="1">
      <c r="A926" s="14"/>
      <c r="B926" s="15"/>
      <c r="C926" s="15"/>
      <c r="D926" s="15"/>
      <c r="E926" s="15"/>
      <c r="F926" s="14"/>
      <c r="G926" s="14"/>
      <c r="H926" s="16"/>
      <c r="I926" s="14"/>
      <c r="J926" s="15"/>
      <c r="K926" s="15"/>
      <c r="L926" s="15"/>
      <c r="M926" s="15"/>
      <c r="N926" s="15"/>
      <c r="O926" s="364" t="str">
        <f>IF(OR(AND(VLOOKUP($B927,$AM$1:$AX$12,12,FALSE)="C",VLOOKUP($K927,$AM$1:$AX$12,12,FALSE)="C"),AND(VLOOKUP($B927,$AM$1:$AX$12,12,FALSE)="W",VLOOKUP($K927,$AM$1:$AX$12,12,FALSE)="W")),"Official",IF(AND($A928="",$J928=""),"","Scrimmage"))</f>
        <v/>
      </c>
      <c r="P926" s="364"/>
      <c r="R926" s="1"/>
      <c r="S926" s="110"/>
      <c r="T926" s="110"/>
      <c r="U926" s="110"/>
      <c r="V926" s="110"/>
      <c r="W926" s="110"/>
      <c r="X926" s="111"/>
      <c r="Y926" s="111"/>
      <c r="Z926" s="111"/>
      <c r="AA926" s="111"/>
    </row>
    <row r="927" spans="1:32" ht="12.75" customHeight="1">
      <c r="A927" s="17" t="s">
        <v>1228</v>
      </c>
      <c r="B927" s="119" t="str">
        <f>CHOOSE(Draw!$T$1,"A","G","A","A","B","A","A","E","C","C","B")</f>
        <v>A</v>
      </c>
      <c r="C927" s="135">
        <f>VLOOKUP($B927,$AM$1:$AN$12,2)</f>
        <v>1</v>
      </c>
      <c r="D927" s="13"/>
      <c r="E927" s="13"/>
      <c r="F927" s="10"/>
      <c r="H927" s="19" t="s">
        <v>1232</v>
      </c>
      <c r="J927" s="17" t="s">
        <v>1228</v>
      </c>
      <c r="K927" s="119" t="str">
        <f>CHOOSE(Draw!$T$1,"I","J","E","J","G","J","F","H","G","I","E")</f>
        <v>E</v>
      </c>
      <c r="L927" s="135">
        <f>VLOOKUP($K927,$AM$1:$AN$12,2)</f>
        <v>5</v>
      </c>
      <c r="M927" s="13"/>
      <c r="N927" s="13"/>
      <c r="O927" s="18"/>
      <c r="P927" s="274"/>
      <c r="Q927" s="275"/>
      <c r="R927" s="1"/>
      <c r="S927" s="110"/>
      <c r="T927" s="110"/>
      <c r="U927" s="110"/>
      <c r="V927" s="110"/>
      <c r="W927" s="110"/>
      <c r="X927" s="111"/>
      <c r="Y927" s="111"/>
      <c r="Z927" s="111"/>
      <c r="AA927" s="111"/>
    </row>
    <row r="928" spans="1:32" ht="12.75" customHeight="1">
      <c r="A928" s="277" t="str">
        <f>IF(VLOOKUP($B927,Draw!$A$4:$B$27,2)&lt;&gt;0,VLOOKUP($B927,Draw!$A$4:$B$27,2),"")</f>
        <v/>
      </c>
      <c r="B928" s="278"/>
      <c r="C928" s="278"/>
      <c r="D928" s="278"/>
      <c r="E928" s="278"/>
      <c r="F928" s="279"/>
      <c r="G928" s="306" t="s">
        <v>4170</v>
      </c>
      <c r="H928" s="289"/>
      <c r="I928" s="307"/>
      <c r="J928" s="277" t="str">
        <f>IF(VLOOKUP($K927,Draw!$A$4:$B$27,2)&lt;&gt;0,VLOOKUP($K927,Draw!$A$4:$B$27,2),"")</f>
        <v/>
      </c>
      <c r="K928" s="278"/>
      <c r="L928" s="278"/>
      <c r="M928" s="278"/>
      <c r="N928" s="278"/>
      <c r="O928" s="279"/>
      <c r="P928" s="15"/>
      <c r="R928" s="1"/>
      <c r="S928" s="110"/>
      <c r="T928" s="110"/>
      <c r="U928" s="110"/>
      <c r="V928" s="110"/>
      <c r="W928" s="110"/>
      <c r="X928" s="111"/>
      <c r="Y928" s="111"/>
      <c r="Z928" s="111"/>
      <c r="AA928" s="111"/>
    </row>
    <row r="929" spans="1:32" ht="12.75" customHeight="1">
      <c r="A929" s="14"/>
      <c r="B929" s="15"/>
      <c r="C929" s="15"/>
      <c r="D929" s="15"/>
      <c r="E929" s="15"/>
      <c r="F929" s="14"/>
      <c r="G929" s="288" t="str">
        <f>"Page "&amp;VALUE(RIGHT($G928,LEN($G928)-SEARCH("-",$G928)))/2</f>
        <v>Page 19</v>
      </c>
      <c r="H929" s="289"/>
      <c r="I929" s="289"/>
      <c r="J929" s="15"/>
      <c r="K929" s="15"/>
      <c r="L929" s="15"/>
      <c r="M929" s="15"/>
      <c r="N929" s="15"/>
      <c r="O929" s="15"/>
      <c r="P929" s="15"/>
      <c r="R929" s="1"/>
      <c r="S929" s="110"/>
      <c r="T929" s="110"/>
      <c r="U929" s="110"/>
      <c r="V929" s="110"/>
      <c r="W929" s="110"/>
      <c r="X929" s="111"/>
      <c r="Y929" s="111"/>
      <c r="Z929" s="111"/>
      <c r="AA929" s="111"/>
      <c r="AF929" s="27"/>
    </row>
    <row r="930" spans="1:32" ht="12.75" customHeight="1">
      <c r="A930" s="327" t="s">
        <v>1245</v>
      </c>
      <c r="B930" s="327"/>
      <c r="C930" s="327"/>
      <c r="D930" s="327"/>
      <c r="E930" s="327"/>
      <c r="F930" s="327"/>
      <c r="G930" s="327"/>
      <c r="H930" s="327"/>
      <c r="I930" s="327"/>
      <c r="J930" s="327"/>
      <c r="K930" s="327"/>
      <c r="L930" s="327"/>
      <c r="M930" s="327"/>
      <c r="N930" s="327"/>
      <c r="O930" s="327"/>
      <c r="P930" s="327"/>
      <c r="Q930" s="7"/>
      <c r="R930" s="1"/>
      <c r="S930" s="110"/>
      <c r="T930" s="110"/>
      <c r="U930" s="110"/>
      <c r="V930" s="110"/>
      <c r="W930" s="110"/>
      <c r="X930" s="111"/>
      <c r="Y930" s="111"/>
      <c r="Z930" s="111"/>
      <c r="AA930" s="111"/>
      <c r="AF930" s="20"/>
    </row>
    <row r="931" spans="1:32" ht="12.75" customHeight="1">
      <c r="A931" s="21" t="s">
        <v>1233</v>
      </c>
      <c r="H931" s="136" t="str">
        <f>IF($Q933&lt;&gt;"",IF(AND(AND($H933&gt;-1,$H935&gt;-1),OR($H933&gt;10,$H935&gt;10),ABS($H933-$H935)&gt;1,IF(OR($H933&gt;11,$H935&gt;11),ABS($H933-$H935)=2,TRUE),$H933=INT($H933),$H935=INT($H935)),"","Error"),"")</f>
        <v/>
      </c>
      <c r="I931" s="136" t="str">
        <f>IF($Q933&lt;&gt;"",IF(AND(AND($I933&gt;-1,$I935&gt;-1),OR($I933&gt;10,$I935&gt;10),ABS($I933-$I935)&gt;1,IF(OR($I933&gt;11,$I935&gt;11),ABS($I933-$I935)=2,TRUE),$I933=INT($I933),$I935=INT($I935)),"","Error"),"")</f>
        <v/>
      </c>
      <c r="J931" s="136" t="str">
        <f>IF($Q933&lt;&gt;"",IF(AND(AND($J933&gt;-1,$J935&gt;-1),OR($J933&gt;10,$J935&gt;10),ABS($J933-$J935)&gt;1,IF(OR($J933&gt;11,$J935&gt;11),ABS($J933-$J935)=2,TRUE),$J933=INT($J933),$J935=INT($J935)),"","Error"),"")</f>
        <v/>
      </c>
      <c r="K931" s="136" t="str">
        <f>IF($Q933&lt;&gt;"",IF(AND($K933&lt;&gt;"",$K935&lt;&gt;""), IF(AND(AND($K933&gt;-1,$K935&gt;-1),OR($K933&gt;10,$K935&gt;10),ABS($K933-$K935)&gt;1,IF(OR($K933&gt;11,$K935&gt;11),ABS($K933-$K935)=2,TRUE),$K933=INT($K933),$K935=INT($K935)),"","Error"),""),"")</f>
        <v/>
      </c>
      <c r="L931" s="136" t="str">
        <f>IF($Q933&lt;&gt;"",IF(AND($L933&lt;&gt;"",$L935&lt;&gt;""), IF(AND(AND($L933&gt;-1,$L935&gt;-1),OR($L933&gt;10,$L935&gt;10),ABS($L933-$L935)&gt;1,IF(OR($L933&gt;11,$L935&gt;11),ABS($L933-$L935)=2,TRUE),$L933=INT($L933),$L935=INT($L935)),"","Error"),""),"")</f>
        <v/>
      </c>
      <c r="R931" s="1"/>
      <c r="S931" s="110"/>
      <c r="T931" s="110"/>
      <c r="U931" s="110"/>
      <c r="V931" s="110"/>
      <c r="W931" s="110"/>
      <c r="X931" s="111"/>
      <c r="Y931" s="111"/>
      <c r="Z931" s="111"/>
      <c r="AA931" s="111"/>
    </row>
    <row r="932" spans="1:32" ht="12.75" customHeight="1">
      <c r="A932" s="5" t="s">
        <v>1228</v>
      </c>
      <c r="B932" s="290" t="s">
        <v>1126</v>
      </c>
      <c r="C932" s="291"/>
      <c r="D932" s="291"/>
      <c r="E932" s="291"/>
      <c r="F932" s="291"/>
      <c r="G932" s="292"/>
      <c r="H932" s="5">
        <v>1</v>
      </c>
      <c r="I932" s="5">
        <v>2</v>
      </c>
      <c r="J932" s="5">
        <v>3</v>
      </c>
      <c r="K932" s="5">
        <v>4</v>
      </c>
      <c r="L932" s="5">
        <v>5</v>
      </c>
      <c r="M932" s="271"/>
      <c r="N932" s="272"/>
      <c r="O932" s="272"/>
      <c r="P932" s="273"/>
      <c r="R932" s="1"/>
      <c r="S932" s="110"/>
      <c r="T932" s="110"/>
      <c r="U932" s="110"/>
      <c r="V932" s="110"/>
      <c r="W932" s="110"/>
      <c r="X932" s="111"/>
      <c r="Y932" s="111"/>
      <c r="Z932" s="111"/>
      <c r="AA932" s="111"/>
    </row>
    <row r="933" spans="1:32" ht="12.75" customHeight="1">
      <c r="A933" s="300" t="str">
        <f>B927</f>
        <v>A</v>
      </c>
      <c r="B933" s="293" t="str">
        <f ca="1">IF(AND(OFFSET($AO$1,$C927-1,8,1,1),$A928&lt;&gt;"",$J928&lt;&gt;""),CHOOSE($C927,$AO$1,$AO$2,$AO$3,$AO$4,$AO$5,$AO$6,$AO$7,$AO$8,$AO$9,$AO$10,$AO$11,$AO$12),"")</f>
        <v/>
      </c>
      <c r="C933" s="294"/>
      <c r="D933" s="294"/>
      <c r="E933" s="294"/>
      <c r="F933" s="294"/>
      <c r="G933" s="294"/>
      <c r="H933" s="265"/>
      <c r="I933" s="265"/>
      <c r="J933" s="265"/>
      <c r="K933" s="265"/>
      <c r="L933" s="265"/>
      <c r="M933" s="297"/>
      <c r="N933" s="298"/>
      <c r="O933" s="298"/>
      <c r="P933" s="299"/>
      <c r="Q933" s="137" t="str">
        <f>IF($L933=$L935,IF($K933=$K935,IF($J933&lt;&gt;"",IF($J933&gt;$J935,"W","L"),""),IF($K933&gt;$K935,"W","L")),IF($L933&gt;$L935,"W","L"))</f>
        <v/>
      </c>
      <c r="R933" s="1"/>
      <c r="S933" s="110"/>
      <c r="T933" s="110"/>
      <c r="U933" s="110"/>
      <c r="V933" s="110"/>
      <c r="W933" s="110"/>
      <c r="X933" s="111"/>
      <c r="Y933" s="111"/>
      <c r="Z933" s="111"/>
      <c r="AA933" s="111"/>
    </row>
    <row r="934" spans="1:32" ht="12.75" customHeight="1">
      <c r="A934" s="301"/>
      <c r="B934" s="295"/>
      <c r="C934" s="296"/>
      <c r="D934" s="296"/>
      <c r="E934" s="296"/>
      <c r="F934" s="296"/>
      <c r="G934" s="296"/>
      <c r="H934" s="270"/>
      <c r="I934" s="270"/>
      <c r="J934" s="270"/>
      <c r="K934" s="270"/>
      <c r="L934" s="270"/>
      <c r="M934" s="297"/>
      <c r="N934" s="298"/>
      <c r="O934" s="298"/>
      <c r="P934" s="299"/>
      <c r="Q934" s="139" t="str">
        <f>IF($Q933&lt;&gt;"",IF($Q933="W",IF(SUM(IF($H933&gt;$H935,1,0),IF($I933&gt;$I935,1,0),IF($J933&gt;$J935,1,0),IF($K933&gt;$K935,1,0),IF($L933&gt;$L935,1,0))&lt;&gt;3,"Error",""),""),"")</f>
        <v/>
      </c>
      <c r="R934" s="328" t="str">
        <f>$A928</f>
        <v/>
      </c>
      <c r="S934" s="328"/>
      <c r="T934" s="328"/>
      <c r="U934" s="328"/>
      <c r="V934" s="328"/>
      <c r="W934" s="328"/>
      <c r="X934" s="256" t="str">
        <f>CONCATENATE("(",$B927," vs ",$K927,")")</f>
        <v>(A vs E)</v>
      </c>
      <c r="Y934" s="256"/>
      <c r="Z934" s="328" t="str">
        <f>$J928</f>
        <v/>
      </c>
      <c r="AA934" s="328"/>
      <c r="AB934" s="328"/>
      <c r="AC934" s="328"/>
      <c r="AD934" s="328"/>
      <c r="AE934" s="328"/>
      <c r="AF934" s="43"/>
    </row>
    <row r="935" spans="1:32" ht="12.75" customHeight="1">
      <c r="A935" s="300" t="str">
        <f>K927</f>
        <v>E</v>
      </c>
      <c r="B935" s="293" t="str">
        <f ca="1">IF(AND(OFFSET($AO$1,$L927-1,8,1,1),$A928&lt;&gt;"",$J928&lt;&gt;""),CHOOSE($L927,$AO$1,$AO$2,$AO$3,$AO$4,$AO$5,$AO$6,$AO$7,$AO$8,$AO$9,$AO$10,$AO$11,$AO$12),"")</f>
        <v/>
      </c>
      <c r="C935" s="294"/>
      <c r="D935" s="294"/>
      <c r="E935" s="294"/>
      <c r="F935" s="294"/>
      <c r="G935" s="294"/>
      <c r="H935" s="265"/>
      <c r="I935" s="265"/>
      <c r="J935" s="265"/>
      <c r="K935" s="265"/>
      <c r="L935" s="265"/>
      <c r="M935" s="267" t="s">
        <v>1237</v>
      </c>
      <c r="N935" s="268"/>
      <c r="O935" s="268"/>
      <c r="P935" s="269"/>
      <c r="Q935" s="137" t="str">
        <f>IF($Q933&lt;&gt;"",IF($Q933="W","L","W"),"")</f>
        <v/>
      </c>
      <c r="R935" s="43"/>
      <c r="S935" s="43"/>
      <c r="T935" s="43"/>
      <c r="U935" s="43"/>
      <c r="V935" s="43"/>
      <c r="W935" s="43"/>
      <c r="X935" s="43"/>
      <c r="Y935" s="43"/>
      <c r="Z935" s="43"/>
      <c r="AA935" s="43"/>
      <c r="AB935" s="43"/>
      <c r="AC935" s="43"/>
      <c r="AD935" s="43"/>
      <c r="AE935" s="43"/>
      <c r="AF935" s="43"/>
    </row>
    <row r="936" spans="1:32" ht="12.75" customHeight="1">
      <c r="A936" s="301"/>
      <c r="B936" s="295"/>
      <c r="C936" s="296"/>
      <c r="D936" s="296"/>
      <c r="E936" s="296"/>
      <c r="F936" s="296"/>
      <c r="G936" s="296"/>
      <c r="H936" s="270"/>
      <c r="I936" s="270"/>
      <c r="J936" s="266"/>
      <c r="K936" s="266"/>
      <c r="L936" s="266"/>
      <c r="M936" s="267"/>
      <c r="N936" s="268"/>
      <c r="O936" s="268"/>
      <c r="P936" s="269"/>
      <c r="Q936" s="139" t="str">
        <f>IF($Q935&lt;&gt;"",IF($Q935="W",IF(SUM(IF($H935&gt;$H933,1,0),IF($I935&gt;$I933,1,0),IF($J935&gt;$J933,1,0),IF($K935&gt;$K933,1,0),IF($L935&gt;$L933,1,0))&lt;&gt;3,"Error",""),""),"")</f>
        <v/>
      </c>
      <c r="R936" s="43" t="str">
        <f>$A938</f>
        <v>2nd Singles</v>
      </c>
      <c r="S936" s="43"/>
      <c r="T936" s="43"/>
      <c r="U936" s="43"/>
      <c r="V936" s="43"/>
      <c r="W936" s="43"/>
      <c r="X936" s="43"/>
      <c r="Y936" s="43"/>
      <c r="Z936" s="43"/>
      <c r="AA936" s="43"/>
      <c r="AB936" s="43"/>
      <c r="AC936" s="43"/>
      <c r="AD936" s="43"/>
      <c r="AE936" s="43"/>
      <c r="AF936" s="43"/>
    </row>
    <row r="937" spans="1:32" ht="12.75" customHeight="1">
      <c r="Q937" s="7"/>
      <c r="R937" s="60" t="s">
        <v>1228</v>
      </c>
      <c r="S937" s="339" t="s">
        <v>1126</v>
      </c>
      <c r="T937" s="340"/>
      <c r="U937" s="340"/>
      <c r="V937" s="340"/>
      <c r="W937" s="340"/>
      <c r="X937" s="341"/>
      <c r="Y937" s="60">
        <v>1</v>
      </c>
      <c r="Z937" s="60">
        <v>2</v>
      </c>
      <c r="AA937" s="60">
        <v>3</v>
      </c>
      <c r="AB937" s="60">
        <v>4</v>
      </c>
      <c r="AC937" s="60">
        <v>5</v>
      </c>
      <c r="AD937" s="342"/>
      <c r="AE937" s="343"/>
      <c r="AF937" s="344"/>
    </row>
    <row r="938" spans="1:32" ht="12.75" customHeight="1">
      <c r="A938" s="21" t="s">
        <v>1234</v>
      </c>
      <c r="H938" s="136" t="str">
        <f>IF($Q940&lt;&gt;"",IF(AND(AND($H940&gt;-1,$H942&gt;-1),OR($H940&gt;10,$H942&gt;10),ABS($H940-$H942)&gt;1,IF(OR($H940&gt;11,$H942&gt;11),ABS($H940-$H942)=2,TRUE),$H940=INT($H940),$H942=INT($H942)),"","Error"),"")</f>
        <v/>
      </c>
      <c r="I938" s="136" t="str">
        <f>IF($Q940&lt;&gt;"",IF(AND(AND($I940&gt;-1,$I942&gt;-1),OR($I940&gt;10,$I942&gt;10),ABS($I940-$I942)&gt;1,IF(OR($I940&gt;11,$I942&gt;11),ABS($I940-$I942)=2,TRUE),$I940=INT($I940),$I942=INT($I942)),"","Error"),"")</f>
        <v/>
      </c>
      <c r="J938" s="136" t="str">
        <f>IF($Q940&lt;&gt;"",IF(AND(AND($J940&gt;-1,$J942&gt;-1),OR($J940&gt;10,$J942&gt;10),ABS($J940-$J942)&gt;1,IF(OR($J940&gt;11,$J942&gt;11),ABS($J940-$J942)=2,TRUE),$J940=INT($J940),$J942=INT($J942)),"","Error"),"")</f>
        <v/>
      </c>
      <c r="K938" s="136" t="str">
        <f>IF($Q940&lt;&gt;"",IF(AND($K940&lt;&gt;"",$K942&lt;&gt;""), IF(AND(AND($K940&gt;-1,$K942&gt;-1),OR($K940&gt;10,$K942&gt;10),ABS($K940-$K942)&gt;1,IF(OR($K940&gt;11,$K942&gt;11),ABS($K940-$K942)=2,TRUE),$K940=INT($K940),$K942=INT($K942)),"","Error"),""),"")</f>
        <v/>
      </c>
      <c r="L938" s="136" t="str">
        <f>IF($Q940&lt;&gt;"",IF(AND($L940&lt;&gt;"",$L942&lt;&gt;""), IF(AND(AND($L940&gt;-1,$L942&gt;-1),OR($L940&gt;10,$L942&gt;10),ABS($L940-$L942)&gt;1,IF(OR($L940&gt;11,$L942&gt;11),ABS($L940-$L942)=2,TRUE),$L940=INT($L940),$L942=INT($L942)),"","Error"),""),"")</f>
        <v/>
      </c>
      <c r="Q938" s="7"/>
      <c r="R938" s="300" t="str">
        <f>$B927</f>
        <v>A</v>
      </c>
      <c r="S938" s="331" t="str">
        <f ca="1">IF($B940&lt;&gt;"",$B940,"")</f>
        <v/>
      </c>
      <c r="T938" s="332"/>
      <c r="U938" s="332"/>
      <c r="V938" s="332"/>
      <c r="W938" s="332"/>
      <c r="X938" s="333"/>
      <c r="Y938" s="329"/>
      <c r="Z938" s="329"/>
      <c r="AA938" s="329"/>
      <c r="AB938" s="329"/>
      <c r="AC938" s="329"/>
      <c r="AD938" s="345"/>
      <c r="AE938" s="358"/>
      <c r="AF938" s="359"/>
    </row>
    <row r="939" spans="1:32" ht="12.75" customHeight="1">
      <c r="A939" s="5" t="s">
        <v>1228</v>
      </c>
      <c r="B939" s="290" t="s">
        <v>1126</v>
      </c>
      <c r="C939" s="291"/>
      <c r="D939" s="291"/>
      <c r="E939" s="291"/>
      <c r="F939" s="291"/>
      <c r="G939" s="292"/>
      <c r="H939" s="5">
        <v>1</v>
      </c>
      <c r="I939" s="5">
        <v>2</v>
      </c>
      <c r="J939" s="5">
        <v>3</v>
      </c>
      <c r="K939" s="5">
        <v>4</v>
      </c>
      <c r="L939" s="5">
        <v>5</v>
      </c>
      <c r="M939" s="271"/>
      <c r="N939" s="272"/>
      <c r="O939" s="272"/>
      <c r="P939" s="273"/>
      <c r="Q939" s="7"/>
      <c r="R939" s="330"/>
      <c r="S939" s="334"/>
      <c r="T939" s="335"/>
      <c r="U939" s="335"/>
      <c r="V939" s="335"/>
      <c r="W939" s="335"/>
      <c r="X939" s="336"/>
      <c r="Y939" s="330"/>
      <c r="Z939" s="330"/>
      <c r="AA939" s="330"/>
      <c r="AB939" s="330"/>
      <c r="AC939" s="330"/>
      <c r="AD939" s="360"/>
      <c r="AE939" s="361"/>
      <c r="AF939" s="362"/>
    </row>
    <row r="940" spans="1:32" ht="12.75" customHeight="1">
      <c r="A940" s="300" t="str">
        <f>B927</f>
        <v>A</v>
      </c>
      <c r="B940" s="293" t="str">
        <f ca="1">IF(AND(OFFSET($AO$1,$C927-1,8,1,1),$A928&lt;&gt;"",$J928&lt;&gt;""),CHOOSE($C927,$AP$1,$AP$2,$AP$3,$AP$4,$AP$5,$AP$6,$AP$7,$AP$8,$AP$9,$AP$10,$AP$11,$AP$12),"")</f>
        <v/>
      </c>
      <c r="C940" s="294"/>
      <c r="D940" s="294"/>
      <c r="E940" s="294"/>
      <c r="F940" s="294"/>
      <c r="G940" s="294"/>
      <c r="H940" s="265"/>
      <c r="I940" s="265"/>
      <c r="J940" s="265"/>
      <c r="K940" s="265"/>
      <c r="L940" s="265"/>
      <c r="M940" s="262" t="str">
        <f ca="1">IF(OR(AND($B933&lt;&gt;"",$B940&lt;&gt;"",$C958&lt;=$B958),AND($B935&lt;&gt;"",$B942&lt;&gt;"",$G958&lt;=$F958)),"Invalid Lineup","")</f>
        <v/>
      </c>
      <c r="N940" s="263"/>
      <c r="O940" s="263"/>
      <c r="P940" s="264"/>
      <c r="Q940" s="137" t="str">
        <f>IF($L940=$L942,IF($K940=$K942,IF($J940&lt;&gt;"",IF($J940&gt;$J942,"W","L"),""),IF($K940&gt;$K942,"W","L")),IF($L940&gt;$L942,"W","L"))</f>
        <v/>
      </c>
      <c r="R940" s="300" t="str">
        <f>$K927</f>
        <v>E</v>
      </c>
      <c r="S940" s="331" t="str">
        <f ca="1">IF($B942&lt;&gt;"",$B942,"")</f>
        <v/>
      </c>
      <c r="T940" s="332"/>
      <c r="U940" s="332"/>
      <c r="V940" s="332"/>
      <c r="W940" s="332"/>
      <c r="X940" s="333"/>
      <c r="Y940" s="329"/>
      <c r="Z940" s="329"/>
      <c r="AA940" s="329"/>
      <c r="AB940" s="329"/>
      <c r="AC940" s="351"/>
      <c r="AD940" s="363" t="s">
        <v>1237</v>
      </c>
      <c r="AE940" s="358"/>
      <c r="AF940" s="359"/>
    </row>
    <row r="941" spans="1:32" ht="12.75" customHeight="1">
      <c r="A941" s="301"/>
      <c r="B941" s="295"/>
      <c r="C941" s="296"/>
      <c r="D941" s="296"/>
      <c r="E941" s="296"/>
      <c r="F941" s="296"/>
      <c r="G941" s="296"/>
      <c r="H941" s="270"/>
      <c r="I941" s="270"/>
      <c r="J941" s="270"/>
      <c r="K941" s="270"/>
      <c r="L941" s="270"/>
      <c r="M941" s="262"/>
      <c r="N941" s="263"/>
      <c r="O941" s="263"/>
      <c r="P941" s="264"/>
      <c r="Q941" s="139" t="str">
        <f>IF($Q940&lt;&gt;"",IF($Q940="W",IF(SUM(IF($H940&gt;$H942,1,0),IF($I940&gt;$I942,1,0),IF($J940&gt;$J942,1,0),IF($K940&gt;$K942,1,0),IF($L940&gt;$L942,1,0))&lt;&gt;3,"Error",""),""),"")</f>
        <v/>
      </c>
      <c r="R941" s="330"/>
      <c r="S941" s="334"/>
      <c r="T941" s="335"/>
      <c r="U941" s="335"/>
      <c r="V941" s="335"/>
      <c r="W941" s="335"/>
      <c r="X941" s="336"/>
      <c r="Y941" s="330"/>
      <c r="Z941" s="330"/>
      <c r="AA941" s="330"/>
      <c r="AB941" s="330"/>
      <c r="AC941" s="330"/>
      <c r="AD941" s="360"/>
      <c r="AE941" s="361"/>
      <c r="AF941" s="362"/>
    </row>
    <row r="942" spans="1:32" ht="12.75" customHeight="1">
      <c r="A942" s="300" t="str">
        <f>K927</f>
        <v>E</v>
      </c>
      <c r="B942" s="293" t="str">
        <f ca="1">IF(AND(OFFSET($AO$1,$L927-1,8,1,1),$A928&lt;&gt;"",$J928&lt;&gt;""),CHOOSE($L927,$AP$1,$AP$2,$AP$3,$AP$4,$AP$5,$AP$6,$AP$7,$AP$8,$AP$9,$AP$10,$AP$11,$AP$12),"")</f>
        <v/>
      </c>
      <c r="C942" s="294"/>
      <c r="D942" s="294"/>
      <c r="E942" s="294"/>
      <c r="F942" s="294"/>
      <c r="G942" s="294"/>
      <c r="H942" s="265"/>
      <c r="I942" s="265"/>
      <c r="J942" s="265"/>
      <c r="K942" s="265"/>
      <c r="L942" s="265"/>
      <c r="M942" s="267" t="s">
        <v>1237</v>
      </c>
      <c r="N942" s="268"/>
      <c r="O942" s="268"/>
      <c r="P942" s="269"/>
      <c r="Q942" s="137" t="str">
        <f>IF($Q940&lt;&gt;"",IF($Q940="W","L","W"),"")</f>
        <v/>
      </c>
      <c r="R942" s="20"/>
      <c r="S942" s="20"/>
      <c r="T942" s="20"/>
      <c r="U942" s="20"/>
      <c r="V942" s="20"/>
      <c r="W942" s="20"/>
      <c r="X942" s="26"/>
      <c r="Y942" s="26"/>
      <c r="Z942" s="20"/>
      <c r="AA942" s="20"/>
      <c r="AB942" s="20"/>
      <c r="AC942" s="20"/>
      <c r="AD942" s="20"/>
      <c r="AE942" s="20"/>
      <c r="AF942" s="27"/>
    </row>
    <row r="943" spans="1:32" ht="12.75" customHeight="1">
      <c r="A943" s="301"/>
      <c r="B943" s="295"/>
      <c r="C943" s="296"/>
      <c r="D943" s="296"/>
      <c r="E943" s="296"/>
      <c r="F943" s="296"/>
      <c r="G943" s="296"/>
      <c r="H943" s="270"/>
      <c r="I943" s="270"/>
      <c r="J943" s="266"/>
      <c r="K943" s="266"/>
      <c r="L943" s="266"/>
      <c r="M943" s="267"/>
      <c r="N943" s="268"/>
      <c r="O943" s="268"/>
      <c r="P943" s="269"/>
      <c r="Q943" s="139" t="str">
        <f>IF($Q942&lt;&gt;"",IF($Q942="W",IF(SUM(IF($H942&gt;$H940,1,0),IF($I942&gt;$I940,1,0),IF($J942&gt;$J940,1,0),IF($K942&gt;$K940,1,0),IF($L942&gt;$L940,1,0))&lt;&gt;3,"Error",""),""),"")</f>
        <v/>
      </c>
      <c r="R943" s="20"/>
      <c r="S943" s="20"/>
      <c r="T943" s="20"/>
      <c r="U943" s="20"/>
      <c r="V943" s="20"/>
      <c r="W943" s="20"/>
      <c r="X943" s="26"/>
      <c r="Y943" s="26"/>
      <c r="Z943" s="20"/>
      <c r="AA943" s="20"/>
      <c r="AB943" s="20"/>
      <c r="AC943" s="20"/>
      <c r="AD943" s="20"/>
      <c r="AE943" s="20"/>
      <c r="AF943" s="27"/>
    </row>
    <row r="944" spans="1:32" ht="12.75" customHeight="1">
      <c r="Q944" s="7"/>
      <c r="R944" s="20"/>
      <c r="S944" s="20"/>
      <c r="T944" s="20"/>
      <c r="U944" s="20"/>
      <c r="V944" s="20"/>
      <c r="W944" s="20"/>
      <c r="X944" s="26"/>
      <c r="Y944" s="26"/>
      <c r="Z944" s="20"/>
      <c r="AA944" s="20"/>
      <c r="AB944" s="20"/>
      <c r="AC944" s="20"/>
      <c r="AD944" s="20"/>
      <c r="AE944" s="20"/>
      <c r="AF944" s="27"/>
    </row>
    <row r="945" spans="1:32" ht="12.75" customHeight="1">
      <c r="A945" s="21" t="s">
        <v>1235</v>
      </c>
      <c r="H945" s="136" t="str">
        <f>IF($Q947&lt;&gt;"",IF(AND(AND($H947&gt;-1,$H949&gt;-1),OR($H947&gt;10,$H949&gt;10),ABS($H947-$H949)&gt;1,IF(OR($H947&gt;11,$H949&gt;11),ABS($H947-$H949)=2,TRUE),$H947=INT($H947),$H949=INT($H949)),"","Error"),"")</f>
        <v/>
      </c>
      <c r="I945" s="136" t="str">
        <f>IF($Q947&lt;&gt;"",IF(AND(AND($I947&gt;-1,$I949&gt;-1),OR($I947&gt;10,$I949&gt;10),ABS($I947-$I949)&gt;1,IF(OR($I947&gt;11,$I949&gt;11),ABS($I947-$I949)=2,TRUE),$I947=INT($I947),$I949=INT($I949)),"","Error"),"")</f>
        <v/>
      </c>
      <c r="J945" s="136" t="str">
        <f>IF($Q947&lt;&gt;"",IF(AND(AND($J947&gt;-1,$J949&gt;-1),OR($J947&gt;10,$J949&gt;10),ABS($J947-$J949)&gt;1,IF(OR($J947&gt;11,$J949&gt;11),ABS($J947-$J949)=2,TRUE),$J947=INT($J947),$J949=INT($J949)),"","Error"),"")</f>
        <v/>
      </c>
      <c r="K945" s="136" t="str">
        <f>IF($Q947&lt;&gt;"",IF(AND($K947&lt;&gt;"",$K949&lt;&gt;""), IF(AND(AND($K947&gt;-1,$K949&gt;-1),OR($K947&gt;10,$K949&gt;10),ABS($K947-$K949)&gt;1,IF(OR($K947&gt;11,$K949&gt;11),ABS($K947-$K949)=2,TRUE),$K947=INT($K947),$K949=INT($K949)),"","Error"),""),"")</f>
        <v/>
      </c>
      <c r="L945" s="136" t="str">
        <f>IF($Q947&lt;&gt;"",IF(AND($L947&lt;&gt;"",$L949&lt;&gt;""), IF(AND(AND($L947&gt;-1,$L949&gt;-1),OR($L947&gt;10,$L949&gt;10),ABS($L947-$L949)&gt;1,IF(OR($L947&gt;11,$L949&gt;11),ABS($L947-$L949)=2,TRUE),$L947=INT($L947),$L949=INT($L949)),"","Error"),""),"")</f>
        <v/>
      </c>
      <c r="Q945" s="7"/>
      <c r="R945" s="20"/>
      <c r="S945" s="20"/>
      <c r="T945" s="20"/>
      <c r="U945" s="20"/>
      <c r="V945" s="20"/>
      <c r="W945" s="20"/>
      <c r="X945" s="26"/>
      <c r="Y945" s="26"/>
      <c r="Z945" s="20"/>
      <c r="AA945" s="20"/>
      <c r="AB945" s="20"/>
      <c r="AC945" s="20"/>
      <c r="AD945" s="20"/>
      <c r="AE945" s="20"/>
      <c r="AF945" s="27"/>
    </row>
    <row r="946" spans="1:32" ht="12.75" customHeight="1">
      <c r="A946" s="5" t="s">
        <v>1228</v>
      </c>
      <c r="B946" s="290" t="s">
        <v>1126</v>
      </c>
      <c r="C946" s="291"/>
      <c r="D946" s="291"/>
      <c r="E946" s="291"/>
      <c r="F946" s="291"/>
      <c r="G946" s="292"/>
      <c r="H946" s="5">
        <v>1</v>
      </c>
      <c r="I946" s="5">
        <v>2</v>
      </c>
      <c r="J946" s="5">
        <v>3</v>
      </c>
      <c r="K946" s="5">
        <v>4</v>
      </c>
      <c r="L946" s="5">
        <v>5</v>
      </c>
      <c r="M946" s="271"/>
      <c r="N946" s="272"/>
      <c r="O946" s="272"/>
      <c r="P946" s="273"/>
      <c r="Q946" s="7"/>
      <c r="R946" s="20"/>
      <c r="S946" s="20"/>
      <c r="T946" s="20"/>
      <c r="U946" s="20"/>
      <c r="V946" s="20"/>
      <c r="W946" s="20"/>
      <c r="X946" s="26"/>
      <c r="Y946" s="26"/>
      <c r="Z946" s="20"/>
      <c r="AA946" s="20"/>
      <c r="AB946" s="20"/>
      <c r="AC946" s="20"/>
      <c r="AD946" s="20"/>
      <c r="AE946" s="20"/>
      <c r="AF946" s="27"/>
    </row>
    <row r="947" spans="1:32" ht="12.75" customHeight="1">
      <c r="A947" s="300" t="str">
        <f>B927</f>
        <v>A</v>
      </c>
      <c r="B947" s="293" t="str">
        <f ca="1">IF(AND(OFFSET($AO$1,$C927-1,8,1,1),$A928&lt;&gt;"",$J928&lt;&gt;""),CHOOSE($C927,$AQ$1,$AQ$2,$AQ$3,$AQ$4,$AQ$5,$AQ$6,$AQ$7,$AQ$8,$AQ$9,$AQ$10,$AQ$11,$AQ$12),"")</f>
        <v/>
      </c>
      <c r="C947" s="294"/>
      <c r="D947" s="294"/>
      <c r="E947" s="294"/>
      <c r="F947" s="294"/>
      <c r="G947" s="294"/>
      <c r="H947" s="265"/>
      <c r="I947" s="265"/>
      <c r="J947" s="265"/>
      <c r="K947" s="265"/>
      <c r="L947" s="265"/>
      <c r="M947" s="262" t="str">
        <f ca="1">IF(OR(AND($B940&lt;&gt;"",$B947&lt;&gt;"",$D958&lt;=$C958),AND($B942&lt;&gt;"",$B949&lt;&gt;"",$H958&lt;=$G958)),"Invalid Lineup","")</f>
        <v/>
      </c>
      <c r="N947" s="263"/>
      <c r="O947" s="263"/>
      <c r="P947" s="264"/>
      <c r="Q947" s="137" t="str">
        <f>IF($L947=$L949,IF($K947=$K949,IF($J947&lt;&gt;"",IF($J947&gt;$J949,"W","L"),""),IF($K947&gt;$K949,"W","L")),IF($L947&gt;$L949,"W","L"))</f>
        <v/>
      </c>
      <c r="R947" s="20"/>
      <c r="S947" s="20"/>
      <c r="T947" s="20"/>
      <c r="U947" s="20"/>
      <c r="V947" s="20"/>
      <c r="W947" s="20"/>
      <c r="X947" s="26"/>
      <c r="Y947" s="26"/>
      <c r="Z947" s="20"/>
      <c r="AA947" s="20"/>
      <c r="AB947" s="20"/>
      <c r="AC947" s="20"/>
      <c r="AD947" s="20"/>
      <c r="AE947" s="20"/>
      <c r="AF947" s="27"/>
    </row>
    <row r="948" spans="1:32" ht="12.75" customHeight="1">
      <c r="A948" s="301"/>
      <c r="B948" s="295"/>
      <c r="C948" s="296"/>
      <c r="D948" s="296"/>
      <c r="E948" s="296"/>
      <c r="F948" s="296"/>
      <c r="G948" s="296"/>
      <c r="H948" s="270"/>
      <c r="I948" s="270"/>
      <c r="J948" s="270"/>
      <c r="K948" s="270"/>
      <c r="L948" s="270"/>
      <c r="M948" s="262"/>
      <c r="N948" s="263"/>
      <c r="O948" s="263"/>
      <c r="P948" s="264"/>
      <c r="Q948" s="139" t="str">
        <f>IF($Q947&lt;&gt;"",IF($Q947="W",IF(SUM(IF($H947&gt;$H949,1,0),IF($I947&gt;$I949,1,0),IF($J947&gt;$J949,1,0),IF($K947&gt;$K949,1,0),IF($L947&gt;$L949,1,0))&lt;&gt;3,"Error",""),""),"")</f>
        <v/>
      </c>
      <c r="R948" s="328" t="str">
        <f>$A928</f>
        <v/>
      </c>
      <c r="S948" s="328"/>
      <c r="T948" s="328"/>
      <c r="U948" s="328"/>
      <c r="V948" s="328"/>
      <c r="W948" s="328"/>
      <c r="X948" s="256" t="str">
        <f>CONCATENATE("(",$B927," vs ",$K927,")")</f>
        <v>(A vs E)</v>
      </c>
      <c r="Y948" s="256"/>
      <c r="Z948" s="328" t="str">
        <f>$J928</f>
        <v/>
      </c>
      <c r="AA948" s="328"/>
      <c r="AB948" s="328"/>
      <c r="AC948" s="328"/>
      <c r="AD948" s="328"/>
      <c r="AE948" s="328"/>
      <c r="AF948" s="100"/>
    </row>
    <row r="949" spans="1:32" ht="12.75" customHeight="1">
      <c r="A949" s="300" t="str">
        <f>K927</f>
        <v>E</v>
      </c>
      <c r="B949" s="293" t="str">
        <f ca="1">IF(AND(OFFSET($AO$1,$L927-1,8,1,1),$A928&lt;&gt;"",$J928&lt;&gt;""),CHOOSE($L927,$AQ$1,$AQ$2,$AQ$3,$AQ$4,$AQ$5,$AQ$6,$AQ$7,$AQ$8,$AQ$9,$AQ$10,$AQ$11,$AQ$12),"")</f>
        <v/>
      </c>
      <c r="C949" s="294"/>
      <c r="D949" s="294"/>
      <c r="E949" s="294"/>
      <c r="F949" s="294"/>
      <c r="G949" s="294"/>
      <c r="H949" s="265"/>
      <c r="I949" s="265"/>
      <c r="J949" s="265"/>
      <c r="K949" s="265"/>
      <c r="L949" s="265"/>
      <c r="M949" s="267" t="s">
        <v>1237</v>
      </c>
      <c r="N949" s="268"/>
      <c r="O949" s="268"/>
      <c r="P949" s="269"/>
      <c r="Q949" s="137" t="str">
        <f>IF($Q947&lt;&gt;"",IF($Q947="W","L","W"),"")</f>
        <v/>
      </c>
      <c r="R949" s="100"/>
      <c r="S949" s="100"/>
      <c r="T949" s="100"/>
      <c r="U949" s="100"/>
      <c r="V949" s="100"/>
      <c r="W949" s="100"/>
      <c r="X949" s="100"/>
      <c r="Y949" s="100"/>
      <c r="Z949" s="100"/>
      <c r="AA949" s="100"/>
      <c r="AB949" s="100"/>
      <c r="AC949" s="100"/>
      <c r="AD949" s="100"/>
      <c r="AE949" s="100"/>
      <c r="AF949" s="100"/>
    </row>
    <row r="950" spans="1:32" ht="12.75" customHeight="1">
      <c r="A950" s="301"/>
      <c r="B950" s="295"/>
      <c r="C950" s="296"/>
      <c r="D950" s="296"/>
      <c r="E950" s="296"/>
      <c r="F950" s="296"/>
      <c r="G950" s="296"/>
      <c r="H950" s="270"/>
      <c r="I950" s="270"/>
      <c r="J950" s="266"/>
      <c r="K950" s="266"/>
      <c r="L950" s="266"/>
      <c r="M950" s="267"/>
      <c r="N950" s="268"/>
      <c r="O950" s="268"/>
      <c r="P950" s="269"/>
      <c r="Q950" s="139" t="str">
        <f>IF($Q949&lt;&gt;"",IF($Q949="W",IF(SUM(IF($H949&gt;$H947,1,0),IF($I949&gt;$I947,1,0),IF($J949&gt;$J947,1,0),IF($K949&gt;$K947,1,0),IF($L949&gt;$L947,1,0))&lt;&gt;3,"Error",""),""),"")</f>
        <v/>
      </c>
      <c r="R950" s="43" t="str">
        <f>$A945</f>
        <v>3rd Singles</v>
      </c>
      <c r="S950" s="43"/>
      <c r="T950" s="43"/>
      <c r="U950" s="43"/>
      <c r="V950" s="43"/>
      <c r="W950" s="43"/>
      <c r="X950" s="43"/>
      <c r="Y950" s="43"/>
      <c r="Z950" s="43"/>
      <c r="AA950" s="43"/>
      <c r="AB950" s="43"/>
      <c r="AC950" s="43"/>
      <c r="AD950" s="43"/>
      <c r="AE950" s="43"/>
      <c r="AF950" s="43"/>
    </row>
    <row r="951" spans="1:32" ht="12.75" customHeight="1">
      <c r="Q951" s="7"/>
      <c r="R951" s="60" t="s">
        <v>1228</v>
      </c>
      <c r="S951" s="101" t="s">
        <v>1126</v>
      </c>
      <c r="T951" s="102"/>
      <c r="U951" s="102"/>
      <c r="V951" s="102"/>
      <c r="W951" s="102"/>
      <c r="X951" s="103"/>
      <c r="Y951" s="60">
        <v>1</v>
      </c>
      <c r="Z951" s="60">
        <v>2</v>
      </c>
      <c r="AA951" s="60">
        <v>3</v>
      </c>
      <c r="AB951" s="60">
        <v>4</v>
      </c>
      <c r="AC951" s="60">
        <v>5</v>
      </c>
      <c r="AD951" s="104"/>
      <c r="AE951" s="105"/>
      <c r="AF951" s="106"/>
    </row>
    <row r="952" spans="1:32" ht="12.75" customHeight="1">
      <c r="A952" s="21" t="s">
        <v>1236</v>
      </c>
      <c r="H952" s="136" t="str">
        <f ca="1">IF($Q954&lt;&gt;"",IF(AND($B954&lt;&gt;"Missing Player",$B956&lt;&gt;"Missing Player"),IF(AND(AND($H954&gt;-1,$H956&gt;-1),OR($H954&gt;10,$H956&gt;10),ABS($H954-$H956)&gt;1,IF(OR($H954&gt;11,$H956&gt;11),ABS($H954-$H956)=2,TRUE),$H954=INT($H954),$H956=INT($H956)),"","Error"),""),"")</f>
        <v/>
      </c>
      <c r="I952" s="136" t="str">
        <f ca="1">IF($Q954&lt;&gt;"",IF(AND($B954&lt;&gt;"Missing Player",$B956&lt;&gt;"Missing Player"),IF(AND(AND($I954&gt;-1,$I956&gt;-1),OR($I954&gt;10,$I956&gt;10),ABS($I954-$I956)&gt;1,IF(OR($I954&gt;11,$I956&gt;11),ABS($I954-$I956)=2,TRUE),$I954=INT($I954),$I956=INT($I956)),"","Error"),""),"")</f>
        <v/>
      </c>
      <c r="J952" s="136" t="str">
        <f ca="1">IF($Q954&lt;&gt;"",IF(AND($B954&lt;&gt;"Missing Player",$B956&lt;&gt;"Missing Player"),IF(AND(AND($J954&gt;-1,$J956&gt;-1),OR($J954&gt;10,$J956&gt;10),ABS($J954-$J956)&gt;1,IF(OR($J954&gt;11,$J956&gt;11),ABS($J954-$J956)=2,TRUE),$J954=INT($J954),$J956=INT($J956)),"","Error"),""),"")</f>
        <v/>
      </c>
      <c r="K952" s="136" t="str">
        <f ca="1">IF($Q954&lt;&gt;"",IF(AND($K954&lt;&gt;"",$K956&lt;&gt;""), IF(AND(AND($K954&gt;-1,$K956&gt;-1),OR($K954&gt;10,$K956&gt;10),ABS($K954-$K956)&gt;1,IF(OR($K954&gt;11,$K956&gt;11),ABS($K954-$K956)=2,TRUE),$K954=INT($K954),$K956=INT($K956)),"","Error"),""),"")</f>
        <v/>
      </c>
      <c r="L952" s="136" t="str">
        <f ca="1">IF($Q954&lt;&gt;"",IF(AND($L954&lt;&gt;"",$L956&lt;&gt;""), IF(AND(AND($L954&gt;-1,$L956&gt;-1),OR($L954&gt;10,$L956&gt;10),ABS($L954-$L956)&gt;1,IF(OR($L954&gt;11,$L956&gt;11),ABS($L954-$L956)=2,TRUE),$L954=INT($L954),$L956=INT($L956)),"","Error"),""),"")</f>
        <v/>
      </c>
      <c r="Q952" s="7"/>
      <c r="R952" s="300" t="str">
        <f>$B927</f>
        <v>A</v>
      </c>
      <c r="S952" s="331" t="str">
        <f ca="1">IF($B947&lt;&gt;"",$B947,"")</f>
        <v/>
      </c>
      <c r="T952" s="332"/>
      <c r="U952" s="332"/>
      <c r="V952" s="332"/>
      <c r="W952" s="332"/>
      <c r="X952" s="333"/>
      <c r="Y952" s="329"/>
      <c r="Z952" s="329"/>
      <c r="AA952" s="329"/>
      <c r="AB952" s="329"/>
      <c r="AC952" s="329"/>
      <c r="AD952" s="345"/>
      <c r="AE952" s="358"/>
      <c r="AF952" s="359"/>
    </row>
    <row r="953" spans="1:32" ht="12.75" customHeight="1">
      <c r="A953" s="5" t="s">
        <v>1228</v>
      </c>
      <c r="B953" s="290" t="s">
        <v>1126</v>
      </c>
      <c r="C953" s="291"/>
      <c r="D953" s="291"/>
      <c r="E953" s="291"/>
      <c r="F953" s="291"/>
      <c r="G953" s="292"/>
      <c r="H953" s="5">
        <v>1</v>
      </c>
      <c r="I953" s="5">
        <v>2</v>
      </c>
      <c r="J953" s="5">
        <v>3</v>
      </c>
      <c r="K953" s="5">
        <v>4</v>
      </c>
      <c r="L953" s="5">
        <v>5</v>
      </c>
      <c r="M953" s="271"/>
      <c r="N953" s="272"/>
      <c r="O953" s="272"/>
      <c r="P953" s="273"/>
      <c r="Q953" s="7"/>
      <c r="R953" s="330"/>
      <c r="S953" s="334"/>
      <c r="T953" s="335"/>
      <c r="U953" s="335"/>
      <c r="V953" s="335"/>
      <c r="W953" s="335"/>
      <c r="X953" s="336"/>
      <c r="Y953" s="330"/>
      <c r="Z953" s="330"/>
      <c r="AA953" s="330"/>
      <c r="AB953" s="330"/>
      <c r="AC953" s="330"/>
      <c r="AD953" s="360"/>
      <c r="AE953" s="361"/>
      <c r="AF953" s="362"/>
    </row>
    <row r="954" spans="1:32" ht="12.75" customHeight="1">
      <c r="A954" s="300" t="str">
        <f>B927</f>
        <v>A</v>
      </c>
      <c r="B954" s="293" t="str">
        <f ca="1">IF(AND(OFFSET($AO$1,$C927-1,8,1,1),$A928&lt;&gt;"",$J928&lt;&gt;""),CHOOSE($C927,$AR$1,$AR$2,$AR$3,$AR$4,$AR$5,$AR$6,$AR$7,$AR$8,$AR$9,$AR$10,$AR$11,$AR$12),"")</f>
        <v/>
      </c>
      <c r="C954" s="294"/>
      <c r="D954" s="294"/>
      <c r="E954" s="294"/>
      <c r="F954" s="294"/>
      <c r="G954" s="294"/>
      <c r="H954" s="265"/>
      <c r="I954" s="265"/>
      <c r="J954" s="265"/>
      <c r="K954" s="265"/>
      <c r="L954" s="265" t="str">
        <f ca="1">IF(AND($B954&lt;&gt;"",$Q933&lt;&gt;""),IF($B954="Missing Player",0,IF($B956="Missing Player",11,"")),"")</f>
        <v/>
      </c>
      <c r="M954" s="262" t="str">
        <f ca="1">IF(OR(AND($B947&lt;&gt;"",$B954&lt;&gt;"",$E958&lt;=$D958),AND($B949&lt;&gt;"",$B956&lt;&gt;"",$I958&lt;=$H958)),"Invalid Lineup","")</f>
        <v/>
      </c>
      <c r="N954" s="263"/>
      <c r="O954" s="263"/>
      <c r="P954" s="264"/>
      <c r="Q954" s="137" t="str">
        <f ca="1">IF($L954=$L956,IF($K954=$K956,IF($J954&lt;&gt;"",IF($J954&gt;$J956,"W","L"),""),IF($K954&gt;$K956,"W","L")),IF($L954&gt;$L956,"W","L"))</f>
        <v/>
      </c>
      <c r="R954" s="300" t="str">
        <f>$K927</f>
        <v>E</v>
      </c>
      <c r="S954" s="331" t="str">
        <f ca="1">IF($B949&lt;&gt;"",$B949,"")</f>
        <v/>
      </c>
      <c r="T954" s="332"/>
      <c r="U954" s="332"/>
      <c r="V954" s="332"/>
      <c r="W954" s="332"/>
      <c r="X954" s="333"/>
      <c r="Y954" s="329"/>
      <c r="Z954" s="329"/>
      <c r="AA954" s="329"/>
      <c r="AB954" s="329"/>
      <c r="AC954" s="351"/>
      <c r="AD954" s="363" t="s">
        <v>1237</v>
      </c>
      <c r="AE954" s="358"/>
      <c r="AF954" s="359"/>
    </row>
    <row r="955" spans="1:32" ht="12.75" customHeight="1">
      <c r="A955" s="301"/>
      <c r="B955" s="295"/>
      <c r="C955" s="296"/>
      <c r="D955" s="296"/>
      <c r="E955" s="296"/>
      <c r="F955" s="296"/>
      <c r="G955" s="296"/>
      <c r="H955" s="270"/>
      <c r="I955" s="270"/>
      <c r="J955" s="270"/>
      <c r="K955" s="270"/>
      <c r="L955" s="270"/>
      <c r="M955" s="262"/>
      <c r="N955" s="263"/>
      <c r="O955" s="263"/>
      <c r="P955" s="264"/>
      <c r="Q955" s="139" t="str">
        <f ca="1">IF($Q954&lt;&gt;"",IF($B956&lt;&gt;"Missing Player",IF($Q954="W",IF(SUM(IF($H954&gt;$H956,1,0),IF($I954&gt;$I956,1,0),IF($J954&gt;$J956,1,0),IF($K954&gt;$K956,1,0),IF($L954&gt;$L956,1,0))&lt;&gt;3,"Error",""),""),""),"")</f>
        <v/>
      </c>
      <c r="R955" s="330"/>
      <c r="S955" s="334"/>
      <c r="T955" s="335"/>
      <c r="U955" s="335"/>
      <c r="V955" s="335"/>
      <c r="W955" s="335"/>
      <c r="X955" s="336"/>
      <c r="Y955" s="330"/>
      <c r="Z955" s="330"/>
      <c r="AA955" s="330"/>
      <c r="AB955" s="330"/>
      <c r="AC955" s="330"/>
      <c r="AD955" s="360"/>
      <c r="AE955" s="361"/>
      <c r="AF955" s="362"/>
    </row>
    <row r="956" spans="1:32" ht="12.75" customHeight="1">
      <c r="A956" s="300" t="str">
        <f>K927</f>
        <v>E</v>
      </c>
      <c r="B956" s="293" t="str">
        <f ca="1">IF(AND(OFFSET($AO$1,$L927-1,8,1,1),$A928&lt;&gt;"",$J928&lt;&gt;""),CHOOSE($L927,$AR$1,$AR$2,$AR$3,$AR$4,$AR$5,$AR$6,$AR$7,$AR$8,$AR$9,$AR$10,$AR$11,$AR$12),"")</f>
        <v/>
      </c>
      <c r="C956" s="294"/>
      <c r="D956" s="294"/>
      <c r="E956" s="294"/>
      <c r="F956" s="294"/>
      <c r="G956" s="294"/>
      <c r="H956" s="265"/>
      <c r="I956" s="265"/>
      <c r="J956" s="265"/>
      <c r="K956" s="265"/>
      <c r="L956" s="265" t="str">
        <f ca="1">IF(AND($B956&lt;&gt;"",$Q933&lt;&gt;""),IF($B956="Missing Player",0,IF($B954="Missing Player",11,"")),"")</f>
        <v/>
      </c>
      <c r="M956" s="267" t="s">
        <v>1237</v>
      </c>
      <c r="N956" s="268"/>
      <c r="O956" s="268"/>
      <c r="P956" s="269"/>
      <c r="Q956" s="137" t="str">
        <f ca="1">IF($Q954&lt;&gt;"",IF($Q954="W","L","W"),"")</f>
        <v/>
      </c>
      <c r="R956" s="112"/>
      <c r="S956" s="98"/>
      <c r="T956" s="108"/>
      <c r="U956" s="108"/>
      <c r="V956" s="108"/>
      <c r="W956" s="108"/>
      <c r="X956" s="108"/>
      <c r="Y956" s="113"/>
      <c r="Z956" s="113"/>
      <c r="AA956" s="113"/>
      <c r="AB956" s="113"/>
      <c r="AC956" s="113"/>
      <c r="AD956" s="107"/>
      <c r="AE956" s="109"/>
      <c r="AF956" s="109"/>
    </row>
    <row r="957" spans="1:32" ht="12.75" customHeight="1">
      <c r="A957" s="301"/>
      <c r="B957" s="295"/>
      <c r="C957" s="296"/>
      <c r="D957" s="296"/>
      <c r="E957" s="296"/>
      <c r="F957" s="296"/>
      <c r="G957" s="296"/>
      <c r="H957" s="270"/>
      <c r="I957" s="270"/>
      <c r="J957" s="266"/>
      <c r="K957" s="266"/>
      <c r="L957" s="266"/>
      <c r="M957" s="267"/>
      <c r="N957" s="268"/>
      <c r="O957" s="268"/>
      <c r="P957" s="269"/>
      <c r="Q957" s="139" t="str">
        <f ca="1">IF($Q956&lt;&gt;"",IF($B954&lt;&gt;"Missing Player",IF($Q956="W",IF(SUM(IF($H956&gt;$H954,1,0),IF($I956&gt;$I954,1,0),IF($J956&gt;$J954,1,0),IF($K956&gt;$K954,1,0),IF($L956&gt;$L954,1,0))&lt;&gt;3,"Error",""),""),""),"")</f>
        <v/>
      </c>
      <c r="R957" s="114"/>
      <c r="S957" s="115"/>
      <c r="T957" s="115"/>
      <c r="U957" s="115"/>
      <c r="V957" s="115"/>
      <c r="W957" s="115"/>
      <c r="X957" s="115"/>
      <c r="Y957" s="114"/>
      <c r="Z957" s="114"/>
      <c r="AA957" s="114"/>
      <c r="AB957" s="114"/>
      <c r="AC957" s="114"/>
      <c r="AD957" s="114"/>
      <c r="AE957" s="114"/>
      <c r="AF957" s="114"/>
    </row>
    <row r="958" spans="1:32" ht="12.75" customHeight="1">
      <c r="B958" s="140" t="str">
        <f ca="1">IF(ISERROR(VLOOKUP($B933&amp;"("&amp;$B927&amp;")",Players!$S$4:$T$132,2,FALSE)),"",VLOOKUP($B933&amp;"("&amp;$B927&amp;")",Players!$S$4:$T$132,2,FALSE))</f>
        <v>A1</v>
      </c>
      <c r="C958" s="140" t="str">
        <f ca="1">IF(ISERROR(VLOOKUP($B940&amp;"("&amp;$B927&amp;")",Players!$S$4:$T$132,2,FALSE)),"",VLOOKUP($B940&amp;"("&amp;$B927&amp;")",Players!$S$4:$T$132,2,FALSE))</f>
        <v>A1</v>
      </c>
      <c r="D958" s="141" t="str">
        <f ca="1">IF(ISERROR(VLOOKUP($B947&amp;"("&amp;$B927&amp;")",Players!$S$4:$T$132,2,FALSE)),"",VLOOKUP($B947&amp;"("&amp;$B927&amp;")",Players!$S$4:$T$132,2,FALSE))</f>
        <v>A1</v>
      </c>
      <c r="E958" s="141" t="str">
        <f ca="1">IF(ISERROR(VLOOKUP($B954&amp;"("&amp;$B927&amp;")",Players!$S$4:$T$132,2,FALSE)),"",VLOOKUP($B954&amp;"("&amp;$B927&amp;")",Players!$S$4:$T$132,2,FALSE))</f>
        <v>A1</v>
      </c>
      <c r="F958" s="141" t="str">
        <f ca="1">IF(ISERROR(VLOOKUP($B935&amp;"("&amp;$K927&amp;")",Players!$S$4:$T$132,2,FALSE)),"",VLOOKUP($B935&amp;"("&amp;$K927&amp;")",Players!$S$4:$T$132,2,FALSE))</f>
        <v>E1</v>
      </c>
      <c r="G958" s="141" t="str">
        <f ca="1">IF(ISERROR(VLOOKUP($B942&amp;"("&amp;$K927&amp;")",Players!$S$4:$T$132,2,FALSE)),"",VLOOKUP($B942&amp;"("&amp;$K927&amp;")",Players!$S$4:$T$132,2,FALSE))</f>
        <v>E1</v>
      </c>
      <c r="H958" s="141" t="str">
        <f ca="1">IF(ISERROR(VLOOKUP($B949&amp;"("&amp;$K927&amp;")",Players!$S$4:$T$132,2,FALSE)),"",VLOOKUP($B949&amp;"("&amp;$K927&amp;")",Players!$S$4:$T$132,2,FALSE))</f>
        <v>E1</v>
      </c>
      <c r="I958" s="141" t="str">
        <f ca="1">IF(ISERROR(VLOOKUP($B956&amp;"("&amp;$K927&amp;")",Players!$S$4:$T$132,2,FALSE)),"",VLOOKUP($B956&amp;"("&amp;$K927&amp;")",Players!$S$4:$T$132,2,FALSE))</f>
        <v>E1</v>
      </c>
      <c r="Q958" s="7"/>
      <c r="R958" s="50"/>
      <c r="S958" s="116"/>
      <c r="T958" s="115"/>
      <c r="U958" s="115"/>
      <c r="V958" s="115"/>
      <c r="W958" s="115"/>
      <c r="X958" s="115"/>
      <c r="Y958" s="99"/>
      <c r="Z958" s="99"/>
      <c r="AA958" s="99"/>
      <c r="AB958" s="99"/>
      <c r="AC958" s="117"/>
      <c r="AD958" s="118"/>
      <c r="AE958" s="114"/>
      <c r="AF958" s="114"/>
    </row>
    <row r="959" spans="1:32" ht="12.75" customHeight="1">
      <c r="A959" s="21" t="s">
        <v>1225</v>
      </c>
      <c r="H959" s="136" t="str">
        <f ca="1">IF($Q961&lt;&gt;"",IF(AND($B962&lt;&gt;"Missing Player",$B964&lt;&gt;"Missing Player"),IF(AND(AND($H961&gt;-1,$H963&gt;-1),OR($H961&gt;10,$H963&gt;10),ABS($H961-$H963)&gt;1,IF(OR($H961&gt;11,$H963&gt;11),ABS($H961-$H963)=2,TRUE),$H961=INT($H961),$H963=INT($H963)),"","Error"),""),"")</f>
        <v/>
      </c>
      <c r="I959" s="136" t="str">
        <f ca="1">IF($Q961&lt;&gt;"",IF(AND($B962&lt;&gt;"Missing Player",$B964&lt;&gt;"Missing Player"),IF(AND(AND($I961&gt;-1,$I963&gt;-1),OR($I961&gt;10,$I963&gt;10),ABS($I961-$I963)&gt;1,IF(OR($I961&gt;11,$I963&gt;11),ABS($I961-$I963)=2,TRUE),$I961=INT($I961),$I963=INT($I963)),"","Error"),""),"")</f>
        <v/>
      </c>
      <c r="J959" s="136" t="str">
        <f ca="1">IF($Q961&lt;&gt;"",IF(AND($B962&lt;&gt;"Missing Player",$B964&lt;&gt;"Missing Player"),IF(AND(AND($J961&gt;-1,$J963&gt;-1),OR($J961&gt;10,$J963&gt;10),ABS($J961-$J963)&gt;1,IF(OR($J961&gt;11,$J963&gt;11),ABS($J961-$J963)=2,TRUE),$J961=INT($J961),$J963=INT($J963)),"","Error"),""),"")</f>
        <v/>
      </c>
      <c r="K959" s="136" t="str">
        <f ca="1">IF($Q961&lt;&gt;"",IF(AND($K961&lt;&gt;"",$K963&lt;&gt;""), IF(AND(AND($K961&gt;-1,$K963&gt;-1),OR($K961&gt;10,$K963&gt;10),ABS($K961-$K963)&gt;1,IF(OR($K961&gt;11,$K963&gt;11),ABS($K961-$K963)=2,TRUE),$K961=INT($K961),$K963=INT($K963)),"","Error"),""),"")</f>
        <v/>
      </c>
      <c r="L959" s="136" t="str">
        <f ca="1">IF($Q961&lt;&gt;"",IF(AND($L961&lt;&gt;"",$L963&lt;&gt;""), IF(AND(AND($L961&gt;-1,$L963&gt;-1),OR($L961&gt;10,$L963&gt;10),ABS($L961-$L963)&gt;1,IF(OR($L961&gt;11,$L963&gt;11),ABS($L961-$L963)=2,TRUE),$L961=INT($L961),$L963=INT($L963)),"","Error"),""),"")</f>
        <v/>
      </c>
      <c r="Q959" s="7"/>
      <c r="R959" s="114"/>
      <c r="S959" s="115"/>
      <c r="T959" s="115"/>
      <c r="U959" s="115"/>
      <c r="V959" s="115"/>
      <c r="W959" s="115"/>
      <c r="X959" s="115"/>
      <c r="Y959" s="114"/>
      <c r="Z959" s="114"/>
      <c r="AA959" s="114"/>
      <c r="AB959" s="114"/>
      <c r="AC959" s="114"/>
      <c r="AD959" s="114"/>
      <c r="AE959" s="114"/>
      <c r="AF959" s="114"/>
    </row>
    <row r="960" spans="1:32" ht="12.75" customHeight="1">
      <c r="A960" s="5" t="s">
        <v>1228</v>
      </c>
      <c r="B960" s="290" t="s">
        <v>1126</v>
      </c>
      <c r="C960" s="291"/>
      <c r="D960" s="291"/>
      <c r="E960" s="291"/>
      <c r="F960" s="291"/>
      <c r="G960" s="292"/>
      <c r="H960" s="5">
        <v>1</v>
      </c>
      <c r="I960" s="5">
        <v>2</v>
      </c>
      <c r="J960" s="5">
        <v>3</v>
      </c>
      <c r="K960" s="5">
        <v>4</v>
      </c>
      <c r="L960" s="5">
        <v>5</v>
      </c>
      <c r="M960" s="271"/>
      <c r="N960" s="272"/>
      <c r="O960" s="272"/>
      <c r="P960" s="273"/>
      <c r="Q960" s="8"/>
      <c r="S960" s="24"/>
      <c r="T960" s="26"/>
    </row>
    <row r="961" spans="1:32" ht="12.75" customHeight="1">
      <c r="A961" s="300" t="str">
        <f>B927</f>
        <v>A</v>
      </c>
      <c r="B961" s="311" t="str">
        <f ca="1">IF($B933&lt;&gt;"",$B933,"")</f>
        <v/>
      </c>
      <c r="C961" s="312"/>
      <c r="D961" s="312"/>
      <c r="E961" s="312"/>
      <c r="F961" s="312"/>
      <c r="G961" s="313"/>
      <c r="H961" s="265"/>
      <c r="I961" s="265"/>
      <c r="J961" s="265"/>
      <c r="K961" s="265"/>
      <c r="L961" s="265" t="str">
        <f ca="1">IF($B954&lt;&gt;"",IF(AND($B954="Missing Player",$G965=2,$J965=2),0,IF(AND($B956="Missing Player",$G965=2,$J965=2),11,"")),"")</f>
        <v/>
      </c>
      <c r="M961" s="262" t="str">
        <f ca="1">IF(OR(AND($B961&lt;&gt;"",$B962&lt;&gt;"",$B961=$B962),AND($B963&lt;&gt;"",$B964&lt;&gt;"",$B963=$B964)),"Invalid Partner","")</f>
        <v/>
      </c>
      <c r="N961" s="263"/>
      <c r="O961" s="263"/>
      <c r="P961" s="264"/>
      <c r="Q961" s="138" t="str">
        <f ca="1">IF(L961=L963,IF(K961=K963,IF(J961&lt;&gt;"",IF(J961&gt;J963,"W","L"),""),IF(K961&gt;K963,"W","L")),IF(L961&gt;L963,"W","L"))</f>
        <v/>
      </c>
      <c r="S961" s="24"/>
      <c r="T961" s="26"/>
    </row>
    <row r="962" spans="1:32" ht="12.75" customHeight="1">
      <c r="A962" s="324"/>
      <c r="B962" s="308" t="str">
        <f ca="1">IF($B954="Missing Player",$B954,"")</f>
        <v/>
      </c>
      <c r="C962" s="309"/>
      <c r="D962" s="309"/>
      <c r="E962" s="309"/>
      <c r="F962" s="309"/>
      <c r="G962" s="310"/>
      <c r="H962" s="270"/>
      <c r="I962" s="270"/>
      <c r="J962" s="270"/>
      <c r="K962" s="270"/>
      <c r="L962" s="270"/>
      <c r="M962" s="262"/>
      <c r="N962" s="263"/>
      <c r="O962" s="263"/>
      <c r="P962" s="264"/>
      <c r="Q962" s="139" t="str">
        <f ca="1">IF($Q961&lt;&gt;"",IF($B964&lt;&gt;"Missing Player",IF($Q961="W",IF(SUM(IF($H961&gt;$H963,1,0),IF($I961&gt;$I963,1,0),IF($J961&gt;$J963,1,0),IF($K961&gt;$K963,1,0),IF($L961&gt;$L963,1,0))&lt;&gt;3,"Error",""),""),""),"")</f>
        <v/>
      </c>
      <c r="R962" s="328" t="str">
        <f>$A928</f>
        <v/>
      </c>
      <c r="S962" s="328"/>
      <c r="T962" s="328"/>
      <c r="U962" s="328"/>
      <c r="V962" s="328"/>
      <c r="W962" s="328"/>
      <c r="X962" s="256" t="str">
        <f>CONCATENATE("(",$B927," vs ",$K927,")")</f>
        <v>(A vs E)</v>
      </c>
      <c r="Y962" s="256"/>
      <c r="Z962" s="328" t="str">
        <f>$J928</f>
        <v/>
      </c>
      <c r="AA962" s="328"/>
      <c r="AB962" s="328"/>
      <c r="AC962" s="328"/>
      <c r="AD962" s="328"/>
      <c r="AE962" s="328"/>
      <c r="AF962" s="43"/>
    </row>
    <row r="963" spans="1:32" ht="12.75" customHeight="1">
      <c r="A963" s="325" t="str">
        <f>K927</f>
        <v>E</v>
      </c>
      <c r="B963" s="311" t="str">
        <f ca="1">IF($B935&lt;&gt;"",$B935,"")</f>
        <v/>
      </c>
      <c r="C963" s="312"/>
      <c r="D963" s="312"/>
      <c r="E963" s="312"/>
      <c r="F963" s="312"/>
      <c r="G963" s="313"/>
      <c r="H963" s="265"/>
      <c r="I963" s="265"/>
      <c r="J963" s="265"/>
      <c r="K963" s="265"/>
      <c r="L963" s="265" t="str">
        <f ca="1">IF($B956&lt;&gt;"",IF(AND($B956="Missing Player",$G965=2,$J965=2),0,IF(AND($B954="Missing Player",$G965=2,$J965=2),11,"")),"")</f>
        <v/>
      </c>
      <c r="M963" s="267" t="s">
        <v>1237</v>
      </c>
      <c r="N963" s="268"/>
      <c r="O963" s="268"/>
      <c r="P963" s="269"/>
      <c r="Q963" s="138" t="str">
        <f ca="1">IF(Q961&lt;&gt;"",IF(Q961="W","L","W"),"")</f>
        <v/>
      </c>
      <c r="R963" s="43"/>
      <c r="S963" s="43"/>
      <c r="T963" s="43"/>
      <c r="U963" s="43"/>
      <c r="V963" s="43"/>
      <c r="W963" s="43"/>
      <c r="X963" s="43"/>
      <c r="Y963" s="43"/>
      <c r="Z963" s="43"/>
      <c r="AA963" s="43"/>
      <c r="AB963" s="43"/>
      <c r="AC963" s="43"/>
      <c r="AD963" s="43"/>
      <c r="AE963" s="43"/>
      <c r="AF963" s="43"/>
    </row>
    <row r="964" spans="1:32" ht="12.75" customHeight="1">
      <c r="A964" s="324"/>
      <c r="B964" s="308" t="str">
        <f ca="1">IF($B956="Missing Player",$B956,"")</f>
        <v/>
      </c>
      <c r="C964" s="309"/>
      <c r="D964" s="309"/>
      <c r="E964" s="309"/>
      <c r="F964" s="309"/>
      <c r="G964" s="310"/>
      <c r="H964" s="270"/>
      <c r="I964" s="270"/>
      <c r="J964" s="266"/>
      <c r="K964" s="266"/>
      <c r="L964" s="266"/>
      <c r="M964" s="267"/>
      <c r="N964" s="268"/>
      <c r="O964" s="268"/>
      <c r="P964" s="269"/>
      <c r="Q964" s="139" t="str">
        <f ca="1">IF($Q963&lt;&gt;"",IF($B962&lt;&gt;"Missing Player",IF($Q963="W",IF(SUM(IF($H963&gt;$H961,1,0),IF($I963&gt;$I961,1,0),IF($J963&gt;$J961,1,0),IF($K963&gt;$K961,1,0),IF($L963&gt;$L961,1,0))&lt;&gt;3,"Error",""),""),""),"")</f>
        <v/>
      </c>
      <c r="R964" s="43" t="str">
        <f>A952</f>
        <v>4th Singles</v>
      </c>
      <c r="S964" s="43"/>
      <c r="T964" s="43"/>
      <c r="U964" s="43"/>
      <c r="V964" s="43"/>
      <c r="W964" s="43"/>
      <c r="X964" s="43"/>
      <c r="Y964" s="43"/>
      <c r="Z964" s="43"/>
      <c r="AA964" s="43"/>
      <c r="AB964" s="43"/>
      <c r="AC964" s="43"/>
      <c r="AD964" s="43"/>
      <c r="AE964" s="43"/>
      <c r="AF964" s="43"/>
    </row>
    <row r="965" spans="1:32" ht="12.75" customHeight="1">
      <c r="G965" s="66">
        <f ca="1">COUNTIF($Q933:$Q933,"W")+COUNTIF($Q940:$Q940,"W")+COUNTIF($Q947:$Q947,"W")+COUNTIF($Q954:$Q954,"W")</f>
        <v>0</v>
      </c>
      <c r="J965" s="66">
        <f ca="1">COUNTIF($Q935:$Q935,"W")+COUNTIF($Q942:$Q942,"W")+COUNTIF($Q949:$Q949,"W")+COUNTIF($Q956:$Q956,"W")</f>
        <v>0</v>
      </c>
      <c r="R965" s="60" t="s">
        <v>1228</v>
      </c>
      <c r="S965" s="339" t="s">
        <v>1126</v>
      </c>
      <c r="T965" s="340"/>
      <c r="U965" s="340"/>
      <c r="V965" s="340"/>
      <c r="W965" s="340"/>
      <c r="X965" s="341"/>
      <c r="Y965" s="60">
        <v>1</v>
      </c>
      <c r="Z965" s="60">
        <v>2</v>
      </c>
      <c r="AA965" s="60">
        <v>3</v>
      </c>
      <c r="AB965" s="60">
        <v>4</v>
      </c>
      <c r="AC965" s="60">
        <v>5</v>
      </c>
      <c r="AD965" s="342"/>
      <c r="AE965" s="343"/>
      <c r="AF965" s="344"/>
    </row>
    <row r="966" spans="1:32" ht="12.75" customHeight="1" thickBot="1">
      <c r="F966" s="246" t="s">
        <v>1238</v>
      </c>
      <c r="G966" s="246"/>
      <c r="H966" s="246"/>
      <c r="I966" s="246"/>
      <c r="J966" s="246"/>
      <c r="K966" s="246"/>
      <c r="R966" s="300" t="str">
        <f>B927</f>
        <v>A</v>
      </c>
      <c r="S966" s="331" t="str">
        <f ca="1">IF($B954&lt;&gt;"",$B954,"")</f>
        <v/>
      </c>
      <c r="T966" s="353"/>
      <c r="U966" s="353"/>
      <c r="V966" s="353"/>
      <c r="W966" s="353"/>
      <c r="X966" s="354"/>
      <c r="Y966" s="329"/>
      <c r="Z966" s="329"/>
      <c r="AA966" s="351"/>
      <c r="AB966" s="351"/>
      <c r="AC966" s="351"/>
      <c r="AD966" s="345"/>
      <c r="AE966" s="346"/>
      <c r="AF966" s="347"/>
    </row>
    <row r="967" spans="1:32" ht="12.75" customHeight="1">
      <c r="A967" s="22"/>
      <c r="B967" s="22"/>
      <c r="C967" s="22"/>
      <c r="D967" s="22"/>
      <c r="E967" s="22"/>
      <c r="G967" s="304" t="str">
        <f>B927</f>
        <v>A</v>
      </c>
      <c r="H967" s="305"/>
      <c r="I967" s="302" t="str">
        <f>K927</f>
        <v>E</v>
      </c>
      <c r="J967" s="303"/>
      <c r="L967" s="22"/>
      <c r="M967" s="22"/>
      <c r="N967" s="22"/>
      <c r="O967" s="22"/>
      <c r="P967" s="22"/>
      <c r="R967" s="301"/>
      <c r="S967" s="355"/>
      <c r="T967" s="356"/>
      <c r="U967" s="356"/>
      <c r="V967" s="356"/>
      <c r="W967" s="356"/>
      <c r="X967" s="357"/>
      <c r="Y967" s="338"/>
      <c r="Z967" s="338"/>
      <c r="AA967" s="352"/>
      <c r="AB967" s="352"/>
      <c r="AC967" s="352"/>
      <c r="AD967" s="348"/>
      <c r="AE967" s="349"/>
      <c r="AF967" s="350"/>
    </row>
    <row r="968" spans="1:32" ht="12.75" customHeight="1" thickBot="1">
      <c r="A968" s="2" t="s">
        <v>1228</v>
      </c>
      <c r="B968" s="53" t="str">
        <f>B927</f>
        <v>A</v>
      </c>
      <c r="C968" s="3" t="s">
        <v>1226</v>
      </c>
      <c r="F968" s="66" t="str">
        <f>CONCATENATE($B927,"-",$K927)</f>
        <v>A-E</v>
      </c>
      <c r="G968" s="320" t="str">
        <f ca="1">IF(OR(Q933&lt;&gt;"",Q940&lt;&gt;"",Q947&lt;&gt;"",Q954&lt;&gt;"",Q961&lt;&gt;""),COUNTIF(Q933:Q933,"W")+COUNTIF(Q940:Q940,"W")+COUNTIF(Q947:Q947,"W")+COUNTIF(Q954:Q954,"W")+COUNTIF(Q961:Q961,"W"),"")</f>
        <v/>
      </c>
      <c r="H968" s="321"/>
      <c r="I968" s="322" t="str">
        <f ca="1">IF(OR(Q935&lt;&gt;"",Q942&lt;&gt;"",Q949&lt;&gt;"",Q956&lt;&gt;"",Q963&lt;&gt;""),COUNTIF(Q935:Q935,"W")+COUNTIF(Q942:Q942,"W")+COUNTIF(Q949:Q949,"W")+COUNTIF(Q956:Q956,"W")+COUNTIF(Q963:Q963,"W"),"")</f>
        <v/>
      </c>
      <c r="J968" s="323"/>
      <c r="L968" s="2" t="s">
        <v>1228</v>
      </c>
      <c r="M968" s="53" t="str">
        <f>K927</f>
        <v>E</v>
      </c>
      <c r="N968" s="3" t="s">
        <v>1226</v>
      </c>
      <c r="R968" s="300" t="str">
        <f>K927</f>
        <v>E</v>
      </c>
      <c r="S968" s="331" t="str">
        <f ca="1">IF($B956&lt;&gt;"",$B956,"")</f>
        <v/>
      </c>
      <c r="T968" s="332"/>
      <c r="U968" s="332"/>
      <c r="V968" s="332"/>
      <c r="W968" s="332"/>
      <c r="X968" s="333"/>
      <c r="Y968" s="329"/>
      <c r="Z968" s="329"/>
      <c r="AA968" s="351"/>
      <c r="AB968" s="351"/>
      <c r="AC968" s="351"/>
      <c r="AD968" s="363" t="s">
        <v>1237</v>
      </c>
      <c r="AE968" s="358"/>
      <c r="AF968" s="359"/>
    </row>
    <row r="969" spans="1:32" ht="12.75" customHeight="1">
      <c r="F969" s="25" t="s">
        <v>3996</v>
      </c>
      <c r="G969" s="23"/>
      <c r="H969" s="23"/>
      <c r="I969" s="23"/>
      <c r="J969" s="23"/>
      <c r="K969" s="24"/>
      <c r="R969" s="330"/>
      <c r="S969" s="334"/>
      <c r="T969" s="335"/>
      <c r="U969" s="335"/>
      <c r="V969" s="335"/>
      <c r="W969" s="335"/>
      <c r="X969" s="336"/>
      <c r="Y969" s="330"/>
      <c r="Z969" s="330"/>
      <c r="AA969" s="330"/>
      <c r="AB969" s="330"/>
      <c r="AC969" s="330"/>
      <c r="AD969" s="360"/>
      <c r="AE969" s="361"/>
      <c r="AF969" s="362"/>
    </row>
    <row r="970" spans="1:32" ht="12.75" customHeight="1">
      <c r="R970" s="1"/>
      <c r="S970" s="110"/>
      <c r="T970" s="110"/>
      <c r="U970" s="110"/>
      <c r="V970" s="110"/>
      <c r="W970" s="110"/>
      <c r="X970" s="111"/>
      <c r="Y970" s="111"/>
      <c r="Z970" s="111"/>
      <c r="AA970" s="111"/>
    </row>
    <row r="971" spans="1:32" ht="12.75" customHeight="1">
      <c r="F971" s="246" t="s">
        <v>4929</v>
      </c>
      <c r="G971" s="246"/>
      <c r="H971" s="246"/>
      <c r="I971" s="246"/>
      <c r="R971" s="1"/>
      <c r="S971" s="110"/>
      <c r="T971" s="110"/>
      <c r="U971" s="110"/>
      <c r="V971" s="110"/>
      <c r="W971" s="110"/>
      <c r="X971" s="111"/>
      <c r="Y971" s="111"/>
      <c r="Z971" s="111"/>
      <c r="AA971" s="111"/>
    </row>
    <row r="972" spans="1:32" ht="12.75" customHeight="1">
      <c r="F972" s="246" t="s">
        <v>4930</v>
      </c>
      <c r="G972" s="246"/>
      <c r="H972" s="246"/>
      <c r="I972" s="246"/>
      <c r="R972" s="1"/>
      <c r="S972" s="110"/>
      <c r="T972" s="110"/>
      <c r="U972" s="110"/>
      <c r="V972" s="110"/>
      <c r="W972" s="110"/>
      <c r="X972" s="111"/>
      <c r="Y972" s="111"/>
      <c r="Z972" s="111"/>
      <c r="AA972" s="111"/>
    </row>
    <row r="973" spans="1:32" ht="12.75" customHeight="1">
      <c r="K973" s="281" t="s">
        <v>1244</v>
      </c>
      <c r="L973" s="281"/>
      <c r="M973" s="281"/>
      <c r="N973" s="281"/>
      <c r="O973" s="281"/>
      <c r="P973" s="281"/>
      <c r="R973" s="1"/>
      <c r="S973" s="110"/>
      <c r="T973" s="110"/>
      <c r="U973" s="110"/>
      <c r="V973" s="110"/>
      <c r="W973" s="110"/>
      <c r="X973" s="111"/>
      <c r="Y973" s="111"/>
      <c r="Z973" s="111"/>
      <c r="AA973" s="111"/>
    </row>
    <row r="974" spans="1:32" ht="12.75" customHeight="1">
      <c r="A974" s="12" t="s">
        <v>1229</v>
      </c>
      <c r="B974" s="11"/>
      <c r="C974" s="11"/>
      <c r="D974" s="11" t="str">
        <f>Draw!$B$1</f>
        <v>Enter Division Name</v>
      </c>
      <c r="E974" s="11"/>
      <c r="F974" s="7"/>
      <c r="G974" s="6"/>
      <c r="H974" s="7"/>
      <c r="I974" s="11"/>
      <c r="J974" s="11"/>
      <c r="K974" s="11"/>
      <c r="L974" s="11"/>
      <c r="M974" s="281"/>
      <c r="N974" s="281"/>
      <c r="O974" s="281"/>
      <c r="P974" s="281"/>
      <c r="R974" s="1"/>
      <c r="S974" s="110"/>
      <c r="T974" s="110"/>
      <c r="U974" s="110"/>
      <c r="V974" s="110"/>
      <c r="W974" s="110"/>
      <c r="X974" s="111"/>
      <c r="Y974" s="111"/>
      <c r="Z974" s="111"/>
      <c r="AA974" s="111"/>
    </row>
    <row r="975" spans="1:32" ht="12.75" customHeight="1">
      <c r="A975" s="2" t="s">
        <v>1230</v>
      </c>
      <c r="D975" s="43" t="str">
        <f>Draw!$D$1</f>
        <v>Enter Hosting Location (City, ST)</v>
      </c>
      <c r="J975" s="43" t="str">
        <f ca="1">$J$6</f>
        <v>[NCTTA Teams Template (v2.06).xlsx]</v>
      </c>
      <c r="R975" s="1"/>
      <c r="S975" s="110"/>
      <c r="T975" s="110"/>
      <c r="U975" s="110"/>
      <c r="V975" s="110"/>
      <c r="W975" s="110"/>
      <c r="X975" s="111"/>
      <c r="Y975" s="111"/>
      <c r="Z975" s="111"/>
      <c r="AA975" s="111"/>
    </row>
    <row r="976" spans="1:32" ht="12.75" customHeight="1">
      <c r="A976" s="2" t="s">
        <v>1231</v>
      </c>
      <c r="D976" s="337" t="str">
        <f>Draw!$P$1</f>
        <v>Enter Date</v>
      </c>
      <c r="E976" s="337"/>
      <c r="F976" s="337"/>
      <c r="G976" s="337"/>
      <c r="J976" s="280" t="str">
        <f>CHOOSE(Draw!$T$1,"Round 4, Match 2","Round 2, Match 5","","","","","Round 7, Match 2","Round 5, Match 4","Round 5, Match 4","Round 4, Match 5","Round 4, Match 5")</f>
        <v/>
      </c>
      <c r="K976" s="280"/>
      <c r="L976" s="280"/>
      <c r="M976" s="276" t="str">
        <f>IF(AND($J976&lt;&gt;"",Draw!$AC$10&lt;&gt;"",Draw!$AC$13&lt;&gt;""),Draw!$AC$10+TIME(0,VALUE(MID($J976,7,FIND(",",$J976)-FIND(" ",$J976)-1)-1)*Draw!$AC$13,0),"")</f>
        <v/>
      </c>
      <c r="N976" s="276"/>
      <c r="O976" s="157" t="str">
        <f>$F1019</f>
        <v>A-F</v>
      </c>
      <c r="R976" s="1"/>
      <c r="S976" s="110"/>
      <c r="T976" s="110"/>
      <c r="U976" s="110"/>
      <c r="V976" s="110"/>
      <c r="W976" s="110"/>
      <c r="X976" s="111"/>
      <c r="Y976" s="111"/>
      <c r="Z976" s="111"/>
      <c r="AA976" s="111"/>
    </row>
    <row r="977" spans="1:32" ht="12.75" customHeight="1">
      <c r="A977" s="14"/>
      <c r="B977" s="15"/>
      <c r="C977" s="15"/>
      <c r="D977" s="15"/>
      <c r="E977" s="15"/>
      <c r="F977" s="14"/>
      <c r="G977" s="14"/>
      <c r="H977" s="16"/>
      <c r="I977" s="14"/>
      <c r="J977" s="15"/>
      <c r="K977" s="15"/>
      <c r="L977" s="15"/>
      <c r="M977" s="15"/>
      <c r="N977" s="15"/>
      <c r="O977" s="364" t="str">
        <f>IF(OR(AND(VLOOKUP($B978,$AM$1:$AX$12,12,FALSE)="C",VLOOKUP($K978,$AM$1:$AX$12,12,FALSE)="C"),AND(VLOOKUP($B978,$AM$1:$AX$12,12,FALSE)="W",VLOOKUP($K978,$AM$1:$AX$12,12,FALSE)="W")),"Official",IF(AND($A979="",$J979=""),"","Scrimmage"))</f>
        <v/>
      </c>
      <c r="P977" s="364"/>
      <c r="R977" s="1"/>
      <c r="S977" s="110"/>
      <c r="T977" s="110"/>
      <c r="U977" s="110"/>
      <c r="V977" s="110"/>
      <c r="W977" s="110"/>
      <c r="X977" s="111"/>
      <c r="Y977" s="111"/>
      <c r="Z977" s="111"/>
      <c r="AA977" s="111"/>
    </row>
    <row r="978" spans="1:32" ht="12.75" customHeight="1">
      <c r="A978" s="17" t="s">
        <v>1228</v>
      </c>
      <c r="B978" s="119" t="str">
        <f>CHOOSE(Draw!$T$1,"H","I","A","A","B","A","E","F","B","B","C")</f>
        <v>A</v>
      </c>
      <c r="C978" s="135">
        <f>VLOOKUP($B978,$AM$1:$AN$12,2)</f>
        <v>1</v>
      </c>
      <c r="D978" s="13"/>
      <c r="E978" s="13"/>
      <c r="F978" s="10"/>
      <c r="H978" s="19" t="s">
        <v>1232</v>
      </c>
      <c r="J978" s="17" t="s">
        <v>1228</v>
      </c>
      <c r="K978" s="119" t="str">
        <f>CHOOSE(Draw!$T$1,"J","K","F","K","H","K","G","G","H","J","D")</f>
        <v>F</v>
      </c>
      <c r="L978" s="135">
        <f>VLOOKUP($K978,$AM$1:$AN$12,2)</f>
        <v>6</v>
      </c>
      <c r="M978" s="13"/>
      <c r="N978" s="13"/>
      <c r="O978" s="18"/>
      <c r="P978" s="274"/>
      <c r="Q978" s="275"/>
      <c r="R978" s="1"/>
      <c r="S978" s="110"/>
      <c r="T978" s="110"/>
      <c r="U978" s="110"/>
      <c r="V978" s="110"/>
      <c r="W978" s="110"/>
      <c r="X978" s="111"/>
      <c r="Y978" s="111"/>
      <c r="Z978" s="111"/>
      <c r="AA978" s="111"/>
    </row>
    <row r="979" spans="1:32" ht="12.75" customHeight="1">
      <c r="A979" s="277" t="str">
        <f>IF(VLOOKUP($B978,Draw!$A$4:$B$27,2)&lt;&gt;0,VLOOKUP($B978,Draw!$A$4:$B$27,2),"")</f>
        <v/>
      </c>
      <c r="B979" s="278"/>
      <c r="C979" s="278"/>
      <c r="D979" s="278"/>
      <c r="E979" s="278"/>
      <c r="F979" s="279"/>
      <c r="G979" s="306" t="s">
        <v>4171</v>
      </c>
      <c r="H979" s="289"/>
      <c r="I979" s="307"/>
      <c r="J979" s="277" t="str">
        <f>IF(VLOOKUP($K978,Draw!$A$4:$B$27,2)&lt;&gt;0,VLOOKUP($K978,Draw!$A$4:$B$27,2),"")</f>
        <v/>
      </c>
      <c r="K979" s="278"/>
      <c r="L979" s="278"/>
      <c r="M979" s="278"/>
      <c r="N979" s="278"/>
      <c r="O979" s="279"/>
      <c r="P979" s="15"/>
      <c r="R979" s="1"/>
      <c r="S979" s="110"/>
      <c r="T979" s="110"/>
      <c r="U979" s="110"/>
      <c r="V979" s="110"/>
      <c r="W979" s="110"/>
      <c r="X979" s="111"/>
      <c r="Y979" s="111"/>
      <c r="Z979" s="111"/>
      <c r="AA979" s="111"/>
    </row>
    <row r="980" spans="1:32" ht="12.75" customHeight="1">
      <c r="A980" s="14"/>
      <c r="B980" s="15"/>
      <c r="C980" s="15"/>
      <c r="D980" s="15"/>
      <c r="E980" s="15"/>
      <c r="F980" s="14"/>
      <c r="G980" s="288" t="str">
        <f>"Page "&amp;VALUE(RIGHT($G979,LEN($G979)-SEARCH("-",$G979)))/2</f>
        <v>Page 20</v>
      </c>
      <c r="H980" s="289"/>
      <c r="I980" s="289"/>
      <c r="J980" s="15"/>
      <c r="K980" s="15"/>
      <c r="L980" s="15"/>
      <c r="M980" s="15"/>
      <c r="N980" s="15"/>
      <c r="O980" s="15"/>
      <c r="P980" s="15"/>
      <c r="R980" s="1"/>
      <c r="S980" s="110"/>
      <c r="T980" s="110"/>
      <c r="U980" s="110"/>
      <c r="V980" s="110"/>
      <c r="W980" s="110"/>
      <c r="X980" s="111"/>
      <c r="Y980" s="111"/>
      <c r="Z980" s="111"/>
      <c r="AA980" s="111"/>
      <c r="AF980" s="27"/>
    </row>
    <row r="981" spans="1:32" ht="12.75" customHeight="1">
      <c r="A981" s="327" t="s">
        <v>1245</v>
      </c>
      <c r="B981" s="327"/>
      <c r="C981" s="327"/>
      <c r="D981" s="327"/>
      <c r="E981" s="327"/>
      <c r="F981" s="327"/>
      <c r="G981" s="327"/>
      <c r="H981" s="327"/>
      <c r="I981" s="327"/>
      <c r="J981" s="327"/>
      <c r="K981" s="327"/>
      <c r="L981" s="327"/>
      <c r="M981" s="327"/>
      <c r="N981" s="327"/>
      <c r="O981" s="327"/>
      <c r="P981" s="327"/>
      <c r="Q981" s="7"/>
      <c r="R981" s="1"/>
      <c r="S981" s="110"/>
      <c r="T981" s="110"/>
      <c r="U981" s="110"/>
      <c r="V981" s="110"/>
      <c r="W981" s="110"/>
      <c r="X981" s="111"/>
      <c r="Y981" s="111"/>
      <c r="Z981" s="111"/>
      <c r="AA981" s="111"/>
      <c r="AF981" s="20"/>
    </row>
    <row r="982" spans="1:32" ht="12.75" customHeight="1">
      <c r="A982" s="21" t="s">
        <v>1233</v>
      </c>
      <c r="H982" s="136" t="str">
        <f>IF($Q984&lt;&gt;"",IF(AND(AND($H984&gt;-1,$H986&gt;-1),OR($H984&gt;10,$H986&gt;10),ABS($H984-$H986)&gt;1,IF(OR($H984&gt;11,$H986&gt;11),ABS($H984-$H986)=2,TRUE),$H984=INT($H984),$H986=INT($H986)),"","Error"),"")</f>
        <v/>
      </c>
      <c r="I982" s="136" t="str">
        <f>IF($Q984&lt;&gt;"",IF(AND(AND($I984&gt;-1,$I986&gt;-1),OR($I984&gt;10,$I986&gt;10),ABS($I984-$I986)&gt;1,IF(OR($I984&gt;11,$I986&gt;11),ABS($I984-$I986)=2,TRUE),$I984=INT($I984),$I986=INT($I986)),"","Error"),"")</f>
        <v/>
      </c>
      <c r="J982" s="136" t="str">
        <f>IF($Q984&lt;&gt;"",IF(AND(AND($J984&gt;-1,$J986&gt;-1),OR($J984&gt;10,$J986&gt;10),ABS($J984-$J986)&gt;1,IF(OR($J984&gt;11,$J986&gt;11),ABS($J984-$J986)=2,TRUE),$J984=INT($J984),$J986=INT($J986)),"","Error"),"")</f>
        <v/>
      </c>
      <c r="K982" s="136" t="str">
        <f>IF($Q984&lt;&gt;"",IF(AND($K984&lt;&gt;"",$K986&lt;&gt;""), IF(AND(AND($K984&gt;-1,$K986&gt;-1),OR($K984&gt;10,$K986&gt;10),ABS($K984-$K986)&gt;1,IF(OR($K984&gt;11,$K986&gt;11),ABS($K984-$K986)=2,TRUE),$K984=INT($K984),$K986=INT($K986)),"","Error"),""),"")</f>
        <v/>
      </c>
      <c r="L982" s="136" t="str">
        <f>IF($Q984&lt;&gt;"",IF(AND($L984&lt;&gt;"",$L986&lt;&gt;""), IF(AND(AND($L984&gt;-1,$L986&gt;-1),OR($L984&gt;10,$L986&gt;10),ABS($L984-$L986)&gt;1,IF(OR($L984&gt;11,$L986&gt;11),ABS($L984-$L986)=2,TRUE),$L984=INT($L984),$L986=INT($L986)),"","Error"),""),"")</f>
        <v/>
      </c>
      <c r="R982" s="1"/>
      <c r="S982" s="110"/>
      <c r="T982" s="110"/>
      <c r="U982" s="110"/>
      <c r="V982" s="110"/>
      <c r="W982" s="110"/>
      <c r="X982" s="111"/>
      <c r="Y982" s="111"/>
      <c r="Z982" s="111"/>
      <c r="AA982" s="111"/>
    </row>
    <row r="983" spans="1:32" ht="12.75" customHeight="1">
      <c r="A983" s="5" t="s">
        <v>1228</v>
      </c>
      <c r="B983" s="290" t="s">
        <v>1126</v>
      </c>
      <c r="C983" s="291"/>
      <c r="D983" s="291"/>
      <c r="E983" s="291"/>
      <c r="F983" s="291"/>
      <c r="G983" s="292"/>
      <c r="H983" s="5">
        <v>1</v>
      </c>
      <c r="I983" s="5">
        <v>2</v>
      </c>
      <c r="J983" s="5">
        <v>3</v>
      </c>
      <c r="K983" s="5">
        <v>4</v>
      </c>
      <c r="L983" s="5">
        <v>5</v>
      </c>
      <c r="M983" s="271"/>
      <c r="N983" s="272"/>
      <c r="O983" s="272"/>
      <c r="P983" s="273"/>
      <c r="R983" s="1"/>
      <c r="S983" s="110"/>
      <c r="T983" s="110"/>
      <c r="U983" s="110"/>
      <c r="V983" s="110"/>
      <c r="W983" s="110"/>
      <c r="X983" s="111"/>
      <c r="Y983" s="111"/>
      <c r="Z983" s="111"/>
      <c r="AA983" s="111"/>
    </row>
    <row r="984" spans="1:32" ht="12.75" customHeight="1">
      <c r="A984" s="300" t="str">
        <f>B978</f>
        <v>A</v>
      </c>
      <c r="B984" s="293" t="str">
        <f ca="1">IF(AND(OFFSET($AO$1,$C978-1,8,1,1),$A979&lt;&gt;"",$J979&lt;&gt;""),CHOOSE($C978,$AO$1,$AO$2,$AO$3,$AO$4,$AO$5,$AO$6,$AO$7,$AO$8,$AO$9,$AO$10,$AO$11,$AO$12),"")</f>
        <v/>
      </c>
      <c r="C984" s="294"/>
      <c r="D984" s="294"/>
      <c r="E984" s="294"/>
      <c r="F984" s="294"/>
      <c r="G984" s="294"/>
      <c r="H984" s="265"/>
      <c r="I984" s="265"/>
      <c r="J984" s="265"/>
      <c r="K984" s="265"/>
      <c r="L984" s="265"/>
      <c r="M984" s="297"/>
      <c r="N984" s="298"/>
      <c r="O984" s="298"/>
      <c r="P984" s="299"/>
      <c r="Q984" s="137" t="str">
        <f>IF($L984=$L986,IF($K984=$K986,IF($J984&lt;&gt;"",IF($J984&gt;$J986,"W","L"),""),IF($K984&gt;$K986,"W","L")),IF($L984&gt;$L986,"W","L"))</f>
        <v/>
      </c>
      <c r="R984" s="1"/>
      <c r="S984" s="110"/>
      <c r="T984" s="110"/>
      <c r="U984" s="110"/>
      <c r="V984" s="110"/>
      <c r="W984" s="110"/>
      <c r="X984" s="111"/>
      <c r="Y984" s="111"/>
      <c r="Z984" s="111"/>
      <c r="AA984" s="111"/>
    </row>
    <row r="985" spans="1:32" ht="12.75" customHeight="1">
      <c r="A985" s="301"/>
      <c r="B985" s="295"/>
      <c r="C985" s="296"/>
      <c r="D985" s="296"/>
      <c r="E985" s="296"/>
      <c r="F985" s="296"/>
      <c r="G985" s="296"/>
      <c r="H985" s="270"/>
      <c r="I985" s="270"/>
      <c r="J985" s="270"/>
      <c r="K985" s="270"/>
      <c r="L985" s="270"/>
      <c r="M985" s="297"/>
      <c r="N985" s="298"/>
      <c r="O985" s="298"/>
      <c r="P985" s="299"/>
      <c r="Q985" s="139" t="str">
        <f>IF($Q984&lt;&gt;"",IF($Q984="W",IF(SUM(IF($H984&gt;$H986,1,0),IF($I984&gt;$I986,1,0),IF($J984&gt;$J986,1,0),IF($K984&gt;$K986,1,0),IF($L984&gt;$L986,1,0))&lt;&gt;3,"Error",""),""),"")</f>
        <v/>
      </c>
      <c r="R985" s="328" t="str">
        <f>$A979</f>
        <v/>
      </c>
      <c r="S985" s="328"/>
      <c r="T985" s="328"/>
      <c r="U985" s="328"/>
      <c r="V985" s="328"/>
      <c r="W985" s="328"/>
      <c r="X985" s="256" t="str">
        <f>CONCATENATE("(",$B978," vs ",$K978,")")</f>
        <v>(A vs F)</v>
      </c>
      <c r="Y985" s="256"/>
      <c r="Z985" s="328" t="str">
        <f>$J979</f>
        <v/>
      </c>
      <c r="AA985" s="328"/>
      <c r="AB985" s="328"/>
      <c r="AC985" s="328"/>
      <c r="AD985" s="328"/>
      <c r="AE985" s="328"/>
      <c r="AF985" s="43"/>
    </row>
    <row r="986" spans="1:32" ht="12.75" customHeight="1">
      <c r="A986" s="300" t="str">
        <f>K978</f>
        <v>F</v>
      </c>
      <c r="B986" s="293" t="str">
        <f ca="1">IF(AND(OFFSET($AO$1,$L978-1,8,1,1),$A979&lt;&gt;"",$J979&lt;&gt;""),CHOOSE($L978,$AO$1,$AO$2,$AO$3,$AO$4,$AO$5,$AO$6,$AO$7,$AO$8,$AO$9,$AO$10,$AO$11,$AO$12),"")</f>
        <v/>
      </c>
      <c r="C986" s="294"/>
      <c r="D986" s="294"/>
      <c r="E986" s="294"/>
      <c r="F986" s="294"/>
      <c r="G986" s="294"/>
      <c r="H986" s="265"/>
      <c r="I986" s="265"/>
      <c r="J986" s="265"/>
      <c r="K986" s="265"/>
      <c r="L986" s="265"/>
      <c r="M986" s="267" t="s">
        <v>1237</v>
      </c>
      <c r="N986" s="268"/>
      <c r="O986" s="268"/>
      <c r="P986" s="269"/>
      <c r="Q986" s="137" t="str">
        <f>IF($Q984&lt;&gt;"",IF($Q984="W","L","W"),"")</f>
        <v/>
      </c>
      <c r="R986" s="43"/>
      <c r="S986" s="43"/>
      <c r="T986" s="43"/>
      <c r="U986" s="43"/>
      <c r="V986" s="43"/>
      <c r="W986" s="43"/>
      <c r="X986" s="43"/>
      <c r="Y986" s="43"/>
      <c r="Z986" s="43"/>
      <c r="AA986" s="43"/>
      <c r="AB986" s="43"/>
      <c r="AC986" s="43"/>
      <c r="AD986" s="43"/>
      <c r="AE986" s="43"/>
      <c r="AF986" s="43"/>
    </row>
    <row r="987" spans="1:32" ht="12.75" customHeight="1">
      <c r="A987" s="301"/>
      <c r="B987" s="295"/>
      <c r="C987" s="296"/>
      <c r="D987" s="296"/>
      <c r="E987" s="296"/>
      <c r="F987" s="296"/>
      <c r="G987" s="296"/>
      <c r="H987" s="270"/>
      <c r="I987" s="270"/>
      <c r="J987" s="266"/>
      <c r="K987" s="266"/>
      <c r="L987" s="266"/>
      <c r="M987" s="267"/>
      <c r="N987" s="268"/>
      <c r="O987" s="268"/>
      <c r="P987" s="269"/>
      <c r="Q987" s="139" t="str">
        <f>IF($Q986&lt;&gt;"",IF($Q986="W",IF(SUM(IF($H986&gt;$H984,1,0),IF($I986&gt;$I984,1,0),IF($J986&gt;$J984,1,0),IF($K986&gt;$K984,1,0),IF($L986&gt;$L984,1,0))&lt;&gt;3,"Error",""),""),"")</f>
        <v/>
      </c>
      <c r="R987" s="43" t="str">
        <f>$A989</f>
        <v>2nd Singles</v>
      </c>
      <c r="S987" s="43"/>
      <c r="T987" s="43"/>
      <c r="U987" s="43"/>
      <c r="V987" s="43"/>
      <c r="W987" s="43"/>
      <c r="X987" s="43"/>
      <c r="Y987" s="43"/>
      <c r="Z987" s="43"/>
      <c r="AA987" s="43"/>
      <c r="AB987" s="43"/>
      <c r="AC987" s="43"/>
      <c r="AD987" s="43"/>
      <c r="AE987" s="43"/>
      <c r="AF987" s="43"/>
    </row>
    <row r="988" spans="1:32" ht="12.75" customHeight="1">
      <c r="Q988" s="7"/>
      <c r="R988" s="60" t="s">
        <v>1228</v>
      </c>
      <c r="S988" s="339" t="s">
        <v>1126</v>
      </c>
      <c r="T988" s="340"/>
      <c r="U988" s="340"/>
      <c r="V988" s="340"/>
      <c r="W988" s="340"/>
      <c r="X988" s="341"/>
      <c r="Y988" s="60">
        <v>1</v>
      </c>
      <c r="Z988" s="60">
        <v>2</v>
      </c>
      <c r="AA988" s="60">
        <v>3</v>
      </c>
      <c r="AB988" s="60">
        <v>4</v>
      </c>
      <c r="AC988" s="60">
        <v>5</v>
      </c>
      <c r="AD988" s="342"/>
      <c r="AE988" s="343"/>
      <c r="AF988" s="344"/>
    </row>
    <row r="989" spans="1:32" ht="12.75" customHeight="1">
      <c r="A989" s="21" t="s">
        <v>1234</v>
      </c>
      <c r="H989" s="136" t="str">
        <f>IF($Q991&lt;&gt;"",IF(AND(AND($H991&gt;-1,$H993&gt;-1),OR($H991&gt;10,$H993&gt;10),ABS($H991-$H993)&gt;1,IF(OR($H991&gt;11,$H993&gt;11),ABS($H991-$H993)=2,TRUE),$H991=INT($H991),$H993=INT($H993)),"","Error"),"")</f>
        <v/>
      </c>
      <c r="I989" s="136" t="str">
        <f>IF($Q991&lt;&gt;"",IF(AND(AND($I991&gt;-1,$I993&gt;-1),OR($I991&gt;10,$I993&gt;10),ABS($I991-$I993)&gt;1,IF(OR($I991&gt;11,$I993&gt;11),ABS($I991-$I993)=2,TRUE),$I991=INT($I991),$I993=INT($I993)),"","Error"),"")</f>
        <v/>
      </c>
      <c r="J989" s="136" t="str">
        <f>IF($Q991&lt;&gt;"",IF(AND(AND($J991&gt;-1,$J993&gt;-1),OR($J991&gt;10,$J993&gt;10),ABS($J991-$J993)&gt;1,IF(OR($J991&gt;11,$J993&gt;11),ABS($J991-$J993)=2,TRUE),$J991=INT($J991),$J993=INT($J993)),"","Error"),"")</f>
        <v/>
      </c>
      <c r="K989" s="136" t="str">
        <f>IF($Q991&lt;&gt;"",IF(AND($K991&lt;&gt;"",$K993&lt;&gt;""), IF(AND(AND($K991&gt;-1,$K993&gt;-1),OR($K991&gt;10,$K993&gt;10),ABS($K991-$K993)&gt;1,IF(OR($K991&gt;11,$K993&gt;11),ABS($K991-$K993)=2,TRUE),$K991=INT($K991),$K993=INT($K993)),"","Error"),""),"")</f>
        <v/>
      </c>
      <c r="L989" s="136" t="str">
        <f>IF($Q991&lt;&gt;"",IF(AND($L991&lt;&gt;"",$L993&lt;&gt;""), IF(AND(AND($L991&gt;-1,$L993&gt;-1),OR($L991&gt;10,$L993&gt;10),ABS($L991-$L993)&gt;1,IF(OR($L991&gt;11,$L993&gt;11),ABS($L991-$L993)=2,TRUE),$L991=INT($L991),$L993=INT($L993)),"","Error"),""),"")</f>
        <v/>
      </c>
      <c r="Q989" s="7"/>
      <c r="R989" s="300" t="str">
        <f>$B978</f>
        <v>A</v>
      </c>
      <c r="S989" s="331" t="str">
        <f ca="1">IF($B991&lt;&gt;"",$B991,"")</f>
        <v/>
      </c>
      <c r="T989" s="332"/>
      <c r="U989" s="332"/>
      <c r="V989" s="332"/>
      <c r="W989" s="332"/>
      <c r="X989" s="333"/>
      <c r="Y989" s="329"/>
      <c r="Z989" s="329"/>
      <c r="AA989" s="329"/>
      <c r="AB989" s="329"/>
      <c r="AC989" s="329"/>
      <c r="AD989" s="345"/>
      <c r="AE989" s="358"/>
      <c r="AF989" s="359"/>
    </row>
    <row r="990" spans="1:32" ht="12.75" customHeight="1">
      <c r="A990" s="5" t="s">
        <v>1228</v>
      </c>
      <c r="B990" s="290" t="s">
        <v>1126</v>
      </c>
      <c r="C990" s="291"/>
      <c r="D990" s="291"/>
      <c r="E990" s="291"/>
      <c r="F990" s="291"/>
      <c r="G990" s="292"/>
      <c r="H990" s="5">
        <v>1</v>
      </c>
      <c r="I990" s="5">
        <v>2</v>
      </c>
      <c r="J990" s="5">
        <v>3</v>
      </c>
      <c r="K990" s="5">
        <v>4</v>
      </c>
      <c r="L990" s="5">
        <v>5</v>
      </c>
      <c r="M990" s="271"/>
      <c r="N990" s="272"/>
      <c r="O990" s="272"/>
      <c r="P990" s="273"/>
      <c r="Q990" s="7"/>
      <c r="R990" s="330"/>
      <c r="S990" s="334"/>
      <c r="T990" s="335"/>
      <c r="U990" s="335"/>
      <c r="V990" s="335"/>
      <c r="W990" s="335"/>
      <c r="X990" s="336"/>
      <c r="Y990" s="330"/>
      <c r="Z990" s="330"/>
      <c r="AA990" s="330"/>
      <c r="AB990" s="330"/>
      <c r="AC990" s="330"/>
      <c r="AD990" s="360"/>
      <c r="AE990" s="361"/>
      <c r="AF990" s="362"/>
    </row>
    <row r="991" spans="1:32" ht="12.75" customHeight="1">
      <c r="A991" s="300" t="str">
        <f>B978</f>
        <v>A</v>
      </c>
      <c r="B991" s="293" t="str">
        <f ca="1">IF(AND(OFFSET($AO$1,$C978-1,8,1,1),$A979&lt;&gt;"",$J979&lt;&gt;""),CHOOSE($C978,$AP$1,$AP$2,$AP$3,$AP$4,$AP$5,$AP$6,$AP$7,$AP$8,$AP$9,$AP$10,$AP$11,$AP$12),"")</f>
        <v/>
      </c>
      <c r="C991" s="294"/>
      <c r="D991" s="294"/>
      <c r="E991" s="294"/>
      <c r="F991" s="294"/>
      <c r="G991" s="294"/>
      <c r="H991" s="265"/>
      <c r="I991" s="265"/>
      <c r="J991" s="265"/>
      <c r="K991" s="265"/>
      <c r="L991" s="265"/>
      <c r="M991" s="262" t="str">
        <f ca="1">IF(OR(AND($B984&lt;&gt;"",$B991&lt;&gt;"",$C1009&lt;=$B1009),AND($B986&lt;&gt;"",$B993&lt;&gt;"",$G1009&lt;=$F1009)),"Invalid Lineup","")</f>
        <v/>
      </c>
      <c r="N991" s="263"/>
      <c r="O991" s="263"/>
      <c r="P991" s="264"/>
      <c r="Q991" s="137" t="str">
        <f>IF($L991=$L993,IF($K991=$K993,IF($J991&lt;&gt;"",IF($J991&gt;$J993,"W","L"),""),IF($K991&gt;$K993,"W","L")),IF($L991&gt;$L993,"W","L"))</f>
        <v/>
      </c>
      <c r="R991" s="300" t="str">
        <f>$K978</f>
        <v>F</v>
      </c>
      <c r="S991" s="331" t="str">
        <f ca="1">IF($B993&lt;&gt;"",$B993,"")</f>
        <v/>
      </c>
      <c r="T991" s="332"/>
      <c r="U991" s="332"/>
      <c r="V991" s="332"/>
      <c r="W991" s="332"/>
      <c r="X991" s="333"/>
      <c r="Y991" s="329"/>
      <c r="Z991" s="329"/>
      <c r="AA991" s="329"/>
      <c r="AB991" s="329"/>
      <c r="AC991" s="351"/>
      <c r="AD991" s="363" t="s">
        <v>1237</v>
      </c>
      <c r="AE991" s="358"/>
      <c r="AF991" s="359"/>
    </row>
    <row r="992" spans="1:32" ht="12.75" customHeight="1">
      <c r="A992" s="301"/>
      <c r="B992" s="295"/>
      <c r="C992" s="296"/>
      <c r="D992" s="296"/>
      <c r="E992" s="296"/>
      <c r="F992" s="296"/>
      <c r="G992" s="296"/>
      <c r="H992" s="270"/>
      <c r="I992" s="270"/>
      <c r="J992" s="270"/>
      <c r="K992" s="270"/>
      <c r="L992" s="270"/>
      <c r="M992" s="262"/>
      <c r="N992" s="263"/>
      <c r="O992" s="263"/>
      <c r="P992" s="264"/>
      <c r="Q992" s="139" t="str">
        <f>IF($Q991&lt;&gt;"",IF($Q991="W",IF(SUM(IF($H991&gt;$H993,1,0),IF($I991&gt;$I993,1,0),IF($J991&gt;$J993,1,0),IF($K991&gt;$K993,1,0),IF($L991&gt;$L993,1,0))&lt;&gt;3,"Error",""),""),"")</f>
        <v/>
      </c>
      <c r="R992" s="330"/>
      <c r="S992" s="334"/>
      <c r="T992" s="335"/>
      <c r="U992" s="335"/>
      <c r="V992" s="335"/>
      <c r="W992" s="335"/>
      <c r="X992" s="336"/>
      <c r="Y992" s="330"/>
      <c r="Z992" s="330"/>
      <c r="AA992" s="330"/>
      <c r="AB992" s="330"/>
      <c r="AC992" s="330"/>
      <c r="AD992" s="360"/>
      <c r="AE992" s="361"/>
      <c r="AF992" s="362"/>
    </row>
    <row r="993" spans="1:32" ht="12.75" customHeight="1">
      <c r="A993" s="300" t="str">
        <f>K978</f>
        <v>F</v>
      </c>
      <c r="B993" s="293" t="str">
        <f ca="1">IF(AND(OFFSET($AO$1,$L978-1,8,1,1),$A979&lt;&gt;"",$J979&lt;&gt;""),CHOOSE($L978,$AP$1,$AP$2,$AP$3,$AP$4,$AP$5,$AP$6,$AP$7,$AP$8,$AP$9,$AP$10,$AP$11,$AP$12),"")</f>
        <v/>
      </c>
      <c r="C993" s="294"/>
      <c r="D993" s="294"/>
      <c r="E993" s="294"/>
      <c r="F993" s="294"/>
      <c r="G993" s="294"/>
      <c r="H993" s="265"/>
      <c r="I993" s="265"/>
      <c r="J993" s="265"/>
      <c r="K993" s="265"/>
      <c r="L993" s="265"/>
      <c r="M993" s="267" t="s">
        <v>1237</v>
      </c>
      <c r="N993" s="268"/>
      <c r="O993" s="268"/>
      <c r="P993" s="269"/>
      <c r="Q993" s="137" t="str">
        <f>IF($Q991&lt;&gt;"",IF($Q991="W","L","W"),"")</f>
        <v/>
      </c>
      <c r="R993" s="20"/>
      <c r="S993" s="20"/>
      <c r="T993" s="20"/>
      <c r="U993" s="20"/>
      <c r="V993" s="20"/>
      <c r="W993" s="20"/>
      <c r="X993" s="26"/>
      <c r="Y993" s="26"/>
      <c r="Z993" s="20"/>
      <c r="AA993" s="20"/>
      <c r="AB993" s="20"/>
      <c r="AC993" s="20"/>
      <c r="AD993" s="20"/>
      <c r="AE993" s="20"/>
      <c r="AF993" s="27"/>
    </row>
    <row r="994" spans="1:32" ht="12.75" customHeight="1">
      <c r="A994" s="301"/>
      <c r="B994" s="295"/>
      <c r="C994" s="296"/>
      <c r="D994" s="296"/>
      <c r="E994" s="296"/>
      <c r="F994" s="296"/>
      <c r="G994" s="296"/>
      <c r="H994" s="270"/>
      <c r="I994" s="270"/>
      <c r="J994" s="266"/>
      <c r="K994" s="266"/>
      <c r="L994" s="266"/>
      <c r="M994" s="267"/>
      <c r="N994" s="268"/>
      <c r="O994" s="268"/>
      <c r="P994" s="269"/>
      <c r="Q994" s="139" t="str">
        <f>IF($Q993&lt;&gt;"",IF($Q993="W",IF(SUM(IF($H993&gt;$H991,1,0),IF($I993&gt;$I991,1,0),IF($J993&gt;$J991,1,0),IF($K993&gt;$K991,1,0),IF($L993&gt;$L991,1,0))&lt;&gt;3,"Error",""),""),"")</f>
        <v/>
      </c>
      <c r="R994" s="20"/>
      <c r="S994" s="20"/>
      <c r="T994" s="20"/>
      <c r="U994" s="20"/>
      <c r="V994" s="20"/>
      <c r="W994" s="20"/>
      <c r="X994" s="26"/>
      <c r="Y994" s="26"/>
      <c r="Z994" s="20"/>
      <c r="AA994" s="20"/>
      <c r="AB994" s="20"/>
      <c r="AC994" s="20"/>
      <c r="AD994" s="20"/>
      <c r="AE994" s="20"/>
      <c r="AF994" s="27"/>
    </row>
    <row r="995" spans="1:32" ht="12.75" customHeight="1">
      <c r="Q995" s="7"/>
      <c r="R995" s="20"/>
      <c r="S995" s="20"/>
      <c r="T995" s="20"/>
      <c r="U995" s="20"/>
      <c r="V995" s="20"/>
      <c r="W995" s="20"/>
      <c r="X995" s="26"/>
      <c r="Y995" s="26"/>
      <c r="Z995" s="20"/>
      <c r="AA995" s="20"/>
      <c r="AB995" s="20"/>
      <c r="AC995" s="20"/>
      <c r="AD995" s="20"/>
      <c r="AE995" s="20"/>
      <c r="AF995" s="27"/>
    </row>
    <row r="996" spans="1:32" ht="12.75" customHeight="1">
      <c r="A996" s="21" t="s">
        <v>1235</v>
      </c>
      <c r="H996" s="136" t="str">
        <f>IF($Q998&lt;&gt;"",IF(AND(AND($H998&gt;-1,$H1000&gt;-1),OR($H998&gt;10,$H1000&gt;10),ABS($H998-$H1000)&gt;1,IF(OR($H998&gt;11,$H1000&gt;11),ABS($H998-$H1000)=2,TRUE),$H998=INT($H998),$H1000=INT($H1000)),"","Error"),"")</f>
        <v/>
      </c>
      <c r="I996" s="136" t="str">
        <f>IF($Q998&lt;&gt;"",IF(AND(AND($I998&gt;-1,$I1000&gt;-1),OR($I998&gt;10,$I1000&gt;10),ABS($I998-$I1000)&gt;1,IF(OR($I998&gt;11,$I1000&gt;11),ABS($I998-$I1000)=2,TRUE),$I998=INT($I998),$I1000=INT($I1000)),"","Error"),"")</f>
        <v/>
      </c>
      <c r="J996" s="136" t="str">
        <f>IF($Q998&lt;&gt;"",IF(AND(AND($J998&gt;-1,$J1000&gt;-1),OR($J998&gt;10,$J1000&gt;10),ABS($J998-$J1000)&gt;1,IF(OR($J998&gt;11,$J1000&gt;11),ABS($J998-$J1000)=2,TRUE),$J998=INT($J998),$J1000=INT($J1000)),"","Error"),"")</f>
        <v/>
      </c>
      <c r="K996" s="136" t="str">
        <f>IF($Q998&lt;&gt;"",IF(AND($K998&lt;&gt;"",$K1000&lt;&gt;""), IF(AND(AND($K998&gt;-1,$K1000&gt;-1),OR($K998&gt;10,$K1000&gt;10),ABS($K998-$K1000)&gt;1,IF(OR($K998&gt;11,$K1000&gt;11),ABS($K998-$K1000)=2,TRUE),$K998=INT($K998),$K1000=INT($K1000)),"","Error"),""),"")</f>
        <v/>
      </c>
      <c r="L996" s="136" t="str">
        <f>IF($Q998&lt;&gt;"",IF(AND($L998&lt;&gt;"",$L1000&lt;&gt;""), IF(AND(AND($L998&gt;-1,$L1000&gt;-1),OR($L998&gt;10,$L1000&gt;10),ABS($L998-$L1000)&gt;1,IF(OR($L998&gt;11,$L1000&gt;11),ABS($L998-$L1000)=2,TRUE),$L998=INT($L998),$L1000=INT($L1000)),"","Error"),""),"")</f>
        <v/>
      </c>
      <c r="Q996" s="7"/>
      <c r="R996" s="20"/>
      <c r="S996" s="20"/>
      <c r="T996" s="20"/>
      <c r="U996" s="20"/>
      <c r="V996" s="20"/>
      <c r="W996" s="20"/>
      <c r="X996" s="26"/>
      <c r="Y996" s="26"/>
      <c r="Z996" s="20"/>
      <c r="AA996" s="20"/>
      <c r="AB996" s="20"/>
      <c r="AC996" s="20"/>
      <c r="AD996" s="20"/>
      <c r="AE996" s="20"/>
      <c r="AF996" s="27"/>
    </row>
    <row r="997" spans="1:32" ht="12.75" customHeight="1">
      <c r="A997" s="5" t="s">
        <v>1228</v>
      </c>
      <c r="B997" s="290" t="s">
        <v>1126</v>
      </c>
      <c r="C997" s="291"/>
      <c r="D997" s="291"/>
      <c r="E997" s="291"/>
      <c r="F997" s="291"/>
      <c r="G997" s="292"/>
      <c r="H997" s="5">
        <v>1</v>
      </c>
      <c r="I997" s="5">
        <v>2</v>
      </c>
      <c r="J997" s="5">
        <v>3</v>
      </c>
      <c r="K997" s="5">
        <v>4</v>
      </c>
      <c r="L997" s="5">
        <v>5</v>
      </c>
      <c r="M997" s="271"/>
      <c r="N997" s="272"/>
      <c r="O997" s="272"/>
      <c r="P997" s="273"/>
      <c r="Q997" s="7"/>
      <c r="R997" s="20"/>
      <c r="S997" s="20"/>
      <c r="T997" s="20"/>
      <c r="U997" s="20"/>
      <c r="V997" s="20"/>
      <c r="W997" s="20"/>
      <c r="X997" s="26"/>
      <c r="Y997" s="26"/>
      <c r="Z997" s="20"/>
      <c r="AA997" s="20"/>
      <c r="AB997" s="20"/>
      <c r="AC997" s="20"/>
      <c r="AD997" s="20"/>
      <c r="AE997" s="20"/>
      <c r="AF997" s="27"/>
    </row>
    <row r="998" spans="1:32" ht="12.75" customHeight="1">
      <c r="A998" s="300" t="str">
        <f>B978</f>
        <v>A</v>
      </c>
      <c r="B998" s="293" t="str">
        <f ca="1">IF(AND(OFFSET($AO$1,$C978-1,8,1,1),$A979&lt;&gt;"",$J979&lt;&gt;""),CHOOSE($C978,$AQ$1,$AQ$2,$AQ$3,$AQ$4,$AQ$5,$AQ$6,$AQ$7,$AQ$8,$AQ$9,$AQ$10,$AQ$11,$AQ$12),"")</f>
        <v/>
      </c>
      <c r="C998" s="294"/>
      <c r="D998" s="294"/>
      <c r="E998" s="294"/>
      <c r="F998" s="294"/>
      <c r="G998" s="294"/>
      <c r="H998" s="265"/>
      <c r="I998" s="265"/>
      <c r="J998" s="265"/>
      <c r="K998" s="265"/>
      <c r="L998" s="265"/>
      <c r="M998" s="262" t="str">
        <f ca="1">IF(OR(AND($B991&lt;&gt;"",$B998&lt;&gt;"",$D1009&lt;=$C1009),AND($B993&lt;&gt;"",$B1000&lt;&gt;"",$H1009&lt;=$G1009)),"Invalid Lineup","")</f>
        <v/>
      </c>
      <c r="N998" s="263"/>
      <c r="O998" s="263"/>
      <c r="P998" s="264"/>
      <c r="Q998" s="137" t="str">
        <f>IF($L998=$L1000,IF($K998=$K1000,IF($J998&lt;&gt;"",IF($J998&gt;$J1000,"W","L"),""),IF($K998&gt;$K1000,"W","L")),IF($L998&gt;$L1000,"W","L"))</f>
        <v/>
      </c>
      <c r="R998" s="20"/>
      <c r="S998" s="20"/>
      <c r="T998" s="20"/>
      <c r="U998" s="20"/>
      <c r="V998" s="20"/>
      <c r="W998" s="20"/>
      <c r="X998" s="26"/>
      <c r="Y998" s="26"/>
      <c r="Z998" s="20"/>
      <c r="AA998" s="20"/>
      <c r="AB998" s="20"/>
      <c r="AC998" s="20"/>
      <c r="AD998" s="20"/>
      <c r="AE998" s="20"/>
      <c r="AF998" s="27"/>
    </row>
    <row r="999" spans="1:32" ht="12.75" customHeight="1">
      <c r="A999" s="301"/>
      <c r="B999" s="295"/>
      <c r="C999" s="296"/>
      <c r="D999" s="296"/>
      <c r="E999" s="296"/>
      <c r="F999" s="296"/>
      <c r="G999" s="296"/>
      <c r="H999" s="270"/>
      <c r="I999" s="270"/>
      <c r="J999" s="270"/>
      <c r="K999" s="270"/>
      <c r="L999" s="270"/>
      <c r="M999" s="262"/>
      <c r="N999" s="263"/>
      <c r="O999" s="263"/>
      <c r="P999" s="264"/>
      <c r="Q999" s="139" t="str">
        <f>IF($Q998&lt;&gt;"",IF($Q998="W",IF(SUM(IF($H998&gt;$H1000,1,0),IF($I998&gt;$I1000,1,0),IF($J998&gt;$J1000,1,0),IF($K998&gt;$K1000,1,0),IF($L998&gt;$L1000,1,0))&lt;&gt;3,"Error",""),""),"")</f>
        <v/>
      </c>
      <c r="R999" s="328" t="str">
        <f>$A979</f>
        <v/>
      </c>
      <c r="S999" s="328"/>
      <c r="T999" s="328"/>
      <c r="U999" s="328"/>
      <c r="V999" s="328"/>
      <c r="W999" s="328"/>
      <c r="X999" s="256" t="str">
        <f>CONCATENATE("(",$B978," vs ",$K978,")")</f>
        <v>(A vs F)</v>
      </c>
      <c r="Y999" s="256"/>
      <c r="Z999" s="328" t="str">
        <f>$J979</f>
        <v/>
      </c>
      <c r="AA999" s="328"/>
      <c r="AB999" s="328"/>
      <c r="AC999" s="328"/>
      <c r="AD999" s="328"/>
      <c r="AE999" s="328"/>
      <c r="AF999" s="100"/>
    </row>
    <row r="1000" spans="1:32" ht="12.75" customHeight="1">
      <c r="A1000" s="300" t="str">
        <f>K978</f>
        <v>F</v>
      </c>
      <c r="B1000" s="293" t="str">
        <f ca="1">IF(AND(OFFSET($AO$1,$L978-1,8,1,1),$A979&lt;&gt;"",$J979&lt;&gt;""),CHOOSE($L978,$AQ$1,$AQ$2,$AQ$3,$AQ$4,$AQ$5,$AQ$6,$AQ$7,$AQ$8,$AQ$9,$AQ$10,$AQ$11,$AQ$12),"")</f>
        <v/>
      </c>
      <c r="C1000" s="294"/>
      <c r="D1000" s="294"/>
      <c r="E1000" s="294"/>
      <c r="F1000" s="294"/>
      <c r="G1000" s="294"/>
      <c r="H1000" s="265"/>
      <c r="I1000" s="265"/>
      <c r="J1000" s="265"/>
      <c r="K1000" s="265"/>
      <c r="L1000" s="265"/>
      <c r="M1000" s="267" t="s">
        <v>1237</v>
      </c>
      <c r="N1000" s="268"/>
      <c r="O1000" s="268"/>
      <c r="P1000" s="269"/>
      <c r="Q1000" s="137" t="str">
        <f>IF($Q998&lt;&gt;"",IF($Q998="W","L","W"),"")</f>
        <v/>
      </c>
      <c r="R1000" s="100"/>
      <c r="S1000" s="100"/>
      <c r="T1000" s="100"/>
      <c r="U1000" s="100"/>
      <c r="V1000" s="100"/>
      <c r="W1000" s="100"/>
      <c r="X1000" s="100"/>
      <c r="Y1000" s="100"/>
      <c r="Z1000" s="100"/>
      <c r="AA1000" s="100"/>
      <c r="AB1000" s="100"/>
      <c r="AC1000" s="100"/>
      <c r="AD1000" s="100"/>
      <c r="AE1000" s="100"/>
      <c r="AF1000" s="100"/>
    </row>
    <row r="1001" spans="1:32" ht="12.75" customHeight="1">
      <c r="A1001" s="301"/>
      <c r="B1001" s="295"/>
      <c r="C1001" s="296"/>
      <c r="D1001" s="296"/>
      <c r="E1001" s="296"/>
      <c r="F1001" s="296"/>
      <c r="G1001" s="296"/>
      <c r="H1001" s="270"/>
      <c r="I1001" s="270"/>
      <c r="J1001" s="266"/>
      <c r="K1001" s="266"/>
      <c r="L1001" s="266"/>
      <c r="M1001" s="267"/>
      <c r="N1001" s="268"/>
      <c r="O1001" s="268"/>
      <c r="P1001" s="269"/>
      <c r="Q1001" s="139" t="str">
        <f>IF($Q1000&lt;&gt;"",IF($Q1000="W",IF(SUM(IF($H1000&gt;$H998,1,0),IF($I1000&gt;$I998,1,0),IF($J1000&gt;$J998,1,0),IF($K1000&gt;$K998,1,0),IF($L1000&gt;$L998,1,0))&lt;&gt;3,"Error",""),""),"")</f>
        <v/>
      </c>
      <c r="R1001" s="43" t="str">
        <f>$A996</f>
        <v>3rd Singles</v>
      </c>
      <c r="S1001" s="43"/>
      <c r="T1001" s="43"/>
      <c r="U1001" s="43"/>
      <c r="V1001" s="43"/>
      <c r="W1001" s="43"/>
      <c r="X1001" s="43"/>
      <c r="Y1001" s="43"/>
      <c r="Z1001" s="43"/>
      <c r="AA1001" s="43"/>
      <c r="AB1001" s="43"/>
      <c r="AC1001" s="43"/>
      <c r="AD1001" s="43"/>
      <c r="AE1001" s="43"/>
      <c r="AF1001" s="43"/>
    </row>
    <row r="1002" spans="1:32" ht="12.75" customHeight="1">
      <c r="Q1002" s="7"/>
      <c r="R1002" s="60" t="s">
        <v>1228</v>
      </c>
      <c r="S1002" s="101" t="s">
        <v>1126</v>
      </c>
      <c r="T1002" s="102"/>
      <c r="U1002" s="102"/>
      <c r="V1002" s="102"/>
      <c r="W1002" s="102"/>
      <c r="X1002" s="103"/>
      <c r="Y1002" s="60">
        <v>1</v>
      </c>
      <c r="Z1002" s="60">
        <v>2</v>
      </c>
      <c r="AA1002" s="60">
        <v>3</v>
      </c>
      <c r="AB1002" s="60">
        <v>4</v>
      </c>
      <c r="AC1002" s="60">
        <v>5</v>
      </c>
      <c r="AD1002" s="104"/>
      <c r="AE1002" s="105"/>
      <c r="AF1002" s="106"/>
    </row>
    <row r="1003" spans="1:32" ht="12.75" customHeight="1">
      <c r="A1003" s="21" t="s">
        <v>1236</v>
      </c>
      <c r="H1003" s="136" t="str">
        <f ca="1">IF($Q1005&lt;&gt;"",IF(AND($B1005&lt;&gt;"Missing Player",$B1007&lt;&gt;"Missing Player"),IF(AND(AND($H1005&gt;-1,$H1007&gt;-1),OR($H1005&gt;10,$H1007&gt;10),ABS($H1005-$H1007)&gt;1,IF(OR($H1005&gt;11,$H1007&gt;11),ABS($H1005-$H1007)=2,TRUE),$H1005=INT($H1005),$H1007=INT($H1007)),"","Error"),""),"")</f>
        <v/>
      </c>
      <c r="I1003" s="136" t="str">
        <f ca="1">IF($Q1005&lt;&gt;"",IF(AND($B1005&lt;&gt;"Missing Player",$B1007&lt;&gt;"Missing Player"),IF(AND(AND($I1005&gt;-1,$I1007&gt;-1),OR($I1005&gt;10,$I1007&gt;10),ABS($I1005-$I1007)&gt;1,IF(OR($I1005&gt;11,$I1007&gt;11),ABS($I1005-$I1007)=2,TRUE),$I1005=INT($I1005),$I1007=INT($I1007)),"","Error"),""),"")</f>
        <v/>
      </c>
      <c r="J1003" s="136" t="str">
        <f ca="1">IF($Q1005&lt;&gt;"",IF(AND($B1005&lt;&gt;"Missing Player",$B1007&lt;&gt;"Missing Player"),IF(AND(AND($J1005&gt;-1,$J1007&gt;-1),OR($J1005&gt;10,$J1007&gt;10),ABS($J1005-$J1007)&gt;1,IF(OR($J1005&gt;11,$J1007&gt;11),ABS($J1005-$J1007)=2,TRUE),$J1005=INT($J1005),$J1007=INT($J1007)),"","Error"),""),"")</f>
        <v/>
      </c>
      <c r="K1003" s="136" t="str">
        <f ca="1">IF($Q1005&lt;&gt;"",IF(AND($K1005&lt;&gt;"",$K1007&lt;&gt;""), IF(AND(AND($K1005&gt;-1,$K1007&gt;-1),OR($K1005&gt;10,$K1007&gt;10),ABS($K1005-$K1007)&gt;1,IF(OR($K1005&gt;11,$K1007&gt;11),ABS($K1005-$K1007)=2,TRUE),$K1005=INT($K1005),$K1007=INT($K1007)),"","Error"),""),"")</f>
        <v/>
      </c>
      <c r="L1003" s="136" t="str">
        <f ca="1">IF($Q1005&lt;&gt;"",IF(AND($L1005&lt;&gt;"",$L1007&lt;&gt;""), IF(AND(AND($L1005&gt;-1,$L1007&gt;-1),OR($L1005&gt;10,$L1007&gt;10),ABS($L1005-$L1007)&gt;1,IF(OR($L1005&gt;11,$L1007&gt;11),ABS($L1005-$L1007)=2,TRUE),$L1005=INT($L1005),$L1007=INT($L1007)),"","Error"),""),"")</f>
        <v/>
      </c>
      <c r="Q1003" s="7"/>
      <c r="R1003" s="300" t="str">
        <f>$B978</f>
        <v>A</v>
      </c>
      <c r="S1003" s="331" t="str">
        <f ca="1">IF($B998&lt;&gt;"",$B998,"")</f>
        <v/>
      </c>
      <c r="T1003" s="332"/>
      <c r="U1003" s="332"/>
      <c r="V1003" s="332"/>
      <c r="W1003" s="332"/>
      <c r="X1003" s="333"/>
      <c r="Y1003" s="329"/>
      <c r="Z1003" s="329"/>
      <c r="AA1003" s="329"/>
      <c r="AB1003" s="329"/>
      <c r="AC1003" s="329"/>
      <c r="AD1003" s="345"/>
      <c r="AE1003" s="358"/>
      <c r="AF1003" s="359"/>
    </row>
    <row r="1004" spans="1:32" ht="12.75" customHeight="1">
      <c r="A1004" s="5" t="s">
        <v>1228</v>
      </c>
      <c r="B1004" s="290" t="s">
        <v>1126</v>
      </c>
      <c r="C1004" s="291"/>
      <c r="D1004" s="291"/>
      <c r="E1004" s="291"/>
      <c r="F1004" s="291"/>
      <c r="G1004" s="292"/>
      <c r="H1004" s="5">
        <v>1</v>
      </c>
      <c r="I1004" s="5">
        <v>2</v>
      </c>
      <c r="J1004" s="5">
        <v>3</v>
      </c>
      <c r="K1004" s="5">
        <v>4</v>
      </c>
      <c r="L1004" s="5">
        <v>5</v>
      </c>
      <c r="M1004" s="271"/>
      <c r="N1004" s="272"/>
      <c r="O1004" s="272"/>
      <c r="P1004" s="273"/>
      <c r="Q1004" s="7"/>
      <c r="R1004" s="330"/>
      <c r="S1004" s="334"/>
      <c r="T1004" s="335"/>
      <c r="U1004" s="335"/>
      <c r="V1004" s="335"/>
      <c r="W1004" s="335"/>
      <c r="X1004" s="336"/>
      <c r="Y1004" s="330"/>
      <c r="Z1004" s="330"/>
      <c r="AA1004" s="330"/>
      <c r="AB1004" s="330"/>
      <c r="AC1004" s="330"/>
      <c r="AD1004" s="360"/>
      <c r="AE1004" s="361"/>
      <c r="AF1004" s="362"/>
    </row>
    <row r="1005" spans="1:32" ht="12.75" customHeight="1">
      <c r="A1005" s="300" t="str">
        <f>B978</f>
        <v>A</v>
      </c>
      <c r="B1005" s="293" t="str">
        <f ca="1">IF(AND(OFFSET($AO$1,$C978-1,8,1,1),$A979&lt;&gt;"",$J979&lt;&gt;""),CHOOSE($C978,$AR$1,$AR$2,$AR$3,$AR$4,$AR$5,$AR$6,$AR$7,$AR$8,$AR$9,$AR$10,$AR$11,$AR$12),"")</f>
        <v/>
      </c>
      <c r="C1005" s="294"/>
      <c r="D1005" s="294"/>
      <c r="E1005" s="294"/>
      <c r="F1005" s="294"/>
      <c r="G1005" s="294"/>
      <c r="H1005" s="265"/>
      <c r="I1005" s="265"/>
      <c r="J1005" s="265"/>
      <c r="K1005" s="265"/>
      <c r="L1005" s="265" t="str">
        <f ca="1">IF(AND($B1005&lt;&gt;"",$Q984&lt;&gt;""),IF($B1005="Missing Player",0,IF($B1007="Missing Player",11,"")),"")</f>
        <v/>
      </c>
      <c r="M1005" s="262" t="str">
        <f ca="1">IF(OR(AND($B998&lt;&gt;"",$B1005&lt;&gt;"",$E1009&lt;=$D1009),AND($B1000&lt;&gt;"",$B1007&lt;&gt;"",$I1009&lt;=$H1009)),"Invalid Lineup","")</f>
        <v/>
      </c>
      <c r="N1005" s="263"/>
      <c r="O1005" s="263"/>
      <c r="P1005" s="264"/>
      <c r="Q1005" s="137" t="str">
        <f ca="1">IF($L1005=$L1007,IF($K1005=$K1007,IF($J1005&lt;&gt;"",IF($J1005&gt;$J1007,"W","L"),""),IF($K1005&gt;$K1007,"W","L")),IF($L1005&gt;$L1007,"W","L"))</f>
        <v/>
      </c>
      <c r="R1005" s="300" t="str">
        <f>$K978</f>
        <v>F</v>
      </c>
      <c r="S1005" s="331" t="str">
        <f ca="1">IF($B1000&lt;&gt;"",$B1000,"")</f>
        <v/>
      </c>
      <c r="T1005" s="332"/>
      <c r="U1005" s="332"/>
      <c r="V1005" s="332"/>
      <c r="W1005" s="332"/>
      <c r="X1005" s="333"/>
      <c r="Y1005" s="329"/>
      <c r="Z1005" s="329"/>
      <c r="AA1005" s="329"/>
      <c r="AB1005" s="329"/>
      <c r="AC1005" s="351"/>
      <c r="AD1005" s="363" t="s">
        <v>1237</v>
      </c>
      <c r="AE1005" s="358"/>
      <c r="AF1005" s="359"/>
    </row>
    <row r="1006" spans="1:32" ht="12.75" customHeight="1">
      <c r="A1006" s="301"/>
      <c r="B1006" s="295"/>
      <c r="C1006" s="296"/>
      <c r="D1006" s="296"/>
      <c r="E1006" s="296"/>
      <c r="F1006" s="296"/>
      <c r="G1006" s="296"/>
      <c r="H1006" s="270"/>
      <c r="I1006" s="270"/>
      <c r="J1006" s="270"/>
      <c r="K1006" s="270"/>
      <c r="L1006" s="270"/>
      <c r="M1006" s="262"/>
      <c r="N1006" s="263"/>
      <c r="O1006" s="263"/>
      <c r="P1006" s="264"/>
      <c r="Q1006" s="139" t="str">
        <f ca="1">IF($Q1005&lt;&gt;"",IF($B1007&lt;&gt;"Missing Player",IF($Q1005="W",IF(SUM(IF($H1005&gt;$H1007,1,0),IF($I1005&gt;$I1007,1,0),IF($J1005&gt;$J1007,1,0),IF($K1005&gt;$K1007,1,0),IF($L1005&gt;$L1007,1,0))&lt;&gt;3,"Error",""),""),""),"")</f>
        <v/>
      </c>
      <c r="R1006" s="330"/>
      <c r="S1006" s="334"/>
      <c r="T1006" s="335"/>
      <c r="U1006" s="335"/>
      <c r="V1006" s="335"/>
      <c r="W1006" s="335"/>
      <c r="X1006" s="336"/>
      <c r="Y1006" s="330"/>
      <c r="Z1006" s="330"/>
      <c r="AA1006" s="330"/>
      <c r="AB1006" s="330"/>
      <c r="AC1006" s="330"/>
      <c r="AD1006" s="360"/>
      <c r="AE1006" s="361"/>
      <c r="AF1006" s="362"/>
    </row>
    <row r="1007" spans="1:32" ht="12.75" customHeight="1">
      <c r="A1007" s="300" t="str">
        <f>K978</f>
        <v>F</v>
      </c>
      <c r="B1007" s="293" t="str">
        <f ca="1">IF(AND(OFFSET($AO$1,$L978-1,8,1,1),$A979&lt;&gt;"",$J979&lt;&gt;""),CHOOSE($L978,$AR$1,$AR$2,$AR$3,$AR$4,$AR$5,$AR$6,$AR$7,$AR$8,$AR$9,$AR$10,$AR$11,$AR$12),"")</f>
        <v/>
      </c>
      <c r="C1007" s="294"/>
      <c r="D1007" s="294"/>
      <c r="E1007" s="294"/>
      <c r="F1007" s="294"/>
      <c r="G1007" s="294"/>
      <c r="H1007" s="265"/>
      <c r="I1007" s="265"/>
      <c r="J1007" s="265"/>
      <c r="K1007" s="265"/>
      <c r="L1007" s="265" t="str">
        <f ca="1">IF(AND($B1007&lt;&gt;"",$Q984&lt;&gt;""),IF($B1007="Missing Player",0,IF($B1005="Missing Player",11,"")),"")</f>
        <v/>
      </c>
      <c r="M1007" s="267" t="s">
        <v>1237</v>
      </c>
      <c r="N1007" s="268"/>
      <c r="O1007" s="268"/>
      <c r="P1007" s="269"/>
      <c r="Q1007" s="137" t="str">
        <f ca="1">IF($Q1005&lt;&gt;"",IF($Q1005="W","L","W"),"")</f>
        <v/>
      </c>
      <c r="R1007" s="112"/>
      <c r="S1007" s="98"/>
      <c r="T1007" s="108"/>
      <c r="U1007" s="108"/>
      <c r="V1007" s="108"/>
      <c r="W1007" s="108"/>
      <c r="X1007" s="108"/>
      <c r="Y1007" s="113"/>
      <c r="Z1007" s="113"/>
      <c r="AA1007" s="113"/>
      <c r="AB1007" s="113"/>
      <c r="AC1007" s="113"/>
      <c r="AD1007" s="107"/>
      <c r="AE1007" s="109"/>
      <c r="AF1007" s="109"/>
    </row>
    <row r="1008" spans="1:32" ht="12.75" customHeight="1">
      <c r="A1008" s="301"/>
      <c r="B1008" s="295"/>
      <c r="C1008" s="296"/>
      <c r="D1008" s="296"/>
      <c r="E1008" s="296"/>
      <c r="F1008" s="296"/>
      <c r="G1008" s="296"/>
      <c r="H1008" s="270"/>
      <c r="I1008" s="270"/>
      <c r="J1008" s="266"/>
      <c r="K1008" s="266"/>
      <c r="L1008" s="266"/>
      <c r="M1008" s="267"/>
      <c r="N1008" s="268"/>
      <c r="O1008" s="268"/>
      <c r="P1008" s="269"/>
      <c r="Q1008" s="139" t="str">
        <f ca="1">IF($Q1007&lt;&gt;"",IF($B1005&lt;&gt;"Missing Player",IF($Q1007="W",IF(SUM(IF($H1007&gt;$H1005,1,0),IF($I1007&gt;$I1005,1,0),IF($J1007&gt;$J1005,1,0),IF($K1007&gt;$K1005,1,0),IF($L1007&gt;$L1005,1,0))&lt;&gt;3,"Error",""),""),""),"")</f>
        <v/>
      </c>
      <c r="R1008" s="114"/>
      <c r="S1008" s="115"/>
      <c r="T1008" s="115"/>
      <c r="U1008" s="115"/>
      <c r="V1008" s="115"/>
      <c r="W1008" s="115"/>
      <c r="X1008" s="115"/>
      <c r="Y1008" s="114"/>
      <c r="Z1008" s="114"/>
      <c r="AA1008" s="114"/>
      <c r="AB1008" s="114"/>
      <c r="AC1008" s="114"/>
      <c r="AD1008" s="114"/>
      <c r="AE1008" s="114"/>
      <c r="AF1008" s="114"/>
    </row>
    <row r="1009" spans="1:32" ht="12.75" customHeight="1">
      <c r="B1009" s="140" t="str">
        <f ca="1">IF(ISERROR(VLOOKUP($B984&amp;"("&amp;$B978&amp;")",Players!$S$4:$T$132,2,FALSE)),"",VLOOKUP($B984&amp;"("&amp;$B978&amp;")",Players!$S$4:$T$132,2,FALSE))</f>
        <v>A1</v>
      </c>
      <c r="C1009" s="140" t="str">
        <f ca="1">IF(ISERROR(VLOOKUP($B991&amp;"("&amp;$B978&amp;")",Players!$S$4:$T$132,2,FALSE)),"",VLOOKUP($B991&amp;"("&amp;$B978&amp;")",Players!$S$4:$T$132,2,FALSE))</f>
        <v>A1</v>
      </c>
      <c r="D1009" s="141" t="str">
        <f ca="1">IF(ISERROR(VLOOKUP($B998&amp;"("&amp;$B978&amp;")",Players!$S$4:$T$132,2,FALSE)),"",VLOOKUP($B998&amp;"("&amp;$B978&amp;")",Players!$S$4:$T$132,2,FALSE))</f>
        <v>A1</v>
      </c>
      <c r="E1009" s="141" t="str">
        <f ca="1">IF(ISERROR(VLOOKUP($B1005&amp;"("&amp;$B978&amp;")",Players!$S$4:$T$132,2,FALSE)),"",VLOOKUP($B1005&amp;"("&amp;$B978&amp;")",Players!$S$4:$T$132,2,FALSE))</f>
        <v>A1</v>
      </c>
      <c r="F1009" s="141" t="str">
        <f ca="1">IF(ISERROR(VLOOKUP($B986&amp;"("&amp;$K978&amp;")",Players!$S$4:$T$132,2,FALSE)),"",VLOOKUP($B986&amp;"("&amp;$K978&amp;")",Players!$S$4:$T$132,2,FALSE))</f>
        <v>F1</v>
      </c>
      <c r="G1009" s="141" t="str">
        <f ca="1">IF(ISERROR(VLOOKUP($B993&amp;"("&amp;$K978&amp;")",Players!$S$4:$T$132,2,FALSE)),"",VLOOKUP($B993&amp;"("&amp;$K978&amp;")",Players!$S$4:$T$132,2,FALSE))</f>
        <v>F1</v>
      </c>
      <c r="H1009" s="141" t="str">
        <f ca="1">IF(ISERROR(VLOOKUP($B1000&amp;"("&amp;$K978&amp;")",Players!$S$4:$T$132,2,FALSE)),"",VLOOKUP($B1000&amp;"("&amp;$K978&amp;")",Players!$S$4:$T$132,2,FALSE))</f>
        <v>F1</v>
      </c>
      <c r="I1009" s="141" t="str">
        <f ca="1">IF(ISERROR(VLOOKUP($B1007&amp;"("&amp;$K978&amp;")",Players!$S$4:$T$132,2,FALSE)),"",VLOOKUP($B1007&amp;"("&amp;$K978&amp;")",Players!$S$4:$T$132,2,FALSE))</f>
        <v>F1</v>
      </c>
      <c r="Q1009" s="7"/>
      <c r="R1009" s="50"/>
      <c r="S1009" s="116"/>
      <c r="T1009" s="115"/>
      <c r="U1009" s="115"/>
      <c r="V1009" s="115"/>
      <c r="W1009" s="115"/>
      <c r="X1009" s="115"/>
      <c r="Y1009" s="99"/>
      <c r="Z1009" s="99"/>
      <c r="AA1009" s="99"/>
      <c r="AB1009" s="99"/>
      <c r="AC1009" s="117"/>
      <c r="AD1009" s="118"/>
      <c r="AE1009" s="114"/>
      <c r="AF1009" s="114"/>
    </row>
    <row r="1010" spans="1:32" ht="12.75" customHeight="1">
      <c r="A1010" s="21" t="s">
        <v>1225</v>
      </c>
      <c r="H1010" s="136" t="str">
        <f ca="1">IF($Q1012&lt;&gt;"",IF(AND($B1013&lt;&gt;"Missing Player",$B1015&lt;&gt;"Missing Player"),IF(AND(AND($H1012&gt;-1,$H1014&gt;-1),OR($H1012&gt;10,$H1014&gt;10),ABS($H1012-$H1014)&gt;1,IF(OR($H1012&gt;11,$H1014&gt;11),ABS($H1012-$H1014)=2,TRUE),$H1012=INT($H1012),$H1014=INT($H1014)),"","Error"),""),"")</f>
        <v/>
      </c>
      <c r="I1010" s="136" t="str">
        <f ca="1">IF($Q1012&lt;&gt;"",IF(AND($B1013&lt;&gt;"Missing Player",$B1015&lt;&gt;"Missing Player"),IF(AND(AND($I1012&gt;-1,$I1014&gt;-1),OR($I1012&gt;10,$I1014&gt;10),ABS($I1012-$I1014)&gt;1,IF(OR($I1012&gt;11,$I1014&gt;11),ABS($I1012-$I1014)=2,TRUE),$I1012=INT($I1012),$I1014=INT($I1014)),"","Error"),""),"")</f>
        <v/>
      </c>
      <c r="J1010" s="136" t="str">
        <f ca="1">IF($Q1012&lt;&gt;"",IF(AND($B1013&lt;&gt;"Missing Player",$B1015&lt;&gt;"Missing Player"),IF(AND(AND($J1012&gt;-1,$J1014&gt;-1),OR($J1012&gt;10,$J1014&gt;10),ABS($J1012-$J1014)&gt;1,IF(OR($J1012&gt;11,$J1014&gt;11),ABS($J1012-$J1014)=2,TRUE),$J1012=INT($J1012),$J1014=INT($J1014)),"","Error"),""),"")</f>
        <v/>
      </c>
      <c r="K1010" s="136" t="str">
        <f ca="1">IF($Q1012&lt;&gt;"",IF(AND($K1012&lt;&gt;"",$K1014&lt;&gt;""), IF(AND(AND($K1012&gt;-1,$K1014&gt;-1),OR($K1012&gt;10,$K1014&gt;10),ABS($K1012-$K1014)&gt;1,IF(OR($K1012&gt;11,$K1014&gt;11),ABS($K1012-$K1014)=2,TRUE),$K1012=INT($K1012),$K1014=INT($K1014)),"","Error"),""),"")</f>
        <v/>
      </c>
      <c r="L1010" s="136" t="str">
        <f ca="1">IF($Q1012&lt;&gt;"",IF(AND($L1012&lt;&gt;"",$L1014&lt;&gt;""), IF(AND(AND($L1012&gt;-1,$L1014&gt;-1),OR($L1012&gt;10,$L1014&gt;10),ABS($L1012-$L1014)&gt;1,IF(OR($L1012&gt;11,$L1014&gt;11),ABS($L1012-$L1014)=2,TRUE),$L1012=INT($L1012),$L1014=INT($L1014)),"","Error"),""),"")</f>
        <v/>
      </c>
      <c r="Q1010" s="7"/>
      <c r="R1010" s="114"/>
      <c r="S1010" s="115"/>
      <c r="T1010" s="115"/>
      <c r="U1010" s="115"/>
      <c r="V1010" s="115"/>
      <c r="W1010" s="115"/>
      <c r="X1010" s="115"/>
      <c r="Y1010" s="114"/>
      <c r="Z1010" s="114"/>
      <c r="AA1010" s="114"/>
      <c r="AB1010" s="114"/>
      <c r="AC1010" s="114"/>
      <c r="AD1010" s="114"/>
      <c r="AE1010" s="114"/>
      <c r="AF1010" s="114"/>
    </row>
    <row r="1011" spans="1:32" ht="12.75" customHeight="1">
      <c r="A1011" s="5" t="s">
        <v>1228</v>
      </c>
      <c r="B1011" s="290" t="s">
        <v>1126</v>
      </c>
      <c r="C1011" s="291"/>
      <c r="D1011" s="291"/>
      <c r="E1011" s="291"/>
      <c r="F1011" s="291"/>
      <c r="G1011" s="292"/>
      <c r="H1011" s="5">
        <v>1</v>
      </c>
      <c r="I1011" s="5">
        <v>2</v>
      </c>
      <c r="J1011" s="5">
        <v>3</v>
      </c>
      <c r="K1011" s="5">
        <v>4</v>
      </c>
      <c r="L1011" s="5">
        <v>5</v>
      </c>
      <c r="M1011" s="271"/>
      <c r="N1011" s="272"/>
      <c r="O1011" s="272"/>
      <c r="P1011" s="273"/>
      <c r="Q1011" s="8"/>
      <c r="S1011" s="24"/>
      <c r="T1011" s="26"/>
    </row>
    <row r="1012" spans="1:32" ht="12.75" customHeight="1">
      <c r="A1012" s="300" t="str">
        <f>B978</f>
        <v>A</v>
      </c>
      <c r="B1012" s="311" t="str">
        <f ca="1">IF($B984&lt;&gt;"",$B984,"")</f>
        <v/>
      </c>
      <c r="C1012" s="312"/>
      <c r="D1012" s="312"/>
      <c r="E1012" s="312"/>
      <c r="F1012" s="312"/>
      <c r="G1012" s="313"/>
      <c r="H1012" s="265"/>
      <c r="I1012" s="265"/>
      <c r="J1012" s="265"/>
      <c r="K1012" s="265"/>
      <c r="L1012" s="265" t="str">
        <f ca="1">IF($B1005&lt;&gt;"",IF(AND($B1005="Missing Player",$G1016=2,$J1016=2),0,IF(AND($B1007="Missing Player",$G1016=2,$J1016=2),11,"")),"")</f>
        <v/>
      </c>
      <c r="M1012" s="262" t="str">
        <f ca="1">IF(OR(AND($B1012&lt;&gt;"",$B1013&lt;&gt;"",$B1012=$B1013),AND($B1014&lt;&gt;"",$B1015&lt;&gt;"",$B1014=$B1015)),"Invalid Partner","")</f>
        <v/>
      </c>
      <c r="N1012" s="263"/>
      <c r="O1012" s="263"/>
      <c r="P1012" s="264"/>
      <c r="Q1012" s="138" t="str">
        <f ca="1">IF(L1012=L1014,IF(K1012=K1014,IF(J1012&lt;&gt;"",IF(J1012&gt;J1014,"W","L"),""),IF(K1012&gt;K1014,"W","L")),IF(L1012&gt;L1014,"W","L"))</f>
        <v/>
      </c>
      <c r="S1012" s="24"/>
      <c r="T1012" s="26"/>
    </row>
    <row r="1013" spans="1:32" ht="12.75" customHeight="1">
      <c r="A1013" s="324"/>
      <c r="B1013" s="308" t="str">
        <f ca="1">IF($B1005="Missing Player",$B1005,"")</f>
        <v/>
      </c>
      <c r="C1013" s="309"/>
      <c r="D1013" s="309"/>
      <c r="E1013" s="309"/>
      <c r="F1013" s="309"/>
      <c r="G1013" s="310"/>
      <c r="H1013" s="270"/>
      <c r="I1013" s="270"/>
      <c r="J1013" s="270"/>
      <c r="K1013" s="270"/>
      <c r="L1013" s="270"/>
      <c r="M1013" s="262"/>
      <c r="N1013" s="263"/>
      <c r="O1013" s="263"/>
      <c r="P1013" s="264"/>
      <c r="Q1013" s="139" t="str">
        <f ca="1">IF($Q1012&lt;&gt;"",IF($B1015&lt;&gt;"Missing Player",IF($Q1012="W",IF(SUM(IF($H1012&gt;$H1014,1,0),IF($I1012&gt;$I1014,1,0),IF($J1012&gt;$J1014,1,0),IF($K1012&gt;$K1014,1,0),IF($L1012&gt;$L1014,1,0))&lt;&gt;3,"Error",""),""),""),"")</f>
        <v/>
      </c>
      <c r="R1013" s="328" t="str">
        <f>$A979</f>
        <v/>
      </c>
      <c r="S1013" s="328"/>
      <c r="T1013" s="328"/>
      <c r="U1013" s="328"/>
      <c r="V1013" s="328"/>
      <c r="W1013" s="328"/>
      <c r="X1013" s="256" t="str">
        <f>CONCATENATE("(",$B978," vs ",$K978,")")</f>
        <v>(A vs F)</v>
      </c>
      <c r="Y1013" s="256"/>
      <c r="Z1013" s="328" t="str">
        <f>$J979</f>
        <v/>
      </c>
      <c r="AA1013" s="328"/>
      <c r="AB1013" s="328"/>
      <c r="AC1013" s="328"/>
      <c r="AD1013" s="328"/>
      <c r="AE1013" s="328"/>
      <c r="AF1013" s="43"/>
    </row>
    <row r="1014" spans="1:32" ht="12.75" customHeight="1">
      <c r="A1014" s="325" t="str">
        <f>K978</f>
        <v>F</v>
      </c>
      <c r="B1014" s="311" t="str">
        <f ca="1">IF($B986&lt;&gt;"",$B986,"")</f>
        <v/>
      </c>
      <c r="C1014" s="312"/>
      <c r="D1014" s="312"/>
      <c r="E1014" s="312"/>
      <c r="F1014" s="312"/>
      <c r="G1014" s="313"/>
      <c r="H1014" s="265"/>
      <c r="I1014" s="265"/>
      <c r="J1014" s="265"/>
      <c r="K1014" s="265"/>
      <c r="L1014" s="265" t="str">
        <f ca="1">IF($B1007&lt;&gt;"",IF(AND($B1007="Missing Player",$G1016=2,$J1016=2),0,IF(AND($B1005="Missing Player",$G1016=2,$J1016=2),11,"")),"")</f>
        <v/>
      </c>
      <c r="M1014" s="267" t="s">
        <v>1237</v>
      </c>
      <c r="N1014" s="268"/>
      <c r="O1014" s="268"/>
      <c r="P1014" s="269"/>
      <c r="Q1014" s="138" t="str">
        <f ca="1">IF(Q1012&lt;&gt;"",IF(Q1012="W","L","W"),"")</f>
        <v/>
      </c>
      <c r="R1014" s="43"/>
      <c r="S1014" s="43"/>
      <c r="T1014" s="43"/>
      <c r="U1014" s="43"/>
      <c r="V1014" s="43"/>
      <c r="W1014" s="43"/>
      <c r="X1014" s="43"/>
      <c r="Y1014" s="43"/>
      <c r="Z1014" s="43"/>
      <c r="AA1014" s="43"/>
      <c r="AB1014" s="43"/>
      <c r="AC1014" s="43"/>
      <c r="AD1014" s="43"/>
      <c r="AE1014" s="43"/>
      <c r="AF1014" s="43"/>
    </row>
    <row r="1015" spans="1:32" ht="12.75" customHeight="1">
      <c r="A1015" s="324"/>
      <c r="B1015" s="308" t="str">
        <f ca="1">IF($B1007="Missing Player",$B1007,"")</f>
        <v/>
      </c>
      <c r="C1015" s="309"/>
      <c r="D1015" s="309"/>
      <c r="E1015" s="309"/>
      <c r="F1015" s="309"/>
      <c r="G1015" s="310"/>
      <c r="H1015" s="270"/>
      <c r="I1015" s="270"/>
      <c r="J1015" s="266"/>
      <c r="K1015" s="266"/>
      <c r="L1015" s="266"/>
      <c r="M1015" s="267"/>
      <c r="N1015" s="268"/>
      <c r="O1015" s="268"/>
      <c r="P1015" s="269"/>
      <c r="Q1015" s="139" t="str">
        <f ca="1">IF($Q1014&lt;&gt;"",IF($B1013&lt;&gt;"Missing Player",IF($Q1014="W",IF(SUM(IF($H1014&gt;$H1012,1,0),IF($I1014&gt;$I1012,1,0),IF($J1014&gt;$J1012,1,0),IF($K1014&gt;$K1012,1,0),IF($L1014&gt;$L1012,1,0))&lt;&gt;3,"Error",""),""),""),"")</f>
        <v/>
      </c>
      <c r="R1015" s="43" t="str">
        <f>A1003</f>
        <v>4th Singles</v>
      </c>
      <c r="S1015" s="43"/>
      <c r="T1015" s="43"/>
      <c r="U1015" s="43"/>
      <c r="V1015" s="43"/>
      <c r="W1015" s="43"/>
      <c r="X1015" s="43"/>
      <c r="Y1015" s="43"/>
      <c r="Z1015" s="43"/>
      <c r="AA1015" s="43"/>
      <c r="AB1015" s="43"/>
      <c r="AC1015" s="43"/>
      <c r="AD1015" s="43"/>
      <c r="AE1015" s="43"/>
      <c r="AF1015" s="43"/>
    </row>
    <row r="1016" spans="1:32" ht="12.75" customHeight="1">
      <c r="G1016" s="66">
        <f ca="1">COUNTIF($Q984:$Q984,"W")+COUNTIF($Q991:$Q991,"W")+COUNTIF($Q998:$Q998,"W")+COUNTIF($Q1005:$Q1005,"W")</f>
        <v>0</v>
      </c>
      <c r="J1016" s="66">
        <f ca="1">COUNTIF($Q986:$Q986,"W")+COUNTIF($Q993:$Q993,"W")+COUNTIF($Q1000:$Q1000,"W")+COUNTIF($Q1007:$Q1007,"W")</f>
        <v>0</v>
      </c>
      <c r="R1016" s="60" t="s">
        <v>1228</v>
      </c>
      <c r="S1016" s="339" t="s">
        <v>1126</v>
      </c>
      <c r="T1016" s="340"/>
      <c r="U1016" s="340"/>
      <c r="V1016" s="340"/>
      <c r="W1016" s="340"/>
      <c r="X1016" s="341"/>
      <c r="Y1016" s="60">
        <v>1</v>
      </c>
      <c r="Z1016" s="60">
        <v>2</v>
      </c>
      <c r="AA1016" s="60">
        <v>3</v>
      </c>
      <c r="AB1016" s="60">
        <v>4</v>
      </c>
      <c r="AC1016" s="60">
        <v>5</v>
      </c>
      <c r="AD1016" s="342"/>
      <c r="AE1016" s="343"/>
      <c r="AF1016" s="344"/>
    </row>
    <row r="1017" spans="1:32" ht="12.75" customHeight="1" thickBot="1">
      <c r="F1017" s="246" t="s">
        <v>1238</v>
      </c>
      <c r="G1017" s="246"/>
      <c r="H1017" s="246"/>
      <c r="I1017" s="246"/>
      <c r="J1017" s="246"/>
      <c r="K1017" s="246"/>
      <c r="R1017" s="300" t="str">
        <f>B978</f>
        <v>A</v>
      </c>
      <c r="S1017" s="331" t="str">
        <f ca="1">IF($B1005&lt;&gt;"",$B1005,"")</f>
        <v/>
      </c>
      <c r="T1017" s="353"/>
      <c r="U1017" s="353"/>
      <c r="V1017" s="353"/>
      <c r="W1017" s="353"/>
      <c r="X1017" s="354"/>
      <c r="Y1017" s="329"/>
      <c r="Z1017" s="329"/>
      <c r="AA1017" s="351"/>
      <c r="AB1017" s="351"/>
      <c r="AC1017" s="351"/>
      <c r="AD1017" s="345"/>
      <c r="AE1017" s="346"/>
      <c r="AF1017" s="347"/>
    </row>
    <row r="1018" spans="1:32" ht="12.75" customHeight="1">
      <c r="A1018" s="22"/>
      <c r="B1018" s="22"/>
      <c r="C1018" s="22"/>
      <c r="D1018" s="22"/>
      <c r="E1018" s="22"/>
      <c r="G1018" s="304" t="str">
        <f>B978</f>
        <v>A</v>
      </c>
      <c r="H1018" s="305"/>
      <c r="I1018" s="302" t="str">
        <f>K978</f>
        <v>F</v>
      </c>
      <c r="J1018" s="303"/>
      <c r="L1018" s="22"/>
      <c r="M1018" s="22"/>
      <c r="N1018" s="22"/>
      <c r="O1018" s="22"/>
      <c r="P1018" s="22"/>
      <c r="R1018" s="301"/>
      <c r="S1018" s="355"/>
      <c r="T1018" s="356"/>
      <c r="U1018" s="356"/>
      <c r="V1018" s="356"/>
      <c r="W1018" s="356"/>
      <c r="X1018" s="357"/>
      <c r="Y1018" s="338"/>
      <c r="Z1018" s="338"/>
      <c r="AA1018" s="352"/>
      <c r="AB1018" s="352"/>
      <c r="AC1018" s="352"/>
      <c r="AD1018" s="348"/>
      <c r="AE1018" s="349"/>
      <c r="AF1018" s="350"/>
    </row>
    <row r="1019" spans="1:32" ht="12.75" customHeight="1" thickBot="1">
      <c r="A1019" s="2" t="s">
        <v>1228</v>
      </c>
      <c r="B1019" s="53" t="str">
        <f>B978</f>
        <v>A</v>
      </c>
      <c r="C1019" s="3" t="s">
        <v>1226</v>
      </c>
      <c r="F1019" s="66" t="str">
        <f>CONCATENATE($B978,"-",$K978)</f>
        <v>A-F</v>
      </c>
      <c r="G1019" s="320" t="str">
        <f ca="1">IF(OR(Q984&lt;&gt;"",Q991&lt;&gt;"",Q998&lt;&gt;"",Q1005&lt;&gt;"",Q1012&lt;&gt;""),COUNTIF(Q984:Q984,"W")+COUNTIF(Q991:Q991,"W")+COUNTIF(Q998:Q998,"W")+COUNTIF(Q1005:Q1005,"W")+COUNTIF(Q1012:Q1012,"W"),"")</f>
        <v/>
      </c>
      <c r="H1019" s="321"/>
      <c r="I1019" s="322" t="str">
        <f ca="1">IF(OR(Q986&lt;&gt;"",Q993&lt;&gt;"",Q1000&lt;&gt;"",Q1007&lt;&gt;"",Q1014&lt;&gt;""),COUNTIF(Q986:Q986,"W")+COUNTIF(Q993:Q993,"W")+COUNTIF(Q1000:Q1000,"W")+COUNTIF(Q1007:Q1007,"W")+COUNTIF(Q1014:Q1014,"W"),"")</f>
        <v/>
      </c>
      <c r="J1019" s="323"/>
      <c r="L1019" s="2" t="s">
        <v>1228</v>
      </c>
      <c r="M1019" s="53" t="str">
        <f>K978</f>
        <v>F</v>
      </c>
      <c r="N1019" s="3" t="s">
        <v>1226</v>
      </c>
      <c r="R1019" s="300" t="str">
        <f>K978</f>
        <v>F</v>
      </c>
      <c r="S1019" s="331" t="str">
        <f ca="1">IF($B1007&lt;&gt;"",$B1007,"")</f>
        <v/>
      </c>
      <c r="T1019" s="332"/>
      <c r="U1019" s="332"/>
      <c r="V1019" s="332"/>
      <c r="W1019" s="332"/>
      <c r="X1019" s="333"/>
      <c r="Y1019" s="329"/>
      <c r="Z1019" s="329"/>
      <c r="AA1019" s="351"/>
      <c r="AB1019" s="351"/>
      <c r="AC1019" s="351"/>
      <c r="AD1019" s="363" t="s">
        <v>1237</v>
      </c>
      <c r="AE1019" s="358"/>
      <c r="AF1019" s="359"/>
    </row>
    <row r="1020" spans="1:32" ht="12.75" customHeight="1">
      <c r="F1020" s="25" t="s">
        <v>3996</v>
      </c>
      <c r="G1020" s="23"/>
      <c r="H1020" s="23"/>
      <c r="I1020" s="23"/>
      <c r="J1020" s="23"/>
      <c r="K1020" s="24"/>
      <c r="R1020" s="330"/>
      <c r="S1020" s="334"/>
      <c r="T1020" s="335"/>
      <c r="U1020" s="335"/>
      <c r="V1020" s="335"/>
      <c r="W1020" s="335"/>
      <c r="X1020" s="336"/>
      <c r="Y1020" s="330"/>
      <c r="Z1020" s="330"/>
      <c r="AA1020" s="330"/>
      <c r="AB1020" s="330"/>
      <c r="AC1020" s="330"/>
      <c r="AD1020" s="360"/>
      <c r="AE1020" s="361"/>
      <c r="AF1020" s="362"/>
    </row>
    <row r="1021" spans="1:32" ht="12.75" customHeight="1">
      <c r="R1021" s="1"/>
      <c r="S1021" s="110"/>
      <c r="T1021" s="110"/>
      <c r="U1021" s="110"/>
      <c r="V1021" s="110"/>
      <c r="W1021" s="110"/>
      <c r="X1021" s="111"/>
      <c r="Y1021" s="111"/>
      <c r="Z1021" s="111"/>
      <c r="AA1021" s="111"/>
    </row>
    <row r="1022" spans="1:32" ht="12.75" customHeight="1">
      <c r="F1022" s="246" t="s">
        <v>4929</v>
      </c>
      <c r="G1022" s="246"/>
      <c r="H1022" s="246"/>
      <c r="I1022" s="246"/>
      <c r="R1022" s="1"/>
      <c r="S1022" s="110"/>
      <c r="T1022" s="110"/>
      <c r="U1022" s="110"/>
      <c r="V1022" s="110"/>
      <c r="W1022" s="110"/>
      <c r="X1022" s="111"/>
      <c r="Y1022" s="111"/>
      <c r="Z1022" s="111"/>
      <c r="AA1022" s="111"/>
    </row>
    <row r="1023" spans="1:32" ht="12.75" customHeight="1">
      <c r="F1023" s="246" t="s">
        <v>4930</v>
      </c>
      <c r="G1023" s="246"/>
      <c r="H1023" s="246"/>
      <c r="I1023" s="246"/>
      <c r="R1023" s="1"/>
      <c r="S1023" s="110"/>
      <c r="T1023" s="110"/>
      <c r="U1023" s="110"/>
      <c r="V1023" s="110"/>
      <c r="W1023" s="110"/>
      <c r="X1023" s="111"/>
      <c r="Y1023" s="111"/>
      <c r="Z1023" s="111"/>
      <c r="AA1023" s="111"/>
    </row>
    <row r="1024" spans="1:32" ht="12.75" customHeight="1">
      <c r="K1024" s="281" t="s">
        <v>1244</v>
      </c>
      <c r="L1024" s="281"/>
      <c r="M1024" s="281"/>
      <c r="N1024" s="281"/>
      <c r="O1024" s="281"/>
      <c r="P1024" s="281"/>
      <c r="R1024" s="1"/>
      <c r="S1024" s="110"/>
      <c r="T1024" s="110"/>
      <c r="U1024" s="110"/>
      <c r="V1024" s="110"/>
      <c r="W1024" s="110"/>
      <c r="X1024" s="111"/>
      <c r="Y1024" s="111"/>
      <c r="Z1024" s="111"/>
      <c r="AA1024" s="111"/>
    </row>
    <row r="1025" spans="1:32" ht="12.75" customHeight="1">
      <c r="A1025" s="12" t="s">
        <v>1229</v>
      </c>
      <c r="B1025" s="11"/>
      <c r="C1025" s="11"/>
      <c r="D1025" s="11" t="str">
        <f>Draw!$B$1</f>
        <v>Enter Division Name</v>
      </c>
      <c r="E1025" s="11"/>
      <c r="F1025" s="7"/>
      <c r="G1025" s="6"/>
      <c r="H1025" s="7"/>
      <c r="I1025" s="11"/>
      <c r="J1025" s="11"/>
      <c r="K1025" s="11"/>
      <c r="L1025" s="11"/>
      <c r="M1025" s="281"/>
      <c r="N1025" s="281"/>
      <c r="O1025" s="281"/>
      <c r="P1025" s="281"/>
      <c r="R1025" s="1"/>
      <c r="S1025" s="110"/>
      <c r="T1025" s="110"/>
      <c r="U1025" s="110"/>
      <c r="V1025" s="110"/>
      <c r="W1025" s="110"/>
      <c r="X1025" s="111"/>
      <c r="Y1025" s="111"/>
      <c r="Z1025" s="111"/>
      <c r="AA1025" s="111"/>
    </row>
    <row r="1026" spans="1:32" ht="12.75" customHeight="1">
      <c r="A1026" s="2" t="s">
        <v>1230</v>
      </c>
      <c r="D1026" s="43" t="str">
        <f>Draw!$D$1</f>
        <v>Enter Hosting Location (City, ST)</v>
      </c>
      <c r="J1026" s="43" t="str">
        <f ca="1">$J$6</f>
        <v>[NCTTA Teams Template (v2.06).xlsx]</v>
      </c>
      <c r="R1026" s="1"/>
      <c r="S1026" s="110"/>
      <c r="T1026" s="110"/>
      <c r="U1026" s="110"/>
      <c r="V1026" s="110"/>
      <c r="W1026" s="110"/>
      <c r="X1026" s="111"/>
      <c r="Y1026" s="111"/>
      <c r="Z1026" s="111"/>
      <c r="AA1026" s="111"/>
    </row>
    <row r="1027" spans="1:32" ht="12.75" customHeight="1">
      <c r="A1027" s="2" t="s">
        <v>1231</v>
      </c>
      <c r="D1027" s="337" t="str">
        <f>Draw!$P$1</f>
        <v>Enter Date</v>
      </c>
      <c r="E1027" s="337"/>
      <c r="F1027" s="337"/>
      <c r="G1027" s="337"/>
      <c r="J1027" s="280" t="str">
        <f>CHOOSE(Draw!$T$1,"Round 4, Match 3","Round 2, Match 6","","","","","Round 7, Match 3","Round 6, Match 1","Round 6, Match 1","Round 5, Match 1","Round 5, Match 1")</f>
        <v/>
      </c>
      <c r="K1027" s="280"/>
      <c r="L1027" s="280"/>
      <c r="M1027" s="276" t="str">
        <f>IF(AND($J1027&lt;&gt;"",Draw!$AC$10&lt;&gt;"",Draw!$AC$13&lt;&gt;""),Draw!$AC$10+TIME(0,VALUE(MID($J1027,7,FIND(",",$J1027)-FIND(" ",$J1027)-1)-1)*Draw!$AC$13,0),"")</f>
        <v/>
      </c>
      <c r="N1027" s="276"/>
      <c r="O1027" s="157" t="str">
        <f>$F1070</f>
        <v>A-G</v>
      </c>
      <c r="R1027" s="1"/>
      <c r="S1027" s="110"/>
      <c r="T1027" s="110"/>
      <c r="U1027" s="110"/>
      <c r="V1027" s="110"/>
      <c r="W1027" s="110"/>
      <c r="X1027" s="111"/>
      <c r="Y1027" s="111"/>
      <c r="Z1027" s="111"/>
      <c r="AA1027" s="111"/>
    </row>
    <row r="1028" spans="1:32" ht="12.75" customHeight="1">
      <c r="A1028" s="14"/>
      <c r="B1028" s="15"/>
      <c r="C1028" s="15"/>
      <c r="D1028" s="15"/>
      <c r="E1028" s="15"/>
      <c r="F1028" s="14"/>
      <c r="G1028" s="14"/>
      <c r="H1028" s="16"/>
      <c r="I1028" s="14"/>
      <c r="J1028" s="15"/>
      <c r="K1028" s="15"/>
      <c r="L1028" s="15"/>
      <c r="M1028" s="15"/>
      <c r="N1028" s="15"/>
      <c r="O1028" s="364" t="str">
        <f>IF(OR(AND(VLOOKUP($B1029,$AM$1:$AX$12,12,FALSE)="C",VLOOKUP($K1029,$AM$1:$AX$12,12,FALSE)="C"),AND(VLOOKUP($B1029,$AM$1:$AX$12,12,FALSE)="W",VLOOKUP($K1029,$AM$1:$AX$12,12,FALSE)="W")),"Official",IF(AND($A1030="",$J1030=""),"","Scrimmage"))</f>
        <v/>
      </c>
      <c r="P1028" s="364"/>
      <c r="R1028" s="1"/>
      <c r="S1028" s="110"/>
      <c r="T1028" s="110"/>
      <c r="U1028" s="110"/>
      <c r="V1028" s="110"/>
      <c r="W1028" s="110"/>
      <c r="X1028" s="111"/>
      <c r="Y1028" s="111"/>
      <c r="Z1028" s="111"/>
      <c r="AA1028" s="111"/>
    </row>
    <row r="1029" spans="1:32" ht="12.75" customHeight="1">
      <c r="A1029" s="17" t="s">
        <v>1228</v>
      </c>
      <c r="B1029" s="119" t="str">
        <f>CHOOSE(Draw!$T$1,"G","H","A","A","B","A","B","A","A","A","A")</f>
        <v>A</v>
      </c>
      <c r="C1029" s="135">
        <f>VLOOKUP($B1029,$AM$1:$AN$12,2)</f>
        <v>1</v>
      </c>
      <c r="D1029" s="13"/>
      <c r="E1029" s="13"/>
      <c r="F1029" s="10"/>
      <c r="H1029" s="19" t="s">
        <v>1232</v>
      </c>
      <c r="J1029" s="17" t="s">
        <v>1228</v>
      </c>
      <c r="K1029" s="119" t="str">
        <f>CHOOSE(Draw!$T$1,"K","L","G","L","I","L","C","B","D","E","B")</f>
        <v>G</v>
      </c>
      <c r="L1029" s="135">
        <f>VLOOKUP($K1029,$AM$1:$AN$12,2)</f>
        <v>7</v>
      </c>
      <c r="M1029" s="13"/>
      <c r="N1029" s="13"/>
      <c r="O1029" s="18"/>
      <c r="P1029" s="274"/>
      <c r="Q1029" s="275"/>
      <c r="R1029" s="1"/>
      <c r="S1029" s="110"/>
      <c r="T1029" s="110"/>
      <c r="U1029" s="110"/>
      <c r="V1029" s="110"/>
      <c r="W1029" s="110"/>
      <c r="X1029" s="111"/>
      <c r="Y1029" s="111"/>
      <c r="Z1029" s="111"/>
      <c r="AA1029" s="111"/>
    </row>
    <row r="1030" spans="1:32" ht="12.75" customHeight="1">
      <c r="A1030" s="277" t="str">
        <f>IF(VLOOKUP($B1029,Draw!$A$4:$B$27,2)&lt;&gt;0,VLOOKUP($B1029,Draw!$A$4:$B$27,2),"")</f>
        <v/>
      </c>
      <c r="B1030" s="278"/>
      <c r="C1030" s="278"/>
      <c r="D1030" s="278"/>
      <c r="E1030" s="278"/>
      <c r="F1030" s="279"/>
      <c r="G1030" s="306" t="s">
        <v>4172</v>
      </c>
      <c r="H1030" s="289"/>
      <c r="I1030" s="307"/>
      <c r="J1030" s="277" t="str">
        <f>IF(VLOOKUP($K1029,Draw!$A$4:$B$27,2)&lt;&gt;0,VLOOKUP($K1029,Draw!$A$4:$B$27,2),"")</f>
        <v/>
      </c>
      <c r="K1030" s="278"/>
      <c r="L1030" s="278"/>
      <c r="M1030" s="278"/>
      <c r="N1030" s="278"/>
      <c r="O1030" s="279"/>
      <c r="P1030" s="15"/>
      <c r="R1030" s="1"/>
      <c r="S1030" s="110"/>
      <c r="T1030" s="110"/>
      <c r="U1030" s="110"/>
      <c r="V1030" s="110"/>
      <c r="W1030" s="110"/>
      <c r="X1030" s="111"/>
      <c r="Y1030" s="111"/>
      <c r="Z1030" s="111"/>
      <c r="AA1030" s="111"/>
    </row>
    <row r="1031" spans="1:32" ht="12.75" customHeight="1">
      <c r="A1031" s="14"/>
      <c r="B1031" s="15"/>
      <c r="C1031" s="15"/>
      <c r="D1031" s="15"/>
      <c r="E1031" s="15"/>
      <c r="F1031" s="14"/>
      <c r="G1031" s="288" t="str">
        <f>"Page "&amp;VALUE(RIGHT($G1030,LEN($G1030)-SEARCH("-",$G1030)))/2</f>
        <v>Page 21</v>
      </c>
      <c r="H1031" s="289"/>
      <c r="I1031" s="289"/>
      <c r="J1031" s="15"/>
      <c r="K1031" s="15"/>
      <c r="L1031" s="15"/>
      <c r="M1031" s="15"/>
      <c r="N1031" s="15"/>
      <c r="O1031" s="15"/>
      <c r="P1031" s="15"/>
      <c r="R1031" s="1"/>
      <c r="S1031" s="110"/>
      <c r="T1031" s="110"/>
      <c r="U1031" s="110"/>
      <c r="V1031" s="110"/>
      <c r="W1031" s="110"/>
      <c r="X1031" s="111"/>
      <c r="Y1031" s="111"/>
      <c r="Z1031" s="111"/>
      <c r="AA1031" s="111"/>
      <c r="AF1031" s="27"/>
    </row>
    <row r="1032" spans="1:32" ht="12.75" customHeight="1">
      <c r="A1032" s="327" t="s">
        <v>1245</v>
      </c>
      <c r="B1032" s="327"/>
      <c r="C1032" s="327"/>
      <c r="D1032" s="327"/>
      <c r="E1032" s="327"/>
      <c r="F1032" s="327"/>
      <c r="G1032" s="327"/>
      <c r="H1032" s="327"/>
      <c r="I1032" s="327"/>
      <c r="J1032" s="327"/>
      <c r="K1032" s="327"/>
      <c r="L1032" s="327"/>
      <c r="M1032" s="327"/>
      <c r="N1032" s="327"/>
      <c r="O1032" s="327"/>
      <c r="P1032" s="327"/>
      <c r="Q1032" s="7"/>
      <c r="R1032" s="1"/>
      <c r="S1032" s="110"/>
      <c r="T1032" s="110"/>
      <c r="U1032" s="110"/>
      <c r="V1032" s="110"/>
      <c r="W1032" s="110"/>
      <c r="X1032" s="111"/>
      <c r="Y1032" s="111"/>
      <c r="Z1032" s="111"/>
      <c r="AA1032" s="111"/>
      <c r="AF1032" s="20"/>
    </row>
    <row r="1033" spans="1:32" ht="12.75" customHeight="1">
      <c r="A1033" s="21" t="s">
        <v>1233</v>
      </c>
      <c r="H1033" s="136" t="str">
        <f>IF($Q1035&lt;&gt;"",IF(AND(AND($H1035&gt;-1,$H1037&gt;-1),OR($H1035&gt;10,$H1037&gt;10),ABS($H1035-$H1037)&gt;1,IF(OR($H1035&gt;11,$H1037&gt;11),ABS($H1035-$H1037)=2,TRUE),$H1035=INT($H1035),$H1037=INT($H1037)),"","Error"),"")</f>
        <v/>
      </c>
      <c r="I1033" s="136" t="str">
        <f>IF($Q1035&lt;&gt;"",IF(AND(AND($I1035&gt;-1,$I1037&gt;-1),OR($I1035&gt;10,$I1037&gt;10),ABS($I1035-$I1037)&gt;1,IF(OR($I1035&gt;11,$I1037&gt;11),ABS($I1035-$I1037)=2,TRUE),$I1035=INT($I1035),$I1037=INT($I1037)),"","Error"),"")</f>
        <v/>
      </c>
      <c r="J1033" s="136" t="str">
        <f>IF($Q1035&lt;&gt;"",IF(AND(AND($J1035&gt;-1,$J1037&gt;-1),OR($J1035&gt;10,$J1037&gt;10),ABS($J1035-$J1037)&gt;1,IF(OR($J1035&gt;11,$J1037&gt;11),ABS($J1035-$J1037)=2,TRUE),$J1035=INT($J1035),$J1037=INT($J1037)),"","Error"),"")</f>
        <v/>
      </c>
      <c r="K1033" s="136" t="str">
        <f>IF($Q1035&lt;&gt;"",IF(AND($K1035&lt;&gt;"",$K1037&lt;&gt;""), IF(AND(AND($K1035&gt;-1,$K1037&gt;-1),OR($K1035&gt;10,$K1037&gt;10),ABS($K1035-$K1037)&gt;1,IF(OR($K1035&gt;11,$K1037&gt;11),ABS($K1035-$K1037)=2,TRUE),$K1035=INT($K1035),$K1037=INT($K1037)),"","Error"),""),"")</f>
        <v/>
      </c>
      <c r="L1033" s="136" t="str">
        <f>IF($Q1035&lt;&gt;"",IF(AND($L1035&lt;&gt;"",$L1037&lt;&gt;""), IF(AND(AND($L1035&gt;-1,$L1037&gt;-1),OR($L1035&gt;10,$L1037&gt;10),ABS($L1035-$L1037)&gt;1,IF(OR($L1035&gt;11,$L1037&gt;11),ABS($L1035-$L1037)=2,TRUE),$L1035=INT($L1035),$L1037=INT($L1037)),"","Error"),""),"")</f>
        <v/>
      </c>
      <c r="R1033" s="1"/>
      <c r="S1033" s="110"/>
      <c r="T1033" s="110"/>
      <c r="U1033" s="110"/>
      <c r="V1033" s="110"/>
      <c r="W1033" s="110"/>
      <c r="X1033" s="111"/>
      <c r="Y1033" s="111"/>
      <c r="Z1033" s="111"/>
      <c r="AA1033" s="111"/>
    </row>
    <row r="1034" spans="1:32" ht="12.75" customHeight="1">
      <c r="A1034" s="5" t="s">
        <v>1228</v>
      </c>
      <c r="B1034" s="290" t="s">
        <v>1126</v>
      </c>
      <c r="C1034" s="291"/>
      <c r="D1034" s="291"/>
      <c r="E1034" s="291"/>
      <c r="F1034" s="291"/>
      <c r="G1034" s="292"/>
      <c r="H1034" s="5">
        <v>1</v>
      </c>
      <c r="I1034" s="5">
        <v>2</v>
      </c>
      <c r="J1034" s="5">
        <v>3</v>
      </c>
      <c r="K1034" s="5">
        <v>4</v>
      </c>
      <c r="L1034" s="5">
        <v>5</v>
      </c>
      <c r="M1034" s="271"/>
      <c r="N1034" s="272"/>
      <c r="O1034" s="272"/>
      <c r="P1034" s="273"/>
      <c r="R1034" s="1"/>
      <c r="S1034" s="110"/>
      <c r="T1034" s="110"/>
      <c r="U1034" s="110"/>
      <c r="V1034" s="110"/>
      <c r="W1034" s="110"/>
      <c r="X1034" s="111"/>
      <c r="Y1034" s="111"/>
      <c r="Z1034" s="111"/>
      <c r="AA1034" s="111"/>
    </row>
    <row r="1035" spans="1:32" ht="12.75" customHeight="1">
      <c r="A1035" s="300" t="str">
        <f>B1029</f>
        <v>A</v>
      </c>
      <c r="B1035" s="293" t="str">
        <f ca="1">IF(AND(OFFSET($AO$1,$C1029-1,8,1,1),$A1030&lt;&gt;"",$J1030&lt;&gt;""),CHOOSE($C1029,$AO$1,$AO$2,$AO$3,$AO$4,$AO$5,$AO$6,$AO$7,$AO$8,$AO$9,$AO$10,$AO$11,$AO$12),"")</f>
        <v/>
      </c>
      <c r="C1035" s="294"/>
      <c r="D1035" s="294"/>
      <c r="E1035" s="294"/>
      <c r="F1035" s="294"/>
      <c r="G1035" s="294"/>
      <c r="H1035" s="265"/>
      <c r="I1035" s="265"/>
      <c r="J1035" s="265"/>
      <c r="K1035" s="265"/>
      <c r="L1035" s="265"/>
      <c r="M1035" s="297"/>
      <c r="N1035" s="298"/>
      <c r="O1035" s="298"/>
      <c r="P1035" s="299"/>
      <c r="Q1035" s="137" t="str">
        <f>IF($L1035=$L1037,IF($K1035=$K1037,IF($J1035&lt;&gt;"",IF($J1035&gt;$J1037,"W","L"),""),IF($K1035&gt;$K1037,"W","L")),IF($L1035&gt;$L1037,"W","L"))</f>
        <v/>
      </c>
      <c r="R1035" s="1"/>
      <c r="S1035" s="110"/>
      <c r="T1035" s="110"/>
      <c r="U1035" s="110"/>
      <c r="V1035" s="110"/>
      <c r="W1035" s="110"/>
      <c r="X1035" s="111"/>
      <c r="Y1035" s="111"/>
      <c r="Z1035" s="111"/>
      <c r="AA1035" s="111"/>
    </row>
    <row r="1036" spans="1:32" ht="12.75" customHeight="1">
      <c r="A1036" s="301"/>
      <c r="B1036" s="295"/>
      <c r="C1036" s="296"/>
      <c r="D1036" s="296"/>
      <c r="E1036" s="296"/>
      <c r="F1036" s="296"/>
      <c r="G1036" s="296"/>
      <c r="H1036" s="270"/>
      <c r="I1036" s="270"/>
      <c r="J1036" s="270"/>
      <c r="K1036" s="270"/>
      <c r="L1036" s="270"/>
      <c r="M1036" s="297"/>
      <c r="N1036" s="298"/>
      <c r="O1036" s="298"/>
      <c r="P1036" s="299"/>
      <c r="Q1036" s="139" t="str">
        <f>IF($Q1035&lt;&gt;"",IF($Q1035="W",IF(SUM(IF($H1035&gt;$H1037,1,0),IF($I1035&gt;$I1037,1,0),IF($J1035&gt;$J1037,1,0),IF($K1035&gt;$K1037,1,0),IF($L1035&gt;$L1037,1,0))&lt;&gt;3,"Error",""),""),"")</f>
        <v/>
      </c>
      <c r="R1036" s="328" t="str">
        <f>$A1030</f>
        <v/>
      </c>
      <c r="S1036" s="328"/>
      <c r="T1036" s="328"/>
      <c r="U1036" s="328"/>
      <c r="V1036" s="328"/>
      <c r="W1036" s="328"/>
      <c r="X1036" s="256" t="str">
        <f>CONCATENATE("(",$B1029," vs ",$K1029,")")</f>
        <v>(A vs G)</v>
      </c>
      <c r="Y1036" s="256"/>
      <c r="Z1036" s="328" t="str">
        <f>$J1030</f>
        <v/>
      </c>
      <c r="AA1036" s="328"/>
      <c r="AB1036" s="328"/>
      <c r="AC1036" s="328"/>
      <c r="AD1036" s="328"/>
      <c r="AE1036" s="328"/>
      <c r="AF1036" s="43"/>
    </row>
    <row r="1037" spans="1:32" ht="12.75" customHeight="1">
      <c r="A1037" s="300" t="str">
        <f>K1029</f>
        <v>G</v>
      </c>
      <c r="B1037" s="293" t="str">
        <f ca="1">IF(AND(OFFSET($AO$1,$L1029-1,8,1,1),$A1030&lt;&gt;"",$J1030&lt;&gt;""),CHOOSE($L1029,$AO$1,$AO$2,$AO$3,$AO$4,$AO$5,$AO$6,$AO$7,$AO$8,$AO$9,$AO$10,$AO$11,$AO$12),"")</f>
        <v/>
      </c>
      <c r="C1037" s="294"/>
      <c r="D1037" s="294"/>
      <c r="E1037" s="294"/>
      <c r="F1037" s="294"/>
      <c r="G1037" s="294"/>
      <c r="H1037" s="265"/>
      <c r="I1037" s="265"/>
      <c r="J1037" s="265"/>
      <c r="K1037" s="265"/>
      <c r="L1037" s="265"/>
      <c r="M1037" s="267" t="s">
        <v>1237</v>
      </c>
      <c r="N1037" s="268"/>
      <c r="O1037" s="268"/>
      <c r="P1037" s="269"/>
      <c r="Q1037" s="137" t="str">
        <f>IF($Q1035&lt;&gt;"",IF($Q1035="W","L","W"),"")</f>
        <v/>
      </c>
      <c r="R1037" s="43"/>
      <c r="S1037" s="43"/>
      <c r="T1037" s="43"/>
      <c r="U1037" s="43"/>
      <c r="V1037" s="43"/>
      <c r="W1037" s="43"/>
      <c r="X1037" s="43"/>
      <c r="Y1037" s="43"/>
      <c r="Z1037" s="43"/>
      <c r="AA1037" s="43"/>
      <c r="AB1037" s="43"/>
      <c r="AC1037" s="43"/>
      <c r="AD1037" s="43"/>
      <c r="AE1037" s="43"/>
      <c r="AF1037" s="43"/>
    </row>
    <row r="1038" spans="1:32" ht="12.75" customHeight="1">
      <c r="A1038" s="301"/>
      <c r="B1038" s="295"/>
      <c r="C1038" s="296"/>
      <c r="D1038" s="296"/>
      <c r="E1038" s="296"/>
      <c r="F1038" s="296"/>
      <c r="G1038" s="296"/>
      <c r="H1038" s="270"/>
      <c r="I1038" s="270"/>
      <c r="J1038" s="266"/>
      <c r="K1038" s="266"/>
      <c r="L1038" s="266"/>
      <c r="M1038" s="267"/>
      <c r="N1038" s="268"/>
      <c r="O1038" s="268"/>
      <c r="P1038" s="269"/>
      <c r="Q1038" s="139" t="str">
        <f>IF($Q1037&lt;&gt;"",IF($Q1037="W",IF(SUM(IF($H1037&gt;$H1035,1,0),IF($I1037&gt;$I1035,1,0),IF($J1037&gt;$J1035,1,0),IF($K1037&gt;$K1035,1,0),IF($L1037&gt;$L1035,1,0))&lt;&gt;3,"Error",""),""),"")</f>
        <v/>
      </c>
      <c r="R1038" s="43" t="str">
        <f>$A1040</f>
        <v>2nd Singles</v>
      </c>
      <c r="S1038" s="43"/>
      <c r="T1038" s="43"/>
      <c r="U1038" s="43"/>
      <c r="V1038" s="43"/>
      <c r="W1038" s="43"/>
      <c r="X1038" s="43"/>
      <c r="Y1038" s="43"/>
      <c r="Z1038" s="43"/>
      <c r="AA1038" s="43"/>
      <c r="AB1038" s="43"/>
      <c r="AC1038" s="43"/>
      <c r="AD1038" s="43"/>
      <c r="AE1038" s="43"/>
      <c r="AF1038" s="43"/>
    </row>
    <row r="1039" spans="1:32" ht="12.75" customHeight="1">
      <c r="Q1039" s="7"/>
      <c r="R1039" s="60" t="s">
        <v>1228</v>
      </c>
      <c r="S1039" s="339" t="s">
        <v>1126</v>
      </c>
      <c r="T1039" s="340"/>
      <c r="U1039" s="340"/>
      <c r="V1039" s="340"/>
      <c r="W1039" s="340"/>
      <c r="X1039" s="341"/>
      <c r="Y1039" s="60">
        <v>1</v>
      </c>
      <c r="Z1039" s="60">
        <v>2</v>
      </c>
      <c r="AA1039" s="60">
        <v>3</v>
      </c>
      <c r="AB1039" s="60">
        <v>4</v>
      </c>
      <c r="AC1039" s="60">
        <v>5</v>
      </c>
      <c r="AD1039" s="342"/>
      <c r="AE1039" s="343"/>
      <c r="AF1039" s="344"/>
    </row>
    <row r="1040" spans="1:32" ht="12.75" customHeight="1">
      <c r="A1040" s="21" t="s">
        <v>1234</v>
      </c>
      <c r="H1040" s="136" t="str">
        <f>IF($Q1042&lt;&gt;"",IF(AND(AND($H1042&gt;-1,$H1044&gt;-1),OR($H1042&gt;10,$H1044&gt;10),ABS($H1042-$H1044)&gt;1,IF(OR($H1042&gt;11,$H1044&gt;11),ABS($H1042-$H1044)=2,TRUE),$H1042=INT($H1042),$H1044=INT($H1044)),"","Error"),"")</f>
        <v/>
      </c>
      <c r="I1040" s="136" t="str">
        <f>IF($Q1042&lt;&gt;"",IF(AND(AND($I1042&gt;-1,$I1044&gt;-1),OR($I1042&gt;10,$I1044&gt;10),ABS($I1042-$I1044)&gt;1,IF(OR($I1042&gt;11,$I1044&gt;11),ABS($I1042-$I1044)=2,TRUE),$I1042=INT($I1042),$I1044=INT($I1044)),"","Error"),"")</f>
        <v/>
      </c>
      <c r="J1040" s="136" t="str">
        <f>IF($Q1042&lt;&gt;"",IF(AND(AND($J1042&gt;-1,$J1044&gt;-1),OR($J1042&gt;10,$J1044&gt;10),ABS($J1042-$J1044)&gt;1,IF(OR($J1042&gt;11,$J1044&gt;11),ABS($J1042-$J1044)=2,TRUE),$J1042=INT($J1042),$J1044=INT($J1044)),"","Error"),"")</f>
        <v/>
      </c>
      <c r="K1040" s="136" t="str">
        <f>IF($Q1042&lt;&gt;"",IF(AND($K1042&lt;&gt;"",$K1044&lt;&gt;""), IF(AND(AND($K1042&gt;-1,$K1044&gt;-1),OR($K1042&gt;10,$K1044&gt;10),ABS($K1042-$K1044)&gt;1,IF(OR($K1042&gt;11,$K1044&gt;11),ABS($K1042-$K1044)=2,TRUE),$K1042=INT($K1042),$K1044=INT($K1044)),"","Error"),""),"")</f>
        <v/>
      </c>
      <c r="L1040" s="136" t="str">
        <f>IF($Q1042&lt;&gt;"",IF(AND($L1042&lt;&gt;"",$L1044&lt;&gt;""), IF(AND(AND($L1042&gt;-1,$L1044&gt;-1),OR($L1042&gt;10,$L1044&gt;10),ABS($L1042-$L1044)&gt;1,IF(OR($L1042&gt;11,$L1044&gt;11),ABS($L1042-$L1044)=2,TRUE),$L1042=INT($L1042),$L1044=INT($L1044)),"","Error"),""),"")</f>
        <v/>
      </c>
      <c r="Q1040" s="7"/>
      <c r="R1040" s="300" t="str">
        <f>$B1029</f>
        <v>A</v>
      </c>
      <c r="S1040" s="331" t="str">
        <f ca="1">IF($B1042&lt;&gt;"",$B1042,"")</f>
        <v/>
      </c>
      <c r="T1040" s="332"/>
      <c r="U1040" s="332"/>
      <c r="V1040" s="332"/>
      <c r="W1040" s="332"/>
      <c r="X1040" s="333"/>
      <c r="Y1040" s="329"/>
      <c r="Z1040" s="329"/>
      <c r="AA1040" s="329"/>
      <c r="AB1040" s="329"/>
      <c r="AC1040" s="329"/>
      <c r="AD1040" s="345"/>
      <c r="AE1040" s="358"/>
      <c r="AF1040" s="359"/>
    </row>
    <row r="1041" spans="1:32" ht="12.75" customHeight="1">
      <c r="A1041" s="5" t="s">
        <v>1228</v>
      </c>
      <c r="B1041" s="290" t="s">
        <v>1126</v>
      </c>
      <c r="C1041" s="291"/>
      <c r="D1041" s="291"/>
      <c r="E1041" s="291"/>
      <c r="F1041" s="291"/>
      <c r="G1041" s="292"/>
      <c r="H1041" s="5">
        <v>1</v>
      </c>
      <c r="I1041" s="5">
        <v>2</v>
      </c>
      <c r="J1041" s="5">
        <v>3</v>
      </c>
      <c r="K1041" s="5">
        <v>4</v>
      </c>
      <c r="L1041" s="5">
        <v>5</v>
      </c>
      <c r="M1041" s="271"/>
      <c r="N1041" s="272"/>
      <c r="O1041" s="272"/>
      <c r="P1041" s="273"/>
      <c r="Q1041" s="7"/>
      <c r="R1041" s="330"/>
      <c r="S1041" s="334"/>
      <c r="T1041" s="335"/>
      <c r="U1041" s="335"/>
      <c r="V1041" s="335"/>
      <c r="W1041" s="335"/>
      <c r="X1041" s="336"/>
      <c r="Y1041" s="330"/>
      <c r="Z1041" s="330"/>
      <c r="AA1041" s="330"/>
      <c r="AB1041" s="330"/>
      <c r="AC1041" s="330"/>
      <c r="AD1041" s="360"/>
      <c r="AE1041" s="361"/>
      <c r="AF1041" s="362"/>
    </row>
    <row r="1042" spans="1:32" ht="12.75" customHeight="1">
      <c r="A1042" s="300" t="str">
        <f>B1029</f>
        <v>A</v>
      </c>
      <c r="B1042" s="293" t="str">
        <f ca="1">IF(AND(OFFSET($AO$1,$C1029-1,8,1,1),$A1030&lt;&gt;"",$J1030&lt;&gt;""),CHOOSE($C1029,$AP$1,$AP$2,$AP$3,$AP$4,$AP$5,$AP$6,$AP$7,$AP$8,$AP$9,$AP$10,$AP$11,$AP$12),"")</f>
        <v/>
      </c>
      <c r="C1042" s="294"/>
      <c r="D1042" s="294"/>
      <c r="E1042" s="294"/>
      <c r="F1042" s="294"/>
      <c r="G1042" s="294"/>
      <c r="H1042" s="265"/>
      <c r="I1042" s="265"/>
      <c r="J1042" s="265"/>
      <c r="K1042" s="265"/>
      <c r="L1042" s="265"/>
      <c r="M1042" s="262" t="str">
        <f ca="1">IF(OR(AND($B1035&lt;&gt;"",$B1042&lt;&gt;"",$C1060&lt;=$B1060),AND($B1037&lt;&gt;"",$B1044&lt;&gt;"",$G1060&lt;=$F1060)),"Invalid Lineup","")</f>
        <v/>
      </c>
      <c r="N1042" s="263"/>
      <c r="O1042" s="263"/>
      <c r="P1042" s="264"/>
      <c r="Q1042" s="137" t="str">
        <f>IF($L1042=$L1044,IF($K1042=$K1044,IF($J1042&lt;&gt;"",IF($J1042&gt;$J1044,"W","L"),""),IF($K1042&gt;$K1044,"W","L")),IF($L1042&gt;$L1044,"W","L"))</f>
        <v/>
      </c>
      <c r="R1042" s="300" t="str">
        <f>$K1029</f>
        <v>G</v>
      </c>
      <c r="S1042" s="331" t="str">
        <f ca="1">IF($B1044&lt;&gt;"",$B1044,"")</f>
        <v/>
      </c>
      <c r="T1042" s="332"/>
      <c r="U1042" s="332"/>
      <c r="V1042" s="332"/>
      <c r="W1042" s="332"/>
      <c r="X1042" s="333"/>
      <c r="Y1042" s="329"/>
      <c r="Z1042" s="329"/>
      <c r="AA1042" s="329"/>
      <c r="AB1042" s="329"/>
      <c r="AC1042" s="351"/>
      <c r="AD1042" s="363" t="s">
        <v>1237</v>
      </c>
      <c r="AE1042" s="358"/>
      <c r="AF1042" s="359"/>
    </row>
    <row r="1043" spans="1:32" ht="12.75" customHeight="1">
      <c r="A1043" s="301"/>
      <c r="B1043" s="295"/>
      <c r="C1043" s="296"/>
      <c r="D1043" s="296"/>
      <c r="E1043" s="296"/>
      <c r="F1043" s="296"/>
      <c r="G1043" s="296"/>
      <c r="H1043" s="270"/>
      <c r="I1043" s="270"/>
      <c r="J1043" s="270"/>
      <c r="K1043" s="270"/>
      <c r="L1043" s="270"/>
      <c r="M1043" s="262"/>
      <c r="N1043" s="263"/>
      <c r="O1043" s="263"/>
      <c r="P1043" s="264"/>
      <c r="Q1043" s="139" t="str">
        <f>IF($Q1042&lt;&gt;"",IF($Q1042="W",IF(SUM(IF($H1042&gt;$H1044,1,0),IF($I1042&gt;$I1044,1,0),IF($J1042&gt;$J1044,1,0),IF($K1042&gt;$K1044,1,0),IF($L1042&gt;$L1044,1,0))&lt;&gt;3,"Error",""),""),"")</f>
        <v/>
      </c>
      <c r="R1043" s="330"/>
      <c r="S1043" s="334"/>
      <c r="T1043" s="335"/>
      <c r="U1043" s="335"/>
      <c r="V1043" s="335"/>
      <c r="W1043" s="335"/>
      <c r="X1043" s="336"/>
      <c r="Y1043" s="330"/>
      <c r="Z1043" s="330"/>
      <c r="AA1043" s="330"/>
      <c r="AB1043" s="330"/>
      <c r="AC1043" s="330"/>
      <c r="AD1043" s="360"/>
      <c r="AE1043" s="361"/>
      <c r="AF1043" s="362"/>
    </row>
    <row r="1044" spans="1:32" ht="12.75" customHeight="1">
      <c r="A1044" s="300" t="str">
        <f>K1029</f>
        <v>G</v>
      </c>
      <c r="B1044" s="293" t="str">
        <f ca="1">IF(AND(OFFSET($AO$1,$L1029-1,8,1,1),$A1030&lt;&gt;"",$J1030&lt;&gt;""),CHOOSE($L1029,$AP$1,$AP$2,$AP$3,$AP$4,$AP$5,$AP$6,$AP$7,$AP$8,$AP$9,$AP$10,$AP$11,$AP$12),"")</f>
        <v/>
      </c>
      <c r="C1044" s="294"/>
      <c r="D1044" s="294"/>
      <c r="E1044" s="294"/>
      <c r="F1044" s="294"/>
      <c r="G1044" s="294"/>
      <c r="H1044" s="265"/>
      <c r="I1044" s="265"/>
      <c r="J1044" s="265"/>
      <c r="K1044" s="265"/>
      <c r="L1044" s="265"/>
      <c r="M1044" s="267" t="s">
        <v>1237</v>
      </c>
      <c r="N1044" s="268"/>
      <c r="O1044" s="268"/>
      <c r="P1044" s="269"/>
      <c r="Q1044" s="137" t="str">
        <f>IF($Q1042&lt;&gt;"",IF($Q1042="W","L","W"),"")</f>
        <v/>
      </c>
      <c r="R1044" s="20"/>
      <c r="S1044" s="20"/>
      <c r="T1044" s="20"/>
      <c r="U1044" s="20"/>
      <c r="V1044" s="20"/>
      <c r="W1044" s="20"/>
      <c r="X1044" s="26"/>
      <c r="Y1044" s="26"/>
      <c r="Z1044" s="20"/>
      <c r="AA1044" s="20"/>
      <c r="AB1044" s="20"/>
      <c r="AC1044" s="20"/>
      <c r="AD1044" s="20"/>
      <c r="AE1044" s="20"/>
      <c r="AF1044" s="27"/>
    </row>
    <row r="1045" spans="1:32" ht="12.75" customHeight="1">
      <c r="A1045" s="301"/>
      <c r="B1045" s="295"/>
      <c r="C1045" s="296"/>
      <c r="D1045" s="296"/>
      <c r="E1045" s="296"/>
      <c r="F1045" s="296"/>
      <c r="G1045" s="296"/>
      <c r="H1045" s="270"/>
      <c r="I1045" s="270"/>
      <c r="J1045" s="266"/>
      <c r="K1045" s="266"/>
      <c r="L1045" s="266"/>
      <c r="M1045" s="267"/>
      <c r="N1045" s="268"/>
      <c r="O1045" s="268"/>
      <c r="P1045" s="269"/>
      <c r="Q1045" s="139" t="str">
        <f>IF($Q1044&lt;&gt;"",IF($Q1044="W",IF(SUM(IF($H1044&gt;$H1042,1,0),IF($I1044&gt;$I1042,1,0),IF($J1044&gt;$J1042,1,0),IF($K1044&gt;$K1042,1,0),IF($L1044&gt;$L1042,1,0))&lt;&gt;3,"Error",""),""),"")</f>
        <v/>
      </c>
      <c r="R1045" s="20"/>
      <c r="S1045" s="20"/>
      <c r="T1045" s="20"/>
      <c r="U1045" s="20"/>
      <c r="V1045" s="20"/>
      <c r="W1045" s="20"/>
      <c r="X1045" s="26"/>
      <c r="Y1045" s="26"/>
      <c r="Z1045" s="20"/>
      <c r="AA1045" s="20"/>
      <c r="AB1045" s="20"/>
      <c r="AC1045" s="20"/>
      <c r="AD1045" s="20"/>
      <c r="AE1045" s="20"/>
      <c r="AF1045" s="27"/>
    </row>
    <row r="1046" spans="1:32" ht="12.75" customHeight="1">
      <c r="Q1046" s="7"/>
      <c r="R1046" s="20"/>
      <c r="S1046" s="20"/>
      <c r="T1046" s="20"/>
      <c r="U1046" s="20"/>
      <c r="V1046" s="20"/>
      <c r="W1046" s="20"/>
      <c r="X1046" s="26"/>
      <c r="Y1046" s="26"/>
      <c r="Z1046" s="20"/>
      <c r="AA1046" s="20"/>
      <c r="AB1046" s="20"/>
      <c r="AC1046" s="20"/>
      <c r="AD1046" s="20"/>
      <c r="AE1046" s="20"/>
      <c r="AF1046" s="27"/>
    </row>
    <row r="1047" spans="1:32" ht="12.75" customHeight="1">
      <c r="A1047" s="21" t="s">
        <v>1235</v>
      </c>
      <c r="H1047" s="136" t="str">
        <f>IF($Q1049&lt;&gt;"",IF(AND(AND($H1049&gt;-1,$H1051&gt;-1),OR($H1049&gt;10,$H1051&gt;10),ABS($H1049-$H1051)&gt;1,IF(OR($H1049&gt;11,$H1051&gt;11),ABS($H1049-$H1051)=2,TRUE),$H1049=INT($H1049),$H1051=INT($H1051)),"","Error"),"")</f>
        <v/>
      </c>
      <c r="I1047" s="136" t="str">
        <f>IF($Q1049&lt;&gt;"",IF(AND(AND($I1049&gt;-1,$I1051&gt;-1),OR($I1049&gt;10,$I1051&gt;10),ABS($I1049-$I1051)&gt;1,IF(OR($I1049&gt;11,$I1051&gt;11),ABS($I1049-$I1051)=2,TRUE),$I1049=INT($I1049),$I1051=INT($I1051)),"","Error"),"")</f>
        <v/>
      </c>
      <c r="J1047" s="136" t="str">
        <f>IF($Q1049&lt;&gt;"",IF(AND(AND($J1049&gt;-1,$J1051&gt;-1),OR($J1049&gt;10,$J1051&gt;10),ABS($J1049-$J1051)&gt;1,IF(OR($J1049&gt;11,$J1051&gt;11),ABS($J1049-$J1051)=2,TRUE),$J1049=INT($J1049),$J1051=INT($J1051)),"","Error"),"")</f>
        <v/>
      </c>
      <c r="K1047" s="136" t="str">
        <f>IF($Q1049&lt;&gt;"",IF(AND($K1049&lt;&gt;"",$K1051&lt;&gt;""), IF(AND(AND($K1049&gt;-1,$K1051&gt;-1),OR($K1049&gt;10,$K1051&gt;10),ABS($K1049-$K1051)&gt;1,IF(OR($K1049&gt;11,$K1051&gt;11),ABS($K1049-$K1051)=2,TRUE),$K1049=INT($K1049),$K1051=INT($K1051)),"","Error"),""),"")</f>
        <v/>
      </c>
      <c r="L1047" s="136" t="str">
        <f>IF($Q1049&lt;&gt;"",IF(AND($L1049&lt;&gt;"",$L1051&lt;&gt;""), IF(AND(AND($L1049&gt;-1,$L1051&gt;-1),OR($L1049&gt;10,$L1051&gt;10),ABS($L1049-$L1051)&gt;1,IF(OR($L1049&gt;11,$L1051&gt;11),ABS($L1049-$L1051)=2,TRUE),$L1049=INT($L1049),$L1051=INT($L1051)),"","Error"),""),"")</f>
        <v/>
      </c>
      <c r="Q1047" s="7"/>
      <c r="R1047" s="20"/>
      <c r="S1047" s="20"/>
      <c r="T1047" s="20"/>
      <c r="U1047" s="20"/>
      <c r="V1047" s="20"/>
      <c r="W1047" s="20"/>
      <c r="X1047" s="26"/>
      <c r="Y1047" s="26"/>
      <c r="Z1047" s="20"/>
      <c r="AA1047" s="20"/>
      <c r="AB1047" s="20"/>
      <c r="AC1047" s="20"/>
      <c r="AD1047" s="20"/>
      <c r="AE1047" s="20"/>
      <c r="AF1047" s="27"/>
    </row>
    <row r="1048" spans="1:32" ht="12.75" customHeight="1">
      <c r="A1048" s="5" t="s">
        <v>1228</v>
      </c>
      <c r="B1048" s="290" t="s">
        <v>1126</v>
      </c>
      <c r="C1048" s="291"/>
      <c r="D1048" s="291"/>
      <c r="E1048" s="291"/>
      <c r="F1048" s="291"/>
      <c r="G1048" s="292"/>
      <c r="H1048" s="5">
        <v>1</v>
      </c>
      <c r="I1048" s="5">
        <v>2</v>
      </c>
      <c r="J1048" s="5">
        <v>3</v>
      </c>
      <c r="K1048" s="5">
        <v>4</v>
      </c>
      <c r="L1048" s="5">
        <v>5</v>
      </c>
      <c r="M1048" s="271"/>
      <c r="N1048" s="272"/>
      <c r="O1048" s="272"/>
      <c r="P1048" s="273"/>
      <c r="Q1048" s="7"/>
      <c r="R1048" s="20"/>
      <c r="S1048" s="20"/>
      <c r="T1048" s="20"/>
      <c r="U1048" s="20"/>
      <c r="V1048" s="20"/>
      <c r="W1048" s="20"/>
      <c r="X1048" s="26"/>
      <c r="Y1048" s="26"/>
      <c r="Z1048" s="20"/>
      <c r="AA1048" s="20"/>
      <c r="AB1048" s="20"/>
      <c r="AC1048" s="20"/>
      <c r="AD1048" s="20"/>
      <c r="AE1048" s="20"/>
      <c r="AF1048" s="27"/>
    </row>
    <row r="1049" spans="1:32" ht="12.75" customHeight="1">
      <c r="A1049" s="300" t="str">
        <f>B1029</f>
        <v>A</v>
      </c>
      <c r="B1049" s="293" t="str">
        <f ca="1">IF(AND(OFFSET($AO$1,$C1029-1,8,1,1),$A1030&lt;&gt;"",$J1030&lt;&gt;""),CHOOSE($C1029,$AQ$1,$AQ$2,$AQ$3,$AQ$4,$AQ$5,$AQ$6,$AQ$7,$AQ$8,$AQ$9,$AQ$10,$AQ$11,$AQ$12),"")</f>
        <v/>
      </c>
      <c r="C1049" s="294"/>
      <c r="D1049" s="294"/>
      <c r="E1049" s="294"/>
      <c r="F1049" s="294"/>
      <c r="G1049" s="294"/>
      <c r="H1049" s="265"/>
      <c r="I1049" s="265"/>
      <c r="J1049" s="265"/>
      <c r="K1049" s="265"/>
      <c r="L1049" s="265"/>
      <c r="M1049" s="262" t="str">
        <f ca="1">IF(OR(AND($B1042&lt;&gt;"",$B1049&lt;&gt;"",$D1060&lt;=$C1060),AND($B1044&lt;&gt;"",$B1051&lt;&gt;"",$H1060&lt;=$G1060)),"Invalid Lineup","")</f>
        <v/>
      </c>
      <c r="N1049" s="263"/>
      <c r="O1049" s="263"/>
      <c r="P1049" s="264"/>
      <c r="Q1049" s="137" t="str">
        <f>IF($L1049=$L1051,IF($K1049=$K1051,IF($J1049&lt;&gt;"",IF($J1049&gt;$J1051,"W","L"),""),IF($K1049&gt;$K1051,"W","L")),IF($L1049&gt;$L1051,"W","L"))</f>
        <v/>
      </c>
      <c r="R1049" s="20"/>
      <c r="S1049" s="20"/>
      <c r="T1049" s="20"/>
      <c r="U1049" s="20"/>
      <c r="V1049" s="20"/>
      <c r="W1049" s="20"/>
      <c r="X1049" s="26"/>
      <c r="Y1049" s="26"/>
      <c r="Z1049" s="20"/>
      <c r="AA1049" s="20"/>
      <c r="AB1049" s="20"/>
      <c r="AC1049" s="20"/>
      <c r="AD1049" s="20"/>
      <c r="AE1049" s="20"/>
      <c r="AF1049" s="27"/>
    </row>
    <row r="1050" spans="1:32" ht="12.75" customHeight="1">
      <c r="A1050" s="301"/>
      <c r="B1050" s="295"/>
      <c r="C1050" s="296"/>
      <c r="D1050" s="296"/>
      <c r="E1050" s="296"/>
      <c r="F1050" s="296"/>
      <c r="G1050" s="296"/>
      <c r="H1050" s="270"/>
      <c r="I1050" s="270"/>
      <c r="J1050" s="270"/>
      <c r="K1050" s="270"/>
      <c r="L1050" s="270"/>
      <c r="M1050" s="262"/>
      <c r="N1050" s="263"/>
      <c r="O1050" s="263"/>
      <c r="P1050" s="264"/>
      <c r="Q1050" s="139" t="str">
        <f>IF($Q1049&lt;&gt;"",IF($Q1049="W",IF(SUM(IF($H1049&gt;$H1051,1,0),IF($I1049&gt;$I1051,1,0),IF($J1049&gt;$J1051,1,0),IF($K1049&gt;$K1051,1,0),IF($L1049&gt;$L1051,1,0))&lt;&gt;3,"Error",""),""),"")</f>
        <v/>
      </c>
      <c r="R1050" s="328" t="str">
        <f>$A1030</f>
        <v/>
      </c>
      <c r="S1050" s="328"/>
      <c r="T1050" s="328"/>
      <c r="U1050" s="328"/>
      <c r="V1050" s="328"/>
      <c r="W1050" s="328"/>
      <c r="X1050" s="256" t="str">
        <f>CONCATENATE("(",$B1029," vs ",$K1029,")")</f>
        <v>(A vs G)</v>
      </c>
      <c r="Y1050" s="256"/>
      <c r="Z1050" s="328" t="str">
        <f>$J1030</f>
        <v/>
      </c>
      <c r="AA1050" s="328"/>
      <c r="AB1050" s="328"/>
      <c r="AC1050" s="328"/>
      <c r="AD1050" s="328"/>
      <c r="AE1050" s="328"/>
      <c r="AF1050" s="100"/>
    </row>
    <row r="1051" spans="1:32" ht="12.75" customHeight="1">
      <c r="A1051" s="300" t="str">
        <f>K1029</f>
        <v>G</v>
      </c>
      <c r="B1051" s="293" t="str">
        <f ca="1">IF(AND(OFFSET($AO$1,$L1029-1,8,1,1),$A1030&lt;&gt;"",$J1030&lt;&gt;""),CHOOSE($L1029,$AQ$1,$AQ$2,$AQ$3,$AQ$4,$AQ$5,$AQ$6,$AQ$7,$AQ$8,$AQ$9,$AQ$10,$AQ$11,$AQ$12),"")</f>
        <v/>
      </c>
      <c r="C1051" s="294"/>
      <c r="D1051" s="294"/>
      <c r="E1051" s="294"/>
      <c r="F1051" s="294"/>
      <c r="G1051" s="294"/>
      <c r="H1051" s="265"/>
      <c r="I1051" s="265"/>
      <c r="J1051" s="265"/>
      <c r="K1051" s="265"/>
      <c r="L1051" s="265"/>
      <c r="M1051" s="267" t="s">
        <v>1237</v>
      </c>
      <c r="N1051" s="268"/>
      <c r="O1051" s="268"/>
      <c r="P1051" s="269"/>
      <c r="Q1051" s="137" t="str">
        <f>IF($Q1049&lt;&gt;"",IF($Q1049="W","L","W"),"")</f>
        <v/>
      </c>
      <c r="R1051" s="100"/>
      <c r="S1051" s="100"/>
      <c r="T1051" s="100"/>
      <c r="U1051" s="100"/>
      <c r="V1051" s="100"/>
      <c r="W1051" s="100"/>
      <c r="X1051" s="100"/>
      <c r="Y1051" s="100"/>
      <c r="Z1051" s="100"/>
      <c r="AA1051" s="100"/>
      <c r="AB1051" s="100"/>
      <c r="AC1051" s="100"/>
      <c r="AD1051" s="100"/>
      <c r="AE1051" s="100"/>
      <c r="AF1051" s="100"/>
    </row>
    <row r="1052" spans="1:32" ht="12.75" customHeight="1">
      <c r="A1052" s="301"/>
      <c r="B1052" s="295"/>
      <c r="C1052" s="296"/>
      <c r="D1052" s="296"/>
      <c r="E1052" s="296"/>
      <c r="F1052" s="296"/>
      <c r="G1052" s="296"/>
      <c r="H1052" s="270"/>
      <c r="I1052" s="270"/>
      <c r="J1052" s="266"/>
      <c r="K1052" s="266"/>
      <c r="L1052" s="266"/>
      <c r="M1052" s="267"/>
      <c r="N1052" s="268"/>
      <c r="O1052" s="268"/>
      <c r="P1052" s="269"/>
      <c r="Q1052" s="139" t="str">
        <f>IF($Q1051&lt;&gt;"",IF($Q1051="W",IF(SUM(IF($H1051&gt;$H1049,1,0),IF($I1051&gt;$I1049,1,0),IF($J1051&gt;$J1049,1,0),IF($K1051&gt;$K1049,1,0),IF($L1051&gt;$L1049,1,0))&lt;&gt;3,"Error",""),""),"")</f>
        <v/>
      </c>
      <c r="R1052" s="43" t="str">
        <f>$A1047</f>
        <v>3rd Singles</v>
      </c>
      <c r="S1052" s="43"/>
      <c r="T1052" s="43"/>
      <c r="U1052" s="43"/>
      <c r="V1052" s="43"/>
      <c r="W1052" s="43"/>
      <c r="X1052" s="43"/>
      <c r="Y1052" s="43"/>
      <c r="Z1052" s="43"/>
      <c r="AA1052" s="43"/>
      <c r="AB1052" s="43"/>
      <c r="AC1052" s="43"/>
      <c r="AD1052" s="43"/>
      <c r="AE1052" s="43"/>
      <c r="AF1052" s="43"/>
    </row>
    <row r="1053" spans="1:32" ht="12.75" customHeight="1">
      <c r="Q1053" s="7"/>
      <c r="R1053" s="60" t="s">
        <v>1228</v>
      </c>
      <c r="S1053" s="101" t="s">
        <v>1126</v>
      </c>
      <c r="T1053" s="102"/>
      <c r="U1053" s="102"/>
      <c r="V1053" s="102"/>
      <c r="W1053" s="102"/>
      <c r="X1053" s="103"/>
      <c r="Y1053" s="60">
        <v>1</v>
      </c>
      <c r="Z1053" s="60">
        <v>2</v>
      </c>
      <c r="AA1053" s="60">
        <v>3</v>
      </c>
      <c r="AB1053" s="60">
        <v>4</v>
      </c>
      <c r="AC1053" s="60">
        <v>5</v>
      </c>
      <c r="AD1053" s="104"/>
      <c r="AE1053" s="105"/>
      <c r="AF1053" s="106"/>
    </row>
    <row r="1054" spans="1:32" ht="12.75" customHeight="1">
      <c r="A1054" s="21" t="s">
        <v>1236</v>
      </c>
      <c r="H1054" s="136" t="str">
        <f ca="1">IF($Q1056&lt;&gt;"",IF(AND($B1056&lt;&gt;"Missing Player",$B1058&lt;&gt;"Missing Player"),IF(AND(AND($H1056&gt;-1,$H1058&gt;-1),OR($H1056&gt;10,$H1058&gt;10),ABS($H1056-$H1058)&gt;1,IF(OR($H1056&gt;11,$H1058&gt;11),ABS($H1056-$H1058)=2,TRUE),$H1056=INT($H1056),$H1058=INT($H1058)),"","Error"),""),"")</f>
        <v/>
      </c>
      <c r="I1054" s="136" t="str">
        <f ca="1">IF($Q1056&lt;&gt;"",IF(AND($B1056&lt;&gt;"Missing Player",$B1058&lt;&gt;"Missing Player"),IF(AND(AND($I1056&gt;-1,$I1058&gt;-1),OR($I1056&gt;10,$I1058&gt;10),ABS($I1056-$I1058)&gt;1,IF(OR($I1056&gt;11,$I1058&gt;11),ABS($I1056-$I1058)=2,TRUE),$I1056=INT($I1056),$I1058=INT($I1058)),"","Error"),""),"")</f>
        <v/>
      </c>
      <c r="J1054" s="136" t="str">
        <f ca="1">IF($Q1056&lt;&gt;"",IF(AND($B1056&lt;&gt;"Missing Player",$B1058&lt;&gt;"Missing Player"),IF(AND(AND($J1056&gt;-1,$J1058&gt;-1),OR($J1056&gt;10,$J1058&gt;10),ABS($J1056-$J1058)&gt;1,IF(OR($J1056&gt;11,$J1058&gt;11),ABS($J1056-$J1058)=2,TRUE),$J1056=INT($J1056),$J1058=INT($J1058)),"","Error"),""),"")</f>
        <v/>
      </c>
      <c r="K1054" s="136" t="str">
        <f ca="1">IF($Q1056&lt;&gt;"",IF(AND($K1056&lt;&gt;"",$K1058&lt;&gt;""), IF(AND(AND($K1056&gt;-1,$K1058&gt;-1),OR($K1056&gt;10,$K1058&gt;10),ABS($K1056-$K1058)&gt;1,IF(OR($K1056&gt;11,$K1058&gt;11),ABS($K1056-$K1058)=2,TRUE),$K1056=INT($K1056),$K1058=INT($K1058)),"","Error"),""),"")</f>
        <v/>
      </c>
      <c r="L1054" s="136" t="str">
        <f ca="1">IF($Q1056&lt;&gt;"",IF(AND($L1056&lt;&gt;"",$L1058&lt;&gt;""), IF(AND(AND($L1056&gt;-1,$L1058&gt;-1),OR($L1056&gt;10,$L1058&gt;10),ABS($L1056-$L1058)&gt;1,IF(OR($L1056&gt;11,$L1058&gt;11),ABS($L1056-$L1058)=2,TRUE),$L1056=INT($L1056),$L1058=INT($L1058)),"","Error"),""),"")</f>
        <v/>
      </c>
      <c r="Q1054" s="7"/>
      <c r="R1054" s="300" t="str">
        <f>$B1029</f>
        <v>A</v>
      </c>
      <c r="S1054" s="331" t="str">
        <f ca="1">IF($B1049&lt;&gt;"",$B1049,"")</f>
        <v/>
      </c>
      <c r="T1054" s="332"/>
      <c r="U1054" s="332"/>
      <c r="V1054" s="332"/>
      <c r="W1054" s="332"/>
      <c r="X1054" s="333"/>
      <c r="Y1054" s="329"/>
      <c r="Z1054" s="329"/>
      <c r="AA1054" s="329"/>
      <c r="AB1054" s="329"/>
      <c r="AC1054" s="329"/>
      <c r="AD1054" s="345"/>
      <c r="AE1054" s="358"/>
      <c r="AF1054" s="359"/>
    </row>
    <row r="1055" spans="1:32" ht="12.75" customHeight="1">
      <c r="A1055" s="5" t="s">
        <v>1228</v>
      </c>
      <c r="B1055" s="290" t="s">
        <v>1126</v>
      </c>
      <c r="C1055" s="291"/>
      <c r="D1055" s="291"/>
      <c r="E1055" s="291"/>
      <c r="F1055" s="291"/>
      <c r="G1055" s="292"/>
      <c r="H1055" s="5">
        <v>1</v>
      </c>
      <c r="I1055" s="5">
        <v>2</v>
      </c>
      <c r="J1055" s="5">
        <v>3</v>
      </c>
      <c r="K1055" s="5">
        <v>4</v>
      </c>
      <c r="L1055" s="5">
        <v>5</v>
      </c>
      <c r="M1055" s="271"/>
      <c r="N1055" s="272"/>
      <c r="O1055" s="272"/>
      <c r="P1055" s="273"/>
      <c r="Q1055" s="7"/>
      <c r="R1055" s="330"/>
      <c r="S1055" s="334"/>
      <c r="T1055" s="335"/>
      <c r="U1055" s="335"/>
      <c r="V1055" s="335"/>
      <c r="W1055" s="335"/>
      <c r="X1055" s="336"/>
      <c r="Y1055" s="330"/>
      <c r="Z1055" s="330"/>
      <c r="AA1055" s="330"/>
      <c r="AB1055" s="330"/>
      <c r="AC1055" s="330"/>
      <c r="AD1055" s="360"/>
      <c r="AE1055" s="361"/>
      <c r="AF1055" s="362"/>
    </row>
    <row r="1056" spans="1:32" ht="12.75" customHeight="1">
      <c r="A1056" s="300" t="str">
        <f>B1029</f>
        <v>A</v>
      </c>
      <c r="B1056" s="293" t="str">
        <f ca="1">IF(AND(OFFSET($AO$1,$C1029-1,8,1,1),$A1030&lt;&gt;"",$J1030&lt;&gt;""),CHOOSE($C1029,$AR$1,$AR$2,$AR$3,$AR$4,$AR$5,$AR$6,$AR$7,$AR$8,$AR$9,$AR$10,$AR$11,$AR$12),"")</f>
        <v/>
      </c>
      <c r="C1056" s="294"/>
      <c r="D1056" s="294"/>
      <c r="E1056" s="294"/>
      <c r="F1056" s="294"/>
      <c r="G1056" s="294"/>
      <c r="H1056" s="265"/>
      <c r="I1056" s="265"/>
      <c r="J1056" s="265"/>
      <c r="K1056" s="265"/>
      <c r="L1056" s="265" t="str">
        <f ca="1">IF(AND($B1056&lt;&gt;"",$Q1035&lt;&gt;""),IF($B1056="Missing Player",0,IF($B1058="Missing Player",11,"")),"")</f>
        <v/>
      </c>
      <c r="M1056" s="262" t="str">
        <f ca="1">IF(OR(AND($B1049&lt;&gt;"",$B1056&lt;&gt;"",$E1060&lt;=$D1060),AND($B1051&lt;&gt;"",$B1058&lt;&gt;"",$I1060&lt;=$H1060)),"Invalid Lineup","")</f>
        <v/>
      </c>
      <c r="N1056" s="263"/>
      <c r="O1056" s="263"/>
      <c r="P1056" s="264"/>
      <c r="Q1056" s="137" t="str">
        <f ca="1">IF($L1056=$L1058,IF($K1056=$K1058,IF($J1056&lt;&gt;"",IF($J1056&gt;$J1058,"W","L"),""),IF($K1056&gt;$K1058,"W","L")),IF($L1056&gt;$L1058,"W","L"))</f>
        <v/>
      </c>
      <c r="R1056" s="300" t="str">
        <f>$K1029</f>
        <v>G</v>
      </c>
      <c r="S1056" s="331" t="str">
        <f ca="1">IF($B1051&lt;&gt;"",$B1051,"")</f>
        <v/>
      </c>
      <c r="T1056" s="332"/>
      <c r="U1056" s="332"/>
      <c r="V1056" s="332"/>
      <c r="W1056" s="332"/>
      <c r="X1056" s="333"/>
      <c r="Y1056" s="329"/>
      <c r="Z1056" s="329"/>
      <c r="AA1056" s="329"/>
      <c r="AB1056" s="329"/>
      <c r="AC1056" s="351"/>
      <c r="AD1056" s="363" t="s">
        <v>1237</v>
      </c>
      <c r="AE1056" s="358"/>
      <c r="AF1056" s="359"/>
    </row>
    <row r="1057" spans="1:32" ht="12.75" customHeight="1">
      <c r="A1057" s="301"/>
      <c r="B1057" s="295"/>
      <c r="C1057" s="296"/>
      <c r="D1057" s="296"/>
      <c r="E1057" s="296"/>
      <c r="F1057" s="296"/>
      <c r="G1057" s="296"/>
      <c r="H1057" s="270"/>
      <c r="I1057" s="270"/>
      <c r="J1057" s="270"/>
      <c r="K1057" s="270"/>
      <c r="L1057" s="270"/>
      <c r="M1057" s="262"/>
      <c r="N1057" s="263"/>
      <c r="O1057" s="263"/>
      <c r="P1057" s="264"/>
      <c r="Q1057" s="139" t="str">
        <f ca="1">IF($Q1056&lt;&gt;"",IF($B1058&lt;&gt;"Missing Player",IF($Q1056="W",IF(SUM(IF($H1056&gt;$H1058,1,0),IF($I1056&gt;$I1058,1,0),IF($J1056&gt;$J1058,1,0),IF($K1056&gt;$K1058,1,0),IF($L1056&gt;$L1058,1,0))&lt;&gt;3,"Error",""),""),""),"")</f>
        <v/>
      </c>
      <c r="R1057" s="330"/>
      <c r="S1057" s="334"/>
      <c r="T1057" s="335"/>
      <c r="U1057" s="335"/>
      <c r="V1057" s="335"/>
      <c r="W1057" s="335"/>
      <c r="X1057" s="336"/>
      <c r="Y1057" s="330"/>
      <c r="Z1057" s="330"/>
      <c r="AA1057" s="330"/>
      <c r="AB1057" s="330"/>
      <c r="AC1057" s="330"/>
      <c r="AD1057" s="360"/>
      <c r="AE1057" s="361"/>
      <c r="AF1057" s="362"/>
    </row>
    <row r="1058" spans="1:32" ht="12.75" customHeight="1">
      <c r="A1058" s="300" t="str">
        <f>K1029</f>
        <v>G</v>
      </c>
      <c r="B1058" s="293" t="str">
        <f ca="1">IF(AND(OFFSET($AO$1,$L1029-1,8,1,1),$A1030&lt;&gt;"",$J1030&lt;&gt;""),CHOOSE($L1029,$AR$1,$AR$2,$AR$3,$AR$4,$AR$5,$AR$6,$AR$7,$AR$8,$AR$9,$AR$10,$AR$11,$AR$12),"")</f>
        <v/>
      </c>
      <c r="C1058" s="294"/>
      <c r="D1058" s="294"/>
      <c r="E1058" s="294"/>
      <c r="F1058" s="294"/>
      <c r="G1058" s="294"/>
      <c r="H1058" s="265"/>
      <c r="I1058" s="265"/>
      <c r="J1058" s="265"/>
      <c r="K1058" s="265"/>
      <c r="L1058" s="265" t="str">
        <f ca="1">IF(AND($B1058&lt;&gt;"",$Q1035&lt;&gt;""),IF($B1058="Missing Player",0,IF($B1056="Missing Player",11,"")),"")</f>
        <v/>
      </c>
      <c r="M1058" s="267" t="s">
        <v>1237</v>
      </c>
      <c r="N1058" s="268"/>
      <c r="O1058" s="268"/>
      <c r="P1058" s="269"/>
      <c r="Q1058" s="137" t="str">
        <f ca="1">IF($Q1056&lt;&gt;"",IF($Q1056="W","L","W"),"")</f>
        <v/>
      </c>
      <c r="R1058" s="112"/>
      <c r="S1058" s="98"/>
      <c r="T1058" s="108"/>
      <c r="U1058" s="108"/>
      <c r="V1058" s="108"/>
      <c r="W1058" s="108"/>
      <c r="X1058" s="108"/>
      <c r="Y1058" s="113"/>
      <c r="Z1058" s="113"/>
      <c r="AA1058" s="113"/>
      <c r="AB1058" s="113"/>
      <c r="AC1058" s="113"/>
      <c r="AD1058" s="107"/>
      <c r="AE1058" s="109"/>
      <c r="AF1058" s="109"/>
    </row>
    <row r="1059" spans="1:32" ht="12.75" customHeight="1">
      <c r="A1059" s="301"/>
      <c r="B1059" s="295"/>
      <c r="C1059" s="296"/>
      <c r="D1059" s="296"/>
      <c r="E1059" s="296"/>
      <c r="F1059" s="296"/>
      <c r="G1059" s="296"/>
      <c r="H1059" s="270"/>
      <c r="I1059" s="270"/>
      <c r="J1059" s="266"/>
      <c r="K1059" s="266"/>
      <c r="L1059" s="266"/>
      <c r="M1059" s="267"/>
      <c r="N1059" s="268"/>
      <c r="O1059" s="268"/>
      <c r="P1059" s="269"/>
      <c r="Q1059" s="139" t="str">
        <f ca="1">IF($Q1058&lt;&gt;"",IF($B1056&lt;&gt;"Missing Player",IF($Q1058="W",IF(SUM(IF($H1058&gt;$H1056,1,0),IF($I1058&gt;$I1056,1,0),IF($J1058&gt;$J1056,1,0),IF($K1058&gt;$K1056,1,0),IF($L1058&gt;$L1056,1,0))&lt;&gt;3,"Error",""),""),""),"")</f>
        <v/>
      </c>
      <c r="R1059" s="114"/>
      <c r="S1059" s="115"/>
      <c r="T1059" s="115"/>
      <c r="U1059" s="115"/>
      <c r="V1059" s="115"/>
      <c r="W1059" s="115"/>
      <c r="X1059" s="115"/>
      <c r="Y1059" s="114"/>
      <c r="Z1059" s="114"/>
      <c r="AA1059" s="114"/>
      <c r="AB1059" s="114"/>
      <c r="AC1059" s="114"/>
      <c r="AD1059" s="114"/>
      <c r="AE1059" s="114"/>
      <c r="AF1059" s="114"/>
    </row>
    <row r="1060" spans="1:32" ht="12.75" customHeight="1">
      <c r="B1060" s="140" t="str">
        <f ca="1">IF(ISERROR(VLOOKUP($B1035&amp;"("&amp;$B1029&amp;")",Players!$S$4:$T$132,2,FALSE)),"",VLOOKUP($B1035&amp;"("&amp;$B1029&amp;")",Players!$S$4:$T$132,2,FALSE))</f>
        <v>A1</v>
      </c>
      <c r="C1060" s="140" t="str">
        <f ca="1">IF(ISERROR(VLOOKUP($B1042&amp;"("&amp;$B1029&amp;")",Players!$S$4:$T$132,2,FALSE)),"",VLOOKUP($B1042&amp;"("&amp;$B1029&amp;")",Players!$S$4:$T$132,2,FALSE))</f>
        <v>A1</v>
      </c>
      <c r="D1060" s="141" t="str">
        <f ca="1">IF(ISERROR(VLOOKUP($B1049&amp;"("&amp;$B1029&amp;")",Players!$S$4:$T$132,2,FALSE)),"",VLOOKUP($B1049&amp;"("&amp;$B1029&amp;")",Players!$S$4:$T$132,2,FALSE))</f>
        <v>A1</v>
      </c>
      <c r="E1060" s="141" t="str">
        <f ca="1">IF(ISERROR(VLOOKUP($B1056&amp;"("&amp;$B1029&amp;")",Players!$S$4:$T$132,2,FALSE)),"",VLOOKUP($B1056&amp;"("&amp;$B1029&amp;")",Players!$S$4:$T$132,2,FALSE))</f>
        <v>A1</v>
      </c>
      <c r="F1060" s="141" t="str">
        <f ca="1">IF(ISERROR(VLOOKUP($B1037&amp;"("&amp;$K1029&amp;")",Players!$S$4:$T$132,2,FALSE)),"",VLOOKUP($B1037&amp;"("&amp;$K1029&amp;")",Players!$S$4:$T$132,2,FALSE))</f>
        <v>G1</v>
      </c>
      <c r="G1060" s="141" t="str">
        <f ca="1">IF(ISERROR(VLOOKUP($B1044&amp;"("&amp;$K1029&amp;")",Players!$S$4:$T$132,2,FALSE)),"",VLOOKUP($B1044&amp;"("&amp;$K1029&amp;")",Players!$S$4:$T$132,2,FALSE))</f>
        <v>G1</v>
      </c>
      <c r="H1060" s="141" t="str">
        <f ca="1">IF(ISERROR(VLOOKUP($B1051&amp;"("&amp;$K1029&amp;")",Players!$S$4:$T$132,2,FALSE)),"",VLOOKUP($B1051&amp;"("&amp;$K1029&amp;")",Players!$S$4:$T$132,2,FALSE))</f>
        <v>G1</v>
      </c>
      <c r="I1060" s="141" t="str">
        <f ca="1">IF(ISERROR(VLOOKUP($B1058&amp;"("&amp;$K1029&amp;")",Players!$S$4:$T$132,2,FALSE)),"",VLOOKUP($B1058&amp;"("&amp;$K1029&amp;")",Players!$S$4:$T$132,2,FALSE))</f>
        <v>G1</v>
      </c>
      <c r="Q1060" s="7"/>
      <c r="R1060" s="50"/>
      <c r="S1060" s="116"/>
      <c r="T1060" s="115"/>
      <c r="U1060" s="115"/>
      <c r="V1060" s="115"/>
      <c r="W1060" s="115"/>
      <c r="X1060" s="115"/>
      <c r="Y1060" s="99"/>
      <c r="Z1060" s="99"/>
      <c r="AA1060" s="99"/>
      <c r="AB1060" s="99"/>
      <c r="AC1060" s="117"/>
      <c r="AD1060" s="118"/>
      <c r="AE1060" s="114"/>
      <c r="AF1060" s="114"/>
    </row>
    <row r="1061" spans="1:32" ht="12.75" customHeight="1">
      <c r="A1061" s="21" t="s">
        <v>1225</v>
      </c>
      <c r="H1061" s="136" t="str">
        <f ca="1">IF($Q1063&lt;&gt;"",IF(AND($B1064&lt;&gt;"Missing Player",$B1066&lt;&gt;"Missing Player"),IF(AND(AND($H1063&gt;-1,$H1065&gt;-1),OR($H1063&gt;10,$H1065&gt;10),ABS($H1063-$H1065)&gt;1,IF(OR($H1063&gt;11,$H1065&gt;11),ABS($H1063-$H1065)=2,TRUE),$H1063=INT($H1063),$H1065=INT($H1065)),"","Error"),""),"")</f>
        <v/>
      </c>
      <c r="I1061" s="136" t="str">
        <f ca="1">IF($Q1063&lt;&gt;"",IF(AND($B1064&lt;&gt;"Missing Player",$B1066&lt;&gt;"Missing Player"),IF(AND(AND($I1063&gt;-1,$I1065&gt;-1),OR($I1063&gt;10,$I1065&gt;10),ABS($I1063-$I1065)&gt;1,IF(OR($I1063&gt;11,$I1065&gt;11),ABS($I1063-$I1065)=2,TRUE),$I1063=INT($I1063),$I1065=INT($I1065)),"","Error"),""),"")</f>
        <v/>
      </c>
      <c r="J1061" s="136" t="str">
        <f ca="1">IF($Q1063&lt;&gt;"",IF(AND($B1064&lt;&gt;"Missing Player",$B1066&lt;&gt;"Missing Player"),IF(AND(AND($J1063&gt;-1,$J1065&gt;-1),OR($J1063&gt;10,$J1065&gt;10),ABS($J1063-$J1065)&gt;1,IF(OR($J1063&gt;11,$J1065&gt;11),ABS($J1063-$J1065)=2,TRUE),$J1063=INT($J1063),$J1065=INT($J1065)),"","Error"),""),"")</f>
        <v/>
      </c>
      <c r="K1061" s="136" t="str">
        <f ca="1">IF($Q1063&lt;&gt;"",IF(AND($K1063&lt;&gt;"",$K1065&lt;&gt;""), IF(AND(AND($K1063&gt;-1,$K1065&gt;-1),OR($K1063&gt;10,$K1065&gt;10),ABS($K1063-$K1065)&gt;1,IF(OR($K1063&gt;11,$K1065&gt;11),ABS($K1063-$K1065)=2,TRUE),$K1063=INT($K1063),$K1065=INT($K1065)),"","Error"),""),"")</f>
        <v/>
      </c>
      <c r="L1061" s="136" t="str">
        <f ca="1">IF($Q1063&lt;&gt;"",IF(AND($L1063&lt;&gt;"",$L1065&lt;&gt;""), IF(AND(AND($L1063&gt;-1,$L1065&gt;-1),OR($L1063&gt;10,$L1065&gt;10),ABS($L1063-$L1065)&gt;1,IF(OR($L1063&gt;11,$L1065&gt;11),ABS($L1063-$L1065)=2,TRUE),$L1063=INT($L1063),$L1065=INT($L1065)),"","Error"),""),"")</f>
        <v/>
      </c>
      <c r="Q1061" s="7"/>
      <c r="R1061" s="114"/>
      <c r="S1061" s="115"/>
      <c r="T1061" s="115"/>
      <c r="U1061" s="115"/>
      <c r="V1061" s="115"/>
      <c r="W1061" s="115"/>
      <c r="X1061" s="115"/>
      <c r="Y1061" s="114"/>
      <c r="Z1061" s="114"/>
      <c r="AA1061" s="114"/>
      <c r="AB1061" s="114"/>
      <c r="AC1061" s="114"/>
      <c r="AD1061" s="114"/>
      <c r="AE1061" s="114"/>
      <c r="AF1061" s="114"/>
    </row>
    <row r="1062" spans="1:32" ht="12.75" customHeight="1">
      <c r="A1062" s="5" t="s">
        <v>1228</v>
      </c>
      <c r="B1062" s="290" t="s">
        <v>1126</v>
      </c>
      <c r="C1062" s="291"/>
      <c r="D1062" s="291"/>
      <c r="E1062" s="291"/>
      <c r="F1062" s="291"/>
      <c r="G1062" s="292"/>
      <c r="H1062" s="5">
        <v>1</v>
      </c>
      <c r="I1062" s="5">
        <v>2</v>
      </c>
      <c r="J1062" s="5">
        <v>3</v>
      </c>
      <c r="K1062" s="5">
        <v>4</v>
      </c>
      <c r="L1062" s="5">
        <v>5</v>
      </c>
      <c r="M1062" s="271"/>
      <c r="N1062" s="272"/>
      <c r="O1062" s="272"/>
      <c r="P1062" s="273"/>
      <c r="Q1062" s="8"/>
      <c r="S1062" s="24"/>
      <c r="T1062" s="26"/>
    </row>
    <row r="1063" spans="1:32" ht="12.75" customHeight="1">
      <c r="A1063" s="300" t="str">
        <f>B1029</f>
        <v>A</v>
      </c>
      <c r="B1063" s="311" t="str">
        <f ca="1">IF($B1035&lt;&gt;"",$B1035,"")</f>
        <v/>
      </c>
      <c r="C1063" s="312"/>
      <c r="D1063" s="312"/>
      <c r="E1063" s="312"/>
      <c r="F1063" s="312"/>
      <c r="G1063" s="313"/>
      <c r="H1063" s="265"/>
      <c r="I1063" s="265"/>
      <c r="J1063" s="265"/>
      <c r="K1063" s="265"/>
      <c r="L1063" s="265" t="str">
        <f ca="1">IF($B1056&lt;&gt;"",IF(AND($B1056="Missing Player",$G1067=2,$J1067=2),0,IF(AND($B1058="Missing Player",$G1067=2,$J1067=2),11,"")),"")</f>
        <v/>
      </c>
      <c r="M1063" s="262" t="str">
        <f ca="1">IF(OR(AND($B1063&lt;&gt;"",$B1064&lt;&gt;"",$B1063=$B1064),AND($B1065&lt;&gt;"",$B1066&lt;&gt;"",$B1065=$B1066)),"Invalid Partner","")</f>
        <v/>
      </c>
      <c r="N1063" s="263"/>
      <c r="O1063" s="263"/>
      <c r="P1063" s="264"/>
      <c r="Q1063" s="138" t="str">
        <f ca="1">IF(L1063=L1065,IF(K1063=K1065,IF(J1063&lt;&gt;"",IF(J1063&gt;J1065,"W","L"),""),IF(K1063&gt;K1065,"W","L")),IF(L1063&gt;L1065,"W","L"))</f>
        <v/>
      </c>
      <c r="S1063" s="24"/>
      <c r="T1063" s="26"/>
    </row>
    <row r="1064" spans="1:32" ht="12.75" customHeight="1">
      <c r="A1064" s="324"/>
      <c r="B1064" s="308" t="str">
        <f ca="1">IF($B1056="Missing Player",$B1056,"")</f>
        <v/>
      </c>
      <c r="C1064" s="309"/>
      <c r="D1064" s="309"/>
      <c r="E1064" s="309"/>
      <c r="F1064" s="309"/>
      <c r="G1064" s="310"/>
      <c r="H1064" s="270"/>
      <c r="I1064" s="270"/>
      <c r="J1064" s="270"/>
      <c r="K1064" s="270"/>
      <c r="L1064" s="270"/>
      <c r="M1064" s="262"/>
      <c r="N1064" s="263"/>
      <c r="O1064" s="263"/>
      <c r="P1064" s="264"/>
      <c r="Q1064" s="139" t="str">
        <f ca="1">IF($Q1063&lt;&gt;"",IF($B1066&lt;&gt;"Missing Player",IF($Q1063="W",IF(SUM(IF($H1063&gt;$H1065,1,0),IF($I1063&gt;$I1065,1,0),IF($J1063&gt;$J1065,1,0),IF($K1063&gt;$K1065,1,0),IF($L1063&gt;$L1065,1,0))&lt;&gt;3,"Error",""),""),""),"")</f>
        <v/>
      </c>
      <c r="R1064" s="328" t="str">
        <f>$A1030</f>
        <v/>
      </c>
      <c r="S1064" s="328"/>
      <c r="T1064" s="328"/>
      <c r="U1064" s="328"/>
      <c r="V1064" s="328"/>
      <c r="W1064" s="328"/>
      <c r="X1064" s="256" t="str">
        <f>CONCATENATE("(",$B1029," vs ",$K1029,")")</f>
        <v>(A vs G)</v>
      </c>
      <c r="Y1064" s="256"/>
      <c r="Z1064" s="328" t="str">
        <f>$J1030</f>
        <v/>
      </c>
      <c r="AA1064" s="328"/>
      <c r="AB1064" s="328"/>
      <c r="AC1064" s="328"/>
      <c r="AD1064" s="328"/>
      <c r="AE1064" s="328"/>
      <c r="AF1064" s="43"/>
    </row>
    <row r="1065" spans="1:32" ht="12.75" customHeight="1">
      <c r="A1065" s="325" t="str">
        <f>K1029</f>
        <v>G</v>
      </c>
      <c r="B1065" s="311" t="str">
        <f ca="1">IF($B1037&lt;&gt;"",$B1037,"")</f>
        <v/>
      </c>
      <c r="C1065" s="312"/>
      <c r="D1065" s="312"/>
      <c r="E1065" s="312"/>
      <c r="F1065" s="312"/>
      <c r="G1065" s="313"/>
      <c r="H1065" s="265"/>
      <c r="I1065" s="265"/>
      <c r="J1065" s="265"/>
      <c r="K1065" s="265"/>
      <c r="L1065" s="265" t="str">
        <f ca="1">IF($B1058&lt;&gt;"",IF(AND($B1058="Missing Player",$G1067=2,$J1067=2),0,IF(AND($B1056="Missing Player",$G1067=2,$J1067=2),11,"")),"")</f>
        <v/>
      </c>
      <c r="M1065" s="267" t="s">
        <v>1237</v>
      </c>
      <c r="N1065" s="268"/>
      <c r="O1065" s="268"/>
      <c r="P1065" s="269"/>
      <c r="Q1065" s="138" t="str">
        <f ca="1">IF(Q1063&lt;&gt;"",IF(Q1063="W","L","W"),"")</f>
        <v/>
      </c>
      <c r="R1065" s="43"/>
      <c r="S1065" s="43"/>
      <c r="T1065" s="43"/>
      <c r="U1065" s="43"/>
      <c r="V1065" s="43"/>
      <c r="W1065" s="43"/>
      <c r="X1065" s="43"/>
      <c r="Y1065" s="43"/>
      <c r="Z1065" s="43"/>
      <c r="AA1065" s="43"/>
      <c r="AB1065" s="43"/>
      <c r="AC1065" s="43"/>
      <c r="AD1065" s="43"/>
      <c r="AE1065" s="43"/>
      <c r="AF1065" s="43"/>
    </row>
    <row r="1066" spans="1:32" ht="12.75" customHeight="1">
      <c r="A1066" s="324"/>
      <c r="B1066" s="308" t="str">
        <f ca="1">IF($B1058="Missing Player",$B1058,"")</f>
        <v/>
      </c>
      <c r="C1066" s="309"/>
      <c r="D1066" s="309"/>
      <c r="E1066" s="309"/>
      <c r="F1066" s="309"/>
      <c r="G1066" s="310"/>
      <c r="H1066" s="270"/>
      <c r="I1066" s="270"/>
      <c r="J1066" s="266"/>
      <c r="K1066" s="266"/>
      <c r="L1066" s="266"/>
      <c r="M1066" s="267"/>
      <c r="N1066" s="268"/>
      <c r="O1066" s="268"/>
      <c r="P1066" s="269"/>
      <c r="Q1066" s="139" t="str">
        <f ca="1">IF($Q1065&lt;&gt;"",IF($B1064&lt;&gt;"Missing Player",IF($Q1065="W",IF(SUM(IF($H1065&gt;$H1063,1,0),IF($I1065&gt;$I1063,1,0),IF($J1065&gt;$J1063,1,0),IF($K1065&gt;$K1063,1,0),IF($L1065&gt;$L1063,1,0))&lt;&gt;3,"Error",""),""),""),"")</f>
        <v/>
      </c>
      <c r="R1066" s="43" t="str">
        <f>A1054</f>
        <v>4th Singles</v>
      </c>
      <c r="S1066" s="43"/>
      <c r="T1066" s="43"/>
      <c r="U1066" s="43"/>
      <c r="V1066" s="43"/>
      <c r="W1066" s="43"/>
      <c r="X1066" s="43"/>
      <c r="Y1066" s="43"/>
      <c r="Z1066" s="43"/>
      <c r="AA1066" s="43"/>
      <c r="AB1066" s="43"/>
      <c r="AC1066" s="43"/>
      <c r="AD1066" s="43"/>
      <c r="AE1066" s="43"/>
      <c r="AF1066" s="43"/>
    </row>
    <row r="1067" spans="1:32" ht="12.75" customHeight="1">
      <c r="G1067" s="66">
        <f ca="1">COUNTIF($Q1035:$Q1035,"W")+COUNTIF($Q1042:$Q1042,"W")+COUNTIF($Q1049:$Q1049,"W")+COUNTIF($Q1056:$Q1056,"W")</f>
        <v>0</v>
      </c>
      <c r="J1067" s="66">
        <f ca="1">COUNTIF($Q1037:$Q1037,"W")+COUNTIF($Q1044:$Q1044,"W")+COUNTIF($Q1051:$Q1051,"W")+COUNTIF($Q1058:$Q1058,"W")</f>
        <v>0</v>
      </c>
      <c r="R1067" s="60" t="s">
        <v>1228</v>
      </c>
      <c r="S1067" s="339" t="s">
        <v>1126</v>
      </c>
      <c r="T1067" s="340"/>
      <c r="U1067" s="340"/>
      <c r="V1067" s="340"/>
      <c r="W1067" s="340"/>
      <c r="X1067" s="341"/>
      <c r="Y1067" s="60">
        <v>1</v>
      </c>
      <c r="Z1067" s="60">
        <v>2</v>
      </c>
      <c r="AA1067" s="60">
        <v>3</v>
      </c>
      <c r="AB1067" s="60">
        <v>4</v>
      </c>
      <c r="AC1067" s="60">
        <v>5</v>
      </c>
      <c r="AD1067" s="342"/>
      <c r="AE1067" s="343"/>
      <c r="AF1067" s="344"/>
    </row>
    <row r="1068" spans="1:32" ht="12.75" customHeight="1" thickBot="1">
      <c r="F1068" s="246" t="s">
        <v>1238</v>
      </c>
      <c r="G1068" s="246"/>
      <c r="H1068" s="246"/>
      <c r="I1068" s="246"/>
      <c r="J1068" s="246"/>
      <c r="K1068" s="246"/>
      <c r="R1068" s="300" t="str">
        <f>B1029</f>
        <v>A</v>
      </c>
      <c r="S1068" s="331" t="str">
        <f ca="1">IF($B1056&lt;&gt;"",$B1056,"")</f>
        <v/>
      </c>
      <c r="T1068" s="353"/>
      <c r="U1068" s="353"/>
      <c r="V1068" s="353"/>
      <c r="W1068" s="353"/>
      <c r="X1068" s="354"/>
      <c r="Y1068" s="329"/>
      <c r="Z1068" s="329"/>
      <c r="AA1068" s="351"/>
      <c r="AB1068" s="351"/>
      <c r="AC1068" s="351"/>
      <c r="AD1068" s="345"/>
      <c r="AE1068" s="346"/>
      <c r="AF1068" s="347"/>
    </row>
    <row r="1069" spans="1:32" ht="12.75" customHeight="1">
      <c r="A1069" s="22"/>
      <c r="B1069" s="22"/>
      <c r="C1069" s="22"/>
      <c r="D1069" s="22"/>
      <c r="E1069" s="22"/>
      <c r="G1069" s="304" t="str">
        <f>B1029</f>
        <v>A</v>
      </c>
      <c r="H1069" s="305"/>
      <c r="I1069" s="302" t="str">
        <f>K1029</f>
        <v>G</v>
      </c>
      <c r="J1069" s="303"/>
      <c r="L1069" s="22"/>
      <c r="M1069" s="22"/>
      <c r="N1069" s="22"/>
      <c r="O1069" s="22"/>
      <c r="P1069" s="22"/>
      <c r="R1069" s="301"/>
      <c r="S1069" s="355"/>
      <c r="T1069" s="356"/>
      <c r="U1069" s="356"/>
      <c r="V1069" s="356"/>
      <c r="W1069" s="356"/>
      <c r="X1069" s="357"/>
      <c r="Y1069" s="338"/>
      <c r="Z1069" s="338"/>
      <c r="AA1069" s="352"/>
      <c r="AB1069" s="352"/>
      <c r="AC1069" s="352"/>
      <c r="AD1069" s="348"/>
      <c r="AE1069" s="349"/>
      <c r="AF1069" s="350"/>
    </row>
    <row r="1070" spans="1:32" ht="12.75" customHeight="1" thickBot="1">
      <c r="A1070" s="2" t="s">
        <v>1228</v>
      </c>
      <c r="B1070" s="53" t="str">
        <f>B1029</f>
        <v>A</v>
      </c>
      <c r="C1070" s="3" t="s">
        <v>1226</v>
      </c>
      <c r="F1070" s="66" t="str">
        <f>CONCATENATE($B1029,"-",$K1029)</f>
        <v>A-G</v>
      </c>
      <c r="G1070" s="320" t="str">
        <f ca="1">IF(OR(Q1035&lt;&gt;"",Q1042&lt;&gt;"",Q1049&lt;&gt;"",Q1056&lt;&gt;"",Q1063&lt;&gt;""),COUNTIF(Q1035:Q1035,"W")+COUNTIF(Q1042:Q1042,"W")+COUNTIF(Q1049:Q1049,"W")+COUNTIF(Q1056:Q1056,"W")+COUNTIF(Q1063:Q1063,"W"),"")</f>
        <v/>
      </c>
      <c r="H1070" s="321"/>
      <c r="I1070" s="322" t="str">
        <f ca="1">IF(OR(Q1037&lt;&gt;"",Q1044&lt;&gt;"",Q1051&lt;&gt;"",Q1058&lt;&gt;"",Q1065&lt;&gt;""),COUNTIF(Q1037:Q1037,"W")+COUNTIF(Q1044:Q1044,"W")+COUNTIF(Q1051:Q1051,"W")+COUNTIF(Q1058:Q1058,"W")+COUNTIF(Q1065:Q1065,"W"),"")</f>
        <v/>
      </c>
      <c r="J1070" s="323"/>
      <c r="L1070" s="2" t="s">
        <v>1228</v>
      </c>
      <c r="M1070" s="53" t="str">
        <f>K1029</f>
        <v>G</v>
      </c>
      <c r="N1070" s="3" t="s">
        <v>1226</v>
      </c>
      <c r="R1070" s="300" t="str">
        <f>K1029</f>
        <v>G</v>
      </c>
      <c r="S1070" s="331" t="str">
        <f ca="1">IF($B1058&lt;&gt;"",$B1058,"")</f>
        <v/>
      </c>
      <c r="T1070" s="332"/>
      <c r="U1070" s="332"/>
      <c r="V1070" s="332"/>
      <c r="W1070" s="332"/>
      <c r="X1070" s="333"/>
      <c r="Y1070" s="329"/>
      <c r="Z1070" s="329"/>
      <c r="AA1070" s="351"/>
      <c r="AB1070" s="351"/>
      <c r="AC1070" s="351"/>
      <c r="AD1070" s="363" t="s">
        <v>1237</v>
      </c>
      <c r="AE1070" s="358"/>
      <c r="AF1070" s="359"/>
    </row>
    <row r="1071" spans="1:32" ht="12.75" customHeight="1">
      <c r="F1071" s="25" t="s">
        <v>3996</v>
      </c>
      <c r="G1071" s="23"/>
      <c r="H1071" s="23"/>
      <c r="I1071" s="23"/>
      <c r="J1071" s="23"/>
      <c r="K1071" s="24"/>
      <c r="R1071" s="330"/>
      <c r="S1071" s="334"/>
      <c r="T1071" s="335"/>
      <c r="U1071" s="335"/>
      <c r="V1071" s="335"/>
      <c r="W1071" s="335"/>
      <c r="X1071" s="336"/>
      <c r="Y1071" s="330"/>
      <c r="Z1071" s="330"/>
      <c r="AA1071" s="330"/>
      <c r="AB1071" s="330"/>
      <c r="AC1071" s="330"/>
      <c r="AD1071" s="360"/>
      <c r="AE1071" s="361"/>
      <c r="AF1071" s="362"/>
    </row>
    <row r="1072" spans="1:32" ht="12.75" customHeight="1">
      <c r="R1072" s="1"/>
      <c r="S1072" s="110"/>
      <c r="T1072" s="110"/>
      <c r="U1072" s="110"/>
      <c r="V1072" s="110"/>
      <c r="W1072" s="110"/>
      <c r="X1072" s="111"/>
      <c r="Y1072" s="111"/>
      <c r="Z1072" s="111"/>
      <c r="AA1072" s="111"/>
    </row>
    <row r="1073" spans="1:32" ht="12.75" customHeight="1">
      <c r="F1073" s="246" t="s">
        <v>4929</v>
      </c>
      <c r="G1073" s="246"/>
      <c r="H1073" s="246"/>
      <c r="I1073" s="246"/>
      <c r="R1073" s="1"/>
      <c r="S1073" s="110"/>
      <c r="T1073" s="110"/>
      <c r="U1073" s="110"/>
      <c r="V1073" s="110"/>
      <c r="W1073" s="110"/>
      <c r="X1073" s="111"/>
      <c r="Y1073" s="111"/>
      <c r="Z1073" s="111"/>
      <c r="AA1073" s="111"/>
    </row>
    <row r="1074" spans="1:32" ht="12.75" customHeight="1">
      <c r="F1074" s="246" t="s">
        <v>4930</v>
      </c>
      <c r="G1074" s="246"/>
      <c r="H1074" s="246"/>
      <c r="I1074" s="246"/>
      <c r="R1074" s="1"/>
      <c r="S1074" s="110"/>
      <c r="T1074" s="110"/>
      <c r="U1074" s="110"/>
      <c r="V1074" s="110"/>
      <c r="W1074" s="110"/>
      <c r="X1074" s="111"/>
      <c r="Y1074" s="111"/>
      <c r="Z1074" s="111"/>
      <c r="AA1074" s="111"/>
    </row>
    <row r="1075" spans="1:32" ht="12.75" customHeight="1">
      <c r="K1075" s="281" t="s">
        <v>1244</v>
      </c>
      <c r="L1075" s="281"/>
      <c r="M1075" s="281"/>
      <c r="N1075" s="281"/>
      <c r="O1075" s="281"/>
      <c r="P1075" s="281"/>
      <c r="R1075" s="1"/>
      <c r="S1075" s="110"/>
      <c r="T1075" s="110"/>
      <c r="U1075" s="110"/>
      <c r="V1075" s="110"/>
      <c r="W1075" s="110"/>
      <c r="X1075" s="111"/>
      <c r="Y1075" s="111"/>
      <c r="Z1075" s="111"/>
      <c r="AA1075" s="111"/>
    </row>
    <row r="1076" spans="1:32" ht="12.75" customHeight="1">
      <c r="A1076" s="12" t="s">
        <v>1229</v>
      </c>
      <c r="B1076" s="11"/>
      <c r="C1076" s="11"/>
      <c r="D1076" s="11" t="str">
        <f>Draw!$B$1</f>
        <v>Enter Division Name</v>
      </c>
      <c r="E1076" s="11"/>
      <c r="F1076" s="7"/>
      <c r="G1076" s="6"/>
      <c r="H1076" s="7"/>
      <c r="I1076" s="11"/>
      <c r="J1076" s="11"/>
      <c r="K1076" s="11"/>
      <c r="L1076" s="11"/>
      <c r="M1076" s="281"/>
      <c r="N1076" s="281"/>
      <c r="O1076" s="281"/>
      <c r="P1076" s="281"/>
      <c r="R1076" s="1"/>
      <c r="S1076" s="110"/>
      <c r="T1076" s="110"/>
      <c r="U1076" s="110"/>
      <c r="V1076" s="110"/>
      <c r="W1076" s="110"/>
      <c r="X1076" s="111"/>
      <c r="Y1076" s="111"/>
      <c r="Z1076" s="111"/>
      <c r="AA1076" s="111"/>
    </row>
    <row r="1077" spans="1:32" ht="12.75" customHeight="1">
      <c r="A1077" s="2" t="s">
        <v>1230</v>
      </c>
      <c r="D1077" s="43" t="str">
        <f>Draw!$D$1</f>
        <v>Enter Hosting Location (City, ST)</v>
      </c>
      <c r="J1077" s="43" t="str">
        <f ca="1">$J$6</f>
        <v>[NCTTA Teams Template (v2.06).xlsx]</v>
      </c>
      <c r="R1077" s="1"/>
      <c r="S1077" s="110"/>
      <c r="T1077" s="110"/>
      <c r="U1077" s="110"/>
      <c r="V1077" s="110"/>
      <c r="W1077" s="110"/>
      <c r="X1077" s="111"/>
      <c r="Y1077" s="111"/>
      <c r="Z1077" s="111"/>
      <c r="AA1077" s="111"/>
    </row>
    <row r="1078" spans="1:32" ht="12.75" customHeight="1">
      <c r="A1078" s="2" t="s">
        <v>1231</v>
      </c>
      <c r="D1078" s="337" t="str">
        <f>Draw!$P$1</f>
        <v>Enter Date</v>
      </c>
      <c r="E1078" s="337"/>
      <c r="F1078" s="337"/>
      <c r="G1078" s="337"/>
      <c r="J1078" s="280" t="str">
        <f>CHOOSE(Draw!$T$1,"Round 4, Match 4","Round 3, Match 4","","","","","","Round 6, Match 2","Round 6, Match 2","Round 5, Match 2","Round 5, Match 2")</f>
        <v/>
      </c>
      <c r="K1078" s="280"/>
      <c r="L1078" s="280"/>
      <c r="M1078" s="276" t="str">
        <f>IF(AND($J1078&lt;&gt;"",Draw!$AC$10&lt;&gt;"",Draw!$AC$13&lt;&gt;""),Draw!$AC$10+TIME(0,VALUE(MID($J1078,7,FIND(",",$J1078)-FIND(" ",$J1078)-1)-1)*Draw!$AC$13,0),"")</f>
        <v/>
      </c>
      <c r="N1078" s="276"/>
      <c r="O1078" s="157" t="str">
        <f>$F1121</f>
        <v>A-H</v>
      </c>
      <c r="R1078" s="1"/>
      <c r="S1078" s="110"/>
      <c r="T1078" s="110"/>
      <c r="U1078" s="110"/>
      <c r="V1078" s="110"/>
      <c r="W1078" s="110"/>
      <c r="X1078" s="111"/>
      <c r="Y1078" s="111"/>
      <c r="Z1078" s="111"/>
      <c r="AA1078" s="111"/>
    </row>
    <row r="1079" spans="1:32" ht="12.75" customHeight="1">
      <c r="A1079" s="14"/>
      <c r="B1079" s="15"/>
      <c r="C1079" s="15"/>
      <c r="D1079" s="15"/>
      <c r="E1079" s="15"/>
      <c r="F1079" s="14"/>
      <c r="G1079" s="14"/>
      <c r="H1079" s="16"/>
      <c r="I1079" s="14"/>
      <c r="J1079" s="15"/>
      <c r="K1079" s="15"/>
      <c r="L1079" s="15"/>
      <c r="M1079" s="15"/>
      <c r="N1079" s="15"/>
      <c r="O1079" s="364" t="str">
        <f>IF(OR(AND(VLOOKUP($B1080,$AM$1:$AX$12,12,FALSE)="C",VLOOKUP($K1080,$AM$1:$AX$12,12,FALSE)="C"),AND(VLOOKUP($B1080,$AM$1:$AX$12,12,FALSE)="W",VLOOKUP($K1080,$AM$1:$AX$12,12,FALSE)="W")),"Official",IF(AND($A1081="",$J1081=""),"","Scrimmage"))</f>
        <v/>
      </c>
      <c r="P1079" s="364"/>
      <c r="R1079" s="1"/>
      <c r="S1079" s="110"/>
      <c r="T1079" s="110"/>
      <c r="U1079" s="110"/>
      <c r="V1079" s="110"/>
      <c r="W1079" s="110"/>
      <c r="X1079" s="111"/>
      <c r="Y1079" s="111"/>
      <c r="Z1079" s="111"/>
      <c r="AA1079" s="111"/>
    </row>
    <row r="1080" spans="1:32" ht="12.75" customHeight="1">
      <c r="A1080" s="17" t="s">
        <v>1228</v>
      </c>
      <c r="B1080" s="119" t="str">
        <f>CHOOSE(Draw!$T$1,"F","G","A","B","B","B","A","C","C","D","D")</f>
        <v>A</v>
      </c>
      <c r="C1080" s="135">
        <f>VLOOKUP($B1080,$AM$1:$AN$12,2)</f>
        <v>1</v>
      </c>
      <c r="D1080" s="13"/>
      <c r="E1080" s="13"/>
      <c r="F1080" s="10"/>
      <c r="H1080" s="19" t="s">
        <v>1232</v>
      </c>
      <c r="J1080" s="17" t="s">
        <v>1228</v>
      </c>
      <c r="K1080" s="119" t="str">
        <f>CHOOSE(Draw!$T$1,"L","I","H","D","J","G","H","H","E","F","K")</f>
        <v>H</v>
      </c>
      <c r="L1080" s="135">
        <f>VLOOKUP($K1080,$AM$1:$AN$12,2)</f>
        <v>8</v>
      </c>
      <c r="M1080" s="13"/>
      <c r="N1080" s="13"/>
      <c r="O1080" s="18"/>
      <c r="P1080" s="274"/>
      <c r="Q1080" s="275"/>
      <c r="R1080" s="1"/>
      <c r="S1080" s="110"/>
      <c r="T1080" s="110"/>
      <c r="U1080" s="110"/>
      <c r="V1080" s="110"/>
      <c r="W1080" s="110"/>
      <c r="X1080" s="111"/>
      <c r="Y1080" s="111"/>
      <c r="Z1080" s="111"/>
      <c r="AA1080" s="111"/>
    </row>
    <row r="1081" spans="1:32" ht="12.75" customHeight="1">
      <c r="A1081" s="277" t="str">
        <f>IF(VLOOKUP($B1080,Draw!$A$4:$B$27,2)&lt;&gt;0,VLOOKUP($B1080,Draw!$A$4:$B$27,2),"")</f>
        <v/>
      </c>
      <c r="B1081" s="278"/>
      <c r="C1081" s="278"/>
      <c r="D1081" s="278"/>
      <c r="E1081" s="278"/>
      <c r="F1081" s="279"/>
      <c r="G1081" s="306" t="s">
        <v>4173</v>
      </c>
      <c r="H1081" s="289"/>
      <c r="I1081" s="307"/>
      <c r="J1081" s="277" t="str">
        <f>IF(VLOOKUP($K1080,Draw!$A$4:$B$27,2)&lt;&gt;0,VLOOKUP($K1080,Draw!$A$4:$B$27,2),"")</f>
        <v/>
      </c>
      <c r="K1081" s="278"/>
      <c r="L1081" s="278"/>
      <c r="M1081" s="278"/>
      <c r="N1081" s="278"/>
      <c r="O1081" s="279"/>
      <c r="P1081" s="15"/>
      <c r="R1081" s="1"/>
      <c r="S1081" s="110"/>
      <c r="T1081" s="110"/>
      <c r="U1081" s="110"/>
      <c r="V1081" s="110"/>
      <c r="W1081" s="110"/>
      <c r="X1081" s="111"/>
      <c r="Y1081" s="111"/>
      <c r="Z1081" s="111"/>
      <c r="AA1081" s="111"/>
    </row>
    <row r="1082" spans="1:32" ht="12.75" customHeight="1">
      <c r="A1082" s="14"/>
      <c r="B1082" s="15"/>
      <c r="C1082" s="15"/>
      <c r="D1082" s="15"/>
      <c r="E1082" s="15"/>
      <c r="F1082" s="14"/>
      <c r="G1082" s="288" t="str">
        <f>"Page "&amp;VALUE(RIGHT($G1081,LEN($G1081)-SEARCH("-",$G1081)))/2</f>
        <v>Page 22</v>
      </c>
      <c r="H1082" s="289"/>
      <c r="I1082" s="289"/>
      <c r="J1082" s="15"/>
      <c r="K1082" s="15"/>
      <c r="L1082" s="15"/>
      <c r="M1082" s="15"/>
      <c r="N1082" s="15"/>
      <c r="O1082" s="15"/>
      <c r="P1082" s="15"/>
      <c r="R1082" s="1"/>
      <c r="S1082" s="110"/>
      <c r="T1082" s="110"/>
      <c r="U1082" s="110"/>
      <c r="V1082" s="110"/>
      <c r="W1082" s="110"/>
      <c r="X1082" s="111"/>
      <c r="Y1082" s="111"/>
      <c r="Z1082" s="111"/>
      <c r="AA1082" s="111"/>
      <c r="AF1082" s="27"/>
    </row>
    <row r="1083" spans="1:32" ht="12.75" customHeight="1">
      <c r="A1083" s="327" t="s">
        <v>1245</v>
      </c>
      <c r="B1083" s="327"/>
      <c r="C1083" s="327"/>
      <c r="D1083" s="327"/>
      <c r="E1083" s="327"/>
      <c r="F1083" s="327"/>
      <c r="G1083" s="327"/>
      <c r="H1083" s="327"/>
      <c r="I1083" s="327"/>
      <c r="J1083" s="327"/>
      <c r="K1083" s="327"/>
      <c r="L1083" s="327"/>
      <c r="M1083" s="327"/>
      <c r="N1083" s="327"/>
      <c r="O1083" s="327"/>
      <c r="P1083" s="327"/>
      <c r="Q1083" s="7"/>
      <c r="R1083" s="1"/>
      <c r="S1083" s="110"/>
      <c r="T1083" s="110"/>
      <c r="U1083" s="110"/>
      <c r="V1083" s="110"/>
      <c r="W1083" s="110"/>
      <c r="X1083" s="111"/>
      <c r="Y1083" s="111"/>
      <c r="Z1083" s="111"/>
      <c r="AA1083" s="111"/>
      <c r="AF1083" s="20"/>
    </row>
    <row r="1084" spans="1:32" ht="12.75" customHeight="1">
      <c r="A1084" s="21" t="s">
        <v>1233</v>
      </c>
      <c r="H1084" s="136" t="str">
        <f>IF($Q1086&lt;&gt;"",IF(AND(AND($H1086&gt;-1,$H1088&gt;-1),OR($H1086&gt;10,$H1088&gt;10),ABS($H1086-$H1088)&gt;1,IF(OR($H1086&gt;11,$H1088&gt;11),ABS($H1086-$H1088)=2,TRUE),$H1086=INT($H1086),$H1088=INT($H1088)),"","Error"),"")</f>
        <v/>
      </c>
      <c r="I1084" s="136" t="str">
        <f>IF($Q1086&lt;&gt;"",IF(AND(AND($I1086&gt;-1,$I1088&gt;-1),OR($I1086&gt;10,$I1088&gt;10),ABS($I1086-$I1088)&gt;1,IF(OR($I1086&gt;11,$I1088&gt;11),ABS($I1086-$I1088)=2,TRUE),$I1086=INT($I1086),$I1088=INT($I1088)),"","Error"),"")</f>
        <v/>
      </c>
      <c r="J1084" s="136" t="str">
        <f>IF($Q1086&lt;&gt;"",IF(AND(AND($J1086&gt;-1,$J1088&gt;-1),OR($J1086&gt;10,$J1088&gt;10),ABS($J1086-$J1088)&gt;1,IF(OR($J1086&gt;11,$J1088&gt;11),ABS($J1086-$J1088)=2,TRUE),$J1086=INT($J1086),$J1088=INT($J1088)),"","Error"),"")</f>
        <v/>
      </c>
      <c r="K1084" s="136" t="str">
        <f>IF($Q1086&lt;&gt;"",IF(AND($K1086&lt;&gt;"",$K1088&lt;&gt;""), IF(AND(AND($K1086&gt;-1,$K1088&gt;-1),OR($K1086&gt;10,$K1088&gt;10),ABS($K1086-$K1088)&gt;1,IF(OR($K1086&gt;11,$K1088&gt;11),ABS($K1086-$K1088)=2,TRUE),$K1086=INT($K1086),$K1088=INT($K1088)),"","Error"),""),"")</f>
        <v/>
      </c>
      <c r="L1084" s="136" t="str">
        <f>IF($Q1086&lt;&gt;"",IF(AND($L1086&lt;&gt;"",$L1088&lt;&gt;""), IF(AND(AND($L1086&gt;-1,$L1088&gt;-1),OR($L1086&gt;10,$L1088&gt;10),ABS($L1086-$L1088)&gt;1,IF(OR($L1086&gt;11,$L1088&gt;11),ABS($L1086-$L1088)=2,TRUE),$L1086=INT($L1086),$L1088=INT($L1088)),"","Error"),""),"")</f>
        <v/>
      </c>
      <c r="R1084" s="1"/>
      <c r="S1084" s="110"/>
      <c r="T1084" s="110"/>
      <c r="U1084" s="110"/>
      <c r="V1084" s="110"/>
      <c r="W1084" s="110"/>
      <c r="X1084" s="111"/>
      <c r="Y1084" s="111"/>
      <c r="Z1084" s="111"/>
      <c r="AA1084" s="111"/>
    </row>
    <row r="1085" spans="1:32" ht="12.75" customHeight="1">
      <c r="A1085" s="5" t="s">
        <v>1228</v>
      </c>
      <c r="B1085" s="290" t="s">
        <v>1126</v>
      </c>
      <c r="C1085" s="291"/>
      <c r="D1085" s="291"/>
      <c r="E1085" s="291"/>
      <c r="F1085" s="291"/>
      <c r="G1085" s="292"/>
      <c r="H1085" s="5">
        <v>1</v>
      </c>
      <c r="I1085" s="5">
        <v>2</v>
      </c>
      <c r="J1085" s="5">
        <v>3</v>
      </c>
      <c r="K1085" s="5">
        <v>4</v>
      </c>
      <c r="L1085" s="5">
        <v>5</v>
      </c>
      <c r="M1085" s="271"/>
      <c r="N1085" s="272"/>
      <c r="O1085" s="272"/>
      <c r="P1085" s="273"/>
      <c r="R1085" s="1"/>
      <c r="S1085" s="110"/>
      <c r="T1085" s="110"/>
      <c r="U1085" s="110"/>
      <c r="V1085" s="110"/>
      <c r="W1085" s="110"/>
      <c r="X1085" s="111"/>
      <c r="Y1085" s="111"/>
      <c r="Z1085" s="111"/>
      <c r="AA1085" s="111"/>
    </row>
    <row r="1086" spans="1:32" ht="12.75" customHeight="1">
      <c r="A1086" s="300" t="str">
        <f>B1080</f>
        <v>A</v>
      </c>
      <c r="B1086" s="293" t="str">
        <f ca="1">IF(AND(OFFSET($AO$1,$C1080-1,8,1,1),$A1081&lt;&gt;"",$J1081&lt;&gt;""),CHOOSE($C1080,$AO$1,$AO$2,$AO$3,$AO$4,$AO$5,$AO$6,$AO$7,$AO$8,$AO$9,$AO$10,$AO$11,$AO$12),"")</f>
        <v/>
      </c>
      <c r="C1086" s="294"/>
      <c r="D1086" s="294"/>
      <c r="E1086" s="294"/>
      <c r="F1086" s="294"/>
      <c r="G1086" s="294"/>
      <c r="H1086" s="265"/>
      <c r="I1086" s="265"/>
      <c r="J1086" s="265"/>
      <c r="K1086" s="265"/>
      <c r="L1086" s="265"/>
      <c r="M1086" s="297"/>
      <c r="N1086" s="298"/>
      <c r="O1086" s="298"/>
      <c r="P1086" s="299"/>
      <c r="Q1086" s="137" t="str">
        <f>IF($L1086=$L1088,IF($K1086=$K1088,IF($J1086&lt;&gt;"",IF($J1086&gt;$J1088,"W","L"),""),IF($K1086&gt;$K1088,"W","L")),IF($L1086&gt;$L1088,"W","L"))</f>
        <v/>
      </c>
      <c r="R1086" s="1"/>
      <c r="S1086" s="110"/>
      <c r="T1086" s="110"/>
      <c r="U1086" s="110"/>
      <c r="V1086" s="110"/>
      <c r="W1086" s="110"/>
      <c r="X1086" s="111"/>
      <c r="Y1086" s="111"/>
      <c r="Z1086" s="111"/>
      <c r="AA1086" s="111"/>
    </row>
    <row r="1087" spans="1:32" ht="12.75" customHeight="1">
      <c r="A1087" s="301"/>
      <c r="B1087" s="295"/>
      <c r="C1087" s="296"/>
      <c r="D1087" s="296"/>
      <c r="E1087" s="296"/>
      <c r="F1087" s="296"/>
      <c r="G1087" s="296"/>
      <c r="H1087" s="270"/>
      <c r="I1087" s="270"/>
      <c r="J1087" s="270"/>
      <c r="K1087" s="270"/>
      <c r="L1087" s="270"/>
      <c r="M1087" s="297"/>
      <c r="N1087" s="298"/>
      <c r="O1087" s="298"/>
      <c r="P1087" s="299"/>
      <c r="Q1087" s="139" t="str">
        <f>IF($Q1086&lt;&gt;"",IF($Q1086="W",IF(SUM(IF($H1086&gt;$H1088,1,0),IF($I1086&gt;$I1088,1,0),IF($J1086&gt;$J1088,1,0),IF($K1086&gt;$K1088,1,0),IF($L1086&gt;$L1088,1,0))&lt;&gt;3,"Error",""),""),"")</f>
        <v/>
      </c>
      <c r="R1087" s="328" t="str">
        <f>$A1081</f>
        <v/>
      </c>
      <c r="S1087" s="328"/>
      <c r="T1087" s="328"/>
      <c r="U1087" s="328"/>
      <c r="V1087" s="328"/>
      <c r="W1087" s="328"/>
      <c r="X1087" s="256" t="str">
        <f>CONCATENATE("(",$B1080," vs ",$K1080,")")</f>
        <v>(A vs H)</v>
      </c>
      <c r="Y1087" s="256"/>
      <c r="Z1087" s="328" t="str">
        <f>$J1081</f>
        <v/>
      </c>
      <c r="AA1087" s="328"/>
      <c r="AB1087" s="328"/>
      <c r="AC1087" s="328"/>
      <c r="AD1087" s="328"/>
      <c r="AE1087" s="328"/>
      <c r="AF1087" s="43"/>
    </row>
    <row r="1088" spans="1:32" ht="12.75" customHeight="1">
      <c r="A1088" s="300" t="str">
        <f>K1080</f>
        <v>H</v>
      </c>
      <c r="B1088" s="293" t="str">
        <f ca="1">IF(AND(OFFSET($AO$1,$L1080-1,8,1,1),$A1081&lt;&gt;"",$J1081&lt;&gt;""),CHOOSE($L1080,$AO$1,$AO$2,$AO$3,$AO$4,$AO$5,$AO$6,$AO$7,$AO$8,$AO$9,$AO$10,$AO$11,$AO$12),"")</f>
        <v/>
      </c>
      <c r="C1088" s="294"/>
      <c r="D1088" s="294"/>
      <c r="E1088" s="294"/>
      <c r="F1088" s="294"/>
      <c r="G1088" s="294"/>
      <c r="H1088" s="265"/>
      <c r="I1088" s="265"/>
      <c r="J1088" s="265"/>
      <c r="K1088" s="265"/>
      <c r="L1088" s="265"/>
      <c r="M1088" s="267" t="s">
        <v>1237</v>
      </c>
      <c r="N1088" s="268"/>
      <c r="O1088" s="268"/>
      <c r="P1088" s="269"/>
      <c r="Q1088" s="137" t="str">
        <f>IF($Q1086&lt;&gt;"",IF($Q1086="W","L","W"),"")</f>
        <v/>
      </c>
      <c r="R1088" s="43"/>
      <c r="S1088" s="43"/>
      <c r="T1088" s="43"/>
      <c r="U1088" s="43"/>
      <c r="V1088" s="43"/>
      <c r="W1088" s="43"/>
      <c r="X1088" s="43"/>
      <c r="Y1088" s="43"/>
      <c r="Z1088" s="43"/>
      <c r="AA1088" s="43"/>
      <c r="AB1088" s="43"/>
      <c r="AC1088" s="43"/>
      <c r="AD1088" s="43"/>
      <c r="AE1088" s="43"/>
      <c r="AF1088" s="43"/>
    </row>
    <row r="1089" spans="1:32" ht="12.75" customHeight="1">
      <c r="A1089" s="301"/>
      <c r="B1089" s="295"/>
      <c r="C1089" s="296"/>
      <c r="D1089" s="296"/>
      <c r="E1089" s="296"/>
      <c r="F1089" s="296"/>
      <c r="G1089" s="296"/>
      <c r="H1089" s="270"/>
      <c r="I1089" s="270"/>
      <c r="J1089" s="266"/>
      <c r="K1089" s="266"/>
      <c r="L1089" s="266"/>
      <c r="M1089" s="267"/>
      <c r="N1089" s="268"/>
      <c r="O1089" s="268"/>
      <c r="P1089" s="269"/>
      <c r="Q1089" s="139" t="str">
        <f>IF($Q1088&lt;&gt;"",IF($Q1088="W",IF(SUM(IF($H1088&gt;$H1086,1,0),IF($I1088&gt;$I1086,1,0),IF($J1088&gt;$J1086,1,0),IF($K1088&gt;$K1086,1,0),IF($L1088&gt;$L1086,1,0))&lt;&gt;3,"Error",""),""),"")</f>
        <v/>
      </c>
      <c r="R1089" s="43" t="str">
        <f>$A1091</f>
        <v>2nd Singles</v>
      </c>
      <c r="S1089" s="43"/>
      <c r="T1089" s="43"/>
      <c r="U1089" s="43"/>
      <c r="V1089" s="43"/>
      <c r="W1089" s="43"/>
      <c r="X1089" s="43"/>
      <c r="Y1089" s="43"/>
      <c r="Z1089" s="43"/>
      <c r="AA1089" s="43"/>
      <c r="AB1089" s="43"/>
      <c r="AC1089" s="43"/>
      <c r="AD1089" s="43"/>
      <c r="AE1089" s="43"/>
      <c r="AF1089" s="43"/>
    </row>
    <row r="1090" spans="1:32" ht="12.75" customHeight="1">
      <c r="Q1090" s="7"/>
      <c r="R1090" s="60" t="s">
        <v>1228</v>
      </c>
      <c r="S1090" s="339" t="s">
        <v>1126</v>
      </c>
      <c r="T1090" s="340"/>
      <c r="U1090" s="340"/>
      <c r="V1090" s="340"/>
      <c r="W1090" s="340"/>
      <c r="X1090" s="341"/>
      <c r="Y1090" s="60">
        <v>1</v>
      </c>
      <c r="Z1090" s="60">
        <v>2</v>
      </c>
      <c r="AA1090" s="60">
        <v>3</v>
      </c>
      <c r="AB1090" s="60">
        <v>4</v>
      </c>
      <c r="AC1090" s="60">
        <v>5</v>
      </c>
      <c r="AD1090" s="342"/>
      <c r="AE1090" s="343"/>
      <c r="AF1090" s="344"/>
    </row>
    <row r="1091" spans="1:32" ht="12.75" customHeight="1">
      <c r="A1091" s="21" t="s">
        <v>1234</v>
      </c>
      <c r="H1091" s="136" t="str">
        <f>IF($Q1093&lt;&gt;"",IF(AND(AND($H1093&gt;-1,$H1095&gt;-1),OR($H1093&gt;10,$H1095&gt;10),ABS($H1093-$H1095)&gt;1,IF(OR($H1093&gt;11,$H1095&gt;11),ABS($H1093-$H1095)=2,TRUE),$H1093=INT($H1093),$H1095=INT($H1095)),"","Error"),"")</f>
        <v/>
      </c>
      <c r="I1091" s="136" t="str">
        <f>IF($Q1093&lt;&gt;"",IF(AND(AND($I1093&gt;-1,$I1095&gt;-1),OR($I1093&gt;10,$I1095&gt;10),ABS($I1093-$I1095)&gt;1,IF(OR($I1093&gt;11,$I1095&gt;11),ABS($I1093-$I1095)=2,TRUE),$I1093=INT($I1093),$I1095=INT($I1095)),"","Error"),"")</f>
        <v/>
      </c>
      <c r="J1091" s="136" t="str">
        <f>IF($Q1093&lt;&gt;"",IF(AND(AND($J1093&gt;-1,$J1095&gt;-1),OR($J1093&gt;10,$J1095&gt;10),ABS($J1093-$J1095)&gt;1,IF(OR($J1093&gt;11,$J1095&gt;11),ABS($J1093-$J1095)=2,TRUE),$J1093=INT($J1093),$J1095=INT($J1095)),"","Error"),"")</f>
        <v/>
      </c>
      <c r="K1091" s="136" t="str">
        <f>IF($Q1093&lt;&gt;"",IF(AND($K1093&lt;&gt;"",$K1095&lt;&gt;""), IF(AND(AND($K1093&gt;-1,$K1095&gt;-1),OR($K1093&gt;10,$K1095&gt;10),ABS($K1093-$K1095)&gt;1,IF(OR($K1093&gt;11,$K1095&gt;11),ABS($K1093-$K1095)=2,TRUE),$K1093=INT($K1093),$K1095=INT($K1095)),"","Error"),""),"")</f>
        <v/>
      </c>
      <c r="L1091" s="136" t="str">
        <f>IF($Q1093&lt;&gt;"",IF(AND($L1093&lt;&gt;"",$L1095&lt;&gt;""), IF(AND(AND($L1093&gt;-1,$L1095&gt;-1),OR($L1093&gt;10,$L1095&gt;10),ABS($L1093-$L1095)&gt;1,IF(OR($L1093&gt;11,$L1095&gt;11),ABS($L1093-$L1095)=2,TRUE),$L1093=INT($L1093),$L1095=INT($L1095)),"","Error"),""),"")</f>
        <v/>
      </c>
      <c r="Q1091" s="7"/>
      <c r="R1091" s="300" t="str">
        <f>$B1080</f>
        <v>A</v>
      </c>
      <c r="S1091" s="331" t="str">
        <f ca="1">IF($B1093&lt;&gt;"",$B1093,"")</f>
        <v/>
      </c>
      <c r="T1091" s="332"/>
      <c r="U1091" s="332"/>
      <c r="V1091" s="332"/>
      <c r="W1091" s="332"/>
      <c r="X1091" s="333"/>
      <c r="Y1091" s="329"/>
      <c r="Z1091" s="329"/>
      <c r="AA1091" s="329"/>
      <c r="AB1091" s="329"/>
      <c r="AC1091" s="329"/>
      <c r="AD1091" s="345"/>
      <c r="AE1091" s="358"/>
      <c r="AF1091" s="359"/>
    </row>
    <row r="1092" spans="1:32" ht="12.75" customHeight="1">
      <c r="A1092" s="5" t="s">
        <v>1228</v>
      </c>
      <c r="B1092" s="290" t="s">
        <v>1126</v>
      </c>
      <c r="C1092" s="291"/>
      <c r="D1092" s="291"/>
      <c r="E1092" s="291"/>
      <c r="F1092" s="291"/>
      <c r="G1092" s="292"/>
      <c r="H1092" s="5">
        <v>1</v>
      </c>
      <c r="I1092" s="5">
        <v>2</v>
      </c>
      <c r="J1092" s="5">
        <v>3</v>
      </c>
      <c r="K1092" s="5">
        <v>4</v>
      </c>
      <c r="L1092" s="5">
        <v>5</v>
      </c>
      <c r="M1092" s="271"/>
      <c r="N1092" s="272"/>
      <c r="O1092" s="272"/>
      <c r="P1092" s="273"/>
      <c r="Q1092" s="7"/>
      <c r="R1092" s="330"/>
      <c r="S1092" s="334"/>
      <c r="T1092" s="335"/>
      <c r="U1092" s="335"/>
      <c r="V1092" s="335"/>
      <c r="W1092" s="335"/>
      <c r="X1092" s="336"/>
      <c r="Y1092" s="330"/>
      <c r="Z1092" s="330"/>
      <c r="AA1092" s="330"/>
      <c r="AB1092" s="330"/>
      <c r="AC1092" s="330"/>
      <c r="AD1092" s="360"/>
      <c r="AE1092" s="361"/>
      <c r="AF1092" s="362"/>
    </row>
    <row r="1093" spans="1:32" ht="12.75" customHeight="1">
      <c r="A1093" s="300" t="str">
        <f>B1080</f>
        <v>A</v>
      </c>
      <c r="B1093" s="293" t="str">
        <f ca="1">IF(AND(OFFSET($AO$1,$C1080-1,8,1,1),$A1081&lt;&gt;"",$J1081&lt;&gt;""),CHOOSE($C1080,$AP$1,$AP$2,$AP$3,$AP$4,$AP$5,$AP$6,$AP$7,$AP$8,$AP$9,$AP$10,$AP$11,$AP$12),"")</f>
        <v/>
      </c>
      <c r="C1093" s="294"/>
      <c r="D1093" s="294"/>
      <c r="E1093" s="294"/>
      <c r="F1093" s="294"/>
      <c r="G1093" s="294"/>
      <c r="H1093" s="265"/>
      <c r="I1093" s="265"/>
      <c r="J1093" s="265"/>
      <c r="K1093" s="265"/>
      <c r="L1093" s="265"/>
      <c r="M1093" s="262" t="str">
        <f ca="1">IF(OR(AND($B1086&lt;&gt;"",$B1093&lt;&gt;"",$C1111&lt;=$B1111),AND($B1088&lt;&gt;"",$B1095&lt;&gt;"",$G1111&lt;=$F1111)),"Invalid Lineup","")</f>
        <v/>
      </c>
      <c r="N1093" s="263"/>
      <c r="O1093" s="263"/>
      <c r="P1093" s="264"/>
      <c r="Q1093" s="137" t="str">
        <f>IF($L1093=$L1095,IF($K1093=$K1095,IF($J1093&lt;&gt;"",IF($J1093&gt;$J1095,"W","L"),""),IF($K1093&gt;$K1095,"W","L")),IF($L1093&gt;$L1095,"W","L"))</f>
        <v/>
      </c>
      <c r="R1093" s="300" t="str">
        <f>$K1080</f>
        <v>H</v>
      </c>
      <c r="S1093" s="331" t="str">
        <f ca="1">IF($B1095&lt;&gt;"",$B1095,"")</f>
        <v/>
      </c>
      <c r="T1093" s="332"/>
      <c r="U1093" s="332"/>
      <c r="V1093" s="332"/>
      <c r="W1093" s="332"/>
      <c r="X1093" s="333"/>
      <c r="Y1093" s="329"/>
      <c r="Z1093" s="329"/>
      <c r="AA1093" s="329"/>
      <c r="AB1093" s="329"/>
      <c r="AC1093" s="351"/>
      <c r="AD1093" s="363" t="s">
        <v>1237</v>
      </c>
      <c r="AE1093" s="358"/>
      <c r="AF1093" s="359"/>
    </row>
    <row r="1094" spans="1:32" ht="12.75" customHeight="1">
      <c r="A1094" s="301"/>
      <c r="B1094" s="295"/>
      <c r="C1094" s="296"/>
      <c r="D1094" s="296"/>
      <c r="E1094" s="296"/>
      <c r="F1094" s="296"/>
      <c r="G1094" s="296"/>
      <c r="H1094" s="270"/>
      <c r="I1094" s="270"/>
      <c r="J1094" s="270"/>
      <c r="K1094" s="270"/>
      <c r="L1094" s="270"/>
      <c r="M1094" s="262"/>
      <c r="N1094" s="263"/>
      <c r="O1094" s="263"/>
      <c r="P1094" s="264"/>
      <c r="Q1094" s="139" t="str">
        <f>IF($Q1093&lt;&gt;"",IF($Q1093="W",IF(SUM(IF($H1093&gt;$H1095,1,0),IF($I1093&gt;$I1095,1,0),IF($J1093&gt;$J1095,1,0),IF($K1093&gt;$K1095,1,0),IF($L1093&gt;$L1095,1,0))&lt;&gt;3,"Error",""),""),"")</f>
        <v/>
      </c>
      <c r="R1094" s="330"/>
      <c r="S1094" s="334"/>
      <c r="T1094" s="335"/>
      <c r="U1094" s="335"/>
      <c r="V1094" s="335"/>
      <c r="W1094" s="335"/>
      <c r="X1094" s="336"/>
      <c r="Y1094" s="330"/>
      <c r="Z1094" s="330"/>
      <c r="AA1094" s="330"/>
      <c r="AB1094" s="330"/>
      <c r="AC1094" s="330"/>
      <c r="AD1094" s="360"/>
      <c r="AE1094" s="361"/>
      <c r="AF1094" s="362"/>
    </row>
    <row r="1095" spans="1:32" ht="12.75" customHeight="1">
      <c r="A1095" s="300" t="str">
        <f>K1080</f>
        <v>H</v>
      </c>
      <c r="B1095" s="293" t="str">
        <f ca="1">IF(AND(OFFSET($AO$1,$L1080-1,8,1,1),$A1081&lt;&gt;"",$J1081&lt;&gt;""),CHOOSE($L1080,$AP$1,$AP$2,$AP$3,$AP$4,$AP$5,$AP$6,$AP$7,$AP$8,$AP$9,$AP$10,$AP$11,$AP$12),"")</f>
        <v/>
      </c>
      <c r="C1095" s="294"/>
      <c r="D1095" s="294"/>
      <c r="E1095" s="294"/>
      <c r="F1095" s="294"/>
      <c r="G1095" s="294"/>
      <c r="H1095" s="265"/>
      <c r="I1095" s="265"/>
      <c r="J1095" s="265"/>
      <c r="K1095" s="265"/>
      <c r="L1095" s="265"/>
      <c r="M1095" s="267" t="s">
        <v>1237</v>
      </c>
      <c r="N1095" s="268"/>
      <c r="O1095" s="268"/>
      <c r="P1095" s="269"/>
      <c r="Q1095" s="137" t="str">
        <f>IF($Q1093&lt;&gt;"",IF($Q1093="W","L","W"),"")</f>
        <v/>
      </c>
      <c r="R1095" s="20"/>
      <c r="S1095" s="20"/>
      <c r="T1095" s="20"/>
      <c r="U1095" s="20"/>
      <c r="V1095" s="20"/>
      <c r="W1095" s="20"/>
      <c r="X1095" s="26"/>
      <c r="Y1095" s="26"/>
      <c r="Z1095" s="20"/>
      <c r="AA1095" s="20"/>
      <c r="AB1095" s="20"/>
      <c r="AC1095" s="20"/>
      <c r="AD1095" s="20"/>
      <c r="AE1095" s="20"/>
      <c r="AF1095" s="27"/>
    </row>
    <row r="1096" spans="1:32" ht="12.75" customHeight="1">
      <c r="A1096" s="301"/>
      <c r="B1096" s="295"/>
      <c r="C1096" s="296"/>
      <c r="D1096" s="296"/>
      <c r="E1096" s="296"/>
      <c r="F1096" s="296"/>
      <c r="G1096" s="296"/>
      <c r="H1096" s="270"/>
      <c r="I1096" s="270"/>
      <c r="J1096" s="266"/>
      <c r="K1096" s="266"/>
      <c r="L1096" s="266"/>
      <c r="M1096" s="267"/>
      <c r="N1096" s="268"/>
      <c r="O1096" s="268"/>
      <c r="P1096" s="269"/>
      <c r="Q1096" s="139" t="str">
        <f>IF($Q1095&lt;&gt;"",IF($Q1095="W",IF(SUM(IF($H1095&gt;$H1093,1,0),IF($I1095&gt;$I1093,1,0),IF($J1095&gt;$J1093,1,0),IF($K1095&gt;$K1093,1,0),IF($L1095&gt;$L1093,1,0))&lt;&gt;3,"Error",""),""),"")</f>
        <v/>
      </c>
      <c r="R1096" s="20"/>
      <c r="S1096" s="20"/>
      <c r="T1096" s="20"/>
      <c r="U1096" s="20"/>
      <c r="V1096" s="20"/>
      <c r="W1096" s="20"/>
      <c r="X1096" s="26"/>
      <c r="Y1096" s="26"/>
      <c r="Z1096" s="20"/>
      <c r="AA1096" s="20"/>
      <c r="AB1096" s="20"/>
      <c r="AC1096" s="20"/>
      <c r="AD1096" s="20"/>
      <c r="AE1096" s="20"/>
      <c r="AF1096" s="27"/>
    </row>
    <row r="1097" spans="1:32" ht="12.75" customHeight="1">
      <c r="Q1097" s="7"/>
      <c r="R1097" s="20"/>
      <c r="S1097" s="20"/>
      <c r="T1097" s="20"/>
      <c r="U1097" s="20"/>
      <c r="V1097" s="20"/>
      <c r="W1097" s="20"/>
      <c r="X1097" s="26"/>
      <c r="Y1097" s="26"/>
      <c r="Z1097" s="20"/>
      <c r="AA1097" s="20"/>
      <c r="AB1097" s="20"/>
      <c r="AC1097" s="20"/>
      <c r="AD1097" s="20"/>
      <c r="AE1097" s="20"/>
      <c r="AF1097" s="27"/>
    </row>
    <row r="1098" spans="1:32" ht="12.75" customHeight="1">
      <c r="A1098" s="21" t="s">
        <v>1235</v>
      </c>
      <c r="H1098" s="136" t="str">
        <f>IF($Q1100&lt;&gt;"",IF(AND(AND($H1100&gt;-1,$H1102&gt;-1),OR($H1100&gt;10,$H1102&gt;10),ABS($H1100-$H1102)&gt;1,IF(OR($H1100&gt;11,$H1102&gt;11),ABS($H1100-$H1102)=2,TRUE),$H1100=INT($H1100),$H1102=INT($H1102)),"","Error"),"")</f>
        <v/>
      </c>
      <c r="I1098" s="136" t="str">
        <f>IF($Q1100&lt;&gt;"",IF(AND(AND($I1100&gt;-1,$I1102&gt;-1),OR($I1100&gt;10,$I1102&gt;10),ABS($I1100-$I1102)&gt;1,IF(OR($I1100&gt;11,$I1102&gt;11),ABS($I1100-$I1102)=2,TRUE),$I1100=INT($I1100),$I1102=INT($I1102)),"","Error"),"")</f>
        <v/>
      </c>
      <c r="J1098" s="136" t="str">
        <f>IF($Q1100&lt;&gt;"",IF(AND(AND($J1100&gt;-1,$J1102&gt;-1),OR($J1100&gt;10,$J1102&gt;10),ABS($J1100-$J1102)&gt;1,IF(OR($J1100&gt;11,$J1102&gt;11),ABS($J1100-$J1102)=2,TRUE),$J1100=INT($J1100),$J1102=INT($J1102)),"","Error"),"")</f>
        <v/>
      </c>
      <c r="K1098" s="136" t="str">
        <f>IF($Q1100&lt;&gt;"",IF(AND($K1100&lt;&gt;"",$K1102&lt;&gt;""), IF(AND(AND($K1100&gt;-1,$K1102&gt;-1),OR($K1100&gt;10,$K1102&gt;10),ABS($K1100-$K1102)&gt;1,IF(OR($K1100&gt;11,$K1102&gt;11),ABS($K1100-$K1102)=2,TRUE),$K1100=INT($K1100),$K1102=INT($K1102)),"","Error"),""),"")</f>
        <v/>
      </c>
      <c r="L1098" s="136" t="str">
        <f>IF($Q1100&lt;&gt;"",IF(AND($L1100&lt;&gt;"",$L1102&lt;&gt;""), IF(AND(AND($L1100&gt;-1,$L1102&gt;-1),OR($L1100&gt;10,$L1102&gt;10),ABS($L1100-$L1102)&gt;1,IF(OR($L1100&gt;11,$L1102&gt;11),ABS($L1100-$L1102)=2,TRUE),$L1100=INT($L1100),$L1102=INT($L1102)),"","Error"),""),"")</f>
        <v/>
      </c>
      <c r="Q1098" s="7"/>
      <c r="R1098" s="20"/>
      <c r="S1098" s="20"/>
      <c r="T1098" s="20"/>
      <c r="U1098" s="20"/>
      <c r="V1098" s="20"/>
      <c r="W1098" s="20"/>
      <c r="X1098" s="26"/>
      <c r="Y1098" s="26"/>
      <c r="Z1098" s="20"/>
      <c r="AA1098" s="20"/>
      <c r="AB1098" s="20"/>
      <c r="AC1098" s="20"/>
      <c r="AD1098" s="20"/>
      <c r="AE1098" s="20"/>
      <c r="AF1098" s="27"/>
    </row>
    <row r="1099" spans="1:32" ht="12.75" customHeight="1">
      <c r="A1099" s="5" t="s">
        <v>1228</v>
      </c>
      <c r="B1099" s="290" t="s">
        <v>1126</v>
      </c>
      <c r="C1099" s="291"/>
      <c r="D1099" s="291"/>
      <c r="E1099" s="291"/>
      <c r="F1099" s="291"/>
      <c r="G1099" s="292"/>
      <c r="H1099" s="5">
        <v>1</v>
      </c>
      <c r="I1099" s="5">
        <v>2</v>
      </c>
      <c r="J1099" s="5">
        <v>3</v>
      </c>
      <c r="K1099" s="5">
        <v>4</v>
      </c>
      <c r="L1099" s="5">
        <v>5</v>
      </c>
      <c r="M1099" s="271"/>
      <c r="N1099" s="272"/>
      <c r="O1099" s="272"/>
      <c r="P1099" s="273"/>
      <c r="Q1099" s="7"/>
      <c r="R1099" s="20"/>
      <c r="S1099" s="20"/>
      <c r="T1099" s="20"/>
      <c r="U1099" s="20"/>
      <c r="V1099" s="20"/>
      <c r="W1099" s="20"/>
      <c r="X1099" s="26"/>
      <c r="Y1099" s="26"/>
      <c r="Z1099" s="20"/>
      <c r="AA1099" s="20"/>
      <c r="AB1099" s="20"/>
      <c r="AC1099" s="20"/>
      <c r="AD1099" s="20"/>
      <c r="AE1099" s="20"/>
      <c r="AF1099" s="27"/>
    </row>
    <row r="1100" spans="1:32" ht="12.75" customHeight="1">
      <c r="A1100" s="300" t="str">
        <f>B1080</f>
        <v>A</v>
      </c>
      <c r="B1100" s="293" t="str">
        <f ca="1">IF(AND(OFFSET($AO$1,$C1080-1,8,1,1),$A1081&lt;&gt;"",$J1081&lt;&gt;""),CHOOSE($C1080,$AQ$1,$AQ$2,$AQ$3,$AQ$4,$AQ$5,$AQ$6,$AQ$7,$AQ$8,$AQ$9,$AQ$10,$AQ$11,$AQ$12),"")</f>
        <v/>
      </c>
      <c r="C1100" s="294"/>
      <c r="D1100" s="294"/>
      <c r="E1100" s="294"/>
      <c r="F1100" s="294"/>
      <c r="G1100" s="294"/>
      <c r="H1100" s="265"/>
      <c r="I1100" s="265"/>
      <c r="J1100" s="265"/>
      <c r="K1100" s="265"/>
      <c r="L1100" s="265"/>
      <c r="M1100" s="262" t="str">
        <f ca="1">IF(OR(AND($B1093&lt;&gt;"",$B1100&lt;&gt;"",$D1111&lt;=$C1111),AND($B1095&lt;&gt;"",$B1102&lt;&gt;"",$H1111&lt;=$G1111)),"Invalid Lineup","")</f>
        <v/>
      </c>
      <c r="N1100" s="263"/>
      <c r="O1100" s="263"/>
      <c r="P1100" s="264"/>
      <c r="Q1100" s="137" t="str">
        <f>IF($L1100=$L1102,IF($K1100=$K1102,IF($J1100&lt;&gt;"",IF($J1100&gt;$J1102,"W","L"),""),IF($K1100&gt;$K1102,"W","L")),IF($L1100&gt;$L1102,"W","L"))</f>
        <v/>
      </c>
      <c r="R1100" s="20"/>
      <c r="S1100" s="20"/>
      <c r="T1100" s="20"/>
      <c r="U1100" s="20"/>
      <c r="V1100" s="20"/>
      <c r="W1100" s="20"/>
      <c r="X1100" s="26"/>
      <c r="Y1100" s="26"/>
      <c r="Z1100" s="20"/>
      <c r="AA1100" s="20"/>
      <c r="AB1100" s="20"/>
      <c r="AC1100" s="20"/>
      <c r="AD1100" s="20"/>
      <c r="AE1100" s="20"/>
      <c r="AF1100" s="27"/>
    </row>
    <row r="1101" spans="1:32" ht="12.75" customHeight="1">
      <c r="A1101" s="301"/>
      <c r="B1101" s="295"/>
      <c r="C1101" s="296"/>
      <c r="D1101" s="296"/>
      <c r="E1101" s="296"/>
      <c r="F1101" s="296"/>
      <c r="G1101" s="296"/>
      <c r="H1101" s="270"/>
      <c r="I1101" s="270"/>
      <c r="J1101" s="270"/>
      <c r="K1101" s="270"/>
      <c r="L1101" s="270"/>
      <c r="M1101" s="262"/>
      <c r="N1101" s="263"/>
      <c r="O1101" s="263"/>
      <c r="P1101" s="264"/>
      <c r="Q1101" s="139" t="str">
        <f>IF($Q1100&lt;&gt;"",IF($Q1100="W",IF(SUM(IF($H1100&gt;$H1102,1,0),IF($I1100&gt;$I1102,1,0),IF($J1100&gt;$J1102,1,0),IF($K1100&gt;$K1102,1,0),IF($L1100&gt;$L1102,1,0))&lt;&gt;3,"Error",""),""),"")</f>
        <v/>
      </c>
      <c r="R1101" s="328" t="str">
        <f>$A1081</f>
        <v/>
      </c>
      <c r="S1101" s="328"/>
      <c r="T1101" s="328"/>
      <c r="U1101" s="328"/>
      <c r="V1101" s="328"/>
      <c r="W1101" s="328"/>
      <c r="X1101" s="256" t="str">
        <f>CONCATENATE("(",$B1080," vs ",$K1080,")")</f>
        <v>(A vs H)</v>
      </c>
      <c r="Y1101" s="256"/>
      <c r="Z1101" s="328" t="str">
        <f>$J1081</f>
        <v/>
      </c>
      <c r="AA1101" s="328"/>
      <c r="AB1101" s="328"/>
      <c r="AC1101" s="328"/>
      <c r="AD1101" s="328"/>
      <c r="AE1101" s="328"/>
      <c r="AF1101" s="100"/>
    </row>
    <row r="1102" spans="1:32" ht="12.75" customHeight="1">
      <c r="A1102" s="300" t="str">
        <f>K1080</f>
        <v>H</v>
      </c>
      <c r="B1102" s="293" t="str">
        <f ca="1">IF(AND(OFFSET($AO$1,$L1080-1,8,1,1),$A1081&lt;&gt;"",$J1081&lt;&gt;""),CHOOSE($L1080,$AQ$1,$AQ$2,$AQ$3,$AQ$4,$AQ$5,$AQ$6,$AQ$7,$AQ$8,$AQ$9,$AQ$10,$AQ$11,$AQ$12),"")</f>
        <v/>
      </c>
      <c r="C1102" s="294"/>
      <c r="D1102" s="294"/>
      <c r="E1102" s="294"/>
      <c r="F1102" s="294"/>
      <c r="G1102" s="294"/>
      <c r="H1102" s="265"/>
      <c r="I1102" s="265"/>
      <c r="J1102" s="265"/>
      <c r="K1102" s="265"/>
      <c r="L1102" s="265"/>
      <c r="M1102" s="267" t="s">
        <v>1237</v>
      </c>
      <c r="N1102" s="268"/>
      <c r="O1102" s="268"/>
      <c r="P1102" s="269"/>
      <c r="Q1102" s="137" t="str">
        <f>IF($Q1100&lt;&gt;"",IF($Q1100="W","L","W"),"")</f>
        <v/>
      </c>
      <c r="R1102" s="100"/>
      <c r="S1102" s="100"/>
      <c r="T1102" s="100"/>
      <c r="U1102" s="100"/>
      <c r="V1102" s="100"/>
      <c r="W1102" s="100"/>
      <c r="X1102" s="100"/>
      <c r="Y1102" s="100"/>
      <c r="Z1102" s="100"/>
      <c r="AA1102" s="100"/>
      <c r="AB1102" s="100"/>
      <c r="AC1102" s="100"/>
      <c r="AD1102" s="100"/>
      <c r="AE1102" s="100"/>
      <c r="AF1102" s="100"/>
    </row>
    <row r="1103" spans="1:32" ht="12.75" customHeight="1">
      <c r="A1103" s="301"/>
      <c r="B1103" s="295"/>
      <c r="C1103" s="296"/>
      <c r="D1103" s="296"/>
      <c r="E1103" s="296"/>
      <c r="F1103" s="296"/>
      <c r="G1103" s="296"/>
      <c r="H1103" s="270"/>
      <c r="I1103" s="270"/>
      <c r="J1103" s="266"/>
      <c r="K1103" s="266"/>
      <c r="L1103" s="266"/>
      <c r="M1103" s="267"/>
      <c r="N1103" s="268"/>
      <c r="O1103" s="268"/>
      <c r="P1103" s="269"/>
      <c r="Q1103" s="139" t="str">
        <f>IF($Q1102&lt;&gt;"",IF($Q1102="W",IF(SUM(IF($H1102&gt;$H1100,1,0),IF($I1102&gt;$I1100,1,0),IF($J1102&gt;$J1100,1,0),IF($K1102&gt;$K1100,1,0),IF($L1102&gt;$L1100,1,0))&lt;&gt;3,"Error",""),""),"")</f>
        <v/>
      </c>
      <c r="R1103" s="43" t="str">
        <f>$A1098</f>
        <v>3rd Singles</v>
      </c>
      <c r="S1103" s="43"/>
      <c r="T1103" s="43"/>
      <c r="U1103" s="43"/>
      <c r="V1103" s="43"/>
      <c r="W1103" s="43"/>
      <c r="X1103" s="43"/>
      <c r="Y1103" s="43"/>
      <c r="Z1103" s="43"/>
      <c r="AA1103" s="43"/>
      <c r="AB1103" s="43"/>
      <c r="AC1103" s="43"/>
      <c r="AD1103" s="43"/>
      <c r="AE1103" s="43"/>
      <c r="AF1103" s="43"/>
    </row>
    <row r="1104" spans="1:32" ht="12.75" customHeight="1">
      <c r="Q1104" s="7"/>
      <c r="R1104" s="60" t="s">
        <v>1228</v>
      </c>
      <c r="S1104" s="101" t="s">
        <v>1126</v>
      </c>
      <c r="T1104" s="102"/>
      <c r="U1104" s="102"/>
      <c r="V1104" s="102"/>
      <c r="W1104" s="102"/>
      <c r="X1104" s="103"/>
      <c r="Y1104" s="60">
        <v>1</v>
      </c>
      <c r="Z1104" s="60">
        <v>2</v>
      </c>
      <c r="AA1104" s="60">
        <v>3</v>
      </c>
      <c r="AB1104" s="60">
        <v>4</v>
      </c>
      <c r="AC1104" s="60">
        <v>5</v>
      </c>
      <c r="AD1104" s="104"/>
      <c r="AE1104" s="105"/>
      <c r="AF1104" s="106"/>
    </row>
    <row r="1105" spans="1:32" ht="12.75" customHeight="1">
      <c r="A1105" s="21" t="s">
        <v>1236</v>
      </c>
      <c r="H1105" s="136" t="str">
        <f ca="1">IF($Q1107&lt;&gt;"",IF(AND($B1107&lt;&gt;"Missing Player",$B1109&lt;&gt;"Missing Player"),IF(AND(AND($H1107&gt;-1,$H1109&gt;-1),OR($H1107&gt;10,$H1109&gt;10),ABS($H1107-$H1109)&gt;1,IF(OR($H1107&gt;11,$H1109&gt;11),ABS($H1107-$H1109)=2,TRUE),$H1107=INT($H1107),$H1109=INT($H1109)),"","Error"),""),"")</f>
        <v/>
      </c>
      <c r="I1105" s="136" t="str">
        <f ca="1">IF($Q1107&lt;&gt;"",IF(AND($B1107&lt;&gt;"Missing Player",$B1109&lt;&gt;"Missing Player"),IF(AND(AND($I1107&gt;-1,$I1109&gt;-1),OR($I1107&gt;10,$I1109&gt;10),ABS($I1107-$I1109)&gt;1,IF(OR($I1107&gt;11,$I1109&gt;11),ABS($I1107-$I1109)=2,TRUE),$I1107=INT($I1107),$I1109=INT($I1109)),"","Error"),""),"")</f>
        <v/>
      </c>
      <c r="J1105" s="136" t="str">
        <f ca="1">IF($Q1107&lt;&gt;"",IF(AND($B1107&lt;&gt;"Missing Player",$B1109&lt;&gt;"Missing Player"),IF(AND(AND($J1107&gt;-1,$J1109&gt;-1),OR($J1107&gt;10,$J1109&gt;10),ABS($J1107-$J1109)&gt;1,IF(OR($J1107&gt;11,$J1109&gt;11),ABS($J1107-$J1109)=2,TRUE),$J1107=INT($J1107),$J1109=INT($J1109)),"","Error"),""),"")</f>
        <v/>
      </c>
      <c r="K1105" s="136" t="str">
        <f ca="1">IF($Q1107&lt;&gt;"",IF(AND($K1107&lt;&gt;"",$K1109&lt;&gt;""), IF(AND(AND($K1107&gt;-1,$K1109&gt;-1),OR($K1107&gt;10,$K1109&gt;10),ABS($K1107-$K1109)&gt;1,IF(OR($K1107&gt;11,$K1109&gt;11),ABS($K1107-$K1109)=2,TRUE),$K1107=INT($K1107),$K1109=INT($K1109)),"","Error"),""),"")</f>
        <v/>
      </c>
      <c r="L1105" s="136" t="str">
        <f ca="1">IF($Q1107&lt;&gt;"",IF(AND($L1107&lt;&gt;"",$L1109&lt;&gt;""), IF(AND(AND($L1107&gt;-1,$L1109&gt;-1),OR($L1107&gt;10,$L1109&gt;10),ABS($L1107-$L1109)&gt;1,IF(OR($L1107&gt;11,$L1109&gt;11),ABS($L1107-$L1109)=2,TRUE),$L1107=INT($L1107),$L1109=INT($L1109)),"","Error"),""),"")</f>
        <v/>
      </c>
      <c r="Q1105" s="7"/>
      <c r="R1105" s="300" t="str">
        <f>$B1080</f>
        <v>A</v>
      </c>
      <c r="S1105" s="331" t="str">
        <f ca="1">IF($B1100&lt;&gt;"",$B1100,"")</f>
        <v/>
      </c>
      <c r="T1105" s="332"/>
      <c r="U1105" s="332"/>
      <c r="V1105" s="332"/>
      <c r="W1105" s="332"/>
      <c r="X1105" s="333"/>
      <c r="Y1105" s="329"/>
      <c r="Z1105" s="329"/>
      <c r="AA1105" s="329"/>
      <c r="AB1105" s="329"/>
      <c r="AC1105" s="329"/>
      <c r="AD1105" s="345"/>
      <c r="AE1105" s="358"/>
      <c r="AF1105" s="359"/>
    </row>
    <row r="1106" spans="1:32" ht="12.75" customHeight="1">
      <c r="A1106" s="5" t="s">
        <v>1228</v>
      </c>
      <c r="B1106" s="290" t="s">
        <v>1126</v>
      </c>
      <c r="C1106" s="291"/>
      <c r="D1106" s="291"/>
      <c r="E1106" s="291"/>
      <c r="F1106" s="291"/>
      <c r="G1106" s="292"/>
      <c r="H1106" s="5">
        <v>1</v>
      </c>
      <c r="I1106" s="5">
        <v>2</v>
      </c>
      <c r="J1106" s="5">
        <v>3</v>
      </c>
      <c r="K1106" s="5">
        <v>4</v>
      </c>
      <c r="L1106" s="5">
        <v>5</v>
      </c>
      <c r="M1106" s="271"/>
      <c r="N1106" s="272"/>
      <c r="O1106" s="272"/>
      <c r="P1106" s="273"/>
      <c r="Q1106" s="7"/>
      <c r="R1106" s="330"/>
      <c r="S1106" s="334"/>
      <c r="T1106" s="335"/>
      <c r="U1106" s="335"/>
      <c r="V1106" s="335"/>
      <c r="W1106" s="335"/>
      <c r="X1106" s="336"/>
      <c r="Y1106" s="330"/>
      <c r="Z1106" s="330"/>
      <c r="AA1106" s="330"/>
      <c r="AB1106" s="330"/>
      <c r="AC1106" s="330"/>
      <c r="AD1106" s="360"/>
      <c r="AE1106" s="361"/>
      <c r="AF1106" s="362"/>
    </row>
    <row r="1107" spans="1:32" ht="12.75" customHeight="1">
      <c r="A1107" s="300" t="str">
        <f>B1080</f>
        <v>A</v>
      </c>
      <c r="B1107" s="293" t="str">
        <f ca="1">IF(AND(OFFSET($AO$1,$C1080-1,8,1,1),$A1081&lt;&gt;"",$J1081&lt;&gt;""),CHOOSE($C1080,$AR$1,$AR$2,$AR$3,$AR$4,$AR$5,$AR$6,$AR$7,$AR$8,$AR$9,$AR$10,$AR$11,$AR$12),"")</f>
        <v/>
      </c>
      <c r="C1107" s="294"/>
      <c r="D1107" s="294"/>
      <c r="E1107" s="294"/>
      <c r="F1107" s="294"/>
      <c r="G1107" s="294"/>
      <c r="H1107" s="265"/>
      <c r="I1107" s="265"/>
      <c r="J1107" s="265"/>
      <c r="K1107" s="265"/>
      <c r="L1107" s="265" t="str">
        <f ca="1">IF(AND($B1107&lt;&gt;"",$Q1086&lt;&gt;""),IF($B1107="Missing Player",0,IF($B1109="Missing Player",11,"")),"")</f>
        <v/>
      </c>
      <c r="M1107" s="262" t="str">
        <f ca="1">IF(OR(AND($B1100&lt;&gt;"",$B1107&lt;&gt;"",$E1111&lt;=$D1111),AND($B1102&lt;&gt;"",$B1109&lt;&gt;"",$I1111&lt;=$H1111)),"Invalid Lineup","")</f>
        <v/>
      </c>
      <c r="N1107" s="263"/>
      <c r="O1107" s="263"/>
      <c r="P1107" s="264"/>
      <c r="Q1107" s="137" t="str">
        <f ca="1">IF($L1107=$L1109,IF($K1107=$K1109,IF($J1107&lt;&gt;"",IF($J1107&gt;$J1109,"W","L"),""),IF($K1107&gt;$K1109,"W","L")),IF($L1107&gt;$L1109,"W","L"))</f>
        <v/>
      </c>
      <c r="R1107" s="300" t="str">
        <f>$K1080</f>
        <v>H</v>
      </c>
      <c r="S1107" s="331" t="str">
        <f ca="1">IF($B1102&lt;&gt;"",$B1102,"")</f>
        <v/>
      </c>
      <c r="T1107" s="332"/>
      <c r="U1107" s="332"/>
      <c r="V1107" s="332"/>
      <c r="W1107" s="332"/>
      <c r="X1107" s="333"/>
      <c r="Y1107" s="329"/>
      <c r="Z1107" s="329"/>
      <c r="AA1107" s="329"/>
      <c r="AB1107" s="329"/>
      <c r="AC1107" s="351"/>
      <c r="AD1107" s="363" t="s">
        <v>1237</v>
      </c>
      <c r="AE1107" s="358"/>
      <c r="AF1107" s="359"/>
    </row>
    <row r="1108" spans="1:32" ht="12.75" customHeight="1">
      <c r="A1108" s="301"/>
      <c r="B1108" s="295"/>
      <c r="C1108" s="296"/>
      <c r="D1108" s="296"/>
      <c r="E1108" s="296"/>
      <c r="F1108" s="296"/>
      <c r="G1108" s="296"/>
      <c r="H1108" s="270"/>
      <c r="I1108" s="270"/>
      <c r="J1108" s="270"/>
      <c r="K1108" s="270"/>
      <c r="L1108" s="270"/>
      <c r="M1108" s="262"/>
      <c r="N1108" s="263"/>
      <c r="O1108" s="263"/>
      <c r="P1108" s="264"/>
      <c r="Q1108" s="139" t="str">
        <f ca="1">IF($Q1107&lt;&gt;"",IF($B1109&lt;&gt;"Missing Player",IF($Q1107="W",IF(SUM(IF($H1107&gt;$H1109,1,0),IF($I1107&gt;$I1109,1,0),IF($J1107&gt;$J1109,1,0),IF($K1107&gt;$K1109,1,0),IF($L1107&gt;$L1109,1,0))&lt;&gt;3,"Error",""),""),""),"")</f>
        <v/>
      </c>
      <c r="R1108" s="330"/>
      <c r="S1108" s="334"/>
      <c r="T1108" s="335"/>
      <c r="U1108" s="335"/>
      <c r="V1108" s="335"/>
      <c r="W1108" s="335"/>
      <c r="X1108" s="336"/>
      <c r="Y1108" s="330"/>
      <c r="Z1108" s="330"/>
      <c r="AA1108" s="330"/>
      <c r="AB1108" s="330"/>
      <c r="AC1108" s="330"/>
      <c r="AD1108" s="360"/>
      <c r="AE1108" s="361"/>
      <c r="AF1108" s="362"/>
    </row>
    <row r="1109" spans="1:32" ht="12.75" customHeight="1">
      <c r="A1109" s="300" t="str">
        <f>K1080</f>
        <v>H</v>
      </c>
      <c r="B1109" s="293" t="str">
        <f ca="1">IF(AND(OFFSET($AO$1,$L1080-1,8,1,1),$A1081&lt;&gt;"",$J1081&lt;&gt;""),CHOOSE($L1080,$AR$1,$AR$2,$AR$3,$AR$4,$AR$5,$AR$6,$AR$7,$AR$8,$AR$9,$AR$10,$AR$11,$AR$12),"")</f>
        <v/>
      </c>
      <c r="C1109" s="294"/>
      <c r="D1109" s="294"/>
      <c r="E1109" s="294"/>
      <c r="F1109" s="294"/>
      <c r="G1109" s="294"/>
      <c r="H1109" s="265"/>
      <c r="I1109" s="265"/>
      <c r="J1109" s="265"/>
      <c r="K1109" s="265"/>
      <c r="L1109" s="265" t="str">
        <f ca="1">IF(AND($B1109&lt;&gt;"",$Q1086&lt;&gt;""),IF($B1109="Missing Player",0,IF($B1107="Missing Player",11,"")),"")</f>
        <v/>
      </c>
      <c r="M1109" s="267" t="s">
        <v>1237</v>
      </c>
      <c r="N1109" s="268"/>
      <c r="O1109" s="268"/>
      <c r="P1109" s="269"/>
      <c r="Q1109" s="137" t="str">
        <f ca="1">IF($Q1107&lt;&gt;"",IF($Q1107="W","L","W"),"")</f>
        <v/>
      </c>
      <c r="R1109" s="112"/>
      <c r="S1109" s="98"/>
      <c r="T1109" s="108"/>
      <c r="U1109" s="108"/>
      <c r="V1109" s="108"/>
      <c r="W1109" s="108"/>
      <c r="X1109" s="108"/>
      <c r="Y1109" s="113"/>
      <c r="Z1109" s="113"/>
      <c r="AA1109" s="113"/>
      <c r="AB1109" s="113"/>
      <c r="AC1109" s="113"/>
      <c r="AD1109" s="107"/>
      <c r="AE1109" s="109"/>
      <c r="AF1109" s="109"/>
    </row>
    <row r="1110" spans="1:32" ht="12.75" customHeight="1">
      <c r="A1110" s="301"/>
      <c r="B1110" s="295"/>
      <c r="C1110" s="296"/>
      <c r="D1110" s="296"/>
      <c r="E1110" s="296"/>
      <c r="F1110" s="296"/>
      <c r="G1110" s="296"/>
      <c r="H1110" s="270"/>
      <c r="I1110" s="270"/>
      <c r="J1110" s="266"/>
      <c r="K1110" s="266"/>
      <c r="L1110" s="266"/>
      <c r="M1110" s="267"/>
      <c r="N1110" s="268"/>
      <c r="O1110" s="268"/>
      <c r="P1110" s="269"/>
      <c r="Q1110" s="139" t="str">
        <f ca="1">IF($Q1109&lt;&gt;"",IF($B1107&lt;&gt;"Missing Player",IF($Q1109="W",IF(SUM(IF($H1109&gt;$H1107,1,0),IF($I1109&gt;$I1107,1,0),IF($J1109&gt;$J1107,1,0),IF($K1109&gt;$K1107,1,0),IF($L1109&gt;$L1107,1,0))&lt;&gt;3,"Error",""),""),""),"")</f>
        <v/>
      </c>
      <c r="R1110" s="114"/>
      <c r="S1110" s="115"/>
      <c r="T1110" s="115"/>
      <c r="U1110" s="115"/>
      <c r="V1110" s="115"/>
      <c r="W1110" s="115"/>
      <c r="X1110" s="115"/>
      <c r="Y1110" s="114"/>
      <c r="Z1110" s="114"/>
      <c r="AA1110" s="114"/>
      <c r="AB1110" s="114"/>
      <c r="AC1110" s="114"/>
      <c r="AD1110" s="114"/>
      <c r="AE1110" s="114"/>
      <c r="AF1110" s="114"/>
    </row>
    <row r="1111" spans="1:32" ht="12.75" customHeight="1">
      <c r="B1111" s="140" t="str">
        <f ca="1">IF(ISERROR(VLOOKUP($B1086&amp;"("&amp;$B1080&amp;")",Players!$S$4:$T$132,2,FALSE)),"",VLOOKUP($B1086&amp;"("&amp;$B1080&amp;")",Players!$S$4:$T$132,2,FALSE))</f>
        <v>A1</v>
      </c>
      <c r="C1111" s="140" t="str">
        <f ca="1">IF(ISERROR(VLOOKUP($B1093&amp;"("&amp;$B1080&amp;")",Players!$S$4:$T$132,2,FALSE)),"",VLOOKUP($B1093&amp;"("&amp;$B1080&amp;")",Players!$S$4:$T$132,2,FALSE))</f>
        <v>A1</v>
      </c>
      <c r="D1111" s="141" t="str">
        <f ca="1">IF(ISERROR(VLOOKUP($B1100&amp;"("&amp;$B1080&amp;")",Players!$S$4:$T$132,2,FALSE)),"",VLOOKUP($B1100&amp;"("&amp;$B1080&amp;")",Players!$S$4:$T$132,2,FALSE))</f>
        <v>A1</v>
      </c>
      <c r="E1111" s="141" t="str">
        <f ca="1">IF(ISERROR(VLOOKUP($B1107&amp;"("&amp;$B1080&amp;")",Players!$S$4:$T$132,2,FALSE)),"",VLOOKUP($B1107&amp;"("&amp;$B1080&amp;")",Players!$S$4:$T$132,2,FALSE))</f>
        <v>A1</v>
      </c>
      <c r="F1111" s="141" t="str">
        <f ca="1">IF(ISERROR(VLOOKUP($B1088&amp;"("&amp;$K1080&amp;")",Players!$S$4:$T$132,2,FALSE)),"",VLOOKUP($B1088&amp;"("&amp;$K1080&amp;")",Players!$S$4:$T$132,2,FALSE))</f>
        <v>H1</v>
      </c>
      <c r="G1111" s="141" t="str">
        <f ca="1">IF(ISERROR(VLOOKUP($B1095&amp;"("&amp;$K1080&amp;")",Players!$S$4:$T$132,2,FALSE)),"",VLOOKUP($B1095&amp;"("&amp;$K1080&amp;")",Players!$S$4:$T$132,2,FALSE))</f>
        <v>H1</v>
      </c>
      <c r="H1111" s="141" t="str">
        <f ca="1">IF(ISERROR(VLOOKUP($B1102&amp;"("&amp;$K1080&amp;")",Players!$S$4:$T$132,2,FALSE)),"",VLOOKUP($B1102&amp;"("&amp;$K1080&amp;")",Players!$S$4:$T$132,2,FALSE))</f>
        <v>H1</v>
      </c>
      <c r="I1111" s="141" t="str">
        <f ca="1">IF(ISERROR(VLOOKUP($B1109&amp;"("&amp;$K1080&amp;")",Players!$S$4:$T$132,2,FALSE)),"",VLOOKUP($B1109&amp;"("&amp;$K1080&amp;")",Players!$S$4:$T$132,2,FALSE))</f>
        <v>H1</v>
      </c>
      <c r="Q1111" s="7"/>
      <c r="R1111" s="50"/>
      <c r="S1111" s="116"/>
      <c r="T1111" s="115"/>
      <c r="U1111" s="115"/>
      <c r="V1111" s="115"/>
      <c r="W1111" s="115"/>
      <c r="X1111" s="115"/>
      <c r="Y1111" s="99"/>
      <c r="Z1111" s="99"/>
      <c r="AA1111" s="99"/>
      <c r="AB1111" s="99"/>
      <c r="AC1111" s="117"/>
      <c r="AD1111" s="118"/>
      <c r="AE1111" s="114"/>
      <c r="AF1111" s="114"/>
    </row>
    <row r="1112" spans="1:32" ht="12.75" customHeight="1">
      <c r="A1112" s="21" t="s">
        <v>1225</v>
      </c>
      <c r="H1112" s="136" t="str">
        <f ca="1">IF($Q1114&lt;&gt;"",IF(AND($B1115&lt;&gt;"Missing Player",$B1117&lt;&gt;"Missing Player"),IF(AND(AND($H1114&gt;-1,$H1116&gt;-1),OR($H1114&gt;10,$H1116&gt;10),ABS($H1114-$H1116)&gt;1,IF(OR($H1114&gt;11,$H1116&gt;11),ABS($H1114-$H1116)=2,TRUE),$H1114=INT($H1114),$H1116=INT($H1116)),"","Error"),""),"")</f>
        <v/>
      </c>
      <c r="I1112" s="136" t="str">
        <f ca="1">IF($Q1114&lt;&gt;"",IF(AND($B1115&lt;&gt;"Missing Player",$B1117&lt;&gt;"Missing Player"),IF(AND(AND($I1114&gt;-1,$I1116&gt;-1),OR($I1114&gt;10,$I1116&gt;10),ABS($I1114-$I1116)&gt;1,IF(OR($I1114&gt;11,$I1116&gt;11),ABS($I1114-$I1116)=2,TRUE),$I1114=INT($I1114),$I1116=INT($I1116)),"","Error"),""),"")</f>
        <v/>
      </c>
      <c r="J1112" s="136" t="str">
        <f ca="1">IF($Q1114&lt;&gt;"",IF(AND($B1115&lt;&gt;"Missing Player",$B1117&lt;&gt;"Missing Player"),IF(AND(AND($J1114&gt;-1,$J1116&gt;-1),OR($J1114&gt;10,$J1116&gt;10),ABS($J1114-$J1116)&gt;1,IF(OR($J1114&gt;11,$J1116&gt;11),ABS($J1114-$J1116)=2,TRUE),$J1114=INT($J1114),$J1116=INT($J1116)),"","Error"),""),"")</f>
        <v/>
      </c>
      <c r="K1112" s="136" t="str">
        <f ca="1">IF($Q1114&lt;&gt;"",IF(AND($K1114&lt;&gt;"",$K1116&lt;&gt;""), IF(AND(AND($K1114&gt;-1,$K1116&gt;-1),OR($K1114&gt;10,$K1116&gt;10),ABS($K1114-$K1116)&gt;1,IF(OR($K1114&gt;11,$K1116&gt;11),ABS($K1114-$K1116)=2,TRUE),$K1114=INT($K1114),$K1116=INT($K1116)),"","Error"),""),"")</f>
        <v/>
      </c>
      <c r="L1112" s="136" t="str">
        <f ca="1">IF($Q1114&lt;&gt;"",IF(AND($L1114&lt;&gt;"",$L1116&lt;&gt;""), IF(AND(AND($L1114&gt;-1,$L1116&gt;-1),OR($L1114&gt;10,$L1116&gt;10),ABS($L1114-$L1116)&gt;1,IF(OR($L1114&gt;11,$L1116&gt;11),ABS($L1114-$L1116)=2,TRUE),$L1114=INT($L1114),$L1116=INT($L1116)),"","Error"),""),"")</f>
        <v/>
      </c>
      <c r="Q1112" s="7"/>
      <c r="R1112" s="114"/>
      <c r="S1112" s="115"/>
      <c r="T1112" s="115"/>
      <c r="U1112" s="115"/>
      <c r="V1112" s="115"/>
      <c r="W1112" s="115"/>
      <c r="X1112" s="115"/>
      <c r="Y1112" s="114"/>
      <c r="Z1112" s="114"/>
      <c r="AA1112" s="114"/>
      <c r="AB1112" s="114"/>
      <c r="AC1112" s="114"/>
      <c r="AD1112" s="114"/>
      <c r="AE1112" s="114"/>
      <c r="AF1112" s="114"/>
    </row>
    <row r="1113" spans="1:32" ht="12.75" customHeight="1">
      <c r="A1113" s="5" t="s">
        <v>1228</v>
      </c>
      <c r="B1113" s="290" t="s">
        <v>1126</v>
      </c>
      <c r="C1113" s="291"/>
      <c r="D1113" s="291"/>
      <c r="E1113" s="291"/>
      <c r="F1113" s="291"/>
      <c r="G1113" s="292"/>
      <c r="H1113" s="5">
        <v>1</v>
      </c>
      <c r="I1113" s="5">
        <v>2</v>
      </c>
      <c r="J1113" s="5">
        <v>3</v>
      </c>
      <c r="K1113" s="5">
        <v>4</v>
      </c>
      <c r="L1113" s="5">
        <v>5</v>
      </c>
      <c r="M1113" s="271"/>
      <c r="N1113" s="272"/>
      <c r="O1113" s="272"/>
      <c r="P1113" s="273"/>
      <c r="Q1113" s="8"/>
      <c r="S1113" s="24"/>
      <c r="T1113" s="26"/>
    </row>
    <row r="1114" spans="1:32" ht="12.75" customHeight="1">
      <c r="A1114" s="300" t="str">
        <f>B1080</f>
        <v>A</v>
      </c>
      <c r="B1114" s="311" t="str">
        <f ca="1">IF($B1086&lt;&gt;"",$B1086,"")</f>
        <v/>
      </c>
      <c r="C1114" s="312"/>
      <c r="D1114" s="312"/>
      <c r="E1114" s="312"/>
      <c r="F1114" s="312"/>
      <c r="G1114" s="313"/>
      <c r="H1114" s="265"/>
      <c r="I1114" s="265"/>
      <c r="J1114" s="265"/>
      <c r="K1114" s="265"/>
      <c r="L1114" s="265" t="str">
        <f ca="1">IF($B1107&lt;&gt;"",IF(AND($B1107="Missing Player",$G1118=2,$J1118=2),0,IF(AND($B1109="Missing Player",$G1118=2,$J1118=2),11,"")),"")</f>
        <v/>
      </c>
      <c r="M1114" s="262" t="str">
        <f ca="1">IF(OR(AND($B1114&lt;&gt;"",$B1115&lt;&gt;"",$B1114=$B1115),AND($B1116&lt;&gt;"",$B1117&lt;&gt;"",$B1116=$B1117)),"Invalid Partner","")</f>
        <v/>
      </c>
      <c r="N1114" s="263"/>
      <c r="O1114" s="263"/>
      <c r="P1114" s="264"/>
      <c r="Q1114" s="138" t="str">
        <f ca="1">IF(L1114=L1116,IF(K1114=K1116,IF(J1114&lt;&gt;"",IF(J1114&gt;J1116,"W","L"),""),IF(K1114&gt;K1116,"W","L")),IF(L1114&gt;L1116,"W","L"))</f>
        <v/>
      </c>
      <c r="S1114" s="24"/>
      <c r="T1114" s="26"/>
    </row>
    <row r="1115" spans="1:32" ht="12.75" customHeight="1">
      <c r="A1115" s="324"/>
      <c r="B1115" s="308" t="str">
        <f ca="1">IF($B1107="Missing Player",$B1107,"")</f>
        <v/>
      </c>
      <c r="C1115" s="309"/>
      <c r="D1115" s="309"/>
      <c r="E1115" s="309"/>
      <c r="F1115" s="309"/>
      <c r="G1115" s="310"/>
      <c r="H1115" s="270"/>
      <c r="I1115" s="270"/>
      <c r="J1115" s="270"/>
      <c r="K1115" s="270"/>
      <c r="L1115" s="270"/>
      <c r="M1115" s="262"/>
      <c r="N1115" s="263"/>
      <c r="O1115" s="263"/>
      <c r="P1115" s="264"/>
      <c r="Q1115" s="139" t="str">
        <f ca="1">IF($Q1114&lt;&gt;"",IF($B1117&lt;&gt;"Missing Player",IF($Q1114="W",IF(SUM(IF($H1114&gt;$H1116,1,0),IF($I1114&gt;$I1116,1,0),IF($J1114&gt;$J1116,1,0),IF($K1114&gt;$K1116,1,0),IF($L1114&gt;$L1116,1,0))&lt;&gt;3,"Error",""),""),""),"")</f>
        <v/>
      </c>
      <c r="R1115" s="328" t="str">
        <f>$A1081</f>
        <v/>
      </c>
      <c r="S1115" s="328"/>
      <c r="T1115" s="328"/>
      <c r="U1115" s="328"/>
      <c r="V1115" s="328"/>
      <c r="W1115" s="328"/>
      <c r="X1115" s="256" t="str">
        <f>CONCATENATE("(",$B1080," vs ",$K1080,")")</f>
        <v>(A vs H)</v>
      </c>
      <c r="Y1115" s="256"/>
      <c r="Z1115" s="328" t="str">
        <f>$J1081</f>
        <v/>
      </c>
      <c r="AA1115" s="328"/>
      <c r="AB1115" s="328"/>
      <c r="AC1115" s="328"/>
      <c r="AD1115" s="328"/>
      <c r="AE1115" s="328"/>
      <c r="AF1115" s="43"/>
    </row>
    <row r="1116" spans="1:32" ht="12.75" customHeight="1">
      <c r="A1116" s="325" t="str">
        <f>K1080</f>
        <v>H</v>
      </c>
      <c r="B1116" s="311" t="str">
        <f ca="1">IF($B1088&lt;&gt;"",$B1088,"")</f>
        <v/>
      </c>
      <c r="C1116" s="312"/>
      <c r="D1116" s="312"/>
      <c r="E1116" s="312"/>
      <c r="F1116" s="312"/>
      <c r="G1116" s="313"/>
      <c r="H1116" s="265"/>
      <c r="I1116" s="265"/>
      <c r="J1116" s="265"/>
      <c r="K1116" s="265"/>
      <c r="L1116" s="265" t="str">
        <f ca="1">IF($B1109&lt;&gt;"",IF(AND($B1109="Missing Player",$G1118=2,$J1118=2),0,IF(AND($B1107="Missing Player",$G1118=2,$J1118=2),11,"")),"")</f>
        <v/>
      </c>
      <c r="M1116" s="267" t="s">
        <v>1237</v>
      </c>
      <c r="N1116" s="268"/>
      <c r="O1116" s="268"/>
      <c r="P1116" s="269"/>
      <c r="Q1116" s="138" t="str">
        <f ca="1">IF(Q1114&lt;&gt;"",IF(Q1114="W","L","W"),"")</f>
        <v/>
      </c>
      <c r="R1116" s="43"/>
      <c r="S1116" s="43"/>
      <c r="T1116" s="43"/>
      <c r="U1116" s="43"/>
      <c r="V1116" s="43"/>
      <c r="W1116" s="43"/>
      <c r="X1116" s="43"/>
      <c r="Y1116" s="43"/>
      <c r="Z1116" s="43"/>
      <c r="AA1116" s="43"/>
      <c r="AB1116" s="43"/>
      <c r="AC1116" s="43"/>
      <c r="AD1116" s="43"/>
      <c r="AE1116" s="43"/>
      <c r="AF1116" s="43"/>
    </row>
    <row r="1117" spans="1:32" ht="12.75" customHeight="1">
      <c r="A1117" s="324"/>
      <c r="B1117" s="308" t="str">
        <f ca="1">IF($B1109="Missing Player",$B1109,"")</f>
        <v/>
      </c>
      <c r="C1117" s="309"/>
      <c r="D1117" s="309"/>
      <c r="E1117" s="309"/>
      <c r="F1117" s="309"/>
      <c r="G1117" s="310"/>
      <c r="H1117" s="270"/>
      <c r="I1117" s="270"/>
      <c r="J1117" s="266"/>
      <c r="K1117" s="266"/>
      <c r="L1117" s="266"/>
      <c r="M1117" s="267"/>
      <c r="N1117" s="268"/>
      <c r="O1117" s="268"/>
      <c r="P1117" s="269"/>
      <c r="Q1117" s="139" t="str">
        <f ca="1">IF($Q1116&lt;&gt;"",IF($B1115&lt;&gt;"Missing Player",IF($Q1116="W",IF(SUM(IF($H1116&gt;$H1114,1,0),IF($I1116&gt;$I1114,1,0),IF($J1116&gt;$J1114,1,0),IF($K1116&gt;$K1114,1,0),IF($L1116&gt;$L1114,1,0))&lt;&gt;3,"Error",""),""),""),"")</f>
        <v/>
      </c>
      <c r="R1117" s="43" t="str">
        <f>A1105</f>
        <v>4th Singles</v>
      </c>
      <c r="S1117" s="43"/>
      <c r="T1117" s="43"/>
      <c r="U1117" s="43"/>
      <c r="V1117" s="43"/>
      <c r="W1117" s="43"/>
      <c r="X1117" s="43"/>
      <c r="Y1117" s="43"/>
      <c r="Z1117" s="43"/>
      <c r="AA1117" s="43"/>
      <c r="AB1117" s="43"/>
      <c r="AC1117" s="43"/>
      <c r="AD1117" s="43"/>
      <c r="AE1117" s="43"/>
      <c r="AF1117" s="43"/>
    </row>
    <row r="1118" spans="1:32" ht="12.75" customHeight="1">
      <c r="G1118" s="66">
        <f ca="1">COUNTIF($Q1086:$Q1086,"W")+COUNTIF($Q1093:$Q1093,"W")+COUNTIF($Q1100:$Q1100,"W")+COUNTIF($Q1107:$Q1107,"W")</f>
        <v>0</v>
      </c>
      <c r="J1118" s="66">
        <f ca="1">COUNTIF($Q1088:$Q1088,"W")+COUNTIF($Q1095:$Q1095,"W")+COUNTIF($Q1102:$Q1102,"W")+COUNTIF($Q1109:$Q1109,"W")</f>
        <v>0</v>
      </c>
      <c r="R1118" s="60" t="s">
        <v>1228</v>
      </c>
      <c r="S1118" s="339" t="s">
        <v>1126</v>
      </c>
      <c r="T1118" s="340"/>
      <c r="U1118" s="340"/>
      <c r="V1118" s="340"/>
      <c r="W1118" s="340"/>
      <c r="X1118" s="341"/>
      <c r="Y1118" s="60">
        <v>1</v>
      </c>
      <c r="Z1118" s="60">
        <v>2</v>
      </c>
      <c r="AA1118" s="60">
        <v>3</v>
      </c>
      <c r="AB1118" s="60">
        <v>4</v>
      </c>
      <c r="AC1118" s="60">
        <v>5</v>
      </c>
      <c r="AD1118" s="342"/>
      <c r="AE1118" s="343"/>
      <c r="AF1118" s="344"/>
    </row>
    <row r="1119" spans="1:32" ht="12.75" customHeight="1" thickBot="1">
      <c r="F1119" s="246" t="s">
        <v>1238</v>
      </c>
      <c r="G1119" s="246"/>
      <c r="H1119" s="246"/>
      <c r="I1119" s="246"/>
      <c r="J1119" s="246"/>
      <c r="K1119" s="246"/>
      <c r="R1119" s="300" t="str">
        <f>B1080</f>
        <v>A</v>
      </c>
      <c r="S1119" s="331" t="str">
        <f ca="1">IF($B1107&lt;&gt;"",$B1107,"")</f>
        <v/>
      </c>
      <c r="T1119" s="353"/>
      <c r="U1119" s="353"/>
      <c r="V1119" s="353"/>
      <c r="W1119" s="353"/>
      <c r="X1119" s="354"/>
      <c r="Y1119" s="329"/>
      <c r="Z1119" s="329"/>
      <c r="AA1119" s="351"/>
      <c r="AB1119" s="351"/>
      <c r="AC1119" s="351"/>
      <c r="AD1119" s="345"/>
      <c r="AE1119" s="346"/>
      <c r="AF1119" s="347"/>
    </row>
    <row r="1120" spans="1:32" ht="12.75" customHeight="1">
      <c r="A1120" s="22"/>
      <c r="B1120" s="22"/>
      <c r="C1120" s="22"/>
      <c r="D1120" s="22"/>
      <c r="E1120" s="22"/>
      <c r="G1120" s="304" t="str">
        <f>B1080</f>
        <v>A</v>
      </c>
      <c r="H1120" s="305"/>
      <c r="I1120" s="302" t="str">
        <f>K1080</f>
        <v>H</v>
      </c>
      <c r="J1120" s="303"/>
      <c r="L1120" s="22"/>
      <c r="M1120" s="22"/>
      <c r="N1120" s="22"/>
      <c r="O1120" s="22"/>
      <c r="P1120" s="22"/>
      <c r="R1120" s="301"/>
      <c r="S1120" s="355"/>
      <c r="T1120" s="356"/>
      <c r="U1120" s="356"/>
      <c r="V1120" s="356"/>
      <c r="W1120" s="356"/>
      <c r="X1120" s="357"/>
      <c r="Y1120" s="338"/>
      <c r="Z1120" s="338"/>
      <c r="AA1120" s="352"/>
      <c r="AB1120" s="352"/>
      <c r="AC1120" s="352"/>
      <c r="AD1120" s="348"/>
      <c r="AE1120" s="349"/>
      <c r="AF1120" s="350"/>
    </row>
    <row r="1121" spans="1:32" ht="12.75" customHeight="1" thickBot="1">
      <c r="A1121" s="2" t="s">
        <v>1228</v>
      </c>
      <c r="B1121" s="53" t="str">
        <f>B1080</f>
        <v>A</v>
      </c>
      <c r="C1121" s="3" t="s">
        <v>1226</v>
      </c>
      <c r="F1121" s="66" t="str">
        <f>CONCATENATE($B1080,"-",$K1080)</f>
        <v>A-H</v>
      </c>
      <c r="G1121" s="320" t="str">
        <f ca="1">IF(OR(Q1086&lt;&gt;"",Q1093&lt;&gt;"",Q1100&lt;&gt;"",Q1107&lt;&gt;"",Q1114&lt;&gt;""),COUNTIF(Q1086:Q1086,"W")+COUNTIF(Q1093:Q1093,"W")+COUNTIF(Q1100:Q1100,"W")+COUNTIF(Q1107:Q1107,"W")+COUNTIF(Q1114:Q1114,"W"),"")</f>
        <v/>
      </c>
      <c r="H1121" s="321"/>
      <c r="I1121" s="322" t="str">
        <f ca="1">IF(OR(Q1088&lt;&gt;"",Q1095&lt;&gt;"",Q1102&lt;&gt;"",Q1109&lt;&gt;"",Q1116&lt;&gt;""),COUNTIF(Q1088:Q1088,"W")+COUNTIF(Q1095:Q1095,"W")+COUNTIF(Q1102:Q1102,"W")+COUNTIF(Q1109:Q1109,"W")+COUNTIF(Q1116:Q1116,"W"),"")</f>
        <v/>
      </c>
      <c r="J1121" s="323"/>
      <c r="L1121" s="2" t="s">
        <v>1228</v>
      </c>
      <c r="M1121" s="53" t="str">
        <f>K1080</f>
        <v>H</v>
      </c>
      <c r="N1121" s="3" t="s">
        <v>1226</v>
      </c>
      <c r="R1121" s="300" t="str">
        <f>K1080</f>
        <v>H</v>
      </c>
      <c r="S1121" s="331" t="str">
        <f ca="1">IF($B1109&lt;&gt;"",$B1109,"")</f>
        <v/>
      </c>
      <c r="T1121" s="332"/>
      <c r="U1121" s="332"/>
      <c r="V1121" s="332"/>
      <c r="W1121" s="332"/>
      <c r="X1121" s="333"/>
      <c r="Y1121" s="329"/>
      <c r="Z1121" s="329"/>
      <c r="AA1121" s="351"/>
      <c r="AB1121" s="351"/>
      <c r="AC1121" s="351"/>
      <c r="AD1121" s="363" t="s">
        <v>1237</v>
      </c>
      <c r="AE1121" s="358"/>
      <c r="AF1121" s="359"/>
    </row>
    <row r="1122" spans="1:32" ht="12.75" customHeight="1">
      <c r="F1122" s="25" t="s">
        <v>3996</v>
      </c>
      <c r="G1122" s="23"/>
      <c r="H1122" s="23"/>
      <c r="I1122" s="23"/>
      <c r="J1122" s="23"/>
      <c r="K1122" s="24"/>
      <c r="R1122" s="330"/>
      <c r="S1122" s="334"/>
      <c r="T1122" s="335"/>
      <c r="U1122" s="335"/>
      <c r="V1122" s="335"/>
      <c r="W1122" s="335"/>
      <c r="X1122" s="336"/>
      <c r="Y1122" s="330"/>
      <c r="Z1122" s="330"/>
      <c r="AA1122" s="330"/>
      <c r="AB1122" s="330"/>
      <c r="AC1122" s="330"/>
      <c r="AD1122" s="360"/>
      <c r="AE1122" s="361"/>
      <c r="AF1122" s="362"/>
    </row>
    <row r="1123" spans="1:32" ht="12.75" customHeight="1">
      <c r="R1123" s="1"/>
      <c r="S1123" s="110"/>
      <c r="T1123" s="110"/>
      <c r="U1123" s="110"/>
      <c r="V1123" s="110"/>
      <c r="W1123" s="110"/>
      <c r="X1123" s="111"/>
      <c r="Y1123" s="111"/>
      <c r="Z1123" s="111"/>
      <c r="AA1123" s="111"/>
    </row>
    <row r="1124" spans="1:32" ht="12.75" customHeight="1">
      <c r="F1124" s="246" t="s">
        <v>4929</v>
      </c>
      <c r="G1124" s="246"/>
      <c r="H1124" s="246"/>
      <c r="I1124" s="246"/>
      <c r="R1124" s="1"/>
      <c r="S1124" s="110"/>
      <c r="T1124" s="110"/>
      <c r="U1124" s="110"/>
      <c r="V1124" s="110"/>
      <c r="W1124" s="110"/>
      <c r="X1124" s="111"/>
      <c r="Y1124" s="111"/>
      <c r="Z1124" s="111"/>
      <c r="AA1124" s="111"/>
    </row>
    <row r="1125" spans="1:32" ht="12.75" customHeight="1">
      <c r="F1125" s="246" t="s">
        <v>4930</v>
      </c>
      <c r="G1125" s="246"/>
      <c r="H1125" s="246"/>
      <c r="I1125" s="246"/>
      <c r="R1125" s="1"/>
      <c r="S1125" s="110"/>
      <c r="T1125" s="110"/>
      <c r="U1125" s="110"/>
      <c r="V1125" s="110"/>
      <c r="W1125" s="110"/>
      <c r="X1125" s="111"/>
      <c r="Y1125" s="111"/>
      <c r="Z1125" s="111"/>
      <c r="AA1125" s="111"/>
    </row>
    <row r="1126" spans="1:32" ht="12.75" customHeight="1">
      <c r="K1126" s="281" t="s">
        <v>1244</v>
      </c>
      <c r="L1126" s="281"/>
      <c r="M1126" s="281"/>
      <c r="N1126" s="281"/>
      <c r="O1126" s="281"/>
      <c r="P1126" s="281"/>
      <c r="R1126" s="1"/>
      <c r="S1126" s="110"/>
      <c r="T1126" s="110"/>
      <c r="U1126" s="110"/>
      <c r="V1126" s="110"/>
      <c r="W1126" s="110"/>
      <c r="X1126" s="111"/>
      <c r="Y1126" s="111"/>
      <c r="Z1126" s="111"/>
      <c r="AA1126" s="111"/>
    </row>
    <row r="1127" spans="1:32" ht="12.75" customHeight="1">
      <c r="A1127" s="12" t="s">
        <v>1229</v>
      </c>
      <c r="B1127" s="11"/>
      <c r="C1127" s="11"/>
      <c r="D1127" s="11" t="str">
        <f>Draw!$B$1</f>
        <v>Enter Division Name</v>
      </c>
      <c r="E1127" s="11"/>
      <c r="F1127" s="7"/>
      <c r="G1127" s="6"/>
      <c r="H1127" s="7"/>
      <c r="I1127" s="11"/>
      <c r="J1127" s="11"/>
      <c r="K1127" s="11"/>
      <c r="L1127" s="11"/>
      <c r="M1127" s="281"/>
      <c r="N1127" s="281"/>
      <c r="O1127" s="281"/>
      <c r="P1127" s="281"/>
      <c r="R1127" s="1"/>
      <c r="S1127" s="110"/>
      <c r="T1127" s="110"/>
      <c r="U1127" s="110"/>
      <c r="V1127" s="110"/>
      <c r="W1127" s="110"/>
      <c r="X1127" s="111"/>
      <c r="Y1127" s="111"/>
      <c r="Z1127" s="111"/>
      <c r="AA1127" s="111"/>
    </row>
    <row r="1128" spans="1:32" ht="12.75" customHeight="1">
      <c r="A1128" s="2" t="s">
        <v>1230</v>
      </c>
      <c r="D1128" s="43" t="str">
        <f>Draw!$D$1</f>
        <v>Enter Hosting Location (City, ST)</v>
      </c>
      <c r="J1128" s="43" t="str">
        <f ca="1">$J$6</f>
        <v>[NCTTA Teams Template (v2.06).xlsx]</v>
      </c>
      <c r="R1128" s="1"/>
      <c r="S1128" s="110"/>
      <c r="T1128" s="110"/>
      <c r="U1128" s="110"/>
      <c r="V1128" s="110"/>
      <c r="W1128" s="110"/>
      <c r="X1128" s="111"/>
      <c r="Y1128" s="111"/>
      <c r="Z1128" s="111"/>
      <c r="AA1128" s="111"/>
    </row>
    <row r="1129" spans="1:32" ht="12.75" customHeight="1">
      <c r="A1129" s="2" t="s">
        <v>1231</v>
      </c>
      <c r="D1129" s="337" t="str">
        <f>Draw!$P$1</f>
        <v>Enter Date</v>
      </c>
      <c r="E1129" s="337"/>
      <c r="F1129" s="337"/>
      <c r="G1129" s="337"/>
      <c r="J1129" s="280" t="str">
        <f>CHOOSE(Draw!$T$1,"Round 4, Match 5","Round 3, Match 5","","","","","","Round 6, Match 3","Round 6, Match 3","Round 5, Match 3","Round 5, Match 3")</f>
        <v/>
      </c>
      <c r="K1129" s="280"/>
      <c r="L1129" s="280"/>
      <c r="M1129" s="276" t="str">
        <f>IF(AND($J1129&lt;&gt;"",Draw!$AC$10&lt;&gt;"",Draw!$AC$13&lt;&gt;""),Draw!$AC$10+TIME(0,VALUE(MID($J1129,7,FIND(",",$J1129)-FIND(" ",$J1129)-1)-1)*Draw!$AC$13,0),"")</f>
        <v/>
      </c>
      <c r="N1129" s="276"/>
      <c r="O1129" s="157" t="str">
        <f>$F1172</f>
        <v>A-I</v>
      </c>
      <c r="R1129" s="1"/>
      <c r="S1129" s="110"/>
      <c r="T1129" s="110"/>
      <c r="U1129" s="110"/>
      <c r="V1129" s="110"/>
      <c r="W1129" s="110"/>
      <c r="X1129" s="111"/>
      <c r="Y1129" s="111"/>
      <c r="Z1129" s="111"/>
      <c r="AA1129" s="111"/>
    </row>
    <row r="1130" spans="1:32" ht="12.75" customHeight="1">
      <c r="A1130" s="14"/>
      <c r="B1130" s="15"/>
      <c r="C1130" s="15"/>
      <c r="D1130" s="15"/>
      <c r="E1130" s="15"/>
      <c r="F1130" s="14"/>
      <c r="G1130" s="14"/>
      <c r="H1130" s="16"/>
      <c r="I1130" s="14"/>
      <c r="J1130" s="15"/>
      <c r="K1130" s="15"/>
      <c r="L1130" s="15"/>
      <c r="M1130" s="15"/>
      <c r="N1130" s="15"/>
      <c r="O1130" s="364" t="str">
        <f>IF(OR(AND(VLOOKUP($B1131,$AM$1:$AX$12,12,FALSE)="C",VLOOKUP($K1131,$AM$1:$AX$12,12,FALSE)="C"),AND(VLOOKUP($B1131,$AM$1:$AX$12,12,FALSE)="W",VLOOKUP($K1131,$AM$1:$AX$12,12,FALSE)="W")),"Official",IF(AND($A1132="",$J1132=""),"","Scrimmage"))</f>
        <v/>
      </c>
      <c r="P1130" s="364"/>
      <c r="R1130" s="1"/>
      <c r="S1130" s="110"/>
      <c r="T1130" s="110"/>
      <c r="U1130" s="110"/>
      <c r="V1130" s="110"/>
      <c r="W1130" s="110"/>
      <c r="X1130" s="111"/>
      <c r="Y1130" s="111"/>
      <c r="Z1130" s="111"/>
      <c r="AA1130" s="111"/>
    </row>
    <row r="1131" spans="1:32" ht="12.75" customHeight="1">
      <c r="A1131" s="17" t="s">
        <v>1228</v>
      </c>
      <c r="B1131" s="119" t="str">
        <f>CHOOSE(Draw!$T$1,"B","H","A","B","B","B","A","D","B","C","E")</f>
        <v>A</v>
      </c>
      <c r="C1131" s="135">
        <f>VLOOKUP($B1131,$AM$1:$AN$12,2)</f>
        <v>1</v>
      </c>
      <c r="D1131" s="13"/>
      <c r="E1131" s="13"/>
      <c r="F1131" s="10"/>
      <c r="H1131" s="19" t="s">
        <v>1232</v>
      </c>
      <c r="J1131" s="17" t="s">
        <v>1228</v>
      </c>
      <c r="K1131" s="119" t="str">
        <f>CHOOSE(Draw!$T$1,"E","J","I","E","K","H","I","G","F","G","J")</f>
        <v>I</v>
      </c>
      <c r="L1131" s="135">
        <f>VLOOKUP($K1131,$AM$1:$AN$12,2)</f>
        <v>9</v>
      </c>
      <c r="M1131" s="13"/>
      <c r="N1131" s="13"/>
      <c r="O1131" s="18"/>
      <c r="P1131" s="274"/>
      <c r="Q1131" s="275"/>
      <c r="R1131" s="1"/>
      <c r="S1131" s="110"/>
      <c r="T1131" s="110"/>
      <c r="U1131" s="110"/>
      <c r="V1131" s="110"/>
      <c r="W1131" s="110"/>
      <c r="X1131" s="111"/>
      <c r="Y1131" s="111"/>
      <c r="Z1131" s="111"/>
      <c r="AA1131" s="111"/>
    </row>
    <row r="1132" spans="1:32" ht="12.75" customHeight="1">
      <c r="A1132" s="277" t="str">
        <f>IF(VLOOKUP($B1131,Draw!$A$4:$B$27,2)&lt;&gt;0,VLOOKUP($B1131,Draw!$A$4:$B$27,2),"")</f>
        <v/>
      </c>
      <c r="B1132" s="278"/>
      <c r="C1132" s="278"/>
      <c r="D1132" s="278"/>
      <c r="E1132" s="278"/>
      <c r="F1132" s="279"/>
      <c r="G1132" s="306" t="s">
        <v>4174</v>
      </c>
      <c r="H1132" s="289"/>
      <c r="I1132" s="307"/>
      <c r="J1132" s="277" t="str">
        <f>IF(VLOOKUP($K1131,Draw!$A$4:$B$27,2)&lt;&gt;0,VLOOKUP($K1131,Draw!$A$4:$B$27,2),"")</f>
        <v/>
      </c>
      <c r="K1132" s="278"/>
      <c r="L1132" s="278"/>
      <c r="M1132" s="278"/>
      <c r="N1132" s="278"/>
      <c r="O1132" s="279"/>
      <c r="P1132" s="15"/>
      <c r="R1132" s="1"/>
      <c r="S1132" s="110"/>
      <c r="T1132" s="110"/>
      <c r="U1132" s="110"/>
      <c r="V1132" s="110"/>
      <c r="W1132" s="110"/>
      <c r="X1132" s="111"/>
      <c r="Y1132" s="111"/>
      <c r="Z1132" s="111"/>
      <c r="AA1132" s="111"/>
    </row>
    <row r="1133" spans="1:32" ht="12.75" customHeight="1">
      <c r="A1133" s="14"/>
      <c r="B1133" s="15"/>
      <c r="C1133" s="15"/>
      <c r="D1133" s="15"/>
      <c r="E1133" s="15"/>
      <c r="F1133" s="14"/>
      <c r="G1133" s="288" t="str">
        <f>"Page "&amp;VALUE(RIGHT($G1132,LEN($G1132)-SEARCH("-",$G1132)))/2</f>
        <v>Page 23</v>
      </c>
      <c r="H1133" s="289"/>
      <c r="I1133" s="289"/>
      <c r="J1133" s="15"/>
      <c r="K1133" s="15"/>
      <c r="L1133" s="15"/>
      <c r="M1133" s="15"/>
      <c r="N1133" s="15"/>
      <c r="O1133" s="15"/>
      <c r="P1133" s="15"/>
      <c r="R1133" s="1"/>
      <c r="S1133" s="110"/>
      <c r="T1133" s="110"/>
      <c r="U1133" s="110"/>
      <c r="V1133" s="110"/>
      <c r="W1133" s="110"/>
      <c r="X1133" s="111"/>
      <c r="Y1133" s="111"/>
      <c r="Z1133" s="111"/>
      <c r="AA1133" s="111"/>
      <c r="AF1133" s="27"/>
    </row>
    <row r="1134" spans="1:32" ht="12.75" customHeight="1">
      <c r="A1134" s="327" t="s">
        <v>1245</v>
      </c>
      <c r="B1134" s="327"/>
      <c r="C1134" s="327"/>
      <c r="D1134" s="327"/>
      <c r="E1134" s="327"/>
      <c r="F1134" s="327"/>
      <c r="G1134" s="327"/>
      <c r="H1134" s="327"/>
      <c r="I1134" s="327"/>
      <c r="J1134" s="327"/>
      <c r="K1134" s="327"/>
      <c r="L1134" s="327"/>
      <c r="M1134" s="327"/>
      <c r="N1134" s="327"/>
      <c r="O1134" s="327"/>
      <c r="P1134" s="327"/>
      <c r="Q1134" s="7"/>
      <c r="R1134" s="1"/>
      <c r="S1134" s="110"/>
      <c r="T1134" s="110"/>
      <c r="U1134" s="110"/>
      <c r="V1134" s="110"/>
      <c r="W1134" s="110"/>
      <c r="X1134" s="111"/>
      <c r="Y1134" s="111"/>
      <c r="Z1134" s="111"/>
      <c r="AA1134" s="111"/>
      <c r="AF1134" s="20"/>
    </row>
    <row r="1135" spans="1:32" ht="12.75" customHeight="1">
      <c r="A1135" s="21" t="s">
        <v>1233</v>
      </c>
      <c r="H1135" s="136" t="str">
        <f>IF($Q1137&lt;&gt;"",IF(AND(AND($H1137&gt;-1,$H1139&gt;-1),OR($H1137&gt;10,$H1139&gt;10),ABS($H1137-$H1139)&gt;1,IF(OR($H1137&gt;11,$H1139&gt;11),ABS($H1137-$H1139)=2,TRUE),$H1137=INT($H1137),$H1139=INT($H1139)),"","Error"),"")</f>
        <v/>
      </c>
      <c r="I1135" s="136" t="str">
        <f>IF($Q1137&lt;&gt;"",IF(AND(AND($I1137&gt;-1,$I1139&gt;-1),OR($I1137&gt;10,$I1139&gt;10),ABS($I1137-$I1139)&gt;1,IF(OR($I1137&gt;11,$I1139&gt;11),ABS($I1137-$I1139)=2,TRUE),$I1137=INT($I1137),$I1139=INT($I1139)),"","Error"),"")</f>
        <v/>
      </c>
      <c r="J1135" s="136" t="str">
        <f>IF($Q1137&lt;&gt;"",IF(AND(AND($J1137&gt;-1,$J1139&gt;-1),OR($J1137&gt;10,$J1139&gt;10),ABS($J1137-$J1139)&gt;1,IF(OR($J1137&gt;11,$J1139&gt;11),ABS($J1137-$J1139)=2,TRUE),$J1137=INT($J1137),$J1139=INT($J1139)),"","Error"),"")</f>
        <v/>
      </c>
      <c r="K1135" s="136" t="str">
        <f>IF($Q1137&lt;&gt;"",IF(AND($K1137&lt;&gt;"",$K1139&lt;&gt;""), IF(AND(AND($K1137&gt;-1,$K1139&gt;-1),OR($K1137&gt;10,$K1139&gt;10),ABS($K1137-$K1139)&gt;1,IF(OR($K1137&gt;11,$K1139&gt;11),ABS($K1137-$K1139)=2,TRUE),$K1137=INT($K1137),$K1139=INT($K1139)),"","Error"),""),"")</f>
        <v/>
      </c>
      <c r="L1135" s="136" t="str">
        <f>IF($Q1137&lt;&gt;"",IF(AND($L1137&lt;&gt;"",$L1139&lt;&gt;""), IF(AND(AND($L1137&gt;-1,$L1139&gt;-1),OR($L1137&gt;10,$L1139&gt;10),ABS($L1137-$L1139)&gt;1,IF(OR($L1137&gt;11,$L1139&gt;11),ABS($L1137-$L1139)=2,TRUE),$L1137=INT($L1137),$L1139=INT($L1139)),"","Error"),""),"")</f>
        <v/>
      </c>
      <c r="R1135" s="1"/>
      <c r="S1135" s="110"/>
      <c r="T1135" s="110"/>
      <c r="U1135" s="110"/>
      <c r="V1135" s="110"/>
      <c r="W1135" s="110"/>
      <c r="X1135" s="111"/>
      <c r="Y1135" s="111"/>
      <c r="Z1135" s="111"/>
      <c r="AA1135" s="111"/>
    </row>
    <row r="1136" spans="1:32" ht="12.75" customHeight="1">
      <c r="A1136" s="5" t="s">
        <v>1228</v>
      </c>
      <c r="B1136" s="290" t="s">
        <v>1126</v>
      </c>
      <c r="C1136" s="291"/>
      <c r="D1136" s="291"/>
      <c r="E1136" s="291"/>
      <c r="F1136" s="291"/>
      <c r="G1136" s="292"/>
      <c r="H1136" s="5">
        <v>1</v>
      </c>
      <c r="I1136" s="5">
        <v>2</v>
      </c>
      <c r="J1136" s="5">
        <v>3</v>
      </c>
      <c r="K1136" s="5">
        <v>4</v>
      </c>
      <c r="L1136" s="5">
        <v>5</v>
      </c>
      <c r="M1136" s="271"/>
      <c r="N1136" s="272"/>
      <c r="O1136" s="272"/>
      <c r="P1136" s="273"/>
      <c r="R1136" s="1"/>
      <c r="S1136" s="110"/>
      <c r="T1136" s="110"/>
      <c r="U1136" s="110"/>
      <c r="V1136" s="110"/>
      <c r="W1136" s="110"/>
      <c r="X1136" s="111"/>
      <c r="Y1136" s="111"/>
      <c r="Z1136" s="111"/>
      <c r="AA1136" s="111"/>
    </row>
    <row r="1137" spans="1:32" ht="12.75" customHeight="1">
      <c r="A1137" s="300" t="str">
        <f>B1131</f>
        <v>A</v>
      </c>
      <c r="B1137" s="293" t="str">
        <f ca="1">IF(AND(OFFSET($AO$1,$C1131-1,8,1,1),$A1132&lt;&gt;"",$J1132&lt;&gt;""),CHOOSE($C1131,$AO$1,$AO$2,$AO$3,$AO$4,$AO$5,$AO$6,$AO$7,$AO$8,$AO$9,$AO$10,$AO$11,$AO$12),"")</f>
        <v/>
      </c>
      <c r="C1137" s="294"/>
      <c r="D1137" s="294"/>
      <c r="E1137" s="294"/>
      <c r="F1137" s="294"/>
      <c r="G1137" s="294"/>
      <c r="H1137" s="265"/>
      <c r="I1137" s="265"/>
      <c r="J1137" s="265"/>
      <c r="K1137" s="265"/>
      <c r="L1137" s="265"/>
      <c r="M1137" s="297"/>
      <c r="N1137" s="298"/>
      <c r="O1137" s="298"/>
      <c r="P1137" s="299"/>
      <c r="Q1137" s="137" t="str">
        <f>IF($L1137=$L1139,IF($K1137=$K1139,IF($J1137&lt;&gt;"",IF($J1137&gt;$J1139,"W","L"),""),IF($K1137&gt;$K1139,"W","L")),IF($L1137&gt;$L1139,"W","L"))</f>
        <v/>
      </c>
      <c r="R1137" s="1"/>
      <c r="S1137" s="110"/>
      <c r="T1137" s="110"/>
      <c r="U1137" s="110"/>
      <c r="V1137" s="110"/>
      <c r="W1137" s="110"/>
      <c r="X1137" s="111"/>
      <c r="Y1137" s="111"/>
      <c r="Z1137" s="111"/>
      <c r="AA1137" s="111"/>
    </row>
    <row r="1138" spans="1:32" ht="12.75" customHeight="1">
      <c r="A1138" s="301"/>
      <c r="B1138" s="295"/>
      <c r="C1138" s="296"/>
      <c r="D1138" s="296"/>
      <c r="E1138" s="296"/>
      <c r="F1138" s="296"/>
      <c r="G1138" s="296"/>
      <c r="H1138" s="270"/>
      <c r="I1138" s="270"/>
      <c r="J1138" s="270"/>
      <c r="K1138" s="270"/>
      <c r="L1138" s="270"/>
      <c r="M1138" s="297"/>
      <c r="N1138" s="298"/>
      <c r="O1138" s="298"/>
      <c r="P1138" s="299"/>
      <c r="Q1138" s="139" t="str">
        <f>IF($Q1137&lt;&gt;"",IF($Q1137="W",IF(SUM(IF($H1137&gt;$H1139,1,0),IF($I1137&gt;$I1139,1,0),IF($J1137&gt;$J1139,1,0),IF($K1137&gt;$K1139,1,0),IF($L1137&gt;$L1139,1,0))&lt;&gt;3,"Error",""),""),"")</f>
        <v/>
      </c>
      <c r="R1138" s="328" t="str">
        <f>$A1132</f>
        <v/>
      </c>
      <c r="S1138" s="328"/>
      <c r="T1138" s="328"/>
      <c r="U1138" s="328"/>
      <c r="V1138" s="328"/>
      <c r="W1138" s="328"/>
      <c r="X1138" s="256" t="str">
        <f>CONCATENATE("(",$B1131," vs ",$K1131,")")</f>
        <v>(A vs I)</v>
      </c>
      <c r="Y1138" s="256"/>
      <c r="Z1138" s="328" t="str">
        <f>$J1132</f>
        <v/>
      </c>
      <c r="AA1138" s="328"/>
      <c r="AB1138" s="328"/>
      <c r="AC1138" s="328"/>
      <c r="AD1138" s="328"/>
      <c r="AE1138" s="328"/>
      <c r="AF1138" s="43"/>
    </row>
    <row r="1139" spans="1:32" ht="12.75" customHeight="1">
      <c r="A1139" s="300" t="str">
        <f>K1131</f>
        <v>I</v>
      </c>
      <c r="B1139" s="293" t="str">
        <f ca="1">IF(AND(OFFSET($AO$1,$L1131-1,8,1,1),$A1132&lt;&gt;"",$J1132&lt;&gt;""),CHOOSE($L1131,$AO$1,$AO$2,$AO$3,$AO$4,$AO$5,$AO$6,$AO$7,$AO$8,$AO$9,$AO$10,$AO$11,$AO$12),"")</f>
        <v/>
      </c>
      <c r="C1139" s="294"/>
      <c r="D1139" s="294"/>
      <c r="E1139" s="294"/>
      <c r="F1139" s="294"/>
      <c r="G1139" s="294"/>
      <c r="H1139" s="265"/>
      <c r="I1139" s="265"/>
      <c r="J1139" s="265"/>
      <c r="K1139" s="265"/>
      <c r="L1139" s="265"/>
      <c r="M1139" s="267" t="s">
        <v>1237</v>
      </c>
      <c r="N1139" s="268"/>
      <c r="O1139" s="268"/>
      <c r="P1139" s="269"/>
      <c r="Q1139" s="137" t="str">
        <f>IF($Q1137&lt;&gt;"",IF($Q1137="W","L","W"),"")</f>
        <v/>
      </c>
      <c r="R1139" s="43"/>
      <c r="S1139" s="43"/>
      <c r="T1139" s="43"/>
      <c r="U1139" s="43"/>
      <c r="V1139" s="43"/>
      <c r="W1139" s="43"/>
      <c r="X1139" s="43"/>
      <c r="Y1139" s="43"/>
      <c r="Z1139" s="43"/>
      <c r="AA1139" s="43"/>
      <c r="AB1139" s="43"/>
      <c r="AC1139" s="43"/>
      <c r="AD1139" s="43"/>
      <c r="AE1139" s="43"/>
      <c r="AF1139" s="43"/>
    </row>
    <row r="1140" spans="1:32" ht="12.75" customHeight="1">
      <c r="A1140" s="301"/>
      <c r="B1140" s="295"/>
      <c r="C1140" s="296"/>
      <c r="D1140" s="296"/>
      <c r="E1140" s="296"/>
      <c r="F1140" s="296"/>
      <c r="G1140" s="296"/>
      <c r="H1140" s="270"/>
      <c r="I1140" s="270"/>
      <c r="J1140" s="266"/>
      <c r="K1140" s="266"/>
      <c r="L1140" s="266"/>
      <c r="M1140" s="267"/>
      <c r="N1140" s="268"/>
      <c r="O1140" s="268"/>
      <c r="P1140" s="269"/>
      <c r="Q1140" s="139" t="str">
        <f>IF($Q1139&lt;&gt;"",IF($Q1139="W",IF(SUM(IF($H1139&gt;$H1137,1,0),IF($I1139&gt;$I1137,1,0),IF($J1139&gt;$J1137,1,0),IF($K1139&gt;$K1137,1,0),IF($L1139&gt;$L1137,1,0))&lt;&gt;3,"Error",""),""),"")</f>
        <v/>
      </c>
      <c r="R1140" s="43" t="str">
        <f>$A1142</f>
        <v>2nd Singles</v>
      </c>
      <c r="S1140" s="43"/>
      <c r="T1140" s="43"/>
      <c r="U1140" s="43"/>
      <c r="V1140" s="43"/>
      <c r="W1140" s="43"/>
      <c r="X1140" s="43"/>
      <c r="Y1140" s="43"/>
      <c r="Z1140" s="43"/>
      <c r="AA1140" s="43"/>
      <c r="AB1140" s="43"/>
      <c r="AC1140" s="43"/>
      <c r="AD1140" s="43"/>
      <c r="AE1140" s="43"/>
      <c r="AF1140" s="43"/>
    </row>
    <row r="1141" spans="1:32" ht="12.75" customHeight="1">
      <c r="Q1141" s="7"/>
      <c r="R1141" s="60" t="s">
        <v>1228</v>
      </c>
      <c r="S1141" s="339" t="s">
        <v>1126</v>
      </c>
      <c r="T1141" s="340"/>
      <c r="U1141" s="340"/>
      <c r="V1141" s="340"/>
      <c r="W1141" s="340"/>
      <c r="X1141" s="341"/>
      <c r="Y1141" s="60">
        <v>1</v>
      </c>
      <c r="Z1141" s="60">
        <v>2</v>
      </c>
      <c r="AA1141" s="60">
        <v>3</v>
      </c>
      <c r="AB1141" s="60">
        <v>4</v>
      </c>
      <c r="AC1141" s="60">
        <v>5</v>
      </c>
      <c r="AD1141" s="342"/>
      <c r="AE1141" s="343"/>
      <c r="AF1141" s="344"/>
    </row>
    <row r="1142" spans="1:32" ht="12.75" customHeight="1">
      <c r="A1142" s="21" t="s">
        <v>1234</v>
      </c>
      <c r="H1142" s="136" t="str">
        <f>IF($Q1144&lt;&gt;"",IF(AND(AND($H1144&gt;-1,$H1146&gt;-1),OR($H1144&gt;10,$H1146&gt;10),ABS($H1144-$H1146)&gt;1,IF(OR($H1144&gt;11,$H1146&gt;11),ABS($H1144-$H1146)=2,TRUE),$H1144=INT($H1144),$H1146=INT($H1146)),"","Error"),"")</f>
        <v/>
      </c>
      <c r="I1142" s="136" t="str">
        <f>IF($Q1144&lt;&gt;"",IF(AND(AND($I1144&gt;-1,$I1146&gt;-1),OR($I1144&gt;10,$I1146&gt;10),ABS($I1144-$I1146)&gt;1,IF(OR($I1144&gt;11,$I1146&gt;11),ABS($I1144-$I1146)=2,TRUE),$I1144=INT($I1144),$I1146=INT($I1146)),"","Error"),"")</f>
        <v/>
      </c>
      <c r="J1142" s="136" t="str">
        <f>IF($Q1144&lt;&gt;"",IF(AND(AND($J1144&gt;-1,$J1146&gt;-1),OR($J1144&gt;10,$J1146&gt;10),ABS($J1144-$J1146)&gt;1,IF(OR($J1144&gt;11,$J1146&gt;11),ABS($J1144-$J1146)=2,TRUE),$J1144=INT($J1144),$J1146=INT($J1146)),"","Error"),"")</f>
        <v/>
      </c>
      <c r="K1142" s="136" t="str">
        <f>IF($Q1144&lt;&gt;"",IF(AND($K1144&lt;&gt;"",$K1146&lt;&gt;""), IF(AND(AND($K1144&gt;-1,$K1146&gt;-1),OR($K1144&gt;10,$K1146&gt;10),ABS($K1144-$K1146)&gt;1,IF(OR($K1144&gt;11,$K1146&gt;11),ABS($K1144-$K1146)=2,TRUE),$K1144=INT($K1144),$K1146=INT($K1146)),"","Error"),""),"")</f>
        <v/>
      </c>
      <c r="L1142" s="136" t="str">
        <f>IF($Q1144&lt;&gt;"",IF(AND($L1144&lt;&gt;"",$L1146&lt;&gt;""), IF(AND(AND($L1144&gt;-1,$L1146&gt;-1),OR($L1144&gt;10,$L1146&gt;10),ABS($L1144-$L1146)&gt;1,IF(OR($L1144&gt;11,$L1146&gt;11),ABS($L1144-$L1146)=2,TRUE),$L1144=INT($L1144),$L1146=INT($L1146)),"","Error"),""),"")</f>
        <v/>
      </c>
      <c r="Q1142" s="7"/>
      <c r="R1142" s="300" t="str">
        <f>$B1131</f>
        <v>A</v>
      </c>
      <c r="S1142" s="331" t="str">
        <f ca="1">IF($B1144&lt;&gt;"",$B1144,"")</f>
        <v/>
      </c>
      <c r="T1142" s="332"/>
      <c r="U1142" s="332"/>
      <c r="V1142" s="332"/>
      <c r="W1142" s="332"/>
      <c r="X1142" s="333"/>
      <c r="Y1142" s="329"/>
      <c r="Z1142" s="329"/>
      <c r="AA1142" s="329"/>
      <c r="AB1142" s="329"/>
      <c r="AC1142" s="329"/>
      <c r="AD1142" s="345"/>
      <c r="AE1142" s="358"/>
      <c r="AF1142" s="359"/>
    </row>
    <row r="1143" spans="1:32" ht="12.75" customHeight="1">
      <c r="A1143" s="5" t="s">
        <v>1228</v>
      </c>
      <c r="B1143" s="290" t="s">
        <v>1126</v>
      </c>
      <c r="C1143" s="291"/>
      <c r="D1143" s="291"/>
      <c r="E1143" s="291"/>
      <c r="F1143" s="291"/>
      <c r="G1143" s="292"/>
      <c r="H1143" s="5">
        <v>1</v>
      </c>
      <c r="I1143" s="5">
        <v>2</v>
      </c>
      <c r="J1143" s="5">
        <v>3</v>
      </c>
      <c r="K1143" s="5">
        <v>4</v>
      </c>
      <c r="L1143" s="5">
        <v>5</v>
      </c>
      <c r="M1143" s="271"/>
      <c r="N1143" s="272"/>
      <c r="O1143" s="272"/>
      <c r="P1143" s="273"/>
      <c r="Q1143" s="7"/>
      <c r="R1143" s="330"/>
      <c r="S1143" s="334"/>
      <c r="T1143" s="335"/>
      <c r="U1143" s="335"/>
      <c r="V1143" s="335"/>
      <c r="W1143" s="335"/>
      <c r="X1143" s="336"/>
      <c r="Y1143" s="330"/>
      <c r="Z1143" s="330"/>
      <c r="AA1143" s="330"/>
      <c r="AB1143" s="330"/>
      <c r="AC1143" s="330"/>
      <c r="AD1143" s="360"/>
      <c r="AE1143" s="361"/>
      <c r="AF1143" s="362"/>
    </row>
    <row r="1144" spans="1:32" ht="12.75" customHeight="1">
      <c r="A1144" s="300" t="str">
        <f>B1131</f>
        <v>A</v>
      </c>
      <c r="B1144" s="293" t="str">
        <f ca="1">IF(AND(OFFSET($AO$1,$C1131-1,8,1,1),$A1132&lt;&gt;"",$J1132&lt;&gt;""),CHOOSE($C1131,$AP$1,$AP$2,$AP$3,$AP$4,$AP$5,$AP$6,$AP$7,$AP$8,$AP$9,$AP$10,$AP$11,$AP$12),"")</f>
        <v/>
      </c>
      <c r="C1144" s="294"/>
      <c r="D1144" s="294"/>
      <c r="E1144" s="294"/>
      <c r="F1144" s="294"/>
      <c r="G1144" s="294"/>
      <c r="H1144" s="265"/>
      <c r="I1144" s="265"/>
      <c r="J1144" s="265"/>
      <c r="K1144" s="265"/>
      <c r="L1144" s="265"/>
      <c r="M1144" s="262" t="str">
        <f ca="1">IF(OR(AND($B1137&lt;&gt;"",$B1144&lt;&gt;"",$C1162&lt;=$B1162),AND($B1139&lt;&gt;"",$B1146&lt;&gt;"",$G1162&lt;=$F1162)),"Invalid Lineup","")</f>
        <v/>
      </c>
      <c r="N1144" s="263"/>
      <c r="O1144" s="263"/>
      <c r="P1144" s="264"/>
      <c r="Q1144" s="137" t="str">
        <f>IF($L1144=$L1146,IF($K1144=$K1146,IF($J1144&lt;&gt;"",IF($J1144&gt;$J1146,"W","L"),""),IF($K1144&gt;$K1146,"W","L")),IF($L1144&gt;$L1146,"W","L"))</f>
        <v/>
      </c>
      <c r="R1144" s="300" t="str">
        <f>$K1131</f>
        <v>I</v>
      </c>
      <c r="S1144" s="331" t="str">
        <f ca="1">IF($B1146&lt;&gt;"",$B1146,"")</f>
        <v/>
      </c>
      <c r="T1144" s="332"/>
      <c r="U1144" s="332"/>
      <c r="V1144" s="332"/>
      <c r="W1144" s="332"/>
      <c r="X1144" s="333"/>
      <c r="Y1144" s="329"/>
      <c r="Z1144" s="329"/>
      <c r="AA1144" s="329"/>
      <c r="AB1144" s="329"/>
      <c r="AC1144" s="351"/>
      <c r="AD1144" s="363" t="s">
        <v>1237</v>
      </c>
      <c r="AE1144" s="358"/>
      <c r="AF1144" s="359"/>
    </row>
    <row r="1145" spans="1:32" ht="12.75" customHeight="1">
      <c r="A1145" s="301"/>
      <c r="B1145" s="295"/>
      <c r="C1145" s="296"/>
      <c r="D1145" s="296"/>
      <c r="E1145" s="296"/>
      <c r="F1145" s="296"/>
      <c r="G1145" s="296"/>
      <c r="H1145" s="270"/>
      <c r="I1145" s="270"/>
      <c r="J1145" s="270"/>
      <c r="K1145" s="270"/>
      <c r="L1145" s="270"/>
      <c r="M1145" s="262"/>
      <c r="N1145" s="263"/>
      <c r="O1145" s="263"/>
      <c r="P1145" s="264"/>
      <c r="Q1145" s="139" t="str">
        <f>IF($Q1144&lt;&gt;"",IF($Q1144="W",IF(SUM(IF($H1144&gt;$H1146,1,0),IF($I1144&gt;$I1146,1,0),IF($J1144&gt;$J1146,1,0),IF($K1144&gt;$K1146,1,0),IF($L1144&gt;$L1146,1,0))&lt;&gt;3,"Error",""),""),"")</f>
        <v/>
      </c>
      <c r="R1145" s="330"/>
      <c r="S1145" s="334"/>
      <c r="T1145" s="335"/>
      <c r="U1145" s="335"/>
      <c r="V1145" s="335"/>
      <c r="W1145" s="335"/>
      <c r="X1145" s="336"/>
      <c r="Y1145" s="330"/>
      <c r="Z1145" s="330"/>
      <c r="AA1145" s="330"/>
      <c r="AB1145" s="330"/>
      <c r="AC1145" s="330"/>
      <c r="AD1145" s="360"/>
      <c r="AE1145" s="361"/>
      <c r="AF1145" s="362"/>
    </row>
    <row r="1146" spans="1:32" ht="12.75" customHeight="1">
      <c r="A1146" s="300" t="str">
        <f>K1131</f>
        <v>I</v>
      </c>
      <c r="B1146" s="293" t="str">
        <f ca="1">IF(AND(OFFSET($AO$1,$L1131-1,8,1,1),$A1132&lt;&gt;"",$J1132&lt;&gt;""),CHOOSE($L1131,$AP$1,$AP$2,$AP$3,$AP$4,$AP$5,$AP$6,$AP$7,$AP$8,$AP$9,$AP$10,$AP$11,$AP$12),"")</f>
        <v/>
      </c>
      <c r="C1146" s="294"/>
      <c r="D1146" s="294"/>
      <c r="E1146" s="294"/>
      <c r="F1146" s="294"/>
      <c r="G1146" s="294"/>
      <c r="H1146" s="265"/>
      <c r="I1146" s="265"/>
      <c r="J1146" s="265"/>
      <c r="K1146" s="265"/>
      <c r="L1146" s="265"/>
      <c r="M1146" s="267" t="s">
        <v>1237</v>
      </c>
      <c r="N1146" s="268"/>
      <c r="O1146" s="268"/>
      <c r="P1146" s="269"/>
      <c r="Q1146" s="137" t="str">
        <f>IF($Q1144&lt;&gt;"",IF($Q1144="W","L","W"),"")</f>
        <v/>
      </c>
      <c r="R1146" s="20"/>
      <c r="S1146" s="20"/>
      <c r="T1146" s="20"/>
      <c r="U1146" s="20"/>
      <c r="V1146" s="20"/>
      <c r="W1146" s="20"/>
      <c r="X1146" s="26"/>
      <c r="Y1146" s="26"/>
      <c r="Z1146" s="20"/>
      <c r="AA1146" s="20"/>
      <c r="AB1146" s="20"/>
      <c r="AC1146" s="20"/>
      <c r="AD1146" s="20"/>
      <c r="AE1146" s="20"/>
      <c r="AF1146" s="27"/>
    </row>
    <row r="1147" spans="1:32" ht="12.75" customHeight="1">
      <c r="A1147" s="301"/>
      <c r="B1147" s="295"/>
      <c r="C1147" s="296"/>
      <c r="D1147" s="296"/>
      <c r="E1147" s="296"/>
      <c r="F1147" s="296"/>
      <c r="G1147" s="296"/>
      <c r="H1147" s="270"/>
      <c r="I1147" s="270"/>
      <c r="J1147" s="266"/>
      <c r="K1147" s="266"/>
      <c r="L1147" s="266"/>
      <c r="M1147" s="267"/>
      <c r="N1147" s="268"/>
      <c r="O1147" s="268"/>
      <c r="P1147" s="269"/>
      <c r="Q1147" s="139" t="str">
        <f>IF($Q1146&lt;&gt;"",IF($Q1146="W",IF(SUM(IF($H1146&gt;$H1144,1,0),IF($I1146&gt;$I1144,1,0),IF($J1146&gt;$J1144,1,0),IF($K1146&gt;$K1144,1,0),IF($L1146&gt;$L1144,1,0))&lt;&gt;3,"Error",""),""),"")</f>
        <v/>
      </c>
      <c r="R1147" s="20"/>
      <c r="S1147" s="20"/>
      <c r="T1147" s="20"/>
      <c r="U1147" s="20"/>
      <c r="V1147" s="20"/>
      <c r="W1147" s="20"/>
      <c r="X1147" s="26"/>
      <c r="Y1147" s="26"/>
      <c r="Z1147" s="20"/>
      <c r="AA1147" s="20"/>
      <c r="AB1147" s="20"/>
      <c r="AC1147" s="20"/>
      <c r="AD1147" s="20"/>
      <c r="AE1147" s="20"/>
      <c r="AF1147" s="27"/>
    </row>
    <row r="1148" spans="1:32" ht="12.75" customHeight="1">
      <c r="Q1148" s="7"/>
      <c r="R1148" s="20"/>
      <c r="S1148" s="20"/>
      <c r="T1148" s="20"/>
      <c r="U1148" s="20"/>
      <c r="V1148" s="20"/>
      <c r="W1148" s="20"/>
      <c r="X1148" s="26"/>
      <c r="Y1148" s="26"/>
      <c r="Z1148" s="20"/>
      <c r="AA1148" s="20"/>
      <c r="AB1148" s="20"/>
      <c r="AC1148" s="20"/>
      <c r="AD1148" s="20"/>
      <c r="AE1148" s="20"/>
      <c r="AF1148" s="27"/>
    </row>
    <row r="1149" spans="1:32" ht="12.75" customHeight="1">
      <c r="A1149" s="21" t="s">
        <v>1235</v>
      </c>
      <c r="H1149" s="136" t="str">
        <f>IF($Q1151&lt;&gt;"",IF(AND(AND($H1151&gt;-1,$H1153&gt;-1),OR($H1151&gt;10,$H1153&gt;10),ABS($H1151-$H1153)&gt;1,IF(OR($H1151&gt;11,$H1153&gt;11),ABS($H1151-$H1153)=2,TRUE),$H1151=INT($H1151),$H1153=INT($H1153)),"","Error"),"")</f>
        <v/>
      </c>
      <c r="I1149" s="136" t="str">
        <f>IF($Q1151&lt;&gt;"",IF(AND(AND($I1151&gt;-1,$I1153&gt;-1),OR($I1151&gt;10,$I1153&gt;10),ABS($I1151-$I1153)&gt;1,IF(OR($I1151&gt;11,$I1153&gt;11),ABS($I1151-$I1153)=2,TRUE),$I1151=INT($I1151),$I1153=INT($I1153)),"","Error"),"")</f>
        <v/>
      </c>
      <c r="J1149" s="136" t="str">
        <f>IF($Q1151&lt;&gt;"",IF(AND(AND($J1151&gt;-1,$J1153&gt;-1),OR($J1151&gt;10,$J1153&gt;10),ABS($J1151-$J1153)&gt;1,IF(OR($J1151&gt;11,$J1153&gt;11),ABS($J1151-$J1153)=2,TRUE),$J1151=INT($J1151),$J1153=INT($J1153)),"","Error"),"")</f>
        <v/>
      </c>
      <c r="K1149" s="136" t="str">
        <f>IF($Q1151&lt;&gt;"",IF(AND($K1151&lt;&gt;"",$K1153&lt;&gt;""), IF(AND(AND($K1151&gt;-1,$K1153&gt;-1),OR($K1151&gt;10,$K1153&gt;10),ABS($K1151-$K1153)&gt;1,IF(OR($K1151&gt;11,$K1153&gt;11),ABS($K1151-$K1153)=2,TRUE),$K1151=INT($K1151),$K1153=INT($K1153)),"","Error"),""),"")</f>
        <v/>
      </c>
      <c r="L1149" s="136" t="str">
        <f>IF($Q1151&lt;&gt;"",IF(AND($L1151&lt;&gt;"",$L1153&lt;&gt;""), IF(AND(AND($L1151&gt;-1,$L1153&gt;-1),OR($L1151&gt;10,$L1153&gt;10),ABS($L1151-$L1153)&gt;1,IF(OR($L1151&gt;11,$L1153&gt;11),ABS($L1151-$L1153)=2,TRUE),$L1151=INT($L1151),$L1153=INT($L1153)),"","Error"),""),"")</f>
        <v/>
      </c>
      <c r="Q1149" s="7"/>
      <c r="R1149" s="20"/>
      <c r="S1149" s="20"/>
      <c r="T1149" s="20"/>
      <c r="U1149" s="20"/>
      <c r="V1149" s="20"/>
      <c r="W1149" s="20"/>
      <c r="X1149" s="26"/>
      <c r="Y1149" s="26"/>
      <c r="Z1149" s="20"/>
      <c r="AA1149" s="20"/>
      <c r="AB1149" s="20"/>
      <c r="AC1149" s="20"/>
      <c r="AD1149" s="20"/>
      <c r="AE1149" s="20"/>
      <c r="AF1149" s="27"/>
    </row>
    <row r="1150" spans="1:32" ht="12.75" customHeight="1">
      <c r="A1150" s="5" t="s">
        <v>1228</v>
      </c>
      <c r="B1150" s="290" t="s">
        <v>1126</v>
      </c>
      <c r="C1150" s="291"/>
      <c r="D1150" s="291"/>
      <c r="E1150" s="291"/>
      <c r="F1150" s="291"/>
      <c r="G1150" s="292"/>
      <c r="H1150" s="5">
        <v>1</v>
      </c>
      <c r="I1150" s="5">
        <v>2</v>
      </c>
      <c r="J1150" s="5">
        <v>3</v>
      </c>
      <c r="K1150" s="5">
        <v>4</v>
      </c>
      <c r="L1150" s="5">
        <v>5</v>
      </c>
      <c r="M1150" s="271"/>
      <c r="N1150" s="272"/>
      <c r="O1150" s="272"/>
      <c r="P1150" s="273"/>
      <c r="Q1150" s="7"/>
      <c r="R1150" s="20"/>
      <c r="S1150" s="20"/>
      <c r="T1150" s="20"/>
      <c r="U1150" s="20"/>
      <c r="V1150" s="20"/>
      <c r="W1150" s="20"/>
      <c r="X1150" s="26"/>
      <c r="Y1150" s="26"/>
      <c r="Z1150" s="20"/>
      <c r="AA1150" s="20"/>
      <c r="AB1150" s="20"/>
      <c r="AC1150" s="20"/>
      <c r="AD1150" s="20"/>
      <c r="AE1150" s="20"/>
      <c r="AF1150" s="27"/>
    </row>
    <row r="1151" spans="1:32" ht="12.75" customHeight="1">
      <c r="A1151" s="300" t="str">
        <f>B1131</f>
        <v>A</v>
      </c>
      <c r="B1151" s="293" t="str">
        <f ca="1">IF(AND(OFFSET($AO$1,$C1131-1,8,1,1),$A1132&lt;&gt;"",$J1132&lt;&gt;""),CHOOSE($C1131,$AQ$1,$AQ$2,$AQ$3,$AQ$4,$AQ$5,$AQ$6,$AQ$7,$AQ$8,$AQ$9,$AQ$10,$AQ$11,$AQ$12),"")</f>
        <v/>
      </c>
      <c r="C1151" s="294"/>
      <c r="D1151" s="294"/>
      <c r="E1151" s="294"/>
      <c r="F1151" s="294"/>
      <c r="G1151" s="294"/>
      <c r="H1151" s="265"/>
      <c r="I1151" s="265"/>
      <c r="J1151" s="265"/>
      <c r="K1151" s="265"/>
      <c r="L1151" s="265"/>
      <c r="M1151" s="262" t="str">
        <f ca="1">IF(OR(AND($B1144&lt;&gt;"",$B1151&lt;&gt;"",$D1162&lt;=$C1162),AND($B1146&lt;&gt;"",$B1153&lt;&gt;"",$H1162&lt;=$G1162)),"Invalid Lineup","")</f>
        <v/>
      </c>
      <c r="N1151" s="263"/>
      <c r="O1151" s="263"/>
      <c r="P1151" s="264"/>
      <c r="Q1151" s="137" t="str">
        <f>IF($L1151=$L1153,IF($K1151=$K1153,IF($J1151&lt;&gt;"",IF($J1151&gt;$J1153,"W","L"),""),IF($K1151&gt;$K1153,"W","L")),IF($L1151&gt;$L1153,"W","L"))</f>
        <v/>
      </c>
      <c r="R1151" s="20"/>
      <c r="S1151" s="20"/>
      <c r="T1151" s="20"/>
      <c r="U1151" s="20"/>
      <c r="V1151" s="20"/>
      <c r="W1151" s="20"/>
      <c r="X1151" s="26"/>
      <c r="Y1151" s="26"/>
      <c r="Z1151" s="20"/>
      <c r="AA1151" s="20"/>
      <c r="AB1151" s="20"/>
      <c r="AC1151" s="20"/>
      <c r="AD1151" s="20"/>
      <c r="AE1151" s="20"/>
      <c r="AF1151" s="27"/>
    </row>
    <row r="1152" spans="1:32" ht="12.75" customHeight="1">
      <c r="A1152" s="301"/>
      <c r="B1152" s="295"/>
      <c r="C1152" s="296"/>
      <c r="D1152" s="296"/>
      <c r="E1152" s="296"/>
      <c r="F1152" s="296"/>
      <c r="G1152" s="296"/>
      <c r="H1152" s="270"/>
      <c r="I1152" s="270"/>
      <c r="J1152" s="270"/>
      <c r="K1152" s="270"/>
      <c r="L1152" s="270"/>
      <c r="M1152" s="262"/>
      <c r="N1152" s="263"/>
      <c r="O1152" s="263"/>
      <c r="P1152" s="264"/>
      <c r="Q1152" s="139" t="str">
        <f>IF($Q1151&lt;&gt;"",IF($Q1151="W",IF(SUM(IF($H1151&gt;$H1153,1,0),IF($I1151&gt;$I1153,1,0),IF($J1151&gt;$J1153,1,0),IF($K1151&gt;$K1153,1,0),IF($L1151&gt;$L1153,1,0))&lt;&gt;3,"Error",""),""),"")</f>
        <v/>
      </c>
      <c r="R1152" s="328" t="str">
        <f>$A1132</f>
        <v/>
      </c>
      <c r="S1152" s="328"/>
      <c r="T1152" s="328"/>
      <c r="U1152" s="328"/>
      <c r="V1152" s="328"/>
      <c r="W1152" s="328"/>
      <c r="X1152" s="256" t="str">
        <f>CONCATENATE("(",$B1131," vs ",$K1131,")")</f>
        <v>(A vs I)</v>
      </c>
      <c r="Y1152" s="256"/>
      <c r="Z1152" s="328" t="str">
        <f>$J1132</f>
        <v/>
      </c>
      <c r="AA1152" s="328"/>
      <c r="AB1152" s="328"/>
      <c r="AC1152" s="328"/>
      <c r="AD1152" s="328"/>
      <c r="AE1152" s="328"/>
      <c r="AF1152" s="100"/>
    </row>
    <row r="1153" spans="1:32" ht="12.75" customHeight="1">
      <c r="A1153" s="300" t="str">
        <f>K1131</f>
        <v>I</v>
      </c>
      <c r="B1153" s="293" t="str">
        <f ca="1">IF(AND(OFFSET($AO$1,$L1131-1,8,1,1),$A1132&lt;&gt;"",$J1132&lt;&gt;""),CHOOSE($L1131,$AQ$1,$AQ$2,$AQ$3,$AQ$4,$AQ$5,$AQ$6,$AQ$7,$AQ$8,$AQ$9,$AQ$10,$AQ$11,$AQ$12),"")</f>
        <v/>
      </c>
      <c r="C1153" s="294"/>
      <c r="D1153" s="294"/>
      <c r="E1153" s="294"/>
      <c r="F1153" s="294"/>
      <c r="G1153" s="294"/>
      <c r="H1153" s="265"/>
      <c r="I1153" s="265"/>
      <c r="J1153" s="265"/>
      <c r="K1153" s="265"/>
      <c r="L1153" s="265"/>
      <c r="M1153" s="267" t="s">
        <v>1237</v>
      </c>
      <c r="N1153" s="268"/>
      <c r="O1153" s="268"/>
      <c r="P1153" s="269"/>
      <c r="Q1153" s="137" t="str">
        <f>IF($Q1151&lt;&gt;"",IF($Q1151="W","L","W"),"")</f>
        <v/>
      </c>
      <c r="R1153" s="100"/>
      <c r="S1153" s="100"/>
      <c r="T1153" s="100"/>
      <c r="U1153" s="100"/>
      <c r="V1153" s="100"/>
      <c r="W1153" s="100"/>
      <c r="X1153" s="100"/>
      <c r="Y1153" s="100"/>
      <c r="Z1153" s="100"/>
      <c r="AA1153" s="100"/>
      <c r="AB1153" s="100"/>
      <c r="AC1153" s="100"/>
      <c r="AD1153" s="100"/>
      <c r="AE1153" s="100"/>
      <c r="AF1153" s="100"/>
    </row>
    <row r="1154" spans="1:32" ht="12.75" customHeight="1">
      <c r="A1154" s="301"/>
      <c r="B1154" s="295"/>
      <c r="C1154" s="296"/>
      <c r="D1154" s="296"/>
      <c r="E1154" s="296"/>
      <c r="F1154" s="296"/>
      <c r="G1154" s="296"/>
      <c r="H1154" s="270"/>
      <c r="I1154" s="270"/>
      <c r="J1154" s="266"/>
      <c r="K1154" s="266"/>
      <c r="L1154" s="266"/>
      <c r="M1154" s="267"/>
      <c r="N1154" s="268"/>
      <c r="O1154" s="268"/>
      <c r="P1154" s="269"/>
      <c r="Q1154" s="139" t="str">
        <f>IF($Q1153&lt;&gt;"",IF($Q1153="W",IF(SUM(IF($H1153&gt;$H1151,1,0),IF($I1153&gt;$I1151,1,0),IF($J1153&gt;$J1151,1,0),IF($K1153&gt;$K1151,1,0),IF($L1153&gt;$L1151,1,0))&lt;&gt;3,"Error",""),""),"")</f>
        <v/>
      </c>
      <c r="R1154" s="43" t="str">
        <f>$A1149</f>
        <v>3rd Singles</v>
      </c>
      <c r="S1154" s="43"/>
      <c r="T1154" s="43"/>
      <c r="U1154" s="43"/>
      <c r="V1154" s="43"/>
      <c r="W1154" s="43"/>
      <c r="X1154" s="43"/>
      <c r="Y1154" s="43"/>
      <c r="Z1154" s="43"/>
      <c r="AA1154" s="43"/>
      <c r="AB1154" s="43"/>
      <c r="AC1154" s="43"/>
      <c r="AD1154" s="43"/>
      <c r="AE1154" s="43"/>
      <c r="AF1154" s="43"/>
    </row>
    <row r="1155" spans="1:32" ht="12.75" customHeight="1">
      <c r="Q1155" s="7"/>
      <c r="R1155" s="60" t="s">
        <v>1228</v>
      </c>
      <c r="S1155" s="101" t="s">
        <v>1126</v>
      </c>
      <c r="T1155" s="102"/>
      <c r="U1155" s="102"/>
      <c r="V1155" s="102"/>
      <c r="W1155" s="102"/>
      <c r="X1155" s="103"/>
      <c r="Y1155" s="60">
        <v>1</v>
      </c>
      <c r="Z1155" s="60">
        <v>2</v>
      </c>
      <c r="AA1155" s="60">
        <v>3</v>
      </c>
      <c r="AB1155" s="60">
        <v>4</v>
      </c>
      <c r="AC1155" s="60">
        <v>5</v>
      </c>
      <c r="AD1155" s="104"/>
      <c r="AE1155" s="105"/>
      <c r="AF1155" s="106"/>
    </row>
    <row r="1156" spans="1:32" ht="12.75" customHeight="1">
      <c r="A1156" s="21" t="s">
        <v>1236</v>
      </c>
      <c r="H1156" s="136" t="str">
        <f ca="1">IF($Q1158&lt;&gt;"",IF(AND($B1158&lt;&gt;"Missing Player",$B1160&lt;&gt;"Missing Player"),IF(AND(AND($H1158&gt;-1,$H1160&gt;-1),OR($H1158&gt;10,$H1160&gt;10),ABS($H1158-$H1160)&gt;1,IF(OR($H1158&gt;11,$H1160&gt;11),ABS($H1158-$H1160)=2,TRUE),$H1158=INT($H1158),$H1160=INT($H1160)),"","Error"),""),"")</f>
        <v/>
      </c>
      <c r="I1156" s="136" t="str">
        <f ca="1">IF($Q1158&lt;&gt;"",IF(AND($B1158&lt;&gt;"Missing Player",$B1160&lt;&gt;"Missing Player"),IF(AND(AND($I1158&gt;-1,$I1160&gt;-1),OR($I1158&gt;10,$I1160&gt;10),ABS($I1158-$I1160)&gt;1,IF(OR($I1158&gt;11,$I1160&gt;11),ABS($I1158-$I1160)=2,TRUE),$I1158=INT($I1158),$I1160=INT($I1160)),"","Error"),""),"")</f>
        <v/>
      </c>
      <c r="J1156" s="136" t="str">
        <f ca="1">IF($Q1158&lt;&gt;"",IF(AND($B1158&lt;&gt;"Missing Player",$B1160&lt;&gt;"Missing Player"),IF(AND(AND($J1158&gt;-1,$J1160&gt;-1),OR($J1158&gt;10,$J1160&gt;10),ABS($J1158-$J1160)&gt;1,IF(OR($J1158&gt;11,$J1160&gt;11),ABS($J1158-$J1160)=2,TRUE),$J1158=INT($J1158),$J1160=INT($J1160)),"","Error"),""),"")</f>
        <v/>
      </c>
      <c r="K1156" s="136" t="str">
        <f ca="1">IF($Q1158&lt;&gt;"",IF(AND($K1158&lt;&gt;"",$K1160&lt;&gt;""), IF(AND(AND($K1158&gt;-1,$K1160&gt;-1),OR($K1158&gt;10,$K1160&gt;10),ABS($K1158-$K1160)&gt;1,IF(OR($K1158&gt;11,$K1160&gt;11),ABS($K1158-$K1160)=2,TRUE),$K1158=INT($K1158),$K1160=INT($K1160)),"","Error"),""),"")</f>
        <v/>
      </c>
      <c r="L1156" s="136" t="str">
        <f ca="1">IF($Q1158&lt;&gt;"",IF(AND($L1158&lt;&gt;"",$L1160&lt;&gt;""), IF(AND(AND($L1158&gt;-1,$L1160&gt;-1),OR($L1158&gt;10,$L1160&gt;10),ABS($L1158-$L1160)&gt;1,IF(OR($L1158&gt;11,$L1160&gt;11),ABS($L1158-$L1160)=2,TRUE),$L1158=INT($L1158),$L1160=INT($L1160)),"","Error"),""),"")</f>
        <v/>
      </c>
      <c r="Q1156" s="7"/>
      <c r="R1156" s="300" t="str">
        <f>$B1131</f>
        <v>A</v>
      </c>
      <c r="S1156" s="331" t="str">
        <f ca="1">IF($B1151&lt;&gt;"",$B1151,"")</f>
        <v/>
      </c>
      <c r="T1156" s="332"/>
      <c r="U1156" s="332"/>
      <c r="V1156" s="332"/>
      <c r="W1156" s="332"/>
      <c r="X1156" s="333"/>
      <c r="Y1156" s="329"/>
      <c r="Z1156" s="329"/>
      <c r="AA1156" s="329"/>
      <c r="AB1156" s="329"/>
      <c r="AC1156" s="329"/>
      <c r="AD1156" s="345"/>
      <c r="AE1156" s="358"/>
      <c r="AF1156" s="359"/>
    </row>
    <row r="1157" spans="1:32" ht="12.75" customHeight="1">
      <c r="A1157" s="5" t="s">
        <v>1228</v>
      </c>
      <c r="B1157" s="290" t="s">
        <v>1126</v>
      </c>
      <c r="C1157" s="291"/>
      <c r="D1157" s="291"/>
      <c r="E1157" s="291"/>
      <c r="F1157" s="291"/>
      <c r="G1157" s="292"/>
      <c r="H1157" s="5">
        <v>1</v>
      </c>
      <c r="I1157" s="5">
        <v>2</v>
      </c>
      <c r="J1157" s="5">
        <v>3</v>
      </c>
      <c r="K1157" s="5">
        <v>4</v>
      </c>
      <c r="L1157" s="5">
        <v>5</v>
      </c>
      <c r="M1157" s="271"/>
      <c r="N1157" s="272"/>
      <c r="O1157" s="272"/>
      <c r="P1157" s="273"/>
      <c r="Q1157" s="7"/>
      <c r="R1157" s="330"/>
      <c r="S1157" s="334"/>
      <c r="T1157" s="335"/>
      <c r="U1157" s="335"/>
      <c r="V1157" s="335"/>
      <c r="W1157" s="335"/>
      <c r="X1157" s="336"/>
      <c r="Y1157" s="330"/>
      <c r="Z1157" s="330"/>
      <c r="AA1157" s="330"/>
      <c r="AB1157" s="330"/>
      <c r="AC1157" s="330"/>
      <c r="AD1157" s="360"/>
      <c r="AE1157" s="361"/>
      <c r="AF1157" s="362"/>
    </row>
    <row r="1158" spans="1:32" ht="12.75" customHeight="1">
      <c r="A1158" s="300" t="str">
        <f>B1131</f>
        <v>A</v>
      </c>
      <c r="B1158" s="293" t="str">
        <f ca="1">IF(AND(OFFSET($AO$1,$C1131-1,8,1,1),$A1132&lt;&gt;"",$J1132&lt;&gt;""),CHOOSE($C1131,$AR$1,$AR$2,$AR$3,$AR$4,$AR$5,$AR$6,$AR$7,$AR$8,$AR$9,$AR$10,$AR$11,$AR$12),"")</f>
        <v/>
      </c>
      <c r="C1158" s="294"/>
      <c r="D1158" s="294"/>
      <c r="E1158" s="294"/>
      <c r="F1158" s="294"/>
      <c r="G1158" s="294"/>
      <c r="H1158" s="265"/>
      <c r="I1158" s="265"/>
      <c r="J1158" s="265"/>
      <c r="K1158" s="265"/>
      <c r="L1158" s="265" t="str">
        <f ca="1">IF(AND($B1158&lt;&gt;"",$Q1137&lt;&gt;""),IF($B1158="Missing Player",0,IF($B1160="Missing Player",11,"")),"")</f>
        <v/>
      </c>
      <c r="M1158" s="262" t="str">
        <f ca="1">IF(OR(AND($B1151&lt;&gt;"",$B1158&lt;&gt;"",$E1162&lt;=$D1162),AND($B1153&lt;&gt;"",$B1160&lt;&gt;"",$I1162&lt;=$H1162)),"Invalid Lineup","")</f>
        <v/>
      </c>
      <c r="N1158" s="263"/>
      <c r="O1158" s="263"/>
      <c r="P1158" s="264"/>
      <c r="Q1158" s="137" t="str">
        <f ca="1">IF($L1158=$L1160,IF($K1158=$K1160,IF($J1158&lt;&gt;"",IF($J1158&gt;$J1160,"W","L"),""),IF($K1158&gt;$K1160,"W","L")),IF($L1158&gt;$L1160,"W","L"))</f>
        <v/>
      </c>
      <c r="R1158" s="300" t="str">
        <f>$K1131</f>
        <v>I</v>
      </c>
      <c r="S1158" s="331" t="str">
        <f ca="1">IF($B1153&lt;&gt;"",$B1153,"")</f>
        <v/>
      </c>
      <c r="T1158" s="332"/>
      <c r="U1158" s="332"/>
      <c r="V1158" s="332"/>
      <c r="W1158" s="332"/>
      <c r="X1158" s="333"/>
      <c r="Y1158" s="329"/>
      <c r="Z1158" s="329"/>
      <c r="AA1158" s="329"/>
      <c r="AB1158" s="329"/>
      <c r="AC1158" s="351"/>
      <c r="AD1158" s="363" t="s">
        <v>1237</v>
      </c>
      <c r="AE1158" s="358"/>
      <c r="AF1158" s="359"/>
    </row>
    <row r="1159" spans="1:32" ht="12.75" customHeight="1">
      <c r="A1159" s="301"/>
      <c r="B1159" s="295"/>
      <c r="C1159" s="296"/>
      <c r="D1159" s="296"/>
      <c r="E1159" s="296"/>
      <c r="F1159" s="296"/>
      <c r="G1159" s="296"/>
      <c r="H1159" s="270"/>
      <c r="I1159" s="270"/>
      <c r="J1159" s="270"/>
      <c r="K1159" s="270"/>
      <c r="L1159" s="270"/>
      <c r="M1159" s="262"/>
      <c r="N1159" s="263"/>
      <c r="O1159" s="263"/>
      <c r="P1159" s="264"/>
      <c r="Q1159" s="139" t="str">
        <f ca="1">IF($Q1158&lt;&gt;"",IF($B1160&lt;&gt;"Missing Player",IF($Q1158="W",IF(SUM(IF($H1158&gt;$H1160,1,0),IF($I1158&gt;$I1160,1,0),IF($J1158&gt;$J1160,1,0),IF($K1158&gt;$K1160,1,0),IF($L1158&gt;$L1160,1,0))&lt;&gt;3,"Error",""),""),""),"")</f>
        <v/>
      </c>
      <c r="R1159" s="330"/>
      <c r="S1159" s="334"/>
      <c r="T1159" s="335"/>
      <c r="U1159" s="335"/>
      <c r="V1159" s="335"/>
      <c r="W1159" s="335"/>
      <c r="X1159" s="336"/>
      <c r="Y1159" s="330"/>
      <c r="Z1159" s="330"/>
      <c r="AA1159" s="330"/>
      <c r="AB1159" s="330"/>
      <c r="AC1159" s="330"/>
      <c r="AD1159" s="360"/>
      <c r="AE1159" s="361"/>
      <c r="AF1159" s="362"/>
    </row>
    <row r="1160" spans="1:32" ht="12.75" customHeight="1">
      <c r="A1160" s="300" t="str">
        <f>K1131</f>
        <v>I</v>
      </c>
      <c r="B1160" s="293" t="str">
        <f ca="1">IF(AND(OFFSET($AO$1,$L1131-1,8,1,1),$A1132&lt;&gt;"",$J1132&lt;&gt;""),CHOOSE($L1131,$AR$1,$AR$2,$AR$3,$AR$4,$AR$5,$AR$6,$AR$7,$AR$8,$AR$9,$AR$10,$AR$11,$AR$12),"")</f>
        <v/>
      </c>
      <c r="C1160" s="294"/>
      <c r="D1160" s="294"/>
      <c r="E1160" s="294"/>
      <c r="F1160" s="294"/>
      <c r="G1160" s="294"/>
      <c r="H1160" s="265"/>
      <c r="I1160" s="265"/>
      <c r="J1160" s="265"/>
      <c r="K1160" s="265"/>
      <c r="L1160" s="265" t="str">
        <f ca="1">IF(AND($B1160&lt;&gt;"",$Q1137&lt;&gt;""),IF($B1160="Missing Player",0,IF($B1158="Missing Player",11,"")),"")</f>
        <v/>
      </c>
      <c r="M1160" s="267" t="s">
        <v>1237</v>
      </c>
      <c r="N1160" s="268"/>
      <c r="O1160" s="268"/>
      <c r="P1160" s="269"/>
      <c r="Q1160" s="137" t="str">
        <f ca="1">IF($Q1158&lt;&gt;"",IF($Q1158="W","L","W"),"")</f>
        <v/>
      </c>
      <c r="R1160" s="112"/>
      <c r="S1160" s="98"/>
      <c r="T1160" s="108"/>
      <c r="U1160" s="108"/>
      <c r="V1160" s="108"/>
      <c r="W1160" s="108"/>
      <c r="X1160" s="108"/>
      <c r="Y1160" s="113"/>
      <c r="Z1160" s="113"/>
      <c r="AA1160" s="113"/>
      <c r="AB1160" s="113"/>
      <c r="AC1160" s="113"/>
      <c r="AD1160" s="107"/>
      <c r="AE1160" s="109"/>
      <c r="AF1160" s="109"/>
    </row>
    <row r="1161" spans="1:32" ht="12.75" customHeight="1">
      <c r="A1161" s="301"/>
      <c r="B1161" s="295"/>
      <c r="C1161" s="296"/>
      <c r="D1161" s="296"/>
      <c r="E1161" s="296"/>
      <c r="F1161" s="296"/>
      <c r="G1161" s="296"/>
      <c r="H1161" s="270"/>
      <c r="I1161" s="270"/>
      <c r="J1161" s="266"/>
      <c r="K1161" s="266"/>
      <c r="L1161" s="266"/>
      <c r="M1161" s="267"/>
      <c r="N1161" s="268"/>
      <c r="O1161" s="268"/>
      <c r="P1161" s="269"/>
      <c r="Q1161" s="139" t="str">
        <f ca="1">IF($Q1160&lt;&gt;"",IF($B1158&lt;&gt;"Missing Player",IF($Q1160="W",IF(SUM(IF($H1160&gt;$H1158,1,0),IF($I1160&gt;$I1158,1,0),IF($J1160&gt;$J1158,1,0),IF($K1160&gt;$K1158,1,0),IF($L1160&gt;$L1158,1,0))&lt;&gt;3,"Error",""),""),""),"")</f>
        <v/>
      </c>
      <c r="R1161" s="114"/>
      <c r="S1161" s="115"/>
      <c r="T1161" s="115"/>
      <c r="U1161" s="115"/>
      <c r="V1161" s="115"/>
      <c r="W1161" s="115"/>
      <c r="X1161" s="115"/>
      <c r="Y1161" s="114"/>
      <c r="Z1161" s="114"/>
      <c r="AA1161" s="114"/>
      <c r="AB1161" s="114"/>
      <c r="AC1161" s="114"/>
      <c r="AD1161" s="114"/>
      <c r="AE1161" s="114"/>
      <c r="AF1161" s="114"/>
    </row>
    <row r="1162" spans="1:32" ht="12.75" customHeight="1">
      <c r="B1162" s="140" t="str">
        <f ca="1">IF(ISERROR(VLOOKUP($B1137&amp;"("&amp;$B1131&amp;")",Players!$S$4:$T$132,2,FALSE)),"",VLOOKUP($B1137&amp;"("&amp;$B1131&amp;")",Players!$S$4:$T$132,2,FALSE))</f>
        <v>A1</v>
      </c>
      <c r="C1162" s="140" t="str">
        <f ca="1">IF(ISERROR(VLOOKUP($B1144&amp;"("&amp;$B1131&amp;")",Players!$S$4:$T$132,2,FALSE)),"",VLOOKUP($B1144&amp;"("&amp;$B1131&amp;")",Players!$S$4:$T$132,2,FALSE))</f>
        <v>A1</v>
      </c>
      <c r="D1162" s="141" t="str">
        <f ca="1">IF(ISERROR(VLOOKUP($B1151&amp;"("&amp;$B1131&amp;")",Players!$S$4:$T$132,2,FALSE)),"",VLOOKUP($B1151&amp;"("&amp;$B1131&amp;")",Players!$S$4:$T$132,2,FALSE))</f>
        <v>A1</v>
      </c>
      <c r="E1162" s="141" t="str">
        <f ca="1">IF(ISERROR(VLOOKUP($B1158&amp;"("&amp;$B1131&amp;")",Players!$S$4:$T$132,2,FALSE)),"",VLOOKUP($B1158&amp;"("&amp;$B1131&amp;")",Players!$S$4:$T$132,2,FALSE))</f>
        <v>A1</v>
      </c>
      <c r="F1162" s="141" t="str">
        <f ca="1">IF(ISERROR(VLOOKUP($B1139&amp;"("&amp;$K1131&amp;")",Players!$S$4:$T$132,2,FALSE)),"",VLOOKUP($B1139&amp;"("&amp;$K1131&amp;")",Players!$S$4:$T$132,2,FALSE))</f>
        <v>I1</v>
      </c>
      <c r="G1162" s="141" t="str">
        <f ca="1">IF(ISERROR(VLOOKUP($B1146&amp;"("&amp;$K1131&amp;")",Players!$S$4:$T$132,2,FALSE)),"",VLOOKUP($B1146&amp;"("&amp;$K1131&amp;")",Players!$S$4:$T$132,2,FALSE))</f>
        <v>I1</v>
      </c>
      <c r="H1162" s="141" t="str">
        <f ca="1">IF(ISERROR(VLOOKUP($B1153&amp;"("&amp;$K1131&amp;")",Players!$S$4:$T$132,2,FALSE)),"",VLOOKUP($B1153&amp;"("&amp;$K1131&amp;")",Players!$S$4:$T$132,2,FALSE))</f>
        <v>I1</v>
      </c>
      <c r="I1162" s="141" t="str">
        <f ca="1">IF(ISERROR(VLOOKUP($B1160&amp;"("&amp;$K1131&amp;")",Players!$S$4:$T$132,2,FALSE)),"",VLOOKUP($B1160&amp;"("&amp;$K1131&amp;")",Players!$S$4:$T$132,2,FALSE))</f>
        <v>I1</v>
      </c>
      <c r="Q1162" s="7"/>
      <c r="R1162" s="50"/>
      <c r="S1162" s="116"/>
      <c r="T1162" s="115"/>
      <c r="U1162" s="115"/>
      <c r="V1162" s="115"/>
      <c r="W1162" s="115"/>
      <c r="X1162" s="115"/>
      <c r="Y1162" s="99"/>
      <c r="Z1162" s="99"/>
      <c r="AA1162" s="99"/>
      <c r="AB1162" s="99"/>
      <c r="AC1162" s="117"/>
      <c r="AD1162" s="118"/>
      <c r="AE1162" s="114"/>
      <c r="AF1162" s="114"/>
    </row>
    <row r="1163" spans="1:32" ht="12.75" customHeight="1">
      <c r="A1163" s="21" t="s">
        <v>1225</v>
      </c>
      <c r="H1163" s="136" t="str">
        <f ca="1">IF($Q1165&lt;&gt;"",IF(AND($B1166&lt;&gt;"Missing Player",$B1168&lt;&gt;"Missing Player"),IF(AND(AND($H1165&gt;-1,$H1167&gt;-1),OR($H1165&gt;10,$H1167&gt;10),ABS($H1165-$H1167)&gt;1,IF(OR($H1165&gt;11,$H1167&gt;11),ABS($H1165-$H1167)=2,TRUE),$H1165=INT($H1165),$H1167=INT($H1167)),"","Error"),""),"")</f>
        <v/>
      </c>
      <c r="I1163" s="136" t="str">
        <f ca="1">IF($Q1165&lt;&gt;"",IF(AND($B1166&lt;&gt;"Missing Player",$B1168&lt;&gt;"Missing Player"),IF(AND(AND($I1165&gt;-1,$I1167&gt;-1),OR($I1165&gt;10,$I1167&gt;10),ABS($I1165-$I1167)&gt;1,IF(OR($I1165&gt;11,$I1167&gt;11),ABS($I1165-$I1167)=2,TRUE),$I1165=INT($I1165),$I1167=INT($I1167)),"","Error"),""),"")</f>
        <v/>
      </c>
      <c r="J1163" s="136" t="str">
        <f ca="1">IF($Q1165&lt;&gt;"",IF(AND($B1166&lt;&gt;"Missing Player",$B1168&lt;&gt;"Missing Player"),IF(AND(AND($J1165&gt;-1,$J1167&gt;-1),OR($J1165&gt;10,$J1167&gt;10),ABS($J1165-$J1167)&gt;1,IF(OR($J1165&gt;11,$J1167&gt;11),ABS($J1165-$J1167)=2,TRUE),$J1165=INT($J1165),$J1167=INT($J1167)),"","Error"),""),"")</f>
        <v/>
      </c>
      <c r="K1163" s="136" t="str">
        <f ca="1">IF($Q1165&lt;&gt;"",IF(AND($K1165&lt;&gt;"",$K1167&lt;&gt;""), IF(AND(AND($K1165&gt;-1,$K1167&gt;-1),OR($K1165&gt;10,$K1167&gt;10),ABS($K1165-$K1167)&gt;1,IF(OR($K1165&gt;11,$K1167&gt;11),ABS($K1165-$K1167)=2,TRUE),$K1165=INT($K1165),$K1167=INT($K1167)),"","Error"),""),"")</f>
        <v/>
      </c>
      <c r="L1163" s="136" t="str">
        <f ca="1">IF($Q1165&lt;&gt;"",IF(AND($L1165&lt;&gt;"",$L1167&lt;&gt;""), IF(AND(AND($L1165&gt;-1,$L1167&gt;-1),OR($L1165&gt;10,$L1167&gt;10),ABS($L1165-$L1167)&gt;1,IF(OR($L1165&gt;11,$L1167&gt;11),ABS($L1165-$L1167)=2,TRUE),$L1165=INT($L1165),$L1167=INT($L1167)),"","Error"),""),"")</f>
        <v/>
      </c>
      <c r="Q1163" s="7"/>
      <c r="R1163" s="114"/>
      <c r="S1163" s="115"/>
      <c r="T1163" s="115"/>
      <c r="U1163" s="115"/>
      <c r="V1163" s="115"/>
      <c r="W1163" s="115"/>
      <c r="X1163" s="115"/>
      <c r="Y1163" s="114"/>
      <c r="Z1163" s="114"/>
      <c r="AA1163" s="114"/>
      <c r="AB1163" s="114"/>
      <c r="AC1163" s="114"/>
      <c r="AD1163" s="114"/>
      <c r="AE1163" s="114"/>
      <c r="AF1163" s="114"/>
    </row>
    <row r="1164" spans="1:32" ht="12.75" customHeight="1">
      <c r="A1164" s="5" t="s">
        <v>1228</v>
      </c>
      <c r="B1164" s="290" t="s">
        <v>1126</v>
      </c>
      <c r="C1164" s="291"/>
      <c r="D1164" s="291"/>
      <c r="E1164" s="291"/>
      <c r="F1164" s="291"/>
      <c r="G1164" s="292"/>
      <c r="H1164" s="5">
        <v>1</v>
      </c>
      <c r="I1164" s="5">
        <v>2</v>
      </c>
      <c r="J1164" s="5">
        <v>3</v>
      </c>
      <c r="K1164" s="5">
        <v>4</v>
      </c>
      <c r="L1164" s="5">
        <v>5</v>
      </c>
      <c r="M1164" s="271"/>
      <c r="N1164" s="272"/>
      <c r="O1164" s="272"/>
      <c r="P1164" s="273"/>
      <c r="Q1164" s="8"/>
      <c r="S1164" s="24"/>
      <c r="T1164" s="26"/>
    </row>
    <row r="1165" spans="1:32" ht="12.75" customHeight="1">
      <c r="A1165" s="300" t="str">
        <f>B1131</f>
        <v>A</v>
      </c>
      <c r="B1165" s="311" t="str">
        <f ca="1">IF($B1137&lt;&gt;"",$B1137,"")</f>
        <v/>
      </c>
      <c r="C1165" s="312"/>
      <c r="D1165" s="312"/>
      <c r="E1165" s="312"/>
      <c r="F1165" s="312"/>
      <c r="G1165" s="313"/>
      <c r="H1165" s="265"/>
      <c r="I1165" s="265"/>
      <c r="J1165" s="265"/>
      <c r="K1165" s="265"/>
      <c r="L1165" s="265" t="str">
        <f ca="1">IF($B1158&lt;&gt;"",IF(AND($B1158="Missing Player",$G1169=2,$J1169=2),0,IF(AND($B1160="Missing Player",$G1169=2,$J1169=2),11,"")),"")</f>
        <v/>
      </c>
      <c r="M1165" s="262" t="str">
        <f ca="1">IF(OR(AND($B1165&lt;&gt;"",$B1166&lt;&gt;"",$B1165=$B1166),AND($B1167&lt;&gt;"",$B1168&lt;&gt;"",$B1167=$B1168)),"Invalid Partner","")</f>
        <v/>
      </c>
      <c r="N1165" s="263"/>
      <c r="O1165" s="263"/>
      <c r="P1165" s="264"/>
      <c r="Q1165" s="138" t="str">
        <f ca="1">IF(L1165=L1167,IF(K1165=K1167,IF(J1165&lt;&gt;"",IF(J1165&gt;J1167,"W","L"),""),IF(K1165&gt;K1167,"W","L")),IF(L1165&gt;L1167,"W","L"))</f>
        <v/>
      </c>
      <c r="S1165" s="24"/>
      <c r="T1165" s="26"/>
    </row>
    <row r="1166" spans="1:32" ht="12.75" customHeight="1">
      <c r="A1166" s="324"/>
      <c r="B1166" s="308" t="str">
        <f ca="1">IF($B1158="Missing Player",$B1158,"")</f>
        <v/>
      </c>
      <c r="C1166" s="309"/>
      <c r="D1166" s="309"/>
      <c r="E1166" s="309"/>
      <c r="F1166" s="309"/>
      <c r="G1166" s="310"/>
      <c r="H1166" s="270"/>
      <c r="I1166" s="270"/>
      <c r="J1166" s="270"/>
      <c r="K1166" s="270"/>
      <c r="L1166" s="270"/>
      <c r="M1166" s="262"/>
      <c r="N1166" s="263"/>
      <c r="O1166" s="263"/>
      <c r="P1166" s="264"/>
      <c r="Q1166" s="139" t="str">
        <f ca="1">IF($Q1165&lt;&gt;"",IF($B1168&lt;&gt;"Missing Player",IF($Q1165="W",IF(SUM(IF($H1165&gt;$H1167,1,0),IF($I1165&gt;$I1167,1,0),IF($J1165&gt;$J1167,1,0),IF($K1165&gt;$K1167,1,0),IF($L1165&gt;$L1167,1,0))&lt;&gt;3,"Error",""),""),""),"")</f>
        <v/>
      </c>
      <c r="R1166" s="328" t="str">
        <f>$A1132</f>
        <v/>
      </c>
      <c r="S1166" s="328"/>
      <c r="T1166" s="328"/>
      <c r="U1166" s="328"/>
      <c r="V1166" s="328"/>
      <c r="W1166" s="328"/>
      <c r="X1166" s="256" t="str">
        <f>CONCATENATE("(",$B1131," vs ",$K1131,")")</f>
        <v>(A vs I)</v>
      </c>
      <c r="Y1166" s="256"/>
      <c r="Z1166" s="328" t="str">
        <f>$J1132</f>
        <v/>
      </c>
      <c r="AA1166" s="328"/>
      <c r="AB1166" s="328"/>
      <c r="AC1166" s="328"/>
      <c r="AD1166" s="328"/>
      <c r="AE1166" s="328"/>
      <c r="AF1166" s="43"/>
    </row>
    <row r="1167" spans="1:32" ht="12.75" customHeight="1">
      <c r="A1167" s="325" t="str">
        <f>K1131</f>
        <v>I</v>
      </c>
      <c r="B1167" s="311" t="str">
        <f ca="1">IF($B1139&lt;&gt;"",$B1139,"")</f>
        <v/>
      </c>
      <c r="C1167" s="312"/>
      <c r="D1167" s="312"/>
      <c r="E1167" s="312"/>
      <c r="F1167" s="312"/>
      <c r="G1167" s="313"/>
      <c r="H1167" s="265"/>
      <c r="I1167" s="265"/>
      <c r="J1167" s="265"/>
      <c r="K1167" s="265"/>
      <c r="L1167" s="265" t="str">
        <f ca="1">IF($B1160&lt;&gt;"",IF(AND($B1160="Missing Player",$G1169=2,$J1169=2),0,IF(AND($B1158="Missing Player",$G1169=2,$J1169=2),11,"")),"")</f>
        <v/>
      </c>
      <c r="M1167" s="267" t="s">
        <v>1237</v>
      </c>
      <c r="N1167" s="268"/>
      <c r="O1167" s="268"/>
      <c r="P1167" s="269"/>
      <c r="Q1167" s="138" t="str">
        <f ca="1">IF(Q1165&lt;&gt;"",IF(Q1165="W","L","W"),"")</f>
        <v/>
      </c>
      <c r="R1167" s="43"/>
      <c r="S1167" s="43"/>
      <c r="T1167" s="43"/>
      <c r="U1167" s="43"/>
      <c r="V1167" s="43"/>
      <c r="W1167" s="43"/>
      <c r="X1167" s="43"/>
      <c r="Y1167" s="43"/>
      <c r="Z1167" s="43"/>
      <c r="AA1167" s="43"/>
      <c r="AB1167" s="43"/>
      <c r="AC1167" s="43"/>
      <c r="AD1167" s="43"/>
      <c r="AE1167" s="43"/>
      <c r="AF1167" s="43"/>
    </row>
    <row r="1168" spans="1:32" ht="12.75" customHeight="1">
      <c r="A1168" s="324"/>
      <c r="B1168" s="308" t="str">
        <f ca="1">IF($B1160="Missing Player",$B1160,"")</f>
        <v/>
      </c>
      <c r="C1168" s="309"/>
      <c r="D1168" s="309"/>
      <c r="E1168" s="309"/>
      <c r="F1168" s="309"/>
      <c r="G1168" s="310"/>
      <c r="H1168" s="270"/>
      <c r="I1168" s="270"/>
      <c r="J1168" s="266"/>
      <c r="K1168" s="266"/>
      <c r="L1168" s="266"/>
      <c r="M1168" s="267"/>
      <c r="N1168" s="268"/>
      <c r="O1168" s="268"/>
      <c r="P1168" s="269"/>
      <c r="Q1168" s="139" t="str">
        <f ca="1">IF($Q1167&lt;&gt;"",IF($B1166&lt;&gt;"Missing Player",IF($Q1167="W",IF(SUM(IF($H1167&gt;$H1165,1,0),IF($I1167&gt;$I1165,1,0),IF($J1167&gt;$J1165,1,0),IF($K1167&gt;$K1165,1,0),IF($L1167&gt;$L1165,1,0))&lt;&gt;3,"Error",""),""),""),"")</f>
        <v/>
      </c>
      <c r="R1168" s="43" t="str">
        <f>A1156</f>
        <v>4th Singles</v>
      </c>
      <c r="S1168" s="43"/>
      <c r="T1168" s="43"/>
      <c r="U1168" s="43"/>
      <c r="V1168" s="43"/>
      <c r="W1168" s="43"/>
      <c r="X1168" s="43"/>
      <c r="Y1168" s="43"/>
      <c r="Z1168" s="43"/>
      <c r="AA1168" s="43"/>
      <c r="AB1168" s="43"/>
      <c r="AC1168" s="43"/>
      <c r="AD1168" s="43"/>
      <c r="AE1168" s="43"/>
      <c r="AF1168" s="43"/>
    </row>
    <row r="1169" spans="1:32" ht="12.75" customHeight="1">
      <c r="G1169" s="66">
        <f ca="1">COUNTIF($Q1137:$Q1137,"W")+COUNTIF($Q1144:$Q1144,"W")+COUNTIF($Q1151:$Q1151,"W")+COUNTIF($Q1158:$Q1158,"W")</f>
        <v>0</v>
      </c>
      <c r="J1169" s="66">
        <f ca="1">COUNTIF($Q1139:$Q1139,"W")+COUNTIF($Q1146:$Q1146,"W")+COUNTIF($Q1153:$Q1153,"W")+COUNTIF($Q1160:$Q1160,"W")</f>
        <v>0</v>
      </c>
      <c r="R1169" s="60" t="s">
        <v>1228</v>
      </c>
      <c r="S1169" s="339" t="s">
        <v>1126</v>
      </c>
      <c r="T1169" s="340"/>
      <c r="U1169" s="340"/>
      <c r="V1169" s="340"/>
      <c r="W1169" s="340"/>
      <c r="X1169" s="341"/>
      <c r="Y1169" s="60">
        <v>1</v>
      </c>
      <c r="Z1169" s="60">
        <v>2</v>
      </c>
      <c r="AA1169" s="60">
        <v>3</v>
      </c>
      <c r="AB1169" s="60">
        <v>4</v>
      </c>
      <c r="AC1169" s="60">
        <v>5</v>
      </c>
      <c r="AD1169" s="342"/>
      <c r="AE1169" s="343"/>
      <c r="AF1169" s="344"/>
    </row>
    <row r="1170" spans="1:32" ht="12.75" customHeight="1" thickBot="1">
      <c r="F1170" s="246" t="s">
        <v>1238</v>
      </c>
      <c r="G1170" s="246"/>
      <c r="H1170" s="246"/>
      <c r="I1170" s="246"/>
      <c r="J1170" s="246"/>
      <c r="K1170" s="246"/>
      <c r="R1170" s="300" t="str">
        <f>B1131</f>
        <v>A</v>
      </c>
      <c r="S1170" s="331" t="str">
        <f ca="1">IF($B1158&lt;&gt;"",$B1158,"")</f>
        <v/>
      </c>
      <c r="T1170" s="353"/>
      <c r="U1170" s="353"/>
      <c r="V1170" s="353"/>
      <c r="W1170" s="353"/>
      <c r="X1170" s="354"/>
      <c r="Y1170" s="329"/>
      <c r="Z1170" s="329"/>
      <c r="AA1170" s="351"/>
      <c r="AB1170" s="351"/>
      <c r="AC1170" s="351"/>
      <c r="AD1170" s="345"/>
      <c r="AE1170" s="346"/>
      <c r="AF1170" s="347"/>
    </row>
    <row r="1171" spans="1:32" ht="12.75" customHeight="1">
      <c r="A1171" s="22"/>
      <c r="B1171" s="22"/>
      <c r="C1171" s="22"/>
      <c r="D1171" s="22"/>
      <c r="E1171" s="22"/>
      <c r="G1171" s="304" t="str">
        <f>B1131</f>
        <v>A</v>
      </c>
      <c r="H1171" s="305"/>
      <c r="I1171" s="302" t="str">
        <f>K1131</f>
        <v>I</v>
      </c>
      <c r="J1171" s="303"/>
      <c r="L1171" s="22"/>
      <c r="M1171" s="22"/>
      <c r="N1171" s="22"/>
      <c r="O1171" s="22"/>
      <c r="P1171" s="22"/>
      <c r="R1171" s="301"/>
      <c r="S1171" s="355"/>
      <c r="T1171" s="356"/>
      <c r="U1171" s="356"/>
      <c r="V1171" s="356"/>
      <c r="W1171" s="356"/>
      <c r="X1171" s="357"/>
      <c r="Y1171" s="338"/>
      <c r="Z1171" s="338"/>
      <c r="AA1171" s="352"/>
      <c r="AB1171" s="352"/>
      <c r="AC1171" s="352"/>
      <c r="AD1171" s="348"/>
      <c r="AE1171" s="349"/>
      <c r="AF1171" s="350"/>
    </row>
    <row r="1172" spans="1:32" ht="12.75" customHeight="1" thickBot="1">
      <c r="A1172" s="2" t="s">
        <v>1228</v>
      </c>
      <c r="B1172" s="53" t="str">
        <f>B1131</f>
        <v>A</v>
      </c>
      <c r="C1172" s="3" t="s">
        <v>1226</v>
      </c>
      <c r="F1172" s="66" t="str">
        <f>CONCATENATE($B1131,"-",$K1131)</f>
        <v>A-I</v>
      </c>
      <c r="G1172" s="320" t="str">
        <f ca="1">IF(OR(Q1137&lt;&gt;"",Q1144&lt;&gt;"",Q1151&lt;&gt;"",Q1158&lt;&gt;"",Q1165&lt;&gt;""),COUNTIF(Q1137:Q1137,"W")+COUNTIF(Q1144:Q1144,"W")+COUNTIF(Q1151:Q1151,"W")+COUNTIF(Q1158:Q1158,"W")+COUNTIF(Q1165:Q1165,"W"),"")</f>
        <v/>
      </c>
      <c r="H1172" s="321"/>
      <c r="I1172" s="322" t="str">
        <f ca="1">IF(OR(Q1139&lt;&gt;"",Q1146&lt;&gt;"",Q1153&lt;&gt;"",Q1160&lt;&gt;"",Q1167&lt;&gt;""),COUNTIF(Q1139:Q1139,"W")+COUNTIF(Q1146:Q1146,"W")+COUNTIF(Q1153:Q1153,"W")+COUNTIF(Q1160:Q1160,"W")+COUNTIF(Q1167:Q1167,"W"),"")</f>
        <v/>
      </c>
      <c r="J1172" s="323"/>
      <c r="L1172" s="2" t="s">
        <v>1228</v>
      </c>
      <c r="M1172" s="53" t="str">
        <f>K1131</f>
        <v>I</v>
      </c>
      <c r="N1172" s="3" t="s">
        <v>1226</v>
      </c>
      <c r="R1172" s="300" t="str">
        <f>K1131</f>
        <v>I</v>
      </c>
      <c r="S1172" s="331" t="str">
        <f ca="1">IF($B1160&lt;&gt;"",$B1160,"")</f>
        <v/>
      </c>
      <c r="T1172" s="332"/>
      <c r="U1172" s="332"/>
      <c r="V1172" s="332"/>
      <c r="W1172" s="332"/>
      <c r="X1172" s="333"/>
      <c r="Y1172" s="329"/>
      <c r="Z1172" s="329"/>
      <c r="AA1172" s="351"/>
      <c r="AB1172" s="351"/>
      <c r="AC1172" s="351"/>
      <c r="AD1172" s="363" t="s">
        <v>1237</v>
      </c>
      <c r="AE1172" s="358"/>
      <c r="AF1172" s="359"/>
    </row>
    <row r="1173" spans="1:32" ht="12.75" customHeight="1">
      <c r="F1173" s="25" t="s">
        <v>3996</v>
      </c>
      <c r="G1173" s="23"/>
      <c r="H1173" s="23"/>
      <c r="I1173" s="23"/>
      <c r="J1173" s="23"/>
      <c r="K1173" s="24"/>
      <c r="R1173" s="330"/>
      <c r="S1173" s="334"/>
      <c r="T1173" s="335"/>
      <c r="U1173" s="335"/>
      <c r="V1173" s="335"/>
      <c r="W1173" s="335"/>
      <c r="X1173" s="336"/>
      <c r="Y1173" s="330"/>
      <c r="Z1173" s="330"/>
      <c r="AA1173" s="330"/>
      <c r="AB1173" s="330"/>
      <c r="AC1173" s="330"/>
      <c r="AD1173" s="360"/>
      <c r="AE1173" s="361"/>
      <c r="AF1173" s="362"/>
    </row>
    <row r="1174" spans="1:32" ht="12.75" customHeight="1">
      <c r="R1174" s="1"/>
      <c r="S1174" s="110"/>
      <c r="T1174" s="110"/>
      <c r="U1174" s="110"/>
      <c r="V1174" s="110"/>
      <c r="W1174" s="110"/>
      <c r="X1174" s="111"/>
      <c r="Y1174" s="111"/>
      <c r="Z1174" s="111"/>
      <c r="AA1174" s="111"/>
    </row>
    <row r="1175" spans="1:32" ht="12.75" customHeight="1">
      <c r="F1175" s="246" t="s">
        <v>4929</v>
      </c>
      <c r="G1175" s="246"/>
      <c r="H1175" s="246"/>
      <c r="I1175" s="246"/>
      <c r="R1175" s="1"/>
      <c r="S1175" s="110"/>
      <c r="T1175" s="110"/>
      <c r="U1175" s="110"/>
      <c r="V1175" s="110"/>
      <c r="W1175" s="110"/>
      <c r="X1175" s="111"/>
      <c r="Y1175" s="111"/>
      <c r="Z1175" s="111"/>
      <c r="AA1175" s="111"/>
    </row>
    <row r="1176" spans="1:32" ht="12.75" customHeight="1">
      <c r="F1176" s="246" t="s">
        <v>4930</v>
      </c>
      <c r="G1176" s="246"/>
      <c r="H1176" s="246"/>
      <c r="I1176" s="246"/>
      <c r="R1176" s="1"/>
      <c r="S1176" s="110"/>
      <c r="T1176" s="110"/>
      <c r="U1176" s="110"/>
      <c r="V1176" s="110"/>
      <c r="W1176" s="110"/>
      <c r="X1176" s="111"/>
      <c r="Y1176" s="111"/>
      <c r="Z1176" s="111"/>
      <c r="AA1176" s="111"/>
    </row>
    <row r="1177" spans="1:32" ht="12.75" customHeight="1">
      <c r="K1177" s="281" t="s">
        <v>1244</v>
      </c>
      <c r="L1177" s="281"/>
      <c r="M1177" s="281"/>
      <c r="N1177" s="281"/>
      <c r="O1177" s="281"/>
      <c r="P1177" s="281"/>
      <c r="R1177" s="1"/>
      <c r="S1177" s="110"/>
      <c r="T1177" s="110"/>
      <c r="U1177" s="110"/>
      <c r="V1177" s="110"/>
      <c r="W1177" s="110"/>
      <c r="X1177" s="111"/>
      <c r="Y1177" s="111"/>
      <c r="Z1177" s="111"/>
      <c r="AA1177" s="111"/>
    </row>
    <row r="1178" spans="1:32" ht="12.75" customHeight="1">
      <c r="A1178" s="12" t="s">
        <v>1229</v>
      </c>
      <c r="B1178" s="11"/>
      <c r="C1178" s="11"/>
      <c r="D1178" s="11" t="str">
        <f>Draw!$B$1</f>
        <v>Enter Division Name</v>
      </c>
      <c r="E1178" s="11"/>
      <c r="F1178" s="7"/>
      <c r="G1178" s="6"/>
      <c r="H1178" s="7"/>
      <c r="I1178" s="11"/>
      <c r="J1178" s="11"/>
      <c r="K1178" s="11"/>
      <c r="L1178" s="11"/>
      <c r="M1178" s="281"/>
      <c r="N1178" s="281"/>
      <c r="O1178" s="281"/>
      <c r="P1178" s="281"/>
      <c r="R1178" s="1"/>
      <c r="S1178" s="110"/>
      <c r="T1178" s="110"/>
      <c r="U1178" s="110"/>
      <c r="V1178" s="110"/>
      <c r="W1178" s="110"/>
      <c r="X1178" s="111"/>
      <c r="Y1178" s="111"/>
      <c r="Z1178" s="111"/>
      <c r="AA1178" s="111"/>
    </row>
    <row r="1179" spans="1:32" ht="12.75" customHeight="1">
      <c r="A1179" s="2" t="s">
        <v>1230</v>
      </c>
      <c r="D1179" s="43" t="str">
        <f>Draw!$D$1</f>
        <v>Enter Hosting Location (City, ST)</v>
      </c>
      <c r="J1179" s="43" t="str">
        <f ca="1">$J$6</f>
        <v>[NCTTA Teams Template (v2.06).xlsx]</v>
      </c>
      <c r="R1179" s="1"/>
      <c r="S1179" s="110"/>
      <c r="T1179" s="110"/>
      <c r="U1179" s="110"/>
      <c r="V1179" s="110"/>
      <c r="W1179" s="110"/>
      <c r="X1179" s="111"/>
      <c r="Y1179" s="111"/>
      <c r="Z1179" s="111"/>
      <c r="AA1179" s="111"/>
    </row>
    <row r="1180" spans="1:32" ht="12.75" customHeight="1">
      <c r="A1180" s="2" t="s">
        <v>1231</v>
      </c>
      <c r="D1180" s="337" t="str">
        <f>Draw!$P$1</f>
        <v>Enter Date</v>
      </c>
      <c r="E1180" s="337"/>
      <c r="F1180" s="337"/>
      <c r="G1180" s="337"/>
      <c r="J1180" s="280" t="str">
        <f>CHOOSE(Draw!$T$1,"Round 4, Match 6","Round 3, Match 6","","","","","","Round 6, Match 4","Round 6, Match 4","Round 5, Match 4","Round 5, Match 4")</f>
        <v/>
      </c>
      <c r="K1180" s="280"/>
      <c r="L1180" s="280"/>
      <c r="M1180" s="276" t="str">
        <f>IF(AND($J1180&lt;&gt;"",Draw!$AC$10&lt;&gt;"",Draw!$AC$13&lt;&gt;""),Draw!$AC$10+TIME(0,VALUE(MID($J1180,7,FIND(",",$J1180)-FIND(" ",$J1180)-1)-1)*Draw!$AC$13,0),"")</f>
        <v/>
      </c>
      <c r="N1180" s="276"/>
      <c r="O1180" s="157" t="str">
        <f>$F1223</f>
        <v>A-J</v>
      </c>
      <c r="R1180" s="1"/>
      <c r="S1180" s="110"/>
      <c r="T1180" s="110"/>
      <c r="U1180" s="110"/>
      <c r="V1180" s="110"/>
      <c r="W1180" s="110"/>
      <c r="X1180" s="111"/>
      <c r="Y1180" s="111"/>
      <c r="Z1180" s="111"/>
      <c r="AA1180" s="111"/>
    </row>
    <row r="1181" spans="1:32" ht="12.75" customHeight="1">
      <c r="A1181" s="14"/>
      <c r="B1181" s="15"/>
      <c r="C1181" s="15"/>
      <c r="D1181" s="15"/>
      <c r="E1181" s="15"/>
      <c r="F1181" s="14"/>
      <c r="G1181" s="14"/>
      <c r="H1181" s="16"/>
      <c r="I1181" s="14"/>
      <c r="J1181" s="15"/>
      <c r="K1181" s="15"/>
      <c r="L1181" s="15"/>
      <c r="M1181" s="15"/>
      <c r="N1181" s="15"/>
      <c r="O1181" s="364" t="str">
        <f>IF(OR(AND(VLOOKUP($B1182,$AM$1:$AX$12,12,FALSE)="C",VLOOKUP($K1182,$AM$1:$AX$12,12,FALSE)="C"),AND(VLOOKUP($B1182,$AM$1:$AX$12,12,FALSE)="W",VLOOKUP($K1182,$AM$1:$AX$12,12,FALSE)="W")),"Official",IF(AND($A1183="",$J1183=""),"","Scrimmage"))</f>
        <v/>
      </c>
      <c r="P1181" s="364"/>
      <c r="R1181" s="1"/>
      <c r="S1181" s="110"/>
      <c r="T1181" s="110"/>
      <c r="U1181" s="110"/>
      <c r="V1181" s="110"/>
      <c r="W1181" s="110"/>
      <c r="X1181" s="111"/>
      <c r="Y1181" s="111"/>
      <c r="Z1181" s="111"/>
      <c r="AA1181" s="111"/>
    </row>
    <row r="1182" spans="1:32" ht="12.75" customHeight="1">
      <c r="A1182" s="17" t="s">
        <v>1228</v>
      </c>
      <c r="B1182" s="119" t="str">
        <f>CHOOSE(Draw!$T$1,"C","K","A","B","B","B","A","E","H","B","F")</f>
        <v>A</v>
      </c>
      <c r="C1182" s="135">
        <f>VLOOKUP($B1182,$AM$1:$AN$12,2)</f>
        <v>1</v>
      </c>
      <c r="D1182" s="13"/>
      <c r="E1182" s="13"/>
      <c r="F1182" s="10"/>
      <c r="H1182" s="19" t="s">
        <v>1232</v>
      </c>
      <c r="J1182" s="17" t="s">
        <v>1228</v>
      </c>
      <c r="K1182" s="119" t="str">
        <f>CHOOSE(Draw!$T$1,"D","L","J","F","L","I","J","F","I","H","I")</f>
        <v>J</v>
      </c>
      <c r="L1182" s="135">
        <f>VLOOKUP($K1182,$AM$1:$AN$12,2)</f>
        <v>10</v>
      </c>
      <c r="M1182" s="13"/>
      <c r="N1182" s="13"/>
      <c r="O1182" s="18"/>
      <c r="P1182" s="274"/>
      <c r="Q1182" s="275"/>
      <c r="R1182" s="1"/>
      <c r="S1182" s="110"/>
      <c r="T1182" s="110"/>
      <c r="U1182" s="110"/>
      <c r="V1182" s="110"/>
      <c r="W1182" s="110"/>
      <c r="X1182" s="111"/>
      <c r="Y1182" s="111"/>
      <c r="Z1182" s="111"/>
      <c r="AA1182" s="111"/>
    </row>
    <row r="1183" spans="1:32" ht="12.75" customHeight="1">
      <c r="A1183" s="277" t="str">
        <f>IF(VLOOKUP($B1182,Draw!$A$4:$B$27,2)&lt;&gt;0,VLOOKUP($B1182,Draw!$A$4:$B$27,2),"")</f>
        <v/>
      </c>
      <c r="B1183" s="278"/>
      <c r="C1183" s="278"/>
      <c r="D1183" s="278"/>
      <c r="E1183" s="278"/>
      <c r="F1183" s="279"/>
      <c r="G1183" s="306" t="s">
        <v>4175</v>
      </c>
      <c r="H1183" s="289"/>
      <c r="I1183" s="307"/>
      <c r="J1183" s="277" t="str">
        <f>IF(VLOOKUP($K1182,Draw!$A$4:$B$27,2)&lt;&gt;0,VLOOKUP($K1182,Draw!$A$4:$B$27,2),"")</f>
        <v/>
      </c>
      <c r="K1183" s="278"/>
      <c r="L1183" s="278"/>
      <c r="M1183" s="278"/>
      <c r="N1183" s="278"/>
      <c r="O1183" s="279"/>
      <c r="P1183" s="15"/>
      <c r="R1183" s="1"/>
      <c r="S1183" s="110"/>
      <c r="T1183" s="110"/>
      <c r="U1183" s="110"/>
      <c r="V1183" s="110"/>
      <c r="W1183" s="110"/>
      <c r="X1183" s="111"/>
      <c r="Y1183" s="111"/>
      <c r="Z1183" s="111"/>
      <c r="AA1183" s="111"/>
    </row>
    <row r="1184" spans="1:32" ht="12.75" customHeight="1">
      <c r="A1184" s="14"/>
      <c r="B1184" s="15"/>
      <c r="C1184" s="15"/>
      <c r="D1184" s="15"/>
      <c r="E1184" s="15"/>
      <c r="F1184" s="14"/>
      <c r="G1184" s="288" t="str">
        <f>"Page "&amp;VALUE(RIGHT($G1183,LEN($G1183)-SEARCH("-",$G1183)))/2</f>
        <v>Page 24</v>
      </c>
      <c r="H1184" s="289"/>
      <c r="I1184" s="289"/>
      <c r="J1184" s="15"/>
      <c r="K1184" s="15"/>
      <c r="L1184" s="15"/>
      <c r="M1184" s="15"/>
      <c r="N1184" s="15"/>
      <c r="O1184" s="15"/>
      <c r="P1184" s="15"/>
      <c r="R1184" s="1"/>
      <c r="S1184" s="110"/>
      <c r="T1184" s="110"/>
      <c r="U1184" s="110"/>
      <c r="V1184" s="110"/>
      <c r="W1184" s="110"/>
      <c r="X1184" s="111"/>
      <c r="Y1184" s="111"/>
      <c r="Z1184" s="111"/>
      <c r="AA1184" s="111"/>
      <c r="AF1184" s="27"/>
    </row>
    <row r="1185" spans="1:32" ht="12.75" customHeight="1">
      <c r="A1185" s="327" t="s">
        <v>1245</v>
      </c>
      <c r="B1185" s="327"/>
      <c r="C1185" s="327"/>
      <c r="D1185" s="327"/>
      <c r="E1185" s="327"/>
      <c r="F1185" s="327"/>
      <c r="G1185" s="327"/>
      <c r="H1185" s="327"/>
      <c r="I1185" s="327"/>
      <c r="J1185" s="327"/>
      <c r="K1185" s="327"/>
      <c r="L1185" s="327"/>
      <c r="M1185" s="327"/>
      <c r="N1185" s="327"/>
      <c r="O1185" s="327"/>
      <c r="P1185" s="327"/>
      <c r="Q1185" s="7"/>
      <c r="R1185" s="1"/>
      <c r="S1185" s="110"/>
      <c r="T1185" s="110"/>
      <c r="U1185" s="110"/>
      <c r="V1185" s="110"/>
      <c r="W1185" s="110"/>
      <c r="X1185" s="111"/>
      <c r="Y1185" s="111"/>
      <c r="Z1185" s="111"/>
      <c r="AA1185" s="111"/>
      <c r="AF1185" s="20"/>
    </row>
    <row r="1186" spans="1:32" ht="12.75" customHeight="1">
      <c r="A1186" s="21" t="s">
        <v>1233</v>
      </c>
      <c r="H1186" s="136" t="str">
        <f>IF($Q1188&lt;&gt;"",IF(AND(AND($H1188&gt;-1,$H1190&gt;-1),OR($H1188&gt;10,$H1190&gt;10),ABS($H1188-$H1190)&gt;1,IF(OR($H1188&gt;11,$H1190&gt;11),ABS($H1188-$H1190)=2,TRUE),$H1188=INT($H1188),$H1190=INT($H1190)),"","Error"),"")</f>
        <v/>
      </c>
      <c r="I1186" s="136" t="str">
        <f>IF($Q1188&lt;&gt;"",IF(AND(AND($I1188&gt;-1,$I1190&gt;-1),OR($I1188&gt;10,$I1190&gt;10),ABS($I1188-$I1190)&gt;1,IF(OR($I1188&gt;11,$I1190&gt;11),ABS($I1188-$I1190)=2,TRUE),$I1188=INT($I1188),$I1190=INT($I1190)),"","Error"),"")</f>
        <v/>
      </c>
      <c r="J1186" s="136" t="str">
        <f>IF($Q1188&lt;&gt;"",IF(AND(AND($J1188&gt;-1,$J1190&gt;-1),OR($J1188&gt;10,$J1190&gt;10),ABS($J1188-$J1190)&gt;1,IF(OR($J1188&gt;11,$J1190&gt;11),ABS($J1188-$J1190)=2,TRUE),$J1188=INT($J1188),$J1190=INT($J1190)),"","Error"),"")</f>
        <v/>
      </c>
      <c r="K1186" s="136" t="str">
        <f>IF($Q1188&lt;&gt;"",IF(AND($K1188&lt;&gt;"",$K1190&lt;&gt;""), IF(AND(AND($K1188&gt;-1,$K1190&gt;-1),OR($K1188&gt;10,$K1190&gt;10),ABS($K1188-$K1190)&gt;1,IF(OR($K1188&gt;11,$K1190&gt;11),ABS($K1188-$K1190)=2,TRUE),$K1188=INT($K1188),$K1190=INT($K1190)),"","Error"),""),"")</f>
        <v/>
      </c>
      <c r="L1186" s="136" t="str">
        <f>IF($Q1188&lt;&gt;"",IF(AND($L1188&lt;&gt;"",$L1190&lt;&gt;""), IF(AND(AND($L1188&gt;-1,$L1190&gt;-1),OR($L1188&gt;10,$L1190&gt;10),ABS($L1188-$L1190)&gt;1,IF(OR($L1188&gt;11,$L1190&gt;11),ABS($L1188-$L1190)=2,TRUE),$L1188=INT($L1188),$L1190=INT($L1190)),"","Error"),""),"")</f>
        <v/>
      </c>
      <c r="R1186" s="1"/>
      <c r="S1186" s="110"/>
      <c r="T1186" s="110"/>
      <c r="U1186" s="110"/>
      <c r="V1186" s="110"/>
      <c r="W1186" s="110"/>
      <c r="X1186" s="111"/>
      <c r="Y1186" s="111"/>
      <c r="Z1186" s="111"/>
      <c r="AA1186" s="111"/>
    </row>
    <row r="1187" spans="1:32" ht="12.75" customHeight="1">
      <c r="A1187" s="5" t="s">
        <v>1228</v>
      </c>
      <c r="B1187" s="290" t="s">
        <v>1126</v>
      </c>
      <c r="C1187" s="291"/>
      <c r="D1187" s="291"/>
      <c r="E1187" s="291"/>
      <c r="F1187" s="291"/>
      <c r="G1187" s="292"/>
      <c r="H1187" s="5">
        <v>1</v>
      </c>
      <c r="I1187" s="5">
        <v>2</v>
      </c>
      <c r="J1187" s="5">
        <v>3</v>
      </c>
      <c r="K1187" s="5">
        <v>4</v>
      </c>
      <c r="L1187" s="5">
        <v>5</v>
      </c>
      <c r="M1187" s="271"/>
      <c r="N1187" s="272"/>
      <c r="O1187" s="272"/>
      <c r="P1187" s="273"/>
      <c r="R1187" s="1"/>
      <c r="S1187" s="110"/>
      <c r="T1187" s="110"/>
      <c r="U1187" s="110"/>
      <c r="V1187" s="110"/>
      <c r="W1187" s="110"/>
      <c r="X1187" s="111"/>
      <c r="Y1187" s="111"/>
      <c r="Z1187" s="111"/>
      <c r="AA1187" s="111"/>
    </row>
    <row r="1188" spans="1:32" ht="12.75" customHeight="1">
      <c r="A1188" s="300" t="str">
        <f>B1182</f>
        <v>A</v>
      </c>
      <c r="B1188" s="293" t="str">
        <f ca="1">IF(AND(OFFSET($AO$1,$C1182-1,8,1,1),$A1183&lt;&gt;"",$J1183&lt;&gt;""),CHOOSE($C1182,$AO$1,$AO$2,$AO$3,$AO$4,$AO$5,$AO$6,$AO$7,$AO$8,$AO$9,$AO$10,$AO$11,$AO$12),"")</f>
        <v/>
      </c>
      <c r="C1188" s="294"/>
      <c r="D1188" s="294"/>
      <c r="E1188" s="294"/>
      <c r="F1188" s="294"/>
      <c r="G1188" s="294"/>
      <c r="H1188" s="265"/>
      <c r="I1188" s="265"/>
      <c r="J1188" s="265"/>
      <c r="K1188" s="265"/>
      <c r="L1188" s="265"/>
      <c r="M1188" s="297"/>
      <c r="N1188" s="298"/>
      <c r="O1188" s="298"/>
      <c r="P1188" s="299"/>
      <c r="Q1188" s="137" t="str">
        <f>IF($L1188=$L1190,IF($K1188=$K1190,IF($J1188&lt;&gt;"",IF($J1188&gt;$J1190,"W","L"),""),IF($K1188&gt;$K1190,"W","L")),IF($L1188&gt;$L1190,"W","L"))</f>
        <v/>
      </c>
      <c r="R1188" s="1"/>
      <c r="S1188" s="110"/>
      <c r="T1188" s="110"/>
      <c r="U1188" s="110"/>
      <c r="V1188" s="110"/>
      <c r="W1188" s="110"/>
      <c r="X1188" s="111"/>
      <c r="Y1188" s="111"/>
      <c r="Z1188" s="111"/>
      <c r="AA1188" s="111"/>
    </row>
    <row r="1189" spans="1:32" ht="12.75" customHeight="1">
      <c r="A1189" s="301"/>
      <c r="B1189" s="295"/>
      <c r="C1189" s="296"/>
      <c r="D1189" s="296"/>
      <c r="E1189" s="296"/>
      <c r="F1189" s="296"/>
      <c r="G1189" s="296"/>
      <c r="H1189" s="270"/>
      <c r="I1189" s="270"/>
      <c r="J1189" s="270"/>
      <c r="K1189" s="270"/>
      <c r="L1189" s="270"/>
      <c r="M1189" s="297"/>
      <c r="N1189" s="298"/>
      <c r="O1189" s="298"/>
      <c r="P1189" s="299"/>
      <c r="Q1189" s="139" t="str">
        <f>IF($Q1188&lt;&gt;"",IF($Q1188="W",IF(SUM(IF($H1188&gt;$H1190,1,0),IF($I1188&gt;$I1190,1,0),IF($J1188&gt;$J1190,1,0),IF($K1188&gt;$K1190,1,0),IF($L1188&gt;$L1190,1,0))&lt;&gt;3,"Error",""),""),"")</f>
        <v/>
      </c>
      <c r="R1189" s="328" t="str">
        <f>$A1183</f>
        <v/>
      </c>
      <c r="S1189" s="328"/>
      <c r="T1189" s="328"/>
      <c r="U1189" s="328"/>
      <c r="V1189" s="328"/>
      <c r="W1189" s="328"/>
      <c r="X1189" s="256" t="str">
        <f>CONCATENATE("(",$B1182," vs ",$K1182,")")</f>
        <v>(A vs J)</v>
      </c>
      <c r="Y1189" s="256"/>
      <c r="Z1189" s="328" t="str">
        <f>$J1183</f>
        <v/>
      </c>
      <c r="AA1189" s="328"/>
      <c r="AB1189" s="328"/>
      <c r="AC1189" s="328"/>
      <c r="AD1189" s="328"/>
      <c r="AE1189" s="328"/>
      <c r="AF1189" s="43"/>
    </row>
    <row r="1190" spans="1:32" ht="12.75" customHeight="1">
      <c r="A1190" s="300" t="str">
        <f>K1182</f>
        <v>J</v>
      </c>
      <c r="B1190" s="293" t="str">
        <f ca="1">IF(AND(OFFSET($AO$1,$L1182-1,8,1,1),$A1183&lt;&gt;"",$J1183&lt;&gt;""),CHOOSE($L1182,$AO$1,$AO$2,$AO$3,$AO$4,$AO$5,$AO$6,$AO$7,$AO$8,$AO$9,$AO$10,$AO$11,$AO$12),"")</f>
        <v/>
      </c>
      <c r="C1190" s="294"/>
      <c r="D1190" s="294"/>
      <c r="E1190" s="294"/>
      <c r="F1190" s="294"/>
      <c r="G1190" s="294"/>
      <c r="H1190" s="265"/>
      <c r="I1190" s="265"/>
      <c r="J1190" s="265"/>
      <c r="K1190" s="265"/>
      <c r="L1190" s="265"/>
      <c r="M1190" s="267" t="s">
        <v>1237</v>
      </c>
      <c r="N1190" s="268"/>
      <c r="O1190" s="268"/>
      <c r="P1190" s="269"/>
      <c r="Q1190" s="137" t="str">
        <f>IF($Q1188&lt;&gt;"",IF($Q1188="W","L","W"),"")</f>
        <v/>
      </c>
      <c r="R1190" s="43"/>
      <c r="S1190" s="43"/>
      <c r="T1190" s="43"/>
      <c r="U1190" s="43"/>
      <c r="V1190" s="43"/>
      <c r="W1190" s="43"/>
      <c r="X1190" s="43"/>
      <c r="Y1190" s="43"/>
      <c r="Z1190" s="43"/>
      <c r="AA1190" s="43"/>
      <c r="AB1190" s="43"/>
      <c r="AC1190" s="43"/>
      <c r="AD1190" s="43"/>
      <c r="AE1190" s="43"/>
      <c r="AF1190" s="43"/>
    </row>
    <row r="1191" spans="1:32" ht="12.75" customHeight="1">
      <c r="A1191" s="301"/>
      <c r="B1191" s="295"/>
      <c r="C1191" s="296"/>
      <c r="D1191" s="296"/>
      <c r="E1191" s="296"/>
      <c r="F1191" s="296"/>
      <c r="G1191" s="296"/>
      <c r="H1191" s="270"/>
      <c r="I1191" s="270"/>
      <c r="J1191" s="266"/>
      <c r="K1191" s="266"/>
      <c r="L1191" s="266"/>
      <c r="M1191" s="267"/>
      <c r="N1191" s="268"/>
      <c r="O1191" s="268"/>
      <c r="P1191" s="269"/>
      <c r="Q1191" s="139" t="str">
        <f>IF($Q1190&lt;&gt;"",IF($Q1190="W",IF(SUM(IF($H1190&gt;$H1188,1,0),IF($I1190&gt;$I1188,1,0),IF($J1190&gt;$J1188,1,0),IF($K1190&gt;$K1188,1,0),IF($L1190&gt;$L1188,1,0))&lt;&gt;3,"Error",""),""),"")</f>
        <v/>
      </c>
      <c r="R1191" s="43" t="str">
        <f>$A1193</f>
        <v>2nd Singles</v>
      </c>
      <c r="S1191" s="43"/>
      <c r="T1191" s="43"/>
      <c r="U1191" s="43"/>
      <c r="V1191" s="43"/>
      <c r="W1191" s="43"/>
      <c r="X1191" s="43"/>
      <c r="Y1191" s="43"/>
      <c r="Z1191" s="43"/>
      <c r="AA1191" s="43"/>
      <c r="AB1191" s="43"/>
      <c r="AC1191" s="43"/>
      <c r="AD1191" s="43"/>
      <c r="AE1191" s="43"/>
      <c r="AF1191" s="43"/>
    </row>
    <row r="1192" spans="1:32" ht="12.75" customHeight="1">
      <c r="Q1192" s="7"/>
      <c r="R1192" s="60" t="s">
        <v>1228</v>
      </c>
      <c r="S1192" s="339" t="s">
        <v>1126</v>
      </c>
      <c r="T1192" s="340"/>
      <c r="U1192" s="340"/>
      <c r="V1192" s="340"/>
      <c r="W1192" s="340"/>
      <c r="X1192" s="341"/>
      <c r="Y1192" s="60">
        <v>1</v>
      </c>
      <c r="Z1192" s="60">
        <v>2</v>
      </c>
      <c r="AA1192" s="60">
        <v>3</v>
      </c>
      <c r="AB1192" s="60">
        <v>4</v>
      </c>
      <c r="AC1192" s="60">
        <v>5</v>
      </c>
      <c r="AD1192" s="342"/>
      <c r="AE1192" s="343"/>
      <c r="AF1192" s="344"/>
    </row>
    <row r="1193" spans="1:32" ht="12.75" customHeight="1">
      <c r="A1193" s="21" t="s">
        <v>1234</v>
      </c>
      <c r="H1193" s="136" t="str">
        <f>IF($Q1195&lt;&gt;"",IF(AND(AND($H1195&gt;-1,$H1197&gt;-1),OR($H1195&gt;10,$H1197&gt;10),ABS($H1195-$H1197)&gt;1,IF(OR($H1195&gt;11,$H1197&gt;11),ABS($H1195-$H1197)=2,TRUE),$H1195=INT($H1195),$H1197=INT($H1197)),"","Error"),"")</f>
        <v/>
      </c>
      <c r="I1193" s="136" t="str">
        <f>IF($Q1195&lt;&gt;"",IF(AND(AND($I1195&gt;-1,$I1197&gt;-1),OR($I1195&gt;10,$I1197&gt;10),ABS($I1195-$I1197)&gt;1,IF(OR($I1195&gt;11,$I1197&gt;11),ABS($I1195-$I1197)=2,TRUE),$I1195=INT($I1195),$I1197=INT($I1197)),"","Error"),"")</f>
        <v/>
      </c>
      <c r="J1193" s="136" t="str">
        <f>IF($Q1195&lt;&gt;"",IF(AND(AND($J1195&gt;-1,$J1197&gt;-1),OR($J1195&gt;10,$J1197&gt;10),ABS($J1195-$J1197)&gt;1,IF(OR($J1195&gt;11,$J1197&gt;11),ABS($J1195-$J1197)=2,TRUE),$J1195=INT($J1195),$J1197=INT($J1197)),"","Error"),"")</f>
        <v/>
      </c>
      <c r="K1193" s="136" t="str">
        <f>IF($Q1195&lt;&gt;"",IF(AND($K1195&lt;&gt;"",$K1197&lt;&gt;""), IF(AND(AND($K1195&gt;-1,$K1197&gt;-1),OR($K1195&gt;10,$K1197&gt;10),ABS($K1195-$K1197)&gt;1,IF(OR($K1195&gt;11,$K1197&gt;11),ABS($K1195-$K1197)=2,TRUE),$K1195=INT($K1195),$K1197=INT($K1197)),"","Error"),""),"")</f>
        <v/>
      </c>
      <c r="L1193" s="136" t="str">
        <f>IF($Q1195&lt;&gt;"",IF(AND($L1195&lt;&gt;"",$L1197&lt;&gt;""), IF(AND(AND($L1195&gt;-1,$L1197&gt;-1),OR($L1195&gt;10,$L1197&gt;10),ABS($L1195-$L1197)&gt;1,IF(OR($L1195&gt;11,$L1197&gt;11),ABS($L1195-$L1197)=2,TRUE),$L1195=INT($L1195),$L1197=INT($L1197)),"","Error"),""),"")</f>
        <v/>
      </c>
      <c r="Q1193" s="7"/>
      <c r="R1193" s="300" t="str">
        <f>$B1182</f>
        <v>A</v>
      </c>
      <c r="S1193" s="331" t="str">
        <f ca="1">IF($B1195&lt;&gt;"",$B1195,"")</f>
        <v/>
      </c>
      <c r="T1193" s="332"/>
      <c r="U1193" s="332"/>
      <c r="V1193" s="332"/>
      <c r="W1193" s="332"/>
      <c r="X1193" s="333"/>
      <c r="Y1193" s="329"/>
      <c r="Z1193" s="329"/>
      <c r="AA1193" s="329"/>
      <c r="AB1193" s="329"/>
      <c r="AC1193" s="329"/>
      <c r="AD1193" s="345"/>
      <c r="AE1193" s="358"/>
      <c r="AF1193" s="359"/>
    </row>
    <row r="1194" spans="1:32" ht="12.75" customHeight="1">
      <c r="A1194" s="5" t="s">
        <v>1228</v>
      </c>
      <c r="B1194" s="290" t="s">
        <v>1126</v>
      </c>
      <c r="C1194" s="291"/>
      <c r="D1194" s="291"/>
      <c r="E1194" s="291"/>
      <c r="F1194" s="291"/>
      <c r="G1194" s="292"/>
      <c r="H1194" s="5">
        <v>1</v>
      </c>
      <c r="I1194" s="5">
        <v>2</v>
      </c>
      <c r="J1194" s="5">
        <v>3</v>
      </c>
      <c r="K1194" s="5">
        <v>4</v>
      </c>
      <c r="L1194" s="5">
        <v>5</v>
      </c>
      <c r="M1194" s="271"/>
      <c r="N1194" s="272"/>
      <c r="O1194" s="272"/>
      <c r="P1194" s="273"/>
      <c r="Q1194" s="7"/>
      <c r="R1194" s="330"/>
      <c r="S1194" s="334"/>
      <c r="T1194" s="335"/>
      <c r="U1194" s="335"/>
      <c r="V1194" s="335"/>
      <c r="W1194" s="335"/>
      <c r="X1194" s="336"/>
      <c r="Y1194" s="330"/>
      <c r="Z1194" s="330"/>
      <c r="AA1194" s="330"/>
      <c r="AB1194" s="330"/>
      <c r="AC1194" s="330"/>
      <c r="AD1194" s="360"/>
      <c r="AE1194" s="361"/>
      <c r="AF1194" s="362"/>
    </row>
    <row r="1195" spans="1:32" ht="12.75" customHeight="1">
      <c r="A1195" s="300" t="str">
        <f>B1182</f>
        <v>A</v>
      </c>
      <c r="B1195" s="293" t="str">
        <f ca="1">IF(AND(OFFSET($AO$1,$C1182-1,8,1,1),$A1183&lt;&gt;"",$J1183&lt;&gt;""),CHOOSE($C1182,$AP$1,$AP$2,$AP$3,$AP$4,$AP$5,$AP$6,$AP$7,$AP$8,$AP$9,$AP$10,$AP$11,$AP$12),"")</f>
        <v/>
      </c>
      <c r="C1195" s="294"/>
      <c r="D1195" s="294"/>
      <c r="E1195" s="294"/>
      <c r="F1195" s="294"/>
      <c r="G1195" s="294"/>
      <c r="H1195" s="265"/>
      <c r="I1195" s="265"/>
      <c r="J1195" s="265"/>
      <c r="K1195" s="265"/>
      <c r="L1195" s="265"/>
      <c r="M1195" s="262" t="str">
        <f ca="1">IF(OR(AND($B1188&lt;&gt;"",$B1195&lt;&gt;"",$C1213&lt;=$B1213),AND($B1190&lt;&gt;"",$B1197&lt;&gt;"",$G1213&lt;=$F1213)),"Invalid Lineup","")</f>
        <v/>
      </c>
      <c r="N1195" s="263"/>
      <c r="O1195" s="263"/>
      <c r="P1195" s="264"/>
      <c r="Q1195" s="137" t="str">
        <f>IF($L1195=$L1197,IF($K1195=$K1197,IF($J1195&lt;&gt;"",IF($J1195&gt;$J1197,"W","L"),""),IF($K1195&gt;$K1197,"W","L")),IF($L1195&gt;$L1197,"W","L"))</f>
        <v/>
      </c>
      <c r="R1195" s="300" t="str">
        <f>$K1182</f>
        <v>J</v>
      </c>
      <c r="S1195" s="331" t="str">
        <f ca="1">IF($B1197&lt;&gt;"",$B1197,"")</f>
        <v/>
      </c>
      <c r="T1195" s="332"/>
      <c r="U1195" s="332"/>
      <c r="V1195" s="332"/>
      <c r="W1195" s="332"/>
      <c r="X1195" s="333"/>
      <c r="Y1195" s="329"/>
      <c r="Z1195" s="329"/>
      <c r="AA1195" s="329"/>
      <c r="AB1195" s="329"/>
      <c r="AC1195" s="351"/>
      <c r="AD1195" s="363" t="s">
        <v>1237</v>
      </c>
      <c r="AE1195" s="358"/>
      <c r="AF1195" s="359"/>
    </row>
    <row r="1196" spans="1:32" ht="12.75" customHeight="1">
      <c r="A1196" s="301"/>
      <c r="B1196" s="295"/>
      <c r="C1196" s="296"/>
      <c r="D1196" s="296"/>
      <c r="E1196" s="296"/>
      <c r="F1196" s="296"/>
      <c r="G1196" s="296"/>
      <c r="H1196" s="270"/>
      <c r="I1196" s="270"/>
      <c r="J1196" s="270"/>
      <c r="K1196" s="270"/>
      <c r="L1196" s="270"/>
      <c r="M1196" s="262"/>
      <c r="N1196" s="263"/>
      <c r="O1196" s="263"/>
      <c r="P1196" s="264"/>
      <c r="Q1196" s="139" t="str">
        <f>IF($Q1195&lt;&gt;"",IF($Q1195="W",IF(SUM(IF($H1195&gt;$H1197,1,0),IF($I1195&gt;$I1197,1,0),IF($J1195&gt;$J1197,1,0),IF($K1195&gt;$K1197,1,0),IF($L1195&gt;$L1197,1,0))&lt;&gt;3,"Error",""),""),"")</f>
        <v/>
      </c>
      <c r="R1196" s="330"/>
      <c r="S1196" s="334"/>
      <c r="T1196" s="335"/>
      <c r="U1196" s="335"/>
      <c r="V1196" s="335"/>
      <c r="W1196" s="335"/>
      <c r="X1196" s="336"/>
      <c r="Y1196" s="330"/>
      <c r="Z1196" s="330"/>
      <c r="AA1196" s="330"/>
      <c r="AB1196" s="330"/>
      <c r="AC1196" s="330"/>
      <c r="AD1196" s="360"/>
      <c r="AE1196" s="361"/>
      <c r="AF1196" s="362"/>
    </row>
    <row r="1197" spans="1:32" ht="12.75" customHeight="1">
      <c r="A1197" s="300" t="str">
        <f>K1182</f>
        <v>J</v>
      </c>
      <c r="B1197" s="293" t="str">
        <f ca="1">IF(AND(OFFSET($AO$1,$L1182-1,8,1,1),$A1183&lt;&gt;"",$J1183&lt;&gt;""),CHOOSE($L1182,$AP$1,$AP$2,$AP$3,$AP$4,$AP$5,$AP$6,$AP$7,$AP$8,$AP$9,$AP$10,$AP$11,$AP$12),"")</f>
        <v/>
      </c>
      <c r="C1197" s="294"/>
      <c r="D1197" s="294"/>
      <c r="E1197" s="294"/>
      <c r="F1197" s="294"/>
      <c r="G1197" s="294"/>
      <c r="H1197" s="265"/>
      <c r="I1197" s="265"/>
      <c r="J1197" s="265"/>
      <c r="K1197" s="265"/>
      <c r="L1197" s="265"/>
      <c r="M1197" s="267" t="s">
        <v>1237</v>
      </c>
      <c r="N1197" s="268"/>
      <c r="O1197" s="268"/>
      <c r="P1197" s="269"/>
      <c r="Q1197" s="137" t="str">
        <f>IF($Q1195&lt;&gt;"",IF($Q1195="W","L","W"),"")</f>
        <v/>
      </c>
      <c r="R1197" s="20"/>
      <c r="S1197" s="20"/>
      <c r="T1197" s="20"/>
      <c r="U1197" s="20"/>
      <c r="V1197" s="20"/>
      <c r="W1197" s="20"/>
      <c r="X1197" s="26"/>
      <c r="Y1197" s="26"/>
      <c r="Z1197" s="20"/>
      <c r="AA1197" s="20"/>
      <c r="AB1197" s="20"/>
      <c r="AC1197" s="20"/>
      <c r="AD1197" s="20"/>
      <c r="AE1197" s="20"/>
      <c r="AF1197" s="27"/>
    </row>
    <row r="1198" spans="1:32" ht="12.75" customHeight="1">
      <c r="A1198" s="301"/>
      <c r="B1198" s="295"/>
      <c r="C1198" s="296"/>
      <c r="D1198" s="296"/>
      <c r="E1198" s="296"/>
      <c r="F1198" s="296"/>
      <c r="G1198" s="296"/>
      <c r="H1198" s="270"/>
      <c r="I1198" s="270"/>
      <c r="J1198" s="266"/>
      <c r="K1198" s="266"/>
      <c r="L1198" s="266"/>
      <c r="M1198" s="267"/>
      <c r="N1198" s="268"/>
      <c r="O1198" s="268"/>
      <c r="P1198" s="269"/>
      <c r="Q1198" s="139" t="str">
        <f>IF($Q1197&lt;&gt;"",IF($Q1197="W",IF(SUM(IF($H1197&gt;$H1195,1,0),IF($I1197&gt;$I1195,1,0),IF($J1197&gt;$J1195,1,0),IF($K1197&gt;$K1195,1,0),IF($L1197&gt;$L1195,1,0))&lt;&gt;3,"Error",""),""),"")</f>
        <v/>
      </c>
      <c r="R1198" s="20"/>
      <c r="S1198" s="20"/>
      <c r="T1198" s="20"/>
      <c r="U1198" s="20"/>
      <c r="V1198" s="20"/>
      <c r="W1198" s="20"/>
      <c r="X1198" s="26"/>
      <c r="Y1198" s="26"/>
      <c r="Z1198" s="20"/>
      <c r="AA1198" s="20"/>
      <c r="AB1198" s="20"/>
      <c r="AC1198" s="20"/>
      <c r="AD1198" s="20"/>
      <c r="AE1198" s="20"/>
      <c r="AF1198" s="27"/>
    </row>
    <row r="1199" spans="1:32" ht="12.75" customHeight="1">
      <c r="Q1199" s="7"/>
      <c r="R1199" s="20"/>
      <c r="S1199" s="20"/>
      <c r="T1199" s="20"/>
      <c r="U1199" s="20"/>
      <c r="V1199" s="20"/>
      <c r="W1199" s="20"/>
      <c r="X1199" s="26"/>
      <c r="Y1199" s="26"/>
      <c r="Z1199" s="20"/>
      <c r="AA1199" s="20"/>
      <c r="AB1199" s="20"/>
      <c r="AC1199" s="20"/>
      <c r="AD1199" s="20"/>
      <c r="AE1199" s="20"/>
      <c r="AF1199" s="27"/>
    </row>
    <row r="1200" spans="1:32" ht="12.75" customHeight="1">
      <c r="A1200" s="21" t="s">
        <v>1235</v>
      </c>
      <c r="H1200" s="136" t="str">
        <f>IF($Q1202&lt;&gt;"",IF(AND(AND($H1202&gt;-1,$H1204&gt;-1),OR($H1202&gt;10,$H1204&gt;10),ABS($H1202-$H1204)&gt;1,IF(OR($H1202&gt;11,$H1204&gt;11),ABS($H1202-$H1204)=2,TRUE),$H1202=INT($H1202),$H1204=INT($H1204)),"","Error"),"")</f>
        <v/>
      </c>
      <c r="I1200" s="136" t="str">
        <f>IF($Q1202&lt;&gt;"",IF(AND(AND($I1202&gt;-1,$I1204&gt;-1),OR($I1202&gt;10,$I1204&gt;10),ABS($I1202-$I1204)&gt;1,IF(OR($I1202&gt;11,$I1204&gt;11),ABS($I1202-$I1204)=2,TRUE),$I1202=INT($I1202),$I1204=INT($I1204)),"","Error"),"")</f>
        <v/>
      </c>
      <c r="J1200" s="136" t="str">
        <f>IF($Q1202&lt;&gt;"",IF(AND(AND($J1202&gt;-1,$J1204&gt;-1),OR($J1202&gt;10,$J1204&gt;10),ABS($J1202-$J1204)&gt;1,IF(OR($J1202&gt;11,$J1204&gt;11),ABS($J1202-$J1204)=2,TRUE),$J1202=INT($J1202),$J1204=INT($J1204)),"","Error"),"")</f>
        <v/>
      </c>
      <c r="K1200" s="136" t="str">
        <f>IF($Q1202&lt;&gt;"",IF(AND($K1202&lt;&gt;"",$K1204&lt;&gt;""), IF(AND(AND($K1202&gt;-1,$K1204&gt;-1),OR($K1202&gt;10,$K1204&gt;10),ABS($K1202-$K1204)&gt;1,IF(OR($K1202&gt;11,$K1204&gt;11),ABS($K1202-$K1204)=2,TRUE),$K1202=INT($K1202),$K1204=INT($K1204)),"","Error"),""),"")</f>
        <v/>
      </c>
      <c r="L1200" s="136" t="str">
        <f>IF($Q1202&lt;&gt;"",IF(AND($L1202&lt;&gt;"",$L1204&lt;&gt;""), IF(AND(AND($L1202&gt;-1,$L1204&gt;-1),OR($L1202&gt;10,$L1204&gt;10),ABS($L1202-$L1204)&gt;1,IF(OR($L1202&gt;11,$L1204&gt;11),ABS($L1202-$L1204)=2,TRUE),$L1202=INT($L1202),$L1204=INT($L1204)),"","Error"),""),"")</f>
        <v/>
      </c>
      <c r="Q1200" s="7"/>
      <c r="R1200" s="20"/>
      <c r="S1200" s="20"/>
      <c r="T1200" s="20"/>
      <c r="U1200" s="20"/>
      <c r="V1200" s="20"/>
      <c r="W1200" s="20"/>
      <c r="X1200" s="26"/>
      <c r="Y1200" s="26"/>
      <c r="Z1200" s="20"/>
      <c r="AA1200" s="20"/>
      <c r="AB1200" s="20"/>
      <c r="AC1200" s="20"/>
      <c r="AD1200" s="20"/>
      <c r="AE1200" s="20"/>
      <c r="AF1200" s="27"/>
    </row>
    <row r="1201" spans="1:32" ht="12.75" customHeight="1">
      <c r="A1201" s="5" t="s">
        <v>1228</v>
      </c>
      <c r="B1201" s="290" t="s">
        <v>1126</v>
      </c>
      <c r="C1201" s="291"/>
      <c r="D1201" s="291"/>
      <c r="E1201" s="291"/>
      <c r="F1201" s="291"/>
      <c r="G1201" s="292"/>
      <c r="H1201" s="5">
        <v>1</v>
      </c>
      <c r="I1201" s="5">
        <v>2</v>
      </c>
      <c r="J1201" s="5">
        <v>3</v>
      </c>
      <c r="K1201" s="5">
        <v>4</v>
      </c>
      <c r="L1201" s="5">
        <v>5</v>
      </c>
      <c r="M1201" s="271"/>
      <c r="N1201" s="272"/>
      <c r="O1201" s="272"/>
      <c r="P1201" s="273"/>
      <c r="Q1201" s="7"/>
      <c r="R1201" s="20"/>
      <c r="S1201" s="20"/>
      <c r="T1201" s="20"/>
      <c r="U1201" s="20"/>
      <c r="V1201" s="20"/>
      <c r="W1201" s="20"/>
      <c r="X1201" s="26"/>
      <c r="Y1201" s="26"/>
      <c r="Z1201" s="20"/>
      <c r="AA1201" s="20"/>
      <c r="AB1201" s="20"/>
      <c r="AC1201" s="20"/>
      <c r="AD1201" s="20"/>
      <c r="AE1201" s="20"/>
      <c r="AF1201" s="27"/>
    </row>
    <row r="1202" spans="1:32" ht="12.75" customHeight="1">
      <c r="A1202" s="300" t="str">
        <f>B1182</f>
        <v>A</v>
      </c>
      <c r="B1202" s="293" t="str">
        <f ca="1">IF(AND(OFFSET($AO$1,$C1182-1,8,1,1),$A1183&lt;&gt;"",$J1183&lt;&gt;""),CHOOSE($C1182,$AQ$1,$AQ$2,$AQ$3,$AQ$4,$AQ$5,$AQ$6,$AQ$7,$AQ$8,$AQ$9,$AQ$10,$AQ$11,$AQ$12),"")</f>
        <v/>
      </c>
      <c r="C1202" s="294"/>
      <c r="D1202" s="294"/>
      <c r="E1202" s="294"/>
      <c r="F1202" s="294"/>
      <c r="G1202" s="294"/>
      <c r="H1202" s="265"/>
      <c r="I1202" s="265"/>
      <c r="J1202" s="265"/>
      <c r="K1202" s="265"/>
      <c r="L1202" s="265"/>
      <c r="M1202" s="262" t="str">
        <f ca="1">IF(OR(AND($B1195&lt;&gt;"",$B1202&lt;&gt;"",$D1213&lt;=$C1213),AND($B1197&lt;&gt;"",$B1204&lt;&gt;"",$H1213&lt;=$G1213)),"Invalid Lineup","")</f>
        <v/>
      </c>
      <c r="N1202" s="263"/>
      <c r="O1202" s="263"/>
      <c r="P1202" s="264"/>
      <c r="Q1202" s="137" t="str">
        <f>IF($L1202=$L1204,IF($K1202=$K1204,IF($J1202&lt;&gt;"",IF($J1202&gt;$J1204,"W","L"),""),IF($K1202&gt;$K1204,"W","L")),IF($L1202&gt;$L1204,"W","L"))</f>
        <v/>
      </c>
      <c r="R1202" s="20"/>
      <c r="S1202" s="20"/>
      <c r="T1202" s="20"/>
      <c r="U1202" s="20"/>
      <c r="V1202" s="20"/>
      <c r="W1202" s="20"/>
      <c r="X1202" s="26"/>
      <c r="Y1202" s="26"/>
      <c r="Z1202" s="20"/>
      <c r="AA1202" s="20"/>
      <c r="AB1202" s="20"/>
      <c r="AC1202" s="20"/>
      <c r="AD1202" s="20"/>
      <c r="AE1202" s="20"/>
      <c r="AF1202" s="27"/>
    </row>
    <row r="1203" spans="1:32" ht="12.75" customHeight="1">
      <c r="A1203" s="301"/>
      <c r="B1203" s="295"/>
      <c r="C1203" s="296"/>
      <c r="D1203" s="296"/>
      <c r="E1203" s="296"/>
      <c r="F1203" s="296"/>
      <c r="G1203" s="296"/>
      <c r="H1203" s="270"/>
      <c r="I1203" s="270"/>
      <c r="J1203" s="270"/>
      <c r="K1203" s="270"/>
      <c r="L1203" s="270"/>
      <c r="M1203" s="262"/>
      <c r="N1203" s="263"/>
      <c r="O1203" s="263"/>
      <c r="P1203" s="264"/>
      <c r="Q1203" s="139" t="str">
        <f>IF($Q1202&lt;&gt;"",IF($Q1202="W",IF(SUM(IF($H1202&gt;$H1204,1,0),IF($I1202&gt;$I1204,1,0),IF($J1202&gt;$J1204,1,0),IF($K1202&gt;$K1204,1,0),IF($L1202&gt;$L1204,1,0))&lt;&gt;3,"Error",""),""),"")</f>
        <v/>
      </c>
      <c r="R1203" s="328" t="str">
        <f>$A1183</f>
        <v/>
      </c>
      <c r="S1203" s="328"/>
      <c r="T1203" s="328"/>
      <c r="U1203" s="328"/>
      <c r="V1203" s="328"/>
      <c r="W1203" s="328"/>
      <c r="X1203" s="256" t="str">
        <f>CONCATENATE("(",$B1182," vs ",$K1182,")")</f>
        <v>(A vs J)</v>
      </c>
      <c r="Y1203" s="256"/>
      <c r="Z1203" s="328" t="str">
        <f>$J1183</f>
        <v/>
      </c>
      <c r="AA1203" s="328"/>
      <c r="AB1203" s="328"/>
      <c r="AC1203" s="328"/>
      <c r="AD1203" s="328"/>
      <c r="AE1203" s="328"/>
      <c r="AF1203" s="100"/>
    </row>
    <row r="1204" spans="1:32" ht="12.75" customHeight="1">
      <c r="A1204" s="300" t="str">
        <f>K1182</f>
        <v>J</v>
      </c>
      <c r="B1204" s="293" t="str">
        <f ca="1">IF(AND(OFFSET($AO$1,$L1182-1,8,1,1),$A1183&lt;&gt;"",$J1183&lt;&gt;""),CHOOSE($L1182,$AQ$1,$AQ$2,$AQ$3,$AQ$4,$AQ$5,$AQ$6,$AQ$7,$AQ$8,$AQ$9,$AQ$10,$AQ$11,$AQ$12),"")</f>
        <v/>
      </c>
      <c r="C1204" s="294"/>
      <c r="D1204" s="294"/>
      <c r="E1204" s="294"/>
      <c r="F1204" s="294"/>
      <c r="G1204" s="294"/>
      <c r="H1204" s="265"/>
      <c r="I1204" s="265"/>
      <c r="J1204" s="265"/>
      <c r="K1204" s="265"/>
      <c r="L1204" s="265"/>
      <c r="M1204" s="267" t="s">
        <v>1237</v>
      </c>
      <c r="N1204" s="268"/>
      <c r="O1204" s="268"/>
      <c r="P1204" s="269"/>
      <c r="Q1204" s="137" t="str">
        <f>IF($Q1202&lt;&gt;"",IF($Q1202="W","L","W"),"")</f>
        <v/>
      </c>
      <c r="R1204" s="100"/>
      <c r="S1204" s="100"/>
      <c r="T1204" s="100"/>
      <c r="U1204" s="100"/>
      <c r="V1204" s="100"/>
      <c r="W1204" s="100"/>
      <c r="X1204" s="100"/>
      <c r="Y1204" s="100"/>
      <c r="Z1204" s="100"/>
      <c r="AA1204" s="100"/>
      <c r="AB1204" s="100"/>
      <c r="AC1204" s="100"/>
      <c r="AD1204" s="100"/>
      <c r="AE1204" s="100"/>
      <c r="AF1204" s="100"/>
    </row>
    <row r="1205" spans="1:32" ht="12.75" customHeight="1">
      <c r="A1205" s="301"/>
      <c r="B1205" s="295"/>
      <c r="C1205" s="296"/>
      <c r="D1205" s="296"/>
      <c r="E1205" s="296"/>
      <c r="F1205" s="296"/>
      <c r="G1205" s="296"/>
      <c r="H1205" s="270"/>
      <c r="I1205" s="270"/>
      <c r="J1205" s="266"/>
      <c r="K1205" s="266"/>
      <c r="L1205" s="266"/>
      <c r="M1205" s="267"/>
      <c r="N1205" s="268"/>
      <c r="O1205" s="268"/>
      <c r="P1205" s="269"/>
      <c r="Q1205" s="139" t="str">
        <f>IF($Q1204&lt;&gt;"",IF($Q1204="W",IF(SUM(IF($H1204&gt;$H1202,1,0),IF($I1204&gt;$I1202,1,0),IF($J1204&gt;$J1202,1,0),IF($K1204&gt;$K1202,1,0),IF($L1204&gt;$L1202,1,0))&lt;&gt;3,"Error",""),""),"")</f>
        <v/>
      </c>
      <c r="R1205" s="43" t="str">
        <f>$A1200</f>
        <v>3rd Singles</v>
      </c>
      <c r="S1205" s="43"/>
      <c r="T1205" s="43"/>
      <c r="U1205" s="43"/>
      <c r="V1205" s="43"/>
      <c r="W1205" s="43"/>
      <c r="X1205" s="43"/>
      <c r="Y1205" s="43"/>
      <c r="Z1205" s="43"/>
      <c r="AA1205" s="43"/>
      <c r="AB1205" s="43"/>
      <c r="AC1205" s="43"/>
      <c r="AD1205" s="43"/>
      <c r="AE1205" s="43"/>
      <c r="AF1205" s="43"/>
    </row>
    <row r="1206" spans="1:32" ht="12.75" customHeight="1">
      <c r="Q1206" s="7"/>
      <c r="R1206" s="60" t="s">
        <v>1228</v>
      </c>
      <c r="S1206" s="101" t="s">
        <v>1126</v>
      </c>
      <c r="T1206" s="102"/>
      <c r="U1206" s="102"/>
      <c r="V1206" s="102"/>
      <c r="W1206" s="102"/>
      <c r="X1206" s="103"/>
      <c r="Y1206" s="60">
        <v>1</v>
      </c>
      <c r="Z1206" s="60">
        <v>2</v>
      </c>
      <c r="AA1206" s="60">
        <v>3</v>
      </c>
      <c r="AB1206" s="60">
        <v>4</v>
      </c>
      <c r="AC1206" s="60">
        <v>5</v>
      </c>
      <c r="AD1206" s="104"/>
      <c r="AE1206" s="105"/>
      <c r="AF1206" s="106"/>
    </row>
    <row r="1207" spans="1:32" ht="12.75" customHeight="1">
      <c r="A1207" s="21" t="s">
        <v>1236</v>
      </c>
      <c r="H1207" s="136" t="str">
        <f ca="1">IF($Q1209&lt;&gt;"",IF(AND($B1209&lt;&gt;"Missing Player",$B1211&lt;&gt;"Missing Player"),IF(AND(AND($H1209&gt;-1,$H1211&gt;-1),OR($H1209&gt;10,$H1211&gt;10),ABS($H1209-$H1211)&gt;1,IF(OR($H1209&gt;11,$H1211&gt;11),ABS($H1209-$H1211)=2,TRUE),$H1209=INT($H1209),$H1211=INT($H1211)),"","Error"),""),"")</f>
        <v/>
      </c>
      <c r="I1207" s="136" t="str">
        <f ca="1">IF($Q1209&lt;&gt;"",IF(AND($B1209&lt;&gt;"Missing Player",$B1211&lt;&gt;"Missing Player"),IF(AND(AND($I1209&gt;-1,$I1211&gt;-1),OR($I1209&gt;10,$I1211&gt;10),ABS($I1209-$I1211)&gt;1,IF(OR($I1209&gt;11,$I1211&gt;11),ABS($I1209-$I1211)=2,TRUE),$I1209=INT($I1209),$I1211=INT($I1211)),"","Error"),""),"")</f>
        <v/>
      </c>
      <c r="J1207" s="136" t="str">
        <f ca="1">IF($Q1209&lt;&gt;"",IF(AND($B1209&lt;&gt;"Missing Player",$B1211&lt;&gt;"Missing Player"),IF(AND(AND($J1209&gt;-1,$J1211&gt;-1),OR($J1209&gt;10,$J1211&gt;10),ABS($J1209-$J1211)&gt;1,IF(OR($J1209&gt;11,$J1211&gt;11),ABS($J1209-$J1211)=2,TRUE),$J1209=INT($J1209),$J1211=INT($J1211)),"","Error"),""),"")</f>
        <v/>
      </c>
      <c r="K1207" s="136" t="str">
        <f ca="1">IF($Q1209&lt;&gt;"",IF(AND($K1209&lt;&gt;"",$K1211&lt;&gt;""), IF(AND(AND($K1209&gt;-1,$K1211&gt;-1),OR($K1209&gt;10,$K1211&gt;10),ABS($K1209-$K1211)&gt;1,IF(OR($K1209&gt;11,$K1211&gt;11),ABS($K1209-$K1211)=2,TRUE),$K1209=INT($K1209),$K1211=INT($K1211)),"","Error"),""),"")</f>
        <v/>
      </c>
      <c r="L1207" s="136" t="str">
        <f ca="1">IF($Q1209&lt;&gt;"",IF(AND($L1209&lt;&gt;"",$L1211&lt;&gt;""), IF(AND(AND($L1209&gt;-1,$L1211&gt;-1),OR($L1209&gt;10,$L1211&gt;10),ABS($L1209-$L1211)&gt;1,IF(OR($L1209&gt;11,$L1211&gt;11),ABS($L1209-$L1211)=2,TRUE),$L1209=INT($L1209),$L1211=INT($L1211)),"","Error"),""),"")</f>
        <v/>
      </c>
      <c r="Q1207" s="7"/>
      <c r="R1207" s="300" t="str">
        <f>$B1182</f>
        <v>A</v>
      </c>
      <c r="S1207" s="331" t="str">
        <f ca="1">IF($B1202&lt;&gt;"",$B1202,"")</f>
        <v/>
      </c>
      <c r="T1207" s="332"/>
      <c r="U1207" s="332"/>
      <c r="V1207" s="332"/>
      <c r="W1207" s="332"/>
      <c r="X1207" s="333"/>
      <c r="Y1207" s="329"/>
      <c r="Z1207" s="329"/>
      <c r="AA1207" s="329"/>
      <c r="AB1207" s="329"/>
      <c r="AC1207" s="329"/>
      <c r="AD1207" s="345"/>
      <c r="AE1207" s="358"/>
      <c r="AF1207" s="359"/>
    </row>
    <row r="1208" spans="1:32" ht="12.75" customHeight="1">
      <c r="A1208" s="5" t="s">
        <v>1228</v>
      </c>
      <c r="B1208" s="290" t="s">
        <v>1126</v>
      </c>
      <c r="C1208" s="291"/>
      <c r="D1208" s="291"/>
      <c r="E1208" s="291"/>
      <c r="F1208" s="291"/>
      <c r="G1208" s="292"/>
      <c r="H1208" s="5">
        <v>1</v>
      </c>
      <c r="I1208" s="5">
        <v>2</v>
      </c>
      <c r="J1208" s="5">
        <v>3</v>
      </c>
      <c r="K1208" s="5">
        <v>4</v>
      </c>
      <c r="L1208" s="5">
        <v>5</v>
      </c>
      <c r="M1208" s="271"/>
      <c r="N1208" s="272"/>
      <c r="O1208" s="272"/>
      <c r="P1208" s="273"/>
      <c r="Q1208" s="7"/>
      <c r="R1208" s="330"/>
      <c r="S1208" s="334"/>
      <c r="T1208" s="335"/>
      <c r="U1208" s="335"/>
      <c r="V1208" s="335"/>
      <c r="W1208" s="335"/>
      <c r="X1208" s="336"/>
      <c r="Y1208" s="330"/>
      <c r="Z1208" s="330"/>
      <c r="AA1208" s="330"/>
      <c r="AB1208" s="330"/>
      <c r="AC1208" s="330"/>
      <c r="AD1208" s="360"/>
      <c r="AE1208" s="361"/>
      <c r="AF1208" s="362"/>
    </row>
    <row r="1209" spans="1:32" ht="12.75" customHeight="1">
      <c r="A1209" s="300" t="str">
        <f>B1182</f>
        <v>A</v>
      </c>
      <c r="B1209" s="293" t="str">
        <f ca="1">IF(AND(OFFSET($AO$1,$C1182-1,8,1,1),$A1183&lt;&gt;"",$J1183&lt;&gt;""),CHOOSE($C1182,$AR$1,$AR$2,$AR$3,$AR$4,$AR$5,$AR$6,$AR$7,$AR$8,$AR$9,$AR$10,$AR$11,$AR$12),"")</f>
        <v/>
      </c>
      <c r="C1209" s="294"/>
      <c r="D1209" s="294"/>
      <c r="E1209" s="294"/>
      <c r="F1209" s="294"/>
      <c r="G1209" s="294"/>
      <c r="H1209" s="265"/>
      <c r="I1209" s="265"/>
      <c r="J1209" s="265"/>
      <c r="K1209" s="265"/>
      <c r="L1209" s="265" t="str">
        <f ca="1">IF(AND($B1209&lt;&gt;"",$Q1188&lt;&gt;""),IF($B1209="Missing Player",0,IF($B1211="Missing Player",11,"")),"")</f>
        <v/>
      </c>
      <c r="M1209" s="262" t="str">
        <f ca="1">IF(OR(AND($B1202&lt;&gt;"",$B1209&lt;&gt;"",$E1213&lt;=$D1213),AND($B1204&lt;&gt;"",$B1211&lt;&gt;"",$I1213&lt;=$H1213)),"Invalid Lineup","")</f>
        <v/>
      </c>
      <c r="N1209" s="263"/>
      <c r="O1209" s="263"/>
      <c r="P1209" s="264"/>
      <c r="Q1209" s="137" t="str">
        <f ca="1">IF($L1209=$L1211,IF($K1209=$K1211,IF($J1209&lt;&gt;"",IF($J1209&gt;$J1211,"W","L"),""),IF($K1209&gt;$K1211,"W","L")),IF($L1209&gt;$L1211,"W","L"))</f>
        <v/>
      </c>
      <c r="R1209" s="300" t="str">
        <f>$K1182</f>
        <v>J</v>
      </c>
      <c r="S1209" s="331" t="str">
        <f ca="1">IF($B1204&lt;&gt;"",$B1204,"")</f>
        <v/>
      </c>
      <c r="T1209" s="332"/>
      <c r="U1209" s="332"/>
      <c r="V1209" s="332"/>
      <c r="W1209" s="332"/>
      <c r="X1209" s="333"/>
      <c r="Y1209" s="329"/>
      <c r="Z1209" s="329"/>
      <c r="AA1209" s="329"/>
      <c r="AB1209" s="329"/>
      <c r="AC1209" s="351"/>
      <c r="AD1209" s="363" t="s">
        <v>1237</v>
      </c>
      <c r="AE1209" s="358"/>
      <c r="AF1209" s="359"/>
    </row>
    <row r="1210" spans="1:32" ht="12.75" customHeight="1">
      <c r="A1210" s="301"/>
      <c r="B1210" s="295"/>
      <c r="C1210" s="296"/>
      <c r="D1210" s="296"/>
      <c r="E1210" s="296"/>
      <c r="F1210" s="296"/>
      <c r="G1210" s="296"/>
      <c r="H1210" s="270"/>
      <c r="I1210" s="270"/>
      <c r="J1210" s="270"/>
      <c r="K1210" s="270"/>
      <c r="L1210" s="270"/>
      <c r="M1210" s="262"/>
      <c r="N1210" s="263"/>
      <c r="O1210" s="263"/>
      <c r="P1210" s="264"/>
      <c r="Q1210" s="139" t="str">
        <f ca="1">IF($Q1209&lt;&gt;"",IF($B1211&lt;&gt;"Missing Player",IF($Q1209="W",IF(SUM(IF($H1209&gt;$H1211,1,0),IF($I1209&gt;$I1211,1,0),IF($J1209&gt;$J1211,1,0),IF($K1209&gt;$K1211,1,0),IF($L1209&gt;$L1211,1,0))&lt;&gt;3,"Error",""),""),""),"")</f>
        <v/>
      </c>
      <c r="R1210" s="330"/>
      <c r="S1210" s="334"/>
      <c r="T1210" s="335"/>
      <c r="U1210" s="335"/>
      <c r="V1210" s="335"/>
      <c r="W1210" s="335"/>
      <c r="X1210" s="336"/>
      <c r="Y1210" s="330"/>
      <c r="Z1210" s="330"/>
      <c r="AA1210" s="330"/>
      <c r="AB1210" s="330"/>
      <c r="AC1210" s="330"/>
      <c r="AD1210" s="360"/>
      <c r="AE1210" s="361"/>
      <c r="AF1210" s="362"/>
    </row>
    <row r="1211" spans="1:32" ht="12.75" customHeight="1">
      <c r="A1211" s="300" t="str">
        <f>K1182</f>
        <v>J</v>
      </c>
      <c r="B1211" s="293" t="str">
        <f ca="1">IF(AND(OFFSET($AO$1,$L1182-1,8,1,1),$A1183&lt;&gt;"",$J1183&lt;&gt;""),CHOOSE($L1182,$AR$1,$AR$2,$AR$3,$AR$4,$AR$5,$AR$6,$AR$7,$AR$8,$AR$9,$AR$10,$AR$11,$AR$12),"")</f>
        <v/>
      </c>
      <c r="C1211" s="294"/>
      <c r="D1211" s="294"/>
      <c r="E1211" s="294"/>
      <c r="F1211" s="294"/>
      <c r="G1211" s="294"/>
      <c r="H1211" s="265"/>
      <c r="I1211" s="265"/>
      <c r="J1211" s="265"/>
      <c r="K1211" s="265"/>
      <c r="L1211" s="265" t="str">
        <f ca="1">IF(AND($B1211&lt;&gt;"",$Q1188&lt;&gt;""),IF($B1211="Missing Player",0,IF($B1209="Missing Player",11,"")),"")</f>
        <v/>
      </c>
      <c r="M1211" s="267" t="s">
        <v>1237</v>
      </c>
      <c r="N1211" s="268"/>
      <c r="O1211" s="268"/>
      <c r="P1211" s="269"/>
      <c r="Q1211" s="137" t="str">
        <f ca="1">IF($Q1209&lt;&gt;"",IF($Q1209="W","L","W"),"")</f>
        <v/>
      </c>
      <c r="R1211" s="112"/>
      <c r="S1211" s="98"/>
      <c r="T1211" s="108"/>
      <c r="U1211" s="108"/>
      <c r="V1211" s="108"/>
      <c r="W1211" s="108"/>
      <c r="X1211" s="108"/>
      <c r="Y1211" s="113"/>
      <c r="Z1211" s="113"/>
      <c r="AA1211" s="113"/>
      <c r="AB1211" s="113"/>
      <c r="AC1211" s="113"/>
      <c r="AD1211" s="107"/>
      <c r="AE1211" s="109"/>
      <c r="AF1211" s="109"/>
    </row>
    <row r="1212" spans="1:32" ht="12.75" customHeight="1">
      <c r="A1212" s="301"/>
      <c r="B1212" s="295"/>
      <c r="C1212" s="296"/>
      <c r="D1212" s="296"/>
      <c r="E1212" s="296"/>
      <c r="F1212" s="296"/>
      <c r="G1212" s="296"/>
      <c r="H1212" s="270"/>
      <c r="I1212" s="270"/>
      <c r="J1212" s="266"/>
      <c r="K1212" s="266"/>
      <c r="L1212" s="266"/>
      <c r="M1212" s="267"/>
      <c r="N1212" s="268"/>
      <c r="O1212" s="268"/>
      <c r="P1212" s="269"/>
      <c r="Q1212" s="139" t="str">
        <f ca="1">IF($Q1211&lt;&gt;"",IF($B1209&lt;&gt;"Missing Player",IF($Q1211="W",IF(SUM(IF($H1211&gt;$H1209,1,0),IF($I1211&gt;$I1209,1,0),IF($J1211&gt;$J1209,1,0),IF($K1211&gt;$K1209,1,0),IF($L1211&gt;$L1209,1,0))&lt;&gt;3,"Error",""),""),""),"")</f>
        <v/>
      </c>
      <c r="R1212" s="114"/>
      <c r="S1212" s="115"/>
      <c r="T1212" s="115"/>
      <c r="U1212" s="115"/>
      <c r="V1212" s="115"/>
      <c r="W1212" s="115"/>
      <c r="X1212" s="115"/>
      <c r="Y1212" s="114"/>
      <c r="Z1212" s="114"/>
      <c r="AA1212" s="114"/>
      <c r="AB1212" s="114"/>
      <c r="AC1212" s="114"/>
      <c r="AD1212" s="114"/>
      <c r="AE1212" s="114"/>
      <c r="AF1212" s="114"/>
    </row>
    <row r="1213" spans="1:32" ht="12.75" customHeight="1">
      <c r="B1213" s="140" t="str">
        <f ca="1">IF(ISERROR(VLOOKUP($B1188&amp;"("&amp;$B1182&amp;")",Players!$S$4:$T$132,2,FALSE)),"",VLOOKUP($B1188&amp;"("&amp;$B1182&amp;")",Players!$S$4:$T$132,2,FALSE))</f>
        <v>A1</v>
      </c>
      <c r="C1213" s="140" t="str">
        <f ca="1">IF(ISERROR(VLOOKUP($B1195&amp;"("&amp;$B1182&amp;")",Players!$S$4:$T$132,2,FALSE)),"",VLOOKUP($B1195&amp;"("&amp;$B1182&amp;")",Players!$S$4:$T$132,2,FALSE))</f>
        <v>A1</v>
      </c>
      <c r="D1213" s="141" t="str">
        <f ca="1">IF(ISERROR(VLOOKUP($B1202&amp;"("&amp;$B1182&amp;")",Players!$S$4:$T$132,2,FALSE)),"",VLOOKUP($B1202&amp;"("&amp;$B1182&amp;")",Players!$S$4:$T$132,2,FALSE))</f>
        <v>A1</v>
      </c>
      <c r="E1213" s="141" t="str">
        <f ca="1">IF(ISERROR(VLOOKUP($B1209&amp;"("&amp;$B1182&amp;")",Players!$S$4:$T$132,2,FALSE)),"",VLOOKUP($B1209&amp;"("&amp;$B1182&amp;")",Players!$S$4:$T$132,2,FALSE))</f>
        <v>A1</v>
      </c>
      <c r="F1213" s="141" t="str">
        <f ca="1">IF(ISERROR(VLOOKUP($B1190&amp;"("&amp;$K1182&amp;")",Players!$S$4:$T$132,2,FALSE)),"",VLOOKUP($B1190&amp;"("&amp;$K1182&amp;")",Players!$S$4:$T$132,2,FALSE))</f>
        <v>J1</v>
      </c>
      <c r="G1213" s="141" t="str">
        <f ca="1">IF(ISERROR(VLOOKUP($B1197&amp;"("&amp;$K1182&amp;")",Players!$S$4:$T$132,2,FALSE)),"",VLOOKUP($B1197&amp;"("&amp;$K1182&amp;")",Players!$S$4:$T$132,2,FALSE))</f>
        <v>J1</v>
      </c>
      <c r="H1213" s="141" t="str">
        <f ca="1">IF(ISERROR(VLOOKUP($B1204&amp;"("&amp;$K1182&amp;")",Players!$S$4:$T$132,2,FALSE)),"",VLOOKUP($B1204&amp;"("&amp;$K1182&amp;")",Players!$S$4:$T$132,2,FALSE))</f>
        <v>J1</v>
      </c>
      <c r="I1213" s="141" t="str">
        <f ca="1">IF(ISERROR(VLOOKUP($B1211&amp;"("&amp;$K1182&amp;")",Players!$S$4:$T$132,2,FALSE)),"",VLOOKUP($B1211&amp;"("&amp;$K1182&amp;")",Players!$S$4:$T$132,2,FALSE))</f>
        <v>J1</v>
      </c>
      <c r="Q1213" s="7"/>
      <c r="R1213" s="50"/>
      <c r="S1213" s="116"/>
      <c r="T1213" s="115"/>
      <c r="U1213" s="115"/>
      <c r="V1213" s="115"/>
      <c r="W1213" s="115"/>
      <c r="X1213" s="115"/>
      <c r="Y1213" s="99"/>
      <c r="Z1213" s="99"/>
      <c r="AA1213" s="99"/>
      <c r="AB1213" s="99"/>
      <c r="AC1213" s="117"/>
      <c r="AD1213" s="118"/>
      <c r="AE1213" s="114"/>
      <c r="AF1213" s="114"/>
    </row>
    <row r="1214" spans="1:32" ht="12.75" customHeight="1">
      <c r="A1214" s="21" t="s">
        <v>1225</v>
      </c>
      <c r="H1214" s="136" t="str">
        <f ca="1">IF($Q1216&lt;&gt;"",IF(AND($B1217&lt;&gt;"Missing Player",$B1219&lt;&gt;"Missing Player"),IF(AND(AND($H1216&gt;-1,$H1218&gt;-1),OR($H1216&gt;10,$H1218&gt;10),ABS($H1216-$H1218)&gt;1,IF(OR($H1216&gt;11,$H1218&gt;11),ABS($H1216-$H1218)=2,TRUE),$H1216=INT($H1216),$H1218=INT($H1218)),"","Error"),""),"")</f>
        <v/>
      </c>
      <c r="I1214" s="136" t="str">
        <f ca="1">IF($Q1216&lt;&gt;"",IF(AND($B1217&lt;&gt;"Missing Player",$B1219&lt;&gt;"Missing Player"),IF(AND(AND($I1216&gt;-1,$I1218&gt;-1),OR($I1216&gt;10,$I1218&gt;10),ABS($I1216-$I1218)&gt;1,IF(OR($I1216&gt;11,$I1218&gt;11),ABS($I1216-$I1218)=2,TRUE),$I1216=INT($I1216),$I1218=INT($I1218)),"","Error"),""),"")</f>
        <v/>
      </c>
      <c r="J1214" s="136" t="str">
        <f ca="1">IF($Q1216&lt;&gt;"",IF(AND($B1217&lt;&gt;"Missing Player",$B1219&lt;&gt;"Missing Player"),IF(AND(AND($J1216&gt;-1,$J1218&gt;-1),OR($J1216&gt;10,$J1218&gt;10),ABS($J1216-$J1218)&gt;1,IF(OR($J1216&gt;11,$J1218&gt;11),ABS($J1216-$J1218)=2,TRUE),$J1216=INT($J1216),$J1218=INT($J1218)),"","Error"),""),"")</f>
        <v/>
      </c>
      <c r="K1214" s="136" t="str">
        <f ca="1">IF($Q1216&lt;&gt;"",IF(AND($K1216&lt;&gt;"",$K1218&lt;&gt;""), IF(AND(AND($K1216&gt;-1,$K1218&gt;-1),OR($K1216&gt;10,$K1218&gt;10),ABS($K1216-$K1218)&gt;1,IF(OR($K1216&gt;11,$K1218&gt;11),ABS($K1216-$K1218)=2,TRUE),$K1216=INT($K1216),$K1218=INT($K1218)),"","Error"),""),"")</f>
        <v/>
      </c>
      <c r="L1214" s="136" t="str">
        <f ca="1">IF($Q1216&lt;&gt;"",IF(AND($L1216&lt;&gt;"",$L1218&lt;&gt;""), IF(AND(AND($L1216&gt;-1,$L1218&gt;-1),OR($L1216&gt;10,$L1218&gt;10),ABS($L1216-$L1218)&gt;1,IF(OR($L1216&gt;11,$L1218&gt;11),ABS($L1216-$L1218)=2,TRUE),$L1216=INT($L1216),$L1218=INT($L1218)),"","Error"),""),"")</f>
        <v/>
      </c>
      <c r="Q1214" s="7"/>
      <c r="R1214" s="114"/>
      <c r="S1214" s="115"/>
      <c r="T1214" s="115"/>
      <c r="U1214" s="115"/>
      <c r="V1214" s="115"/>
      <c r="W1214" s="115"/>
      <c r="X1214" s="115"/>
      <c r="Y1214" s="114"/>
      <c r="Z1214" s="114"/>
      <c r="AA1214" s="114"/>
      <c r="AB1214" s="114"/>
      <c r="AC1214" s="114"/>
      <c r="AD1214" s="114"/>
      <c r="AE1214" s="114"/>
      <c r="AF1214" s="114"/>
    </row>
    <row r="1215" spans="1:32" ht="12.75" customHeight="1">
      <c r="A1215" s="5" t="s">
        <v>1228</v>
      </c>
      <c r="B1215" s="290" t="s">
        <v>1126</v>
      </c>
      <c r="C1215" s="291"/>
      <c r="D1215" s="291"/>
      <c r="E1215" s="291"/>
      <c r="F1215" s="291"/>
      <c r="G1215" s="292"/>
      <c r="H1215" s="5">
        <v>1</v>
      </c>
      <c r="I1215" s="5">
        <v>2</v>
      </c>
      <c r="J1215" s="5">
        <v>3</v>
      </c>
      <c r="K1215" s="5">
        <v>4</v>
      </c>
      <c r="L1215" s="5">
        <v>5</v>
      </c>
      <c r="M1215" s="271"/>
      <c r="N1215" s="272"/>
      <c r="O1215" s="272"/>
      <c r="P1215" s="273"/>
      <c r="Q1215" s="8"/>
      <c r="S1215" s="24"/>
      <c r="T1215" s="26"/>
    </row>
    <row r="1216" spans="1:32" ht="12.75" customHeight="1">
      <c r="A1216" s="300" t="str">
        <f>B1182</f>
        <v>A</v>
      </c>
      <c r="B1216" s="311" t="str">
        <f ca="1">IF($B1188&lt;&gt;"",$B1188,"")</f>
        <v/>
      </c>
      <c r="C1216" s="312"/>
      <c r="D1216" s="312"/>
      <c r="E1216" s="312"/>
      <c r="F1216" s="312"/>
      <c r="G1216" s="313"/>
      <c r="H1216" s="265"/>
      <c r="I1216" s="265"/>
      <c r="J1216" s="265"/>
      <c r="K1216" s="265"/>
      <c r="L1216" s="265" t="str">
        <f ca="1">IF($B1209&lt;&gt;"",IF(AND($B1209="Missing Player",$G1220=2,$J1220=2),0,IF(AND($B1211="Missing Player",$G1220=2,$J1220=2),11,"")),"")</f>
        <v/>
      </c>
      <c r="M1216" s="262" t="str">
        <f ca="1">IF(OR(AND($B1216&lt;&gt;"",$B1217&lt;&gt;"",$B1216=$B1217),AND($B1218&lt;&gt;"",$B1219&lt;&gt;"",$B1218=$B1219)),"Invalid Partner","")</f>
        <v/>
      </c>
      <c r="N1216" s="263"/>
      <c r="O1216" s="263"/>
      <c r="P1216" s="264"/>
      <c r="Q1216" s="138" t="str">
        <f ca="1">IF(L1216=L1218,IF(K1216=K1218,IF(J1216&lt;&gt;"",IF(J1216&gt;J1218,"W","L"),""),IF(K1216&gt;K1218,"W","L")),IF(L1216&gt;L1218,"W","L"))</f>
        <v/>
      </c>
      <c r="S1216" s="24"/>
      <c r="T1216" s="26"/>
    </row>
    <row r="1217" spans="1:32" ht="12.75" customHeight="1">
      <c r="A1217" s="324"/>
      <c r="B1217" s="308" t="str">
        <f ca="1">IF($B1209="Missing Player",$B1209,"")</f>
        <v/>
      </c>
      <c r="C1217" s="309"/>
      <c r="D1217" s="309"/>
      <c r="E1217" s="309"/>
      <c r="F1217" s="309"/>
      <c r="G1217" s="310"/>
      <c r="H1217" s="270"/>
      <c r="I1217" s="270"/>
      <c r="J1217" s="270"/>
      <c r="K1217" s="270"/>
      <c r="L1217" s="270"/>
      <c r="M1217" s="262"/>
      <c r="N1217" s="263"/>
      <c r="O1217" s="263"/>
      <c r="P1217" s="264"/>
      <c r="Q1217" s="139" t="str">
        <f ca="1">IF($Q1216&lt;&gt;"",IF($B1219&lt;&gt;"Missing Player",IF($Q1216="W",IF(SUM(IF($H1216&gt;$H1218,1,0),IF($I1216&gt;$I1218,1,0),IF($J1216&gt;$J1218,1,0),IF($K1216&gt;$K1218,1,0),IF($L1216&gt;$L1218,1,0))&lt;&gt;3,"Error",""),""),""),"")</f>
        <v/>
      </c>
      <c r="R1217" s="328" t="str">
        <f>$A1183</f>
        <v/>
      </c>
      <c r="S1217" s="328"/>
      <c r="T1217" s="328"/>
      <c r="U1217" s="328"/>
      <c r="V1217" s="328"/>
      <c r="W1217" s="328"/>
      <c r="X1217" s="256" t="str">
        <f>CONCATENATE("(",$B1182," vs ",$K1182,")")</f>
        <v>(A vs J)</v>
      </c>
      <c r="Y1217" s="256"/>
      <c r="Z1217" s="328" t="str">
        <f>$J1183</f>
        <v/>
      </c>
      <c r="AA1217" s="328"/>
      <c r="AB1217" s="328"/>
      <c r="AC1217" s="328"/>
      <c r="AD1217" s="328"/>
      <c r="AE1217" s="328"/>
      <c r="AF1217" s="43"/>
    </row>
    <row r="1218" spans="1:32" ht="12.75" customHeight="1">
      <c r="A1218" s="325" t="str">
        <f>K1182</f>
        <v>J</v>
      </c>
      <c r="B1218" s="311" t="str">
        <f ca="1">IF($B1190&lt;&gt;"",$B1190,"")</f>
        <v/>
      </c>
      <c r="C1218" s="312"/>
      <c r="D1218" s="312"/>
      <c r="E1218" s="312"/>
      <c r="F1218" s="312"/>
      <c r="G1218" s="313"/>
      <c r="H1218" s="265"/>
      <c r="I1218" s="265"/>
      <c r="J1218" s="265"/>
      <c r="K1218" s="265"/>
      <c r="L1218" s="265" t="str">
        <f ca="1">IF($B1211&lt;&gt;"",IF(AND($B1211="Missing Player",$G1220=2,$J1220=2),0,IF(AND($B1209="Missing Player",$G1220=2,$J1220=2),11,"")),"")</f>
        <v/>
      </c>
      <c r="M1218" s="267" t="s">
        <v>1237</v>
      </c>
      <c r="N1218" s="268"/>
      <c r="O1218" s="268"/>
      <c r="P1218" s="269"/>
      <c r="Q1218" s="138" t="str">
        <f ca="1">IF(Q1216&lt;&gt;"",IF(Q1216="W","L","W"),"")</f>
        <v/>
      </c>
      <c r="R1218" s="43"/>
      <c r="S1218" s="43"/>
      <c r="T1218" s="43"/>
      <c r="U1218" s="43"/>
      <c r="V1218" s="43"/>
      <c r="W1218" s="43"/>
      <c r="X1218" s="43"/>
      <c r="Y1218" s="43"/>
      <c r="Z1218" s="43"/>
      <c r="AA1218" s="43"/>
      <c r="AB1218" s="43"/>
      <c r="AC1218" s="43"/>
      <c r="AD1218" s="43"/>
      <c r="AE1218" s="43"/>
      <c r="AF1218" s="43"/>
    </row>
    <row r="1219" spans="1:32" ht="12.75" customHeight="1">
      <c r="A1219" s="324"/>
      <c r="B1219" s="308" t="str">
        <f ca="1">IF($B1211="Missing Player",$B1211,"")</f>
        <v/>
      </c>
      <c r="C1219" s="309"/>
      <c r="D1219" s="309"/>
      <c r="E1219" s="309"/>
      <c r="F1219" s="309"/>
      <c r="G1219" s="310"/>
      <c r="H1219" s="270"/>
      <c r="I1219" s="270"/>
      <c r="J1219" s="266"/>
      <c r="K1219" s="266"/>
      <c r="L1219" s="266"/>
      <c r="M1219" s="267"/>
      <c r="N1219" s="268"/>
      <c r="O1219" s="268"/>
      <c r="P1219" s="269"/>
      <c r="Q1219" s="139" t="str">
        <f ca="1">IF($Q1218&lt;&gt;"",IF($B1217&lt;&gt;"Missing Player",IF($Q1218="W",IF(SUM(IF($H1218&gt;$H1216,1,0),IF($I1218&gt;$I1216,1,0),IF($J1218&gt;$J1216,1,0),IF($K1218&gt;$K1216,1,0),IF($L1218&gt;$L1216,1,0))&lt;&gt;3,"Error",""),""),""),"")</f>
        <v/>
      </c>
      <c r="R1219" s="43" t="str">
        <f>A1207</f>
        <v>4th Singles</v>
      </c>
      <c r="S1219" s="43"/>
      <c r="T1219" s="43"/>
      <c r="U1219" s="43"/>
      <c r="V1219" s="43"/>
      <c r="W1219" s="43"/>
      <c r="X1219" s="43"/>
      <c r="Y1219" s="43"/>
      <c r="Z1219" s="43"/>
      <c r="AA1219" s="43"/>
      <c r="AB1219" s="43"/>
      <c r="AC1219" s="43"/>
      <c r="AD1219" s="43"/>
      <c r="AE1219" s="43"/>
      <c r="AF1219" s="43"/>
    </row>
    <row r="1220" spans="1:32" ht="12.75" customHeight="1">
      <c r="G1220" s="66">
        <f ca="1">COUNTIF($Q1188:$Q1188,"W")+COUNTIF($Q1195:$Q1195,"W")+COUNTIF($Q1202:$Q1202,"W")+COUNTIF($Q1209:$Q1209,"W")</f>
        <v>0</v>
      </c>
      <c r="J1220" s="66">
        <f ca="1">COUNTIF($Q1190:$Q1190,"W")+COUNTIF($Q1197:$Q1197,"W")+COUNTIF($Q1204:$Q1204,"W")+COUNTIF($Q1211:$Q1211,"W")</f>
        <v>0</v>
      </c>
      <c r="R1220" s="60" t="s">
        <v>1228</v>
      </c>
      <c r="S1220" s="339" t="s">
        <v>1126</v>
      </c>
      <c r="T1220" s="340"/>
      <c r="U1220" s="340"/>
      <c r="V1220" s="340"/>
      <c r="W1220" s="340"/>
      <c r="X1220" s="341"/>
      <c r="Y1220" s="60">
        <v>1</v>
      </c>
      <c r="Z1220" s="60">
        <v>2</v>
      </c>
      <c r="AA1220" s="60">
        <v>3</v>
      </c>
      <c r="AB1220" s="60">
        <v>4</v>
      </c>
      <c r="AC1220" s="60">
        <v>5</v>
      </c>
      <c r="AD1220" s="342"/>
      <c r="AE1220" s="343"/>
      <c r="AF1220" s="344"/>
    </row>
    <row r="1221" spans="1:32" ht="12.75" customHeight="1" thickBot="1">
      <c r="F1221" s="246" t="s">
        <v>1238</v>
      </c>
      <c r="G1221" s="246"/>
      <c r="H1221" s="246"/>
      <c r="I1221" s="246"/>
      <c r="J1221" s="246"/>
      <c r="K1221" s="246"/>
      <c r="R1221" s="300" t="str">
        <f>B1182</f>
        <v>A</v>
      </c>
      <c r="S1221" s="331" t="str">
        <f ca="1">IF($B1209&lt;&gt;"",$B1209,"")</f>
        <v/>
      </c>
      <c r="T1221" s="353"/>
      <c r="U1221" s="353"/>
      <c r="V1221" s="353"/>
      <c r="W1221" s="353"/>
      <c r="X1221" s="354"/>
      <c r="Y1221" s="329"/>
      <c r="Z1221" s="329"/>
      <c r="AA1221" s="351"/>
      <c r="AB1221" s="351"/>
      <c r="AC1221" s="351"/>
      <c r="AD1221" s="345"/>
      <c r="AE1221" s="346"/>
      <c r="AF1221" s="347"/>
    </row>
    <row r="1222" spans="1:32" ht="12.75" customHeight="1">
      <c r="A1222" s="22"/>
      <c r="B1222" s="22"/>
      <c r="C1222" s="22"/>
      <c r="D1222" s="22"/>
      <c r="E1222" s="22"/>
      <c r="G1222" s="304" t="str">
        <f>B1182</f>
        <v>A</v>
      </c>
      <c r="H1222" s="305"/>
      <c r="I1222" s="302" t="str">
        <f>K1182</f>
        <v>J</v>
      </c>
      <c r="J1222" s="303"/>
      <c r="L1222" s="22"/>
      <c r="M1222" s="22"/>
      <c r="N1222" s="22"/>
      <c r="O1222" s="22"/>
      <c r="P1222" s="22"/>
      <c r="R1222" s="301"/>
      <c r="S1222" s="355"/>
      <c r="T1222" s="356"/>
      <c r="U1222" s="356"/>
      <c r="V1222" s="356"/>
      <c r="W1222" s="356"/>
      <c r="X1222" s="357"/>
      <c r="Y1222" s="338"/>
      <c r="Z1222" s="338"/>
      <c r="AA1222" s="352"/>
      <c r="AB1222" s="352"/>
      <c r="AC1222" s="352"/>
      <c r="AD1222" s="348"/>
      <c r="AE1222" s="349"/>
      <c r="AF1222" s="350"/>
    </row>
    <row r="1223" spans="1:32" ht="12.75" customHeight="1" thickBot="1">
      <c r="A1223" s="2" t="s">
        <v>1228</v>
      </c>
      <c r="B1223" s="53" t="str">
        <f>B1182</f>
        <v>A</v>
      </c>
      <c r="C1223" s="3" t="s">
        <v>1226</v>
      </c>
      <c r="F1223" s="66" t="str">
        <f>CONCATENATE($B1182,"-",$K1182)</f>
        <v>A-J</v>
      </c>
      <c r="G1223" s="320" t="str">
        <f ca="1">IF(OR(Q1188&lt;&gt;"",Q1195&lt;&gt;"",Q1202&lt;&gt;"",Q1209&lt;&gt;"",Q1216&lt;&gt;""),COUNTIF(Q1188:Q1188,"W")+COUNTIF(Q1195:Q1195,"W")+COUNTIF(Q1202:Q1202,"W")+COUNTIF(Q1209:Q1209,"W")+COUNTIF(Q1216:Q1216,"W"),"")</f>
        <v/>
      </c>
      <c r="H1223" s="321"/>
      <c r="I1223" s="322" t="str">
        <f ca="1">IF(OR(Q1190&lt;&gt;"",Q1197&lt;&gt;"",Q1204&lt;&gt;"",Q1211&lt;&gt;"",Q1218&lt;&gt;""),COUNTIF(Q1190:Q1190,"W")+COUNTIF(Q1197:Q1197,"W")+COUNTIF(Q1204:Q1204,"W")+COUNTIF(Q1211:Q1211,"W")+COUNTIF(Q1218:Q1218,"W"),"")</f>
        <v/>
      </c>
      <c r="J1223" s="323"/>
      <c r="L1223" s="2" t="s">
        <v>1228</v>
      </c>
      <c r="M1223" s="53" t="str">
        <f>K1182</f>
        <v>J</v>
      </c>
      <c r="N1223" s="3" t="s">
        <v>1226</v>
      </c>
      <c r="R1223" s="300" t="str">
        <f>K1182</f>
        <v>J</v>
      </c>
      <c r="S1223" s="331" t="str">
        <f ca="1">IF($B1211&lt;&gt;"",$B1211,"")</f>
        <v/>
      </c>
      <c r="T1223" s="332"/>
      <c r="U1223" s="332"/>
      <c r="V1223" s="332"/>
      <c r="W1223" s="332"/>
      <c r="X1223" s="333"/>
      <c r="Y1223" s="329"/>
      <c r="Z1223" s="329"/>
      <c r="AA1223" s="351"/>
      <c r="AB1223" s="351"/>
      <c r="AC1223" s="351"/>
      <c r="AD1223" s="363" t="s">
        <v>1237</v>
      </c>
      <c r="AE1223" s="358"/>
      <c r="AF1223" s="359"/>
    </row>
    <row r="1224" spans="1:32" ht="12.75" customHeight="1">
      <c r="F1224" s="25" t="s">
        <v>3996</v>
      </c>
      <c r="G1224" s="23"/>
      <c r="H1224" s="23"/>
      <c r="I1224" s="23"/>
      <c r="J1224" s="23"/>
      <c r="K1224" s="24"/>
      <c r="R1224" s="330"/>
      <c r="S1224" s="334"/>
      <c r="T1224" s="335"/>
      <c r="U1224" s="335"/>
      <c r="V1224" s="335"/>
      <c r="W1224" s="335"/>
      <c r="X1224" s="336"/>
      <c r="Y1224" s="330"/>
      <c r="Z1224" s="330"/>
      <c r="AA1224" s="330"/>
      <c r="AB1224" s="330"/>
      <c r="AC1224" s="330"/>
      <c r="AD1224" s="360"/>
      <c r="AE1224" s="361"/>
      <c r="AF1224" s="362"/>
    </row>
    <row r="1225" spans="1:32" ht="12.75" customHeight="1">
      <c r="R1225" s="1"/>
      <c r="S1225" s="110"/>
      <c r="T1225" s="110"/>
      <c r="U1225" s="110"/>
      <c r="V1225" s="110"/>
      <c r="W1225" s="110"/>
      <c r="X1225" s="111"/>
      <c r="Y1225" s="111"/>
      <c r="Z1225" s="111"/>
      <c r="AA1225" s="111"/>
    </row>
    <row r="1226" spans="1:32" ht="12.75" customHeight="1">
      <c r="F1226" s="246" t="s">
        <v>4929</v>
      </c>
      <c r="G1226" s="246"/>
      <c r="H1226" s="246"/>
      <c r="I1226" s="246"/>
      <c r="R1226" s="1"/>
      <c r="S1226" s="110"/>
      <c r="T1226" s="110"/>
      <c r="U1226" s="110"/>
      <c r="V1226" s="110"/>
      <c r="W1226" s="110"/>
      <c r="X1226" s="111"/>
      <c r="Y1226" s="111"/>
      <c r="Z1226" s="111"/>
      <c r="AA1226" s="111"/>
    </row>
    <row r="1227" spans="1:32" ht="12.75" customHeight="1">
      <c r="F1227" s="246" t="s">
        <v>4930</v>
      </c>
      <c r="G1227" s="246"/>
      <c r="H1227" s="246"/>
      <c r="I1227" s="246"/>
      <c r="R1227" s="1"/>
      <c r="S1227" s="110"/>
      <c r="T1227" s="110"/>
      <c r="U1227" s="110"/>
      <c r="V1227" s="110"/>
      <c r="W1227" s="110"/>
      <c r="X1227" s="111"/>
      <c r="Y1227" s="111"/>
      <c r="Z1227" s="111"/>
      <c r="AA1227" s="111"/>
    </row>
    <row r="1228" spans="1:32" ht="12.75" customHeight="1">
      <c r="K1228" s="281" t="s">
        <v>1244</v>
      </c>
      <c r="L1228" s="281"/>
      <c r="M1228" s="281"/>
      <c r="N1228" s="281"/>
      <c r="O1228" s="281"/>
      <c r="P1228" s="281"/>
      <c r="R1228" s="1"/>
      <c r="S1228" s="110"/>
      <c r="T1228" s="110"/>
      <c r="U1228" s="110"/>
      <c r="V1228" s="110"/>
      <c r="W1228" s="110"/>
      <c r="X1228" s="111"/>
      <c r="Y1228" s="111"/>
      <c r="Z1228" s="111"/>
      <c r="AA1228" s="111"/>
    </row>
    <row r="1229" spans="1:32" ht="12.75" customHeight="1">
      <c r="A1229" s="12" t="s">
        <v>1229</v>
      </c>
      <c r="B1229" s="11"/>
      <c r="C1229" s="11"/>
      <c r="D1229" s="11" t="str">
        <f>Draw!$B$1</f>
        <v>Enter Division Name</v>
      </c>
      <c r="E1229" s="11"/>
      <c r="F1229" s="7"/>
      <c r="G1229" s="6"/>
      <c r="H1229" s="7"/>
      <c r="I1229" s="11"/>
      <c r="J1229" s="11"/>
      <c r="K1229" s="11"/>
      <c r="L1229" s="11"/>
      <c r="M1229" s="281"/>
      <c r="N1229" s="281"/>
      <c r="O1229" s="281"/>
      <c r="P1229" s="281"/>
      <c r="R1229" s="1"/>
      <c r="S1229" s="110"/>
      <c r="T1229" s="110"/>
      <c r="U1229" s="110"/>
      <c r="V1229" s="110"/>
      <c r="W1229" s="110"/>
      <c r="X1229" s="111"/>
      <c r="Y1229" s="111"/>
      <c r="Z1229" s="111"/>
      <c r="AA1229" s="111"/>
    </row>
    <row r="1230" spans="1:32" ht="12.75" customHeight="1">
      <c r="A1230" s="2" t="s">
        <v>1230</v>
      </c>
      <c r="D1230" s="43" t="str">
        <f>Draw!$D$1</f>
        <v>Enter Hosting Location (City, ST)</v>
      </c>
      <c r="J1230" s="43" t="str">
        <f ca="1">$J$6</f>
        <v>[NCTTA Teams Template (v2.06).xlsx]</v>
      </c>
      <c r="R1230" s="1"/>
      <c r="S1230" s="110"/>
      <c r="T1230" s="110"/>
      <c r="U1230" s="110"/>
      <c r="V1230" s="110"/>
      <c r="W1230" s="110"/>
      <c r="X1230" s="111"/>
      <c r="Y1230" s="111"/>
      <c r="Z1230" s="111"/>
      <c r="AA1230" s="111"/>
    </row>
    <row r="1231" spans="1:32" ht="12.75" customHeight="1">
      <c r="A1231" s="2" t="s">
        <v>1231</v>
      </c>
      <c r="D1231" s="337" t="str">
        <f>Draw!$P$1</f>
        <v>Enter Date</v>
      </c>
      <c r="E1231" s="337"/>
      <c r="F1231" s="337"/>
      <c r="G1231" s="337"/>
      <c r="J1231" s="280" t="str">
        <f>CHOOSE(Draw!$T$1,"Round 5, Match 1","Round 4, Match 4","","","","","","Round 7, Match 1","Round 7, Match 1","Round 5, Match 5","Round 5, Match 5")</f>
        <v/>
      </c>
      <c r="K1231" s="280"/>
      <c r="L1231" s="280"/>
      <c r="M1231" s="276" t="str">
        <f>IF(AND($J1231&lt;&gt;"",Draw!$AC$10&lt;&gt;"",Draw!$AC$13&lt;&gt;""),Draw!$AC$10+TIME(0,VALUE(MID($J1231,7,FIND(",",$J1231)-FIND(" ",$J1231)-1)-1)*Draw!$AC$13,0),"")</f>
        <v/>
      </c>
      <c r="N1231" s="276"/>
      <c r="O1231" s="157" t="str">
        <f>$F1274</f>
        <v>A-K</v>
      </c>
      <c r="R1231" s="1"/>
      <c r="S1231" s="110"/>
      <c r="T1231" s="110"/>
      <c r="U1231" s="110"/>
      <c r="V1231" s="110"/>
      <c r="W1231" s="110"/>
      <c r="X1231" s="111"/>
      <c r="Y1231" s="111"/>
      <c r="Z1231" s="111"/>
      <c r="AA1231" s="111"/>
    </row>
    <row r="1232" spans="1:32" ht="12.75" customHeight="1">
      <c r="A1232" s="14"/>
      <c r="B1232" s="15"/>
      <c r="C1232" s="15"/>
      <c r="D1232" s="15"/>
      <c r="E1232" s="15"/>
      <c r="F1232" s="14"/>
      <c r="G1232" s="14"/>
      <c r="H1232" s="16"/>
      <c r="I1232" s="14"/>
      <c r="J1232" s="15"/>
      <c r="K1232" s="15"/>
      <c r="L1232" s="15"/>
      <c r="M1232" s="15"/>
      <c r="N1232" s="15"/>
      <c r="O1232" s="364" t="str">
        <f>IF(OR(AND(VLOOKUP($B1233,$AM$1:$AX$12,12,FALSE)="C",VLOOKUP($K1233,$AM$1:$AX$12,12,FALSE)="C"),AND(VLOOKUP($B1233,$AM$1:$AX$12,12,FALSE)="W",VLOOKUP($K1233,$AM$1:$AX$12,12,FALSE)="W")),"Official",IF(AND($A1234="",$J1234=""),"","Scrimmage"))</f>
        <v/>
      </c>
      <c r="P1232" s="364"/>
      <c r="R1232" s="1"/>
      <c r="S1232" s="110"/>
      <c r="T1232" s="110"/>
      <c r="U1232" s="110"/>
      <c r="V1232" s="110"/>
      <c r="W1232" s="110"/>
      <c r="X1232" s="111"/>
      <c r="Y1232" s="111"/>
      <c r="Z1232" s="111"/>
      <c r="AA1232" s="111"/>
    </row>
    <row r="1233" spans="1:32" ht="12.75" customHeight="1">
      <c r="A1233" s="17" t="s">
        <v>1228</v>
      </c>
      <c r="B1233" s="119" t="str">
        <f>CHOOSE(Draw!$T$1,"A","G","A","B","C","B","A","A","A","I","G")</f>
        <v>A</v>
      </c>
      <c r="C1233" s="135">
        <f>VLOOKUP($B1233,$AM$1:$AN$12,2)</f>
        <v>1</v>
      </c>
      <c r="D1233" s="13"/>
      <c r="E1233" s="13"/>
      <c r="F1233" s="10"/>
      <c r="H1233" s="19" t="s">
        <v>1232</v>
      </c>
      <c r="J1233" s="17" t="s">
        <v>1228</v>
      </c>
      <c r="K1233" s="119" t="str">
        <f>CHOOSE(Draw!$T$1,"B","H","K","G","F","J","K","F","C","J","H")</f>
        <v>K</v>
      </c>
      <c r="L1233" s="135">
        <f>VLOOKUP($K1233,$AM$1:$AN$12,2)</f>
        <v>11</v>
      </c>
      <c r="M1233" s="13"/>
      <c r="N1233" s="13"/>
      <c r="O1233" s="18"/>
      <c r="P1233" s="274"/>
      <c r="Q1233" s="275"/>
      <c r="R1233" s="1"/>
      <c r="S1233" s="110"/>
      <c r="T1233" s="110"/>
      <c r="U1233" s="110"/>
      <c r="V1233" s="110"/>
      <c r="W1233" s="110"/>
      <c r="X1233" s="111"/>
      <c r="Y1233" s="111"/>
      <c r="Z1233" s="111"/>
      <c r="AA1233" s="111"/>
    </row>
    <row r="1234" spans="1:32" ht="12.75" customHeight="1">
      <c r="A1234" s="277" t="str">
        <f>IF(VLOOKUP($B1233,Draw!$A$4:$B$27,2)&lt;&gt;0,VLOOKUP($B1233,Draw!$A$4:$B$27,2),"")</f>
        <v/>
      </c>
      <c r="B1234" s="278"/>
      <c r="C1234" s="278"/>
      <c r="D1234" s="278"/>
      <c r="E1234" s="278"/>
      <c r="F1234" s="279"/>
      <c r="G1234" s="306" t="s">
        <v>4176</v>
      </c>
      <c r="H1234" s="289"/>
      <c r="I1234" s="307"/>
      <c r="J1234" s="277" t="str">
        <f>IF(VLOOKUP($K1233,Draw!$A$4:$B$27,2)&lt;&gt;0,VLOOKUP($K1233,Draw!$A$4:$B$27,2),"")</f>
        <v/>
      </c>
      <c r="K1234" s="278"/>
      <c r="L1234" s="278"/>
      <c r="M1234" s="278"/>
      <c r="N1234" s="278"/>
      <c r="O1234" s="279"/>
      <c r="P1234" s="15"/>
      <c r="R1234" s="1"/>
      <c r="S1234" s="110"/>
      <c r="T1234" s="110"/>
      <c r="U1234" s="110"/>
      <c r="V1234" s="110"/>
      <c r="W1234" s="110"/>
      <c r="X1234" s="111"/>
      <c r="Y1234" s="111"/>
      <c r="Z1234" s="111"/>
      <c r="AA1234" s="111"/>
    </row>
    <row r="1235" spans="1:32" ht="12.75" customHeight="1">
      <c r="A1235" s="14"/>
      <c r="B1235" s="15"/>
      <c r="C1235" s="15"/>
      <c r="D1235" s="15"/>
      <c r="E1235" s="15"/>
      <c r="F1235" s="14"/>
      <c r="G1235" s="288" t="str">
        <f>"Page "&amp;VALUE(RIGHT($G1234,LEN($G1234)-SEARCH("-",$G1234)))/2</f>
        <v>Page 25</v>
      </c>
      <c r="H1235" s="289"/>
      <c r="I1235" s="289"/>
      <c r="J1235" s="15"/>
      <c r="K1235" s="15"/>
      <c r="L1235" s="15"/>
      <c r="M1235" s="15"/>
      <c r="N1235" s="15"/>
      <c r="O1235" s="15"/>
      <c r="P1235" s="15"/>
      <c r="R1235" s="1"/>
      <c r="S1235" s="110"/>
      <c r="T1235" s="110"/>
      <c r="U1235" s="110"/>
      <c r="V1235" s="110"/>
      <c r="W1235" s="110"/>
      <c r="X1235" s="111"/>
      <c r="Y1235" s="111"/>
      <c r="Z1235" s="111"/>
      <c r="AA1235" s="111"/>
      <c r="AF1235" s="27"/>
    </row>
    <row r="1236" spans="1:32" ht="12.75" customHeight="1">
      <c r="A1236" s="327" t="s">
        <v>1245</v>
      </c>
      <c r="B1236" s="327"/>
      <c r="C1236" s="327"/>
      <c r="D1236" s="327"/>
      <c r="E1236" s="327"/>
      <c r="F1236" s="327"/>
      <c r="G1236" s="327"/>
      <c r="H1236" s="327"/>
      <c r="I1236" s="327"/>
      <c r="J1236" s="327"/>
      <c r="K1236" s="327"/>
      <c r="L1236" s="327"/>
      <c r="M1236" s="327"/>
      <c r="N1236" s="327"/>
      <c r="O1236" s="327"/>
      <c r="P1236" s="327"/>
      <c r="Q1236" s="7"/>
      <c r="R1236" s="1"/>
      <c r="S1236" s="110"/>
      <c r="T1236" s="110"/>
      <c r="U1236" s="110"/>
      <c r="V1236" s="110"/>
      <c r="W1236" s="110"/>
      <c r="X1236" s="111"/>
      <c r="Y1236" s="111"/>
      <c r="Z1236" s="111"/>
      <c r="AA1236" s="111"/>
      <c r="AF1236" s="20"/>
    </row>
    <row r="1237" spans="1:32" ht="12.75" customHeight="1">
      <c r="A1237" s="21" t="s">
        <v>1233</v>
      </c>
      <c r="H1237" s="136" t="str">
        <f>IF($Q1239&lt;&gt;"",IF(AND(AND($H1239&gt;-1,$H1241&gt;-1),OR($H1239&gt;10,$H1241&gt;10),ABS($H1239-$H1241)&gt;1,IF(OR($H1239&gt;11,$H1241&gt;11),ABS($H1239-$H1241)=2,TRUE),$H1239=INT($H1239),$H1241=INT($H1241)),"","Error"),"")</f>
        <v/>
      </c>
      <c r="I1237" s="136" t="str">
        <f>IF($Q1239&lt;&gt;"",IF(AND(AND($I1239&gt;-1,$I1241&gt;-1),OR($I1239&gt;10,$I1241&gt;10),ABS($I1239-$I1241)&gt;1,IF(OR($I1239&gt;11,$I1241&gt;11),ABS($I1239-$I1241)=2,TRUE),$I1239=INT($I1239),$I1241=INT($I1241)),"","Error"),"")</f>
        <v/>
      </c>
      <c r="J1237" s="136" t="str">
        <f>IF($Q1239&lt;&gt;"",IF(AND(AND($J1239&gt;-1,$J1241&gt;-1),OR($J1239&gt;10,$J1241&gt;10),ABS($J1239-$J1241)&gt;1,IF(OR($J1239&gt;11,$J1241&gt;11),ABS($J1239-$J1241)=2,TRUE),$J1239=INT($J1239),$J1241=INT($J1241)),"","Error"),"")</f>
        <v/>
      </c>
      <c r="K1237" s="136" t="str">
        <f>IF($Q1239&lt;&gt;"",IF(AND($K1239&lt;&gt;"",$K1241&lt;&gt;""), IF(AND(AND($K1239&gt;-1,$K1241&gt;-1),OR($K1239&gt;10,$K1241&gt;10),ABS($K1239-$K1241)&gt;1,IF(OR($K1239&gt;11,$K1241&gt;11),ABS($K1239-$K1241)=2,TRUE),$K1239=INT($K1239),$K1241=INT($K1241)),"","Error"),""),"")</f>
        <v/>
      </c>
      <c r="L1237" s="136" t="str">
        <f>IF($Q1239&lt;&gt;"",IF(AND($L1239&lt;&gt;"",$L1241&lt;&gt;""), IF(AND(AND($L1239&gt;-1,$L1241&gt;-1),OR($L1239&gt;10,$L1241&gt;10),ABS($L1239-$L1241)&gt;1,IF(OR($L1239&gt;11,$L1241&gt;11),ABS($L1239-$L1241)=2,TRUE),$L1239=INT($L1239),$L1241=INT($L1241)),"","Error"),""),"")</f>
        <v/>
      </c>
      <c r="R1237" s="1"/>
      <c r="S1237" s="110"/>
      <c r="T1237" s="110"/>
      <c r="U1237" s="110"/>
      <c r="V1237" s="110"/>
      <c r="W1237" s="110"/>
      <c r="X1237" s="111"/>
      <c r="Y1237" s="111"/>
      <c r="Z1237" s="111"/>
      <c r="AA1237" s="111"/>
    </row>
    <row r="1238" spans="1:32" ht="12.75" customHeight="1">
      <c r="A1238" s="5" t="s">
        <v>1228</v>
      </c>
      <c r="B1238" s="290" t="s">
        <v>1126</v>
      </c>
      <c r="C1238" s="291"/>
      <c r="D1238" s="291"/>
      <c r="E1238" s="291"/>
      <c r="F1238" s="291"/>
      <c r="G1238" s="292"/>
      <c r="H1238" s="5">
        <v>1</v>
      </c>
      <c r="I1238" s="5">
        <v>2</v>
      </c>
      <c r="J1238" s="5">
        <v>3</v>
      </c>
      <c r="K1238" s="5">
        <v>4</v>
      </c>
      <c r="L1238" s="5">
        <v>5</v>
      </c>
      <c r="M1238" s="271"/>
      <c r="N1238" s="272"/>
      <c r="O1238" s="272"/>
      <c r="P1238" s="273"/>
      <c r="R1238" s="1"/>
      <c r="S1238" s="110"/>
      <c r="T1238" s="110"/>
      <c r="U1238" s="110"/>
      <c r="V1238" s="110"/>
      <c r="W1238" s="110"/>
      <c r="X1238" s="111"/>
      <c r="Y1238" s="111"/>
      <c r="Z1238" s="111"/>
      <c r="AA1238" s="111"/>
    </row>
    <row r="1239" spans="1:32" ht="12.75" customHeight="1">
      <c r="A1239" s="300" t="str">
        <f>B1233</f>
        <v>A</v>
      </c>
      <c r="B1239" s="293" t="str">
        <f ca="1">IF(AND(OFFSET($AO$1,$C1233-1,8,1,1),$A1234&lt;&gt;"",$J1234&lt;&gt;""),CHOOSE($C1233,$AO$1,$AO$2,$AO$3,$AO$4,$AO$5,$AO$6,$AO$7,$AO$8,$AO$9,$AO$10,$AO$11,$AO$12),"")</f>
        <v/>
      </c>
      <c r="C1239" s="294"/>
      <c r="D1239" s="294"/>
      <c r="E1239" s="294"/>
      <c r="F1239" s="294"/>
      <c r="G1239" s="294"/>
      <c r="H1239" s="265"/>
      <c r="I1239" s="265"/>
      <c r="J1239" s="265"/>
      <c r="K1239" s="265"/>
      <c r="L1239" s="265"/>
      <c r="M1239" s="297"/>
      <c r="N1239" s="298"/>
      <c r="O1239" s="298"/>
      <c r="P1239" s="299"/>
      <c r="Q1239" s="137" t="str">
        <f>IF($L1239=$L1241,IF($K1239=$K1241,IF($J1239&lt;&gt;"",IF($J1239&gt;$J1241,"W","L"),""),IF($K1239&gt;$K1241,"W","L")),IF($L1239&gt;$L1241,"W","L"))</f>
        <v/>
      </c>
      <c r="R1239" s="1"/>
      <c r="S1239" s="110"/>
      <c r="T1239" s="110"/>
      <c r="U1239" s="110"/>
      <c r="V1239" s="110"/>
      <c r="W1239" s="110"/>
      <c r="X1239" s="111"/>
      <c r="Y1239" s="111"/>
      <c r="Z1239" s="111"/>
      <c r="AA1239" s="111"/>
    </row>
    <row r="1240" spans="1:32" ht="12.75" customHeight="1">
      <c r="A1240" s="301"/>
      <c r="B1240" s="295"/>
      <c r="C1240" s="296"/>
      <c r="D1240" s="296"/>
      <c r="E1240" s="296"/>
      <c r="F1240" s="296"/>
      <c r="G1240" s="296"/>
      <c r="H1240" s="270"/>
      <c r="I1240" s="270"/>
      <c r="J1240" s="270"/>
      <c r="K1240" s="270"/>
      <c r="L1240" s="270"/>
      <c r="M1240" s="297"/>
      <c r="N1240" s="298"/>
      <c r="O1240" s="298"/>
      <c r="P1240" s="299"/>
      <c r="Q1240" s="139" t="str">
        <f>IF($Q1239&lt;&gt;"",IF($Q1239="W",IF(SUM(IF($H1239&gt;$H1241,1,0),IF($I1239&gt;$I1241,1,0),IF($J1239&gt;$J1241,1,0),IF($K1239&gt;$K1241,1,0),IF($L1239&gt;$L1241,1,0))&lt;&gt;3,"Error",""),""),"")</f>
        <v/>
      </c>
      <c r="R1240" s="328" t="str">
        <f>$A1234</f>
        <v/>
      </c>
      <c r="S1240" s="328"/>
      <c r="T1240" s="328"/>
      <c r="U1240" s="328"/>
      <c r="V1240" s="328"/>
      <c r="W1240" s="328"/>
      <c r="X1240" s="256" t="str">
        <f>CONCATENATE("(",$B1233," vs ",$K1233,")")</f>
        <v>(A vs K)</v>
      </c>
      <c r="Y1240" s="256"/>
      <c r="Z1240" s="328" t="str">
        <f>$J1234</f>
        <v/>
      </c>
      <c r="AA1240" s="328"/>
      <c r="AB1240" s="328"/>
      <c r="AC1240" s="328"/>
      <c r="AD1240" s="328"/>
      <c r="AE1240" s="328"/>
      <c r="AF1240" s="43"/>
    </row>
    <row r="1241" spans="1:32" ht="12.75" customHeight="1">
      <c r="A1241" s="300" t="str">
        <f>K1233</f>
        <v>K</v>
      </c>
      <c r="B1241" s="293" t="str">
        <f ca="1">IF(AND(OFFSET($AO$1,$L1233-1,8,1,1),$A1234&lt;&gt;"",$J1234&lt;&gt;""),CHOOSE($L1233,$AO$1,$AO$2,$AO$3,$AO$4,$AO$5,$AO$6,$AO$7,$AO$8,$AO$9,$AO$10,$AO$11,$AO$12),"")</f>
        <v/>
      </c>
      <c r="C1241" s="294"/>
      <c r="D1241" s="294"/>
      <c r="E1241" s="294"/>
      <c r="F1241" s="294"/>
      <c r="G1241" s="294"/>
      <c r="H1241" s="265"/>
      <c r="I1241" s="265"/>
      <c r="J1241" s="265"/>
      <c r="K1241" s="265"/>
      <c r="L1241" s="265"/>
      <c r="M1241" s="267" t="s">
        <v>1237</v>
      </c>
      <c r="N1241" s="268"/>
      <c r="O1241" s="268"/>
      <c r="P1241" s="269"/>
      <c r="Q1241" s="137" t="str">
        <f>IF($Q1239&lt;&gt;"",IF($Q1239="W","L","W"),"")</f>
        <v/>
      </c>
      <c r="R1241" s="43"/>
      <c r="S1241" s="43"/>
      <c r="T1241" s="43"/>
      <c r="U1241" s="43"/>
      <c r="V1241" s="43"/>
      <c r="W1241" s="43"/>
      <c r="X1241" s="43"/>
      <c r="Y1241" s="43"/>
      <c r="Z1241" s="43"/>
      <c r="AA1241" s="43"/>
      <c r="AB1241" s="43"/>
      <c r="AC1241" s="43"/>
      <c r="AD1241" s="43"/>
      <c r="AE1241" s="43"/>
      <c r="AF1241" s="43"/>
    </row>
    <row r="1242" spans="1:32" ht="12.75" customHeight="1">
      <c r="A1242" s="301"/>
      <c r="B1242" s="295"/>
      <c r="C1242" s="296"/>
      <c r="D1242" s="296"/>
      <c r="E1242" s="296"/>
      <c r="F1242" s="296"/>
      <c r="G1242" s="296"/>
      <c r="H1242" s="270"/>
      <c r="I1242" s="270"/>
      <c r="J1242" s="266"/>
      <c r="K1242" s="266"/>
      <c r="L1242" s="266"/>
      <c r="M1242" s="267"/>
      <c r="N1242" s="268"/>
      <c r="O1242" s="268"/>
      <c r="P1242" s="269"/>
      <c r="Q1242" s="139" t="str">
        <f>IF($Q1241&lt;&gt;"",IF($Q1241="W",IF(SUM(IF($H1241&gt;$H1239,1,0),IF($I1241&gt;$I1239,1,0),IF($J1241&gt;$J1239,1,0),IF($K1241&gt;$K1239,1,0),IF($L1241&gt;$L1239,1,0))&lt;&gt;3,"Error",""),""),"")</f>
        <v/>
      </c>
      <c r="R1242" s="43" t="str">
        <f>$A1244</f>
        <v>2nd Singles</v>
      </c>
      <c r="S1242" s="43"/>
      <c r="T1242" s="43"/>
      <c r="U1242" s="43"/>
      <c r="V1242" s="43"/>
      <c r="W1242" s="43"/>
      <c r="X1242" s="43"/>
      <c r="Y1242" s="43"/>
      <c r="Z1242" s="43"/>
      <c r="AA1242" s="43"/>
      <c r="AB1242" s="43"/>
      <c r="AC1242" s="43"/>
      <c r="AD1242" s="43"/>
      <c r="AE1242" s="43"/>
      <c r="AF1242" s="43"/>
    </row>
    <row r="1243" spans="1:32" ht="12.75" customHeight="1">
      <c r="Q1243" s="7"/>
      <c r="R1243" s="60" t="s">
        <v>1228</v>
      </c>
      <c r="S1243" s="339" t="s">
        <v>1126</v>
      </c>
      <c r="T1243" s="340"/>
      <c r="U1243" s="340"/>
      <c r="V1243" s="340"/>
      <c r="W1243" s="340"/>
      <c r="X1243" s="341"/>
      <c r="Y1243" s="60">
        <v>1</v>
      </c>
      <c r="Z1243" s="60">
        <v>2</v>
      </c>
      <c r="AA1243" s="60">
        <v>3</v>
      </c>
      <c r="AB1243" s="60">
        <v>4</v>
      </c>
      <c r="AC1243" s="60">
        <v>5</v>
      </c>
      <c r="AD1243" s="342"/>
      <c r="AE1243" s="343"/>
      <c r="AF1243" s="344"/>
    </row>
    <row r="1244" spans="1:32" ht="12.75" customHeight="1">
      <c r="A1244" s="21" t="s">
        <v>1234</v>
      </c>
      <c r="H1244" s="136" t="str">
        <f>IF($Q1246&lt;&gt;"",IF(AND(AND($H1246&gt;-1,$H1248&gt;-1),OR($H1246&gt;10,$H1248&gt;10),ABS($H1246-$H1248)&gt;1,IF(OR($H1246&gt;11,$H1248&gt;11),ABS($H1246-$H1248)=2,TRUE),$H1246=INT($H1246),$H1248=INT($H1248)),"","Error"),"")</f>
        <v/>
      </c>
      <c r="I1244" s="136" t="str">
        <f>IF($Q1246&lt;&gt;"",IF(AND(AND($I1246&gt;-1,$I1248&gt;-1),OR($I1246&gt;10,$I1248&gt;10),ABS($I1246-$I1248)&gt;1,IF(OR($I1246&gt;11,$I1248&gt;11),ABS($I1246-$I1248)=2,TRUE),$I1246=INT($I1246),$I1248=INT($I1248)),"","Error"),"")</f>
        <v/>
      </c>
      <c r="J1244" s="136" t="str">
        <f>IF($Q1246&lt;&gt;"",IF(AND(AND($J1246&gt;-1,$J1248&gt;-1),OR($J1246&gt;10,$J1248&gt;10),ABS($J1246-$J1248)&gt;1,IF(OR($J1246&gt;11,$J1248&gt;11),ABS($J1246-$J1248)=2,TRUE),$J1246=INT($J1246),$J1248=INT($J1248)),"","Error"),"")</f>
        <v/>
      </c>
      <c r="K1244" s="136" t="str">
        <f>IF($Q1246&lt;&gt;"",IF(AND($K1246&lt;&gt;"",$K1248&lt;&gt;""), IF(AND(AND($K1246&gt;-1,$K1248&gt;-1),OR($K1246&gt;10,$K1248&gt;10),ABS($K1246-$K1248)&gt;1,IF(OR($K1246&gt;11,$K1248&gt;11),ABS($K1246-$K1248)=2,TRUE),$K1246=INT($K1246),$K1248=INT($K1248)),"","Error"),""),"")</f>
        <v/>
      </c>
      <c r="L1244" s="136" t="str">
        <f>IF($Q1246&lt;&gt;"",IF(AND($L1246&lt;&gt;"",$L1248&lt;&gt;""), IF(AND(AND($L1246&gt;-1,$L1248&gt;-1),OR($L1246&gt;10,$L1248&gt;10),ABS($L1246-$L1248)&gt;1,IF(OR($L1246&gt;11,$L1248&gt;11),ABS($L1246-$L1248)=2,TRUE),$L1246=INT($L1246),$L1248=INT($L1248)),"","Error"),""),"")</f>
        <v/>
      </c>
      <c r="Q1244" s="7"/>
      <c r="R1244" s="300" t="str">
        <f>$B1233</f>
        <v>A</v>
      </c>
      <c r="S1244" s="331" t="str">
        <f ca="1">IF($B1246&lt;&gt;"",$B1246,"")</f>
        <v/>
      </c>
      <c r="T1244" s="332"/>
      <c r="U1244" s="332"/>
      <c r="V1244" s="332"/>
      <c r="W1244" s="332"/>
      <c r="X1244" s="333"/>
      <c r="Y1244" s="329"/>
      <c r="Z1244" s="329"/>
      <c r="AA1244" s="329"/>
      <c r="AB1244" s="329"/>
      <c r="AC1244" s="329"/>
      <c r="AD1244" s="345"/>
      <c r="AE1244" s="358"/>
      <c r="AF1244" s="359"/>
    </row>
    <row r="1245" spans="1:32" ht="12.75" customHeight="1">
      <c r="A1245" s="5" t="s">
        <v>1228</v>
      </c>
      <c r="B1245" s="290" t="s">
        <v>1126</v>
      </c>
      <c r="C1245" s="291"/>
      <c r="D1245" s="291"/>
      <c r="E1245" s="291"/>
      <c r="F1245" s="291"/>
      <c r="G1245" s="292"/>
      <c r="H1245" s="5">
        <v>1</v>
      </c>
      <c r="I1245" s="5">
        <v>2</v>
      </c>
      <c r="J1245" s="5">
        <v>3</v>
      </c>
      <c r="K1245" s="5">
        <v>4</v>
      </c>
      <c r="L1245" s="5">
        <v>5</v>
      </c>
      <c r="M1245" s="271"/>
      <c r="N1245" s="272"/>
      <c r="O1245" s="272"/>
      <c r="P1245" s="273"/>
      <c r="Q1245" s="7"/>
      <c r="R1245" s="330"/>
      <c r="S1245" s="334"/>
      <c r="T1245" s="335"/>
      <c r="U1245" s="335"/>
      <c r="V1245" s="335"/>
      <c r="W1245" s="335"/>
      <c r="X1245" s="336"/>
      <c r="Y1245" s="330"/>
      <c r="Z1245" s="330"/>
      <c r="AA1245" s="330"/>
      <c r="AB1245" s="330"/>
      <c r="AC1245" s="330"/>
      <c r="AD1245" s="360"/>
      <c r="AE1245" s="361"/>
      <c r="AF1245" s="362"/>
    </row>
    <row r="1246" spans="1:32" ht="12.75" customHeight="1">
      <c r="A1246" s="300" t="str">
        <f>B1233</f>
        <v>A</v>
      </c>
      <c r="B1246" s="293" t="str">
        <f ca="1">IF(AND(OFFSET($AO$1,$C1233-1,8,1,1),$A1234&lt;&gt;"",$J1234&lt;&gt;""),CHOOSE($C1233,$AP$1,$AP$2,$AP$3,$AP$4,$AP$5,$AP$6,$AP$7,$AP$8,$AP$9,$AP$10,$AP$11,$AP$12),"")</f>
        <v/>
      </c>
      <c r="C1246" s="294"/>
      <c r="D1246" s="294"/>
      <c r="E1246" s="294"/>
      <c r="F1246" s="294"/>
      <c r="G1246" s="294"/>
      <c r="H1246" s="265"/>
      <c r="I1246" s="265"/>
      <c r="J1246" s="265"/>
      <c r="K1246" s="265"/>
      <c r="L1246" s="265"/>
      <c r="M1246" s="262" t="str">
        <f ca="1">IF(OR(AND($B1239&lt;&gt;"",$B1246&lt;&gt;"",$C1264&lt;=$B1264),AND($B1241&lt;&gt;"",$B1248&lt;&gt;"",$G1264&lt;=$F1264)),"Invalid Lineup","")</f>
        <v/>
      </c>
      <c r="N1246" s="263"/>
      <c r="O1246" s="263"/>
      <c r="P1246" s="264"/>
      <c r="Q1246" s="137" t="str">
        <f>IF($L1246=$L1248,IF($K1246=$K1248,IF($J1246&lt;&gt;"",IF($J1246&gt;$J1248,"W","L"),""),IF($K1246&gt;$K1248,"W","L")),IF($L1246&gt;$L1248,"W","L"))</f>
        <v/>
      </c>
      <c r="R1246" s="300" t="str">
        <f>$K1233</f>
        <v>K</v>
      </c>
      <c r="S1246" s="331" t="str">
        <f ca="1">IF($B1248&lt;&gt;"",$B1248,"")</f>
        <v/>
      </c>
      <c r="T1246" s="332"/>
      <c r="U1246" s="332"/>
      <c r="V1246" s="332"/>
      <c r="W1246" s="332"/>
      <c r="X1246" s="333"/>
      <c r="Y1246" s="329"/>
      <c r="Z1246" s="329"/>
      <c r="AA1246" s="329"/>
      <c r="AB1246" s="329"/>
      <c r="AC1246" s="351"/>
      <c r="AD1246" s="363" t="s">
        <v>1237</v>
      </c>
      <c r="AE1246" s="358"/>
      <c r="AF1246" s="359"/>
    </row>
    <row r="1247" spans="1:32" ht="12.75" customHeight="1">
      <c r="A1247" s="301"/>
      <c r="B1247" s="295"/>
      <c r="C1247" s="296"/>
      <c r="D1247" s="296"/>
      <c r="E1247" s="296"/>
      <c r="F1247" s="296"/>
      <c r="G1247" s="296"/>
      <c r="H1247" s="270"/>
      <c r="I1247" s="270"/>
      <c r="J1247" s="270"/>
      <c r="K1247" s="270"/>
      <c r="L1247" s="270"/>
      <c r="M1247" s="262"/>
      <c r="N1247" s="263"/>
      <c r="O1247" s="263"/>
      <c r="P1247" s="264"/>
      <c r="Q1247" s="139" t="str">
        <f>IF($Q1246&lt;&gt;"",IF($Q1246="W",IF(SUM(IF($H1246&gt;$H1248,1,0),IF($I1246&gt;$I1248,1,0),IF($J1246&gt;$J1248,1,0),IF($K1246&gt;$K1248,1,0),IF($L1246&gt;$L1248,1,0))&lt;&gt;3,"Error",""),""),"")</f>
        <v/>
      </c>
      <c r="R1247" s="330"/>
      <c r="S1247" s="334"/>
      <c r="T1247" s="335"/>
      <c r="U1247" s="335"/>
      <c r="V1247" s="335"/>
      <c r="W1247" s="335"/>
      <c r="X1247" s="336"/>
      <c r="Y1247" s="330"/>
      <c r="Z1247" s="330"/>
      <c r="AA1247" s="330"/>
      <c r="AB1247" s="330"/>
      <c r="AC1247" s="330"/>
      <c r="AD1247" s="360"/>
      <c r="AE1247" s="361"/>
      <c r="AF1247" s="362"/>
    </row>
    <row r="1248" spans="1:32" ht="12.75" customHeight="1">
      <c r="A1248" s="300" t="str">
        <f>K1233</f>
        <v>K</v>
      </c>
      <c r="B1248" s="293" t="str">
        <f ca="1">IF(AND(OFFSET($AO$1,$L1233-1,8,1,1),$A1234&lt;&gt;"",$J1234&lt;&gt;""),CHOOSE($L1233,$AP$1,$AP$2,$AP$3,$AP$4,$AP$5,$AP$6,$AP$7,$AP$8,$AP$9,$AP$10,$AP$11,$AP$12),"")</f>
        <v/>
      </c>
      <c r="C1248" s="294"/>
      <c r="D1248" s="294"/>
      <c r="E1248" s="294"/>
      <c r="F1248" s="294"/>
      <c r="G1248" s="294"/>
      <c r="H1248" s="265"/>
      <c r="I1248" s="265"/>
      <c r="J1248" s="265"/>
      <c r="K1248" s="265"/>
      <c r="L1248" s="265"/>
      <c r="M1248" s="267" t="s">
        <v>1237</v>
      </c>
      <c r="N1248" s="268"/>
      <c r="O1248" s="268"/>
      <c r="P1248" s="269"/>
      <c r="Q1248" s="137" t="str">
        <f>IF($Q1246&lt;&gt;"",IF($Q1246="W","L","W"),"")</f>
        <v/>
      </c>
      <c r="R1248" s="20"/>
      <c r="S1248" s="20"/>
      <c r="T1248" s="20"/>
      <c r="U1248" s="20"/>
      <c r="V1248" s="20"/>
      <c r="W1248" s="20"/>
      <c r="X1248" s="26"/>
      <c r="Y1248" s="26"/>
      <c r="Z1248" s="20"/>
      <c r="AA1248" s="20"/>
      <c r="AB1248" s="20"/>
      <c r="AC1248" s="20"/>
      <c r="AD1248" s="20"/>
      <c r="AE1248" s="20"/>
      <c r="AF1248" s="27"/>
    </row>
    <row r="1249" spans="1:32" ht="12.75" customHeight="1">
      <c r="A1249" s="301"/>
      <c r="B1249" s="295"/>
      <c r="C1249" s="296"/>
      <c r="D1249" s="296"/>
      <c r="E1249" s="296"/>
      <c r="F1249" s="296"/>
      <c r="G1249" s="296"/>
      <c r="H1249" s="270"/>
      <c r="I1249" s="270"/>
      <c r="J1249" s="266"/>
      <c r="K1249" s="266"/>
      <c r="L1249" s="266"/>
      <c r="M1249" s="267"/>
      <c r="N1249" s="268"/>
      <c r="O1249" s="268"/>
      <c r="P1249" s="269"/>
      <c r="Q1249" s="139" t="str">
        <f>IF($Q1248&lt;&gt;"",IF($Q1248="W",IF(SUM(IF($H1248&gt;$H1246,1,0),IF($I1248&gt;$I1246,1,0),IF($J1248&gt;$J1246,1,0),IF($K1248&gt;$K1246,1,0),IF($L1248&gt;$L1246,1,0))&lt;&gt;3,"Error",""),""),"")</f>
        <v/>
      </c>
      <c r="R1249" s="20"/>
      <c r="S1249" s="20"/>
      <c r="T1249" s="20"/>
      <c r="U1249" s="20"/>
      <c r="V1249" s="20"/>
      <c r="W1249" s="20"/>
      <c r="X1249" s="26"/>
      <c r="Y1249" s="26"/>
      <c r="Z1249" s="20"/>
      <c r="AA1249" s="20"/>
      <c r="AB1249" s="20"/>
      <c r="AC1249" s="20"/>
      <c r="AD1249" s="20"/>
      <c r="AE1249" s="20"/>
      <c r="AF1249" s="27"/>
    </row>
    <row r="1250" spans="1:32" ht="12.75" customHeight="1">
      <c r="Q1250" s="7"/>
      <c r="R1250" s="20"/>
      <c r="S1250" s="20"/>
      <c r="T1250" s="20"/>
      <c r="U1250" s="20"/>
      <c r="V1250" s="20"/>
      <c r="W1250" s="20"/>
      <c r="X1250" s="26"/>
      <c r="Y1250" s="26"/>
      <c r="Z1250" s="20"/>
      <c r="AA1250" s="20"/>
      <c r="AB1250" s="20"/>
      <c r="AC1250" s="20"/>
      <c r="AD1250" s="20"/>
      <c r="AE1250" s="20"/>
      <c r="AF1250" s="27"/>
    </row>
    <row r="1251" spans="1:32" ht="12.75" customHeight="1">
      <c r="A1251" s="21" t="s">
        <v>1235</v>
      </c>
      <c r="H1251" s="136" t="str">
        <f>IF($Q1253&lt;&gt;"",IF(AND(AND($H1253&gt;-1,$H1255&gt;-1),OR($H1253&gt;10,$H1255&gt;10),ABS($H1253-$H1255)&gt;1,IF(OR($H1253&gt;11,$H1255&gt;11),ABS($H1253-$H1255)=2,TRUE),$H1253=INT($H1253),$H1255=INT($H1255)),"","Error"),"")</f>
        <v/>
      </c>
      <c r="I1251" s="136" t="str">
        <f>IF($Q1253&lt;&gt;"",IF(AND(AND($I1253&gt;-1,$I1255&gt;-1),OR($I1253&gt;10,$I1255&gt;10),ABS($I1253-$I1255)&gt;1,IF(OR($I1253&gt;11,$I1255&gt;11),ABS($I1253-$I1255)=2,TRUE),$I1253=INT($I1253),$I1255=INT($I1255)),"","Error"),"")</f>
        <v/>
      </c>
      <c r="J1251" s="136" t="str">
        <f>IF($Q1253&lt;&gt;"",IF(AND(AND($J1253&gt;-1,$J1255&gt;-1),OR($J1253&gt;10,$J1255&gt;10),ABS($J1253-$J1255)&gt;1,IF(OR($J1253&gt;11,$J1255&gt;11),ABS($J1253-$J1255)=2,TRUE),$J1253=INT($J1253),$J1255=INT($J1255)),"","Error"),"")</f>
        <v/>
      </c>
      <c r="K1251" s="136" t="str">
        <f>IF($Q1253&lt;&gt;"",IF(AND($K1253&lt;&gt;"",$K1255&lt;&gt;""), IF(AND(AND($K1253&gt;-1,$K1255&gt;-1),OR($K1253&gt;10,$K1255&gt;10),ABS($K1253-$K1255)&gt;1,IF(OR($K1253&gt;11,$K1255&gt;11),ABS($K1253-$K1255)=2,TRUE),$K1253=INT($K1253),$K1255=INT($K1255)),"","Error"),""),"")</f>
        <v/>
      </c>
      <c r="L1251" s="136" t="str">
        <f>IF($Q1253&lt;&gt;"",IF(AND($L1253&lt;&gt;"",$L1255&lt;&gt;""), IF(AND(AND($L1253&gt;-1,$L1255&gt;-1),OR($L1253&gt;10,$L1255&gt;10),ABS($L1253-$L1255)&gt;1,IF(OR($L1253&gt;11,$L1255&gt;11),ABS($L1253-$L1255)=2,TRUE),$L1253=INT($L1253),$L1255=INT($L1255)),"","Error"),""),"")</f>
        <v/>
      </c>
      <c r="Q1251" s="7"/>
      <c r="R1251" s="20"/>
      <c r="S1251" s="20"/>
      <c r="T1251" s="20"/>
      <c r="U1251" s="20"/>
      <c r="V1251" s="20"/>
      <c r="W1251" s="20"/>
      <c r="X1251" s="26"/>
      <c r="Y1251" s="26"/>
      <c r="Z1251" s="20"/>
      <c r="AA1251" s="20"/>
      <c r="AB1251" s="20"/>
      <c r="AC1251" s="20"/>
      <c r="AD1251" s="20"/>
      <c r="AE1251" s="20"/>
      <c r="AF1251" s="27"/>
    </row>
    <row r="1252" spans="1:32" ht="12.75" customHeight="1">
      <c r="A1252" s="5" t="s">
        <v>1228</v>
      </c>
      <c r="B1252" s="290" t="s">
        <v>1126</v>
      </c>
      <c r="C1252" s="291"/>
      <c r="D1252" s="291"/>
      <c r="E1252" s="291"/>
      <c r="F1252" s="291"/>
      <c r="G1252" s="292"/>
      <c r="H1252" s="5">
        <v>1</v>
      </c>
      <c r="I1252" s="5">
        <v>2</v>
      </c>
      <c r="J1252" s="5">
        <v>3</v>
      </c>
      <c r="K1252" s="5">
        <v>4</v>
      </c>
      <c r="L1252" s="5">
        <v>5</v>
      </c>
      <c r="M1252" s="271"/>
      <c r="N1252" s="272"/>
      <c r="O1252" s="272"/>
      <c r="P1252" s="273"/>
      <c r="Q1252" s="7"/>
      <c r="R1252" s="20"/>
      <c r="S1252" s="20"/>
      <c r="T1252" s="20"/>
      <c r="U1252" s="20"/>
      <c r="V1252" s="20"/>
      <c r="W1252" s="20"/>
      <c r="X1252" s="26"/>
      <c r="Y1252" s="26"/>
      <c r="Z1252" s="20"/>
      <c r="AA1252" s="20"/>
      <c r="AB1252" s="20"/>
      <c r="AC1252" s="20"/>
      <c r="AD1252" s="20"/>
      <c r="AE1252" s="20"/>
      <c r="AF1252" s="27"/>
    </row>
    <row r="1253" spans="1:32" ht="12.75" customHeight="1">
      <c r="A1253" s="300" t="str">
        <f>B1233</f>
        <v>A</v>
      </c>
      <c r="B1253" s="293" t="str">
        <f ca="1">IF(AND(OFFSET($AO$1,$C1233-1,8,1,1),$A1234&lt;&gt;"",$J1234&lt;&gt;""),CHOOSE($C1233,$AQ$1,$AQ$2,$AQ$3,$AQ$4,$AQ$5,$AQ$6,$AQ$7,$AQ$8,$AQ$9,$AQ$10,$AQ$11,$AQ$12),"")</f>
        <v/>
      </c>
      <c r="C1253" s="294"/>
      <c r="D1253" s="294"/>
      <c r="E1253" s="294"/>
      <c r="F1253" s="294"/>
      <c r="G1253" s="294"/>
      <c r="H1253" s="265"/>
      <c r="I1253" s="265"/>
      <c r="J1253" s="265"/>
      <c r="K1253" s="265"/>
      <c r="L1253" s="265"/>
      <c r="M1253" s="262" t="str">
        <f ca="1">IF(OR(AND($B1246&lt;&gt;"",$B1253&lt;&gt;"",$D1264&lt;=$C1264),AND($B1248&lt;&gt;"",$B1255&lt;&gt;"",$H1264&lt;=$G1264)),"Invalid Lineup","")</f>
        <v/>
      </c>
      <c r="N1253" s="263"/>
      <c r="O1253" s="263"/>
      <c r="P1253" s="264"/>
      <c r="Q1253" s="137" t="str">
        <f>IF($L1253=$L1255,IF($K1253=$K1255,IF($J1253&lt;&gt;"",IF($J1253&gt;$J1255,"W","L"),""),IF($K1253&gt;$K1255,"W","L")),IF($L1253&gt;$L1255,"W","L"))</f>
        <v/>
      </c>
      <c r="R1253" s="20"/>
      <c r="S1253" s="20"/>
      <c r="T1253" s="20"/>
      <c r="U1253" s="20"/>
      <c r="V1253" s="20"/>
      <c r="W1253" s="20"/>
      <c r="X1253" s="26"/>
      <c r="Y1253" s="26"/>
      <c r="Z1253" s="20"/>
      <c r="AA1253" s="20"/>
      <c r="AB1253" s="20"/>
      <c r="AC1253" s="20"/>
      <c r="AD1253" s="20"/>
      <c r="AE1253" s="20"/>
      <c r="AF1253" s="27"/>
    </row>
    <row r="1254" spans="1:32" ht="12.75" customHeight="1">
      <c r="A1254" s="301"/>
      <c r="B1254" s="295"/>
      <c r="C1254" s="296"/>
      <c r="D1254" s="296"/>
      <c r="E1254" s="296"/>
      <c r="F1254" s="296"/>
      <c r="G1254" s="296"/>
      <c r="H1254" s="270"/>
      <c r="I1254" s="270"/>
      <c r="J1254" s="270"/>
      <c r="K1254" s="270"/>
      <c r="L1254" s="270"/>
      <c r="M1254" s="262"/>
      <c r="N1254" s="263"/>
      <c r="O1254" s="263"/>
      <c r="P1254" s="264"/>
      <c r="Q1254" s="139" t="str">
        <f>IF($Q1253&lt;&gt;"",IF($Q1253="W",IF(SUM(IF($H1253&gt;$H1255,1,0),IF($I1253&gt;$I1255,1,0),IF($J1253&gt;$J1255,1,0),IF($K1253&gt;$K1255,1,0),IF($L1253&gt;$L1255,1,0))&lt;&gt;3,"Error",""),""),"")</f>
        <v/>
      </c>
      <c r="R1254" s="328" t="str">
        <f>$A1234</f>
        <v/>
      </c>
      <c r="S1254" s="328"/>
      <c r="T1254" s="328"/>
      <c r="U1254" s="328"/>
      <c r="V1254" s="328"/>
      <c r="W1254" s="328"/>
      <c r="X1254" s="256" t="str">
        <f>CONCATENATE("(",$B1233," vs ",$K1233,")")</f>
        <v>(A vs K)</v>
      </c>
      <c r="Y1254" s="256"/>
      <c r="Z1254" s="328" t="str">
        <f>$J1234</f>
        <v/>
      </c>
      <c r="AA1254" s="328"/>
      <c r="AB1254" s="328"/>
      <c r="AC1254" s="328"/>
      <c r="AD1254" s="328"/>
      <c r="AE1254" s="328"/>
      <c r="AF1254" s="100"/>
    </row>
    <row r="1255" spans="1:32" ht="12.75" customHeight="1">
      <c r="A1255" s="300" t="str">
        <f>K1233</f>
        <v>K</v>
      </c>
      <c r="B1255" s="293" t="str">
        <f ca="1">IF(AND(OFFSET($AO$1,$L1233-1,8,1,1),$A1234&lt;&gt;"",$J1234&lt;&gt;""),CHOOSE($L1233,$AQ$1,$AQ$2,$AQ$3,$AQ$4,$AQ$5,$AQ$6,$AQ$7,$AQ$8,$AQ$9,$AQ$10,$AQ$11,$AQ$12),"")</f>
        <v/>
      </c>
      <c r="C1255" s="294"/>
      <c r="D1255" s="294"/>
      <c r="E1255" s="294"/>
      <c r="F1255" s="294"/>
      <c r="G1255" s="294"/>
      <c r="H1255" s="265"/>
      <c r="I1255" s="265"/>
      <c r="J1255" s="265"/>
      <c r="K1255" s="265"/>
      <c r="L1255" s="265"/>
      <c r="M1255" s="267" t="s">
        <v>1237</v>
      </c>
      <c r="N1255" s="268"/>
      <c r="O1255" s="268"/>
      <c r="P1255" s="269"/>
      <c r="Q1255" s="137" t="str">
        <f>IF($Q1253&lt;&gt;"",IF($Q1253="W","L","W"),"")</f>
        <v/>
      </c>
      <c r="R1255" s="100"/>
      <c r="S1255" s="100"/>
      <c r="T1255" s="100"/>
      <c r="U1255" s="100"/>
      <c r="V1255" s="100"/>
      <c r="W1255" s="100"/>
      <c r="X1255" s="100"/>
      <c r="Y1255" s="100"/>
      <c r="Z1255" s="100"/>
      <c r="AA1255" s="100"/>
      <c r="AB1255" s="100"/>
      <c r="AC1255" s="100"/>
      <c r="AD1255" s="100"/>
      <c r="AE1255" s="100"/>
      <c r="AF1255" s="100"/>
    </row>
    <row r="1256" spans="1:32" ht="12.75" customHeight="1">
      <c r="A1256" s="301"/>
      <c r="B1256" s="295"/>
      <c r="C1256" s="296"/>
      <c r="D1256" s="296"/>
      <c r="E1256" s="296"/>
      <c r="F1256" s="296"/>
      <c r="G1256" s="296"/>
      <c r="H1256" s="270"/>
      <c r="I1256" s="270"/>
      <c r="J1256" s="266"/>
      <c r="K1256" s="266"/>
      <c r="L1256" s="266"/>
      <c r="M1256" s="267"/>
      <c r="N1256" s="268"/>
      <c r="O1256" s="268"/>
      <c r="P1256" s="269"/>
      <c r="Q1256" s="139" t="str">
        <f>IF($Q1255&lt;&gt;"",IF($Q1255="W",IF(SUM(IF($H1255&gt;$H1253,1,0),IF($I1255&gt;$I1253,1,0),IF($J1255&gt;$J1253,1,0),IF($K1255&gt;$K1253,1,0),IF($L1255&gt;$L1253,1,0))&lt;&gt;3,"Error",""),""),"")</f>
        <v/>
      </c>
      <c r="R1256" s="43" t="str">
        <f>$A1251</f>
        <v>3rd Singles</v>
      </c>
      <c r="S1256" s="43"/>
      <c r="T1256" s="43"/>
      <c r="U1256" s="43"/>
      <c r="V1256" s="43"/>
      <c r="W1256" s="43"/>
      <c r="X1256" s="43"/>
      <c r="Y1256" s="43"/>
      <c r="Z1256" s="43"/>
      <c r="AA1256" s="43"/>
      <c r="AB1256" s="43"/>
      <c r="AC1256" s="43"/>
      <c r="AD1256" s="43"/>
      <c r="AE1256" s="43"/>
      <c r="AF1256" s="43"/>
    </row>
    <row r="1257" spans="1:32" ht="12.75" customHeight="1">
      <c r="Q1257" s="7"/>
      <c r="R1257" s="60" t="s">
        <v>1228</v>
      </c>
      <c r="S1257" s="101" t="s">
        <v>1126</v>
      </c>
      <c r="T1257" s="102"/>
      <c r="U1257" s="102"/>
      <c r="V1257" s="102"/>
      <c r="W1257" s="102"/>
      <c r="X1257" s="103"/>
      <c r="Y1257" s="60">
        <v>1</v>
      </c>
      <c r="Z1257" s="60">
        <v>2</v>
      </c>
      <c r="AA1257" s="60">
        <v>3</v>
      </c>
      <c r="AB1257" s="60">
        <v>4</v>
      </c>
      <c r="AC1257" s="60">
        <v>5</v>
      </c>
      <c r="AD1257" s="104"/>
      <c r="AE1257" s="105"/>
      <c r="AF1257" s="106"/>
    </row>
    <row r="1258" spans="1:32" ht="12.75" customHeight="1">
      <c r="A1258" s="21" t="s">
        <v>1236</v>
      </c>
      <c r="H1258" s="136" t="str">
        <f ca="1">IF($Q1260&lt;&gt;"",IF(AND($B1260&lt;&gt;"Missing Player",$B1262&lt;&gt;"Missing Player"),IF(AND(AND($H1260&gt;-1,$H1262&gt;-1),OR($H1260&gt;10,$H1262&gt;10),ABS($H1260-$H1262)&gt;1,IF(OR($H1260&gt;11,$H1262&gt;11),ABS($H1260-$H1262)=2,TRUE),$H1260=INT($H1260),$H1262=INT($H1262)),"","Error"),""),"")</f>
        <v/>
      </c>
      <c r="I1258" s="136" t="str">
        <f ca="1">IF($Q1260&lt;&gt;"",IF(AND($B1260&lt;&gt;"Missing Player",$B1262&lt;&gt;"Missing Player"),IF(AND(AND($I1260&gt;-1,$I1262&gt;-1),OR($I1260&gt;10,$I1262&gt;10),ABS($I1260-$I1262)&gt;1,IF(OR($I1260&gt;11,$I1262&gt;11),ABS($I1260-$I1262)=2,TRUE),$I1260=INT($I1260),$I1262=INT($I1262)),"","Error"),""),"")</f>
        <v/>
      </c>
      <c r="J1258" s="136" t="str">
        <f ca="1">IF($Q1260&lt;&gt;"",IF(AND($B1260&lt;&gt;"Missing Player",$B1262&lt;&gt;"Missing Player"),IF(AND(AND($J1260&gt;-1,$J1262&gt;-1),OR($J1260&gt;10,$J1262&gt;10),ABS($J1260-$J1262)&gt;1,IF(OR($J1260&gt;11,$J1262&gt;11),ABS($J1260-$J1262)=2,TRUE),$J1260=INT($J1260),$J1262=INT($J1262)),"","Error"),""),"")</f>
        <v/>
      </c>
      <c r="K1258" s="136" t="str">
        <f ca="1">IF($Q1260&lt;&gt;"",IF(AND($K1260&lt;&gt;"",$K1262&lt;&gt;""), IF(AND(AND($K1260&gt;-1,$K1262&gt;-1),OR($K1260&gt;10,$K1262&gt;10),ABS($K1260-$K1262)&gt;1,IF(OR($K1260&gt;11,$K1262&gt;11),ABS($K1260-$K1262)=2,TRUE),$K1260=INT($K1260),$K1262=INT($K1262)),"","Error"),""),"")</f>
        <v/>
      </c>
      <c r="L1258" s="136" t="str">
        <f ca="1">IF($Q1260&lt;&gt;"",IF(AND($L1260&lt;&gt;"",$L1262&lt;&gt;""), IF(AND(AND($L1260&gt;-1,$L1262&gt;-1),OR($L1260&gt;10,$L1262&gt;10),ABS($L1260-$L1262)&gt;1,IF(OR($L1260&gt;11,$L1262&gt;11),ABS($L1260-$L1262)=2,TRUE),$L1260=INT($L1260),$L1262=INT($L1262)),"","Error"),""),"")</f>
        <v/>
      </c>
      <c r="Q1258" s="7"/>
      <c r="R1258" s="300" t="str">
        <f>$B1233</f>
        <v>A</v>
      </c>
      <c r="S1258" s="331" t="str">
        <f ca="1">IF($B1253&lt;&gt;"",$B1253,"")</f>
        <v/>
      </c>
      <c r="T1258" s="332"/>
      <c r="U1258" s="332"/>
      <c r="V1258" s="332"/>
      <c r="W1258" s="332"/>
      <c r="X1258" s="333"/>
      <c r="Y1258" s="329"/>
      <c r="Z1258" s="329"/>
      <c r="AA1258" s="329"/>
      <c r="AB1258" s="329"/>
      <c r="AC1258" s="329"/>
      <c r="AD1258" s="345"/>
      <c r="AE1258" s="358"/>
      <c r="AF1258" s="359"/>
    </row>
    <row r="1259" spans="1:32" ht="12.75" customHeight="1">
      <c r="A1259" s="5" t="s">
        <v>1228</v>
      </c>
      <c r="B1259" s="290" t="s">
        <v>1126</v>
      </c>
      <c r="C1259" s="291"/>
      <c r="D1259" s="291"/>
      <c r="E1259" s="291"/>
      <c r="F1259" s="291"/>
      <c r="G1259" s="292"/>
      <c r="H1259" s="5">
        <v>1</v>
      </c>
      <c r="I1259" s="5">
        <v>2</v>
      </c>
      <c r="J1259" s="5">
        <v>3</v>
      </c>
      <c r="K1259" s="5">
        <v>4</v>
      </c>
      <c r="L1259" s="5">
        <v>5</v>
      </c>
      <c r="M1259" s="271"/>
      <c r="N1259" s="272"/>
      <c r="O1259" s="272"/>
      <c r="P1259" s="273"/>
      <c r="Q1259" s="7"/>
      <c r="R1259" s="330"/>
      <c r="S1259" s="334"/>
      <c r="T1259" s="335"/>
      <c r="U1259" s="335"/>
      <c r="V1259" s="335"/>
      <c r="W1259" s="335"/>
      <c r="X1259" s="336"/>
      <c r="Y1259" s="330"/>
      <c r="Z1259" s="330"/>
      <c r="AA1259" s="330"/>
      <c r="AB1259" s="330"/>
      <c r="AC1259" s="330"/>
      <c r="AD1259" s="360"/>
      <c r="AE1259" s="361"/>
      <c r="AF1259" s="362"/>
    </row>
    <row r="1260" spans="1:32" ht="12.75" customHeight="1">
      <c r="A1260" s="300" t="str">
        <f>B1233</f>
        <v>A</v>
      </c>
      <c r="B1260" s="293" t="str">
        <f ca="1">IF(AND(OFFSET($AO$1,$C1233-1,8,1,1),$A1234&lt;&gt;"",$J1234&lt;&gt;""),CHOOSE($C1233,$AR$1,$AR$2,$AR$3,$AR$4,$AR$5,$AR$6,$AR$7,$AR$8,$AR$9,$AR$10,$AR$11,$AR$12),"")</f>
        <v/>
      </c>
      <c r="C1260" s="294"/>
      <c r="D1260" s="294"/>
      <c r="E1260" s="294"/>
      <c r="F1260" s="294"/>
      <c r="G1260" s="294"/>
      <c r="H1260" s="265"/>
      <c r="I1260" s="265"/>
      <c r="J1260" s="265"/>
      <c r="K1260" s="265"/>
      <c r="L1260" s="265" t="str">
        <f ca="1">IF(AND($B1260&lt;&gt;"",$Q1239&lt;&gt;""),IF($B1260="Missing Player",0,IF($B1262="Missing Player",11,"")),"")</f>
        <v/>
      </c>
      <c r="M1260" s="262" t="str">
        <f ca="1">IF(OR(AND($B1253&lt;&gt;"",$B1260&lt;&gt;"",$E1264&lt;=$D1264),AND($B1255&lt;&gt;"",$B1262&lt;&gt;"",$I1264&lt;=$H1264)),"Invalid Lineup","")</f>
        <v/>
      </c>
      <c r="N1260" s="263"/>
      <c r="O1260" s="263"/>
      <c r="P1260" s="264"/>
      <c r="Q1260" s="137" t="str">
        <f ca="1">IF($L1260=$L1262,IF($K1260=$K1262,IF($J1260&lt;&gt;"",IF($J1260&gt;$J1262,"W","L"),""),IF($K1260&gt;$K1262,"W","L")),IF($L1260&gt;$L1262,"W","L"))</f>
        <v/>
      </c>
      <c r="R1260" s="300" t="str">
        <f>$K1233</f>
        <v>K</v>
      </c>
      <c r="S1260" s="331" t="str">
        <f ca="1">IF($B1255&lt;&gt;"",$B1255,"")</f>
        <v/>
      </c>
      <c r="T1260" s="332"/>
      <c r="U1260" s="332"/>
      <c r="V1260" s="332"/>
      <c r="W1260" s="332"/>
      <c r="X1260" s="333"/>
      <c r="Y1260" s="329"/>
      <c r="Z1260" s="329"/>
      <c r="AA1260" s="329"/>
      <c r="AB1260" s="329"/>
      <c r="AC1260" s="351"/>
      <c r="AD1260" s="363" t="s">
        <v>1237</v>
      </c>
      <c r="AE1260" s="358"/>
      <c r="AF1260" s="359"/>
    </row>
    <row r="1261" spans="1:32" ht="12.75" customHeight="1">
      <c r="A1261" s="301"/>
      <c r="B1261" s="295"/>
      <c r="C1261" s="296"/>
      <c r="D1261" s="296"/>
      <c r="E1261" s="296"/>
      <c r="F1261" s="296"/>
      <c r="G1261" s="296"/>
      <c r="H1261" s="270"/>
      <c r="I1261" s="270"/>
      <c r="J1261" s="270"/>
      <c r="K1261" s="270"/>
      <c r="L1261" s="270"/>
      <c r="M1261" s="262"/>
      <c r="N1261" s="263"/>
      <c r="O1261" s="263"/>
      <c r="P1261" s="264"/>
      <c r="Q1261" s="139" t="str">
        <f ca="1">IF($Q1260&lt;&gt;"",IF($B1262&lt;&gt;"Missing Player",IF($Q1260="W",IF(SUM(IF($H1260&gt;$H1262,1,0),IF($I1260&gt;$I1262,1,0),IF($J1260&gt;$J1262,1,0),IF($K1260&gt;$K1262,1,0),IF($L1260&gt;$L1262,1,0))&lt;&gt;3,"Error",""),""),""),"")</f>
        <v/>
      </c>
      <c r="R1261" s="330"/>
      <c r="S1261" s="334"/>
      <c r="T1261" s="335"/>
      <c r="U1261" s="335"/>
      <c r="V1261" s="335"/>
      <c r="W1261" s="335"/>
      <c r="X1261" s="336"/>
      <c r="Y1261" s="330"/>
      <c r="Z1261" s="330"/>
      <c r="AA1261" s="330"/>
      <c r="AB1261" s="330"/>
      <c r="AC1261" s="330"/>
      <c r="AD1261" s="360"/>
      <c r="AE1261" s="361"/>
      <c r="AF1261" s="362"/>
    </row>
    <row r="1262" spans="1:32" ht="12.75" customHeight="1">
      <c r="A1262" s="300" t="str">
        <f>K1233</f>
        <v>K</v>
      </c>
      <c r="B1262" s="293" t="str">
        <f ca="1">IF(AND(OFFSET($AO$1,$L1233-1,8,1,1),$A1234&lt;&gt;"",$J1234&lt;&gt;""),CHOOSE($L1233,$AR$1,$AR$2,$AR$3,$AR$4,$AR$5,$AR$6,$AR$7,$AR$8,$AR$9,$AR$10,$AR$11,$AR$12),"")</f>
        <v/>
      </c>
      <c r="C1262" s="294"/>
      <c r="D1262" s="294"/>
      <c r="E1262" s="294"/>
      <c r="F1262" s="294"/>
      <c r="G1262" s="294"/>
      <c r="H1262" s="265"/>
      <c r="I1262" s="265"/>
      <c r="J1262" s="265"/>
      <c r="K1262" s="265"/>
      <c r="L1262" s="265" t="str">
        <f ca="1">IF(AND($B1262&lt;&gt;"",$Q1239&lt;&gt;""),IF($B1262="Missing Player",0,IF($B1260="Missing Player",11,"")),"")</f>
        <v/>
      </c>
      <c r="M1262" s="267" t="s">
        <v>1237</v>
      </c>
      <c r="N1262" s="268"/>
      <c r="O1262" s="268"/>
      <c r="P1262" s="269"/>
      <c r="Q1262" s="137" t="str">
        <f ca="1">IF($Q1260&lt;&gt;"",IF($Q1260="W","L","W"),"")</f>
        <v/>
      </c>
      <c r="R1262" s="112"/>
      <c r="S1262" s="98"/>
      <c r="T1262" s="108"/>
      <c r="U1262" s="108"/>
      <c r="V1262" s="108"/>
      <c r="W1262" s="108"/>
      <c r="X1262" s="108"/>
      <c r="Y1262" s="113"/>
      <c r="Z1262" s="113"/>
      <c r="AA1262" s="113"/>
      <c r="AB1262" s="113"/>
      <c r="AC1262" s="113"/>
      <c r="AD1262" s="107"/>
      <c r="AE1262" s="109"/>
      <c r="AF1262" s="109"/>
    </row>
    <row r="1263" spans="1:32" ht="12.75" customHeight="1">
      <c r="A1263" s="301"/>
      <c r="B1263" s="295"/>
      <c r="C1263" s="296"/>
      <c r="D1263" s="296"/>
      <c r="E1263" s="296"/>
      <c r="F1263" s="296"/>
      <c r="G1263" s="296"/>
      <c r="H1263" s="270"/>
      <c r="I1263" s="270"/>
      <c r="J1263" s="266"/>
      <c r="K1263" s="266"/>
      <c r="L1263" s="266"/>
      <c r="M1263" s="267"/>
      <c r="N1263" s="268"/>
      <c r="O1263" s="268"/>
      <c r="P1263" s="269"/>
      <c r="Q1263" s="139" t="str">
        <f ca="1">IF($Q1262&lt;&gt;"",IF($B1260&lt;&gt;"Missing Player",IF($Q1262="W",IF(SUM(IF($H1262&gt;$H1260,1,0),IF($I1262&gt;$I1260,1,0),IF($J1262&gt;$J1260,1,0),IF($K1262&gt;$K1260,1,0),IF($L1262&gt;$L1260,1,0))&lt;&gt;3,"Error",""),""),""),"")</f>
        <v/>
      </c>
      <c r="R1263" s="114"/>
      <c r="S1263" s="115"/>
      <c r="T1263" s="115"/>
      <c r="U1263" s="115"/>
      <c r="V1263" s="115"/>
      <c r="W1263" s="115"/>
      <c r="X1263" s="115"/>
      <c r="Y1263" s="114"/>
      <c r="Z1263" s="114"/>
      <c r="AA1263" s="114"/>
      <c r="AB1263" s="114"/>
      <c r="AC1263" s="114"/>
      <c r="AD1263" s="114"/>
      <c r="AE1263" s="114"/>
      <c r="AF1263" s="114"/>
    </row>
    <row r="1264" spans="1:32" ht="12.75" customHeight="1">
      <c r="B1264" s="140" t="str">
        <f ca="1">IF(ISERROR(VLOOKUP($B1239&amp;"("&amp;$B1233&amp;")",Players!$S$4:$T$132,2,FALSE)),"",VLOOKUP($B1239&amp;"("&amp;$B1233&amp;")",Players!$S$4:$T$132,2,FALSE))</f>
        <v>A1</v>
      </c>
      <c r="C1264" s="140" t="str">
        <f ca="1">IF(ISERROR(VLOOKUP($B1246&amp;"("&amp;$B1233&amp;")",Players!$S$4:$T$132,2,FALSE)),"",VLOOKUP($B1246&amp;"("&amp;$B1233&amp;")",Players!$S$4:$T$132,2,FALSE))</f>
        <v>A1</v>
      </c>
      <c r="D1264" s="141" t="str">
        <f ca="1">IF(ISERROR(VLOOKUP($B1253&amp;"("&amp;$B1233&amp;")",Players!$S$4:$T$132,2,FALSE)),"",VLOOKUP($B1253&amp;"("&amp;$B1233&amp;")",Players!$S$4:$T$132,2,FALSE))</f>
        <v>A1</v>
      </c>
      <c r="E1264" s="141" t="str">
        <f ca="1">IF(ISERROR(VLOOKUP($B1260&amp;"("&amp;$B1233&amp;")",Players!$S$4:$T$132,2,FALSE)),"",VLOOKUP($B1260&amp;"("&amp;$B1233&amp;")",Players!$S$4:$T$132,2,FALSE))</f>
        <v>A1</v>
      </c>
      <c r="F1264" s="141" t="str">
        <f ca="1">IF(ISERROR(VLOOKUP($B1241&amp;"("&amp;$K1233&amp;")",Players!$S$4:$T$132,2,FALSE)),"",VLOOKUP($B1241&amp;"("&amp;$K1233&amp;")",Players!$S$4:$T$132,2,FALSE))</f>
        <v>K1</v>
      </c>
      <c r="G1264" s="141" t="str">
        <f ca="1">IF(ISERROR(VLOOKUP($B1248&amp;"("&amp;$K1233&amp;")",Players!$S$4:$T$132,2,FALSE)),"",VLOOKUP($B1248&amp;"("&amp;$K1233&amp;")",Players!$S$4:$T$132,2,FALSE))</f>
        <v>K1</v>
      </c>
      <c r="H1264" s="141" t="str">
        <f ca="1">IF(ISERROR(VLOOKUP($B1255&amp;"("&amp;$K1233&amp;")",Players!$S$4:$T$132,2,FALSE)),"",VLOOKUP($B1255&amp;"("&amp;$K1233&amp;")",Players!$S$4:$T$132,2,FALSE))</f>
        <v>K1</v>
      </c>
      <c r="I1264" s="141" t="str">
        <f ca="1">IF(ISERROR(VLOOKUP($B1262&amp;"("&amp;$K1233&amp;")",Players!$S$4:$T$132,2,FALSE)),"",VLOOKUP($B1262&amp;"("&amp;$K1233&amp;")",Players!$S$4:$T$132,2,FALSE))</f>
        <v>K1</v>
      </c>
      <c r="Q1264" s="7"/>
      <c r="R1264" s="50"/>
      <c r="S1264" s="116"/>
      <c r="T1264" s="115"/>
      <c r="U1264" s="115"/>
      <c r="V1264" s="115"/>
      <c r="W1264" s="115"/>
      <c r="X1264" s="115"/>
      <c r="Y1264" s="99"/>
      <c r="Z1264" s="99"/>
      <c r="AA1264" s="99"/>
      <c r="AB1264" s="99"/>
      <c r="AC1264" s="117"/>
      <c r="AD1264" s="118"/>
      <c r="AE1264" s="114"/>
      <c r="AF1264" s="114"/>
    </row>
    <row r="1265" spans="1:32" ht="12.75" customHeight="1">
      <c r="A1265" s="21" t="s">
        <v>1225</v>
      </c>
      <c r="H1265" s="136" t="str">
        <f ca="1">IF($Q1267&lt;&gt;"",IF(AND($B1268&lt;&gt;"Missing Player",$B1270&lt;&gt;"Missing Player"),IF(AND(AND($H1267&gt;-1,$H1269&gt;-1),OR($H1267&gt;10,$H1269&gt;10),ABS($H1267-$H1269)&gt;1,IF(OR($H1267&gt;11,$H1269&gt;11),ABS($H1267-$H1269)=2,TRUE),$H1267=INT($H1267),$H1269=INT($H1269)),"","Error"),""),"")</f>
        <v/>
      </c>
      <c r="I1265" s="136" t="str">
        <f ca="1">IF($Q1267&lt;&gt;"",IF(AND($B1268&lt;&gt;"Missing Player",$B1270&lt;&gt;"Missing Player"),IF(AND(AND($I1267&gt;-1,$I1269&gt;-1),OR($I1267&gt;10,$I1269&gt;10),ABS($I1267-$I1269)&gt;1,IF(OR($I1267&gt;11,$I1269&gt;11),ABS($I1267-$I1269)=2,TRUE),$I1267=INT($I1267),$I1269=INT($I1269)),"","Error"),""),"")</f>
        <v/>
      </c>
      <c r="J1265" s="136" t="str">
        <f ca="1">IF($Q1267&lt;&gt;"",IF(AND($B1268&lt;&gt;"Missing Player",$B1270&lt;&gt;"Missing Player"),IF(AND(AND($J1267&gt;-1,$J1269&gt;-1),OR($J1267&gt;10,$J1269&gt;10),ABS($J1267-$J1269)&gt;1,IF(OR($J1267&gt;11,$J1269&gt;11),ABS($J1267-$J1269)=2,TRUE),$J1267=INT($J1267),$J1269=INT($J1269)),"","Error"),""),"")</f>
        <v/>
      </c>
      <c r="K1265" s="136" t="str">
        <f ca="1">IF($Q1267&lt;&gt;"",IF(AND($K1267&lt;&gt;"",$K1269&lt;&gt;""), IF(AND(AND($K1267&gt;-1,$K1269&gt;-1),OR($K1267&gt;10,$K1269&gt;10),ABS($K1267-$K1269)&gt;1,IF(OR($K1267&gt;11,$K1269&gt;11),ABS($K1267-$K1269)=2,TRUE),$K1267=INT($K1267),$K1269=INT($K1269)),"","Error"),""),"")</f>
        <v/>
      </c>
      <c r="L1265" s="136" t="str">
        <f ca="1">IF($Q1267&lt;&gt;"",IF(AND($L1267&lt;&gt;"",$L1269&lt;&gt;""), IF(AND(AND($L1267&gt;-1,$L1269&gt;-1),OR($L1267&gt;10,$L1269&gt;10),ABS($L1267-$L1269)&gt;1,IF(OR($L1267&gt;11,$L1269&gt;11),ABS($L1267-$L1269)=2,TRUE),$L1267=INT($L1267),$L1269=INT($L1269)),"","Error"),""),"")</f>
        <v/>
      </c>
      <c r="Q1265" s="7"/>
      <c r="R1265" s="114"/>
      <c r="S1265" s="115"/>
      <c r="T1265" s="115"/>
      <c r="U1265" s="115"/>
      <c r="V1265" s="115"/>
      <c r="W1265" s="115"/>
      <c r="X1265" s="115"/>
      <c r="Y1265" s="114"/>
      <c r="Z1265" s="114"/>
      <c r="AA1265" s="114"/>
      <c r="AB1265" s="114"/>
      <c r="AC1265" s="114"/>
      <c r="AD1265" s="114"/>
      <c r="AE1265" s="114"/>
      <c r="AF1265" s="114"/>
    </row>
    <row r="1266" spans="1:32" ht="12.75" customHeight="1">
      <c r="A1266" s="5" t="s">
        <v>1228</v>
      </c>
      <c r="B1266" s="290" t="s">
        <v>1126</v>
      </c>
      <c r="C1266" s="291"/>
      <c r="D1266" s="291"/>
      <c r="E1266" s="291"/>
      <c r="F1266" s="291"/>
      <c r="G1266" s="292"/>
      <c r="H1266" s="5">
        <v>1</v>
      </c>
      <c r="I1266" s="5">
        <v>2</v>
      </c>
      <c r="J1266" s="5">
        <v>3</v>
      </c>
      <c r="K1266" s="5">
        <v>4</v>
      </c>
      <c r="L1266" s="5">
        <v>5</v>
      </c>
      <c r="M1266" s="271"/>
      <c r="N1266" s="272"/>
      <c r="O1266" s="272"/>
      <c r="P1266" s="273"/>
      <c r="Q1266" s="8"/>
      <c r="S1266" s="24"/>
      <c r="T1266" s="26"/>
    </row>
    <row r="1267" spans="1:32" ht="12.75" customHeight="1">
      <c r="A1267" s="300" t="str">
        <f>B1233</f>
        <v>A</v>
      </c>
      <c r="B1267" s="311" t="str">
        <f ca="1">IF($B1239&lt;&gt;"",$B1239,"")</f>
        <v/>
      </c>
      <c r="C1267" s="312"/>
      <c r="D1267" s="312"/>
      <c r="E1267" s="312"/>
      <c r="F1267" s="312"/>
      <c r="G1267" s="313"/>
      <c r="H1267" s="265"/>
      <c r="I1267" s="265"/>
      <c r="J1267" s="265"/>
      <c r="K1267" s="265"/>
      <c r="L1267" s="265" t="str">
        <f ca="1">IF($B1260&lt;&gt;"",IF(AND($B1260="Missing Player",$G1271=2,$J1271=2),0,IF(AND($B1262="Missing Player",$G1271=2,$J1271=2),11,"")),"")</f>
        <v/>
      </c>
      <c r="M1267" s="262" t="str">
        <f ca="1">IF(OR(AND($B1267&lt;&gt;"",$B1268&lt;&gt;"",$B1267=$B1268),AND($B1269&lt;&gt;"",$B1270&lt;&gt;"",$B1269=$B1270)),"Invalid Partner","")</f>
        <v/>
      </c>
      <c r="N1267" s="263"/>
      <c r="O1267" s="263"/>
      <c r="P1267" s="264"/>
      <c r="Q1267" s="138" t="str">
        <f ca="1">IF(L1267=L1269,IF(K1267=K1269,IF(J1267&lt;&gt;"",IF(J1267&gt;J1269,"W","L"),""),IF(K1267&gt;K1269,"W","L")),IF(L1267&gt;L1269,"W","L"))</f>
        <v/>
      </c>
      <c r="S1267" s="24"/>
      <c r="T1267" s="26"/>
    </row>
    <row r="1268" spans="1:32" ht="12.75" customHeight="1">
      <c r="A1268" s="324"/>
      <c r="B1268" s="308" t="str">
        <f ca="1">IF($B1260="Missing Player",$B1260,"")</f>
        <v/>
      </c>
      <c r="C1268" s="309"/>
      <c r="D1268" s="309"/>
      <c r="E1268" s="309"/>
      <c r="F1268" s="309"/>
      <c r="G1268" s="310"/>
      <c r="H1268" s="270"/>
      <c r="I1268" s="270"/>
      <c r="J1268" s="270"/>
      <c r="K1268" s="270"/>
      <c r="L1268" s="270"/>
      <c r="M1268" s="262"/>
      <c r="N1268" s="263"/>
      <c r="O1268" s="263"/>
      <c r="P1268" s="264"/>
      <c r="Q1268" s="139" t="str">
        <f ca="1">IF($Q1267&lt;&gt;"",IF($B1270&lt;&gt;"Missing Player",IF($Q1267="W",IF(SUM(IF($H1267&gt;$H1269,1,0),IF($I1267&gt;$I1269,1,0),IF($J1267&gt;$J1269,1,0),IF($K1267&gt;$K1269,1,0),IF($L1267&gt;$L1269,1,0))&lt;&gt;3,"Error",""),""),""),"")</f>
        <v/>
      </c>
      <c r="R1268" s="328" t="str">
        <f>$A1234</f>
        <v/>
      </c>
      <c r="S1268" s="328"/>
      <c r="T1268" s="328"/>
      <c r="U1268" s="328"/>
      <c r="V1268" s="328"/>
      <c r="W1268" s="328"/>
      <c r="X1268" s="256" t="str">
        <f>CONCATENATE("(",$B1233," vs ",$K1233,")")</f>
        <v>(A vs K)</v>
      </c>
      <c r="Y1268" s="256"/>
      <c r="Z1268" s="328" t="str">
        <f>$J1234</f>
        <v/>
      </c>
      <c r="AA1268" s="328"/>
      <c r="AB1268" s="328"/>
      <c r="AC1268" s="328"/>
      <c r="AD1268" s="328"/>
      <c r="AE1268" s="328"/>
      <c r="AF1268" s="43"/>
    </row>
    <row r="1269" spans="1:32" ht="12.75" customHeight="1">
      <c r="A1269" s="325" t="str">
        <f>K1233</f>
        <v>K</v>
      </c>
      <c r="B1269" s="311" t="str">
        <f ca="1">IF($B1241&lt;&gt;"",$B1241,"")</f>
        <v/>
      </c>
      <c r="C1269" s="312"/>
      <c r="D1269" s="312"/>
      <c r="E1269" s="312"/>
      <c r="F1269" s="312"/>
      <c r="G1269" s="313"/>
      <c r="H1269" s="265"/>
      <c r="I1269" s="265"/>
      <c r="J1269" s="265"/>
      <c r="K1269" s="265"/>
      <c r="L1269" s="265" t="str">
        <f ca="1">IF($B1262&lt;&gt;"",IF(AND($B1262="Missing Player",$G1271=2,$J1271=2),0,IF(AND($B1260="Missing Player",$G1271=2,$J1271=2),11,"")),"")</f>
        <v/>
      </c>
      <c r="M1269" s="267" t="s">
        <v>1237</v>
      </c>
      <c r="N1269" s="268"/>
      <c r="O1269" s="268"/>
      <c r="P1269" s="269"/>
      <c r="Q1269" s="138" t="str">
        <f ca="1">IF(Q1267&lt;&gt;"",IF(Q1267="W","L","W"),"")</f>
        <v/>
      </c>
      <c r="R1269" s="43"/>
      <c r="S1269" s="43"/>
      <c r="T1269" s="43"/>
      <c r="U1269" s="43"/>
      <c r="V1269" s="43"/>
      <c r="W1269" s="43"/>
      <c r="X1269" s="43"/>
      <c r="Y1269" s="43"/>
      <c r="Z1269" s="43"/>
      <c r="AA1269" s="43"/>
      <c r="AB1269" s="43"/>
      <c r="AC1269" s="43"/>
      <c r="AD1269" s="43"/>
      <c r="AE1269" s="43"/>
      <c r="AF1269" s="43"/>
    </row>
    <row r="1270" spans="1:32" ht="12.75" customHeight="1">
      <c r="A1270" s="324"/>
      <c r="B1270" s="308" t="str">
        <f ca="1">IF($B1262="Missing Player",$B1262,"")</f>
        <v/>
      </c>
      <c r="C1270" s="309"/>
      <c r="D1270" s="309"/>
      <c r="E1270" s="309"/>
      <c r="F1270" s="309"/>
      <c r="G1270" s="310"/>
      <c r="H1270" s="270"/>
      <c r="I1270" s="270"/>
      <c r="J1270" s="266"/>
      <c r="K1270" s="266"/>
      <c r="L1270" s="266"/>
      <c r="M1270" s="267"/>
      <c r="N1270" s="268"/>
      <c r="O1270" s="268"/>
      <c r="P1270" s="269"/>
      <c r="Q1270" s="139" t="str">
        <f ca="1">IF($Q1269&lt;&gt;"",IF($B1268&lt;&gt;"Missing Player",IF($Q1269="W",IF(SUM(IF($H1269&gt;$H1267,1,0),IF($I1269&gt;$I1267,1,0),IF($J1269&gt;$J1267,1,0),IF($K1269&gt;$K1267,1,0),IF($L1269&gt;$L1267,1,0))&lt;&gt;3,"Error",""),""),""),"")</f>
        <v/>
      </c>
      <c r="R1270" s="43" t="str">
        <f>A1258</f>
        <v>4th Singles</v>
      </c>
      <c r="S1270" s="43"/>
      <c r="T1270" s="43"/>
      <c r="U1270" s="43"/>
      <c r="V1270" s="43"/>
      <c r="W1270" s="43"/>
      <c r="X1270" s="43"/>
      <c r="Y1270" s="43"/>
      <c r="Z1270" s="43"/>
      <c r="AA1270" s="43"/>
      <c r="AB1270" s="43"/>
      <c r="AC1270" s="43"/>
      <c r="AD1270" s="43"/>
      <c r="AE1270" s="43"/>
      <c r="AF1270" s="43"/>
    </row>
    <row r="1271" spans="1:32" ht="12.75" customHeight="1">
      <c r="G1271" s="66">
        <f ca="1">COUNTIF($Q1239:$Q1239,"W")+COUNTIF($Q1246:$Q1246,"W")+COUNTIF($Q1253:$Q1253,"W")+COUNTIF($Q1260:$Q1260,"W")</f>
        <v>0</v>
      </c>
      <c r="J1271" s="66">
        <f ca="1">COUNTIF($Q1241:$Q1241,"W")+COUNTIF($Q1248:$Q1248,"W")+COUNTIF($Q1255:$Q1255,"W")+COUNTIF($Q1262:$Q1262,"W")</f>
        <v>0</v>
      </c>
      <c r="R1271" s="60" t="s">
        <v>1228</v>
      </c>
      <c r="S1271" s="339" t="s">
        <v>1126</v>
      </c>
      <c r="T1271" s="340"/>
      <c r="U1271" s="340"/>
      <c r="V1271" s="340"/>
      <c r="W1271" s="340"/>
      <c r="X1271" s="341"/>
      <c r="Y1271" s="60">
        <v>1</v>
      </c>
      <c r="Z1271" s="60">
        <v>2</v>
      </c>
      <c r="AA1271" s="60">
        <v>3</v>
      </c>
      <c r="AB1271" s="60">
        <v>4</v>
      </c>
      <c r="AC1271" s="60">
        <v>5</v>
      </c>
      <c r="AD1271" s="342"/>
      <c r="AE1271" s="343"/>
      <c r="AF1271" s="344"/>
    </row>
    <row r="1272" spans="1:32" ht="12.75" customHeight="1" thickBot="1">
      <c r="F1272" s="246" t="s">
        <v>1238</v>
      </c>
      <c r="G1272" s="246"/>
      <c r="H1272" s="246"/>
      <c r="I1272" s="246"/>
      <c r="J1272" s="246"/>
      <c r="K1272" s="246"/>
      <c r="R1272" s="300" t="str">
        <f>B1233</f>
        <v>A</v>
      </c>
      <c r="S1272" s="331" t="str">
        <f ca="1">IF($B1260&lt;&gt;"",$B1260,"")</f>
        <v/>
      </c>
      <c r="T1272" s="353"/>
      <c r="U1272" s="353"/>
      <c r="V1272" s="353"/>
      <c r="W1272" s="353"/>
      <c r="X1272" s="354"/>
      <c r="Y1272" s="329"/>
      <c r="Z1272" s="329"/>
      <c r="AA1272" s="351"/>
      <c r="AB1272" s="351"/>
      <c r="AC1272" s="351"/>
      <c r="AD1272" s="345"/>
      <c r="AE1272" s="346"/>
      <c r="AF1272" s="347"/>
    </row>
    <row r="1273" spans="1:32" ht="12.75" customHeight="1">
      <c r="A1273" s="22"/>
      <c r="B1273" s="22"/>
      <c r="C1273" s="22"/>
      <c r="D1273" s="22"/>
      <c r="E1273" s="22"/>
      <c r="G1273" s="304" t="str">
        <f>B1233</f>
        <v>A</v>
      </c>
      <c r="H1273" s="305"/>
      <c r="I1273" s="302" t="str">
        <f>K1233</f>
        <v>K</v>
      </c>
      <c r="J1273" s="303"/>
      <c r="L1273" s="22"/>
      <c r="M1273" s="22"/>
      <c r="N1273" s="22"/>
      <c r="O1273" s="22"/>
      <c r="P1273" s="22"/>
      <c r="R1273" s="301"/>
      <c r="S1273" s="355"/>
      <c r="T1273" s="356"/>
      <c r="U1273" s="356"/>
      <c r="V1273" s="356"/>
      <c r="W1273" s="356"/>
      <c r="X1273" s="357"/>
      <c r="Y1273" s="338"/>
      <c r="Z1273" s="338"/>
      <c r="AA1273" s="352"/>
      <c r="AB1273" s="352"/>
      <c r="AC1273" s="352"/>
      <c r="AD1273" s="348"/>
      <c r="AE1273" s="349"/>
      <c r="AF1273" s="350"/>
    </row>
    <row r="1274" spans="1:32" ht="12.75" customHeight="1" thickBot="1">
      <c r="A1274" s="2" t="s">
        <v>1228</v>
      </c>
      <c r="B1274" s="53" t="str">
        <f>B1233</f>
        <v>A</v>
      </c>
      <c r="C1274" s="3" t="s">
        <v>1226</v>
      </c>
      <c r="F1274" s="66" t="str">
        <f>CONCATENATE($B1233,"-",$K1233)</f>
        <v>A-K</v>
      </c>
      <c r="G1274" s="320" t="str">
        <f ca="1">IF(OR(Q1239&lt;&gt;"",Q1246&lt;&gt;"",Q1253&lt;&gt;"",Q1260&lt;&gt;"",Q1267&lt;&gt;""),COUNTIF(Q1239:Q1239,"W")+COUNTIF(Q1246:Q1246,"W")+COUNTIF(Q1253:Q1253,"W")+COUNTIF(Q1260:Q1260,"W")+COUNTIF(Q1267:Q1267,"W"),"")</f>
        <v/>
      </c>
      <c r="H1274" s="321"/>
      <c r="I1274" s="322" t="str">
        <f ca="1">IF(OR(Q1241&lt;&gt;"",Q1248&lt;&gt;"",Q1255&lt;&gt;"",Q1262&lt;&gt;"",Q1269&lt;&gt;""),COUNTIF(Q1241:Q1241,"W")+COUNTIF(Q1248:Q1248,"W")+COUNTIF(Q1255:Q1255,"W")+COUNTIF(Q1262:Q1262,"W")+COUNTIF(Q1269:Q1269,"W"),"")</f>
        <v/>
      </c>
      <c r="J1274" s="323"/>
      <c r="L1274" s="2" t="s">
        <v>1228</v>
      </c>
      <c r="M1274" s="53" t="str">
        <f>K1233</f>
        <v>K</v>
      </c>
      <c r="N1274" s="3" t="s">
        <v>1226</v>
      </c>
      <c r="R1274" s="300" t="str">
        <f>K1233</f>
        <v>K</v>
      </c>
      <c r="S1274" s="331" t="str">
        <f ca="1">IF($B1262&lt;&gt;"",$B1262,"")</f>
        <v/>
      </c>
      <c r="T1274" s="332"/>
      <c r="U1274" s="332"/>
      <c r="V1274" s="332"/>
      <c r="W1274" s="332"/>
      <c r="X1274" s="333"/>
      <c r="Y1274" s="329"/>
      <c r="Z1274" s="329"/>
      <c r="AA1274" s="351"/>
      <c r="AB1274" s="351"/>
      <c r="AC1274" s="351"/>
      <c r="AD1274" s="363" t="s">
        <v>1237</v>
      </c>
      <c r="AE1274" s="358"/>
      <c r="AF1274" s="359"/>
    </row>
    <row r="1275" spans="1:32" ht="12.75" customHeight="1">
      <c r="F1275" s="25" t="s">
        <v>3996</v>
      </c>
      <c r="G1275" s="23"/>
      <c r="H1275" s="23"/>
      <c r="I1275" s="23"/>
      <c r="J1275" s="23"/>
      <c r="K1275" s="24"/>
      <c r="R1275" s="330"/>
      <c r="S1275" s="334"/>
      <c r="T1275" s="335"/>
      <c r="U1275" s="335"/>
      <c r="V1275" s="335"/>
      <c r="W1275" s="335"/>
      <c r="X1275" s="336"/>
      <c r="Y1275" s="330"/>
      <c r="Z1275" s="330"/>
      <c r="AA1275" s="330"/>
      <c r="AB1275" s="330"/>
      <c r="AC1275" s="330"/>
      <c r="AD1275" s="360"/>
      <c r="AE1275" s="361"/>
      <c r="AF1275" s="362"/>
    </row>
    <row r="1276" spans="1:32" ht="12.75" customHeight="1">
      <c r="R1276" s="1"/>
      <c r="S1276" s="110"/>
      <c r="T1276" s="110"/>
      <c r="U1276" s="110"/>
      <c r="V1276" s="110"/>
      <c r="W1276" s="110"/>
      <c r="X1276" s="111"/>
      <c r="Y1276" s="111"/>
      <c r="Z1276" s="111"/>
      <c r="AA1276" s="111"/>
    </row>
    <row r="1277" spans="1:32" ht="12.75" customHeight="1">
      <c r="F1277" s="246" t="s">
        <v>4929</v>
      </c>
      <c r="G1277" s="246"/>
      <c r="H1277" s="246"/>
      <c r="I1277" s="246"/>
      <c r="R1277" s="1"/>
      <c r="S1277" s="110"/>
      <c r="T1277" s="110"/>
      <c r="U1277" s="110"/>
      <c r="V1277" s="110"/>
      <c r="W1277" s="110"/>
      <c r="X1277" s="111"/>
      <c r="Y1277" s="111"/>
      <c r="Z1277" s="111"/>
      <c r="AA1277" s="111"/>
    </row>
    <row r="1278" spans="1:32" ht="12.75" customHeight="1">
      <c r="F1278" s="246" t="s">
        <v>4930</v>
      </c>
      <c r="G1278" s="246"/>
      <c r="H1278" s="246"/>
      <c r="I1278" s="246"/>
      <c r="R1278" s="1"/>
      <c r="S1278" s="110"/>
      <c r="T1278" s="110"/>
      <c r="U1278" s="110"/>
      <c r="V1278" s="110"/>
      <c r="W1278" s="110"/>
      <c r="X1278" s="111"/>
      <c r="Y1278" s="111"/>
      <c r="Z1278" s="111"/>
      <c r="AA1278" s="111"/>
    </row>
    <row r="1279" spans="1:32" ht="12.75" customHeight="1">
      <c r="K1279" s="281" t="s">
        <v>1244</v>
      </c>
      <c r="L1279" s="281"/>
      <c r="M1279" s="281"/>
      <c r="N1279" s="281"/>
      <c r="O1279" s="281"/>
      <c r="P1279" s="281"/>
      <c r="R1279" s="1"/>
      <c r="S1279" s="110"/>
      <c r="T1279" s="110"/>
      <c r="U1279" s="110"/>
      <c r="V1279" s="110"/>
      <c r="W1279" s="110"/>
      <c r="X1279" s="111"/>
      <c r="Y1279" s="111"/>
      <c r="Z1279" s="111"/>
      <c r="AA1279" s="111"/>
    </row>
    <row r="1280" spans="1:32" ht="12.75" customHeight="1">
      <c r="A1280" s="12" t="s">
        <v>1229</v>
      </c>
      <c r="B1280" s="11"/>
      <c r="C1280" s="11"/>
      <c r="D1280" s="11" t="str">
        <f>Draw!$B$1</f>
        <v>Enter Division Name</v>
      </c>
      <c r="E1280" s="11"/>
      <c r="F1280" s="7"/>
      <c r="G1280" s="6"/>
      <c r="H1280" s="7"/>
      <c r="I1280" s="11"/>
      <c r="J1280" s="11"/>
      <c r="K1280" s="11"/>
      <c r="L1280" s="11"/>
      <c r="M1280" s="281"/>
      <c r="N1280" s="281"/>
      <c r="O1280" s="281"/>
      <c r="P1280" s="281"/>
      <c r="R1280" s="1"/>
      <c r="S1280" s="110"/>
      <c r="T1280" s="110"/>
      <c r="U1280" s="110"/>
      <c r="V1280" s="110"/>
      <c r="W1280" s="110"/>
      <c r="X1280" s="111"/>
      <c r="Y1280" s="111"/>
      <c r="Z1280" s="111"/>
      <c r="AA1280" s="111"/>
    </row>
    <row r="1281" spans="1:32" ht="12.75" customHeight="1">
      <c r="A1281" s="2" t="s">
        <v>1230</v>
      </c>
      <c r="D1281" s="43" t="str">
        <f>Draw!$D$1</f>
        <v>Enter Hosting Location (City, ST)</v>
      </c>
      <c r="J1281" s="43" t="str">
        <f ca="1">$J$6</f>
        <v>[NCTTA Teams Template (v2.06).xlsx]</v>
      </c>
      <c r="R1281" s="1"/>
      <c r="S1281" s="110"/>
      <c r="T1281" s="110"/>
      <c r="U1281" s="110"/>
      <c r="V1281" s="110"/>
      <c r="W1281" s="110"/>
      <c r="X1281" s="111"/>
      <c r="Y1281" s="111"/>
      <c r="Z1281" s="111"/>
      <c r="AA1281" s="111"/>
    </row>
    <row r="1282" spans="1:32" ht="12.75" customHeight="1">
      <c r="A1282" s="2" t="s">
        <v>1231</v>
      </c>
      <c r="D1282" s="337" t="str">
        <f>Draw!$P$1</f>
        <v>Enter Date</v>
      </c>
      <c r="E1282" s="337"/>
      <c r="F1282" s="337"/>
      <c r="G1282" s="337"/>
      <c r="J1282" s="280" t="str">
        <f>CHOOSE(Draw!$T$1,"Round 5, Match 2","Round 4, Match 5","","","","","","Round 7, Match 2","Round 7, Match 2","Round 6, Match 1","Round 6, Match 1")</f>
        <v/>
      </c>
      <c r="K1282" s="280"/>
      <c r="L1282" s="280"/>
      <c r="M1282" s="276" t="str">
        <f>IF(AND($J1282&lt;&gt;"",Draw!$AC$10&lt;&gt;"",Draw!$AC$13&lt;&gt;""),Draw!$AC$10+TIME(0,VALUE(MID($J1282,7,FIND(",",$J1282)-FIND(" ",$J1282)-1)-1)*Draw!$AC$13,0),"")</f>
        <v/>
      </c>
      <c r="N1282" s="276"/>
      <c r="O1282" s="157" t="str">
        <f>$F1325</f>
        <v>A-L</v>
      </c>
      <c r="R1282" s="1"/>
      <c r="S1282" s="110"/>
      <c r="T1282" s="110"/>
      <c r="U1282" s="110"/>
      <c r="V1282" s="110"/>
      <c r="W1282" s="110"/>
      <c r="X1282" s="111"/>
      <c r="Y1282" s="111"/>
      <c r="Z1282" s="111"/>
      <c r="AA1282" s="111"/>
    </row>
    <row r="1283" spans="1:32" ht="12.75" customHeight="1">
      <c r="A1283" s="14"/>
      <c r="B1283" s="15"/>
      <c r="C1283" s="15"/>
      <c r="D1283" s="15"/>
      <c r="E1283" s="15"/>
      <c r="F1283" s="14"/>
      <c r="G1283" s="14"/>
      <c r="H1283" s="16"/>
      <c r="I1283" s="14"/>
      <c r="J1283" s="15"/>
      <c r="K1283" s="15"/>
      <c r="L1283" s="15"/>
      <c r="M1283" s="15"/>
      <c r="N1283" s="15"/>
      <c r="O1283" s="364" t="str">
        <f>IF(OR(AND(VLOOKUP($B1284,$AM$1:$AX$12,12,FALSE)="C",VLOOKUP($K1284,$AM$1:$AX$12,12,FALSE)="C"),AND(VLOOKUP($B1284,$AM$1:$AX$12,12,FALSE)="W",VLOOKUP($K1284,$AM$1:$AX$12,12,FALSE)="W")),"Official",IF(AND($A1285="",$J1285=""),"","Scrimmage"))</f>
        <v/>
      </c>
      <c r="P1283" s="364"/>
      <c r="R1283" s="1"/>
      <c r="S1283" s="110"/>
      <c r="T1283" s="110"/>
      <c r="U1283" s="110"/>
      <c r="V1283" s="110"/>
      <c r="W1283" s="110"/>
      <c r="X1283" s="111"/>
      <c r="Y1283" s="111"/>
      <c r="Z1283" s="111"/>
      <c r="AA1283" s="111"/>
    </row>
    <row r="1284" spans="1:32" ht="12.75" customHeight="1">
      <c r="A1284" s="17" t="s">
        <v>1228</v>
      </c>
      <c r="B1284" s="119" t="str">
        <f>CHOOSE(Draw!$T$1,"C","I","A","B","C","B","A","E","B","A","A")</f>
        <v>A</v>
      </c>
      <c r="C1284" s="135">
        <f>VLOOKUP($B1284,$AM$1:$AN$12,2)</f>
        <v>1</v>
      </c>
      <c r="D1284" s="13"/>
      <c r="E1284" s="13"/>
      <c r="F1284" s="10"/>
      <c r="H1284" s="19" t="s">
        <v>1232</v>
      </c>
      <c r="J1284" s="17" t="s">
        <v>1228</v>
      </c>
      <c r="K1284" s="119" t="str">
        <f>CHOOSE(Draw!$T$1,"L","L","L","H","G","K","L","G","D","D","G")</f>
        <v>L</v>
      </c>
      <c r="L1284" s="135">
        <f>VLOOKUP($K1284,$AM$1:$AN$12,2)</f>
        <v>12</v>
      </c>
      <c r="M1284" s="13"/>
      <c r="N1284" s="13"/>
      <c r="O1284" s="18"/>
      <c r="P1284" s="274"/>
      <c r="Q1284" s="275"/>
      <c r="R1284" s="1"/>
      <c r="S1284" s="110"/>
      <c r="T1284" s="110"/>
      <c r="U1284" s="110"/>
      <c r="V1284" s="110"/>
      <c r="W1284" s="110"/>
      <c r="X1284" s="111"/>
      <c r="Y1284" s="111"/>
      <c r="Z1284" s="111"/>
      <c r="AA1284" s="111"/>
    </row>
    <row r="1285" spans="1:32" ht="12.75" customHeight="1">
      <c r="A1285" s="277" t="str">
        <f>IF(VLOOKUP($B1284,Draw!$A$4:$B$27,2)&lt;&gt;0,VLOOKUP($B1284,Draw!$A$4:$B$27,2),"")</f>
        <v/>
      </c>
      <c r="B1285" s="278"/>
      <c r="C1285" s="278"/>
      <c r="D1285" s="278"/>
      <c r="E1285" s="278"/>
      <c r="F1285" s="279"/>
      <c r="G1285" s="306" t="s">
        <v>4177</v>
      </c>
      <c r="H1285" s="289"/>
      <c r="I1285" s="307"/>
      <c r="J1285" s="277" t="str">
        <f>IF(VLOOKUP($K1284,Draw!$A$4:$B$27,2)&lt;&gt;0,VLOOKUP($K1284,Draw!$A$4:$B$27,2),"")</f>
        <v/>
      </c>
      <c r="K1285" s="278"/>
      <c r="L1285" s="278"/>
      <c r="M1285" s="278"/>
      <c r="N1285" s="278"/>
      <c r="O1285" s="279"/>
      <c r="P1285" s="15"/>
      <c r="R1285" s="1"/>
      <c r="S1285" s="110"/>
      <c r="T1285" s="110"/>
      <c r="U1285" s="110"/>
      <c r="V1285" s="110"/>
      <c r="W1285" s="110"/>
      <c r="X1285" s="111"/>
      <c r="Y1285" s="111"/>
      <c r="Z1285" s="111"/>
      <c r="AA1285" s="111"/>
    </row>
    <row r="1286" spans="1:32" ht="12.75" customHeight="1">
      <c r="A1286" s="14"/>
      <c r="B1286" s="15"/>
      <c r="C1286" s="15"/>
      <c r="D1286" s="15"/>
      <c r="E1286" s="15"/>
      <c r="F1286" s="14"/>
      <c r="G1286" s="288" t="str">
        <f>"Page "&amp;VALUE(RIGHT($G1285,LEN($G1285)-SEARCH("-",$G1285)))/2</f>
        <v>Page 26</v>
      </c>
      <c r="H1286" s="289"/>
      <c r="I1286" s="289"/>
      <c r="J1286" s="15"/>
      <c r="K1286" s="15"/>
      <c r="L1286" s="15"/>
      <c r="M1286" s="15"/>
      <c r="N1286" s="15"/>
      <c r="O1286" s="15"/>
      <c r="P1286" s="15"/>
      <c r="R1286" s="1"/>
      <c r="S1286" s="110"/>
      <c r="T1286" s="110"/>
      <c r="U1286" s="110"/>
      <c r="V1286" s="110"/>
      <c r="W1286" s="110"/>
      <c r="X1286" s="111"/>
      <c r="Y1286" s="111"/>
      <c r="Z1286" s="111"/>
      <c r="AA1286" s="111"/>
      <c r="AF1286" s="27"/>
    </row>
    <row r="1287" spans="1:32" ht="12.75" customHeight="1">
      <c r="A1287" s="327" t="s">
        <v>1245</v>
      </c>
      <c r="B1287" s="327"/>
      <c r="C1287" s="327"/>
      <c r="D1287" s="327"/>
      <c r="E1287" s="327"/>
      <c r="F1287" s="327"/>
      <c r="G1287" s="327"/>
      <c r="H1287" s="327"/>
      <c r="I1287" s="327"/>
      <c r="J1287" s="327"/>
      <c r="K1287" s="327"/>
      <c r="L1287" s="327"/>
      <c r="M1287" s="327"/>
      <c r="N1287" s="327"/>
      <c r="O1287" s="327"/>
      <c r="P1287" s="327"/>
      <c r="Q1287" s="7"/>
      <c r="R1287" s="1"/>
      <c r="S1287" s="110"/>
      <c r="T1287" s="110"/>
      <c r="U1287" s="110"/>
      <c r="V1287" s="110"/>
      <c r="W1287" s="110"/>
      <c r="X1287" s="111"/>
      <c r="Y1287" s="111"/>
      <c r="Z1287" s="111"/>
      <c r="AA1287" s="111"/>
      <c r="AF1287" s="20"/>
    </row>
    <row r="1288" spans="1:32" ht="12.75" customHeight="1">
      <c r="A1288" s="21" t="s">
        <v>1233</v>
      </c>
      <c r="H1288" s="136" t="str">
        <f>IF($Q1290&lt;&gt;"",IF(AND(AND($H1290&gt;-1,$H1292&gt;-1),OR($H1290&gt;10,$H1292&gt;10),ABS($H1290-$H1292)&gt;1,IF(OR($H1290&gt;11,$H1292&gt;11),ABS($H1290-$H1292)=2,TRUE),$H1290=INT($H1290),$H1292=INT($H1292)),"","Error"),"")</f>
        <v/>
      </c>
      <c r="I1288" s="136" t="str">
        <f>IF($Q1290&lt;&gt;"",IF(AND(AND($I1290&gt;-1,$I1292&gt;-1),OR($I1290&gt;10,$I1292&gt;10),ABS($I1290-$I1292)&gt;1,IF(OR($I1290&gt;11,$I1292&gt;11),ABS($I1290-$I1292)=2,TRUE),$I1290=INT($I1290),$I1292=INT($I1292)),"","Error"),"")</f>
        <v/>
      </c>
      <c r="J1288" s="136" t="str">
        <f>IF($Q1290&lt;&gt;"",IF(AND(AND($J1290&gt;-1,$J1292&gt;-1),OR($J1290&gt;10,$J1292&gt;10),ABS($J1290-$J1292)&gt;1,IF(OR($J1290&gt;11,$J1292&gt;11),ABS($J1290-$J1292)=2,TRUE),$J1290=INT($J1290),$J1292=INT($J1292)),"","Error"),"")</f>
        <v/>
      </c>
      <c r="K1288" s="136" t="str">
        <f>IF($Q1290&lt;&gt;"",IF(AND($K1290&lt;&gt;"",$K1292&lt;&gt;""), IF(AND(AND($K1290&gt;-1,$K1292&gt;-1),OR($K1290&gt;10,$K1292&gt;10),ABS($K1290-$K1292)&gt;1,IF(OR($K1290&gt;11,$K1292&gt;11),ABS($K1290-$K1292)=2,TRUE),$K1290=INT($K1290),$K1292=INT($K1292)),"","Error"),""),"")</f>
        <v/>
      </c>
      <c r="L1288" s="136" t="str">
        <f>IF($Q1290&lt;&gt;"",IF(AND($L1290&lt;&gt;"",$L1292&lt;&gt;""), IF(AND(AND($L1290&gt;-1,$L1292&gt;-1),OR($L1290&gt;10,$L1292&gt;10),ABS($L1290-$L1292)&gt;1,IF(OR($L1290&gt;11,$L1292&gt;11),ABS($L1290-$L1292)=2,TRUE),$L1290=INT($L1290),$L1292=INT($L1292)),"","Error"),""),"")</f>
        <v/>
      </c>
      <c r="R1288" s="1"/>
      <c r="S1288" s="110"/>
      <c r="T1288" s="110"/>
      <c r="U1288" s="110"/>
      <c r="V1288" s="110"/>
      <c r="W1288" s="110"/>
      <c r="X1288" s="111"/>
      <c r="Y1288" s="111"/>
      <c r="Z1288" s="111"/>
      <c r="AA1288" s="111"/>
    </row>
    <row r="1289" spans="1:32" ht="12.75" customHeight="1">
      <c r="A1289" s="5" t="s">
        <v>1228</v>
      </c>
      <c r="B1289" s="290" t="s">
        <v>1126</v>
      </c>
      <c r="C1289" s="291"/>
      <c r="D1289" s="291"/>
      <c r="E1289" s="291"/>
      <c r="F1289" s="291"/>
      <c r="G1289" s="292"/>
      <c r="H1289" s="5">
        <v>1</v>
      </c>
      <c r="I1289" s="5">
        <v>2</v>
      </c>
      <c r="J1289" s="5">
        <v>3</v>
      </c>
      <c r="K1289" s="5">
        <v>4</v>
      </c>
      <c r="L1289" s="5">
        <v>5</v>
      </c>
      <c r="M1289" s="271"/>
      <c r="N1289" s="272"/>
      <c r="O1289" s="272"/>
      <c r="P1289" s="273"/>
      <c r="R1289" s="1"/>
      <c r="S1289" s="110"/>
      <c r="T1289" s="110"/>
      <c r="U1289" s="110"/>
      <c r="V1289" s="110"/>
      <c r="W1289" s="110"/>
      <c r="X1289" s="111"/>
      <c r="Y1289" s="111"/>
      <c r="Z1289" s="111"/>
      <c r="AA1289" s="111"/>
    </row>
    <row r="1290" spans="1:32" ht="12.75" customHeight="1">
      <c r="A1290" s="300" t="str">
        <f>B1284</f>
        <v>A</v>
      </c>
      <c r="B1290" s="293" t="str">
        <f ca="1">IF(AND(OFFSET($AO$1,$C1284-1,8,1,1),$A1285&lt;&gt;"",$J1285&lt;&gt;""),CHOOSE($C1284,$AO$1,$AO$2,$AO$3,$AO$4,$AO$5,$AO$6,$AO$7,$AO$8,$AO$9,$AO$10,$AO$11,$AO$12),"")</f>
        <v/>
      </c>
      <c r="C1290" s="294"/>
      <c r="D1290" s="294"/>
      <c r="E1290" s="294"/>
      <c r="F1290" s="294"/>
      <c r="G1290" s="294"/>
      <c r="H1290" s="265"/>
      <c r="I1290" s="265"/>
      <c r="J1290" s="265"/>
      <c r="K1290" s="265"/>
      <c r="L1290" s="265"/>
      <c r="M1290" s="297"/>
      <c r="N1290" s="298"/>
      <c r="O1290" s="298"/>
      <c r="P1290" s="299"/>
      <c r="Q1290" s="137" t="str">
        <f>IF($L1290=$L1292,IF($K1290=$K1292,IF($J1290&lt;&gt;"",IF($J1290&gt;$J1292,"W","L"),""),IF($K1290&gt;$K1292,"W","L")),IF($L1290&gt;$L1292,"W","L"))</f>
        <v/>
      </c>
      <c r="R1290" s="1"/>
      <c r="S1290" s="110"/>
      <c r="T1290" s="110"/>
      <c r="U1290" s="110"/>
      <c r="V1290" s="110"/>
      <c r="W1290" s="110"/>
      <c r="X1290" s="111"/>
      <c r="Y1290" s="111"/>
      <c r="Z1290" s="111"/>
      <c r="AA1290" s="111"/>
    </row>
    <row r="1291" spans="1:32" ht="12.75" customHeight="1">
      <c r="A1291" s="301"/>
      <c r="B1291" s="295"/>
      <c r="C1291" s="296"/>
      <c r="D1291" s="296"/>
      <c r="E1291" s="296"/>
      <c r="F1291" s="296"/>
      <c r="G1291" s="296"/>
      <c r="H1291" s="270"/>
      <c r="I1291" s="270"/>
      <c r="J1291" s="270"/>
      <c r="K1291" s="270"/>
      <c r="L1291" s="270"/>
      <c r="M1291" s="297"/>
      <c r="N1291" s="298"/>
      <c r="O1291" s="298"/>
      <c r="P1291" s="299"/>
      <c r="Q1291" s="139" t="str">
        <f>IF($Q1290&lt;&gt;"",IF($Q1290="W",IF(SUM(IF($H1290&gt;$H1292,1,0),IF($I1290&gt;$I1292,1,0),IF($J1290&gt;$J1292,1,0),IF($K1290&gt;$K1292,1,0),IF($L1290&gt;$L1292,1,0))&lt;&gt;3,"Error",""),""),"")</f>
        <v/>
      </c>
      <c r="R1291" s="328" t="str">
        <f>$A1285</f>
        <v/>
      </c>
      <c r="S1291" s="328"/>
      <c r="T1291" s="328"/>
      <c r="U1291" s="328"/>
      <c r="V1291" s="328"/>
      <c r="W1291" s="328"/>
      <c r="X1291" s="256" t="str">
        <f>CONCATENATE("(",$B1284," vs ",$K1284,")")</f>
        <v>(A vs L)</v>
      </c>
      <c r="Y1291" s="256"/>
      <c r="Z1291" s="328" t="str">
        <f>$J1285</f>
        <v/>
      </c>
      <c r="AA1291" s="328"/>
      <c r="AB1291" s="328"/>
      <c r="AC1291" s="328"/>
      <c r="AD1291" s="328"/>
      <c r="AE1291" s="328"/>
      <c r="AF1291" s="43"/>
    </row>
    <row r="1292" spans="1:32" ht="12.75" customHeight="1">
      <c r="A1292" s="300" t="str">
        <f>K1284</f>
        <v>L</v>
      </c>
      <c r="B1292" s="293" t="str">
        <f ca="1">IF(AND(OFFSET($AO$1,$L1284-1,8,1,1),$A1285&lt;&gt;"",$J1285&lt;&gt;""),CHOOSE($L1284,$AO$1,$AO$2,$AO$3,$AO$4,$AO$5,$AO$6,$AO$7,$AO$8,$AO$9,$AO$10,$AO$11,$AO$12),"")</f>
        <v/>
      </c>
      <c r="C1292" s="294"/>
      <c r="D1292" s="294"/>
      <c r="E1292" s="294"/>
      <c r="F1292" s="294"/>
      <c r="G1292" s="294"/>
      <c r="H1292" s="265"/>
      <c r="I1292" s="265"/>
      <c r="J1292" s="265"/>
      <c r="K1292" s="265"/>
      <c r="L1292" s="265"/>
      <c r="M1292" s="267" t="s">
        <v>1237</v>
      </c>
      <c r="N1292" s="268"/>
      <c r="O1292" s="268"/>
      <c r="P1292" s="269"/>
      <c r="Q1292" s="137" t="str">
        <f>IF($Q1290&lt;&gt;"",IF($Q1290="W","L","W"),"")</f>
        <v/>
      </c>
      <c r="R1292" s="43"/>
      <c r="S1292" s="43"/>
      <c r="T1292" s="43"/>
      <c r="U1292" s="43"/>
      <c r="V1292" s="43"/>
      <c r="W1292" s="43"/>
      <c r="X1292" s="43"/>
      <c r="Y1292" s="43"/>
      <c r="Z1292" s="43"/>
      <c r="AA1292" s="43"/>
      <c r="AB1292" s="43"/>
      <c r="AC1292" s="43"/>
      <c r="AD1292" s="43"/>
      <c r="AE1292" s="43"/>
      <c r="AF1292" s="43"/>
    </row>
    <row r="1293" spans="1:32" ht="12.75" customHeight="1">
      <c r="A1293" s="301"/>
      <c r="B1293" s="295"/>
      <c r="C1293" s="296"/>
      <c r="D1293" s="296"/>
      <c r="E1293" s="296"/>
      <c r="F1293" s="296"/>
      <c r="G1293" s="296"/>
      <c r="H1293" s="270"/>
      <c r="I1293" s="270"/>
      <c r="J1293" s="266"/>
      <c r="K1293" s="266"/>
      <c r="L1293" s="266"/>
      <c r="M1293" s="267"/>
      <c r="N1293" s="268"/>
      <c r="O1293" s="268"/>
      <c r="P1293" s="269"/>
      <c r="Q1293" s="139" t="str">
        <f>IF($Q1292&lt;&gt;"",IF($Q1292="W",IF(SUM(IF($H1292&gt;$H1290,1,0),IF($I1292&gt;$I1290,1,0),IF($J1292&gt;$J1290,1,0),IF($K1292&gt;$K1290,1,0),IF($L1292&gt;$L1290,1,0))&lt;&gt;3,"Error",""),""),"")</f>
        <v/>
      </c>
      <c r="R1293" s="43" t="str">
        <f>$A1295</f>
        <v>2nd Singles</v>
      </c>
      <c r="S1293" s="43"/>
      <c r="T1293" s="43"/>
      <c r="U1293" s="43"/>
      <c r="V1293" s="43"/>
      <c r="W1293" s="43"/>
      <c r="X1293" s="43"/>
      <c r="Y1293" s="43"/>
      <c r="Z1293" s="43"/>
      <c r="AA1293" s="43"/>
      <c r="AB1293" s="43"/>
      <c r="AC1293" s="43"/>
      <c r="AD1293" s="43"/>
      <c r="AE1293" s="43"/>
      <c r="AF1293" s="43"/>
    </row>
    <row r="1294" spans="1:32" ht="12.75" customHeight="1">
      <c r="Q1294" s="7"/>
      <c r="R1294" s="60" t="s">
        <v>1228</v>
      </c>
      <c r="S1294" s="339" t="s">
        <v>1126</v>
      </c>
      <c r="T1294" s="340"/>
      <c r="U1294" s="340"/>
      <c r="V1294" s="340"/>
      <c r="W1294" s="340"/>
      <c r="X1294" s="341"/>
      <c r="Y1294" s="60">
        <v>1</v>
      </c>
      <c r="Z1294" s="60">
        <v>2</v>
      </c>
      <c r="AA1294" s="60">
        <v>3</v>
      </c>
      <c r="AB1294" s="60">
        <v>4</v>
      </c>
      <c r="AC1294" s="60">
        <v>5</v>
      </c>
      <c r="AD1294" s="342"/>
      <c r="AE1294" s="343"/>
      <c r="AF1294" s="344"/>
    </row>
    <row r="1295" spans="1:32" ht="12.75" customHeight="1">
      <c r="A1295" s="21" t="s">
        <v>1234</v>
      </c>
      <c r="H1295" s="136" t="str">
        <f>IF($Q1297&lt;&gt;"",IF(AND(AND($H1297&gt;-1,$H1299&gt;-1),OR($H1297&gt;10,$H1299&gt;10),ABS($H1297-$H1299)&gt;1,IF(OR($H1297&gt;11,$H1299&gt;11),ABS($H1297-$H1299)=2,TRUE),$H1297=INT($H1297),$H1299=INT($H1299)),"","Error"),"")</f>
        <v/>
      </c>
      <c r="I1295" s="136" t="str">
        <f>IF($Q1297&lt;&gt;"",IF(AND(AND($I1297&gt;-1,$I1299&gt;-1),OR($I1297&gt;10,$I1299&gt;10),ABS($I1297-$I1299)&gt;1,IF(OR($I1297&gt;11,$I1299&gt;11),ABS($I1297-$I1299)=2,TRUE),$I1297=INT($I1297),$I1299=INT($I1299)),"","Error"),"")</f>
        <v/>
      </c>
      <c r="J1295" s="136" t="str">
        <f>IF($Q1297&lt;&gt;"",IF(AND(AND($J1297&gt;-1,$J1299&gt;-1),OR($J1297&gt;10,$J1299&gt;10),ABS($J1297-$J1299)&gt;1,IF(OR($J1297&gt;11,$J1299&gt;11),ABS($J1297-$J1299)=2,TRUE),$J1297=INT($J1297),$J1299=INT($J1299)),"","Error"),"")</f>
        <v/>
      </c>
      <c r="K1295" s="136" t="str">
        <f>IF($Q1297&lt;&gt;"",IF(AND($K1297&lt;&gt;"",$K1299&lt;&gt;""), IF(AND(AND($K1297&gt;-1,$K1299&gt;-1),OR($K1297&gt;10,$K1299&gt;10),ABS($K1297-$K1299)&gt;1,IF(OR($K1297&gt;11,$K1299&gt;11),ABS($K1297-$K1299)=2,TRUE),$K1297=INT($K1297),$K1299=INT($K1299)),"","Error"),""),"")</f>
        <v/>
      </c>
      <c r="L1295" s="136" t="str">
        <f>IF($Q1297&lt;&gt;"",IF(AND($L1297&lt;&gt;"",$L1299&lt;&gt;""), IF(AND(AND($L1297&gt;-1,$L1299&gt;-1),OR($L1297&gt;10,$L1299&gt;10),ABS($L1297-$L1299)&gt;1,IF(OR($L1297&gt;11,$L1299&gt;11),ABS($L1297-$L1299)=2,TRUE),$L1297=INT($L1297),$L1299=INT($L1299)),"","Error"),""),"")</f>
        <v/>
      </c>
      <c r="Q1295" s="7"/>
      <c r="R1295" s="300" t="str">
        <f>$B1284</f>
        <v>A</v>
      </c>
      <c r="S1295" s="331" t="str">
        <f ca="1">IF($B1297&lt;&gt;"",$B1297,"")</f>
        <v/>
      </c>
      <c r="T1295" s="332"/>
      <c r="U1295" s="332"/>
      <c r="V1295" s="332"/>
      <c r="W1295" s="332"/>
      <c r="X1295" s="333"/>
      <c r="Y1295" s="329"/>
      <c r="Z1295" s="329"/>
      <c r="AA1295" s="329"/>
      <c r="AB1295" s="329"/>
      <c r="AC1295" s="329"/>
      <c r="AD1295" s="345"/>
      <c r="AE1295" s="358"/>
      <c r="AF1295" s="359"/>
    </row>
    <row r="1296" spans="1:32" ht="12.75" customHeight="1">
      <c r="A1296" s="5" t="s">
        <v>1228</v>
      </c>
      <c r="B1296" s="290" t="s">
        <v>1126</v>
      </c>
      <c r="C1296" s="291"/>
      <c r="D1296" s="291"/>
      <c r="E1296" s="291"/>
      <c r="F1296" s="291"/>
      <c r="G1296" s="292"/>
      <c r="H1296" s="5">
        <v>1</v>
      </c>
      <c r="I1296" s="5">
        <v>2</v>
      </c>
      <c r="J1296" s="5">
        <v>3</v>
      </c>
      <c r="K1296" s="5">
        <v>4</v>
      </c>
      <c r="L1296" s="5">
        <v>5</v>
      </c>
      <c r="M1296" s="271"/>
      <c r="N1296" s="272"/>
      <c r="O1296" s="272"/>
      <c r="P1296" s="273"/>
      <c r="Q1296" s="7"/>
      <c r="R1296" s="330"/>
      <c r="S1296" s="334"/>
      <c r="T1296" s="335"/>
      <c r="U1296" s="335"/>
      <c r="V1296" s="335"/>
      <c r="W1296" s="335"/>
      <c r="X1296" s="336"/>
      <c r="Y1296" s="330"/>
      <c r="Z1296" s="330"/>
      <c r="AA1296" s="330"/>
      <c r="AB1296" s="330"/>
      <c r="AC1296" s="330"/>
      <c r="AD1296" s="360"/>
      <c r="AE1296" s="361"/>
      <c r="AF1296" s="362"/>
    </row>
    <row r="1297" spans="1:32" ht="12.75" customHeight="1">
      <c r="A1297" s="300" t="str">
        <f>B1284</f>
        <v>A</v>
      </c>
      <c r="B1297" s="293" t="str">
        <f ca="1">IF(AND(OFFSET($AO$1,$C1284-1,8,1,1),$A1285&lt;&gt;"",$J1285&lt;&gt;""),CHOOSE($C1284,$AP$1,$AP$2,$AP$3,$AP$4,$AP$5,$AP$6,$AP$7,$AP$8,$AP$9,$AP$10,$AP$11,$AP$12),"")</f>
        <v/>
      </c>
      <c r="C1297" s="294"/>
      <c r="D1297" s="294"/>
      <c r="E1297" s="294"/>
      <c r="F1297" s="294"/>
      <c r="G1297" s="294"/>
      <c r="H1297" s="265"/>
      <c r="I1297" s="265"/>
      <c r="J1297" s="265"/>
      <c r="K1297" s="265"/>
      <c r="L1297" s="265"/>
      <c r="M1297" s="262" t="str">
        <f ca="1">IF(OR(AND($B1290&lt;&gt;"",$B1297&lt;&gt;"",$C1315&lt;=$B1315),AND($B1292&lt;&gt;"",$B1299&lt;&gt;"",$G1315&lt;=$F1315)),"Invalid Lineup","")</f>
        <v/>
      </c>
      <c r="N1297" s="263"/>
      <c r="O1297" s="263"/>
      <c r="P1297" s="264"/>
      <c r="Q1297" s="137" t="str">
        <f>IF($L1297=$L1299,IF($K1297=$K1299,IF($J1297&lt;&gt;"",IF($J1297&gt;$J1299,"W","L"),""),IF($K1297&gt;$K1299,"W","L")),IF($L1297&gt;$L1299,"W","L"))</f>
        <v/>
      </c>
      <c r="R1297" s="300" t="str">
        <f>$K1284</f>
        <v>L</v>
      </c>
      <c r="S1297" s="331" t="str">
        <f ca="1">IF($B1299&lt;&gt;"",$B1299,"")</f>
        <v/>
      </c>
      <c r="T1297" s="332"/>
      <c r="U1297" s="332"/>
      <c r="V1297" s="332"/>
      <c r="W1297" s="332"/>
      <c r="X1297" s="333"/>
      <c r="Y1297" s="329"/>
      <c r="Z1297" s="329"/>
      <c r="AA1297" s="329"/>
      <c r="AB1297" s="329"/>
      <c r="AC1297" s="351"/>
      <c r="AD1297" s="363" t="s">
        <v>1237</v>
      </c>
      <c r="AE1297" s="358"/>
      <c r="AF1297" s="359"/>
    </row>
    <row r="1298" spans="1:32" ht="12.75" customHeight="1">
      <c r="A1298" s="301"/>
      <c r="B1298" s="295"/>
      <c r="C1298" s="296"/>
      <c r="D1298" s="296"/>
      <c r="E1298" s="296"/>
      <c r="F1298" s="296"/>
      <c r="G1298" s="296"/>
      <c r="H1298" s="270"/>
      <c r="I1298" s="270"/>
      <c r="J1298" s="270"/>
      <c r="K1298" s="270"/>
      <c r="L1298" s="270"/>
      <c r="M1298" s="262"/>
      <c r="N1298" s="263"/>
      <c r="O1298" s="263"/>
      <c r="P1298" s="264"/>
      <c r="Q1298" s="139" t="str">
        <f>IF($Q1297&lt;&gt;"",IF($Q1297="W",IF(SUM(IF($H1297&gt;$H1299,1,0),IF($I1297&gt;$I1299,1,0),IF($J1297&gt;$J1299,1,0),IF($K1297&gt;$K1299,1,0),IF($L1297&gt;$L1299,1,0))&lt;&gt;3,"Error",""),""),"")</f>
        <v/>
      </c>
      <c r="R1298" s="330"/>
      <c r="S1298" s="334"/>
      <c r="T1298" s="335"/>
      <c r="U1298" s="335"/>
      <c r="V1298" s="335"/>
      <c r="W1298" s="335"/>
      <c r="X1298" s="336"/>
      <c r="Y1298" s="330"/>
      <c r="Z1298" s="330"/>
      <c r="AA1298" s="330"/>
      <c r="AB1298" s="330"/>
      <c r="AC1298" s="330"/>
      <c r="AD1298" s="360"/>
      <c r="AE1298" s="361"/>
      <c r="AF1298" s="362"/>
    </row>
    <row r="1299" spans="1:32" ht="12.75" customHeight="1">
      <c r="A1299" s="300" t="str">
        <f>K1284</f>
        <v>L</v>
      </c>
      <c r="B1299" s="293" t="str">
        <f ca="1">IF(AND(OFFSET($AO$1,$L1284-1,8,1,1),$A1285&lt;&gt;"",$J1285&lt;&gt;""),CHOOSE($L1284,$AP$1,$AP$2,$AP$3,$AP$4,$AP$5,$AP$6,$AP$7,$AP$8,$AP$9,$AP$10,$AP$11,$AP$12),"")</f>
        <v/>
      </c>
      <c r="C1299" s="294"/>
      <c r="D1299" s="294"/>
      <c r="E1299" s="294"/>
      <c r="F1299" s="294"/>
      <c r="G1299" s="294"/>
      <c r="H1299" s="265"/>
      <c r="I1299" s="265"/>
      <c r="J1299" s="265"/>
      <c r="K1299" s="265"/>
      <c r="L1299" s="265"/>
      <c r="M1299" s="267" t="s">
        <v>1237</v>
      </c>
      <c r="N1299" s="268"/>
      <c r="O1299" s="268"/>
      <c r="P1299" s="269"/>
      <c r="Q1299" s="137" t="str">
        <f>IF($Q1297&lt;&gt;"",IF($Q1297="W","L","W"),"")</f>
        <v/>
      </c>
      <c r="R1299" s="20"/>
      <c r="S1299" s="20"/>
      <c r="T1299" s="20"/>
      <c r="U1299" s="20"/>
      <c r="V1299" s="20"/>
      <c r="W1299" s="20"/>
      <c r="X1299" s="26"/>
      <c r="Y1299" s="26"/>
      <c r="Z1299" s="20"/>
      <c r="AA1299" s="20"/>
      <c r="AB1299" s="20"/>
      <c r="AC1299" s="20"/>
      <c r="AD1299" s="20"/>
      <c r="AE1299" s="20"/>
      <c r="AF1299" s="27"/>
    </row>
    <row r="1300" spans="1:32" ht="12.75" customHeight="1">
      <c r="A1300" s="301"/>
      <c r="B1300" s="295"/>
      <c r="C1300" s="296"/>
      <c r="D1300" s="296"/>
      <c r="E1300" s="296"/>
      <c r="F1300" s="296"/>
      <c r="G1300" s="296"/>
      <c r="H1300" s="270"/>
      <c r="I1300" s="270"/>
      <c r="J1300" s="266"/>
      <c r="K1300" s="266"/>
      <c r="L1300" s="266"/>
      <c r="M1300" s="267"/>
      <c r="N1300" s="268"/>
      <c r="O1300" s="268"/>
      <c r="P1300" s="269"/>
      <c r="Q1300" s="139" t="str">
        <f>IF($Q1299&lt;&gt;"",IF($Q1299="W",IF(SUM(IF($H1299&gt;$H1297,1,0),IF($I1299&gt;$I1297,1,0),IF($J1299&gt;$J1297,1,0),IF($K1299&gt;$K1297,1,0),IF($L1299&gt;$L1297,1,0))&lt;&gt;3,"Error",""),""),"")</f>
        <v/>
      </c>
      <c r="R1300" s="20"/>
      <c r="S1300" s="20"/>
      <c r="T1300" s="20"/>
      <c r="U1300" s="20"/>
      <c r="V1300" s="20"/>
      <c r="W1300" s="20"/>
      <c r="X1300" s="26"/>
      <c r="Y1300" s="26"/>
      <c r="Z1300" s="20"/>
      <c r="AA1300" s="20"/>
      <c r="AB1300" s="20"/>
      <c r="AC1300" s="20"/>
      <c r="AD1300" s="20"/>
      <c r="AE1300" s="20"/>
      <c r="AF1300" s="27"/>
    </row>
    <row r="1301" spans="1:32" ht="12.75" customHeight="1">
      <c r="Q1301" s="7"/>
      <c r="R1301" s="20"/>
      <c r="S1301" s="20"/>
      <c r="T1301" s="20"/>
      <c r="U1301" s="20"/>
      <c r="V1301" s="20"/>
      <c r="W1301" s="20"/>
      <c r="X1301" s="26"/>
      <c r="Y1301" s="26"/>
      <c r="Z1301" s="20"/>
      <c r="AA1301" s="20"/>
      <c r="AB1301" s="20"/>
      <c r="AC1301" s="20"/>
      <c r="AD1301" s="20"/>
      <c r="AE1301" s="20"/>
      <c r="AF1301" s="27"/>
    </row>
    <row r="1302" spans="1:32" ht="12.75" customHeight="1">
      <c r="A1302" s="21" t="s">
        <v>1235</v>
      </c>
      <c r="H1302" s="136" t="str">
        <f>IF($Q1304&lt;&gt;"",IF(AND(AND($H1304&gt;-1,$H1306&gt;-1),OR($H1304&gt;10,$H1306&gt;10),ABS($H1304-$H1306)&gt;1,IF(OR($H1304&gt;11,$H1306&gt;11),ABS($H1304-$H1306)=2,TRUE),$H1304=INT($H1304),$H1306=INT($H1306)),"","Error"),"")</f>
        <v/>
      </c>
      <c r="I1302" s="136" t="str">
        <f>IF($Q1304&lt;&gt;"",IF(AND(AND($I1304&gt;-1,$I1306&gt;-1),OR($I1304&gt;10,$I1306&gt;10),ABS($I1304-$I1306)&gt;1,IF(OR($I1304&gt;11,$I1306&gt;11),ABS($I1304-$I1306)=2,TRUE),$I1304=INT($I1304),$I1306=INT($I1306)),"","Error"),"")</f>
        <v/>
      </c>
      <c r="J1302" s="136" t="str">
        <f>IF($Q1304&lt;&gt;"",IF(AND(AND($J1304&gt;-1,$J1306&gt;-1),OR($J1304&gt;10,$J1306&gt;10),ABS($J1304-$J1306)&gt;1,IF(OR($J1304&gt;11,$J1306&gt;11),ABS($J1304-$J1306)=2,TRUE),$J1304=INT($J1304),$J1306=INT($J1306)),"","Error"),"")</f>
        <v/>
      </c>
      <c r="K1302" s="136" t="str">
        <f>IF($Q1304&lt;&gt;"",IF(AND($K1304&lt;&gt;"",$K1306&lt;&gt;""), IF(AND(AND($K1304&gt;-1,$K1306&gt;-1),OR($K1304&gt;10,$K1306&gt;10),ABS($K1304-$K1306)&gt;1,IF(OR($K1304&gt;11,$K1306&gt;11),ABS($K1304-$K1306)=2,TRUE),$K1304=INT($K1304),$K1306=INT($K1306)),"","Error"),""),"")</f>
        <v/>
      </c>
      <c r="L1302" s="136" t="str">
        <f>IF($Q1304&lt;&gt;"",IF(AND($L1304&lt;&gt;"",$L1306&lt;&gt;""), IF(AND(AND($L1304&gt;-1,$L1306&gt;-1),OR($L1304&gt;10,$L1306&gt;10),ABS($L1304-$L1306)&gt;1,IF(OR($L1304&gt;11,$L1306&gt;11),ABS($L1304-$L1306)=2,TRUE),$L1304=INT($L1304),$L1306=INT($L1306)),"","Error"),""),"")</f>
        <v/>
      </c>
      <c r="Q1302" s="7"/>
      <c r="R1302" s="20"/>
      <c r="S1302" s="20"/>
      <c r="T1302" s="20"/>
      <c r="U1302" s="20"/>
      <c r="V1302" s="20"/>
      <c r="W1302" s="20"/>
      <c r="X1302" s="26"/>
      <c r="Y1302" s="26"/>
      <c r="Z1302" s="20"/>
      <c r="AA1302" s="20"/>
      <c r="AB1302" s="20"/>
      <c r="AC1302" s="20"/>
      <c r="AD1302" s="20"/>
      <c r="AE1302" s="20"/>
      <c r="AF1302" s="27"/>
    </row>
    <row r="1303" spans="1:32" ht="12.75" customHeight="1">
      <c r="A1303" s="5" t="s">
        <v>1228</v>
      </c>
      <c r="B1303" s="290" t="s">
        <v>1126</v>
      </c>
      <c r="C1303" s="291"/>
      <c r="D1303" s="291"/>
      <c r="E1303" s="291"/>
      <c r="F1303" s="291"/>
      <c r="G1303" s="292"/>
      <c r="H1303" s="5">
        <v>1</v>
      </c>
      <c r="I1303" s="5">
        <v>2</v>
      </c>
      <c r="J1303" s="5">
        <v>3</v>
      </c>
      <c r="K1303" s="5">
        <v>4</v>
      </c>
      <c r="L1303" s="5">
        <v>5</v>
      </c>
      <c r="M1303" s="271"/>
      <c r="N1303" s="272"/>
      <c r="O1303" s="272"/>
      <c r="P1303" s="273"/>
      <c r="Q1303" s="7"/>
      <c r="R1303" s="20"/>
      <c r="S1303" s="20"/>
      <c r="T1303" s="20"/>
      <c r="U1303" s="20"/>
      <c r="V1303" s="20"/>
      <c r="W1303" s="20"/>
      <c r="X1303" s="26"/>
      <c r="Y1303" s="26"/>
      <c r="Z1303" s="20"/>
      <c r="AA1303" s="20"/>
      <c r="AB1303" s="20"/>
      <c r="AC1303" s="20"/>
      <c r="AD1303" s="20"/>
      <c r="AE1303" s="20"/>
      <c r="AF1303" s="27"/>
    </row>
    <row r="1304" spans="1:32" ht="12.75" customHeight="1">
      <c r="A1304" s="300" t="str">
        <f>B1284</f>
        <v>A</v>
      </c>
      <c r="B1304" s="293" t="str">
        <f ca="1">IF(AND(OFFSET($AO$1,$C1284-1,8,1,1),$A1285&lt;&gt;"",$J1285&lt;&gt;""),CHOOSE($C1284,$AQ$1,$AQ$2,$AQ$3,$AQ$4,$AQ$5,$AQ$6,$AQ$7,$AQ$8,$AQ$9,$AQ$10,$AQ$11,$AQ$12),"")</f>
        <v/>
      </c>
      <c r="C1304" s="294"/>
      <c r="D1304" s="294"/>
      <c r="E1304" s="294"/>
      <c r="F1304" s="294"/>
      <c r="G1304" s="294"/>
      <c r="H1304" s="265"/>
      <c r="I1304" s="265"/>
      <c r="J1304" s="265"/>
      <c r="K1304" s="265"/>
      <c r="L1304" s="265"/>
      <c r="M1304" s="262" t="str">
        <f ca="1">IF(OR(AND($B1297&lt;&gt;"",$B1304&lt;&gt;"",$D1315&lt;=$C1315),AND($B1299&lt;&gt;"",$B1306&lt;&gt;"",$H1315&lt;=$G1315)),"Invalid Lineup","")</f>
        <v/>
      </c>
      <c r="N1304" s="263"/>
      <c r="O1304" s="263"/>
      <c r="P1304" s="264"/>
      <c r="Q1304" s="137" t="str">
        <f>IF($L1304=$L1306,IF($K1304=$K1306,IF($J1304&lt;&gt;"",IF($J1304&gt;$J1306,"W","L"),""),IF($K1304&gt;$K1306,"W","L")),IF($L1304&gt;$L1306,"W","L"))</f>
        <v/>
      </c>
      <c r="R1304" s="20"/>
      <c r="S1304" s="20"/>
      <c r="T1304" s="20"/>
      <c r="U1304" s="20"/>
      <c r="V1304" s="20"/>
      <c r="W1304" s="20"/>
      <c r="X1304" s="26"/>
      <c r="Y1304" s="26"/>
      <c r="Z1304" s="20"/>
      <c r="AA1304" s="20"/>
      <c r="AB1304" s="20"/>
      <c r="AC1304" s="20"/>
      <c r="AD1304" s="20"/>
      <c r="AE1304" s="20"/>
      <c r="AF1304" s="27"/>
    </row>
    <row r="1305" spans="1:32" ht="12.75" customHeight="1">
      <c r="A1305" s="301"/>
      <c r="B1305" s="295"/>
      <c r="C1305" s="296"/>
      <c r="D1305" s="296"/>
      <c r="E1305" s="296"/>
      <c r="F1305" s="296"/>
      <c r="G1305" s="296"/>
      <c r="H1305" s="270"/>
      <c r="I1305" s="270"/>
      <c r="J1305" s="270"/>
      <c r="K1305" s="270"/>
      <c r="L1305" s="270"/>
      <c r="M1305" s="262"/>
      <c r="N1305" s="263"/>
      <c r="O1305" s="263"/>
      <c r="P1305" s="264"/>
      <c r="Q1305" s="139" t="str">
        <f>IF($Q1304&lt;&gt;"",IF($Q1304="W",IF(SUM(IF($H1304&gt;$H1306,1,0),IF($I1304&gt;$I1306,1,0),IF($J1304&gt;$J1306,1,0),IF($K1304&gt;$K1306,1,0),IF($L1304&gt;$L1306,1,0))&lt;&gt;3,"Error",""),""),"")</f>
        <v/>
      </c>
      <c r="R1305" s="328" t="str">
        <f>$A1285</f>
        <v/>
      </c>
      <c r="S1305" s="328"/>
      <c r="T1305" s="328"/>
      <c r="U1305" s="328"/>
      <c r="V1305" s="328"/>
      <c r="W1305" s="328"/>
      <c r="X1305" s="256" t="str">
        <f>CONCATENATE("(",$B1284," vs ",$K1284,")")</f>
        <v>(A vs L)</v>
      </c>
      <c r="Y1305" s="256"/>
      <c r="Z1305" s="328" t="str">
        <f>$J1285</f>
        <v/>
      </c>
      <c r="AA1305" s="328"/>
      <c r="AB1305" s="328"/>
      <c r="AC1305" s="328"/>
      <c r="AD1305" s="328"/>
      <c r="AE1305" s="328"/>
      <c r="AF1305" s="100"/>
    </row>
    <row r="1306" spans="1:32" ht="12.75" customHeight="1">
      <c r="A1306" s="300" t="str">
        <f>K1284</f>
        <v>L</v>
      </c>
      <c r="B1306" s="293" t="str">
        <f ca="1">IF(AND(OFFSET($AO$1,$L1284-1,8,1,1),$A1285&lt;&gt;"",$J1285&lt;&gt;""),CHOOSE($L1284,$AQ$1,$AQ$2,$AQ$3,$AQ$4,$AQ$5,$AQ$6,$AQ$7,$AQ$8,$AQ$9,$AQ$10,$AQ$11,$AQ$12),"")</f>
        <v/>
      </c>
      <c r="C1306" s="294"/>
      <c r="D1306" s="294"/>
      <c r="E1306" s="294"/>
      <c r="F1306" s="294"/>
      <c r="G1306" s="294"/>
      <c r="H1306" s="265"/>
      <c r="I1306" s="265"/>
      <c r="J1306" s="265"/>
      <c r="K1306" s="265"/>
      <c r="L1306" s="265"/>
      <c r="M1306" s="267" t="s">
        <v>1237</v>
      </c>
      <c r="N1306" s="268"/>
      <c r="O1306" s="268"/>
      <c r="P1306" s="269"/>
      <c r="Q1306" s="137" t="str">
        <f>IF($Q1304&lt;&gt;"",IF($Q1304="W","L","W"),"")</f>
        <v/>
      </c>
      <c r="R1306" s="100"/>
      <c r="S1306" s="100"/>
      <c r="T1306" s="100"/>
      <c r="U1306" s="100"/>
      <c r="V1306" s="100"/>
      <c r="W1306" s="100"/>
      <c r="X1306" s="100"/>
      <c r="Y1306" s="100"/>
      <c r="Z1306" s="100"/>
      <c r="AA1306" s="100"/>
      <c r="AB1306" s="100"/>
      <c r="AC1306" s="100"/>
      <c r="AD1306" s="100"/>
      <c r="AE1306" s="100"/>
      <c r="AF1306" s="100"/>
    </row>
    <row r="1307" spans="1:32" ht="12.75" customHeight="1">
      <c r="A1307" s="301"/>
      <c r="B1307" s="295"/>
      <c r="C1307" s="296"/>
      <c r="D1307" s="296"/>
      <c r="E1307" s="296"/>
      <c r="F1307" s="296"/>
      <c r="G1307" s="296"/>
      <c r="H1307" s="270"/>
      <c r="I1307" s="270"/>
      <c r="J1307" s="266"/>
      <c r="K1307" s="266"/>
      <c r="L1307" s="266"/>
      <c r="M1307" s="267"/>
      <c r="N1307" s="268"/>
      <c r="O1307" s="268"/>
      <c r="P1307" s="269"/>
      <c r="Q1307" s="139" t="str">
        <f>IF($Q1306&lt;&gt;"",IF($Q1306="W",IF(SUM(IF($H1306&gt;$H1304,1,0),IF($I1306&gt;$I1304,1,0),IF($J1306&gt;$J1304,1,0),IF($K1306&gt;$K1304,1,0),IF($L1306&gt;$L1304,1,0))&lt;&gt;3,"Error",""),""),"")</f>
        <v/>
      </c>
      <c r="R1307" s="43" t="str">
        <f>$A1302</f>
        <v>3rd Singles</v>
      </c>
      <c r="S1307" s="43"/>
      <c r="T1307" s="43"/>
      <c r="U1307" s="43"/>
      <c r="V1307" s="43"/>
      <c r="W1307" s="43"/>
      <c r="X1307" s="43"/>
      <c r="Y1307" s="43"/>
      <c r="Z1307" s="43"/>
      <c r="AA1307" s="43"/>
      <c r="AB1307" s="43"/>
      <c r="AC1307" s="43"/>
      <c r="AD1307" s="43"/>
      <c r="AE1307" s="43"/>
      <c r="AF1307" s="43"/>
    </row>
    <row r="1308" spans="1:32" ht="12.75" customHeight="1">
      <c r="Q1308" s="7"/>
      <c r="R1308" s="60" t="s">
        <v>1228</v>
      </c>
      <c r="S1308" s="101" t="s">
        <v>1126</v>
      </c>
      <c r="T1308" s="102"/>
      <c r="U1308" s="102"/>
      <c r="V1308" s="102"/>
      <c r="W1308" s="102"/>
      <c r="X1308" s="103"/>
      <c r="Y1308" s="60">
        <v>1</v>
      </c>
      <c r="Z1308" s="60">
        <v>2</v>
      </c>
      <c r="AA1308" s="60">
        <v>3</v>
      </c>
      <c r="AB1308" s="60">
        <v>4</v>
      </c>
      <c r="AC1308" s="60">
        <v>5</v>
      </c>
      <c r="AD1308" s="104"/>
      <c r="AE1308" s="105"/>
      <c r="AF1308" s="106"/>
    </row>
    <row r="1309" spans="1:32" ht="12.75" customHeight="1">
      <c r="A1309" s="21" t="s">
        <v>1236</v>
      </c>
      <c r="H1309" s="136" t="str">
        <f ca="1">IF($Q1311&lt;&gt;"",IF(AND($B1311&lt;&gt;"Missing Player",$B1313&lt;&gt;"Missing Player"),IF(AND(AND($H1311&gt;-1,$H1313&gt;-1),OR($H1311&gt;10,$H1313&gt;10),ABS($H1311-$H1313)&gt;1,IF(OR($H1311&gt;11,$H1313&gt;11),ABS($H1311-$H1313)=2,TRUE),$H1311=INT($H1311),$H1313=INT($H1313)),"","Error"),""),"")</f>
        <v/>
      </c>
      <c r="I1309" s="136" t="str">
        <f ca="1">IF($Q1311&lt;&gt;"",IF(AND($B1311&lt;&gt;"Missing Player",$B1313&lt;&gt;"Missing Player"),IF(AND(AND($I1311&gt;-1,$I1313&gt;-1),OR($I1311&gt;10,$I1313&gt;10),ABS($I1311-$I1313)&gt;1,IF(OR($I1311&gt;11,$I1313&gt;11),ABS($I1311-$I1313)=2,TRUE),$I1311=INT($I1311),$I1313=INT($I1313)),"","Error"),""),"")</f>
        <v/>
      </c>
      <c r="J1309" s="136" t="str">
        <f ca="1">IF($Q1311&lt;&gt;"",IF(AND($B1311&lt;&gt;"Missing Player",$B1313&lt;&gt;"Missing Player"),IF(AND(AND($J1311&gt;-1,$J1313&gt;-1),OR($J1311&gt;10,$J1313&gt;10),ABS($J1311-$J1313)&gt;1,IF(OR($J1311&gt;11,$J1313&gt;11),ABS($J1311-$J1313)=2,TRUE),$J1311=INT($J1311),$J1313=INT($J1313)),"","Error"),""),"")</f>
        <v/>
      </c>
      <c r="K1309" s="136" t="str">
        <f ca="1">IF($Q1311&lt;&gt;"",IF(AND($K1311&lt;&gt;"",$K1313&lt;&gt;""), IF(AND(AND($K1311&gt;-1,$K1313&gt;-1),OR($K1311&gt;10,$K1313&gt;10),ABS($K1311-$K1313)&gt;1,IF(OR($K1311&gt;11,$K1313&gt;11),ABS($K1311-$K1313)=2,TRUE),$K1311=INT($K1311),$K1313=INT($K1313)),"","Error"),""),"")</f>
        <v/>
      </c>
      <c r="L1309" s="136" t="str">
        <f ca="1">IF($Q1311&lt;&gt;"",IF(AND($L1311&lt;&gt;"",$L1313&lt;&gt;""), IF(AND(AND($L1311&gt;-1,$L1313&gt;-1),OR($L1311&gt;10,$L1313&gt;10),ABS($L1311-$L1313)&gt;1,IF(OR($L1311&gt;11,$L1313&gt;11),ABS($L1311-$L1313)=2,TRUE),$L1311=INT($L1311),$L1313=INT($L1313)),"","Error"),""),"")</f>
        <v/>
      </c>
      <c r="Q1309" s="7"/>
      <c r="R1309" s="300" t="str">
        <f>$B1284</f>
        <v>A</v>
      </c>
      <c r="S1309" s="331" t="str">
        <f ca="1">IF($B1304&lt;&gt;"",$B1304,"")</f>
        <v/>
      </c>
      <c r="T1309" s="332"/>
      <c r="U1309" s="332"/>
      <c r="V1309" s="332"/>
      <c r="W1309" s="332"/>
      <c r="X1309" s="333"/>
      <c r="Y1309" s="329"/>
      <c r="Z1309" s="329"/>
      <c r="AA1309" s="329"/>
      <c r="AB1309" s="329"/>
      <c r="AC1309" s="329"/>
      <c r="AD1309" s="345"/>
      <c r="AE1309" s="358"/>
      <c r="AF1309" s="359"/>
    </row>
    <row r="1310" spans="1:32" ht="12.75" customHeight="1">
      <c r="A1310" s="5" t="s">
        <v>1228</v>
      </c>
      <c r="B1310" s="290" t="s">
        <v>1126</v>
      </c>
      <c r="C1310" s="291"/>
      <c r="D1310" s="291"/>
      <c r="E1310" s="291"/>
      <c r="F1310" s="291"/>
      <c r="G1310" s="292"/>
      <c r="H1310" s="5">
        <v>1</v>
      </c>
      <c r="I1310" s="5">
        <v>2</v>
      </c>
      <c r="J1310" s="5">
        <v>3</v>
      </c>
      <c r="K1310" s="5">
        <v>4</v>
      </c>
      <c r="L1310" s="5">
        <v>5</v>
      </c>
      <c r="M1310" s="271"/>
      <c r="N1310" s="272"/>
      <c r="O1310" s="272"/>
      <c r="P1310" s="273"/>
      <c r="Q1310" s="7"/>
      <c r="R1310" s="330"/>
      <c r="S1310" s="334"/>
      <c r="T1310" s="335"/>
      <c r="U1310" s="335"/>
      <c r="V1310" s="335"/>
      <c r="W1310" s="335"/>
      <c r="X1310" s="336"/>
      <c r="Y1310" s="330"/>
      <c r="Z1310" s="330"/>
      <c r="AA1310" s="330"/>
      <c r="AB1310" s="330"/>
      <c r="AC1310" s="330"/>
      <c r="AD1310" s="360"/>
      <c r="AE1310" s="361"/>
      <c r="AF1310" s="362"/>
    </row>
    <row r="1311" spans="1:32" ht="12.75" customHeight="1">
      <c r="A1311" s="300" t="str">
        <f>B1284</f>
        <v>A</v>
      </c>
      <c r="B1311" s="293" t="str">
        <f ca="1">IF(AND(OFFSET($AO$1,$C1284-1,8,1,1),$A1285&lt;&gt;"",$J1285&lt;&gt;""),CHOOSE($C1284,$AR$1,$AR$2,$AR$3,$AR$4,$AR$5,$AR$6,$AR$7,$AR$8,$AR$9,$AR$10,$AR$11,$AR$12),"")</f>
        <v/>
      </c>
      <c r="C1311" s="294"/>
      <c r="D1311" s="294"/>
      <c r="E1311" s="294"/>
      <c r="F1311" s="294"/>
      <c r="G1311" s="294"/>
      <c r="H1311" s="265"/>
      <c r="I1311" s="265"/>
      <c r="J1311" s="265"/>
      <c r="K1311" s="265"/>
      <c r="L1311" s="265" t="str">
        <f ca="1">IF(AND($B1311&lt;&gt;"",$Q1290&lt;&gt;""),IF($B1311="Missing Player",0,IF($B1313="Missing Player",11,"")),"")</f>
        <v/>
      </c>
      <c r="M1311" s="262" t="str">
        <f ca="1">IF(OR(AND($B1304&lt;&gt;"",$B1311&lt;&gt;"",$E1315&lt;=$D1315),AND($B1306&lt;&gt;"",$B1313&lt;&gt;"",$I1315&lt;=$H1315)),"Invalid Lineup","")</f>
        <v/>
      </c>
      <c r="N1311" s="263"/>
      <c r="O1311" s="263"/>
      <c r="P1311" s="264"/>
      <c r="Q1311" s="137" t="str">
        <f ca="1">IF($L1311=$L1313,IF($K1311=$K1313,IF($J1311&lt;&gt;"",IF($J1311&gt;$J1313,"W","L"),""),IF($K1311&gt;$K1313,"W","L")),IF($L1311&gt;$L1313,"W","L"))</f>
        <v/>
      </c>
      <c r="R1311" s="300" t="str">
        <f>$K1284</f>
        <v>L</v>
      </c>
      <c r="S1311" s="331" t="str">
        <f ca="1">IF($B1306&lt;&gt;"",$B1306,"")</f>
        <v/>
      </c>
      <c r="T1311" s="332"/>
      <c r="U1311" s="332"/>
      <c r="V1311" s="332"/>
      <c r="W1311" s="332"/>
      <c r="X1311" s="333"/>
      <c r="Y1311" s="329"/>
      <c r="Z1311" s="329"/>
      <c r="AA1311" s="329"/>
      <c r="AB1311" s="329"/>
      <c r="AC1311" s="351"/>
      <c r="AD1311" s="363" t="s">
        <v>1237</v>
      </c>
      <c r="AE1311" s="358"/>
      <c r="AF1311" s="359"/>
    </row>
    <row r="1312" spans="1:32" ht="12.75" customHeight="1">
      <c r="A1312" s="301"/>
      <c r="B1312" s="295"/>
      <c r="C1312" s="296"/>
      <c r="D1312" s="296"/>
      <c r="E1312" s="296"/>
      <c r="F1312" s="296"/>
      <c r="G1312" s="296"/>
      <c r="H1312" s="270"/>
      <c r="I1312" s="270"/>
      <c r="J1312" s="270"/>
      <c r="K1312" s="270"/>
      <c r="L1312" s="270"/>
      <c r="M1312" s="262"/>
      <c r="N1312" s="263"/>
      <c r="O1312" s="263"/>
      <c r="P1312" s="264"/>
      <c r="Q1312" s="139" t="str">
        <f ca="1">IF($Q1311&lt;&gt;"",IF($B1313&lt;&gt;"Missing Player",IF($Q1311="W",IF(SUM(IF($H1311&gt;$H1313,1,0),IF($I1311&gt;$I1313,1,0),IF($J1311&gt;$J1313,1,0),IF($K1311&gt;$K1313,1,0),IF($L1311&gt;$L1313,1,0))&lt;&gt;3,"Error",""),""),""),"")</f>
        <v/>
      </c>
      <c r="R1312" s="330"/>
      <c r="S1312" s="334"/>
      <c r="T1312" s="335"/>
      <c r="U1312" s="335"/>
      <c r="V1312" s="335"/>
      <c r="W1312" s="335"/>
      <c r="X1312" s="336"/>
      <c r="Y1312" s="330"/>
      <c r="Z1312" s="330"/>
      <c r="AA1312" s="330"/>
      <c r="AB1312" s="330"/>
      <c r="AC1312" s="330"/>
      <c r="AD1312" s="360"/>
      <c r="AE1312" s="361"/>
      <c r="AF1312" s="362"/>
    </row>
    <row r="1313" spans="1:32" ht="12.75" customHeight="1">
      <c r="A1313" s="300" t="str">
        <f>K1284</f>
        <v>L</v>
      </c>
      <c r="B1313" s="293" t="str">
        <f ca="1">IF(AND(OFFSET($AO$1,$L1284-1,8,1,1),$A1285&lt;&gt;"",$J1285&lt;&gt;""),CHOOSE($L1284,$AR$1,$AR$2,$AR$3,$AR$4,$AR$5,$AR$6,$AR$7,$AR$8,$AR$9,$AR$10,$AR$11,$AR$12),"")</f>
        <v/>
      </c>
      <c r="C1313" s="294"/>
      <c r="D1313" s="294"/>
      <c r="E1313" s="294"/>
      <c r="F1313" s="294"/>
      <c r="G1313" s="294"/>
      <c r="H1313" s="265"/>
      <c r="I1313" s="265"/>
      <c r="J1313" s="265"/>
      <c r="K1313" s="265"/>
      <c r="L1313" s="265" t="str">
        <f ca="1">IF(AND($B1313&lt;&gt;"",$Q1290&lt;&gt;""),IF($B1313="Missing Player",0,IF($B1311="Missing Player",11,"")),"")</f>
        <v/>
      </c>
      <c r="M1313" s="267" t="s">
        <v>1237</v>
      </c>
      <c r="N1313" s="268"/>
      <c r="O1313" s="268"/>
      <c r="P1313" s="269"/>
      <c r="Q1313" s="137" t="str">
        <f ca="1">IF($Q1311&lt;&gt;"",IF($Q1311="W","L","W"),"")</f>
        <v/>
      </c>
      <c r="R1313" s="112"/>
      <c r="S1313" s="98"/>
      <c r="T1313" s="108"/>
      <c r="U1313" s="108"/>
      <c r="V1313" s="108"/>
      <c r="W1313" s="108"/>
      <c r="X1313" s="108"/>
      <c r="Y1313" s="113"/>
      <c r="Z1313" s="113"/>
      <c r="AA1313" s="113"/>
      <c r="AB1313" s="113"/>
      <c r="AC1313" s="113"/>
      <c r="AD1313" s="107"/>
      <c r="AE1313" s="109"/>
      <c r="AF1313" s="109"/>
    </row>
    <row r="1314" spans="1:32" ht="12.75" customHeight="1">
      <c r="A1314" s="301"/>
      <c r="B1314" s="295"/>
      <c r="C1314" s="296"/>
      <c r="D1314" s="296"/>
      <c r="E1314" s="296"/>
      <c r="F1314" s="296"/>
      <c r="G1314" s="296"/>
      <c r="H1314" s="270"/>
      <c r="I1314" s="270"/>
      <c r="J1314" s="266"/>
      <c r="K1314" s="266"/>
      <c r="L1314" s="266"/>
      <c r="M1314" s="267"/>
      <c r="N1314" s="268"/>
      <c r="O1314" s="268"/>
      <c r="P1314" s="269"/>
      <c r="Q1314" s="139" t="str">
        <f ca="1">IF($Q1313&lt;&gt;"",IF($B1311&lt;&gt;"Missing Player",IF($Q1313="W",IF(SUM(IF($H1313&gt;$H1311,1,0),IF($I1313&gt;$I1311,1,0),IF($J1313&gt;$J1311,1,0),IF($K1313&gt;$K1311,1,0),IF($L1313&gt;$L1311,1,0))&lt;&gt;3,"Error",""),""),""),"")</f>
        <v/>
      </c>
      <c r="R1314" s="114"/>
      <c r="S1314" s="115"/>
      <c r="T1314" s="115"/>
      <c r="U1314" s="115"/>
      <c r="V1314" s="115"/>
      <c r="W1314" s="115"/>
      <c r="X1314" s="115"/>
      <c r="Y1314" s="114"/>
      <c r="Z1314" s="114"/>
      <c r="AA1314" s="114"/>
      <c r="AB1314" s="114"/>
      <c r="AC1314" s="114"/>
      <c r="AD1314" s="114"/>
      <c r="AE1314" s="114"/>
      <c r="AF1314" s="114"/>
    </row>
    <row r="1315" spans="1:32" ht="12.75" customHeight="1">
      <c r="B1315" s="140" t="str">
        <f ca="1">IF(ISERROR(VLOOKUP($B1290&amp;"("&amp;$B1284&amp;")",Players!$S$4:$T$132,2,FALSE)),"",VLOOKUP($B1290&amp;"("&amp;$B1284&amp;")",Players!$S$4:$T$132,2,FALSE))</f>
        <v>A1</v>
      </c>
      <c r="C1315" s="140" t="str">
        <f ca="1">IF(ISERROR(VLOOKUP($B1297&amp;"("&amp;$B1284&amp;")",Players!$S$4:$T$132,2,FALSE)),"",VLOOKUP($B1297&amp;"("&amp;$B1284&amp;")",Players!$S$4:$T$132,2,FALSE))</f>
        <v>A1</v>
      </c>
      <c r="D1315" s="141" t="str">
        <f ca="1">IF(ISERROR(VLOOKUP($B1304&amp;"("&amp;$B1284&amp;")",Players!$S$4:$T$132,2,FALSE)),"",VLOOKUP($B1304&amp;"("&amp;$B1284&amp;")",Players!$S$4:$T$132,2,FALSE))</f>
        <v>A1</v>
      </c>
      <c r="E1315" s="141" t="str">
        <f ca="1">IF(ISERROR(VLOOKUP($B1311&amp;"("&amp;$B1284&amp;")",Players!$S$4:$T$132,2,FALSE)),"",VLOOKUP($B1311&amp;"("&amp;$B1284&amp;")",Players!$S$4:$T$132,2,FALSE))</f>
        <v>A1</v>
      </c>
      <c r="F1315" s="141" t="str">
        <f ca="1">IF(ISERROR(VLOOKUP($B1292&amp;"("&amp;$K1284&amp;")",Players!$S$4:$T$132,2,FALSE)),"",VLOOKUP($B1292&amp;"("&amp;$K1284&amp;")",Players!$S$4:$T$132,2,FALSE))</f>
        <v>L1</v>
      </c>
      <c r="G1315" s="141" t="str">
        <f ca="1">IF(ISERROR(VLOOKUP($B1299&amp;"("&amp;$K1284&amp;")",Players!$S$4:$T$132,2,FALSE)),"",VLOOKUP($B1299&amp;"("&amp;$K1284&amp;")",Players!$S$4:$T$132,2,FALSE))</f>
        <v>L1</v>
      </c>
      <c r="H1315" s="141" t="str">
        <f ca="1">IF(ISERROR(VLOOKUP($B1306&amp;"("&amp;$K1284&amp;")",Players!$S$4:$T$132,2,FALSE)),"",VLOOKUP($B1306&amp;"("&amp;$K1284&amp;")",Players!$S$4:$T$132,2,FALSE))</f>
        <v>L1</v>
      </c>
      <c r="I1315" s="141" t="str">
        <f ca="1">IF(ISERROR(VLOOKUP($B1313&amp;"("&amp;$K1284&amp;")",Players!$S$4:$T$132,2,FALSE)),"",VLOOKUP($B1313&amp;"("&amp;$K1284&amp;")",Players!$S$4:$T$132,2,FALSE))</f>
        <v>L1</v>
      </c>
      <c r="Q1315" s="7"/>
      <c r="R1315" s="50"/>
      <c r="S1315" s="116"/>
      <c r="T1315" s="115"/>
      <c r="U1315" s="115"/>
      <c r="V1315" s="115"/>
      <c r="W1315" s="115"/>
      <c r="X1315" s="115"/>
      <c r="Y1315" s="99"/>
      <c r="Z1315" s="99"/>
      <c r="AA1315" s="99"/>
      <c r="AB1315" s="99"/>
      <c r="AC1315" s="117"/>
      <c r="AD1315" s="118"/>
      <c r="AE1315" s="114"/>
      <c r="AF1315" s="114"/>
    </row>
    <row r="1316" spans="1:32" ht="12.75" customHeight="1">
      <c r="A1316" s="21" t="s">
        <v>1225</v>
      </c>
      <c r="H1316" s="136" t="str">
        <f ca="1">IF($Q1318&lt;&gt;"",IF(AND($B1319&lt;&gt;"Missing Player",$B1321&lt;&gt;"Missing Player"),IF(AND(AND($H1318&gt;-1,$H1320&gt;-1),OR($H1318&gt;10,$H1320&gt;10),ABS($H1318-$H1320)&gt;1,IF(OR($H1318&gt;11,$H1320&gt;11),ABS($H1318-$H1320)=2,TRUE),$H1318=INT($H1318),$H1320=INT($H1320)),"","Error"),""),"")</f>
        <v/>
      </c>
      <c r="I1316" s="136" t="str">
        <f ca="1">IF($Q1318&lt;&gt;"",IF(AND($B1319&lt;&gt;"Missing Player",$B1321&lt;&gt;"Missing Player"),IF(AND(AND($I1318&gt;-1,$I1320&gt;-1),OR($I1318&gt;10,$I1320&gt;10),ABS($I1318-$I1320)&gt;1,IF(OR($I1318&gt;11,$I1320&gt;11),ABS($I1318-$I1320)=2,TRUE),$I1318=INT($I1318),$I1320=INT($I1320)),"","Error"),""),"")</f>
        <v/>
      </c>
      <c r="J1316" s="136" t="str">
        <f ca="1">IF($Q1318&lt;&gt;"",IF(AND($B1319&lt;&gt;"Missing Player",$B1321&lt;&gt;"Missing Player"),IF(AND(AND($J1318&gt;-1,$J1320&gt;-1),OR($J1318&gt;10,$J1320&gt;10),ABS($J1318-$J1320)&gt;1,IF(OR($J1318&gt;11,$J1320&gt;11),ABS($J1318-$J1320)=2,TRUE),$J1318=INT($J1318),$J1320=INT($J1320)),"","Error"),""),"")</f>
        <v/>
      </c>
      <c r="K1316" s="136" t="str">
        <f ca="1">IF($Q1318&lt;&gt;"",IF(AND($K1318&lt;&gt;"",$K1320&lt;&gt;""), IF(AND(AND($K1318&gt;-1,$K1320&gt;-1),OR($K1318&gt;10,$K1320&gt;10),ABS($K1318-$K1320)&gt;1,IF(OR($K1318&gt;11,$K1320&gt;11),ABS($K1318-$K1320)=2,TRUE),$K1318=INT($K1318),$K1320=INT($K1320)),"","Error"),""),"")</f>
        <v/>
      </c>
      <c r="L1316" s="136" t="str">
        <f ca="1">IF($Q1318&lt;&gt;"",IF(AND($L1318&lt;&gt;"",$L1320&lt;&gt;""), IF(AND(AND($L1318&gt;-1,$L1320&gt;-1),OR($L1318&gt;10,$L1320&gt;10),ABS($L1318-$L1320)&gt;1,IF(OR($L1318&gt;11,$L1320&gt;11),ABS($L1318-$L1320)=2,TRUE),$L1318=INT($L1318),$L1320=INT($L1320)),"","Error"),""),"")</f>
        <v/>
      </c>
      <c r="Q1316" s="7"/>
      <c r="R1316" s="114"/>
      <c r="S1316" s="115"/>
      <c r="T1316" s="115"/>
      <c r="U1316" s="115"/>
      <c r="V1316" s="115"/>
      <c r="W1316" s="115"/>
      <c r="X1316" s="115"/>
      <c r="Y1316" s="114"/>
      <c r="Z1316" s="114"/>
      <c r="AA1316" s="114"/>
      <c r="AB1316" s="114"/>
      <c r="AC1316" s="114"/>
      <c r="AD1316" s="114"/>
      <c r="AE1316" s="114"/>
      <c r="AF1316" s="114"/>
    </row>
    <row r="1317" spans="1:32" ht="12.75" customHeight="1">
      <c r="A1317" s="5" t="s">
        <v>1228</v>
      </c>
      <c r="B1317" s="290" t="s">
        <v>1126</v>
      </c>
      <c r="C1317" s="291"/>
      <c r="D1317" s="291"/>
      <c r="E1317" s="291"/>
      <c r="F1317" s="291"/>
      <c r="G1317" s="292"/>
      <c r="H1317" s="5">
        <v>1</v>
      </c>
      <c r="I1317" s="5">
        <v>2</v>
      </c>
      <c r="J1317" s="5">
        <v>3</v>
      </c>
      <c r="K1317" s="5">
        <v>4</v>
      </c>
      <c r="L1317" s="5">
        <v>5</v>
      </c>
      <c r="M1317" s="271"/>
      <c r="N1317" s="272"/>
      <c r="O1317" s="272"/>
      <c r="P1317" s="273"/>
      <c r="Q1317" s="8"/>
      <c r="S1317" s="24"/>
      <c r="T1317" s="26"/>
    </row>
    <row r="1318" spans="1:32" ht="12.75" customHeight="1">
      <c r="A1318" s="300" t="str">
        <f>B1284</f>
        <v>A</v>
      </c>
      <c r="B1318" s="311" t="str">
        <f ca="1">IF($B1290&lt;&gt;"",$B1290,"")</f>
        <v/>
      </c>
      <c r="C1318" s="312"/>
      <c r="D1318" s="312"/>
      <c r="E1318" s="312"/>
      <c r="F1318" s="312"/>
      <c r="G1318" s="313"/>
      <c r="H1318" s="265"/>
      <c r="I1318" s="265"/>
      <c r="J1318" s="265"/>
      <c r="K1318" s="265"/>
      <c r="L1318" s="265" t="str">
        <f ca="1">IF($B1311&lt;&gt;"",IF(AND($B1311="Missing Player",$G1322=2,$J1322=2),0,IF(AND($B1313="Missing Player",$G1322=2,$J1322=2),11,"")),"")</f>
        <v/>
      </c>
      <c r="M1318" s="262" t="str">
        <f ca="1">IF(OR(AND($B1318&lt;&gt;"",$B1319&lt;&gt;"",$B1318=$B1319),AND($B1320&lt;&gt;"",$B1321&lt;&gt;"",$B1320=$B1321)),"Invalid Partner","")</f>
        <v/>
      </c>
      <c r="N1318" s="263"/>
      <c r="O1318" s="263"/>
      <c r="P1318" s="264"/>
      <c r="Q1318" s="138" t="str">
        <f ca="1">IF(L1318=L1320,IF(K1318=K1320,IF(J1318&lt;&gt;"",IF(J1318&gt;J1320,"W","L"),""),IF(K1318&gt;K1320,"W","L")),IF(L1318&gt;L1320,"W","L"))</f>
        <v/>
      </c>
      <c r="S1318" s="24"/>
      <c r="T1318" s="26"/>
    </row>
    <row r="1319" spans="1:32" ht="12.75" customHeight="1">
      <c r="A1319" s="324"/>
      <c r="B1319" s="308" t="str">
        <f ca="1">IF($B1311="Missing Player",$B1311,"")</f>
        <v/>
      </c>
      <c r="C1319" s="309"/>
      <c r="D1319" s="309"/>
      <c r="E1319" s="309"/>
      <c r="F1319" s="309"/>
      <c r="G1319" s="310"/>
      <c r="H1319" s="270"/>
      <c r="I1319" s="270"/>
      <c r="J1319" s="270"/>
      <c r="K1319" s="270"/>
      <c r="L1319" s="270"/>
      <c r="M1319" s="262"/>
      <c r="N1319" s="263"/>
      <c r="O1319" s="263"/>
      <c r="P1319" s="264"/>
      <c r="Q1319" s="139" t="str">
        <f ca="1">IF($Q1318&lt;&gt;"",IF($B1321&lt;&gt;"Missing Player",IF($Q1318="W",IF(SUM(IF($H1318&gt;$H1320,1,0),IF($I1318&gt;$I1320,1,0),IF($J1318&gt;$J1320,1,0),IF($K1318&gt;$K1320,1,0),IF($L1318&gt;$L1320,1,0))&lt;&gt;3,"Error",""),""),""),"")</f>
        <v/>
      </c>
      <c r="R1319" s="328" t="str">
        <f>$A1285</f>
        <v/>
      </c>
      <c r="S1319" s="328"/>
      <c r="T1319" s="328"/>
      <c r="U1319" s="328"/>
      <c r="V1319" s="328"/>
      <c r="W1319" s="328"/>
      <c r="X1319" s="256" t="str">
        <f>CONCATENATE("(",$B1284," vs ",$K1284,")")</f>
        <v>(A vs L)</v>
      </c>
      <c r="Y1319" s="256"/>
      <c r="Z1319" s="328" t="str">
        <f>$J1285</f>
        <v/>
      </c>
      <c r="AA1319" s="328"/>
      <c r="AB1319" s="328"/>
      <c r="AC1319" s="328"/>
      <c r="AD1319" s="328"/>
      <c r="AE1319" s="328"/>
      <c r="AF1319" s="43"/>
    </row>
    <row r="1320" spans="1:32" ht="12.75" customHeight="1">
      <c r="A1320" s="325" t="str">
        <f>K1284</f>
        <v>L</v>
      </c>
      <c r="B1320" s="311" t="str">
        <f ca="1">IF($B1292&lt;&gt;"",$B1292,"")</f>
        <v/>
      </c>
      <c r="C1320" s="312"/>
      <c r="D1320" s="312"/>
      <c r="E1320" s="312"/>
      <c r="F1320" s="312"/>
      <c r="G1320" s="313"/>
      <c r="H1320" s="265"/>
      <c r="I1320" s="265"/>
      <c r="J1320" s="265"/>
      <c r="K1320" s="265"/>
      <c r="L1320" s="265" t="str">
        <f ca="1">IF($B1313&lt;&gt;"",IF(AND($B1313="Missing Player",$G1322=2,$J1322=2),0,IF(AND($B1311="Missing Player",$G1322=2,$J1322=2),11,"")),"")</f>
        <v/>
      </c>
      <c r="M1320" s="267" t="s">
        <v>1237</v>
      </c>
      <c r="N1320" s="268"/>
      <c r="O1320" s="268"/>
      <c r="P1320" s="269"/>
      <c r="Q1320" s="138" t="str">
        <f ca="1">IF(Q1318&lt;&gt;"",IF(Q1318="W","L","W"),"")</f>
        <v/>
      </c>
      <c r="R1320" s="43"/>
      <c r="S1320" s="43"/>
      <c r="T1320" s="43"/>
      <c r="U1320" s="43"/>
      <c r="V1320" s="43"/>
      <c r="W1320" s="43"/>
      <c r="X1320" s="43"/>
      <c r="Y1320" s="43"/>
      <c r="Z1320" s="43"/>
      <c r="AA1320" s="43"/>
      <c r="AB1320" s="43"/>
      <c r="AC1320" s="43"/>
      <c r="AD1320" s="43"/>
      <c r="AE1320" s="43"/>
      <c r="AF1320" s="43"/>
    </row>
    <row r="1321" spans="1:32" ht="12.75" customHeight="1">
      <c r="A1321" s="324"/>
      <c r="B1321" s="308" t="str">
        <f ca="1">IF($B1313="Missing Player",$B1313,"")</f>
        <v/>
      </c>
      <c r="C1321" s="309"/>
      <c r="D1321" s="309"/>
      <c r="E1321" s="309"/>
      <c r="F1321" s="309"/>
      <c r="G1321" s="310"/>
      <c r="H1321" s="270"/>
      <c r="I1321" s="270"/>
      <c r="J1321" s="266"/>
      <c r="K1321" s="266"/>
      <c r="L1321" s="266"/>
      <c r="M1321" s="267"/>
      <c r="N1321" s="268"/>
      <c r="O1321" s="268"/>
      <c r="P1321" s="269"/>
      <c r="Q1321" s="139" t="str">
        <f ca="1">IF($Q1320&lt;&gt;"",IF($B1319&lt;&gt;"Missing Player",IF($Q1320="W",IF(SUM(IF($H1320&gt;$H1318,1,0),IF($I1320&gt;$I1318,1,0),IF($J1320&gt;$J1318,1,0),IF($K1320&gt;$K1318,1,0),IF($L1320&gt;$L1318,1,0))&lt;&gt;3,"Error",""),""),""),"")</f>
        <v/>
      </c>
      <c r="R1321" s="43" t="str">
        <f>A1309</f>
        <v>4th Singles</v>
      </c>
      <c r="S1321" s="43"/>
      <c r="T1321" s="43"/>
      <c r="U1321" s="43"/>
      <c r="V1321" s="43"/>
      <c r="W1321" s="43"/>
      <c r="X1321" s="43"/>
      <c r="Y1321" s="43"/>
      <c r="Z1321" s="43"/>
      <c r="AA1321" s="43"/>
      <c r="AB1321" s="43"/>
      <c r="AC1321" s="43"/>
      <c r="AD1321" s="43"/>
      <c r="AE1321" s="43"/>
      <c r="AF1321" s="43"/>
    </row>
    <row r="1322" spans="1:32" ht="12.75" customHeight="1">
      <c r="G1322" s="66">
        <f ca="1">COUNTIF($Q1290:$Q1290,"W")+COUNTIF($Q1297:$Q1297,"W")+COUNTIF($Q1304:$Q1304,"W")+COUNTIF($Q1311:$Q1311,"W")</f>
        <v>0</v>
      </c>
      <c r="J1322" s="66">
        <f ca="1">COUNTIF($Q1292:$Q1292,"W")+COUNTIF($Q1299:$Q1299,"W")+COUNTIF($Q1306:$Q1306,"W")+COUNTIF($Q1313:$Q1313,"W")</f>
        <v>0</v>
      </c>
      <c r="R1322" s="60" t="s">
        <v>1228</v>
      </c>
      <c r="S1322" s="339" t="s">
        <v>1126</v>
      </c>
      <c r="T1322" s="340"/>
      <c r="U1322" s="340"/>
      <c r="V1322" s="340"/>
      <c r="W1322" s="340"/>
      <c r="X1322" s="341"/>
      <c r="Y1322" s="60">
        <v>1</v>
      </c>
      <c r="Z1322" s="60">
        <v>2</v>
      </c>
      <c r="AA1322" s="60">
        <v>3</v>
      </c>
      <c r="AB1322" s="60">
        <v>4</v>
      </c>
      <c r="AC1322" s="60">
        <v>5</v>
      </c>
      <c r="AD1322" s="342"/>
      <c r="AE1322" s="343"/>
      <c r="AF1322" s="344"/>
    </row>
    <row r="1323" spans="1:32" ht="12.75" customHeight="1" thickBot="1">
      <c r="F1323" s="246" t="s">
        <v>1238</v>
      </c>
      <c r="G1323" s="246"/>
      <c r="H1323" s="246"/>
      <c r="I1323" s="246"/>
      <c r="J1323" s="246"/>
      <c r="K1323" s="246"/>
      <c r="R1323" s="300" t="str">
        <f>B1284</f>
        <v>A</v>
      </c>
      <c r="S1323" s="331" t="str">
        <f ca="1">IF($B1311&lt;&gt;"",$B1311,"")</f>
        <v/>
      </c>
      <c r="T1323" s="353"/>
      <c r="U1323" s="353"/>
      <c r="V1323" s="353"/>
      <c r="W1323" s="353"/>
      <c r="X1323" s="354"/>
      <c r="Y1323" s="329"/>
      <c r="Z1323" s="329"/>
      <c r="AA1323" s="351"/>
      <c r="AB1323" s="351"/>
      <c r="AC1323" s="351"/>
      <c r="AD1323" s="345"/>
      <c r="AE1323" s="346"/>
      <c r="AF1323" s="347"/>
    </row>
    <row r="1324" spans="1:32" ht="12.75" customHeight="1">
      <c r="A1324" s="22"/>
      <c r="B1324" s="22"/>
      <c r="C1324" s="22"/>
      <c r="D1324" s="22"/>
      <c r="E1324" s="22"/>
      <c r="G1324" s="304" t="str">
        <f>B1284</f>
        <v>A</v>
      </c>
      <c r="H1324" s="305"/>
      <c r="I1324" s="302" t="str">
        <f>K1284</f>
        <v>L</v>
      </c>
      <c r="J1324" s="303"/>
      <c r="L1324" s="22"/>
      <c r="M1324" s="22"/>
      <c r="N1324" s="22"/>
      <c r="O1324" s="22"/>
      <c r="P1324" s="22"/>
      <c r="R1324" s="301"/>
      <c r="S1324" s="355"/>
      <c r="T1324" s="356"/>
      <c r="U1324" s="356"/>
      <c r="V1324" s="356"/>
      <c r="W1324" s="356"/>
      <c r="X1324" s="357"/>
      <c r="Y1324" s="338"/>
      <c r="Z1324" s="338"/>
      <c r="AA1324" s="352"/>
      <c r="AB1324" s="352"/>
      <c r="AC1324" s="352"/>
      <c r="AD1324" s="348"/>
      <c r="AE1324" s="349"/>
      <c r="AF1324" s="350"/>
    </row>
    <row r="1325" spans="1:32" ht="12.75" customHeight="1" thickBot="1">
      <c r="A1325" s="2" t="s">
        <v>1228</v>
      </c>
      <c r="B1325" s="53" t="str">
        <f>B1284</f>
        <v>A</v>
      </c>
      <c r="C1325" s="3" t="s">
        <v>1226</v>
      </c>
      <c r="F1325" s="66" t="str">
        <f>CONCATENATE($B1284,"-",$K1284)</f>
        <v>A-L</v>
      </c>
      <c r="G1325" s="320" t="str">
        <f ca="1">IF(OR(Q1290&lt;&gt;"",Q1297&lt;&gt;"",Q1304&lt;&gt;"",Q1311&lt;&gt;"",Q1318&lt;&gt;""),COUNTIF(Q1290:Q1290,"W")+COUNTIF(Q1297:Q1297,"W")+COUNTIF(Q1304:Q1304,"W")+COUNTIF(Q1311:Q1311,"W")+COUNTIF(Q1318:Q1318,"W"),"")</f>
        <v/>
      </c>
      <c r="H1325" s="321"/>
      <c r="I1325" s="322" t="str">
        <f ca="1">IF(OR(Q1292&lt;&gt;"",Q1299&lt;&gt;"",Q1306&lt;&gt;"",Q1313&lt;&gt;"",Q1320&lt;&gt;""),COUNTIF(Q1292:Q1292,"W")+COUNTIF(Q1299:Q1299,"W")+COUNTIF(Q1306:Q1306,"W")+COUNTIF(Q1313:Q1313,"W")+COUNTIF(Q1320:Q1320,"W"),"")</f>
        <v/>
      </c>
      <c r="J1325" s="323"/>
      <c r="L1325" s="2" t="s">
        <v>1228</v>
      </c>
      <c r="M1325" s="53" t="str">
        <f>K1284</f>
        <v>L</v>
      </c>
      <c r="N1325" s="3" t="s">
        <v>1226</v>
      </c>
      <c r="R1325" s="300" t="str">
        <f>K1284</f>
        <v>L</v>
      </c>
      <c r="S1325" s="331" t="str">
        <f ca="1">IF($B1313&lt;&gt;"",$B1313,"")</f>
        <v/>
      </c>
      <c r="T1325" s="332"/>
      <c r="U1325" s="332"/>
      <c r="V1325" s="332"/>
      <c r="W1325" s="332"/>
      <c r="X1325" s="333"/>
      <c r="Y1325" s="329"/>
      <c r="Z1325" s="329"/>
      <c r="AA1325" s="351"/>
      <c r="AB1325" s="351"/>
      <c r="AC1325" s="351"/>
      <c r="AD1325" s="363" t="s">
        <v>1237</v>
      </c>
      <c r="AE1325" s="358"/>
      <c r="AF1325" s="359"/>
    </row>
    <row r="1326" spans="1:32" ht="12.75" customHeight="1">
      <c r="F1326" s="25" t="s">
        <v>3996</v>
      </c>
      <c r="G1326" s="23"/>
      <c r="H1326" s="23"/>
      <c r="I1326" s="23"/>
      <c r="J1326" s="23"/>
      <c r="K1326" s="24"/>
      <c r="R1326" s="330"/>
      <c r="S1326" s="334"/>
      <c r="T1326" s="335"/>
      <c r="U1326" s="335"/>
      <c r="V1326" s="335"/>
      <c r="W1326" s="335"/>
      <c r="X1326" s="336"/>
      <c r="Y1326" s="330"/>
      <c r="Z1326" s="330"/>
      <c r="AA1326" s="330"/>
      <c r="AB1326" s="330"/>
      <c r="AC1326" s="330"/>
      <c r="AD1326" s="360"/>
      <c r="AE1326" s="361"/>
      <c r="AF1326" s="362"/>
    </row>
    <row r="1327" spans="1:32" ht="12.75" customHeight="1">
      <c r="R1327" s="1"/>
      <c r="S1327" s="110"/>
      <c r="T1327" s="110"/>
      <c r="U1327" s="110"/>
      <c r="V1327" s="110"/>
      <c r="W1327" s="110"/>
      <c r="X1327" s="111"/>
      <c r="Y1327" s="111"/>
      <c r="Z1327" s="111"/>
      <c r="AA1327" s="111"/>
    </row>
    <row r="1328" spans="1:32" ht="12.75" customHeight="1">
      <c r="F1328" s="246" t="s">
        <v>4929</v>
      </c>
      <c r="G1328" s="246"/>
      <c r="H1328" s="246"/>
      <c r="I1328" s="246"/>
      <c r="R1328" s="1"/>
      <c r="S1328" s="110"/>
      <c r="T1328" s="110"/>
      <c r="U1328" s="110"/>
      <c r="V1328" s="110"/>
      <c r="W1328" s="110"/>
      <c r="X1328" s="111"/>
      <c r="Y1328" s="111"/>
      <c r="Z1328" s="111"/>
      <c r="AA1328" s="111"/>
    </row>
    <row r="1329" spans="1:32" ht="12.75" customHeight="1">
      <c r="F1329" s="246" t="s">
        <v>4930</v>
      </c>
      <c r="G1329" s="246"/>
      <c r="H1329" s="246"/>
      <c r="I1329" s="246"/>
      <c r="R1329" s="1"/>
      <c r="S1329" s="110"/>
      <c r="T1329" s="110"/>
      <c r="U1329" s="110"/>
      <c r="V1329" s="110"/>
      <c r="W1329" s="110"/>
      <c r="X1329" s="111"/>
      <c r="Y1329" s="111"/>
      <c r="Z1329" s="111"/>
      <c r="AA1329" s="111"/>
    </row>
    <row r="1330" spans="1:32" ht="12.75" customHeight="1">
      <c r="K1330" s="281" t="s">
        <v>1244</v>
      </c>
      <c r="L1330" s="281"/>
      <c r="M1330" s="281"/>
      <c r="N1330" s="281"/>
      <c r="O1330" s="281"/>
      <c r="P1330" s="281"/>
      <c r="R1330" s="1"/>
      <c r="S1330" s="110"/>
      <c r="T1330" s="110"/>
      <c r="U1330" s="110"/>
      <c r="V1330" s="110"/>
      <c r="W1330" s="110"/>
      <c r="X1330" s="111"/>
      <c r="Y1330" s="111"/>
      <c r="Z1330" s="111"/>
      <c r="AA1330" s="111"/>
    </row>
    <row r="1331" spans="1:32" ht="12.75" customHeight="1">
      <c r="A1331" s="12" t="s">
        <v>1229</v>
      </c>
      <c r="B1331" s="11"/>
      <c r="C1331" s="11"/>
      <c r="D1331" s="11" t="str">
        <f>Draw!$B$1</f>
        <v>Enter Division Name</v>
      </c>
      <c r="E1331" s="11"/>
      <c r="F1331" s="7"/>
      <c r="G1331" s="6"/>
      <c r="H1331" s="7"/>
      <c r="I1331" s="11"/>
      <c r="J1331" s="11"/>
      <c r="K1331" s="11"/>
      <c r="L1331" s="11"/>
      <c r="M1331" s="281"/>
      <c r="N1331" s="281"/>
      <c r="O1331" s="281"/>
      <c r="P1331" s="281"/>
      <c r="R1331" s="1"/>
      <c r="S1331" s="110"/>
      <c r="T1331" s="110"/>
      <c r="U1331" s="110"/>
      <c r="V1331" s="110"/>
      <c r="W1331" s="110"/>
      <c r="X1331" s="111"/>
      <c r="Y1331" s="111"/>
      <c r="Z1331" s="111"/>
      <c r="AA1331" s="111"/>
    </row>
    <row r="1332" spans="1:32" ht="12.75" customHeight="1">
      <c r="A1332" s="2" t="s">
        <v>1230</v>
      </c>
      <c r="D1332" s="43" t="str">
        <f>Draw!$D$1</f>
        <v>Enter Hosting Location (City, ST)</v>
      </c>
      <c r="J1332" s="43" t="str">
        <f ca="1">$J$6</f>
        <v>[NCTTA Teams Template (v2.06).xlsx]</v>
      </c>
      <c r="R1332" s="1"/>
      <c r="S1332" s="110"/>
      <c r="T1332" s="110"/>
      <c r="U1332" s="110"/>
      <c r="V1332" s="110"/>
      <c r="W1332" s="110"/>
      <c r="X1332" s="111"/>
      <c r="Y1332" s="111"/>
      <c r="Z1332" s="111"/>
      <c r="AA1332" s="111"/>
    </row>
    <row r="1333" spans="1:32" ht="12.75" customHeight="1">
      <c r="A1333" s="2" t="s">
        <v>1231</v>
      </c>
      <c r="D1333" s="337" t="str">
        <f>Draw!$P$1</f>
        <v>Enter Date</v>
      </c>
      <c r="E1333" s="337"/>
      <c r="F1333" s="337"/>
      <c r="G1333" s="337"/>
      <c r="J1333" s="280" t="str">
        <f>CHOOSE(Draw!$T$1,"Round 5, Match 3","Round 4, Match 6","","","","","","Round 7, Match 3","Round 7, Match 3","Round 6, Match 2","Round 6, Match 2")</f>
        <v/>
      </c>
      <c r="K1333" s="280"/>
      <c r="L1333" s="280"/>
      <c r="M1333" s="276" t="str">
        <f>IF(AND($J1333&lt;&gt;"",Draw!$AC$10&lt;&gt;"",Draw!$AC$13&lt;&gt;""),Draw!$AC$10+TIME(0,VALUE(MID($J1333,7,FIND(",",$J1333)-FIND(" ",$J1333)-1)-1)*Draw!$AC$13,0),"")</f>
        <v/>
      </c>
      <c r="N1333" s="276"/>
      <c r="O1333" s="157" t="str">
        <f>$F1376</f>
        <v>B-E</v>
      </c>
      <c r="R1333" s="1"/>
      <c r="S1333" s="110"/>
      <c r="T1333" s="110"/>
      <c r="U1333" s="110"/>
      <c r="V1333" s="110"/>
      <c r="W1333" s="110"/>
      <c r="X1333" s="111"/>
      <c r="Y1333" s="111"/>
      <c r="Z1333" s="111"/>
      <c r="AA1333" s="111"/>
    </row>
    <row r="1334" spans="1:32" ht="12.75" customHeight="1">
      <c r="A1334" s="14"/>
      <c r="B1334" s="15"/>
      <c r="C1334" s="15"/>
      <c r="D1334" s="15"/>
      <c r="E1334" s="15"/>
      <c r="F1334" s="14"/>
      <c r="G1334" s="14"/>
      <c r="H1334" s="16"/>
      <c r="I1334" s="14"/>
      <c r="J1334" s="15"/>
      <c r="K1334" s="15"/>
      <c r="L1334" s="15"/>
      <c r="M1334" s="15"/>
      <c r="N1334" s="15"/>
      <c r="O1334" s="364" t="str">
        <f>IF(OR(AND(VLOOKUP($B1335,$AM$1:$AX$12,12,FALSE)="C",VLOOKUP($K1335,$AM$1:$AX$12,12,FALSE)="C"),AND(VLOOKUP($B1335,$AM$1:$AX$12,12,FALSE)="W",VLOOKUP($K1335,$AM$1:$AX$12,12,FALSE)="W")),"Official",IF(AND($A1336="",$J1336=""),"","Scrimmage"))</f>
        <v/>
      </c>
      <c r="P1334" s="364"/>
      <c r="R1334" s="1"/>
      <c r="S1334" s="110"/>
      <c r="T1334" s="110"/>
      <c r="U1334" s="110"/>
      <c r="V1334" s="110"/>
      <c r="W1334" s="110"/>
      <c r="X1334" s="111"/>
      <c r="Y1334" s="111"/>
      <c r="Z1334" s="111"/>
      <c r="AA1334" s="111"/>
    </row>
    <row r="1335" spans="1:32" ht="12.75" customHeight="1">
      <c r="A1335" s="17" t="s">
        <v>1228</v>
      </c>
      <c r="B1335" s="119" t="str">
        <f>CHOOSE(Draw!$T$1,"D","J","B","B","C","B","B","D","F","C","F")</f>
        <v>B</v>
      </c>
      <c r="C1335" s="135">
        <f>VLOOKUP($B1335,$AM$1:$AN$12,2)</f>
        <v>2</v>
      </c>
      <c r="D1335" s="13"/>
      <c r="E1335" s="13"/>
      <c r="F1335" s="10"/>
      <c r="H1335" s="19" t="s">
        <v>1232</v>
      </c>
      <c r="J1335" s="17" t="s">
        <v>1228</v>
      </c>
      <c r="K1335" s="119" t="str">
        <f>CHOOSE(Draw!$T$1,"K","K","E","I","H","L","H","H","I","E","H")</f>
        <v>E</v>
      </c>
      <c r="L1335" s="135">
        <f>VLOOKUP($K1335,$AM$1:$AN$12,2)</f>
        <v>5</v>
      </c>
      <c r="M1335" s="13"/>
      <c r="N1335" s="13"/>
      <c r="O1335" s="18"/>
      <c r="P1335" s="274"/>
      <c r="Q1335" s="275"/>
      <c r="R1335" s="1"/>
      <c r="S1335" s="110"/>
      <c r="T1335" s="110"/>
      <c r="U1335" s="110"/>
      <c r="V1335" s="110"/>
      <c r="W1335" s="110"/>
      <c r="X1335" s="111"/>
      <c r="Y1335" s="111"/>
      <c r="Z1335" s="111"/>
      <c r="AA1335" s="111"/>
    </row>
    <row r="1336" spans="1:32" ht="12.75" customHeight="1">
      <c r="A1336" s="277" t="str">
        <f>IF(VLOOKUP($B1335,Draw!$A$4:$B$27,2)&lt;&gt;0,VLOOKUP($B1335,Draw!$A$4:$B$27,2),"")</f>
        <v/>
      </c>
      <c r="B1336" s="278"/>
      <c r="C1336" s="278"/>
      <c r="D1336" s="278"/>
      <c r="E1336" s="278"/>
      <c r="F1336" s="279"/>
      <c r="G1336" s="306" t="s">
        <v>4178</v>
      </c>
      <c r="H1336" s="289"/>
      <c r="I1336" s="307"/>
      <c r="J1336" s="277" t="str">
        <f>IF(VLOOKUP($K1335,Draw!$A$4:$B$27,2)&lt;&gt;0,VLOOKUP($K1335,Draw!$A$4:$B$27,2),"")</f>
        <v/>
      </c>
      <c r="K1336" s="278"/>
      <c r="L1336" s="278"/>
      <c r="M1336" s="278"/>
      <c r="N1336" s="278"/>
      <c r="O1336" s="279"/>
      <c r="P1336" s="15"/>
      <c r="R1336" s="1"/>
      <c r="S1336" s="110"/>
      <c r="T1336" s="110"/>
      <c r="U1336" s="110"/>
      <c r="V1336" s="110"/>
      <c r="W1336" s="110"/>
      <c r="X1336" s="111"/>
      <c r="Y1336" s="111"/>
      <c r="Z1336" s="111"/>
      <c r="AA1336" s="111"/>
    </row>
    <row r="1337" spans="1:32" ht="12.75" customHeight="1">
      <c r="A1337" s="14"/>
      <c r="B1337" s="15"/>
      <c r="C1337" s="15"/>
      <c r="D1337" s="15"/>
      <c r="E1337" s="15"/>
      <c r="F1337" s="14"/>
      <c r="G1337" s="288" t="str">
        <f>"Page "&amp;VALUE(RIGHT($G1336,LEN($G1336)-SEARCH("-",$G1336)))/2</f>
        <v>Page 27</v>
      </c>
      <c r="H1337" s="289"/>
      <c r="I1337" s="289"/>
      <c r="J1337" s="15"/>
      <c r="K1337" s="15"/>
      <c r="L1337" s="15"/>
      <c r="M1337" s="15"/>
      <c r="N1337" s="15"/>
      <c r="O1337" s="15"/>
      <c r="P1337" s="15"/>
      <c r="R1337" s="1"/>
      <c r="S1337" s="110"/>
      <c r="T1337" s="110"/>
      <c r="U1337" s="110"/>
      <c r="V1337" s="110"/>
      <c r="W1337" s="110"/>
      <c r="X1337" s="111"/>
      <c r="Y1337" s="111"/>
      <c r="Z1337" s="111"/>
      <c r="AA1337" s="111"/>
      <c r="AF1337" s="27"/>
    </row>
    <row r="1338" spans="1:32" ht="12.75" customHeight="1">
      <c r="A1338" s="327" t="s">
        <v>1245</v>
      </c>
      <c r="B1338" s="327"/>
      <c r="C1338" s="327"/>
      <c r="D1338" s="327"/>
      <c r="E1338" s="327"/>
      <c r="F1338" s="327"/>
      <c r="G1338" s="327"/>
      <c r="H1338" s="327"/>
      <c r="I1338" s="327"/>
      <c r="J1338" s="327"/>
      <c r="K1338" s="327"/>
      <c r="L1338" s="327"/>
      <c r="M1338" s="327"/>
      <c r="N1338" s="327"/>
      <c r="O1338" s="327"/>
      <c r="P1338" s="327"/>
      <c r="Q1338" s="7"/>
      <c r="R1338" s="1"/>
      <c r="S1338" s="110"/>
      <c r="T1338" s="110"/>
      <c r="U1338" s="110"/>
      <c r="V1338" s="110"/>
      <c r="W1338" s="110"/>
      <c r="X1338" s="111"/>
      <c r="Y1338" s="111"/>
      <c r="Z1338" s="111"/>
      <c r="AA1338" s="111"/>
      <c r="AF1338" s="20"/>
    </row>
    <row r="1339" spans="1:32" ht="12.75" customHeight="1">
      <c r="A1339" s="21" t="s">
        <v>1233</v>
      </c>
      <c r="H1339" s="136" t="str">
        <f>IF($Q1341&lt;&gt;"",IF(AND(AND($H1341&gt;-1,$H1343&gt;-1),OR($H1341&gt;10,$H1343&gt;10),ABS($H1341-$H1343)&gt;1,IF(OR($H1341&gt;11,$H1343&gt;11),ABS($H1341-$H1343)=2,TRUE),$H1341=INT($H1341),$H1343=INT($H1343)),"","Error"),"")</f>
        <v/>
      </c>
      <c r="I1339" s="136" t="str">
        <f>IF($Q1341&lt;&gt;"",IF(AND(AND($I1341&gt;-1,$I1343&gt;-1),OR($I1341&gt;10,$I1343&gt;10),ABS($I1341-$I1343)&gt;1,IF(OR($I1341&gt;11,$I1343&gt;11),ABS($I1341-$I1343)=2,TRUE),$I1341=INT($I1341),$I1343=INT($I1343)),"","Error"),"")</f>
        <v/>
      </c>
      <c r="J1339" s="136" t="str">
        <f>IF($Q1341&lt;&gt;"",IF(AND(AND($J1341&gt;-1,$J1343&gt;-1),OR($J1341&gt;10,$J1343&gt;10),ABS($J1341-$J1343)&gt;1,IF(OR($J1341&gt;11,$J1343&gt;11),ABS($J1341-$J1343)=2,TRUE),$J1341=INT($J1341),$J1343=INT($J1343)),"","Error"),"")</f>
        <v/>
      </c>
      <c r="K1339" s="136" t="str">
        <f>IF($Q1341&lt;&gt;"",IF(AND($K1341&lt;&gt;"",$K1343&lt;&gt;""), IF(AND(AND($K1341&gt;-1,$K1343&gt;-1),OR($K1341&gt;10,$K1343&gt;10),ABS($K1341-$K1343)&gt;1,IF(OR($K1341&gt;11,$K1343&gt;11),ABS($K1341-$K1343)=2,TRUE),$K1341=INT($K1341),$K1343=INT($K1343)),"","Error"),""),"")</f>
        <v/>
      </c>
      <c r="L1339" s="136" t="str">
        <f>IF($Q1341&lt;&gt;"",IF(AND($L1341&lt;&gt;"",$L1343&lt;&gt;""), IF(AND(AND($L1341&gt;-1,$L1343&gt;-1),OR($L1341&gt;10,$L1343&gt;10),ABS($L1341-$L1343)&gt;1,IF(OR($L1341&gt;11,$L1343&gt;11),ABS($L1341-$L1343)=2,TRUE),$L1341=INT($L1341),$L1343=INT($L1343)),"","Error"),""),"")</f>
        <v/>
      </c>
      <c r="R1339" s="1"/>
      <c r="S1339" s="110"/>
      <c r="T1339" s="110"/>
      <c r="U1339" s="110"/>
      <c r="V1339" s="110"/>
      <c r="W1339" s="110"/>
      <c r="X1339" s="111"/>
      <c r="Y1339" s="111"/>
      <c r="Z1339" s="111"/>
      <c r="AA1339" s="111"/>
    </row>
    <row r="1340" spans="1:32" ht="12.75" customHeight="1">
      <c r="A1340" s="5" t="s">
        <v>1228</v>
      </c>
      <c r="B1340" s="290" t="s">
        <v>1126</v>
      </c>
      <c r="C1340" s="291"/>
      <c r="D1340" s="291"/>
      <c r="E1340" s="291"/>
      <c r="F1340" s="291"/>
      <c r="G1340" s="292"/>
      <c r="H1340" s="5">
        <v>1</v>
      </c>
      <c r="I1340" s="5">
        <v>2</v>
      </c>
      <c r="J1340" s="5">
        <v>3</v>
      </c>
      <c r="K1340" s="5">
        <v>4</v>
      </c>
      <c r="L1340" s="5">
        <v>5</v>
      </c>
      <c r="M1340" s="271"/>
      <c r="N1340" s="272"/>
      <c r="O1340" s="272"/>
      <c r="P1340" s="273"/>
      <c r="R1340" s="1"/>
      <c r="S1340" s="110"/>
      <c r="T1340" s="110"/>
      <c r="U1340" s="110"/>
      <c r="V1340" s="110"/>
      <c r="W1340" s="110"/>
      <c r="X1340" s="111"/>
      <c r="Y1340" s="111"/>
      <c r="Z1340" s="111"/>
      <c r="AA1340" s="111"/>
    </row>
    <row r="1341" spans="1:32" ht="12.75" customHeight="1">
      <c r="A1341" s="300" t="str">
        <f>B1335</f>
        <v>B</v>
      </c>
      <c r="B1341" s="293" t="str">
        <f ca="1">IF(AND(OFFSET($AO$1,$C1335-1,8,1,1),$A1336&lt;&gt;"",$J1336&lt;&gt;""),CHOOSE($C1335,$AO$1,$AO$2,$AO$3,$AO$4,$AO$5,$AO$6,$AO$7,$AO$8,$AO$9,$AO$10,$AO$11,$AO$12),"")</f>
        <v/>
      </c>
      <c r="C1341" s="294"/>
      <c r="D1341" s="294"/>
      <c r="E1341" s="294"/>
      <c r="F1341" s="294"/>
      <c r="G1341" s="294"/>
      <c r="H1341" s="265"/>
      <c r="I1341" s="265"/>
      <c r="J1341" s="265"/>
      <c r="K1341" s="265"/>
      <c r="L1341" s="265"/>
      <c r="M1341" s="297"/>
      <c r="N1341" s="298"/>
      <c r="O1341" s="298"/>
      <c r="P1341" s="299"/>
      <c r="Q1341" s="137" t="str">
        <f>IF($L1341=$L1343,IF($K1341=$K1343,IF($J1341&lt;&gt;"",IF($J1341&gt;$J1343,"W","L"),""),IF($K1341&gt;$K1343,"W","L")),IF($L1341&gt;$L1343,"W","L"))</f>
        <v/>
      </c>
      <c r="R1341" s="1"/>
      <c r="S1341" s="110"/>
      <c r="T1341" s="110"/>
      <c r="U1341" s="110"/>
      <c r="V1341" s="110"/>
      <c r="W1341" s="110"/>
      <c r="X1341" s="111"/>
      <c r="Y1341" s="111"/>
      <c r="Z1341" s="111"/>
      <c r="AA1341" s="111"/>
    </row>
    <row r="1342" spans="1:32" ht="12.75" customHeight="1">
      <c r="A1342" s="301"/>
      <c r="B1342" s="295"/>
      <c r="C1342" s="296"/>
      <c r="D1342" s="296"/>
      <c r="E1342" s="296"/>
      <c r="F1342" s="296"/>
      <c r="G1342" s="296"/>
      <c r="H1342" s="270"/>
      <c r="I1342" s="270"/>
      <c r="J1342" s="270"/>
      <c r="K1342" s="270"/>
      <c r="L1342" s="270"/>
      <c r="M1342" s="297"/>
      <c r="N1342" s="298"/>
      <c r="O1342" s="298"/>
      <c r="P1342" s="299"/>
      <c r="Q1342" s="139" t="str">
        <f>IF($Q1341&lt;&gt;"",IF($Q1341="W",IF(SUM(IF($H1341&gt;$H1343,1,0),IF($I1341&gt;$I1343,1,0),IF($J1341&gt;$J1343,1,0),IF($K1341&gt;$K1343,1,0),IF($L1341&gt;$L1343,1,0))&lt;&gt;3,"Error",""),""),"")</f>
        <v/>
      </c>
      <c r="R1342" s="328" t="str">
        <f>$A1336</f>
        <v/>
      </c>
      <c r="S1342" s="328"/>
      <c r="T1342" s="328"/>
      <c r="U1342" s="328"/>
      <c r="V1342" s="328"/>
      <c r="W1342" s="328"/>
      <c r="X1342" s="256" t="str">
        <f>CONCATENATE("(",$B1335," vs ",$K1335,")")</f>
        <v>(B vs E)</v>
      </c>
      <c r="Y1342" s="256"/>
      <c r="Z1342" s="328" t="str">
        <f>$J1336</f>
        <v/>
      </c>
      <c r="AA1342" s="328"/>
      <c r="AB1342" s="328"/>
      <c r="AC1342" s="328"/>
      <c r="AD1342" s="328"/>
      <c r="AE1342" s="328"/>
      <c r="AF1342" s="43"/>
    </row>
    <row r="1343" spans="1:32" ht="12.75" customHeight="1">
      <c r="A1343" s="300" t="str">
        <f>K1335</f>
        <v>E</v>
      </c>
      <c r="B1343" s="293" t="str">
        <f ca="1">IF(AND(OFFSET($AO$1,$L1335-1,8,1,1),$A1336&lt;&gt;"",$J1336&lt;&gt;""),CHOOSE($L1335,$AO$1,$AO$2,$AO$3,$AO$4,$AO$5,$AO$6,$AO$7,$AO$8,$AO$9,$AO$10,$AO$11,$AO$12),"")</f>
        <v/>
      </c>
      <c r="C1343" s="294"/>
      <c r="D1343" s="294"/>
      <c r="E1343" s="294"/>
      <c r="F1343" s="294"/>
      <c r="G1343" s="294"/>
      <c r="H1343" s="265"/>
      <c r="I1343" s="265"/>
      <c r="J1343" s="265"/>
      <c r="K1343" s="265"/>
      <c r="L1343" s="265"/>
      <c r="M1343" s="267" t="s">
        <v>1237</v>
      </c>
      <c r="N1343" s="268"/>
      <c r="O1343" s="268"/>
      <c r="P1343" s="269"/>
      <c r="Q1343" s="137" t="str">
        <f>IF($Q1341&lt;&gt;"",IF($Q1341="W","L","W"),"")</f>
        <v/>
      </c>
      <c r="R1343" s="43"/>
      <c r="S1343" s="43"/>
      <c r="T1343" s="43"/>
      <c r="U1343" s="43"/>
      <c r="V1343" s="43"/>
      <c r="W1343" s="43"/>
      <c r="X1343" s="43"/>
      <c r="Y1343" s="43"/>
      <c r="Z1343" s="43"/>
      <c r="AA1343" s="43"/>
      <c r="AB1343" s="43"/>
      <c r="AC1343" s="43"/>
      <c r="AD1343" s="43"/>
      <c r="AE1343" s="43"/>
      <c r="AF1343" s="43"/>
    </row>
    <row r="1344" spans="1:32" ht="12.75" customHeight="1">
      <c r="A1344" s="301"/>
      <c r="B1344" s="295"/>
      <c r="C1344" s="296"/>
      <c r="D1344" s="296"/>
      <c r="E1344" s="296"/>
      <c r="F1344" s="296"/>
      <c r="G1344" s="296"/>
      <c r="H1344" s="270"/>
      <c r="I1344" s="270"/>
      <c r="J1344" s="266"/>
      <c r="K1344" s="266"/>
      <c r="L1344" s="266"/>
      <c r="M1344" s="267"/>
      <c r="N1344" s="268"/>
      <c r="O1344" s="268"/>
      <c r="P1344" s="269"/>
      <c r="Q1344" s="139" t="str">
        <f>IF($Q1343&lt;&gt;"",IF($Q1343="W",IF(SUM(IF($H1343&gt;$H1341,1,0),IF($I1343&gt;$I1341,1,0),IF($J1343&gt;$J1341,1,0),IF($K1343&gt;$K1341,1,0),IF($L1343&gt;$L1341,1,0))&lt;&gt;3,"Error",""),""),"")</f>
        <v/>
      </c>
      <c r="R1344" s="43" t="str">
        <f>$A1346</f>
        <v>2nd Singles</v>
      </c>
      <c r="S1344" s="43"/>
      <c r="T1344" s="43"/>
      <c r="U1344" s="43"/>
      <c r="V1344" s="43"/>
      <c r="W1344" s="43"/>
      <c r="X1344" s="43"/>
      <c r="Y1344" s="43"/>
      <c r="Z1344" s="43"/>
      <c r="AA1344" s="43"/>
      <c r="AB1344" s="43"/>
      <c r="AC1344" s="43"/>
      <c r="AD1344" s="43"/>
      <c r="AE1344" s="43"/>
      <c r="AF1344" s="43"/>
    </row>
    <row r="1345" spans="1:32" ht="12.75" customHeight="1">
      <c r="Q1345" s="7"/>
      <c r="R1345" s="60" t="s">
        <v>1228</v>
      </c>
      <c r="S1345" s="339" t="s">
        <v>1126</v>
      </c>
      <c r="T1345" s="340"/>
      <c r="U1345" s="340"/>
      <c r="V1345" s="340"/>
      <c r="W1345" s="340"/>
      <c r="X1345" s="341"/>
      <c r="Y1345" s="60">
        <v>1</v>
      </c>
      <c r="Z1345" s="60">
        <v>2</v>
      </c>
      <c r="AA1345" s="60">
        <v>3</v>
      </c>
      <c r="AB1345" s="60">
        <v>4</v>
      </c>
      <c r="AC1345" s="60">
        <v>5</v>
      </c>
      <c r="AD1345" s="342"/>
      <c r="AE1345" s="343"/>
      <c r="AF1345" s="344"/>
    </row>
    <row r="1346" spans="1:32" ht="12.75" customHeight="1">
      <c r="A1346" s="21" t="s">
        <v>1234</v>
      </c>
      <c r="H1346" s="136" t="str">
        <f>IF($Q1348&lt;&gt;"",IF(AND(AND($H1348&gt;-1,$H1350&gt;-1),OR($H1348&gt;10,$H1350&gt;10),ABS($H1348-$H1350)&gt;1,IF(OR($H1348&gt;11,$H1350&gt;11),ABS($H1348-$H1350)=2,TRUE),$H1348=INT($H1348),$H1350=INT($H1350)),"","Error"),"")</f>
        <v/>
      </c>
      <c r="I1346" s="136" t="str">
        <f>IF($Q1348&lt;&gt;"",IF(AND(AND($I1348&gt;-1,$I1350&gt;-1),OR($I1348&gt;10,$I1350&gt;10),ABS($I1348-$I1350)&gt;1,IF(OR($I1348&gt;11,$I1350&gt;11),ABS($I1348-$I1350)=2,TRUE),$I1348=INT($I1348),$I1350=INT($I1350)),"","Error"),"")</f>
        <v/>
      </c>
      <c r="J1346" s="136" t="str">
        <f>IF($Q1348&lt;&gt;"",IF(AND(AND($J1348&gt;-1,$J1350&gt;-1),OR($J1348&gt;10,$J1350&gt;10),ABS($J1348-$J1350)&gt;1,IF(OR($J1348&gt;11,$J1350&gt;11),ABS($J1348-$J1350)=2,TRUE),$J1348=INT($J1348),$J1350=INT($J1350)),"","Error"),"")</f>
        <v/>
      </c>
      <c r="K1346" s="136" t="str">
        <f>IF($Q1348&lt;&gt;"",IF(AND($K1348&lt;&gt;"",$K1350&lt;&gt;""), IF(AND(AND($K1348&gt;-1,$K1350&gt;-1),OR($K1348&gt;10,$K1350&gt;10),ABS($K1348-$K1350)&gt;1,IF(OR($K1348&gt;11,$K1350&gt;11),ABS($K1348-$K1350)=2,TRUE),$K1348=INT($K1348),$K1350=INT($K1350)),"","Error"),""),"")</f>
        <v/>
      </c>
      <c r="L1346" s="136" t="str">
        <f>IF($Q1348&lt;&gt;"",IF(AND($L1348&lt;&gt;"",$L1350&lt;&gt;""), IF(AND(AND($L1348&gt;-1,$L1350&gt;-1),OR($L1348&gt;10,$L1350&gt;10),ABS($L1348-$L1350)&gt;1,IF(OR($L1348&gt;11,$L1350&gt;11),ABS($L1348-$L1350)=2,TRUE),$L1348=INT($L1348),$L1350=INT($L1350)),"","Error"),""),"")</f>
        <v/>
      </c>
      <c r="Q1346" s="7"/>
      <c r="R1346" s="300" t="str">
        <f>$B1335</f>
        <v>B</v>
      </c>
      <c r="S1346" s="331" t="str">
        <f ca="1">IF($B1348&lt;&gt;"",$B1348,"")</f>
        <v/>
      </c>
      <c r="T1346" s="332"/>
      <c r="U1346" s="332"/>
      <c r="V1346" s="332"/>
      <c r="W1346" s="332"/>
      <c r="X1346" s="333"/>
      <c r="Y1346" s="329"/>
      <c r="Z1346" s="329"/>
      <c r="AA1346" s="329"/>
      <c r="AB1346" s="329"/>
      <c r="AC1346" s="329"/>
      <c r="AD1346" s="345"/>
      <c r="AE1346" s="358"/>
      <c r="AF1346" s="359"/>
    </row>
    <row r="1347" spans="1:32" ht="12.75" customHeight="1">
      <c r="A1347" s="5" t="s">
        <v>1228</v>
      </c>
      <c r="B1347" s="290" t="s">
        <v>1126</v>
      </c>
      <c r="C1347" s="291"/>
      <c r="D1347" s="291"/>
      <c r="E1347" s="291"/>
      <c r="F1347" s="291"/>
      <c r="G1347" s="292"/>
      <c r="H1347" s="5">
        <v>1</v>
      </c>
      <c r="I1347" s="5">
        <v>2</v>
      </c>
      <c r="J1347" s="5">
        <v>3</v>
      </c>
      <c r="K1347" s="5">
        <v>4</v>
      </c>
      <c r="L1347" s="5">
        <v>5</v>
      </c>
      <c r="M1347" s="271"/>
      <c r="N1347" s="272"/>
      <c r="O1347" s="272"/>
      <c r="P1347" s="273"/>
      <c r="Q1347" s="7"/>
      <c r="R1347" s="330"/>
      <c r="S1347" s="334"/>
      <c r="T1347" s="335"/>
      <c r="U1347" s="335"/>
      <c r="V1347" s="335"/>
      <c r="W1347" s="335"/>
      <c r="X1347" s="336"/>
      <c r="Y1347" s="330"/>
      <c r="Z1347" s="330"/>
      <c r="AA1347" s="330"/>
      <c r="AB1347" s="330"/>
      <c r="AC1347" s="330"/>
      <c r="AD1347" s="360"/>
      <c r="AE1347" s="361"/>
      <c r="AF1347" s="362"/>
    </row>
    <row r="1348" spans="1:32" ht="12.75" customHeight="1">
      <c r="A1348" s="300" t="str">
        <f>B1335</f>
        <v>B</v>
      </c>
      <c r="B1348" s="293" t="str">
        <f ca="1">IF(AND(OFFSET($AO$1,$C1335-1,8,1,1),$A1336&lt;&gt;"",$J1336&lt;&gt;""),CHOOSE($C1335,$AP$1,$AP$2,$AP$3,$AP$4,$AP$5,$AP$6,$AP$7,$AP$8,$AP$9,$AP$10,$AP$11,$AP$12),"")</f>
        <v/>
      </c>
      <c r="C1348" s="294"/>
      <c r="D1348" s="294"/>
      <c r="E1348" s="294"/>
      <c r="F1348" s="294"/>
      <c r="G1348" s="294"/>
      <c r="H1348" s="265"/>
      <c r="I1348" s="265"/>
      <c r="J1348" s="265"/>
      <c r="K1348" s="265"/>
      <c r="L1348" s="265"/>
      <c r="M1348" s="262" t="str">
        <f ca="1">IF(OR(AND($B1341&lt;&gt;"",$B1348&lt;&gt;"",$C1366&lt;=$B1366),AND($B1343&lt;&gt;"",$B1350&lt;&gt;"",$G1366&lt;=$F1366)),"Invalid Lineup","")</f>
        <v/>
      </c>
      <c r="N1348" s="263"/>
      <c r="O1348" s="263"/>
      <c r="P1348" s="264"/>
      <c r="Q1348" s="137" t="str">
        <f>IF($L1348=$L1350,IF($K1348=$K1350,IF($J1348&lt;&gt;"",IF($J1348&gt;$J1350,"W","L"),""),IF($K1348&gt;$K1350,"W","L")),IF($L1348&gt;$L1350,"W","L"))</f>
        <v/>
      </c>
      <c r="R1348" s="300" t="str">
        <f>$K1335</f>
        <v>E</v>
      </c>
      <c r="S1348" s="331" t="str">
        <f ca="1">IF($B1350&lt;&gt;"",$B1350,"")</f>
        <v/>
      </c>
      <c r="T1348" s="332"/>
      <c r="U1348" s="332"/>
      <c r="V1348" s="332"/>
      <c r="W1348" s="332"/>
      <c r="X1348" s="333"/>
      <c r="Y1348" s="329"/>
      <c r="Z1348" s="329"/>
      <c r="AA1348" s="329"/>
      <c r="AB1348" s="329"/>
      <c r="AC1348" s="351"/>
      <c r="AD1348" s="363" t="s">
        <v>1237</v>
      </c>
      <c r="AE1348" s="358"/>
      <c r="AF1348" s="359"/>
    </row>
    <row r="1349" spans="1:32" ht="12.75" customHeight="1">
      <c r="A1349" s="301"/>
      <c r="B1349" s="295"/>
      <c r="C1349" s="296"/>
      <c r="D1349" s="296"/>
      <c r="E1349" s="296"/>
      <c r="F1349" s="296"/>
      <c r="G1349" s="296"/>
      <c r="H1349" s="270"/>
      <c r="I1349" s="270"/>
      <c r="J1349" s="270"/>
      <c r="K1349" s="270"/>
      <c r="L1349" s="270"/>
      <c r="M1349" s="262"/>
      <c r="N1349" s="263"/>
      <c r="O1349" s="263"/>
      <c r="P1349" s="264"/>
      <c r="Q1349" s="139" t="str">
        <f>IF($Q1348&lt;&gt;"",IF($Q1348="W",IF(SUM(IF($H1348&gt;$H1350,1,0),IF($I1348&gt;$I1350,1,0),IF($J1348&gt;$J1350,1,0),IF($K1348&gt;$K1350,1,0),IF($L1348&gt;$L1350,1,0))&lt;&gt;3,"Error",""),""),"")</f>
        <v/>
      </c>
      <c r="R1349" s="330"/>
      <c r="S1349" s="334"/>
      <c r="T1349" s="335"/>
      <c r="U1349" s="335"/>
      <c r="V1349" s="335"/>
      <c r="W1349" s="335"/>
      <c r="X1349" s="336"/>
      <c r="Y1349" s="330"/>
      <c r="Z1349" s="330"/>
      <c r="AA1349" s="330"/>
      <c r="AB1349" s="330"/>
      <c r="AC1349" s="330"/>
      <c r="AD1349" s="360"/>
      <c r="AE1349" s="361"/>
      <c r="AF1349" s="362"/>
    </row>
    <row r="1350" spans="1:32" ht="12.75" customHeight="1">
      <c r="A1350" s="300" t="str">
        <f>K1335</f>
        <v>E</v>
      </c>
      <c r="B1350" s="293" t="str">
        <f ca="1">IF(AND(OFFSET($AO$1,$L1335-1,8,1,1),$A1336&lt;&gt;"",$J1336&lt;&gt;""),CHOOSE($L1335,$AP$1,$AP$2,$AP$3,$AP$4,$AP$5,$AP$6,$AP$7,$AP$8,$AP$9,$AP$10,$AP$11,$AP$12),"")</f>
        <v/>
      </c>
      <c r="C1350" s="294"/>
      <c r="D1350" s="294"/>
      <c r="E1350" s="294"/>
      <c r="F1350" s="294"/>
      <c r="G1350" s="294"/>
      <c r="H1350" s="265"/>
      <c r="I1350" s="265"/>
      <c r="J1350" s="265"/>
      <c r="K1350" s="265"/>
      <c r="L1350" s="265"/>
      <c r="M1350" s="267" t="s">
        <v>1237</v>
      </c>
      <c r="N1350" s="268"/>
      <c r="O1350" s="268"/>
      <c r="P1350" s="269"/>
      <c r="Q1350" s="137" t="str">
        <f>IF($Q1348&lt;&gt;"",IF($Q1348="W","L","W"),"")</f>
        <v/>
      </c>
      <c r="R1350" s="20"/>
      <c r="S1350" s="20"/>
      <c r="T1350" s="20"/>
      <c r="U1350" s="20"/>
      <c r="V1350" s="20"/>
      <c r="W1350" s="20"/>
      <c r="X1350" s="26"/>
      <c r="Y1350" s="26"/>
      <c r="Z1350" s="20"/>
      <c r="AA1350" s="20"/>
      <c r="AB1350" s="20"/>
      <c r="AC1350" s="20"/>
      <c r="AD1350" s="20"/>
      <c r="AE1350" s="20"/>
      <c r="AF1350" s="27"/>
    </row>
    <row r="1351" spans="1:32" ht="12.75" customHeight="1">
      <c r="A1351" s="301"/>
      <c r="B1351" s="295"/>
      <c r="C1351" s="296"/>
      <c r="D1351" s="296"/>
      <c r="E1351" s="296"/>
      <c r="F1351" s="296"/>
      <c r="G1351" s="296"/>
      <c r="H1351" s="270"/>
      <c r="I1351" s="270"/>
      <c r="J1351" s="266"/>
      <c r="K1351" s="266"/>
      <c r="L1351" s="266"/>
      <c r="M1351" s="267"/>
      <c r="N1351" s="268"/>
      <c r="O1351" s="268"/>
      <c r="P1351" s="269"/>
      <c r="Q1351" s="139" t="str">
        <f>IF($Q1350&lt;&gt;"",IF($Q1350="W",IF(SUM(IF($H1350&gt;$H1348,1,0),IF($I1350&gt;$I1348,1,0),IF($J1350&gt;$J1348,1,0),IF($K1350&gt;$K1348,1,0),IF($L1350&gt;$L1348,1,0))&lt;&gt;3,"Error",""),""),"")</f>
        <v/>
      </c>
      <c r="R1351" s="20"/>
      <c r="S1351" s="20"/>
      <c r="T1351" s="20"/>
      <c r="U1351" s="20"/>
      <c r="V1351" s="20"/>
      <c r="W1351" s="20"/>
      <c r="X1351" s="26"/>
      <c r="Y1351" s="26"/>
      <c r="Z1351" s="20"/>
      <c r="AA1351" s="20"/>
      <c r="AB1351" s="20"/>
      <c r="AC1351" s="20"/>
      <c r="AD1351" s="20"/>
      <c r="AE1351" s="20"/>
      <c r="AF1351" s="27"/>
    </row>
    <row r="1352" spans="1:32" ht="12.75" customHeight="1">
      <c r="Q1352" s="7"/>
      <c r="R1352" s="20"/>
      <c r="S1352" s="20"/>
      <c r="T1352" s="20"/>
      <c r="U1352" s="20"/>
      <c r="V1352" s="20"/>
      <c r="W1352" s="20"/>
      <c r="X1352" s="26"/>
      <c r="Y1352" s="26"/>
      <c r="Z1352" s="20"/>
      <c r="AA1352" s="20"/>
      <c r="AB1352" s="20"/>
      <c r="AC1352" s="20"/>
      <c r="AD1352" s="20"/>
      <c r="AE1352" s="20"/>
      <c r="AF1352" s="27"/>
    </row>
    <row r="1353" spans="1:32" ht="12.75" customHeight="1">
      <c r="A1353" s="21" t="s">
        <v>1235</v>
      </c>
      <c r="H1353" s="136" t="str">
        <f>IF($Q1355&lt;&gt;"",IF(AND(AND($H1355&gt;-1,$H1357&gt;-1),OR($H1355&gt;10,$H1357&gt;10),ABS($H1355-$H1357)&gt;1,IF(OR($H1355&gt;11,$H1357&gt;11),ABS($H1355-$H1357)=2,TRUE),$H1355=INT($H1355),$H1357=INT($H1357)),"","Error"),"")</f>
        <v/>
      </c>
      <c r="I1353" s="136" t="str">
        <f>IF($Q1355&lt;&gt;"",IF(AND(AND($I1355&gt;-1,$I1357&gt;-1),OR($I1355&gt;10,$I1357&gt;10),ABS($I1355-$I1357)&gt;1,IF(OR($I1355&gt;11,$I1357&gt;11),ABS($I1355-$I1357)=2,TRUE),$I1355=INT($I1355),$I1357=INT($I1357)),"","Error"),"")</f>
        <v/>
      </c>
      <c r="J1353" s="136" t="str">
        <f>IF($Q1355&lt;&gt;"",IF(AND(AND($J1355&gt;-1,$J1357&gt;-1),OR($J1355&gt;10,$J1357&gt;10),ABS($J1355-$J1357)&gt;1,IF(OR($J1355&gt;11,$J1357&gt;11),ABS($J1355-$J1357)=2,TRUE),$J1355=INT($J1355),$J1357=INT($J1357)),"","Error"),"")</f>
        <v/>
      </c>
      <c r="K1353" s="136" t="str">
        <f>IF($Q1355&lt;&gt;"",IF(AND($K1355&lt;&gt;"",$K1357&lt;&gt;""), IF(AND(AND($K1355&gt;-1,$K1357&gt;-1),OR($K1355&gt;10,$K1357&gt;10),ABS($K1355-$K1357)&gt;1,IF(OR($K1355&gt;11,$K1357&gt;11),ABS($K1355-$K1357)=2,TRUE),$K1355=INT($K1355),$K1357=INT($K1357)),"","Error"),""),"")</f>
        <v/>
      </c>
      <c r="L1353" s="136" t="str">
        <f>IF($Q1355&lt;&gt;"",IF(AND($L1355&lt;&gt;"",$L1357&lt;&gt;""), IF(AND(AND($L1355&gt;-1,$L1357&gt;-1),OR($L1355&gt;10,$L1357&gt;10),ABS($L1355-$L1357)&gt;1,IF(OR($L1355&gt;11,$L1357&gt;11),ABS($L1355-$L1357)=2,TRUE),$L1355=INT($L1355),$L1357=INT($L1357)),"","Error"),""),"")</f>
        <v/>
      </c>
      <c r="Q1353" s="7"/>
      <c r="R1353" s="20"/>
      <c r="S1353" s="20"/>
      <c r="T1353" s="20"/>
      <c r="U1353" s="20"/>
      <c r="V1353" s="20"/>
      <c r="W1353" s="20"/>
      <c r="X1353" s="26"/>
      <c r="Y1353" s="26"/>
      <c r="Z1353" s="20"/>
      <c r="AA1353" s="20"/>
      <c r="AB1353" s="20"/>
      <c r="AC1353" s="20"/>
      <c r="AD1353" s="20"/>
      <c r="AE1353" s="20"/>
      <c r="AF1353" s="27"/>
    </row>
    <row r="1354" spans="1:32" ht="12.75" customHeight="1">
      <c r="A1354" s="5" t="s">
        <v>1228</v>
      </c>
      <c r="B1354" s="290" t="s">
        <v>1126</v>
      </c>
      <c r="C1354" s="291"/>
      <c r="D1354" s="291"/>
      <c r="E1354" s="291"/>
      <c r="F1354" s="291"/>
      <c r="G1354" s="292"/>
      <c r="H1354" s="5">
        <v>1</v>
      </c>
      <c r="I1354" s="5">
        <v>2</v>
      </c>
      <c r="J1354" s="5">
        <v>3</v>
      </c>
      <c r="K1354" s="5">
        <v>4</v>
      </c>
      <c r="L1354" s="5">
        <v>5</v>
      </c>
      <c r="M1354" s="271"/>
      <c r="N1354" s="272"/>
      <c r="O1354" s="272"/>
      <c r="P1354" s="273"/>
      <c r="Q1354" s="7"/>
      <c r="R1354" s="20"/>
      <c r="S1354" s="20"/>
      <c r="T1354" s="20"/>
      <c r="U1354" s="20"/>
      <c r="V1354" s="20"/>
      <c r="W1354" s="20"/>
      <c r="X1354" s="26"/>
      <c r="Y1354" s="26"/>
      <c r="Z1354" s="20"/>
      <c r="AA1354" s="20"/>
      <c r="AB1354" s="20"/>
      <c r="AC1354" s="20"/>
      <c r="AD1354" s="20"/>
      <c r="AE1354" s="20"/>
      <c r="AF1354" s="27"/>
    </row>
    <row r="1355" spans="1:32" ht="12.75" customHeight="1">
      <c r="A1355" s="300" t="str">
        <f>B1335</f>
        <v>B</v>
      </c>
      <c r="B1355" s="293" t="str">
        <f ca="1">IF(AND(OFFSET($AO$1,$C1335-1,8,1,1),$A1336&lt;&gt;"",$J1336&lt;&gt;""),CHOOSE($C1335,$AQ$1,$AQ$2,$AQ$3,$AQ$4,$AQ$5,$AQ$6,$AQ$7,$AQ$8,$AQ$9,$AQ$10,$AQ$11,$AQ$12),"")</f>
        <v/>
      </c>
      <c r="C1355" s="294"/>
      <c r="D1355" s="294"/>
      <c r="E1355" s="294"/>
      <c r="F1355" s="294"/>
      <c r="G1355" s="294"/>
      <c r="H1355" s="265"/>
      <c r="I1355" s="265"/>
      <c r="J1355" s="265"/>
      <c r="K1355" s="265"/>
      <c r="L1355" s="265"/>
      <c r="M1355" s="262" t="str">
        <f ca="1">IF(OR(AND($B1348&lt;&gt;"",$B1355&lt;&gt;"",$D1366&lt;=$C1366),AND($B1350&lt;&gt;"",$B1357&lt;&gt;"",$H1366&lt;=$G1366)),"Invalid Lineup","")</f>
        <v/>
      </c>
      <c r="N1355" s="263"/>
      <c r="O1355" s="263"/>
      <c r="P1355" s="264"/>
      <c r="Q1355" s="137" t="str">
        <f>IF($L1355=$L1357,IF($K1355=$K1357,IF($J1355&lt;&gt;"",IF($J1355&gt;$J1357,"W","L"),""),IF($K1355&gt;$K1357,"W","L")),IF($L1355&gt;$L1357,"W","L"))</f>
        <v/>
      </c>
      <c r="R1355" s="20"/>
      <c r="S1355" s="20"/>
      <c r="T1355" s="20"/>
      <c r="U1355" s="20"/>
      <c r="V1355" s="20"/>
      <c r="W1355" s="20"/>
      <c r="X1355" s="26"/>
      <c r="Y1355" s="26"/>
      <c r="Z1355" s="20"/>
      <c r="AA1355" s="20"/>
      <c r="AB1355" s="20"/>
      <c r="AC1355" s="20"/>
      <c r="AD1355" s="20"/>
      <c r="AE1355" s="20"/>
      <c r="AF1355" s="27"/>
    </row>
    <row r="1356" spans="1:32" ht="12.75" customHeight="1">
      <c r="A1356" s="301"/>
      <c r="B1356" s="295"/>
      <c r="C1356" s="296"/>
      <c r="D1356" s="296"/>
      <c r="E1356" s="296"/>
      <c r="F1356" s="296"/>
      <c r="G1356" s="296"/>
      <c r="H1356" s="270"/>
      <c r="I1356" s="270"/>
      <c r="J1356" s="270"/>
      <c r="K1356" s="270"/>
      <c r="L1356" s="270"/>
      <c r="M1356" s="262"/>
      <c r="N1356" s="263"/>
      <c r="O1356" s="263"/>
      <c r="P1356" s="264"/>
      <c r="Q1356" s="139" t="str">
        <f>IF($Q1355&lt;&gt;"",IF($Q1355="W",IF(SUM(IF($H1355&gt;$H1357,1,0),IF($I1355&gt;$I1357,1,0),IF($J1355&gt;$J1357,1,0),IF($K1355&gt;$K1357,1,0),IF($L1355&gt;$L1357,1,0))&lt;&gt;3,"Error",""),""),"")</f>
        <v/>
      </c>
      <c r="R1356" s="328" t="str">
        <f>$A1336</f>
        <v/>
      </c>
      <c r="S1356" s="328"/>
      <c r="T1356" s="328"/>
      <c r="U1356" s="328"/>
      <c r="V1356" s="328"/>
      <c r="W1356" s="328"/>
      <c r="X1356" s="256" t="str">
        <f>CONCATENATE("(",$B1335," vs ",$K1335,")")</f>
        <v>(B vs E)</v>
      </c>
      <c r="Y1356" s="256"/>
      <c r="Z1356" s="328" t="str">
        <f>$J1336</f>
        <v/>
      </c>
      <c r="AA1356" s="328"/>
      <c r="AB1356" s="328"/>
      <c r="AC1356" s="328"/>
      <c r="AD1356" s="328"/>
      <c r="AE1356" s="328"/>
      <c r="AF1356" s="100"/>
    </row>
    <row r="1357" spans="1:32" ht="12.75" customHeight="1">
      <c r="A1357" s="300" t="str">
        <f>K1335</f>
        <v>E</v>
      </c>
      <c r="B1357" s="293" t="str">
        <f ca="1">IF(AND(OFFSET($AO$1,$L1335-1,8,1,1),$A1336&lt;&gt;"",$J1336&lt;&gt;""),CHOOSE($L1335,$AQ$1,$AQ$2,$AQ$3,$AQ$4,$AQ$5,$AQ$6,$AQ$7,$AQ$8,$AQ$9,$AQ$10,$AQ$11,$AQ$12),"")</f>
        <v/>
      </c>
      <c r="C1357" s="294"/>
      <c r="D1357" s="294"/>
      <c r="E1357" s="294"/>
      <c r="F1357" s="294"/>
      <c r="G1357" s="294"/>
      <c r="H1357" s="265"/>
      <c r="I1357" s="265"/>
      <c r="J1357" s="265"/>
      <c r="K1357" s="265"/>
      <c r="L1357" s="265"/>
      <c r="M1357" s="267" t="s">
        <v>1237</v>
      </c>
      <c r="N1357" s="268"/>
      <c r="O1357" s="268"/>
      <c r="P1357" s="269"/>
      <c r="Q1357" s="137" t="str">
        <f>IF($Q1355&lt;&gt;"",IF($Q1355="W","L","W"),"")</f>
        <v/>
      </c>
      <c r="R1357" s="100"/>
      <c r="S1357" s="100"/>
      <c r="T1357" s="100"/>
      <c r="U1357" s="100"/>
      <c r="V1357" s="100"/>
      <c r="W1357" s="100"/>
      <c r="X1357" s="100"/>
      <c r="Y1357" s="100"/>
      <c r="Z1357" s="100"/>
      <c r="AA1357" s="100"/>
      <c r="AB1357" s="100"/>
      <c r="AC1357" s="100"/>
      <c r="AD1357" s="100"/>
      <c r="AE1357" s="100"/>
      <c r="AF1357" s="100"/>
    </row>
    <row r="1358" spans="1:32" ht="12.75" customHeight="1">
      <c r="A1358" s="301"/>
      <c r="B1358" s="295"/>
      <c r="C1358" s="296"/>
      <c r="D1358" s="296"/>
      <c r="E1358" s="296"/>
      <c r="F1358" s="296"/>
      <c r="G1358" s="296"/>
      <c r="H1358" s="270"/>
      <c r="I1358" s="270"/>
      <c r="J1358" s="266"/>
      <c r="K1358" s="266"/>
      <c r="L1358" s="266"/>
      <c r="M1358" s="267"/>
      <c r="N1358" s="268"/>
      <c r="O1358" s="268"/>
      <c r="P1358" s="269"/>
      <c r="Q1358" s="139" t="str">
        <f>IF($Q1357&lt;&gt;"",IF($Q1357="W",IF(SUM(IF($H1357&gt;$H1355,1,0),IF($I1357&gt;$I1355,1,0),IF($J1357&gt;$J1355,1,0),IF($K1357&gt;$K1355,1,0),IF($L1357&gt;$L1355,1,0))&lt;&gt;3,"Error",""),""),"")</f>
        <v/>
      </c>
      <c r="R1358" s="43" t="str">
        <f>$A1353</f>
        <v>3rd Singles</v>
      </c>
      <c r="S1358" s="43"/>
      <c r="T1358" s="43"/>
      <c r="U1358" s="43"/>
      <c r="V1358" s="43"/>
      <c r="W1358" s="43"/>
      <c r="X1358" s="43"/>
      <c r="Y1358" s="43"/>
      <c r="Z1358" s="43"/>
      <c r="AA1358" s="43"/>
      <c r="AB1358" s="43"/>
      <c r="AC1358" s="43"/>
      <c r="AD1358" s="43"/>
      <c r="AE1358" s="43"/>
      <c r="AF1358" s="43"/>
    </row>
    <row r="1359" spans="1:32" ht="12.75" customHeight="1">
      <c r="Q1359" s="7"/>
      <c r="R1359" s="60" t="s">
        <v>1228</v>
      </c>
      <c r="S1359" s="101" t="s">
        <v>1126</v>
      </c>
      <c r="T1359" s="102"/>
      <c r="U1359" s="102"/>
      <c r="V1359" s="102"/>
      <c r="W1359" s="102"/>
      <c r="X1359" s="103"/>
      <c r="Y1359" s="60">
        <v>1</v>
      </c>
      <c r="Z1359" s="60">
        <v>2</v>
      </c>
      <c r="AA1359" s="60">
        <v>3</v>
      </c>
      <c r="AB1359" s="60">
        <v>4</v>
      </c>
      <c r="AC1359" s="60">
        <v>5</v>
      </c>
      <c r="AD1359" s="104"/>
      <c r="AE1359" s="105"/>
      <c r="AF1359" s="106"/>
    </row>
    <row r="1360" spans="1:32" ht="12.75" customHeight="1">
      <c r="A1360" s="21" t="s">
        <v>1236</v>
      </c>
      <c r="H1360" s="136" t="str">
        <f ca="1">IF($Q1362&lt;&gt;"",IF(AND($B1362&lt;&gt;"Missing Player",$B1364&lt;&gt;"Missing Player"),IF(AND(AND($H1362&gt;-1,$H1364&gt;-1),OR($H1362&gt;10,$H1364&gt;10),ABS($H1362-$H1364)&gt;1,IF(OR($H1362&gt;11,$H1364&gt;11),ABS($H1362-$H1364)=2,TRUE),$H1362=INT($H1362),$H1364=INT($H1364)),"","Error"),""),"")</f>
        <v/>
      </c>
      <c r="I1360" s="136" t="str">
        <f ca="1">IF($Q1362&lt;&gt;"",IF(AND($B1362&lt;&gt;"Missing Player",$B1364&lt;&gt;"Missing Player"),IF(AND(AND($I1362&gt;-1,$I1364&gt;-1),OR($I1362&gt;10,$I1364&gt;10),ABS($I1362-$I1364)&gt;1,IF(OR($I1362&gt;11,$I1364&gt;11),ABS($I1362-$I1364)=2,TRUE),$I1362=INT($I1362),$I1364=INT($I1364)),"","Error"),""),"")</f>
        <v/>
      </c>
      <c r="J1360" s="136" t="str">
        <f ca="1">IF($Q1362&lt;&gt;"",IF(AND($B1362&lt;&gt;"Missing Player",$B1364&lt;&gt;"Missing Player"),IF(AND(AND($J1362&gt;-1,$J1364&gt;-1),OR($J1362&gt;10,$J1364&gt;10),ABS($J1362-$J1364)&gt;1,IF(OR($J1362&gt;11,$J1364&gt;11),ABS($J1362-$J1364)=2,TRUE),$J1362=INT($J1362),$J1364=INT($J1364)),"","Error"),""),"")</f>
        <v/>
      </c>
      <c r="K1360" s="136" t="str">
        <f ca="1">IF($Q1362&lt;&gt;"",IF(AND($K1362&lt;&gt;"",$K1364&lt;&gt;""), IF(AND(AND($K1362&gt;-1,$K1364&gt;-1),OR($K1362&gt;10,$K1364&gt;10),ABS($K1362-$K1364)&gt;1,IF(OR($K1362&gt;11,$K1364&gt;11),ABS($K1362-$K1364)=2,TRUE),$K1362=INT($K1362),$K1364=INT($K1364)),"","Error"),""),"")</f>
        <v/>
      </c>
      <c r="L1360" s="136" t="str">
        <f ca="1">IF($Q1362&lt;&gt;"",IF(AND($L1362&lt;&gt;"",$L1364&lt;&gt;""), IF(AND(AND($L1362&gt;-1,$L1364&gt;-1),OR($L1362&gt;10,$L1364&gt;10),ABS($L1362-$L1364)&gt;1,IF(OR($L1362&gt;11,$L1364&gt;11),ABS($L1362-$L1364)=2,TRUE),$L1362=INT($L1362),$L1364=INT($L1364)),"","Error"),""),"")</f>
        <v/>
      </c>
      <c r="Q1360" s="7"/>
      <c r="R1360" s="300" t="str">
        <f>$B1335</f>
        <v>B</v>
      </c>
      <c r="S1360" s="331" t="str">
        <f ca="1">IF($B1355&lt;&gt;"",$B1355,"")</f>
        <v/>
      </c>
      <c r="T1360" s="332"/>
      <c r="U1360" s="332"/>
      <c r="V1360" s="332"/>
      <c r="W1360" s="332"/>
      <c r="X1360" s="333"/>
      <c r="Y1360" s="329"/>
      <c r="Z1360" s="329"/>
      <c r="AA1360" s="329"/>
      <c r="AB1360" s="329"/>
      <c r="AC1360" s="329"/>
      <c r="AD1360" s="345"/>
      <c r="AE1360" s="358"/>
      <c r="AF1360" s="359"/>
    </row>
    <row r="1361" spans="1:32" ht="12.75" customHeight="1">
      <c r="A1361" s="5" t="s">
        <v>1228</v>
      </c>
      <c r="B1361" s="290" t="s">
        <v>1126</v>
      </c>
      <c r="C1361" s="291"/>
      <c r="D1361" s="291"/>
      <c r="E1361" s="291"/>
      <c r="F1361" s="291"/>
      <c r="G1361" s="292"/>
      <c r="H1361" s="5">
        <v>1</v>
      </c>
      <c r="I1361" s="5">
        <v>2</v>
      </c>
      <c r="J1361" s="5">
        <v>3</v>
      </c>
      <c r="K1361" s="5">
        <v>4</v>
      </c>
      <c r="L1361" s="5">
        <v>5</v>
      </c>
      <c r="M1361" s="271"/>
      <c r="N1361" s="272"/>
      <c r="O1361" s="272"/>
      <c r="P1361" s="273"/>
      <c r="Q1361" s="7"/>
      <c r="R1361" s="330"/>
      <c r="S1361" s="334"/>
      <c r="T1361" s="335"/>
      <c r="U1361" s="335"/>
      <c r="V1361" s="335"/>
      <c r="W1361" s="335"/>
      <c r="X1361" s="336"/>
      <c r="Y1361" s="330"/>
      <c r="Z1361" s="330"/>
      <c r="AA1361" s="330"/>
      <c r="AB1361" s="330"/>
      <c r="AC1361" s="330"/>
      <c r="AD1361" s="360"/>
      <c r="AE1361" s="361"/>
      <c r="AF1361" s="362"/>
    </row>
    <row r="1362" spans="1:32" ht="12.75" customHeight="1">
      <c r="A1362" s="300" t="str">
        <f>B1335</f>
        <v>B</v>
      </c>
      <c r="B1362" s="293" t="str">
        <f ca="1">IF(AND(OFFSET($AO$1,$C1335-1,8,1,1),$A1336&lt;&gt;"",$J1336&lt;&gt;""),CHOOSE($C1335,$AR$1,$AR$2,$AR$3,$AR$4,$AR$5,$AR$6,$AR$7,$AR$8,$AR$9,$AR$10,$AR$11,$AR$12),"")</f>
        <v/>
      </c>
      <c r="C1362" s="294"/>
      <c r="D1362" s="294"/>
      <c r="E1362" s="294"/>
      <c r="F1362" s="294"/>
      <c r="G1362" s="294"/>
      <c r="H1362" s="265"/>
      <c r="I1362" s="265"/>
      <c r="J1362" s="265"/>
      <c r="K1362" s="265"/>
      <c r="L1362" s="265" t="str">
        <f ca="1">IF(AND($B1362&lt;&gt;"",$Q1341&lt;&gt;""),IF($B1362="Missing Player",0,IF($B1364="Missing Player",11,"")),"")</f>
        <v/>
      </c>
      <c r="M1362" s="262" t="str">
        <f ca="1">IF(OR(AND($B1355&lt;&gt;"",$B1362&lt;&gt;"",$E1366&lt;=$D1366),AND($B1357&lt;&gt;"",$B1364&lt;&gt;"",$I1366&lt;=$H1366)),"Invalid Lineup","")</f>
        <v/>
      </c>
      <c r="N1362" s="263"/>
      <c r="O1362" s="263"/>
      <c r="P1362" s="264"/>
      <c r="Q1362" s="137" t="str">
        <f ca="1">IF($L1362=$L1364,IF($K1362=$K1364,IF($J1362&lt;&gt;"",IF($J1362&gt;$J1364,"W","L"),""),IF($K1362&gt;$K1364,"W","L")),IF($L1362&gt;$L1364,"W","L"))</f>
        <v/>
      </c>
      <c r="R1362" s="300" t="str">
        <f>$K1335</f>
        <v>E</v>
      </c>
      <c r="S1362" s="331" t="str">
        <f ca="1">IF($B1357&lt;&gt;"",$B1357,"")</f>
        <v/>
      </c>
      <c r="T1362" s="332"/>
      <c r="U1362" s="332"/>
      <c r="V1362" s="332"/>
      <c r="W1362" s="332"/>
      <c r="X1362" s="333"/>
      <c r="Y1362" s="329"/>
      <c r="Z1362" s="329"/>
      <c r="AA1362" s="329"/>
      <c r="AB1362" s="329"/>
      <c r="AC1362" s="351"/>
      <c r="AD1362" s="363" t="s">
        <v>1237</v>
      </c>
      <c r="AE1362" s="358"/>
      <c r="AF1362" s="359"/>
    </row>
    <row r="1363" spans="1:32" ht="12.75" customHeight="1">
      <c r="A1363" s="301"/>
      <c r="B1363" s="295"/>
      <c r="C1363" s="296"/>
      <c r="D1363" s="296"/>
      <c r="E1363" s="296"/>
      <c r="F1363" s="296"/>
      <c r="G1363" s="296"/>
      <c r="H1363" s="270"/>
      <c r="I1363" s="270"/>
      <c r="J1363" s="270"/>
      <c r="K1363" s="270"/>
      <c r="L1363" s="270"/>
      <c r="M1363" s="262"/>
      <c r="N1363" s="263"/>
      <c r="O1363" s="263"/>
      <c r="P1363" s="264"/>
      <c r="Q1363" s="139" t="str">
        <f ca="1">IF($Q1362&lt;&gt;"",IF($B1364&lt;&gt;"Missing Player",IF($Q1362="W",IF(SUM(IF($H1362&gt;$H1364,1,0),IF($I1362&gt;$I1364,1,0),IF($J1362&gt;$J1364,1,0),IF($K1362&gt;$K1364,1,0),IF($L1362&gt;$L1364,1,0))&lt;&gt;3,"Error",""),""),""),"")</f>
        <v/>
      </c>
      <c r="R1363" s="330"/>
      <c r="S1363" s="334"/>
      <c r="T1363" s="335"/>
      <c r="U1363" s="335"/>
      <c r="V1363" s="335"/>
      <c r="W1363" s="335"/>
      <c r="X1363" s="336"/>
      <c r="Y1363" s="330"/>
      <c r="Z1363" s="330"/>
      <c r="AA1363" s="330"/>
      <c r="AB1363" s="330"/>
      <c r="AC1363" s="330"/>
      <c r="AD1363" s="360"/>
      <c r="AE1363" s="361"/>
      <c r="AF1363" s="362"/>
    </row>
    <row r="1364" spans="1:32" ht="12.75" customHeight="1">
      <c r="A1364" s="300" t="str">
        <f>K1335</f>
        <v>E</v>
      </c>
      <c r="B1364" s="293" t="str">
        <f ca="1">IF(AND(OFFSET($AO$1,$L1335-1,8,1,1),$A1336&lt;&gt;"",$J1336&lt;&gt;""),CHOOSE($L1335,$AR$1,$AR$2,$AR$3,$AR$4,$AR$5,$AR$6,$AR$7,$AR$8,$AR$9,$AR$10,$AR$11,$AR$12),"")</f>
        <v/>
      </c>
      <c r="C1364" s="294"/>
      <c r="D1364" s="294"/>
      <c r="E1364" s="294"/>
      <c r="F1364" s="294"/>
      <c r="G1364" s="294"/>
      <c r="H1364" s="265"/>
      <c r="I1364" s="265"/>
      <c r="J1364" s="265"/>
      <c r="K1364" s="265"/>
      <c r="L1364" s="265" t="str">
        <f ca="1">IF(AND($B1364&lt;&gt;"",$Q1341&lt;&gt;""),IF($B1364="Missing Player",0,IF($B1362="Missing Player",11,"")),"")</f>
        <v/>
      </c>
      <c r="M1364" s="267" t="s">
        <v>1237</v>
      </c>
      <c r="N1364" s="268"/>
      <c r="O1364" s="268"/>
      <c r="P1364" s="269"/>
      <c r="Q1364" s="137" t="str">
        <f ca="1">IF($Q1362&lt;&gt;"",IF($Q1362="W","L","W"),"")</f>
        <v/>
      </c>
      <c r="R1364" s="112"/>
      <c r="S1364" s="98"/>
      <c r="T1364" s="108"/>
      <c r="U1364" s="108"/>
      <c r="V1364" s="108"/>
      <c r="W1364" s="108"/>
      <c r="X1364" s="108"/>
      <c r="Y1364" s="113"/>
      <c r="Z1364" s="113"/>
      <c r="AA1364" s="113"/>
      <c r="AB1364" s="113"/>
      <c r="AC1364" s="113"/>
      <c r="AD1364" s="107"/>
      <c r="AE1364" s="109"/>
      <c r="AF1364" s="109"/>
    </row>
    <row r="1365" spans="1:32" ht="12.75" customHeight="1">
      <c r="A1365" s="301"/>
      <c r="B1365" s="295"/>
      <c r="C1365" s="296"/>
      <c r="D1365" s="296"/>
      <c r="E1365" s="296"/>
      <c r="F1365" s="296"/>
      <c r="G1365" s="296"/>
      <c r="H1365" s="270"/>
      <c r="I1365" s="270"/>
      <c r="J1365" s="266"/>
      <c r="K1365" s="266"/>
      <c r="L1365" s="266"/>
      <c r="M1365" s="267"/>
      <c r="N1365" s="268"/>
      <c r="O1365" s="268"/>
      <c r="P1365" s="269"/>
      <c r="Q1365" s="139" t="str">
        <f ca="1">IF($Q1364&lt;&gt;"",IF($B1362&lt;&gt;"Missing Player",IF($Q1364="W",IF(SUM(IF($H1364&gt;$H1362,1,0),IF($I1364&gt;$I1362,1,0),IF($J1364&gt;$J1362,1,0),IF($K1364&gt;$K1362,1,0),IF($L1364&gt;$L1362,1,0))&lt;&gt;3,"Error",""),""),""),"")</f>
        <v/>
      </c>
      <c r="R1365" s="114"/>
      <c r="S1365" s="115"/>
      <c r="T1365" s="115"/>
      <c r="U1365" s="115"/>
      <c r="V1365" s="115"/>
      <c r="W1365" s="115"/>
      <c r="X1365" s="115"/>
      <c r="Y1365" s="114"/>
      <c r="Z1365" s="114"/>
      <c r="AA1365" s="114"/>
      <c r="AB1365" s="114"/>
      <c r="AC1365" s="114"/>
      <c r="AD1365" s="114"/>
      <c r="AE1365" s="114"/>
      <c r="AF1365" s="114"/>
    </row>
    <row r="1366" spans="1:32" ht="12.75" customHeight="1">
      <c r="B1366" s="140" t="str">
        <f ca="1">IF(ISERROR(VLOOKUP($B1341&amp;"("&amp;$B1335&amp;")",Players!$S$4:$T$132,2,FALSE)),"",VLOOKUP($B1341&amp;"("&amp;$B1335&amp;")",Players!$S$4:$T$132,2,FALSE))</f>
        <v>B1</v>
      </c>
      <c r="C1366" s="140" t="str">
        <f ca="1">IF(ISERROR(VLOOKUP($B1348&amp;"("&amp;$B1335&amp;")",Players!$S$4:$T$132,2,FALSE)),"",VLOOKUP($B1348&amp;"("&amp;$B1335&amp;")",Players!$S$4:$T$132,2,FALSE))</f>
        <v>B1</v>
      </c>
      <c r="D1366" s="141" t="str">
        <f ca="1">IF(ISERROR(VLOOKUP($B1355&amp;"("&amp;$B1335&amp;")",Players!$S$4:$T$132,2,FALSE)),"",VLOOKUP($B1355&amp;"("&amp;$B1335&amp;")",Players!$S$4:$T$132,2,FALSE))</f>
        <v>B1</v>
      </c>
      <c r="E1366" s="141" t="str">
        <f ca="1">IF(ISERROR(VLOOKUP($B1362&amp;"("&amp;$B1335&amp;")",Players!$S$4:$T$132,2,FALSE)),"",VLOOKUP($B1362&amp;"("&amp;$B1335&amp;")",Players!$S$4:$T$132,2,FALSE))</f>
        <v>B1</v>
      </c>
      <c r="F1366" s="141" t="str">
        <f ca="1">IF(ISERROR(VLOOKUP($B1343&amp;"("&amp;$K1335&amp;")",Players!$S$4:$T$132,2,FALSE)),"",VLOOKUP($B1343&amp;"("&amp;$K1335&amp;")",Players!$S$4:$T$132,2,FALSE))</f>
        <v>E1</v>
      </c>
      <c r="G1366" s="141" t="str">
        <f ca="1">IF(ISERROR(VLOOKUP($B1350&amp;"("&amp;$K1335&amp;")",Players!$S$4:$T$132,2,FALSE)),"",VLOOKUP($B1350&amp;"("&amp;$K1335&amp;")",Players!$S$4:$T$132,2,FALSE))</f>
        <v>E1</v>
      </c>
      <c r="H1366" s="141" t="str">
        <f ca="1">IF(ISERROR(VLOOKUP($B1357&amp;"("&amp;$K1335&amp;")",Players!$S$4:$T$132,2,FALSE)),"",VLOOKUP($B1357&amp;"("&amp;$K1335&amp;")",Players!$S$4:$T$132,2,FALSE))</f>
        <v>E1</v>
      </c>
      <c r="I1366" s="141" t="str">
        <f ca="1">IF(ISERROR(VLOOKUP($B1364&amp;"("&amp;$K1335&amp;")",Players!$S$4:$T$132,2,FALSE)),"",VLOOKUP($B1364&amp;"("&amp;$K1335&amp;")",Players!$S$4:$T$132,2,FALSE))</f>
        <v>E1</v>
      </c>
      <c r="Q1366" s="7"/>
      <c r="R1366" s="50"/>
      <c r="S1366" s="116"/>
      <c r="T1366" s="115"/>
      <c r="U1366" s="115"/>
      <c r="V1366" s="115"/>
      <c r="W1366" s="115"/>
      <c r="X1366" s="115"/>
      <c r="Y1366" s="99"/>
      <c r="Z1366" s="99"/>
      <c r="AA1366" s="99"/>
      <c r="AB1366" s="99"/>
      <c r="AC1366" s="117"/>
      <c r="AD1366" s="118"/>
      <c r="AE1366" s="114"/>
      <c r="AF1366" s="114"/>
    </row>
    <row r="1367" spans="1:32" ht="12.75" customHeight="1">
      <c r="A1367" s="21" t="s">
        <v>1225</v>
      </c>
      <c r="H1367" s="136" t="str">
        <f ca="1">IF($Q1369&lt;&gt;"",IF(AND($B1370&lt;&gt;"Missing Player",$B1372&lt;&gt;"Missing Player"),IF(AND(AND($H1369&gt;-1,$H1371&gt;-1),OR($H1369&gt;10,$H1371&gt;10),ABS($H1369-$H1371)&gt;1,IF(OR($H1369&gt;11,$H1371&gt;11),ABS($H1369-$H1371)=2,TRUE),$H1369=INT($H1369),$H1371=INT($H1371)),"","Error"),""),"")</f>
        <v/>
      </c>
      <c r="I1367" s="136" t="str">
        <f ca="1">IF($Q1369&lt;&gt;"",IF(AND($B1370&lt;&gt;"Missing Player",$B1372&lt;&gt;"Missing Player"),IF(AND(AND($I1369&gt;-1,$I1371&gt;-1),OR($I1369&gt;10,$I1371&gt;10),ABS($I1369-$I1371)&gt;1,IF(OR($I1369&gt;11,$I1371&gt;11),ABS($I1369-$I1371)=2,TRUE),$I1369=INT($I1369),$I1371=INT($I1371)),"","Error"),""),"")</f>
        <v/>
      </c>
      <c r="J1367" s="136" t="str">
        <f ca="1">IF($Q1369&lt;&gt;"",IF(AND($B1370&lt;&gt;"Missing Player",$B1372&lt;&gt;"Missing Player"),IF(AND(AND($J1369&gt;-1,$J1371&gt;-1),OR($J1369&gt;10,$J1371&gt;10),ABS($J1369-$J1371)&gt;1,IF(OR($J1369&gt;11,$J1371&gt;11),ABS($J1369-$J1371)=2,TRUE),$J1369=INT($J1369),$J1371=INT($J1371)),"","Error"),""),"")</f>
        <v/>
      </c>
      <c r="K1367" s="136" t="str">
        <f ca="1">IF($Q1369&lt;&gt;"",IF(AND($K1369&lt;&gt;"",$K1371&lt;&gt;""), IF(AND(AND($K1369&gt;-1,$K1371&gt;-1),OR($K1369&gt;10,$K1371&gt;10),ABS($K1369-$K1371)&gt;1,IF(OR($K1369&gt;11,$K1371&gt;11),ABS($K1369-$K1371)=2,TRUE),$K1369=INT($K1369),$K1371=INT($K1371)),"","Error"),""),"")</f>
        <v/>
      </c>
      <c r="L1367" s="136" t="str">
        <f ca="1">IF($Q1369&lt;&gt;"",IF(AND($L1369&lt;&gt;"",$L1371&lt;&gt;""), IF(AND(AND($L1369&gt;-1,$L1371&gt;-1),OR($L1369&gt;10,$L1371&gt;10),ABS($L1369-$L1371)&gt;1,IF(OR($L1369&gt;11,$L1371&gt;11),ABS($L1369-$L1371)=2,TRUE),$L1369=INT($L1369),$L1371=INT($L1371)),"","Error"),""),"")</f>
        <v/>
      </c>
      <c r="Q1367" s="7"/>
      <c r="R1367" s="114"/>
      <c r="S1367" s="115"/>
      <c r="T1367" s="115"/>
      <c r="U1367" s="115"/>
      <c r="V1367" s="115"/>
      <c r="W1367" s="115"/>
      <c r="X1367" s="115"/>
      <c r="Y1367" s="114"/>
      <c r="Z1367" s="114"/>
      <c r="AA1367" s="114"/>
      <c r="AB1367" s="114"/>
      <c r="AC1367" s="114"/>
      <c r="AD1367" s="114"/>
      <c r="AE1367" s="114"/>
      <c r="AF1367" s="114"/>
    </row>
    <row r="1368" spans="1:32" ht="12.75" customHeight="1">
      <c r="A1368" s="5" t="s">
        <v>1228</v>
      </c>
      <c r="B1368" s="290" t="s">
        <v>1126</v>
      </c>
      <c r="C1368" s="291"/>
      <c r="D1368" s="291"/>
      <c r="E1368" s="291"/>
      <c r="F1368" s="291"/>
      <c r="G1368" s="292"/>
      <c r="H1368" s="5">
        <v>1</v>
      </c>
      <c r="I1368" s="5">
        <v>2</v>
      </c>
      <c r="J1368" s="5">
        <v>3</v>
      </c>
      <c r="K1368" s="5">
        <v>4</v>
      </c>
      <c r="L1368" s="5">
        <v>5</v>
      </c>
      <c r="M1368" s="271"/>
      <c r="N1368" s="272"/>
      <c r="O1368" s="272"/>
      <c r="P1368" s="273"/>
      <c r="Q1368" s="8"/>
      <c r="S1368" s="24"/>
      <c r="T1368" s="26"/>
    </row>
    <row r="1369" spans="1:32" ht="12.75" customHeight="1">
      <c r="A1369" s="300" t="str">
        <f>B1335</f>
        <v>B</v>
      </c>
      <c r="B1369" s="311" t="str">
        <f ca="1">IF($B1341&lt;&gt;"",$B1341,"")</f>
        <v/>
      </c>
      <c r="C1369" s="312"/>
      <c r="D1369" s="312"/>
      <c r="E1369" s="312"/>
      <c r="F1369" s="312"/>
      <c r="G1369" s="313"/>
      <c r="H1369" s="265"/>
      <c r="I1369" s="265"/>
      <c r="J1369" s="265"/>
      <c r="K1369" s="265"/>
      <c r="L1369" s="265" t="str">
        <f ca="1">IF($B1362&lt;&gt;"",IF(AND($B1362="Missing Player",$G1373=2,$J1373=2),0,IF(AND($B1364="Missing Player",$G1373=2,$J1373=2),11,"")),"")</f>
        <v/>
      </c>
      <c r="M1369" s="262" t="str">
        <f ca="1">IF(OR(AND($B1369&lt;&gt;"",$B1370&lt;&gt;"",$B1369=$B1370),AND($B1371&lt;&gt;"",$B1372&lt;&gt;"",$B1371=$B1372)),"Invalid Partner","")</f>
        <v/>
      </c>
      <c r="N1369" s="263"/>
      <c r="O1369" s="263"/>
      <c r="P1369" s="264"/>
      <c r="Q1369" s="138" t="str">
        <f ca="1">IF(L1369=L1371,IF(K1369=K1371,IF(J1369&lt;&gt;"",IF(J1369&gt;J1371,"W","L"),""),IF(K1369&gt;K1371,"W","L")),IF(L1369&gt;L1371,"W","L"))</f>
        <v/>
      </c>
      <c r="S1369" s="24"/>
      <c r="T1369" s="26"/>
    </row>
    <row r="1370" spans="1:32" ht="12.75" customHeight="1">
      <c r="A1370" s="324"/>
      <c r="B1370" s="308" t="str">
        <f ca="1">IF($B1362="Missing Player",$B1362,"")</f>
        <v/>
      </c>
      <c r="C1370" s="309"/>
      <c r="D1370" s="309"/>
      <c r="E1370" s="309"/>
      <c r="F1370" s="309"/>
      <c r="G1370" s="310"/>
      <c r="H1370" s="270"/>
      <c r="I1370" s="270"/>
      <c r="J1370" s="270"/>
      <c r="K1370" s="270"/>
      <c r="L1370" s="270"/>
      <c r="M1370" s="262"/>
      <c r="N1370" s="263"/>
      <c r="O1370" s="263"/>
      <c r="P1370" s="264"/>
      <c r="Q1370" s="139" t="str">
        <f ca="1">IF($Q1369&lt;&gt;"",IF($B1372&lt;&gt;"Missing Player",IF($Q1369="W",IF(SUM(IF($H1369&gt;$H1371,1,0),IF($I1369&gt;$I1371,1,0),IF($J1369&gt;$J1371,1,0),IF($K1369&gt;$K1371,1,0),IF($L1369&gt;$L1371,1,0))&lt;&gt;3,"Error",""),""),""),"")</f>
        <v/>
      </c>
      <c r="R1370" s="328" t="str">
        <f>$A1336</f>
        <v/>
      </c>
      <c r="S1370" s="328"/>
      <c r="T1370" s="328"/>
      <c r="U1370" s="328"/>
      <c r="V1370" s="328"/>
      <c r="W1370" s="328"/>
      <c r="X1370" s="256" t="str">
        <f>CONCATENATE("(",$B1335," vs ",$K1335,")")</f>
        <v>(B vs E)</v>
      </c>
      <c r="Y1370" s="256"/>
      <c r="Z1370" s="328" t="str">
        <f>$J1336</f>
        <v/>
      </c>
      <c r="AA1370" s="328"/>
      <c r="AB1370" s="328"/>
      <c r="AC1370" s="328"/>
      <c r="AD1370" s="328"/>
      <c r="AE1370" s="328"/>
      <c r="AF1370" s="43"/>
    </row>
    <row r="1371" spans="1:32" ht="12.75" customHeight="1">
      <c r="A1371" s="325" t="str">
        <f>K1335</f>
        <v>E</v>
      </c>
      <c r="B1371" s="311" t="str">
        <f ca="1">IF($B1343&lt;&gt;"",$B1343,"")</f>
        <v/>
      </c>
      <c r="C1371" s="312"/>
      <c r="D1371" s="312"/>
      <c r="E1371" s="312"/>
      <c r="F1371" s="312"/>
      <c r="G1371" s="313"/>
      <c r="H1371" s="265"/>
      <c r="I1371" s="265"/>
      <c r="J1371" s="265"/>
      <c r="K1371" s="265"/>
      <c r="L1371" s="265" t="str">
        <f ca="1">IF($B1364&lt;&gt;"",IF(AND($B1364="Missing Player",$G1373=2,$J1373=2),0,IF(AND($B1362="Missing Player",$G1373=2,$J1373=2),11,"")),"")</f>
        <v/>
      </c>
      <c r="M1371" s="267" t="s">
        <v>1237</v>
      </c>
      <c r="N1371" s="268"/>
      <c r="O1371" s="268"/>
      <c r="P1371" s="269"/>
      <c r="Q1371" s="138" t="str">
        <f ca="1">IF(Q1369&lt;&gt;"",IF(Q1369="W","L","W"),"")</f>
        <v/>
      </c>
      <c r="R1371" s="43"/>
      <c r="S1371" s="43"/>
      <c r="T1371" s="43"/>
      <c r="U1371" s="43"/>
      <c r="V1371" s="43"/>
      <c r="W1371" s="43"/>
      <c r="X1371" s="43"/>
      <c r="Y1371" s="43"/>
      <c r="Z1371" s="43"/>
      <c r="AA1371" s="43"/>
      <c r="AB1371" s="43"/>
      <c r="AC1371" s="43"/>
      <c r="AD1371" s="43"/>
      <c r="AE1371" s="43"/>
      <c r="AF1371" s="43"/>
    </row>
    <row r="1372" spans="1:32" ht="12.75" customHeight="1">
      <c r="A1372" s="324"/>
      <c r="B1372" s="308" t="str">
        <f ca="1">IF($B1364="Missing Player",$B1364,"")</f>
        <v/>
      </c>
      <c r="C1372" s="309"/>
      <c r="D1372" s="309"/>
      <c r="E1372" s="309"/>
      <c r="F1372" s="309"/>
      <c r="G1372" s="310"/>
      <c r="H1372" s="270"/>
      <c r="I1372" s="270"/>
      <c r="J1372" s="266"/>
      <c r="K1372" s="266"/>
      <c r="L1372" s="266"/>
      <c r="M1372" s="267"/>
      <c r="N1372" s="268"/>
      <c r="O1372" s="268"/>
      <c r="P1372" s="269"/>
      <c r="Q1372" s="139" t="str">
        <f ca="1">IF($Q1371&lt;&gt;"",IF($B1370&lt;&gt;"Missing Player",IF($Q1371="W",IF(SUM(IF($H1371&gt;$H1369,1,0),IF($I1371&gt;$I1369,1,0),IF($J1371&gt;$J1369,1,0),IF($K1371&gt;$K1369,1,0),IF($L1371&gt;$L1369,1,0))&lt;&gt;3,"Error",""),""),""),"")</f>
        <v/>
      </c>
      <c r="R1372" s="43" t="str">
        <f>A1360</f>
        <v>4th Singles</v>
      </c>
      <c r="S1372" s="43"/>
      <c r="T1372" s="43"/>
      <c r="U1372" s="43"/>
      <c r="V1372" s="43"/>
      <c r="W1372" s="43"/>
      <c r="X1372" s="43"/>
      <c r="Y1372" s="43"/>
      <c r="Z1372" s="43"/>
      <c r="AA1372" s="43"/>
      <c r="AB1372" s="43"/>
      <c r="AC1372" s="43"/>
      <c r="AD1372" s="43"/>
      <c r="AE1372" s="43"/>
      <c r="AF1372" s="43"/>
    </row>
    <row r="1373" spans="1:32" ht="12.75" customHeight="1">
      <c r="G1373" s="66">
        <f ca="1">COUNTIF($Q1341:$Q1341,"W")+COUNTIF($Q1348:$Q1348,"W")+COUNTIF($Q1355:$Q1355,"W")+COUNTIF($Q1362:$Q1362,"W")</f>
        <v>0</v>
      </c>
      <c r="J1373" s="66">
        <f ca="1">COUNTIF($Q1343:$Q1343,"W")+COUNTIF($Q1350:$Q1350,"W")+COUNTIF($Q1357:$Q1357,"W")+COUNTIF($Q1364:$Q1364,"W")</f>
        <v>0</v>
      </c>
      <c r="R1373" s="60" t="s">
        <v>1228</v>
      </c>
      <c r="S1373" s="339" t="s">
        <v>1126</v>
      </c>
      <c r="T1373" s="340"/>
      <c r="U1373" s="340"/>
      <c r="V1373" s="340"/>
      <c r="W1373" s="340"/>
      <c r="X1373" s="341"/>
      <c r="Y1373" s="60">
        <v>1</v>
      </c>
      <c r="Z1373" s="60">
        <v>2</v>
      </c>
      <c r="AA1373" s="60">
        <v>3</v>
      </c>
      <c r="AB1373" s="60">
        <v>4</v>
      </c>
      <c r="AC1373" s="60">
        <v>5</v>
      </c>
      <c r="AD1373" s="342"/>
      <c r="AE1373" s="343"/>
      <c r="AF1373" s="344"/>
    </row>
    <row r="1374" spans="1:32" ht="12.75" customHeight="1" thickBot="1">
      <c r="F1374" s="246" t="s">
        <v>1238</v>
      </c>
      <c r="G1374" s="246"/>
      <c r="H1374" s="246"/>
      <c r="I1374" s="246"/>
      <c r="J1374" s="246"/>
      <c r="K1374" s="246"/>
      <c r="R1374" s="300" t="str">
        <f>B1335</f>
        <v>B</v>
      </c>
      <c r="S1374" s="331" t="str">
        <f ca="1">IF($B1362&lt;&gt;"",$B1362,"")</f>
        <v/>
      </c>
      <c r="T1374" s="353"/>
      <c r="U1374" s="353"/>
      <c r="V1374" s="353"/>
      <c r="W1374" s="353"/>
      <c r="X1374" s="354"/>
      <c r="Y1374" s="329"/>
      <c r="Z1374" s="329"/>
      <c r="AA1374" s="351"/>
      <c r="AB1374" s="351"/>
      <c r="AC1374" s="351"/>
      <c r="AD1374" s="345"/>
      <c r="AE1374" s="346"/>
      <c r="AF1374" s="347"/>
    </row>
    <row r="1375" spans="1:32" ht="12.75" customHeight="1">
      <c r="A1375" s="22"/>
      <c r="B1375" s="22"/>
      <c r="C1375" s="22"/>
      <c r="D1375" s="22"/>
      <c r="E1375" s="22"/>
      <c r="G1375" s="304" t="str">
        <f>B1335</f>
        <v>B</v>
      </c>
      <c r="H1375" s="305"/>
      <c r="I1375" s="302" t="str">
        <f>K1335</f>
        <v>E</v>
      </c>
      <c r="J1375" s="303"/>
      <c r="L1375" s="22"/>
      <c r="M1375" s="22"/>
      <c r="N1375" s="22"/>
      <c r="O1375" s="22"/>
      <c r="P1375" s="22"/>
      <c r="R1375" s="301"/>
      <c r="S1375" s="355"/>
      <c r="T1375" s="356"/>
      <c r="U1375" s="356"/>
      <c r="V1375" s="356"/>
      <c r="W1375" s="356"/>
      <c r="X1375" s="357"/>
      <c r="Y1375" s="338"/>
      <c r="Z1375" s="338"/>
      <c r="AA1375" s="352"/>
      <c r="AB1375" s="352"/>
      <c r="AC1375" s="352"/>
      <c r="AD1375" s="348"/>
      <c r="AE1375" s="349"/>
      <c r="AF1375" s="350"/>
    </row>
    <row r="1376" spans="1:32" ht="12.75" customHeight="1" thickBot="1">
      <c r="A1376" s="2" t="s">
        <v>1228</v>
      </c>
      <c r="B1376" s="53" t="str">
        <f>B1335</f>
        <v>B</v>
      </c>
      <c r="C1376" s="3" t="s">
        <v>1226</v>
      </c>
      <c r="F1376" s="66" t="str">
        <f>CONCATENATE($B1335,"-",$K1335)</f>
        <v>B-E</v>
      </c>
      <c r="G1376" s="320" t="str">
        <f ca="1">IF(OR(Q1341&lt;&gt;"",Q1348&lt;&gt;"",Q1355&lt;&gt;"",Q1362&lt;&gt;"",Q1369&lt;&gt;""),COUNTIF(Q1341:Q1341,"W")+COUNTIF(Q1348:Q1348,"W")+COUNTIF(Q1355:Q1355,"W")+COUNTIF(Q1362:Q1362,"W")+COUNTIF(Q1369:Q1369,"W"),"")</f>
        <v/>
      </c>
      <c r="H1376" s="321"/>
      <c r="I1376" s="322" t="str">
        <f ca="1">IF(OR(Q1343&lt;&gt;"",Q1350&lt;&gt;"",Q1357&lt;&gt;"",Q1364&lt;&gt;"",Q1371&lt;&gt;""),COUNTIF(Q1343:Q1343,"W")+COUNTIF(Q1350:Q1350,"W")+COUNTIF(Q1357:Q1357,"W")+COUNTIF(Q1364:Q1364,"W")+COUNTIF(Q1371:Q1371,"W"),"")</f>
        <v/>
      </c>
      <c r="J1376" s="323"/>
      <c r="L1376" s="2" t="s">
        <v>1228</v>
      </c>
      <c r="M1376" s="53" t="str">
        <f>K1335</f>
        <v>E</v>
      </c>
      <c r="N1376" s="3" t="s">
        <v>1226</v>
      </c>
      <c r="R1376" s="300" t="str">
        <f>K1335</f>
        <v>E</v>
      </c>
      <c r="S1376" s="331" t="str">
        <f ca="1">IF($B1364&lt;&gt;"",$B1364,"")</f>
        <v/>
      </c>
      <c r="T1376" s="332"/>
      <c r="U1376" s="332"/>
      <c r="V1376" s="332"/>
      <c r="W1376" s="332"/>
      <c r="X1376" s="333"/>
      <c r="Y1376" s="329"/>
      <c r="Z1376" s="329"/>
      <c r="AA1376" s="351"/>
      <c r="AB1376" s="351"/>
      <c r="AC1376" s="351"/>
      <c r="AD1376" s="363" t="s">
        <v>1237</v>
      </c>
      <c r="AE1376" s="358"/>
      <c r="AF1376" s="359"/>
    </row>
    <row r="1377" spans="1:32" ht="12.75" customHeight="1">
      <c r="F1377" s="25" t="s">
        <v>3996</v>
      </c>
      <c r="G1377" s="23"/>
      <c r="H1377" s="23"/>
      <c r="I1377" s="23"/>
      <c r="J1377" s="23"/>
      <c r="K1377" s="24"/>
      <c r="R1377" s="330"/>
      <c r="S1377" s="334"/>
      <c r="T1377" s="335"/>
      <c r="U1377" s="335"/>
      <c r="V1377" s="335"/>
      <c r="W1377" s="335"/>
      <c r="X1377" s="336"/>
      <c r="Y1377" s="330"/>
      <c r="Z1377" s="330"/>
      <c r="AA1377" s="330"/>
      <c r="AB1377" s="330"/>
      <c r="AC1377" s="330"/>
      <c r="AD1377" s="360"/>
      <c r="AE1377" s="361"/>
      <c r="AF1377" s="362"/>
    </row>
    <row r="1378" spans="1:32" ht="12.75" customHeight="1">
      <c r="R1378" s="1"/>
      <c r="S1378" s="110"/>
      <c r="T1378" s="110"/>
      <c r="U1378" s="110"/>
      <c r="V1378" s="110"/>
      <c r="W1378" s="110"/>
      <c r="X1378" s="111"/>
      <c r="Y1378" s="111"/>
      <c r="Z1378" s="111"/>
      <c r="AA1378" s="111"/>
    </row>
    <row r="1379" spans="1:32" ht="12.75" customHeight="1">
      <c r="F1379" s="246" t="s">
        <v>4929</v>
      </c>
      <c r="G1379" s="246"/>
      <c r="H1379" s="246"/>
      <c r="I1379" s="246"/>
      <c r="R1379" s="1"/>
      <c r="S1379" s="110"/>
      <c r="T1379" s="110"/>
      <c r="U1379" s="110"/>
      <c r="V1379" s="110"/>
      <c r="W1379" s="110"/>
      <c r="X1379" s="111"/>
      <c r="Y1379" s="111"/>
      <c r="Z1379" s="111"/>
      <c r="AA1379" s="111"/>
    </row>
    <row r="1380" spans="1:32" ht="12.75" customHeight="1">
      <c r="F1380" s="246" t="s">
        <v>4930</v>
      </c>
      <c r="G1380" s="246"/>
      <c r="H1380" s="246"/>
      <c r="I1380" s="246"/>
      <c r="R1380" s="1"/>
      <c r="S1380" s="110"/>
      <c r="T1380" s="110"/>
      <c r="U1380" s="110"/>
      <c r="V1380" s="110"/>
      <c r="W1380" s="110"/>
      <c r="X1380" s="111"/>
      <c r="Y1380" s="111"/>
      <c r="Z1380" s="111"/>
      <c r="AA1380" s="111"/>
    </row>
    <row r="1381" spans="1:32" ht="12.75" customHeight="1">
      <c r="K1381" s="281" t="s">
        <v>1244</v>
      </c>
      <c r="L1381" s="281"/>
      <c r="M1381" s="281"/>
      <c r="N1381" s="281"/>
      <c r="O1381" s="281"/>
      <c r="P1381" s="281"/>
      <c r="R1381" s="1"/>
      <c r="S1381" s="110"/>
      <c r="T1381" s="110"/>
      <c r="U1381" s="110"/>
      <c r="V1381" s="110"/>
      <c r="W1381" s="110"/>
      <c r="X1381" s="111"/>
      <c r="Y1381" s="111"/>
      <c r="Z1381" s="111"/>
      <c r="AA1381" s="111"/>
    </row>
    <row r="1382" spans="1:32" ht="12.75" customHeight="1">
      <c r="A1382" s="12" t="s">
        <v>1229</v>
      </c>
      <c r="B1382" s="11"/>
      <c r="C1382" s="11"/>
      <c r="D1382" s="11" t="str">
        <f>Draw!$B$1</f>
        <v>Enter Division Name</v>
      </c>
      <c r="E1382" s="11"/>
      <c r="F1382" s="7"/>
      <c r="G1382" s="6"/>
      <c r="H1382" s="7"/>
      <c r="I1382" s="11"/>
      <c r="J1382" s="11"/>
      <c r="K1382" s="11"/>
      <c r="L1382" s="11"/>
      <c r="M1382" s="281"/>
      <c r="N1382" s="281"/>
      <c r="O1382" s="281"/>
      <c r="P1382" s="281"/>
      <c r="R1382" s="1"/>
      <c r="S1382" s="110"/>
      <c r="T1382" s="110"/>
      <c r="U1382" s="110"/>
      <c r="V1382" s="110"/>
      <c r="W1382" s="110"/>
      <c r="X1382" s="111"/>
      <c r="Y1382" s="111"/>
      <c r="Z1382" s="111"/>
      <c r="AA1382" s="111"/>
    </row>
    <row r="1383" spans="1:32" ht="12.75" customHeight="1">
      <c r="A1383" s="2" t="s">
        <v>1230</v>
      </c>
      <c r="D1383" s="43" t="str">
        <f>Draw!$D$1</f>
        <v>Enter Hosting Location (City, ST)</v>
      </c>
      <c r="J1383" s="43" t="str">
        <f ca="1">$J$6</f>
        <v>[NCTTA Teams Template (v2.06).xlsx]</v>
      </c>
      <c r="R1383" s="1"/>
      <c r="S1383" s="110"/>
      <c r="T1383" s="110"/>
      <c r="U1383" s="110"/>
      <c r="V1383" s="110"/>
      <c r="W1383" s="110"/>
      <c r="X1383" s="111"/>
      <c r="Y1383" s="111"/>
      <c r="Z1383" s="111"/>
      <c r="AA1383" s="111"/>
    </row>
    <row r="1384" spans="1:32" ht="12.75" customHeight="1">
      <c r="A1384" s="2" t="s">
        <v>1231</v>
      </c>
      <c r="D1384" s="337" t="str">
        <f>Draw!$P$1</f>
        <v>Enter Date</v>
      </c>
      <c r="E1384" s="337"/>
      <c r="F1384" s="337"/>
      <c r="G1384" s="337"/>
      <c r="J1384" s="280" t="str">
        <f>CHOOSE(Draw!$T$1,"Round 5, Match 4","Round 5, Match 4","","","","","","Round 7, Match 4","Round 7, Match 4","Round 6, Match 3","Round 6, Match 3")</f>
        <v/>
      </c>
      <c r="K1384" s="280"/>
      <c r="L1384" s="280"/>
      <c r="M1384" s="276" t="str">
        <f>IF(AND($J1384&lt;&gt;"",Draw!$AC$10&lt;&gt;"",Draw!$AC$13&lt;&gt;""),Draw!$AC$10+TIME(0,VALUE(MID($J1384,7,FIND(",",$J1384)-FIND(" ",$J1384)-1)-1)*Draw!$AC$13,0),"")</f>
        <v/>
      </c>
      <c r="N1384" s="276"/>
      <c r="O1384" s="157" t="str">
        <f>$F1427</f>
        <v>B-F</v>
      </c>
      <c r="R1384" s="1"/>
      <c r="S1384" s="110"/>
      <c r="T1384" s="110"/>
      <c r="U1384" s="110"/>
      <c r="V1384" s="110"/>
      <c r="W1384" s="110"/>
      <c r="X1384" s="111"/>
      <c r="Y1384" s="111"/>
      <c r="Z1384" s="111"/>
      <c r="AA1384" s="111"/>
    </row>
    <row r="1385" spans="1:32" ht="12.75" customHeight="1">
      <c r="A1385" s="14"/>
      <c r="B1385" s="15"/>
      <c r="C1385" s="15"/>
      <c r="D1385" s="15"/>
      <c r="E1385" s="15"/>
      <c r="F1385" s="14"/>
      <c r="G1385" s="14"/>
      <c r="H1385" s="16"/>
      <c r="I1385" s="14"/>
      <c r="J1385" s="15"/>
      <c r="K1385" s="15"/>
      <c r="L1385" s="15"/>
      <c r="M1385" s="15"/>
      <c r="N1385" s="15"/>
      <c r="O1385" s="364" t="str">
        <f>IF(OR(AND(VLOOKUP($B1386,$AM$1:$AX$12,12,FALSE)="C",VLOOKUP($K1386,$AM$1:$AX$12,12,FALSE)="C"),AND(VLOOKUP($B1386,$AM$1:$AX$12,12,FALSE)="W",VLOOKUP($K1386,$AM$1:$AX$12,12,FALSE)="W")),"Official",IF(AND($A1387="",$J1387=""),"","Scrimmage"))</f>
        <v/>
      </c>
      <c r="P1385" s="364"/>
      <c r="R1385" s="1"/>
      <c r="S1385" s="110"/>
      <c r="T1385" s="110"/>
      <c r="U1385" s="110"/>
      <c r="V1385" s="110"/>
      <c r="W1385" s="110"/>
      <c r="X1385" s="111"/>
      <c r="Y1385" s="111"/>
      <c r="Z1385" s="111"/>
      <c r="AA1385" s="111"/>
    </row>
    <row r="1386" spans="1:32" ht="12.75" customHeight="1">
      <c r="A1386" s="17" t="s">
        <v>1228</v>
      </c>
      <c r="B1386" s="119" t="str">
        <f>CHOOSE(Draw!$T$1,"E","G","B","B","C","C","B","B","G","B","E")</f>
        <v>B</v>
      </c>
      <c r="C1386" s="135">
        <f>VLOOKUP($B1386,$AM$1:$AN$12,2)</f>
        <v>2</v>
      </c>
      <c r="D1386" s="13"/>
      <c r="E1386" s="13"/>
      <c r="F1386" s="10"/>
      <c r="H1386" s="19" t="s">
        <v>1232</v>
      </c>
      <c r="J1386" s="17" t="s">
        <v>1228</v>
      </c>
      <c r="K1386" s="119" t="str">
        <f>CHOOSE(Draw!$T$1,"J","K","F","J","I","G","I","C","H","F","I")</f>
        <v>F</v>
      </c>
      <c r="L1386" s="135">
        <f>VLOOKUP($K1386,$AM$1:$AN$12,2)</f>
        <v>6</v>
      </c>
      <c r="M1386" s="13"/>
      <c r="N1386" s="13"/>
      <c r="O1386" s="18"/>
      <c r="P1386" s="274"/>
      <c r="Q1386" s="275"/>
      <c r="R1386" s="1"/>
      <c r="S1386" s="110"/>
      <c r="T1386" s="110"/>
      <c r="U1386" s="110"/>
      <c r="V1386" s="110"/>
      <c r="W1386" s="110"/>
      <c r="X1386" s="111"/>
      <c r="Y1386" s="111"/>
      <c r="Z1386" s="111"/>
      <c r="AA1386" s="111"/>
    </row>
    <row r="1387" spans="1:32" ht="12.75" customHeight="1">
      <c r="A1387" s="277" t="str">
        <f>IF(VLOOKUP($B1386,Draw!$A$4:$B$27,2)&lt;&gt;0,VLOOKUP($B1386,Draw!$A$4:$B$27,2),"")</f>
        <v/>
      </c>
      <c r="B1387" s="278"/>
      <c r="C1387" s="278"/>
      <c r="D1387" s="278"/>
      <c r="E1387" s="278"/>
      <c r="F1387" s="279"/>
      <c r="G1387" s="306" t="s">
        <v>4179</v>
      </c>
      <c r="H1387" s="289"/>
      <c r="I1387" s="307"/>
      <c r="J1387" s="277" t="str">
        <f>IF(VLOOKUP($K1386,Draw!$A$4:$B$27,2)&lt;&gt;0,VLOOKUP($K1386,Draw!$A$4:$B$27,2),"")</f>
        <v/>
      </c>
      <c r="K1387" s="278"/>
      <c r="L1387" s="278"/>
      <c r="M1387" s="278"/>
      <c r="N1387" s="278"/>
      <c r="O1387" s="279"/>
      <c r="P1387" s="15"/>
      <c r="R1387" s="1"/>
      <c r="S1387" s="110"/>
      <c r="T1387" s="110"/>
      <c r="U1387" s="110"/>
      <c r="V1387" s="110"/>
      <c r="W1387" s="110"/>
      <c r="X1387" s="111"/>
      <c r="Y1387" s="111"/>
      <c r="Z1387" s="111"/>
      <c r="AA1387" s="111"/>
    </row>
    <row r="1388" spans="1:32" ht="12.75" customHeight="1">
      <c r="A1388" s="14"/>
      <c r="B1388" s="15"/>
      <c r="C1388" s="15"/>
      <c r="D1388" s="15"/>
      <c r="E1388" s="15"/>
      <c r="F1388" s="14"/>
      <c r="G1388" s="288" t="str">
        <f>"Page "&amp;VALUE(RIGHT($G1387,LEN($G1387)-SEARCH("-",$G1387)))/2</f>
        <v>Page 28</v>
      </c>
      <c r="H1388" s="289"/>
      <c r="I1388" s="289"/>
      <c r="J1388" s="15"/>
      <c r="K1388" s="15"/>
      <c r="L1388" s="15"/>
      <c r="M1388" s="15"/>
      <c r="N1388" s="15"/>
      <c r="O1388" s="15"/>
      <c r="P1388" s="15"/>
      <c r="R1388" s="1"/>
      <c r="S1388" s="110"/>
      <c r="T1388" s="110"/>
      <c r="U1388" s="110"/>
      <c r="V1388" s="110"/>
      <c r="W1388" s="110"/>
      <c r="X1388" s="111"/>
      <c r="Y1388" s="111"/>
      <c r="Z1388" s="111"/>
      <c r="AA1388" s="111"/>
      <c r="AF1388" s="27"/>
    </row>
    <row r="1389" spans="1:32" ht="12.75" customHeight="1">
      <c r="A1389" s="327" t="s">
        <v>1245</v>
      </c>
      <c r="B1389" s="327"/>
      <c r="C1389" s="327"/>
      <c r="D1389" s="327"/>
      <c r="E1389" s="327"/>
      <c r="F1389" s="327"/>
      <c r="G1389" s="327"/>
      <c r="H1389" s="327"/>
      <c r="I1389" s="327"/>
      <c r="J1389" s="327"/>
      <c r="K1389" s="327"/>
      <c r="L1389" s="327"/>
      <c r="M1389" s="327"/>
      <c r="N1389" s="327"/>
      <c r="O1389" s="327"/>
      <c r="P1389" s="327"/>
      <c r="Q1389" s="7"/>
      <c r="R1389" s="1"/>
      <c r="S1389" s="110"/>
      <c r="T1389" s="110"/>
      <c r="U1389" s="110"/>
      <c r="V1389" s="110"/>
      <c r="W1389" s="110"/>
      <c r="X1389" s="111"/>
      <c r="Y1389" s="111"/>
      <c r="Z1389" s="111"/>
      <c r="AA1389" s="111"/>
      <c r="AF1389" s="20"/>
    </row>
    <row r="1390" spans="1:32" ht="12.75" customHeight="1">
      <c r="A1390" s="21" t="s">
        <v>1233</v>
      </c>
      <c r="H1390" s="136" t="str">
        <f>IF($Q1392&lt;&gt;"",IF(AND(AND($H1392&gt;-1,$H1394&gt;-1),OR($H1392&gt;10,$H1394&gt;10),ABS($H1392-$H1394)&gt;1,IF(OR($H1392&gt;11,$H1394&gt;11),ABS($H1392-$H1394)=2,TRUE),$H1392=INT($H1392),$H1394=INT($H1394)),"","Error"),"")</f>
        <v/>
      </c>
      <c r="I1390" s="136" t="str">
        <f>IF($Q1392&lt;&gt;"",IF(AND(AND($I1392&gt;-1,$I1394&gt;-1),OR($I1392&gt;10,$I1394&gt;10),ABS($I1392-$I1394)&gt;1,IF(OR($I1392&gt;11,$I1394&gt;11),ABS($I1392-$I1394)=2,TRUE),$I1392=INT($I1392),$I1394=INT($I1394)),"","Error"),"")</f>
        <v/>
      </c>
      <c r="J1390" s="136" t="str">
        <f>IF($Q1392&lt;&gt;"",IF(AND(AND($J1392&gt;-1,$J1394&gt;-1),OR($J1392&gt;10,$J1394&gt;10),ABS($J1392-$J1394)&gt;1,IF(OR($J1392&gt;11,$J1394&gt;11),ABS($J1392-$J1394)=2,TRUE),$J1392=INT($J1392),$J1394=INT($J1394)),"","Error"),"")</f>
        <v/>
      </c>
      <c r="K1390" s="136" t="str">
        <f>IF($Q1392&lt;&gt;"",IF(AND($K1392&lt;&gt;"",$K1394&lt;&gt;""), IF(AND(AND($K1392&gt;-1,$K1394&gt;-1),OR($K1392&gt;10,$K1394&gt;10),ABS($K1392-$K1394)&gt;1,IF(OR($K1392&gt;11,$K1394&gt;11),ABS($K1392-$K1394)=2,TRUE),$K1392=INT($K1392),$K1394=INT($K1394)),"","Error"),""),"")</f>
        <v/>
      </c>
      <c r="L1390" s="136" t="str">
        <f>IF($Q1392&lt;&gt;"",IF(AND($L1392&lt;&gt;"",$L1394&lt;&gt;""), IF(AND(AND($L1392&gt;-1,$L1394&gt;-1),OR($L1392&gt;10,$L1394&gt;10),ABS($L1392-$L1394)&gt;1,IF(OR($L1392&gt;11,$L1394&gt;11),ABS($L1392-$L1394)=2,TRUE),$L1392=INT($L1392),$L1394=INT($L1394)),"","Error"),""),"")</f>
        <v/>
      </c>
      <c r="R1390" s="1"/>
      <c r="S1390" s="110"/>
      <c r="T1390" s="110"/>
      <c r="U1390" s="110"/>
      <c r="V1390" s="110"/>
      <c r="W1390" s="110"/>
      <c r="X1390" s="111"/>
      <c r="Y1390" s="111"/>
      <c r="Z1390" s="111"/>
      <c r="AA1390" s="111"/>
    </row>
    <row r="1391" spans="1:32" ht="12.75" customHeight="1">
      <c r="A1391" s="5" t="s">
        <v>1228</v>
      </c>
      <c r="B1391" s="290" t="s">
        <v>1126</v>
      </c>
      <c r="C1391" s="291"/>
      <c r="D1391" s="291"/>
      <c r="E1391" s="291"/>
      <c r="F1391" s="291"/>
      <c r="G1391" s="292"/>
      <c r="H1391" s="5">
        <v>1</v>
      </c>
      <c r="I1391" s="5">
        <v>2</v>
      </c>
      <c r="J1391" s="5">
        <v>3</v>
      </c>
      <c r="K1391" s="5">
        <v>4</v>
      </c>
      <c r="L1391" s="5">
        <v>5</v>
      </c>
      <c r="M1391" s="271"/>
      <c r="N1391" s="272"/>
      <c r="O1391" s="272"/>
      <c r="P1391" s="273"/>
      <c r="R1391" s="1"/>
      <c r="S1391" s="110"/>
      <c r="T1391" s="110"/>
      <c r="U1391" s="110"/>
      <c r="V1391" s="110"/>
      <c r="W1391" s="110"/>
      <c r="X1391" s="111"/>
      <c r="Y1391" s="111"/>
      <c r="Z1391" s="111"/>
      <c r="AA1391" s="111"/>
    </row>
    <row r="1392" spans="1:32" ht="12.75" customHeight="1">
      <c r="A1392" s="300" t="str">
        <f>B1386</f>
        <v>B</v>
      </c>
      <c r="B1392" s="293" t="str">
        <f ca="1">IF(AND(OFFSET($AO$1,$C1386-1,8,1,1),$A1387&lt;&gt;"",$J1387&lt;&gt;""),CHOOSE($C1386,$AO$1,$AO$2,$AO$3,$AO$4,$AO$5,$AO$6,$AO$7,$AO$8,$AO$9,$AO$10,$AO$11,$AO$12),"")</f>
        <v/>
      </c>
      <c r="C1392" s="294"/>
      <c r="D1392" s="294"/>
      <c r="E1392" s="294"/>
      <c r="F1392" s="294"/>
      <c r="G1392" s="294"/>
      <c r="H1392" s="265"/>
      <c r="I1392" s="265"/>
      <c r="J1392" s="265"/>
      <c r="K1392" s="265"/>
      <c r="L1392" s="265"/>
      <c r="M1392" s="297"/>
      <c r="N1392" s="298"/>
      <c r="O1392" s="298"/>
      <c r="P1392" s="299"/>
      <c r="Q1392" s="137" t="str">
        <f>IF($L1392=$L1394,IF($K1392=$K1394,IF($J1392&lt;&gt;"",IF($J1392&gt;$J1394,"W","L"),""),IF($K1392&gt;$K1394,"W","L")),IF($L1392&gt;$L1394,"W","L"))</f>
        <v/>
      </c>
      <c r="R1392" s="1"/>
      <c r="S1392" s="110"/>
      <c r="T1392" s="110"/>
      <c r="U1392" s="110"/>
      <c r="V1392" s="110"/>
      <c r="W1392" s="110"/>
      <c r="X1392" s="111"/>
      <c r="Y1392" s="111"/>
      <c r="Z1392" s="111"/>
      <c r="AA1392" s="111"/>
    </row>
    <row r="1393" spans="1:32" ht="12.75" customHeight="1">
      <c r="A1393" s="301"/>
      <c r="B1393" s="295"/>
      <c r="C1393" s="296"/>
      <c r="D1393" s="296"/>
      <c r="E1393" s="296"/>
      <c r="F1393" s="296"/>
      <c r="G1393" s="296"/>
      <c r="H1393" s="270"/>
      <c r="I1393" s="270"/>
      <c r="J1393" s="270"/>
      <c r="K1393" s="270"/>
      <c r="L1393" s="270"/>
      <c r="M1393" s="297"/>
      <c r="N1393" s="298"/>
      <c r="O1393" s="298"/>
      <c r="P1393" s="299"/>
      <c r="Q1393" s="139" t="str">
        <f>IF($Q1392&lt;&gt;"",IF($Q1392="W",IF(SUM(IF($H1392&gt;$H1394,1,0),IF($I1392&gt;$I1394,1,0),IF($J1392&gt;$J1394,1,0),IF($K1392&gt;$K1394,1,0),IF($L1392&gt;$L1394,1,0))&lt;&gt;3,"Error",""),""),"")</f>
        <v/>
      </c>
      <c r="R1393" s="328" t="str">
        <f>$A1387</f>
        <v/>
      </c>
      <c r="S1393" s="328"/>
      <c r="T1393" s="328"/>
      <c r="U1393" s="328"/>
      <c r="V1393" s="328"/>
      <c r="W1393" s="328"/>
      <c r="X1393" s="256" t="str">
        <f>CONCATENATE("(",$B1386," vs ",$K1386,")")</f>
        <v>(B vs F)</v>
      </c>
      <c r="Y1393" s="256"/>
      <c r="Z1393" s="328" t="str">
        <f>$J1387</f>
        <v/>
      </c>
      <c r="AA1393" s="328"/>
      <c r="AB1393" s="328"/>
      <c r="AC1393" s="328"/>
      <c r="AD1393" s="328"/>
      <c r="AE1393" s="328"/>
      <c r="AF1393" s="43"/>
    </row>
    <row r="1394" spans="1:32" ht="12.75" customHeight="1">
      <c r="A1394" s="300" t="str">
        <f>K1386</f>
        <v>F</v>
      </c>
      <c r="B1394" s="293" t="str">
        <f ca="1">IF(AND(OFFSET($AO$1,$L1386-1,8,1,1),$A1387&lt;&gt;"",$J1387&lt;&gt;""),CHOOSE($L1386,$AO$1,$AO$2,$AO$3,$AO$4,$AO$5,$AO$6,$AO$7,$AO$8,$AO$9,$AO$10,$AO$11,$AO$12),"")</f>
        <v/>
      </c>
      <c r="C1394" s="294"/>
      <c r="D1394" s="294"/>
      <c r="E1394" s="294"/>
      <c r="F1394" s="294"/>
      <c r="G1394" s="294"/>
      <c r="H1394" s="265"/>
      <c r="I1394" s="265"/>
      <c r="J1394" s="265"/>
      <c r="K1394" s="265"/>
      <c r="L1394" s="265"/>
      <c r="M1394" s="267" t="s">
        <v>1237</v>
      </c>
      <c r="N1394" s="268"/>
      <c r="O1394" s="268"/>
      <c r="P1394" s="269"/>
      <c r="Q1394" s="137" t="str">
        <f>IF($Q1392&lt;&gt;"",IF($Q1392="W","L","W"),"")</f>
        <v/>
      </c>
      <c r="R1394" s="43"/>
      <c r="S1394" s="43"/>
      <c r="T1394" s="43"/>
      <c r="U1394" s="43"/>
      <c r="V1394" s="43"/>
      <c r="W1394" s="43"/>
      <c r="X1394" s="43"/>
      <c r="Y1394" s="43"/>
      <c r="Z1394" s="43"/>
      <c r="AA1394" s="43"/>
      <c r="AB1394" s="43"/>
      <c r="AC1394" s="43"/>
      <c r="AD1394" s="43"/>
      <c r="AE1394" s="43"/>
      <c r="AF1394" s="43"/>
    </row>
    <row r="1395" spans="1:32" ht="12.75" customHeight="1">
      <c r="A1395" s="301"/>
      <c r="B1395" s="295"/>
      <c r="C1395" s="296"/>
      <c r="D1395" s="296"/>
      <c r="E1395" s="296"/>
      <c r="F1395" s="296"/>
      <c r="G1395" s="296"/>
      <c r="H1395" s="270"/>
      <c r="I1395" s="270"/>
      <c r="J1395" s="266"/>
      <c r="K1395" s="266"/>
      <c r="L1395" s="266"/>
      <c r="M1395" s="267"/>
      <c r="N1395" s="268"/>
      <c r="O1395" s="268"/>
      <c r="P1395" s="269"/>
      <c r="Q1395" s="139" t="str">
        <f>IF($Q1394&lt;&gt;"",IF($Q1394="W",IF(SUM(IF($H1394&gt;$H1392,1,0),IF($I1394&gt;$I1392,1,0),IF($J1394&gt;$J1392,1,0),IF($K1394&gt;$K1392,1,0),IF($L1394&gt;$L1392,1,0))&lt;&gt;3,"Error",""),""),"")</f>
        <v/>
      </c>
      <c r="R1395" s="43" t="str">
        <f>$A1397</f>
        <v>2nd Singles</v>
      </c>
      <c r="S1395" s="43"/>
      <c r="T1395" s="43"/>
      <c r="U1395" s="43"/>
      <c r="V1395" s="43"/>
      <c r="W1395" s="43"/>
      <c r="X1395" s="43"/>
      <c r="Y1395" s="43"/>
      <c r="Z1395" s="43"/>
      <c r="AA1395" s="43"/>
      <c r="AB1395" s="43"/>
      <c r="AC1395" s="43"/>
      <c r="AD1395" s="43"/>
      <c r="AE1395" s="43"/>
      <c r="AF1395" s="43"/>
    </row>
    <row r="1396" spans="1:32" ht="12.75" customHeight="1">
      <c r="Q1396" s="7"/>
      <c r="R1396" s="60" t="s">
        <v>1228</v>
      </c>
      <c r="S1396" s="339" t="s">
        <v>1126</v>
      </c>
      <c r="T1396" s="340"/>
      <c r="U1396" s="340"/>
      <c r="V1396" s="340"/>
      <c r="W1396" s="340"/>
      <c r="X1396" s="341"/>
      <c r="Y1396" s="60">
        <v>1</v>
      </c>
      <c r="Z1396" s="60">
        <v>2</v>
      </c>
      <c r="AA1396" s="60">
        <v>3</v>
      </c>
      <c r="AB1396" s="60">
        <v>4</v>
      </c>
      <c r="AC1396" s="60">
        <v>5</v>
      </c>
      <c r="AD1396" s="342"/>
      <c r="AE1396" s="343"/>
      <c r="AF1396" s="344"/>
    </row>
    <row r="1397" spans="1:32" ht="12.75" customHeight="1">
      <c r="A1397" s="21" t="s">
        <v>1234</v>
      </c>
      <c r="H1397" s="136" t="str">
        <f>IF($Q1399&lt;&gt;"",IF(AND(AND($H1399&gt;-1,$H1401&gt;-1),OR($H1399&gt;10,$H1401&gt;10),ABS($H1399-$H1401)&gt;1,IF(OR($H1399&gt;11,$H1401&gt;11),ABS($H1399-$H1401)=2,TRUE),$H1399=INT($H1399),$H1401=INT($H1401)),"","Error"),"")</f>
        <v/>
      </c>
      <c r="I1397" s="136" t="str">
        <f>IF($Q1399&lt;&gt;"",IF(AND(AND($I1399&gt;-1,$I1401&gt;-1),OR($I1399&gt;10,$I1401&gt;10),ABS($I1399-$I1401)&gt;1,IF(OR($I1399&gt;11,$I1401&gt;11),ABS($I1399-$I1401)=2,TRUE),$I1399=INT($I1399),$I1401=INT($I1401)),"","Error"),"")</f>
        <v/>
      </c>
      <c r="J1397" s="136" t="str">
        <f>IF($Q1399&lt;&gt;"",IF(AND(AND($J1399&gt;-1,$J1401&gt;-1),OR($J1399&gt;10,$J1401&gt;10),ABS($J1399-$J1401)&gt;1,IF(OR($J1399&gt;11,$J1401&gt;11),ABS($J1399-$J1401)=2,TRUE),$J1399=INT($J1399),$J1401=INT($J1401)),"","Error"),"")</f>
        <v/>
      </c>
      <c r="K1397" s="136" t="str">
        <f>IF($Q1399&lt;&gt;"",IF(AND($K1399&lt;&gt;"",$K1401&lt;&gt;""), IF(AND(AND($K1399&gt;-1,$K1401&gt;-1),OR($K1399&gt;10,$K1401&gt;10),ABS($K1399-$K1401)&gt;1,IF(OR($K1399&gt;11,$K1401&gt;11),ABS($K1399-$K1401)=2,TRUE),$K1399=INT($K1399),$K1401=INT($K1401)),"","Error"),""),"")</f>
        <v/>
      </c>
      <c r="L1397" s="136" t="str">
        <f>IF($Q1399&lt;&gt;"",IF(AND($L1399&lt;&gt;"",$L1401&lt;&gt;""), IF(AND(AND($L1399&gt;-1,$L1401&gt;-1),OR($L1399&gt;10,$L1401&gt;10),ABS($L1399-$L1401)&gt;1,IF(OR($L1399&gt;11,$L1401&gt;11),ABS($L1399-$L1401)=2,TRUE),$L1399=INT($L1399),$L1401=INT($L1401)),"","Error"),""),"")</f>
        <v/>
      </c>
      <c r="Q1397" s="7"/>
      <c r="R1397" s="300" t="str">
        <f>$B1386</f>
        <v>B</v>
      </c>
      <c r="S1397" s="331" t="str">
        <f ca="1">IF($B1399&lt;&gt;"",$B1399,"")</f>
        <v/>
      </c>
      <c r="T1397" s="332"/>
      <c r="U1397" s="332"/>
      <c r="V1397" s="332"/>
      <c r="W1397" s="332"/>
      <c r="X1397" s="333"/>
      <c r="Y1397" s="329"/>
      <c r="Z1397" s="329"/>
      <c r="AA1397" s="329"/>
      <c r="AB1397" s="329"/>
      <c r="AC1397" s="329"/>
      <c r="AD1397" s="345"/>
      <c r="AE1397" s="358"/>
      <c r="AF1397" s="359"/>
    </row>
    <row r="1398" spans="1:32" ht="12.75" customHeight="1">
      <c r="A1398" s="5" t="s">
        <v>1228</v>
      </c>
      <c r="B1398" s="290" t="s">
        <v>1126</v>
      </c>
      <c r="C1398" s="291"/>
      <c r="D1398" s="291"/>
      <c r="E1398" s="291"/>
      <c r="F1398" s="291"/>
      <c r="G1398" s="292"/>
      <c r="H1398" s="5">
        <v>1</v>
      </c>
      <c r="I1398" s="5">
        <v>2</v>
      </c>
      <c r="J1398" s="5">
        <v>3</v>
      </c>
      <c r="K1398" s="5">
        <v>4</v>
      </c>
      <c r="L1398" s="5">
        <v>5</v>
      </c>
      <c r="M1398" s="271"/>
      <c r="N1398" s="272"/>
      <c r="O1398" s="272"/>
      <c r="P1398" s="273"/>
      <c r="Q1398" s="7"/>
      <c r="R1398" s="330"/>
      <c r="S1398" s="334"/>
      <c r="T1398" s="335"/>
      <c r="U1398" s="335"/>
      <c r="V1398" s="335"/>
      <c r="W1398" s="335"/>
      <c r="X1398" s="336"/>
      <c r="Y1398" s="330"/>
      <c r="Z1398" s="330"/>
      <c r="AA1398" s="330"/>
      <c r="AB1398" s="330"/>
      <c r="AC1398" s="330"/>
      <c r="AD1398" s="360"/>
      <c r="AE1398" s="361"/>
      <c r="AF1398" s="362"/>
    </row>
    <row r="1399" spans="1:32" ht="12.75" customHeight="1">
      <c r="A1399" s="300" t="str">
        <f>B1386</f>
        <v>B</v>
      </c>
      <c r="B1399" s="293" t="str">
        <f ca="1">IF(AND(OFFSET($AO$1,$C1386-1,8,1,1),$A1387&lt;&gt;"",$J1387&lt;&gt;""),CHOOSE($C1386,$AP$1,$AP$2,$AP$3,$AP$4,$AP$5,$AP$6,$AP$7,$AP$8,$AP$9,$AP$10,$AP$11,$AP$12),"")</f>
        <v/>
      </c>
      <c r="C1399" s="294"/>
      <c r="D1399" s="294"/>
      <c r="E1399" s="294"/>
      <c r="F1399" s="294"/>
      <c r="G1399" s="294"/>
      <c r="H1399" s="265"/>
      <c r="I1399" s="265"/>
      <c r="J1399" s="265"/>
      <c r="K1399" s="265"/>
      <c r="L1399" s="265"/>
      <c r="M1399" s="262" t="str">
        <f ca="1">IF(OR(AND($B1392&lt;&gt;"",$B1399&lt;&gt;"",$C1417&lt;=$B1417),AND($B1394&lt;&gt;"",$B1401&lt;&gt;"",$G1417&lt;=$F1417)),"Invalid Lineup","")</f>
        <v/>
      </c>
      <c r="N1399" s="263"/>
      <c r="O1399" s="263"/>
      <c r="P1399" s="264"/>
      <c r="Q1399" s="137" t="str">
        <f>IF($L1399=$L1401,IF($K1399=$K1401,IF($J1399&lt;&gt;"",IF($J1399&gt;$J1401,"W","L"),""),IF($K1399&gt;$K1401,"W","L")),IF($L1399&gt;$L1401,"W","L"))</f>
        <v/>
      </c>
      <c r="R1399" s="300" t="str">
        <f>$K1386</f>
        <v>F</v>
      </c>
      <c r="S1399" s="331" t="str">
        <f ca="1">IF($B1401&lt;&gt;"",$B1401,"")</f>
        <v/>
      </c>
      <c r="T1399" s="332"/>
      <c r="U1399" s="332"/>
      <c r="V1399" s="332"/>
      <c r="W1399" s="332"/>
      <c r="X1399" s="333"/>
      <c r="Y1399" s="329"/>
      <c r="Z1399" s="329"/>
      <c r="AA1399" s="329"/>
      <c r="AB1399" s="329"/>
      <c r="AC1399" s="351"/>
      <c r="AD1399" s="363" t="s">
        <v>1237</v>
      </c>
      <c r="AE1399" s="358"/>
      <c r="AF1399" s="359"/>
    </row>
    <row r="1400" spans="1:32" ht="12.75" customHeight="1">
      <c r="A1400" s="301"/>
      <c r="B1400" s="295"/>
      <c r="C1400" s="296"/>
      <c r="D1400" s="296"/>
      <c r="E1400" s="296"/>
      <c r="F1400" s="296"/>
      <c r="G1400" s="296"/>
      <c r="H1400" s="270"/>
      <c r="I1400" s="270"/>
      <c r="J1400" s="270"/>
      <c r="K1400" s="270"/>
      <c r="L1400" s="270"/>
      <c r="M1400" s="262"/>
      <c r="N1400" s="263"/>
      <c r="O1400" s="263"/>
      <c r="P1400" s="264"/>
      <c r="Q1400" s="139" t="str">
        <f>IF($Q1399&lt;&gt;"",IF($Q1399="W",IF(SUM(IF($H1399&gt;$H1401,1,0),IF($I1399&gt;$I1401,1,0),IF($J1399&gt;$J1401,1,0),IF($K1399&gt;$K1401,1,0),IF($L1399&gt;$L1401,1,0))&lt;&gt;3,"Error",""),""),"")</f>
        <v/>
      </c>
      <c r="R1400" s="330"/>
      <c r="S1400" s="334"/>
      <c r="T1400" s="335"/>
      <c r="U1400" s="335"/>
      <c r="V1400" s="335"/>
      <c r="W1400" s="335"/>
      <c r="X1400" s="336"/>
      <c r="Y1400" s="330"/>
      <c r="Z1400" s="330"/>
      <c r="AA1400" s="330"/>
      <c r="AB1400" s="330"/>
      <c r="AC1400" s="330"/>
      <c r="AD1400" s="360"/>
      <c r="AE1400" s="361"/>
      <c r="AF1400" s="362"/>
    </row>
    <row r="1401" spans="1:32" ht="12.75" customHeight="1">
      <c r="A1401" s="300" t="str">
        <f>K1386</f>
        <v>F</v>
      </c>
      <c r="B1401" s="293" t="str">
        <f ca="1">IF(AND(OFFSET($AO$1,$L1386-1,8,1,1),$A1387&lt;&gt;"",$J1387&lt;&gt;""),CHOOSE($L1386,$AP$1,$AP$2,$AP$3,$AP$4,$AP$5,$AP$6,$AP$7,$AP$8,$AP$9,$AP$10,$AP$11,$AP$12),"")</f>
        <v/>
      </c>
      <c r="C1401" s="294"/>
      <c r="D1401" s="294"/>
      <c r="E1401" s="294"/>
      <c r="F1401" s="294"/>
      <c r="G1401" s="294"/>
      <c r="H1401" s="265"/>
      <c r="I1401" s="265"/>
      <c r="J1401" s="265"/>
      <c r="K1401" s="265"/>
      <c r="L1401" s="265"/>
      <c r="M1401" s="267" t="s">
        <v>1237</v>
      </c>
      <c r="N1401" s="268"/>
      <c r="O1401" s="268"/>
      <c r="P1401" s="269"/>
      <c r="Q1401" s="137" t="str">
        <f>IF($Q1399&lt;&gt;"",IF($Q1399="W","L","W"),"")</f>
        <v/>
      </c>
      <c r="R1401" s="20"/>
      <c r="S1401" s="20"/>
      <c r="T1401" s="20"/>
      <c r="U1401" s="20"/>
      <c r="V1401" s="20"/>
      <c r="W1401" s="20"/>
      <c r="X1401" s="26"/>
      <c r="Y1401" s="26"/>
      <c r="Z1401" s="20"/>
      <c r="AA1401" s="20"/>
      <c r="AB1401" s="20"/>
      <c r="AC1401" s="20"/>
      <c r="AD1401" s="20"/>
      <c r="AE1401" s="20"/>
      <c r="AF1401" s="27"/>
    </row>
    <row r="1402" spans="1:32" ht="12.75" customHeight="1">
      <c r="A1402" s="301"/>
      <c r="B1402" s="295"/>
      <c r="C1402" s="296"/>
      <c r="D1402" s="296"/>
      <c r="E1402" s="296"/>
      <c r="F1402" s="296"/>
      <c r="G1402" s="296"/>
      <c r="H1402" s="270"/>
      <c r="I1402" s="270"/>
      <c r="J1402" s="266"/>
      <c r="K1402" s="266"/>
      <c r="L1402" s="266"/>
      <c r="M1402" s="267"/>
      <c r="N1402" s="268"/>
      <c r="O1402" s="268"/>
      <c r="P1402" s="269"/>
      <c r="Q1402" s="139" t="str">
        <f>IF($Q1401&lt;&gt;"",IF($Q1401="W",IF(SUM(IF($H1401&gt;$H1399,1,0),IF($I1401&gt;$I1399,1,0),IF($J1401&gt;$J1399,1,0),IF($K1401&gt;$K1399,1,0),IF($L1401&gt;$L1399,1,0))&lt;&gt;3,"Error",""),""),"")</f>
        <v/>
      </c>
      <c r="R1402" s="20"/>
      <c r="S1402" s="20"/>
      <c r="T1402" s="20"/>
      <c r="U1402" s="20"/>
      <c r="V1402" s="20"/>
      <c r="W1402" s="20"/>
      <c r="X1402" s="26"/>
      <c r="Y1402" s="26"/>
      <c r="Z1402" s="20"/>
      <c r="AA1402" s="20"/>
      <c r="AB1402" s="20"/>
      <c r="AC1402" s="20"/>
      <c r="AD1402" s="20"/>
      <c r="AE1402" s="20"/>
      <c r="AF1402" s="27"/>
    </row>
    <row r="1403" spans="1:32" ht="12.75" customHeight="1">
      <c r="Q1403" s="7"/>
      <c r="R1403" s="20"/>
      <c r="S1403" s="20"/>
      <c r="T1403" s="20"/>
      <c r="U1403" s="20"/>
      <c r="V1403" s="20"/>
      <c r="W1403" s="20"/>
      <c r="X1403" s="26"/>
      <c r="Y1403" s="26"/>
      <c r="Z1403" s="20"/>
      <c r="AA1403" s="20"/>
      <c r="AB1403" s="20"/>
      <c r="AC1403" s="20"/>
      <c r="AD1403" s="20"/>
      <c r="AE1403" s="20"/>
      <c r="AF1403" s="27"/>
    </row>
    <row r="1404" spans="1:32" ht="12.75" customHeight="1">
      <c r="A1404" s="21" t="s">
        <v>1235</v>
      </c>
      <c r="H1404" s="136" t="str">
        <f>IF($Q1406&lt;&gt;"",IF(AND(AND($H1406&gt;-1,$H1408&gt;-1),OR($H1406&gt;10,$H1408&gt;10),ABS($H1406-$H1408)&gt;1,IF(OR($H1406&gt;11,$H1408&gt;11),ABS($H1406-$H1408)=2,TRUE),$H1406=INT($H1406),$H1408=INT($H1408)),"","Error"),"")</f>
        <v/>
      </c>
      <c r="I1404" s="136" t="str">
        <f>IF($Q1406&lt;&gt;"",IF(AND(AND($I1406&gt;-1,$I1408&gt;-1),OR($I1406&gt;10,$I1408&gt;10),ABS($I1406-$I1408)&gt;1,IF(OR($I1406&gt;11,$I1408&gt;11),ABS($I1406-$I1408)=2,TRUE),$I1406=INT($I1406),$I1408=INT($I1408)),"","Error"),"")</f>
        <v/>
      </c>
      <c r="J1404" s="136" t="str">
        <f>IF($Q1406&lt;&gt;"",IF(AND(AND($J1406&gt;-1,$J1408&gt;-1),OR($J1406&gt;10,$J1408&gt;10),ABS($J1406-$J1408)&gt;1,IF(OR($J1406&gt;11,$J1408&gt;11),ABS($J1406-$J1408)=2,TRUE),$J1406=INT($J1406),$J1408=INT($J1408)),"","Error"),"")</f>
        <v/>
      </c>
      <c r="K1404" s="136" t="str">
        <f>IF($Q1406&lt;&gt;"",IF(AND($K1406&lt;&gt;"",$K1408&lt;&gt;""), IF(AND(AND($K1406&gt;-1,$K1408&gt;-1),OR($K1406&gt;10,$K1408&gt;10),ABS($K1406-$K1408)&gt;1,IF(OR($K1406&gt;11,$K1408&gt;11),ABS($K1406-$K1408)=2,TRUE),$K1406=INT($K1406),$K1408=INT($K1408)),"","Error"),""),"")</f>
        <v/>
      </c>
      <c r="L1404" s="136" t="str">
        <f>IF($Q1406&lt;&gt;"",IF(AND($L1406&lt;&gt;"",$L1408&lt;&gt;""), IF(AND(AND($L1406&gt;-1,$L1408&gt;-1),OR($L1406&gt;10,$L1408&gt;10),ABS($L1406-$L1408)&gt;1,IF(OR($L1406&gt;11,$L1408&gt;11),ABS($L1406-$L1408)=2,TRUE),$L1406=INT($L1406),$L1408=INT($L1408)),"","Error"),""),"")</f>
        <v/>
      </c>
      <c r="Q1404" s="7"/>
      <c r="R1404" s="20"/>
      <c r="S1404" s="20"/>
      <c r="T1404" s="20"/>
      <c r="U1404" s="20"/>
      <c r="V1404" s="20"/>
      <c r="W1404" s="20"/>
      <c r="X1404" s="26"/>
      <c r="Y1404" s="26"/>
      <c r="Z1404" s="20"/>
      <c r="AA1404" s="20"/>
      <c r="AB1404" s="20"/>
      <c r="AC1404" s="20"/>
      <c r="AD1404" s="20"/>
      <c r="AE1404" s="20"/>
      <c r="AF1404" s="27"/>
    </row>
    <row r="1405" spans="1:32" ht="12.75" customHeight="1">
      <c r="A1405" s="5" t="s">
        <v>1228</v>
      </c>
      <c r="B1405" s="290" t="s">
        <v>1126</v>
      </c>
      <c r="C1405" s="291"/>
      <c r="D1405" s="291"/>
      <c r="E1405" s="291"/>
      <c r="F1405" s="291"/>
      <c r="G1405" s="292"/>
      <c r="H1405" s="5">
        <v>1</v>
      </c>
      <c r="I1405" s="5">
        <v>2</v>
      </c>
      <c r="J1405" s="5">
        <v>3</v>
      </c>
      <c r="K1405" s="5">
        <v>4</v>
      </c>
      <c r="L1405" s="5">
        <v>5</v>
      </c>
      <c r="M1405" s="271"/>
      <c r="N1405" s="272"/>
      <c r="O1405" s="272"/>
      <c r="P1405" s="273"/>
      <c r="Q1405" s="7"/>
      <c r="R1405" s="20"/>
      <c r="S1405" s="20"/>
      <c r="T1405" s="20"/>
      <c r="U1405" s="20"/>
      <c r="V1405" s="20"/>
      <c r="W1405" s="20"/>
      <c r="X1405" s="26"/>
      <c r="Y1405" s="26"/>
      <c r="Z1405" s="20"/>
      <c r="AA1405" s="20"/>
      <c r="AB1405" s="20"/>
      <c r="AC1405" s="20"/>
      <c r="AD1405" s="20"/>
      <c r="AE1405" s="20"/>
      <c r="AF1405" s="27"/>
    </row>
    <row r="1406" spans="1:32" ht="12.75" customHeight="1">
      <c r="A1406" s="300" t="str">
        <f>B1386</f>
        <v>B</v>
      </c>
      <c r="B1406" s="293" t="str">
        <f ca="1">IF(AND(OFFSET($AO$1,$C1386-1,8,1,1),$A1387&lt;&gt;"",$J1387&lt;&gt;""),CHOOSE($C1386,$AQ$1,$AQ$2,$AQ$3,$AQ$4,$AQ$5,$AQ$6,$AQ$7,$AQ$8,$AQ$9,$AQ$10,$AQ$11,$AQ$12),"")</f>
        <v/>
      </c>
      <c r="C1406" s="294"/>
      <c r="D1406" s="294"/>
      <c r="E1406" s="294"/>
      <c r="F1406" s="294"/>
      <c r="G1406" s="294"/>
      <c r="H1406" s="265"/>
      <c r="I1406" s="265"/>
      <c r="J1406" s="265"/>
      <c r="K1406" s="265"/>
      <c r="L1406" s="265"/>
      <c r="M1406" s="262" t="str">
        <f ca="1">IF(OR(AND($B1399&lt;&gt;"",$B1406&lt;&gt;"",$D1417&lt;=$C1417),AND($B1401&lt;&gt;"",$B1408&lt;&gt;"",$H1417&lt;=$G1417)),"Invalid Lineup","")</f>
        <v/>
      </c>
      <c r="N1406" s="263"/>
      <c r="O1406" s="263"/>
      <c r="P1406" s="264"/>
      <c r="Q1406" s="137" t="str">
        <f>IF($L1406=$L1408,IF($K1406=$K1408,IF($J1406&lt;&gt;"",IF($J1406&gt;$J1408,"W","L"),""),IF($K1406&gt;$K1408,"W","L")),IF($L1406&gt;$L1408,"W","L"))</f>
        <v/>
      </c>
      <c r="R1406" s="20"/>
      <c r="S1406" s="20"/>
      <c r="T1406" s="20"/>
      <c r="U1406" s="20"/>
      <c r="V1406" s="20"/>
      <c r="W1406" s="20"/>
      <c r="X1406" s="26"/>
      <c r="Y1406" s="26"/>
      <c r="Z1406" s="20"/>
      <c r="AA1406" s="20"/>
      <c r="AB1406" s="20"/>
      <c r="AC1406" s="20"/>
      <c r="AD1406" s="20"/>
      <c r="AE1406" s="20"/>
      <c r="AF1406" s="27"/>
    </row>
    <row r="1407" spans="1:32" ht="12.75" customHeight="1">
      <c r="A1407" s="301"/>
      <c r="B1407" s="295"/>
      <c r="C1407" s="296"/>
      <c r="D1407" s="296"/>
      <c r="E1407" s="296"/>
      <c r="F1407" s="296"/>
      <c r="G1407" s="296"/>
      <c r="H1407" s="270"/>
      <c r="I1407" s="270"/>
      <c r="J1407" s="270"/>
      <c r="K1407" s="270"/>
      <c r="L1407" s="270"/>
      <c r="M1407" s="262"/>
      <c r="N1407" s="263"/>
      <c r="O1407" s="263"/>
      <c r="P1407" s="264"/>
      <c r="Q1407" s="139" t="str">
        <f>IF($Q1406&lt;&gt;"",IF($Q1406="W",IF(SUM(IF($H1406&gt;$H1408,1,0),IF($I1406&gt;$I1408,1,0),IF($J1406&gt;$J1408,1,0),IF($K1406&gt;$K1408,1,0),IF($L1406&gt;$L1408,1,0))&lt;&gt;3,"Error",""),""),"")</f>
        <v/>
      </c>
      <c r="R1407" s="328" t="str">
        <f>$A1387</f>
        <v/>
      </c>
      <c r="S1407" s="328"/>
      <c r="T1407" s="328"/>
      <c r="U1407" s="328"/>
      <c r="V1407" s="328"/>
      <c r="W1407" s="328"/>
      <c r="X1407" s="256" t="str">
        <f>CONCATENATE("(",$B1386," vs ",$K1386,")")</f>
        <v>(B vs F)</v>
      </c>
      <c r="Y1407" s="256"/>
      <c r="Z1407" s="328" t="str">
        <f>$J1387</f>
        <v/>
      </c>
      <c r="AA1407" s="328"/>
      <c r="AB1407" s="328"/>
      <c r="AC1407" s="328"/>
      <c r="AD1407" s="328"/>
      <c r="AE1407" s="328"/>
      <c r="AF1407" s="100"/>
    </row>
    <row r="1408" spans="1:32" ht="12.75" customHeight="1">
      <c r="A1408" s="300" t="str">
        <f>K1386</f>
        <v>F</v>
      </c>
      <c r="B1408" s="293" t="str">
        <f ca="1">IF(AND(OFFSET($AO$1,$L1386-1,8,1,1),$A1387&lt;&gt;"",$J1387&lt;&gt;""),CHOOSE($L1386,$AQ$1,$AQ$2,$AQ$3,$AQ$4,$AQ$5,$AQ$6,$AQ$7,$AQ$8,$AQ$9,$AQ$10,$AQ$11,$AQ$12),"")</f>
        <v/>
      </c>
      <c r="C1408" s="294"/>
      <c r="D1408" s="294"/>
      <c r="E1408" s="294"/>
      <c r="F1408" s="294"/>
      <c r="G1408" s="294"/>
      <c r="H1408" s="265"/>
      <c r="I1408" s="265"/>
      <c r="J1408" s="265"/>
      <c r="K1408" s="265"/>
      <c r="L1408" s="265"/>
      <c r="M1408" s="267" t="s">
        <v>1237</v>
      </c>
      <c r="N1408" s="268"/>
      <c r="O1408" s="268"/>
      <c r="P1408" s="269"/>
      <c r="Q1408" s="137" t="str">
        <f>IF($Q1406&lt;&gt;"",IF($Q1406="W","L","W"),"")</f>
        <v/>
      </c>
      <c r="R1408" s="100"/>
      <c r="S1408" s="100"/>
      <c r="T1408" s="100"/>
      <c r="U1408" s="100"/>
      <c r="V1408" s="100"/>
      <c r="W1408" s="100"/>
      <c r="X1408" s="100"/>
      <c r="Y1408" s="100"/>
      <c r="Z1408" s="100"/>
      <c r="AA1408" s="100"/>
      <c r="AB1408" s="100"/>
      <c r="AC1408" s="100"/>
      <c r="AD1408" s="100"/>
      <c r="AE1408" s="100"/>
      <c r="AF1408" s="100"/>
    </row>
    <row r="1409" spans="1:32" ht="12.75" customHeight="1">
      <c r="A1409" s="301"/>
      <c r="B1409" s="295"/>
      <c r="C1409" s="296"/>
      <c r="D1409" s="296"/>
      <c r="E1409" s="296"/>
      <c r="F1409" s="296"/>
      <c r="G1409" s="296"/>
      <c r="H1409" s="270"/>
      <c r="I1409" s="270"/>
      <c r="J1409" s="266"/>
      <c r="K1409" s="266"/>
      <c r="L1409" s="266"/>
      <c r="M1409" s="267"/>
      <c r="N1409" s="268"/>
      <c r="O1409" s="268"/>
      <c r="P1409" s="269"/>
      <c r="Q1409" s="139" t="str">
        <f>IF($Q1408&lt;&gt;"",IF($Q1408="W",IF(SUM(IF($H1408&gt;$H1406,1,0),IF($I1408&gt;$I1406,1,0),IF($J1408&gt;$J1406,1,0),IF($K1408&gt;$K1406,1,0),IF($L1408&gt;$L1406,1,0))&lt;&gt;3,"Error",""),""),"")</f>
        <v/>
      </c>
      <c r="R1409" s="43" t="str">
        <f>$A1404</f>
        <v>3rd Singles</v>
      </c>
      <c r="S1409" s="43"/>
      <c r="T1409" s="43"/>
      <c r="U1409" s="43"/>
      <c r="V1409" s="43"/>
      <c r="W1409" s="43"/>
      <c r="X1409" s="43"/>
      <c r="Y1409" s="43"/>
      <c r="Z1409" s="43"/>
      <c r="AA1409" s="43"/>
      <c r="AB1409" s="43"/>
      <c r="AC1409" s="43"/>
      <c r="AD1409" s="43"/>
      <c r="AE1409" s="43"/>
      <c r="AF1409" s="43"/>
    </row>
    <row r="1410" spans="1:32" ht="12.75" customHeight="1">
      <c r="Q1410" s="7"/>
      <c r="R1410" s="60" t="s">
        <v>1228</v>
      </c>
      <c r="S1410" s="101" t="s">
        <v>1126</v>
      </c>
      <c r="T1410" s="102"/>
      <c r="U1410" s="102"/>
      <c r="V1410" s="102"/>
      <c r="W1410" s="102"/>
      <c r="X1410" s="103"/>
      <c r="Y1410" s="60">
        <v>1</v>
      </c>
      <c r="Z1410" s="60">
        <v>2</v>
      </c>
      <c r="AA1410" s="60">
        <v>3</v>
      </c>
      <c r="AB1410" s="60">
        <v>4</v>
      </c>
      <c r="AC1410" s="60">
        <v>5</v>
      </c>
      <c r="AD1410" s="104"/>
      <c r="AE1410" s="105"/>
      <c r="AF1410" s="106"/>
    </row>
    <row r="1411" spans="1:32" ht="12.75" customHeight="1">
      <c r="A1411" s="21" t="s">
        <v>1236</v>
      </c>
      <c r="H1411" s="136" t="str">
        <f ca="1">IF($Q1413&lt;&gt;"",IF(AND($B1413&lt;&gt;"Missing Player",$B1415&lt;&gt;"Missing Player"),IF(AND(AND($H1413&gt;-1,$H1415&gt;-1),OR($H1413&gt;10,$H1415&gt;10),ABS($H1413-$H1415)&gt;1,IF(OR($H1413&gt;11,$H1415&gt;11),ABS($H1413-$H1415)=2,TRUE),$H1413=INT($H1413),$H1415=INT($H1415)),"","Error"),""),"")</f>
        <v/>
      </c>
      <c r="I1411" s="136" t="str">
        <f ca="1">IF($Q1413&lt;&gt;"",IF(AND($B1413&lt;&gt;"Missing Player",$B1415&lt;&gt;"Missing Player"),IF(AND(AND($I1413&gt;-1,$I1415&gt;-1),OR($I1413&gt;10,$I1415&gt;10),ABS($I1413-$I1415)&gt;1,IF(OR($I1413&gt;11,$I1415&gt;11),ABS($I1413-$I1415)=2,TRUE),$I1413=INT($I1413),$I1415=INT($I1415)),"","Error"),""),"")</f>
        <v/>
      </c>
      <c r="J1411" s="136" t="str">
        <f ca="1">IF($Q1413&lt;&gt;"",IF(AND($B1413&lt;&gt;"Missing Player",$B1415&lt;&gt;"Missing Player"),IF(AND(AND($J1413&gt;-1,$J1415&gt;-1),OR($J1413&gt;10,$J1415&gt;10),ABS($J1413-$J1415)&gt;1,IF(OR($J1413&gt;11,$J1415&gt;11),ABS($J1413-$J1415)=2,TRUE),$J1413=INT($J1413),$J1415=INT($J1415)),"","Error"),""),"")</f>
        <v/>
      </c>
      <c r="K1411" s="136" t="str">
        <f ca="1">IF($Q1413&lt;&gt;"",IF(AND($K1413&lt;&gt;"",$K1415&lt;&gt;""), IF(AND(AND($K1413&gt;-1,$K1415&gt;-1),OR($K1413&gt;10,$K1415&gt;10),ABS($K1413-$K1415)&gt;1,IF(OR($K1413&gt;11,$K1415&gt;11),ABS($K1413-$K1415)=2,TRUE),$K1413=INT($K1413),$K1415=INT($K1415)),"","Error"),""),"")</f>
        <v/>
      </c>
      <c r="L1411" s="136" t="str">
        <f ca="1">IF($Q1413&lt;&gt;"",IF(AND($L1413&lt;&gt;"",$L1415&lt;&gt;""), IF(AND(AND($L1413&gt;-1,$L1415&gt;-1),OR($L1413&gt;10,$L1415&gt;10),ABS($L1413-$L1415)&gt;1,IF(OR($L1413&gt;11,$L1415&gt;11),ABS($L1413-$L1415)=2,TRUE),$L1413=INT($L1413),$L1415=INT($L1415)),"","Error"),""),"")</f>
        <v/>
      </c>
      <c r="Q1411" s="7"/>
      <c r="R1411" s="300" t="str">
        <f>$B1386</f>
        <v>B</v>
      </c>
      <c r="S1411" s="331" t="str">
        <f ca="1">IF($B1406&lt;&gt;"",$B1406,"")</f>
        <v/>
      </c>
      <c r="T1411" s="332"/>
      <c r="U1411" s="332"/>
      <c r="V1411" s="332"/>
      <c r="W1411" s="332"/>
      <c r="X1411" s="333"/>
      <c r="Y1411" s="329"/>
      <c r="Z1411" s="329"/>
      <c r="AA1411" s="329"/>
      <c r="AB1411" s="329"/>
      <c r="AC1411" s="329"/>
      <c r="AD1411" s="345"/>
      <c r="AE1411" s="358"/>
      <c r="AF1411" s="359"/>
    </row>
    <row r="1412" spans="1:32" ht="12.75" customHeight="1">
      <c r="A1412" s="5" t="s">
        <v>1228</v>
      </c>
      <c r="B1412" s="290" t="s">
        <v>1126</v>
      </c>
      <c r="C1412" s="291"/>
      <c r="D1412" s="291"/>
      <c r="E1412" s="291"/>
      <c r="F1412" s="291"/>
      <c r="G1412" s="292"/>
      <c r="H1412" s="5">
        <v>1</v>
      </c>
      <c r="I1412" s="5">
        <v>2</v>
      </c>
      <c r="J1412" s="5">
        <v>3</v>
      </c>
      <c r="K1412" s="5">
        <v>4</v>
      </c>
      <c r="L1412" s="5">
        <v>5</v>
      </c>
      <c r="M1412" s="271"/>
      <c r="N1412" s="272"/>
      <c r="O1412" s="272"/>
      <c r="P1412" s="273"/>
      <c r="Q1412" s="7"/>
      <c r="R1412" s="330"/>
      <c r="S1412" s="334"/>
      <c r="T1412" s="335"/>
      <c r="U1412" s="335"/>
      <c r="V1412" s="335"/>
      <c r="W1412" s="335"/>
      <c r="X1412" s="336"/>
      <c r="Y1412" s="330"/>
      <c r="Z1412" s="330"/>
      <c r="AA1412" s="330"/>
      <c r="AB1412" s="330"/>
      <c r="AC1412" s="330"/>
      <c r="AD1412" s="360"/>
      <c r="AE1412" s="361"/>
      <c r="AF1412" s="362"/>
    </row>
    <row r="1413" spans="1:32" ht="12.75" customHeight="1">
      <c r="A1413" s="300" t="str">
        <f>B1386</f>
        <v>B</v>
      </c>
      <c r="B1413" s="293" t="str">
        <f ca="1">IF(AND(OFFSET($AO$1,$C1386-1,8,1,1),$A1387&lt;&gt;"",$J1387&lt;&gt;""),CHOOSE($C1386,$AR$1,$AR$2,$AR$3,$AR$4,$AR$5,$AR$6,$AR$7,$AR$8,$AR$9,$AR$10,$AR$11,$AR$12),"")</f>
        <v/>
      </c>
      <c r="C1413" s="294"/>
      <c r="D1413" s="294"/>
      <c r="E1413" s="294"/>
      <c r="F1413" s="294"/>
      <c r="G1413" s="294"/>
      <c r="H1413" s="265"/>
      <c r="I1413" s="265"/>
      <c r="J1413" s="265"/>
      <c r="K1413" s="265"/>
      <c r="L1413" s="265" t="str">
        <f ca="1">IF(AND($B1413&lt;&gt;"",$Q1392&lt;&gt;""),IF($B1413="Missing Player",0,IF($B1415="Missing Player",11,"")),"")</f>
        <v/>
      </c>
      <c r="M1413" s="262" t="str">
        <f ca="1">IF(OR(AND($B1406&lt;&gt;"",$B1413&lt;&gt;"",$E1417&lt;=$D1417),AND($B1408&lt;&gt;"",$B1415&lt;&gt;"",$I1417&lt;=$H1417)),"Invalid Lineup","")</f>
        <v/>
      </c>
      <c r="N1413" s="263"/>
      <c r="O1413" s="263"/>
      <c r="P1413" s="264"/>
      <c r="Q1413" s="137" t="str">
        <f ca="1">IF($L1413=$L1415,IF($K1413=$K1415,IF($J1413&lt;&gt;"",IF($J1413&gt;$J1415,"W","L"),""),IF($K1413&gt;$K1415,"W","L")),IF($L1413&gt;$L1415,"W","L"))</f>
        <v/>
      </c>
      <c r="R1413" s="300" t="str">
        <f>$K1386</f>
        <v>F</v>
      </c>
      <c r="S1413" s="331" t="str">
        <f ca="1">IF($B1408&lt;&gt;"",$B1408,"")</f>
        <v/>
      </c>
      <c r="T1413" s="332"/>
      <c r="U1413" s="332"/>
      <c r="V1413" s="332"/>
      <c r="W1413" s="332"/>
      <c r="X1413" s="333"/>
      <c r="Y1413" s="329"/>
      <c r="Z1413" s="329"/>
      <c r="AA1413" s="329"/>
      <c r="AB1413" s="329"/>
      <c r="AC1413" s="351"/>
      <c r="AD1413" s="363" t="s">
        <v>1237</v>
      </c>
      <c r="AE1413" s="358"/>
      <c r="AF1413" s="359"/>
    </row>
    <row r="1414" spans="1:32" ht="12.75" customHeight="1">
      <c r="A1414" s="301"/>
      <c r="B1414" s="295"/>
      <c r="C1414" s="296"/>
      <c r="D1414" s="296"/>
      <c r="E1414" s="296"/>
      <c r="F1414" s="296"/>
      <c r="G1414" s="296"/>
      <c r="H1414" s="270"/>
      <c r="I1414" s="270"/>
      <c r="J1414" s="270"/>
      <c r="K1414" s="270"/>
      <c r="L1414" s="270"/>
      <c r="M1414" s="262"/>
      <c r="N1414" s="263"/>
      <c r="O1414" s="263"/>
      <c r="P1414" s="264"/>
      <c r="Q1414" s="139" t="str">
        <f ca="1">IF($Q1413&lt;&gt;"",IF($B1415&lt;&gt;"Missing Player",IF($Q1413="W",IF(SUM(IF($H1413&gt;$H1415,1,0),IF($I1413&gt;$I1415,1,0),IF($J1413&gt;$J1415,1,0),IF($K1413&gt;$K1415,1,0),IF($L1413&gt;$L1415,1,0))&lt;&gt;3,"Error",""),""),""),"")</f>
        <v/>
      </c>
      <c r="R1414" s="330"/>
      <c r="S1414" s="334"/>
      <c r="T1414" s="335"/>
      <c r="U1414" s="335"/>
      <c r="V1414" s="335"/>
      <c r="W1414" s="335"/>
      <c r="X1414" s="336"/>
      <c r="Y1414" s="330"/>
      <c r="Z1414" s="330"/>
      <c r="AA1414" s="330"/>
      <c r="AB1414" s="330"/>
      <c r="AC1414" s="330"/>
      <c r="AD1414" s="360"/>
      <c r="AE1414" s="361"/>
      <c r="AF1414" s="362"/>
    </row>
    <row r="1415" spans="1:32" ht="12.75" customHeight="1">
      <c r="A1415" s="300" t="str">
        <f>K1386</f>
        <v>F</v>
      </c>
      <c r="B1415" s="293" t="str">
        <f ca="1">IF(AND(OFFSET($AO$1,$L1386-1,8,1,1),$A1387&lt;&gt;"",$J1387&lt;&gt;""),CHOOSE($L1386,$AR$1,$AR$2,$AR$3,$AR$4,$AR$5,$AR$6,$AR$7,$AR$8,$AR$9,$AR$10,$AR$11,$AR$12),"")</f>
        <v/>
      </c>
      <c r="C1415" s="294"/>
      <c r="D1415" s="294"/>
      <c r="E1415" s="294"/>
      <c r="F1415" s="294"/>
      <c r="G1415" s="294"/>
      <c r="H1415" s="265"/>
      <c r="I1415" s="265"/>
      <c r="J1415" s="265"/>
      <c r="K1415" s="265"/>
      <c r="L1415" s="265" t="str">
        <f ca="1">IF(AND($B1415&lt;&gt;"",$Q1392&lt;&gt;""),IF($B1415="Missing Player",0,IF($B1413="Missing Player",11,"")),"")</f>
        <v/>
      </c>
      <c r="M1415" s="267" t="s">
        <v>1237</v>
      </c>
      <c r="N1415" s="268"/>
      <c r="O1415" s="268"/>
      <c r="P1415" s="269"/>
      <c r="Q1415" s="137" t="str">
        <f ca="1">IF($Q1413&lt;&gt;"",IF($Q1413="W","L","W"),"")</f>
        <v/>
      </c>
      <c r="R1415" s="112"/>
      <c r="S1415" s="98"/>
      <c r="T1415" s="108"/>
      <c r="U1415" s="108"/>
      <c r="V1415" s="108"/>
      <c r="W1415" s="108"/>
      <c r="X1415" s="108"/>
      <c r="Y1415" s="113"/>
      <c r="Z1415" s="113"/>
      <c r="AA1415" s="113"/>
      <c r="AB1415" s="113"/>
      <c r="AC1415" s="113"/>
      <c r="AD1415" s="107"/>
      <c r="AE1415" s="109"/>
      <c r="AF1415" s="109"/>
    </row>
    <row r="1416" spans="1:32" ht="12.75" customHeight="1">
      <c r="A1416" s="301"/>
      <c r="B1416" s="295"/>
      <c r="C1416" s="296"/>
      <c r="D1416" s="296"/>
      <c r="E1416" s="296"/>
      <c r="F1416" s="296"/>
      <c r="G1416" s="296"/>
      <c r="H1416" s="270"/>
      <c r="I1416" s="270"/>
      <c r="J1416" s="266"/>
      <c r="K1416" s="266"/>
      <c r="L1416" s="266"/>
      <c r="M1416" s="267"/>
      <c r="N1416" s="268"/>
      <c r="O1416" s="268"/>
      <c r="P1416" s="269"/>
      <c r="Q1416" s="139" t="str">
        <f ca="1">IF($Q1415&lt;&gt;"",IF($B1413&lt;&gt;"Missing Player",IF($Q1415="W",IF(SUM(IF($H1415&gt;$H1413,1,0),IF($I1415&gt;$I1413,1,0),IF($J1415&gt;$J1413,1,0),IF($K1415&gt;$K1413,1,0),IF($L1415&gt;$L1413,1,0))&lt;&gt;3,"Error",""),""),""),"")</f>
        <v/>
      </c>
      <c r="R1416" s="114"/>
      <c r="S1416" s="115"/>
      <c r="T1416" s="115"/>
      <c r="U1416" s="115"/>
      <c r="V1416" s="115"/>
      <c r="W1416" s="115"/>
      <c r="X1416" s="115"/>
      <c r="Y1416" s="114"/>
      <c r="Z1416" s="114"/>
      <c r="AA1416" s="114"/>
      <c r="AB1416" s="114"/>
      <c r="AC1416" s="114"/>
      <c r="AD1416" s="114"/>
      <c r="AE1416" s="114"/>
      <c r="AF1416" s="114"/>
    </row>
    <row r="1417" spans="1:32" ht="12.75" customHeight="1">
      <c r="B1417" s="140" t="str">
        <f ca="1">IF(ISERROR(VLOOKUP($B1392&amp;"("&amp;$B1386&amp;")",Players!$S$4:$T$132,2,FALSE)),"",VLOOKUP($B1392&amp;"("&amp;$B1386&amp;")",Players!$S$4:$T$132,2,FALSE))</f>
        <v>B1</v>
      </c>
      <c r="C1417" s="140" t="str">
        <f ca="1">IF(ISERROR(VLOOKUP($B1399&amp;"("&amp;$B1386&amp;")",Players!$S$4:$T$132,2,FALSE)),"",VLOOKUP($B1399&amp;"("&amp;$B1386&amp;")",Players!$S$4:$T$132,2,FALSE))</f>
        <v>B1</v>
      </c>
      <c r="D1417" s="141" t="str">
        <f ca="1">IF(ISERROR(VLOOKUP($B1406&amp;"("&amp;$B1386&amp;")",Players!$S$4:$T$132,2,FALSE)),"",VLOOKUP($B1406&amp;"("&amp;$B1386&amp;")",Players!$S$4:$T$132,2,FALSE))</f>
        <v>B1</v>
      </c>
      <c r="E1417" s="141" t="str">
        <f ca="1">IF(ISERROR(VLOOKUP($B1413&amp;"("&amp;$B1386&amp;")",Players!$S$4:$T$132,2,FALSE)),"",VLOOKUP($B1413&amp;"("&amp;$B1386&amp;")",Players!$S$4:$T$132,2,FALSE))</f>
        <v>B1</v>
      </c>
      <c r="F1417" s="141" t="str">
        <f ca="1">IF(ISERROR(VLOOKUP($B1394&amp;"("&amp;$K1386&amp;")",Players!$S$4:$T$132,2,FALSE)),"",VLOOKUP($B1394&amp;"("&amp;$K1386&amp;")",Players!$S$4:$T$132,2,FALSE))</f>
        <v>F1</v>
      </c>
      <c r="G1417" s="141" t="str">
        <f ca="1">IF(ISERROR(VLOOKUP($B1401&amp;"("&amp;$K1386&amp;")",Players!$S$4:$T$132,2,FALSE)),"",VLOOKUP($B1401&amp;"("&amp;$K1386&amp;")",Players!$S$4:$T$132,2,FALSE))</f>
        <v>F1</v>
      </c>
      <c r="H1417" s="141" t="str">
        <f ca="1">IF(ISERROR(VLOOKUP($B1408&amp;"("&amp;$K1386&amp;")",Players!$S$4:$T$132,2,FALSE)),"",VLOOKUP($B1408&amp;"("&amp;$K1386&amp;")",Players!$S$4:$T$132,2,FALSE))</f>
        <v>F1</v>
      </c>
      <c r="I1417" s="141" t="str">
        <f ca="1">IF(ISERROR(VLOOKUP($B1415&amp;"("&amp;$K1386&amp;")",Players!$S$4:$T$132,2,FALSE)),"",VLOOKUP($B1415&amp;"("&amp;$K1386&amp;")",Players!$S$4:$T$132,2,FALSE))</f>
        <v>F1</v>
      </c>
      <c r="Q1417" s="7"/>
      <c r="R1417" s="50"/>
      <c r="S1417" s="116"/>
      <c r="T1417" s="115"/>
      <c r="U1417" s="115"/>
      <c r="V1417" s="115"/>
      <c r="W1417" s="115"/>
      <c r="X1417" s="115"/>
      <c r="Y1417" s="99"/>
      <c r="Z1417" s="99"/>
      <c r="AA1417" s="99"/>
      <c r="AB1417" s="99"/>
      <c r="AC1417" s="117"/>
      <c r="AD1417" s="118"/>
      <c r="AE1417" s="114"/>
      <c r="AF1417" s="114"/>
    </row>
    <row r="1418" spans="1:32" ht="12.75" customHeight="1">
      <c r="A1418" s="21" t="s">
        <v>1225</v>
      </c>
      <c r="H1418" s="136" t="str">
        <f ca="1">IF($Q1420&lt;&gt;"",IF(AND($B1421&lt;&gt;"Missing Player",$B1423&lt;&gt;"Missing Player"),IF(AND(AND($H1420&gt;-1,$H1422&gt;-1),OR($H1420&gt;10,$H1422&gt;10),ABS($H1420-$H1422)&gt;1,IF(OR($H1420&gt;11,$H1422&gt;11),ABS($H1420-$H1422)=2,TRUE),$H1420=INT($H1420),$H1422=INT($H1422)),"","Error"),""),"")</f>
        <v/>
      </c>
      <c r="I1418" s="136" t="str">
        <f ca="1">IF($Q1420&lt;&gt;"",IF(AND($B1421&lt;&gt;"Missing Player",$B1423&lt;&gt;"Missing Player"),IF(AND(AND($I1420&gt;-1,$I1422&gt;-1),OR($I1420&gt;10,$I1422&gt;10),ABS($I1420-$I1422)&gt;1,IF(OR($I1420&gt;11,$I1422&gt;11),ABS($I1420-$I1422)=2,TRUE),$I1420=INT($I1420),$I1422=INT($I1422)),"","Error"),""),"")</f>
        <v/>
      </c>
      <c r="J1418" s="136" t="str">
        <f ca="1">IF($Q1420&lt;&gt;"",IF(AND($B1421&lt;&gt;"Missing Player",$B1423&lt;&gt;"Missing Player"),IF(AND(AND($J1420&gt;-1,$J1422&gt;-1),OR($J1420&gt;10,$J1422&gt;10),ABS($J1420-$J1422)&gt;1,IF(OR($J1420&gt;11,$J1422&gt;11),ABS($J1420-$J1422)=2,TRUE),$J1420=INT($J1420),$J1422=INT($J1422)),"","Error"),""),"")</f>
        <v/>
      </c>
      <c r="K1418" s="136" t="str">
        <f ca="1">IF($Q1420&lt;&gt;"",IF(AND($K1420&lt;&gt;"",$K1422&lt;&gt;""), IF(AND(AND($K1420&gt;-1,$K1422&gt;-1),OR($K1420&gt;10,$K1422&gt;10),ABS($K1420-$K1422)&gt;1,IF(OR($K1420&gt;11,$K1422&gt;11),ABS($K1420-$K1422)=2,TRUE),$K1420=INT($K1420),$K1422=INT($K1422)),"","Error"),""),"")</f>
        <v/>
      </c>
      <c r="L1418" s="136" t="str">
        <f ca="1">IF($Q1420&lt;&gt;"",IF(AND($L1420&lt;&gt;"",$L1422&lt;&gt;""), IF(AND(AND($L1420&gt;-1,$L1422&gt;-1),OR($L1420&gt;10,$L1422&gt;10),ABS($L1420-$L1422)&gt;1,IF(OR($L1420&gt;11,$L1422&gt;11),ABS($L1420-$L1422)=2,TRUE),$L1420=INT($L1420),$L1422=INT($L1422)),"","Error"),""),"")</f>
        <v/>
      </c>
      <c r="Q1418" s="7"/>
      <c r="R1418" s="114"/>
      <c r="S1418" s="115"/>
      <c r="T1418" s="115"/>
      <c r="U1418" s="115"/>
      <c r="V1418" s="115"/>
      <c r="W1418" s="115"/>
      <c r="X1418" s="115"/>
      <c r="Y1418" s="114"/>
      <c r="Z1418" s="114"/>
      <c r="AA1418" s="114"/>
      <c r="AB1418" s="114"/>
      <c r="AC1418" s="114"/>
      <c r="AD1418" s="114"/>
      <c r="AE1418" s="114"/>
      <c r="AF1418" s="114"/>
    </row>
    <row r="1419" spans="1:32" ht="12.75" customHeight="1">
      <c r="A1419" s="5" t="s">
        <v>1228</v>
      </c>
      <c r="B1419" s="290" t="s">
        <v>1126</v>
      </c>
      <c r="C1419" s="291"/>
      <c r="D1419" s="291"/>
      <c r="E1419" s="291"/>
      <c r="F1419" s="291"/>
      <c r="G1419" s="292"/>
      <c r="H1419" s="5">
        <v>1</v>
      </c>
      <c r="I1419" s="5">
        <v>2</v>
      </c>
      <c r="J1419" s="5">
        <v>3</v>
      </c>
      <c r="K1419" s="5">
        <v>4</v>
      </c>
      <c r="L1419" s="5">
        <v>5</v>
      </c>
      <c r="M1419" s="271"/>
      <c r="N1419" s="272"/>
      <c r="O1419" s="272"/>
      <c r="P1419" s="273"/>
      <c r="Q1419" s="8"/>
      <c r="S1419" s="24"/>
      <c r="T1419" s="26"/>
    </row>
    <row r="1420" spans="1:32" ht="12.75" customHeight="1">
      <c r="A1420" s="300" t="str">
        <f>B1386</f>
        <v>B</v>
      </c>
      <c r="B1420" s="311" t="str">
        <f ca="1">IF($B1392&lt;&gt;"",$B1392,"")</f>
        <v/>
      </c>
      <c r="C1420" s="312"/>
      <c r="D1420" s="312"/>
      <c r="E1420" s="312"/>
      <c r="F1420" s="312"/>
      <c r="G1420" s="313"/>
      <c r="H1420" s="265"/>
      <c r="I1420" s="265"/>
      <c r="J1420" s="265"/>
      <c r="K1420" s="265"/>
      <c r="L1420" s="265" t="str">
        <f ca="1">IF($B1413&lt;&gt;"",IF(AND($B1413="Missing Player",$G1424=2,$J1424=2),0,IF(AND($B1415="Missing Player",$G1424=2,$J1424=2),11,"")),"")</f>
        <v/>
      </c>
      <c r="M1420" s="262" t="str">
        <f ca="1">IF(OR(AND($B1420&lt;&gt;"",$B1421&lt;&gt;"",$B1420=$B1421),AND($B1422&lt;&gt;"",$B1423&lt;&gt;"",$B1422=$B1423)),"Invalid Partner","")</f>
        <v/>
      </c>
      <c r="N1420" s="263"/>
      <c r="O1420" s="263"/>
      <c r="P1420" s="264"/>
      <c r="Q1420" s="138" t="str">
        <f ca="1">IF(L1420=L1422,IF(K1420=K1422,IF(J1420&lt;&gt;"",IF(J1420&gt;J1422,"W","L"),""),IF(K1420&gt;K1422,"W","L")),IF(L1420&gt;L1422,"W","L"))</f>
        <v/>
      </c>
      <c r="S1420" s="24"/>
      <c r="T1420" s="26"/>
    </row>
    <row r="1421" spans="1:32" ht="12.75" customHeight="1">
      <c r="A1421" s="324"/>
      <c r="B1421" s="308" t="str">
        <f ca="1">IF($B1413="Missing Player",$B1413,"")</f>
        <v/>
      </c>
      <c r="C1421" s="309"/>
      <c r="D1421" s="309"/>
      <c r="E1421" s="309"/>
      <c r="F1421" s="309"/>
      <c r="G1421" s="310"/>
      <c r="H1421" s="270"/>
      <c r="I1421" s="270"/>
      <c r="J1421" s="270"/>
      <c r="K1421" s="270"/>
      <c r="L1421" s="270"/>
      <c r="M1421" s="262"/>
      <c r="N1421" s="263"/>
      <c r="O1421" s="263"/>
      <c r="P1421" s="264"/>
      <c r="Q1421" s="139" t="str">
        <f ca="1">IF($Q1420&lt;&gt;"",IF($B1423&lt;&gt;"Missing Player",IF($Q1420="W",IF(SUM(IF($H1420&gt;$H1422,1,0),IF($I1420&gt;$I1422,1,0),IF($J1420&gt;$J1422,1,0),IF($K1420&gt;$K1422,1,0),IF($L1420&gt;$L1422,1,0))&lt;&gt;3,"Error",""),""),""),"")</f>
        <v/>
      </c>
      <c r="R1421" s="328" t="str">
        <f>$A1387</f>
        <v/>
      </c>
      <c r="S1421" s="328"/>
      <c r="T1421" s="328"/>
      <c r="U1421" s="328"/>
      <c r="V1421" s="328"/>
      <c r="W1421" s="328"/>
      <c r="X1421" s="256" t="str">
        <f>CONCATENATE("(",$B1386," vs ",$K1386,")")</f>
        <v>(B vs F)</v>
      </c>
      <c r="Y1421" s="256"/>
      <c r="Z1421" s="328" t="str">
        <f>$J1387</f>
        <v/>
      </c>
      <c r="AA1421" s="328"/>
      <c r="AB1421" s="328"/>
      <c r="AC1421" s="328"/>
      <c r="AD1421" s="328"/>
      <c r="AE1421" s="328"/>
      <c r="AF1421" s="43"/>
    </row>
    <row r="1422" spans="1:32" ht="12.75" customHeight="1">
      <c r="A1422" s="325" t="str">
        <f>K1386</f>
        <v>F</v>
      </c>
      <c r="B1422" s="311" t="str">
        <f ca="1">IF($B1394&lt;&gt;"",$B1394,"")</f>
        <v/>
      </c>
      <c r="C1422" s="312"/>
      <c r="D1422" s="312"/>
      <c r="E1422" s="312"/>
      <c r="F1422" s="312"/>
      <c r="G1422" s="313"/>
      <c r="H1422" s="265"/>
      <c r="I1422" s="265"/>
      <c r="J1422" s="265"/>
      <c r="K1422" s="265"/>
      <c r="L1422" s="265" t="str">
        <f ca="1">IF($B1415&lt;&gt;"",IF(AND($B1415="Missing Player",$G1424=2,$J1424=2),0,IF(AND($B1413="Missing Player",$G1424=2,$J1424=2),11,"")),"")</f>
        <v/>
      </c>
      <c r="M1422" s="267" t="s">
        <v>1237</v>
      </c>
      <c r="N1422" s="268"/>
      <c r="O1422" s="268"/>
      <c r="P1422" s="269"/>
      <c r="Q1422" s="138" t="str">
        <f ca="1">IF(Q1420&lt;&gt;"",IF(Q1420="W","L","W"),"")</f>
        <v/>
      </c>
      <c r="R1422" s="43"/>
      <c r="S1422" s="43"/>
      <c r="T1422" s="43"/>
      <c r="U1422" s="43"/>
      <c r="V1422" s="43"/>
      <c r="W1422" s="43"/>
      <c r="X1422" s="43"/>
      <c r="Y1422" s="43"/>
      <c r="Z1422" s="43"/>
      <c r="AA1422" s="43"/>
      <c r="AB1422" s="43"/>
      <c r="AC1422" s="43"/>
      <c r="AD1422" s="43"/>
      <c r="AE1422" s="43"/>
      <c r="AF1422" s="43"/>
    </row>
    <row r="1423" spans="1:32" ht="12.75" customHeight="1">
      <c r="A1423" s="324"/>
      <c r="B1423" s="308" t="str">
        <f ca="1">IF($B1415="Missing Player",$B1415,"")</f>
        <v/>
      </c>
      <c r="C1423" s="309"/>
      <c r="D1423" s="309"/>
      <c r="E1423" s="309"/>
      <c r="F1423" s="309"/>
      <c r="G1423" s="310"/>
      <c r="H1423" s="270"/>
      <c r="I1423" s="270"/>
      <c r="J1423" s="266"/>
      <c r="K1423" s="266"/>
      <c r="L1423" s="266"/>
      <c r="M1423" s="267"/>
      <c r="N1423" s="268"/>
      <c r="O1423" s="268"/>
      <c r="P1423" s="269"/>
      <c r="Q1423" s="139" t="str">
        <f ca="1">IF($Q1422&lt;&gt;"",IF($B1421&lt;&gt;"Missing Player",IF($Q1422="W",IF(SUM(IF($H1422&gt;$H1420,1,0),IF($I1422&gt;$I1420,1,0),IF($J1422&gt;$J1420,1,0),IF($K1422&gt;$K1420,1,0),IF($L1422&gt;$L1420,1,0))&lt;&gt;3,"Error",""),""),""),"")</f>
        <v/>
      </c>
      <c r="R1423" s="43" t="str">
        <f>A1411</f>
        <v>4th Singles</v>
      </c>
      <c r="S1423" s="43"/>
      <c r="T1423" s="43"/>
      <c r="U1423" s="43"/>
      <c r="V1423" s="43"/>
      <c r="W1423" s="43"/>
      <c r="X1423" s="43"/>
      <c r="Y1423" s="43"/>
      <c r="Z1423" s="43"/>
      <c r="AA1423" s="43"/>
      <c r="AB1423" s="43"/>
      <c r="AC1423" s="43"/>
      <c r="AD1423" s="43"/>
      <c r="AE1423" s="43"/>
      <c r="AF1423" s="43"/>
    </row>
    <row r="1424" spans="1:32" ht="12.75" customHeight="1">
      <c r="G1424" s="66">
        <f ca="1">COUNTIF($Q1392:$Q1392,"W")+COUNTIF($Q1399:$Q1399,"W")+COUNTIF($Q1406:$Q1406,"W")+COUNTIF($Q1413:$Q1413,"W")</f>
        <v>0</v>
      </c>
      <c r="J1424" s="66">
        <f ca="1">COUNTIF($Q1394:$Q1394,"W")+COUNTIF($Q1401:$Q1401,"W")+COUNTIF($Q1408:$Q1408,"W")+COUNTIF($Q1415:$Q1415,"W")</f>
        <v>0</v>
      </c>
      <c r="R1424" s="60" t="s">
        <v>1228</v>
      </c>
      <c r="S1424" s="339" t="s">
        <v>1126</v>
      </c>
      <c r="T1424" s="340"/>
      <c r="U1424" s="340"/>
      <c r="V1424" s="340"/>
      <c r="W1424" s="340"/>
      <c r="X1424" s="341"/>
      <c r="Y1424" s="60">
        <v>1</v>
      </c>
      <c r="Z1424" s="60">
        <v>2</v>
      </c>
      <c r="AA1424" s="60">
        <v>3</v>
      </c>
      <c r="AB1424" s="60">
        <v>4</v>
      </c>
      <c r="AC1424" s="60">
        <v>5</v>
      </c>
      <c r="AD1424" s="342"/>
      <c r="AE1424" s="343"/>
      <c r="AF1424" s="344"/>
    </row>
    <row r="1425" spans="1:32" ht="12.75" customHeight="1" thickBot="1">
      <c r="F1425" s="246" t="s">
        <v>1238</v>
      </c>
      <c r="G1425" s="246"/>
      <c r="H1425" s="246"/>
      <c r="I1425" s="246"/>
      <c r="J1425" s="246"/>
      <c r="K1425" s="246"/>
      <c r="R1425" s="300" t="str">
        <f>B1386</f>
        <v>B</v>
      </c>
      <c r="S1425" s="331" t="str">
        <f ca="1">IF($B1413&lt;&gt;"",$B1413,"")</f>
        <v/>
      </c>
      <c r="T1425" s="353"/>
      <c r="U1425" s="353"/>
      <c r="V1425" s="353"/>
      <c r="W1425" s="353"/>
      <c r="X1425" s="354"/>
      <c r="Y1425" s="329"/>
      <c r="Z1425" s="329"/>
      <c r="AA1425" s="351"/>
      <c r="AB1425" s="351"/>
      <c r="AC1425" s="351"/>
      <c r="AD1425" s="345"/>
      <c r="AE1425" s="346"/>
      <c r="AF1425" s="347"/>
    </row>
    <row r="1426" spans="1:32" ht="12.75" customHeight="1">
      <c r="A1426" s="22"/>
      <c r="B1426" s="22"/>
      <c r="C1426" s="22"/>
      <c r="D1426" s="22"/>
      <c r="E1426" s="22"/>
      <c r="G1426" s="304" t="str">
        <f>B1386</f>
        <v>B</v>
      </c>
      <c r="H1426" s="305"/>
      <c r="I1426" s="302" t="str">
        <f>K1386</f>
        <v>F</v>
      </c>
      <c r="J1426" s="303"/>
      <c r="L1426" s="22"/>
      <c r="M1426" s="22"/>
      <c r="N1426" s="22"/>
      <c r="O1426" s="22"/>
      <c r="P1426" s="22"/>
      <c r="R1426" s="301"/>
      <c r="S1426" s="355"/>
      <c r="T1426" s="356"/>
      <c r="U1426" s="356"/>
      <c r="V1426" s="356"/>
      <c r="W1426" s="356"/>
      <c r="X1426" s="357"/>
      <c r="Y1426" s="338"/>
      <c r="Z1426" s="338"/>
      <c r="AA1426" s="352"/>
      <c r="AB1426" s="352"/>
      <c r="AC1426" s="352"/>
      <c r="AD1426" s="348"/>
      <c r="AE1426" s="349"/>
      <c r="AF1426" s="350"/>
    </row>
    <row r="1427" spans="1:32" ht="12.75" customHeight="1" thickBot="1">
      <c r="A1427" s="2" t="s">
        <v>1228</v>
      </c>
      <c r="B1427" s="53" t="str">
        <f>B1386</f>
        <v>B</v>
      </c>
      <c r="C1427" s="3" t="s">
        <v>1226</v>
      </c>
      <c r="F1427" s="66" t="str">
        <f>CONCATENATE($B1386,"-",$K1386)</f>
        <v>B-F</v>
      </c>
      <c r="G1427" s="320" t="str">
        <f ca="1">IF(OR(Q1392&lt;&gt;"",Q1399&lt;&gt;"",Q1406&lt;&gt;"",Q1413&lt;&gt;"",Q1420&lt;&gt;""),COUNTIF(Q1392:Q1392,"W")+COUNTIF(Q1399:Q1399,"W")+COUNTIF(Q1406:Q1406,"W")+COUNTIF(Q1413:Q1413,"W")+COUNTIF(Q1420:Q1420,"W"),"")</f>
        <v/>
      </c>
      <c r="H1427" s="321"/>
      <c r="I1427" s="322" t="str">
        <f ca="1">IF(OR(Q1394&lt;&gt;"",Q1401&lt;&gt;"",Q1408&lt;&gt;"",Q1415&lt;&gt;"",Q1422&lt;&gt;""),COUNTIF(Q1394:Q1394,"W")+COUNTIF(Q1401:Q1401,"W")+COUNTIF(Q1408:Q1408,"W")+COUNTIF(Q1415:Q1415,"W")+COUNTIF(Q1422:Q1422,"W"),"")</f>
        <v/>
      </c>
      <c r="J1427" s="323"/>
      <c r="L1427" s="2" t="s">
        <v>1228</v>
      </c>
      <c r="M1427" s="53" t="str">
        <f>K1386</f>
        <v>F</v>
      </c>
      <c r="N1427" s="3" t="s">
        <v>1226</v>
      </c>
      <c r="R1427" s="300" t="str">
        <f>K1386</f>
        <v>F</v>
      </c>
      <c r="S1427" s="331" t="str">
        <f ca="1">IF($B1415&lt;&gt;"",$B1415,"")</f>
        <v/>
      </c>
      <c r="T1427" s="332"/>
      <c r="U1427" s="332"/>
      <c r="V1427" s="332"/>
      <c r="W1427" s="332"/>
      <c r="X1427" s="333"/>
      <c r="Y1427" s="329"/>
      <c r="Z1427" s="329"/>
      <c r="AA1427" s="351"/>
      <c r="AB1427" s="351"/>
      <c r="AC1427" s="351"/>
      <c r="AD1427" s="363" t="s">
        <v>1237</v>
      </c>
      <c r="AE1427" s="358"/>
      <c r="AF1427" s="359"/>
    </row>
    <row r="1428" spans="1:32" ht="12.75" customHeight="1">
      <c r="F1428" s="25" t="s">
        <v>3996</v>
      </c>
      <c r="G1428" s="23"/>
      <c r="H1428" s="23"/>
      <c r="I1428" s="23"/>
      <c r="J1428" s="23"/>
      <c r="K1428" s="24"/>
      <c r="R1428" s="330"/>
      <c r="S1428" s="334"/>
      <c r="T1428" s="335"/>
      <c r="U1428" s="335"/>
      <c r="V1428" s="335"/>
      <c r="W1428" s="335"/>
      <c r="X1428" s="336"/>
      <c r="Y1428" s="330"/>
      <c r="Z1428" s="330"/>
      <c r="AA1428" s="330"/>
      <c r="AB1428" s="330"/>
      <c r="AC1428" s="330"/>
      <c r="AD1428" s="360"/>
      <c r="AE1428" s="361"/>
      <c r="AF1428" s="362"/>
    </row>
    <row r="1429" spans="1:32" ht="12.75" customHeight="1">
      <c r="R1429" s="1"/>
      <c r="S1429" s="110"/>
      <c r="T1429" s="110"/>
      <c r="U1429" s="110"/>
      <c r="V1429" s="110"/>
      <c r="W1429" s="110"/>
      <c r="X1429" s="111"/>
      <c r="Y1429" s="111"/>
      <c r="Z1429" s="111"/>
      <c r="AA1429" s="111"/>
    </row>
    <row r="1430" spans="1:32" ht="12.75" customHeight="1">
      <c r="F1430" s="246" t="s">
        <v>4929</v>
      </c>
      <c r="G1430" s="246"/>
      <c r="H1430" s="246"/>
      <c r="I1430" s="246"/>
      <c r="R1430" s="1"/>
      <c r="S1430" s="110"/>
      <c r="T1430" s="110"/>
      <c r="U1430" s="110"/>
      <c r="V1430" s="110"/>
      <c r="W1430" s="110"/>
      <c r="X1430" s="111"/>
      <c r="Y1430" s="111"/>
      <c r="Z1430" s="111"/>
      <c r="AA1430" s="111"/>
    </row>
    <row r="1431" spans="1:32" ht="12.75" customHeight="1">
      <c r="F1431" s="246" t="s">
        <v>4930</v>
      </c>
      <c r="G1431" s="246"/>
      <c r="H1431" s="246"/>
      <c r="I1431" s="246"/>
      <c r="R1431" s="1"/>
      <c r="S1431" s="110"/>
      <c r="T1431" s="110"/>
      <c r="U1431" s="110"/>
      <c r="V1431" s="110"/>
      <c r="W1431" s="110"/>
      <c r="X1431" s="111"/>
      <c r="Y1431" s="111"/>
      <c r="Z1431" s="111"/>
      <c r="AA1431" s="111"/>
    </row>
    <row r="1432" spans="1:32" ht="12.75" customHeight="1">
      <c r="K1432" s="281" t="s">
        <v>1244</v>
      </c>
      <c r="L1432" s="281"/>
      <c r="M1432" s="281"/>
      <c r="N1432" s="281"/>
      <c r="O1432" s="281"/>
      <c r="P1432" s="281"/>
      <c r="R1432" s="1"/>
      <c r="S1432" s="110"/>
      <c r="T1432" s="110"/>
      <c r="U1432" s="110"/>
      <c r="V1432" s="110"/>
      <c r="W1432" s="110"/>
      <c r="X1432" s="111"/>
      <c r="Y1432" s="111"/>
      <c r="Z1432" s="111"/>
      <c r="AA1432" s="111"/>
    </row>
    <row r="1433" spans="1:32" ht="12.75" customHeight="1">
      <c r="A1433" s="12" t="s">
        <v>1229</v>
      </c>
      <c r="B1433" s="11"/>
      <c r="C1433" s="11"/>
      <c r="D1433" s="11" t="str">
        <f>Draw!$B$1</f>
        <v>Enter Division Name</v>
      </c>
      <c r="E1433" s="11"/>
      <c r="F1433" s="7"/>
      <c r="G1433" s="6"/>
      <c r="H1433" s="7"/>
      <c r="I1433" s="11"/>
      <c r="J1433" s="11"/>
      <c r="K1433" s="11"/>
      <c r="L1433" s="11"/>
      <c r="M1433" s="281"/>
      <c r="N1433" s="281"/>
      <c r="O1433" s="281"/>
      <c r="P1433" s="281"/>
      <c r="R1433" s="1"/>
      <c r="S1433" s="110"/>
      <c r="T1433" s="110"/>
      <c r="U1433" s="110"/>
      <c r="V1433" s="110"/>
      <c r="W1433" s="110"/>
      <c r="X1433" s="111"/>
      <c r="Y1433" s="111"/>
      <c r="Z1433" s="111"/>
      <c r="AA1433" s="111"/>
    </row>
    <row r="1434" spans="1:32" ht="12.75" customHeight="1">
      <c r="A1434" s="2" t="s">
        <v>1230</v>
      </c>
      <c r="D1434" s="43" t="str">
        <f>Draw!$D$1</f>
        <v>Enter Hosting Location (City, ST)</v>
      </c>
      <c r="J1434" s="43" t="str">
        <f ca="1">$J$6</f>
        <v>[NCTTA Teams Template (v2.06).xlsx]</v>
      </c>
      <c r="R1434" s="1"/>
      <c r="S1434" s="110"/>
      <c r="T1434" s="110"/>
      <c r="U1434" s="110"/>
      <c r="V1434" s="110"/>
      <c r="W1434" s="110"/>
      <c r="X1434" s="111"/>
      <c r="Y1434" s="111"/>
      <c r="Z1434" s="111"/>
      <c r="AA1434" s="111"/>
    </row>
    <row r="1435" spans="1:32" ht="12.75" customHeight="1">
      <c r="A1435" s="2" t="s">
        <v>1231</v>
      </c>
      <c r="D1435" s="337" t="str">
        <f>Draw!$P$1</f>
        <v>Enter Date</v>
      </c>
      <c r="E1435" s="337"/>
      <c r="F1435" s="337"/>
      <c r="G1435" s="337"/>
      <c r="J1435" s="280" t="str">
        <f>CHOOSE(Draw!$T$1,"Round 5, Match 5","Round 5, Match 5","","","","","","","Round 8, Match 1","Round 6, Match 4","Round 6, Match 4")</f>
        <v/>
      </c>
      <c r="K1435" s="280"/>
      <c r="L1435" s="280"/>
      <c r="M1435" s="276" t="str">
        <f>IF(AND($J1435&lt;&gt;"",Draw!$AC$10&lt;&gt;"",Draw!$AC$13&lt;&gt;""),Draw!$AC$10+TIME(0,VALUE(MID($J1435,7,FIND(",",$J1435)-FIND(" ",$J1435)-1)-1)*Draw!$AC$13,0),"")</f>
        <v/>
      </c>
      <c r="N1435" s="276"/>
      <c r="O1435" s="157" t="str">
        <f>$F1478</f>
        <v>B-G</v>
      </c>
      <c r="R1435" s="1"/>
      <c r="S1435" s="110"/>
      <c r="T1435" s="110"/>
      <c r="U1435" s="110"/>
      <c r="V1435" s="110"/>
      <c r="W1435" s="110"/>
      <c r="X1435" s="111"/>
      <c r="Y1435" s="111"/>
      <c r="Z1435" s="111"/>
      <c r="AA1435" s="111"/>
    </row>
    <row r="1436" spans="1:32" ht="12.75" customHeight="1">
      <c r="A1436" s="14"/>
      <c r="B1436" s="15"/>
      <c r="C1436" s="15"/>
      <c r="D1436" s="15"/>
      <c r="E1436" s="15"/>
      <c r="F1436" s="14"/>
      <c r="G1436" s="14"/>
      <c r="H1436" s="16"/>
      <c r="I1436" s="14"/>
      <c r="J1436" s="15"/>
      <c r="K1436" s="15"/>
      <c r="L1436" s="15"/>
      <c r="M1436" s="15"/>
      <c r="N1436" s="15"/>
      <c r="O1436" s="364" t="str">
        <f>IF(OR(AND(VLOOKUP($B1437,$AM$1:$AX$12,12,FALSE)="C",VLOOKUP($K1437,$AM$1:$AX$12,12,FALSE)="C"),AND(VLOOKUP($B1437,$AM$1:$AX$12,12,FALSE)="W",VLOOKUP($K1437,$AM$1:$AX$12,12,FALSE)="W")),"Official",IF(AND($A1438="",$J1438=""),"","Scrimmage"))</f>
        <v/>
      </c>
      <c r="P1436" s="364"/>
      <c r="R1436" s="1"/>
      <c r="S1436" s="110"/>
      <c r="T1436" s="110"/>
      <c r="U1436" s="110"/>
      <c r="V1436" s="110"/>
      <c r="W1436" s="110"/>
      <c r="X1436" s="111"/>
      <c r="Y1436" s="111"/>
      <c r="Z1436" s="111"/>
      <c r="AA1436" s="111"/>
    </row>
    <row r="1437" spans="1:32" ht="12.75" customHeight="1">
      <c r="A1437" s="17" t="s">
        <v>1228</v>
      </c>
      <c r="B1437" s="119" t="str">
        <f>CHOOSE(Draw!$T$1,"F","J","B","B","C","C","B","A","A","G","D")</f>
        <v>B</v>
      </c>
      <c r="C1437" s="135">
        <f>VLOOKUP($B1437,$AM$1:$AN$12,2)</f>
        <v>2</v>
      </c>
      <c r="D1437" s="13"/>
      <c r="E1437" s="13"/>
      <c r="F1437" s="10"/>
      <c r="H1437" s="19" t="s">
        <v>1232</v>
      </c>
      <c r="J1437" s="17" t="s">
        <v>1228</v>
      </c>
      <c r="K1437" s="119" t="str">
        <f>CHOOSE(Draw!$T$1,"I","L","G","K","J","H","J","I","B","J","J")</f>
        <v>G</v>
      </c>
      <c r="L1437" s="135">
        <f>VLOOKUP($K1437,$AM$1:$AN$12,2)</f>
        <v>7</v>
      </c>
      <c r="M1437" s="13"/>
      <c r="N1437" s="13"/>
      <c r="O1437" s="18"/>
      <c r="P1437" s="274"/>
      <c r="Q1437" s="275"/>
      <c r="R1437" s="1"/>
      <c r="S1437" s="110"/>
      <c r="T1437" s="110"/>
      <c r="U1437" s="110"/>
      <c r="V1437" s="110"/>
      <c r="W1437" s="110"/>
      <c r="X1437" s="111"/>
      <c r="Y1437" s="111"/>
      <c r="Z1437" s="111"/>
      <c r="AA1437" s="111"/>
    </row>
    <row r="1438" spans="1:32" ht="12.75" customHeight="1">
      <c r="A1438" s="277" t="str">
        <f>IF(VLOOKUP($B1437,Draw!$A$4:$B$27,2)&lt;&gt;0,VLOOKUP($B1437,Draw!$A$4:$B$27,2),"")</f>
        <v/>
      </c>
      <c r="B1438" s="278"/>
      <c r="C1438" s="278"/>
      <c r="D1438" s="278"/>
      <c r="E1438" s="278"/>
      <c r="F1438" s="279"/>
      <c r="G1438" s="306" t="s">
        <v>4180</v>
      </c>
      <c r="H1438" s="289"/>
      <c r="I1438" s="307"/>
      <c r="J1438" s="277" t="str">
        <f>IF(VLOOKUP($K1437,Draw!$A$4:$B$27,2)&lt;&gt;0,VLOOKUP($K1437,Draw!$A$4:$B$27,2),"")</f>
        <v/>
      </c>
      <c r="K1438" s="278"/>
      <c r="L1438" s="278"/>
      <c r="M1438" s="278"/>
      <c r="N1438" s="278"/>
      <c r="O1438" s="279"/>
      <c r="P1438" s="15"/>
      <c r="R1438" s="1"/>
      <c r="S1438" s="110"/>
      <c r="T1438" s="110"/>
      <c r="U1438" s="110"/>
      <c r="V1438" s="110"/>
      <c r="W1438" s="110"/>
      <c r="X1438" s="111"/>
      <c r="Y1438" s="111"/>
      <c r="Z1438" s="111"/>
      <c r="AA1438" s="111"/>
    </row>
    <row r="1439" spans="1:32" ht="12.75" customHeight="1">
      <c r="A1439" s="14"/>
      <c r="B1439" s="15"/>
      <c r="C1439" s="15"/>
      <c r="D1439" s="15"/>
      <c r="E1439" s="15"/>
      <c r="F1439" s="14"/>
      <c r="G1439" s="288" t="str">
        <f>"Page "&amp;VALUE(RIGHT($G1438,LEN($G1438)-SEARCH("-",$G1438)))/2</f>
        <v>Page 29</v>
      </c>
      <c r="H1439" s="289"/>
      <c r="I1439" s="289"/>
      <c r="J1439" s="15"/>
      <c r="K1439" s="15"/>
      <c r="L1439" s="15"/>
      <c r="M1439" s="15"/>
      <c r="N1439" s="15"/>
      <c r="O1439" s="15"/>
      <c r="P1439" s="15"/>
      <c r="R1439" s="1"/>
      <c r="S1439" s="110"/>
      <c r="T1439" s="110"/>
      <c r="U1439" s="110"/>
      <c r="V1439" s="110"/>
      <c r="W1439" s="110"/>
      <c r="X1439" s="111"/>
      <c r="Y1439" s="111"/>
      <c r="Z1439" s="111"/>
      <c r="AA1439" s="111"/>
      <c r="AF1439" s="27"/>
    </row>
    <row r="1440" spans="1:32" ht="12.75" customHeight="1">
      <c r="A1440" s="327" t="s">
        <v>1245</v>
      </c>
      <c r="B1440" s="327"/>
      <c r="C1440" s="327"/>
      <c r="D1440" s="327"/>
      <c r="E1440" s="327"/>
      <c r="F1440" s="327"/>
      <c r="G1440" s="327"/>
      <c r="H1440" s="327"/>
      <c r="I1440" s="327"/>
      <c r="J1440" s="327"/>
      <c r="K1440" s="327"/>
      <c r="L1440" s="327"/>
      <c r="M1440" s="327"/>
      <c r="N1440" s="327"/>
      <c r="O1440" s="327"/>
      <c r="P1440" s="327"/>
      <c r="Q1440" s="7"/>
      <c r="R1440" s="1"/>
      <c r="S1440" s="110"/>
      <c r="T1440" s="110"/>
      <c r="U1440" s="110"/>
      <c r="V1440" s="110"/>
      <c r="W1440" s="110"/>
      <c r="X1440" s="111"/>
      <c r="Y1440" s="111"/>
      <c r="Z1440" s="111"/>
      <c r="AA1440" s="111"/>
      <c r="AF1440" s="20"/>
    </row>
    <row r="1441" spans="1:32" ht="12.75" customHeight="1">
      <c r="A1441" s="21" t="s">
        <v>1233</v>
      </c>
      <c r="H1441" s="136" t="str">
        <f>IF($Q1443&lt;&gt;"",IF(AND(AND($H1443&gt;-1,$H1445&gt;-1),OR($H1443&gt;10,$H1445&gt;10),ABS($H1443-$H1445)&gt;1,IF(OR($H1443&gt;11,$H1445&gt;11),ABS($H1443-$H1445)=2,TRUE),$H1443=INT($H1443),$H1445=INT($H1445)),"","Error"),"")</f>
        <v/>
      </c>
      <c r="I1441" s="136" t="str">
        <f>IF($Q1443&lt;&gt;"",IF(AND(AND($I1443&gt;-1,$I1445&gt;-1),OR($I1443&gt;10,$I1445&gt;10),ABS($I1443-$I1445)&gt;1,IF(OR($I1443&gt;11,$I1445&gt;11),ABS($I1443-$I1445)=2,TRUE),$I1443=INT($I1443),$I1445=INT($I1445)),"","Error"),"")</f>
        <v/>
      </c>
      <c r="J1441" s="136" t="str">
        <f>IF($Q1443&lt;&gt;"",IF(AND(AND($J1443&gt;-1,$J1445&gt;-1),OR($J1443&gt;10,$J1445&gt;10),ABS($J1443-$J1445)&gt;1,IF(OR($J1443&gt;11,$J1445&gt;11),ABS($J1443-$J1445)=2,TRUE),$J1443=INT($J1443),$J1445=INT($J1445)),"","Error"),"")</f>
        <v/>
      </c>
      <c r="K1441" s="136" t="str">
        <f>IF($Q1443&lt;&gt;"",IF(AND($K1443&lt;&gt;"",$K1445&lt;&gt;""), IF(AND(AND($K1443&gt;-1,$K1445&gt;-1),OR($K1443&gt;10,$K1445&gt;10),ABS($K1443-$K1445)&gt;1,IF(OR($K1443&gt;11,$K1445&gt;11),ABS($K1443-$K1445)=2,TRUE),$K1443=INT($K1443),$K1445=INT($K1445)),"","Error"),""),"")</f>
        <v/>
      </c>
      <c r="L1441" s="136" t="str">
        <f>IF($Q1443&lt;&gt;"",IF(AND($L1443&lt;&gt;"",$L1445&lt;&gt;""), IF(AND(AND($L1443&gt;-1,$L1445&gt;-1),OR($L1443&gt;10,$L1445&gt;10),ABS($L1443-$L1445)&gt;1,IF(OR($L1443&gt;11,$L1445&gt;11),ABS($L1443-$L1445)=2,TRUE),$L1443=INT($L1443),$L1445=INT($L1445)),"","Error"),""),"")</f>
        <v/>
      </c>
      <c r="R1441" s="1"/>
      <c r="S1441" s="110"/>
      <c r="T1441" s="110"/>
      <c r="U1441" s="110"/>
      <c r="V1441" s="110"/>
      <c r="W1441" s="110"/>
      <c r="X1441" s="111"/>
      <c r="Y1441" s="111"/>
      <c r="Z1441" s="111"/>
      <c r="AA1441" s="111"/>
    </row>
    <row r="1442" spans="1:32" ht="12.75" customHeight="1">
      <c r="A1442" s="5" t="s">
        <v>1228</v>
      </c>
      <c r="B1442" s="290" t="s">
        <v>1126</v>
      </c>
      <c r="C1442" s="291"/>
      <c r="D1442" s="291"/>
      <c r="E1442" s="291"/>
      <c r="F1442" s="291"/>
      <c r="G1442" s="292"/>
      <c r="H1442" s="5">
        <v>1</v>
      </c>
      <c r="I1442" s="5">
        <v>2</v>
      </c>
      <c r="J1442" s="5">
        <v>3</v>
      </c>
      <c r="K1442" s="5">
        <v>4</v>
      </c>
      <c r="L1442" s="5">
        <v>5</v>
      </c>
      <c r="M1442" s="271"/>
      <c r="N1442" s="272"/>
      <c r="O1442" s="272"/>
      <c r="P1442" s="273"/>
      <c r="R1442" s="1"/>
      <c r="S1442" s="110"/>
      <c r="T1442" s="110"/>
      <c r="U1442" s="110"/>
      <c r="V1442" s="110"/>
      <c r="W1442" s="110"/>
      <c r="X1442" s="111"/>
      <c r="Y1442" s="111"/>
      <c r="Z1442" s="111"/>
      <c r="AA1442" s="111"/>
    </row>
    <row r="1443" spans="1:32" ht="12.75" customHeight="1">
      <c r="A1443" s="300" t="str">
        <f>B1437</f>
        <v>B</v>
      </c>
      <c r="B1443" s="293" t="str">
        <f ca="1">IF(AND(OFFSET($AO$1,$C1437-1,8,1,1),$A1438&lt;&gt;"",$J1438&lt;&gt;""),CHOOSE($C1437,$AO$1,$AO$2,$AO$3,$AO$4,$AO$5,$AO$6,$AO$7,$AO$8,$AO$9,$AO$10,$AO$11,$AO$12),"")</f>
        <v/>
      </c>
      <c r="C1443" s="294"/>
      <c r="D1443" s="294"/>
      <c r="E1443" s="294"/>
      <c r="F1443" s="294"/>
      <c r="G1443" s="294"/>
      <c r="H1443" s="265"/>
      <c r="I1443" s="265"/>
      <c r="J1443" s="265"/>
      <c r="K1443" s="265"/>
      <c r="L1443" s="265"/>
      <c r="M1443" s="297"/>
      <c r="N1443" s="298"/>
      <c r="O1443" s="298"/>
      <c r="P1443" s="299"/>
      <c r="Q1443" s="137" t="str">
        <f>IF($L1443=$L1445,IF($K1443=$K1445,IF($J1443&lt;&gt;"",IF($J1443&gt;$J1445,"W","L"),""),IF($K1443&gt;$K1445,"W","L")),IF($L1443&gt;$L1445,"W","L"))</f>
        <v/>
      </c>
      <c r="R1443" s="1"/>
      <c r="S1443" s="110"/>
      <c r="T1443" s="110"/>
      <c r="U1443" s="110"/>
      <c r="V1443" s="110"/>
      <c r="W1443" s="110"/>
      <c r="X1443" s="111"/>
      <c r="Y1443" s="111"/>
      <c r="Z1443" s="111"/>
      <c r="AA1443" s="111"/>
    </row>
    <row r="1444" spans="1:32" ht="12.75" customHeight="1">
      <c r="A1444" s="301"/>
      <c r="B1444" s="295"/>
      <c r="C1444" s="296"/>
      <c r="D1444" s="296"/>
      <c r="E1444" s="296"/>
      <c r="F1444" s="296"/>
      <c r="G1444" s="296"/>
      <c r="H1444" s="270"/>
      <c r="I1444" s="270"/>
      <c r="J1444" s="270"/>
      <c r="K1444" s="270"/>
      <c r="L1444" s="270"/>
      <c r="M1444" s="297"/>
      <c r="N1444" s="298"/>
      <c r="O1444" s="298"/>
      <c r="P1444" s="299"/>
      <c r="Q1444" s="139" t="str">
        <f>IF($Q1443&lt;&gt;"",IF($Q1443="W",IF(SUM(IF($H1443&gt;$H1445,1,0),IF($I1443&gt;$I1445,1,0),IF($J1443&gt;$J1445,1,0),IF($K1443&gt;$K1445,1,0),IF($L1443&gt;$L1445,1,0))&lt;&gt;3,"Error",""),""),"")</f>
        <v/>
      </c>
      <c r="R1444" s="328" t="str">
        <f>$A1438</f>
        <v/>
      </c>
      <c r="S1444" s="328"/>
      <c r="T1444" s="328"/>
      <c r="U1444" s="328"/>
      <c r="V1444" s="328"/>
      <c r="W1444" s="328"/>
      <c r="X1444" s="256" t="str">
        <f>CONCATENATE("(",$B1437," vs ",$K1437,")")</f>
        <v>(B vs G)</v>
      </c>
      <c r="Y1444" s="256"/>
      <c r="Z1444" s="328" t="str">
        <f>$J1438</f>
        <v/>
      </c>
      <c r="AA1444" s="328"/>
      <c r="AB1444" s="328"/>
      <c r="AC1444" s="328"/>
      <c r="AD1444" s="328"/>
      <c r="AE1444" s="328"/>
      <c r="AF1444" s="43"/>
    </row>
    <row r="1445" spans="1:32" ht="12.75" customHeight="1">
      <c r="A1445" s="300" t="str">
        <f>K1437</f>
        <v>G</v>
      </c>
      <c r="B1445" s="293" t="str">
        <f ca="1">IF(AND(OFFSET($AO$1,$L1437-1,8,1,1),$A1438&lt;&gt;"",$J1438&lt;&gt;""),CHOOSE($L1437,$AO$1,$AO$2,$AO$3,$AO$4,$AO$5,$AO$6,$AO$7,$AO$8,$AO$9,$AO$10,$AO$11,$AO$12),"")</f>
        <v/>
      </c>
      <c r="C1445" s="294"/>
      <c r="D1445" s="294"/>
      <c r="E1445" s="294"/>
      <c r="F1445" s="294"/>
      <c r="G1445" s="294"/>
      <c r="H1445" s="265"/>
      <c r="I1445" s="265"/>
      <c r="J1445" s="265"/>
      <c r="K1445" s="265"/>
      <c r="L1445" s="265"/>
      <c r="M1445" s="267" t="s">
        <v>1237</v>
      </c>
      <c r="N1445" s="268"/>
      <c r="O1445" s="268"/>
      <c r="P1445" s="269"/>
      <c r="Q1445" s="137" t="str">
        <f>IF($Q1443&lt;&gt;"",IF($Q1443="W","L","W"),"")</f>
        <v/>
      </c>
      <c r="R1445" s="43"/>
      <c r="S1445" s="43"/>
      <c r="T1445" s="43"/>
      <c r="U1445" s="43"/>
      <c r="V1445" s="43"/>
      <c r="W1445" s="43"/>
      <c r="X1445" s="43"/>
      <c r="Y1445" s="43"/>
      <c r="Z1445" s="43"/>
      <c r="AA1445" s="43"/>
      <c r="AB1445" s="43"/>
      <c r="AC1445" s="43"/>
      <c r="AD1445" s="43"/>
      <c r="AE1445" s="43"/>
      <c r="AF1445" s="43"/>
    </row>
    <row r="1446" spans="1:32" ht="12.75" customHeight="1">
      <c r="A1446" s="301"/>
      <c r="B1446" s="295"/>
      <c r="C1446" s="296"/>
      <c r="D1446" s="296"/>
      <c r="E1446" s="296"/>
      <c r="F1446" s="296"/>
      <c r="G1446" s="296"/>
      <c r="H1446" s="270"/>
      <c r="I1446" s="270"/>
      <c r="J1446" s="266"/>
      <c r="K1446" s="266"/>
      <c r="L1446" s="266"/>
      <c r="M1446" s="267"/>
      <c r="N1446" s="268"/>
      <c r="O1446" s="268"/>
      <c r="P1446" s="269"/>
      <c r="Q1446" s="139" t="str">
        <f>IF($Q1445&lt;&gt;"",IF($Q1445="W",IF(SUM(IF($H1445&gt;$H1443,1,0),IF($I1445&gt;$I1443,1,0),IF($J1445&gt;$J1443,1,0),IF($K1445&gt;$K1443,1,0),IF($L1445&gt;$L1443,1,0))&lt;&gt;3,"Error",""),""),"")</f>
        <v/>
      </c>
      <c r="R1446" s="43" t="str">
        <f>$A1448</f>
        <v>2nd Singles</v>
      </c>
      <c r="S1446" s="43"/>
      <c r="T1446" s="43"/>
      <c r="U1446" s="43"/>
      <c r="V1446" s="43"/>
      <c r="W1446" s="43"/>
      <c r="X1446" s="43"/>
      <c r="Y1446" s="43"/>
      <c r="Z1446" s="43"/>
      <c r="AA1446" s="43"/>
      <c r="AB1446" s="43"/>
      <c r="AC1446" s="43"/>
      <c r="AD1446" s="43"/>
      <c r="AE1446" s="43"/>
      <c r="AF1446" s="43"/>
    </row>
    <row r="1447" spans="1:32" ht="12.75" customHeight="1">
      <c r="Q1447" s="7"/>
      <c r="R1447" s="60" t="s">
        <v>1228</v>
      </c>
      <c r="S1447" s="339" t="s">
        <v>1126</v>
      </c>
      <c r="T1447" s="340"/>
      <c r="U1447" s="340"/>
      <c r="V1447" s="340"/>
      <c r="W1447" s="340"/>
      <c r="X1447" s="341"/>
      <c r="Y1447" s="60">
        <v>1</v>
      </c>
      <c r="Z1447" s="60">
        <v>2</v>
      </c>
      <c r="AA1447" s="60">
        <v>3</v>
      </c>
      <c r="AB1447" s="60">
        <v>4</v>
      </c>
      <c r="AC1447" s="60">
        <v>5</v>
      </c>
      <c r="AD1447" s="342"/>
      <c r="AE1447" s="343"/>
      <c r="AF1447" s="344"/>
    </row>
    <row r="1448" spans="1:32" ht="12.75" customHeight="1">
      <c r="A1448" s="21" t="s">
        <v>1234</v>
      </c>
      <c r="H1448" s="136" t="str">
        <f>IF($Q1450&lt;&gt;"",IF(AND(AND($H1450&gt;-1,$H1452&gt;-1),OR($H1450&gt;10,$H1452&gt;10),ABS($H1450-$H1452)&gt;1,IF(OR($H1450&gt;11,$H1452&gt;11),ABS($H1450-$H1452)=2,TRUE),$H1450=INT($H1450),$H1452=INT($H1452)),"","Error"),"")</f>
        <v/>
      </c>
      <c r="I1448" s="136" t="str">
        <f>IF($Q1450&lt;&gt;"",IF(AND(AND($I1450&gt;-1,$I1452&gt;-1),OR($I1450&gt;10,$I1452&gt;10),ABS($I1450-$I1452)&gt;1,IF(OR($I1450&gt;11,$I1452&gt;11),ABS($I1450-$I1452)=2,TRUE),$I1450=INT($I1450),$I1452=INT($I1452)),"","Error"),"")</f>
        <v/>
      </c>
      <c r="J1448" s="136" t="str">
        <f>IF($Q1450&lt;&gt;"",IF(AND(AND($J1450&gt;-1,$J1452&gt;-1),OR($J1450&gt;10,$J1452&gt;10),ABS($J1450-$J1452)&gt;1,IF(OR($J1450&gt;11,$J1452&gt;11),ABS($J1450-$J1452)=2,TRUE),$J1450=INT($J1450),$J1452=INT($J1452)),"","Error"),"")</f>
        <v/>
      </c>
      <c r="K1448" s="136" t="str">
        <f>IF($Q1450&lt;&gt;"",IF(AND($K1450&lt;&gt;"",$K1452&lt;&gt;""), IF(AND(AND($K1450&gt;-1,$K1452&gt;-1),OR($K1450&gt;10,$K1452&gt;10),ABS($K1450-$K1452)&gt;1,IF(OR($K1450&gt;11,$K1452&gt;11),ABS($K1450-$K1452)=2,TRUE),$K1450=INT($K1450),$K1452=INT($K1452)),"","Error"),""),"")</f>
        <v/>
      </c>
      <c r="L1448" s="136" t="str">
        <f>IF($Q1450&lt;&gt;"",IF(AND($L1450&lt;&gt;"",$L1452&lt;&gt;""), IF(AND(AND($L1450&gt;-1,$L1452&gt;-1),OR($L1450&gt;10,$L1452&gt;10),ABS($L1450-$L1452)&gt;1,IF(OR($L1450&gt;11,$L1452&gt;11),ABS($L1450-$L1452)=2,TRUE),$L1450=INT($L1450),$L1452=INT($L1452)),"","Error"),""),"")</f>
        <v/>
      </c>
      <c r="Q1448" s="7"/>
      <c r="R1448" s="300" t="str">
        <f>$B1437</f>
        <v>B</v>
      </c>
      <c r="S1448" s="331" t="str">
        <f ca="1">IF($B1450&lt;&gt;"",$B1450,"")</f>
        <v/>
      </c>
      <c r="T1448" s="332"/>
      <c r="U1448" s="332"/>
      <c r="V1448" s="332"/>
      <c r="W1448" s="332"/>
      <c r="X1448" s="333"/>
      <c r="Y1448" s="329"/>
      <c r="Z1448" s="329"/>
      <c r="AA1448" s="329"/>
      <c r="AB1448" s="329"/>
      <c r="AC1448" s="329"/>
      <c r="AD1448" s="345"/>
      <c r="AE1448" s="358"/>
      <c r="AF1448" s="359"/>
    </row>
    <row r="1449" spans="1:32" ht="12.75" customHeight="1">
      <c r="A1449" s="5" t="s">
        <v>1228</v>
      </c>
      <c r="B1449" s="290" t="s">
        <v>1126</v>
      </c>
      <c r="C1449" s="291"/>
      <c r="D1449" s="291"/>
      <c r="E1449" s="291"/>
      <c r="F1449" s="291"/>
      <c r="G1449" s="292"/>
      <c r="H1449" s="5">
        <v>1</v>
      </c>
      <c r="I1449" s="5">
        <v>2</v>
      </c>
      <c r="J1449" s="5">
        <v>3</v>
      </c>
      <c r="K1449" s="5">
        <v>4</v>
      </c>
      <c r="L1449" s="5">
        <v>5</v>
      </c>
      <c r="M1449" s="271"/>
      <c r="N1449" s="272"/>
      <c r="O1449" s="272"/>
      <c r="P1449" s="273"/>
      <c r="Q1449" s="7"/>
      <c r="R1449" s="330"/>
      <c r="S1449" s="334"/>
      <c r="T1449" s="335"/>
      <c r="U1449" s="335"/>
      <c r="V1449" s="335"/>
      <c r="W1449" s="335"/>
      <c r="X1449" s="336"/>
      <c r="Y1449" s="330"/>
      <c r="Z1449" s="330"/>
      <c r="AA1449" s="330"/>
      <c r="AB1449" s="330"/>
      <c r="AC1449" s="330"/>
      <c r="AD1449" s="360"/>
      <c r="AE1449" s="361"/>
      <c r="AF1449" s="362"/>
    </row>
    <row r="1450" spans="1:32" ht="12.75" customHeight="1">
      <c r="A1450" s="300" t="str">
        <f>B1437</f>
        <v>B</v>
      </c>
      <c r="B1450" s="293" t="str">
        <f ca="1">IF(AND(OFFSET($AO$1,$C1437-1,8,1,1),$A1438&lt;&gt;"",$J1438&lt;&gt;""),CHOOSE($C1437,$AP$1,$AP$2,$AP$3,$AP$4,$AP$5,$AP$6,$AP$7,$AP$8,$AP$9,$AP$10,$AP$11,$AP$12),"")</f>
        <v/>
      </c>
      <c r="C1450" s="294"/>
      <c r="D1450" s="294"/>
      <c r="E1450" s="294"/>
      <c r="F1450" s="294"/>
      <c r="G1450" s="294"/>
      <c r="H1450" s="265"/>
      <c r="I1450" s="265"/>
      <c r="J1450" s="265"/>
      <c r="K1450" s="265"/>
      <c r="L1450" s="265"/>
      <c r="M1450" s="262" t="str">
        <f ca="1">IF(OR(AND($B1443&lt;&gt;"",$B1450&lt;&gt;"",$C1468&lt;=$B1468),AND($B1445&lt;&gt;"",$B1452&lt;&gt;"",$G1468&lt;=$F1468)),"Invalid Lineup","")</f>
        <v/>
      </c>
      <c r="N1450" s="263"/>
      <c r="O1450" s="263"/>
      <c r="P1450" s="264"/>
      <c r="Q1450" s="137" t="str">
        <f>IF($L1450=$L1452,IF($K1450=$K1452,IF($J1450&lt;&gt;"",IF($J1450&gt;$J1452,"W","L"),""),IF($K1450&gt;$K1452,"W","L")),IF($L1450&gt;$L1452,"W","L"))</f>
        <v/>
      </c>
      <c r="R1450" s="300" t="str">
        <f>$K1437</f>
        <v>G</v>
      </c>
      <c r="S1450" s="331" t="str">
        <f ca="1">IF($B1452&lt;&gt;"",$B1452,"")</f>
        <v/>
      </c>
      <c r="T1450" s="332"/>
      <c r="U1450" s="332"/>
      <c r="V1450" s="332"/>
      <c r="W1450" s="332"/>
      <c r="X1450" s="333"/>
      <c r="Y1450" s="329"/>
      <c r="Z1450" s="329"/>
      <c r="AA1450" s="329"/>
      <c r="AB1450" s="329"/>
      <c r="AC1450" s="351"/>
      <c r="AD1450" s="363" t="s">
        <v>1237</v>
      </c>
      <c r="AE1450" s="358"/>
      <c r="AF1450" s="359"/>
    </row>
    <row r="1451" spans="1:32" ht="12.75" customHeight="1">
      <c r="A1451" s="301"/>
      <c r="B1451" s="295"/>
      <c r="C1451" s="296"/>
      <c r="D1451" s="296"/>
      <c r="E1451" s="296"/>
      <c r="F1451" s="296"/>
      <c r="G1451" s="296"/>
      <c r="H1451" s="270"/>
      <c r="I1451" s="270"/>
      <c r="J1451" s="270"/>
      <c r="K1451" s="270"/>
      <c r="L1451" s="270"/>
      <c r="M1451" s="262"/>
      <c r="N1451" s="263"/>
      <c r="O1451" s="263"/>
      <c r="P1451" s="264"/>
      <c r="Q1451" s="139" t="str">
        <f>IF($Q1450&lt;&gt;"",IF($Q1450="W",IF(SUM(IF($H1450&gt;$H1452,1,0),IF($I1450&gt;$I1452,1,0),IF($J1450&gt;$J1452,1,0),IF($K1450&gt;$K1452,1,0),IF($L1450&gt;$L1452,1,0))&lt;&gt;3,"Error",""),""),"")</f>
        <v/>
      </c>
      <c r="R1451" s="330"/>
      <c r="S1451" s="334"/>
      <c r="T1451" s="335"/>
      <c r="U1451" s="335"/>
      <c r="V1451" s="335"/>
      <c r="W1451" s="335"/>
      <c r="X1451" s="336"/>
      <c r="Y1451" s="330"/>
      <c r="Z1451" s="330"/>
      <c r="AA1451" s="330"/>
      <c r="AB1451" s="330"/>
      <c r="AC1451" s="330"/>
      <c r="AD1451" s="360"/>
      <c r="AE1451" s="361"/>
      <c r="AF1451" s="362"/>
    </row>
    <row r="1452" spans="1:32" ht="12.75" customHeight="1">
      <c r="A1452" s="300" t="str">
        <f>K1437</f>
        <v>G</v>
      </c>
      <c r="B1452" s="293" t="str">
        <f ca="1">IF(AND(OFFSET($AO$1,$L1437-1,8,1,1),$A1438&lt;&gt;"",$J1438&lt;&gt;""),CHOOSE($L1437,$AP$1,$AP$2,$AP$3,$AP$4,$AP$5,$AP$6,$AP$7,$AP$8,$AP$9,$AP$10,$AP$11,$AP$12),"")</f>
        <v/>
      </c>
      <c r="C1452" s="294"/>
      <c r="D1452" s="294"/>
      <c r="E1452" s="294"/>
      <c r="F1452" s="294"/>
      <c r="G1452" s="294"/>
      <c r="H1452" s="265"/>
      <c r="I1452" s="265"/>
      <c r="J1452" s="265"/>
      <c r="K1452" s="265"/>
      <c r="L1452" s="265"/>
      <c r="M1452" s="267" t="s">
        <v>1237</v>
      </c>
      <c r="N1452" s="268"/>
      <c r="O1452" s="268"/>
      <c r="P1452" s="269"/>
      <c r="Q1452" s="137" t="str">
        <f>IF($Q1450&lt;&gt;"",IF($Q1450="W","L","W"),"")</f>
        <v/>
      </c>
      <c r="R1452" s="20"/>
      <c r="S1452" s="20"/>
      <c r="T1452" s="20"/>
      <c r="U1452" s="20"/>
      <c r="V1452" s="20"/>
      <c r="W1452" s="20"/>
      <c r="X1452" s="26"/>
      <c r="Y1452" s="26"/>
      <c r="Z1452" s="20"/>
      <c r="AA1452" s="20"/>
      <c r="AB1452" s="20"/>
      <c r="AC1452" s="20"/>
      <c r="AD1452" s="20"/>
      <c r="AE1452" s="20"/>
      <c r="AF1452" s="27"/>
    </row>
    <row r="1453" spans="1:32" ht="12.75" customHeight="1">
      <c r="A1453" s="301"/>
      <c r="B1453" s="295"/>
      <c r="C1453" s="296"/>
      <c r="D1453" s="296"/>
      <c r="E1453" s="296"/>
      <c r="F1453" s="296"/>
      <c r="G1453" s="296"/>
      <c r="H1453" s="270"/>
      <c r="I1453" s="270"/>
      <c r="J1453" s="266"/>
      <c r="K1453" s="266"/>
      <c r="L1453" s="266"/>
      <c r="M1453" s="267"/>
      <c r="N1453" s="268"/>
      <c r="O1453" s="268"/>
      <c r="P1453" s="269"/>
      <c r="Q1453" s="139" t="str">
        <f>IF($Q1452&lt;&gt;"",IF($Q1452="W",IF(SUM(IF($H1452&gt;$H1450,1,0),IF($I1452&gt;$I1450,1,0),IF($J1452&gt;$J1450,1,0),IF($K1452&gt;$K1450,1,0),IF($L1452&gt;$L1450,1,0))&lt;&gt;3,"Error",""),""),"")</f>
        <v/>
      </c>
      <c r="R1453" s="20"/>
      <c r="S1453" s="20"/>
      <c r="T1453" s="20"/>
      <c r="U1453" s="20"/>
      <c r="V1453" s="20"/>
      <c r="W1453" s="20"/>
      <c r="X1453" s="26"/>
      <c r="Y1453" s="26"/>
      <c r="Z1453" s="20"/>
      <c r="AA1453" s="20"/>
      <c r="AB1453" s="20"/>
      <c r="AC1453" s="20"/>
      <c r="AD1453" s="20"/>
      <c r="AE1453" s="20"/>
      <c r="AF1453" s="27"/>
    </row>
    <row r="1454" spans="1:32" ht="12.75" customHeight="1">
      <c r="Q1454" s="7"/>
      <c r="R1454" s="20"/>
      <c r="S1454" s="20"/>
      <c r="T1454" s="20"/>
      <c r="U1454" s="20"/>
      <c r="V1454" s="20"/>
      <c r="W1454" s="20"/>
      <c r="X1454" s="26"/>
      <c r="Y1454" s="26"/>
      <c r="Z1454" s="20"/>
      <c r="AA1454" s="20"/>
      <c r="AB1454" s="20"/>
      <c r="AC1454" s="20"/>
      <c r="AD1454" s="20"/>
      <c r="AE1454" s="20"/>
      <c r="AF1454" s="27"/>
    </row>
    <row r="1455" spans="1:32" ht="12.75" customHeight="1">
      <c r="A1455" s="21" t="s">
        <v>1235</v>
      </c>
      <c r="H1455" s="136" t="str">
        <f>IF($Q1457&lt;&gt;"",IF(AND(AND($H1457&gt;-1,$H1459&gt;-1),OR($H1457&gt;10,$H1459&gt;10),ABS($H1457-$H1459)&gt;1,IF(OR($H1457&gt;11,$H1459&gt;11),ABS($H1457-$H1459)=2,TRUE),$H1457=INT($H1457),$H1459=INT($H1459)),"","Error"),"")</f>
        <v/>
      </c>
      <c r="I1455" s="136" t="str">
        <f>IF($Q1457&lt;&gt;"",IF(AND(AND($I1457&gt;-1,$I1459&gt;-1),OR($I1457&gt;10,$I1459&gt;10),ABS($I1457-$I1459)&gt;1,IF(OR($I1457&gt;11,$I1459&gt;11),ABS($I1457-$I1459)=2,TRUE),$I1457=INT($I1457),$I1459=INT($I1459)),"","Error"),"")</f>
        <v/>
      </c>
      <c r="J1455" s="136" t="str">
        <f>IF($Q1457&lt;&gt;"",IF(AND(AND($J1457&gt;-1,$J1459&gt;-1),OR($J1457&gt;10,$J1459&gt;10),ABS($J1457-$J1459)&gt;1,IF(OR($J1457&gt;11,$J1459&gt;11),ABS($J1457-$J1459)=2,TRUE),$J1457=INT($J1457),$J1459=INT($J1459)),"","Error"),"")</f>
        <v/>
      </c>
      <c r="K1455" s="136" t="str">
        <f>IF($Q1457&lt;&gt;"",IF(AND($K1457&lt;&gt;"",$K1459&lt;&gt;""), IF(AND(AND($K1457&gt;-1,$K1459&gt;-1),OR($K1457&gt;10,$K1459&gt;10),ABS($K1457-$K1459)&gt;1,IF(OR($K1457&gt;11,$K1459&gt;11),ABS($K1457-$K1459)=2,TRUE),$K1457=INT($K1457),$K1459=INT($K1459)),"","Error"),""),"")</f>
        <v/>
      </c>
      <c r="L1455" s="136" t="str">
        <f>IF($Q1457&lt;&gt;"",IF(AND($L1457&lt;&gt;"",$L1459&lt;&gt;""), IF(AND(AND($L1457&gt;-1,$L1459&gt;-1),OR($L1457&gt;10,$L1459&gt;10),ABS($L1457-$L1459)&gt;1,IF(OR($L1457&gt;11,$L1459&gt;11),ABS($L1457-$L1459)=2,TRUE),$L1457=INT($L1457),$L1459=INT($L1459)),"","Error"),""),"")</f>
        <v/>
      </c>
      <c r="Q1455" s="7"/>
      <c r="R1455" s="20"/>
      <c r="S1455" s="20"/>
      <c r="T1455" s="20"/>
      <c r="U1455" s="20"/>
      <c r="V1455" s="20"/>
      <c r="W1455" s="20"/>
      <c r="X1455" s="26"/>
      <c r="Y1455" s="26"/>
      <c r="Z1455" s="20"/>
      <c r="AA1455" s="20"/>
      <c r="AB1455" s="20"/>
      <c r="AC1455" s="20"/>
      <c r="AD1455" s="20"/>
      <c r="AE1455" s="20"/>
      <c r="AF1455" s="27"/>
    </row>
    <row r="1456" spans="1:32" ht="12.75" customHeight="1">
      <c r="A1456" s="5" t="s">
        <v>1228</v>
      </c>
      <c r="B1456" s="290" t="s">
        <v>1126</v>
      </c>
      <c r="C1456" s="291"/>
      <c r="D1456" s="291"/>
      <c r="E1456" s="291"/>
      <c r="F1456" s="291"/>
      <c r="G1456" s="292"/>
      <c r="H1456" s="5">
        <v>1</v>
      </c>
      <c r="I1456" s="5">
        <v>2</v>
      </c>
      <c r="J1456" s="5">
        <v>3</v>
      </c>
      <c r="K1456" s="5">
        <v>4</v>
      </c>
      <c r="L1456" s="5">
        <v>5</v>
      </c>
      <c r="M1456" s="271"/>
      <c r="N1456" s="272"/>
      <c r="O1456" s="272"/>
      <c r="P1456" s="273"/>
      <c r="Q1456" s="7"/>
      <c r="R1456" s="20"/>
      <c r="S1456" s="20"/>
      <c r="T1456" s="20"/>
      <c r="U1456" s="20"/>
      <c r="V1456" s="20"/>
      <c r="W1456" s="20"/>
      <c r="X1456" s="26"/>
      <c r="Y1456" s="26"/>
      <c r="Z1456" s="20"/>
      <c r="AA1456" s="20"/>
      <c r="AB1456" s="20"/>
      <c r="AC1456" s="20"/>
      <c r="AD1456" s="20"/>
      <c r="AE1456" s="20"/>
      <c r="AF1456" s="27"/>
    </row>
    <row r="1457" spans="1:32" ht="12.75" customHeight="1">
      <c r="A1457" s="300" t="str">
        <f>B1437</f>
        <v>B</v>
      </c>
      <c r="B1457" s="293" t="str">
        <f ca="1">IF(AND(OFFSET($AO$1,$C1437-1,8,1,1),$A1438&lt;&gt;"",$J1438&lt;&gt;""),CHOOSE($C1437,$AQ$1,$AQ$2,$AQ$3,$AQ$4,$AQ$5,$AQ$6,$AQ$7,$AQ$8,$AQ$9,$AQ$10,$AQ$11,$AQ$12),"")</f>
        <v/>
      </c>
      <c r="C1457" s="294"/>
      <c r="D1457" s="294"/>
      <c r="E1457" s="294"/>
      <c r="F1457" s="294"/>
      <c r="G1457" s="294"/>
      <c r="H1457" s="265"/>
      <c r="I1457" s="265"/>
      <c r="J1457" s="265"/>
      <c r="K1457" s="265"/>
      <c r="L1457" s="265"/>
      <c r="M1457" s="262" t="str">
        <f ca="1">IF(OR(AND($B1450&lt;&gt;"",$B1457&lt;&gt;"",$D1468&lt;=$C1468),AND($B1452&lt;&gt;"",$B1459&lt;&gt;"",$H1468&lt;=$G1468)),"Invalid Lineup","")</f>
        <v/>
      </c>
      <c r="N1457" s="263"/>
      <c r="O1457" s="263"/>
      <c r="P1457" s="264"/>
      <c r="Q1457" s="137" t="str">
        <f>IF($L1457=$L1459,IF($K1457=$K1459,IF($J1457&lt;&gt;"",IF($J1457&gt;$J1459,"W","L"),""),IF($K1457&gt;$K1459,"W","L")),IF($L1457&gt;$L1459,"W","L"))</f>
        <v/>
      </c>
      <c r="R1457" s="20"/>
      <c r="S1457" s="20"/>
      <c r="T1457" s="20"/>
      <c r="U1457" s="20"/>
      <c r="V1457" s="20"/>
      <c r="W1457" s="20"/>
      <c r="X1457" s="26"/>
      <c r="Y1457" s="26"/>
      <c r="Z1457" s="20"/>
      <c r="AA1457" s="20"/>
      <c r="AB1457" s="20"/>
      <c r="AC1457" s="20"/>
      <c r="AD1457" s="20"/>
      <c r="AE1457" s="20"/>
      <c r="AF1457" s="27"/>
    </row>
    <row r="1458" spans="1:32" ht="12.75" customHeight="1">
      <c r="A1458" s="301"/>
      <c r="B1458" s="295"/>
      <c r="C1458" s="296"/>
      <c r="D1458" s="296"/>
      <c r="E1458" s="296"/>
      <c r="F1458" s="296"/>
      <c r="G1458" s="296"/>
      <c r="H1458" s="270"/>
      <c r="I1458" s="270"/>
      <c r="J1458" s="270"/>
      <c r="K1458" s="270"/>
      <c r="L1458" s="270"/>
      <c r="M1458" s="262"/>
      <c r="N1458" s="263"/>
      <c r="O1458" s="263"/>
      <c r="P1458" s="264"/>
      <c r="Q1458" s="139" t="str">
        <f>IF($Q1457&lt;&gt;"",IF($Q1457="W",IF(SUM(IF($H1457&gt;$H1459,1,0),IF($I1457&gt;$I1459,1,0),IF($J1457&gt;$J1459,1,0),IF($K1457&gt;$K1459,1,0),IF($L1457&gt;$L1459,1,0))&lt;&gt;3,"Error",""),""),"")</f>
        <v/>
      </c>
      <c r="R1458" s="328" t="str">
        <f>$A1438</f>
        <v/>
      </c>
      <c r="S1458" s="328"/>
      <c r="T1458" s="328"/>
      <c r="U1458" s="328"/>
      <c r="V1458" s="328"/>
      <c r="W1458" s="328"/>
      <c r="X1458" s="256" t="str">
        <f>CONCATENATE("(",$B1437," vs ",$K1437,")")</f>
        <v>(B vs G)</v>
      </c>
      <c r="Y1458" s="256"/>
      <c r="Z1458" s="328" t="str">
        <f>$J1438</f>
        <v/>
      </c>
      <c r="AA1458" s="328"/>
      <c r="AB1458" s="328"/>
      <c r="AC1458" s="328"/>
      <c r="AD1458" s="328"/>
      <c r="AE1458" s="328"/>
      <c r="AF1458" s="100"/>
    </row>
    <row r="1459" spans="1:32" ht="12.75" customHeight="1">
      <c r="A1459" s="300" t="str">
        <f>K1437</f>
        <v>G</v>
      </c>
      <c r="B1459" s="293" t="str">
        <f ca="1">IF(AND(OFFSET($AO$1,$L1437-1,8,1,1),$A1438&lt;&gt;"",$J1438&lt;&gt;""),CHOOSE($L1437,$AQ$1,$AQ$2,$AQ$3,$AQ$4,$AQ$5,$AQ$6,$AQ$7,$AQ$8,$AQ$9,$AQ$10,$AQ$11,$AQ$12),"")</f>
        <v/>
      </c>
      <c r="C1459" s="294"/>
      <c r="D1459" s="294"/>
      <c r="E1459" s="294"/>
      <c r="F1459" s="294"/>
      <c r="G1459" s="294"/>
      <c r="H1459" s="265"/>
      <c r="I1459" s="265"/>
      <c r="J1459" s="265"/>
      <c r="K1459" s="265"/>
      <c r="L1459" s="265"/>
      <c r="M1459" s="267" t="s">
        <v>1237</v>
      </c>
      <c r="N1459" s="268"/>
      <c r="O1459" s="268"/>
      <c r="P1459" s="269"/>
      <c r="Q1459" s="137" t="str">
        <f>IF($Q1457&lt;&gt;"",IF($Q1457="W","L","W"),"")</f>
        <v/>
      </c>
      <c r="R1459" s="100"/>
      <c r="S1459" s="100"/>
      <c r="T1459" s="100"/>
      <c r="U1459" s="100"/>
      <c r="V1459" s="100"/>
      <c r="W1459" s="100"/>
      <c r="X1459" s="100"/>
      <c r="Y1459" s="100"/>
      <c r="Z1459" s="100"/>
      <c r="AA1459" s="100"/>
      <c r="AB1459" s="100"/>
      <c r="AC1459" s="100"/>
      <c r="AD1459" s="100"/>
      <c r="AE1459" s="100"/>
      <c r="AF1459" s="100"/>
    </row>
    <row r="1460" spans="1:32" ht="12.75" customHeight="1">
      <c r="A1460" s="301"/>
      <c r="B1460" s="295"/>
      <c r="C1460" s="296"/>
      <c r="D1460" s="296"/>
      <c r="E1460" s="296"/>
      <c r="F1460" s="296"/>
      <c r="G1460" s="296"/>
      <c r="H1460" s="270"/>
      <c r="I1460" s="270"/>
      <c r="J1460" s="266"/>
      <c r="K1460" s="266"/>
      <c r="L1460" s="266"/>
      <c r="M1460" s="267"/>
      <c r="N1460" s="268"/>
      <c r="O1460" s="268"/>
      <c r="P1460" s="269"/>
      <c r="Q1460" s="139" t="str">
        <f>IF($Q1459&lt;&gt;"",IF($Q1459="W",IF(SUM(IF($H1459&gt;$H1457,1,0),IF($I1459&gt;$I1457,1,0),IF($J1459&gt;$J1457,1,0),IF($K1459&gt;$K1457,1,0),IF($L1459&gt;$L1457,1,0))&lt;&gt;3,"Error",""),""),"")</f>
        <v/>
      </c>
      <c r="R1460" s="43" t="str">
        <f>$A1455</f>
        <v>3rd Singles</v>
      </c>
      <c r="S1460" s="43"/>
      <c r="T1460" s="43"/>
      <c r="U1460" s="43"/>
      <c r="V1460" s="43"/>
      <c r="W1460" s="43"/>
      <c r="X1460" s="43"/>
      <c r="Y1460" s="43"/>
      <c r="Z1460" s="43"/>
      <c r="AA1460" s="43"/>
      <c r="AB1460" s="43"/>
      <c r="AC1460" s="43"/>
      <c r="AD1460" s="43"/>
      <c r="AE1460" s="43"/>
      <c r="AF1460" s="43"/>
    </row>
    <row r="1461" spans="1:32" ht="12.75" customHeight="1">
      <c r="Q1461" s="7"/>
      <c r="R1461" s="60" t="s">
        <v>1228</v>
      </c>
      <c r="S1461" s="101" t="s">
        <v>1126</v>
      </c>
      <c r="T1461" s="102"/>
      <c r="U1461" s="102"/>
      <c r="V1461" s="102"/>
      <c r="W1461" s="102"/>
      <c r="X1461" s="103"/>
      <c r="Y1461" s="60">
        <v>1</v>
      </c>
      <c r="Z1461" s="60">
        <v>2</v>
      </c>
      <c r="AA1461" s="60">
        <v>3</v>
      </c>
      <c r="AB1461" s="60">
        <v>4</v>
      </c>
      <c r="AC1461" s="60">
        <v>5</v>
      </c>
      <c r="AD1461" s="104"/>
      <c r="AE1461" s="105"/>
      <c r="AF1461" s="106"/>
    </row>
    <row r="1462" spans="1:32" ht="12.75" customHeight="1">
      <c r="A1462" s="21" t="s">
        <v>1236</v>
      </c>
      <c r="H1462" s="136" t="str">
        <f ca="1">IF($Q1464&lt;&gt;"",IF(AND($B1464&lt;&gt;"Missing Player",$B1466&lt;&gt;"Missing Player"),IF(AND(AND($H1464&gt;-1,$H1466&gt;-1),OR($H1464&gt;10,$H1466&gt;10),ABS($H1464-$H1466)&gt;1,IF(OR($H1464&gt;11,$H1466&gt;11),ABS($H1464-$H1466)=2,TRUE),$H1464=INT($H1464),$H1466=INT($H1466)),"","Error"),""),"")</f>
        <v/>
      </c>
      <c r="I1462" s="136" t="str">
        <f ca="1">IF($Q1464&lt;&gt;"",IF(AND($B1464&lt;&gt;"Missing Player",$B1466&lt;&gt;"Missing Player"),IF(AND(AND($I1464&gt;-1,$I1466&gt;-1),OR($I1464&gt;10,$I1466&gt;10),ABS($I1464-$I1466)&gt;1,IF(OR($I1464&gt;11,$I1466&gt;11),ABS($I1464-$I1466)=2,TRUE),$I1464=INT($I1464),$I1466=INT($I1466)),"","Error"),""),"")</f>
        <v/>
      </c>
      <c r="J1462" s="136" t="str">
        <f ca="1">IF($Q1464&lt;&gt;"",IF(AND($B1464&lt;&gt;"Missing Player",$B1466&lt;&gt;"Missing Player"),IF(AND(AND($J1464&gt;-1,$J1466&gt;-1),OR($J1464&gt;10,$J1466&gt;10),ABS($J1464-$J1466)&gt;1,IF(OR($J1464&gt;11,$J1466&gt;11),ABS($J1464-$J1466)=2,TRUE),$J1464=INT($J1464),$J1466=INT($J1466)),"","Error"),""),"")</f>
        <v/>
      </c>
      <c r="K1462" s="136" t="str">
        <f ca="1">IF($Q1464&lt;&gt;"",IF(AND($K1464&lt;&gt;"",$K1466&lt;&gt;""), IF(AND(AND($K1464&gt;-1,$K1466&gt;-1),OR($K1464&gt;10,$K1466&gt;10),ABS($K1464-$K1466)&gt;1,IF(OR($K1464&gt;11,$K1466&gt;11),ABS($K1464-$K1466)=2,TRUE),$K1464=INT($K1464),$K1466=INT($K1466)),"","Error"),""),"")</f>
        <v/>
      </c>
      <c r="L1462" s="136" t="str">
        <f ca="1">IF($Q1464&lt;&gt;"",IF(AND($L1464&lt;&gt;"",$L1466&lt;&gt;""), IF(AND(AND($L1464&gt;-1,$L1466&gt;-1),OR($L1464&gt;10,$L1466&gt;10),ABS($L1464-$L1466)&gt;1,IF(OR($L1464&gt;11,$L1466&gt;11),ABS($L1464-$L1466)=2,TRUE),$L1464=INT($L1464),$L1466=INT($L1466)),"","Error"),""),"")</f>
        <v/>
      </c>
      <c r="Q1462" s="7"/>
      <c r="R1462" s="300" t="str">
        <f>$B1437</f>
        <v>B</v>
      </c>
      <c r="S1462" s="331" t="str">
        <f ca="1">IF($B1457&lt;&gt;"",$B1457,"")</f>
        <v/>
      </c>
      <c r="T1462" s="332"/>
      <c r="U1462" s="332"/>
      <c r="V1462" s="332"/>
      <c r="W1462" s="332"/>
      <c r="X1462" s="333"/>
      <c r="Y1462" s="329"/>
      <c r="Z1462" s="329"/>
      <c r="AA1462" s="329"/>
      <c r="AB1462" s="329"/>
      <c r="AC1462" s="329"/>
      <c r="AD1462" s="345"/>
      <c r="AE1462" s="358"/>
      <c r="AF1462" s="359"/>
    </row>
    <row r="1463" spans="1:32" ht="12.75" customHeight="1">
      <c r="A1463" s="5" t="s">
        <v>1228</v>
      </c>
      <c r="B1463" s="290" t="s">
        <v>1126</v>
      </c>
      <c r="C1463" s="291"/>
      <c r="D1463" s="291"/>
      <c r="E1463" s="291"/>
      <c r="F1463" s="291"/>
      <c r="G1463" s="292"/>
      <c r="H1463" s="5">
        <v>1</v>
      </c>
      <c r="I1463" s="5">
        <v>2</v>
      </c>
      <c r="J1463" s="5">
        <v>3</v>
      </c>
      <c r="K1463" s="5">
        <v>4</v>
      </c>
      <c r="L1463" s="5">
        <v>5</v>
      </c>
      <c r="M1463" s="271"/>
      <c r="N1463" s="272"/>
      <c r="O1463" s="272"/>
      <c r="P1463" s="273"/>
      <c r="Q1463" s="7"/>
      <c r="R1463" s="330"/>
      <c r="S1463" s="334"/>
      <c r="T1463" s="335"/>
      <c r="U1463" s="335"/>
      <c r="V1463" s="335"/>
      <c r="W1463" s="335"/>
      <c r="X1463" s="336"/>
      <c r="Y1463" s="330"/>
      <c r="Z1463" s="330"/>
      <c r="AA1463" s="330"/>
      <c r="AB1463" s="330"/>
      <c r="AC1463" s="330"/>
      <c r="AD1463" s="360"/>
      <c r="AE1463" s="361"/>
      <c r="AF1463" s="362"/>
    </row>
    <row r="1464" spans="1:32" ht="12.75" customHeight="1">
      <c r="A1464" s="300" t="str">
        <f>B1437</f>
        <v>B</v>
      </c>
      <c r="B1464" s="293" t="str">
        <f ca="1">IF(AND(OFFSET($AO$1,$C1437-1,8,1,1),$A1438&lt;&gt;"",$J1438&lt;&gt;""),CHOOSE($C1437,$AR$1,$AR$2,$AR$3,$AR$4,$AR$5,$AR$6,$AR$7,$AR$8,$AR$9,$AR$10,$AR$11,$AR$12),"")</f>
        <v/>
      </c>
      <c r="C1464" s="294"/>
      <c r="D1464" s="294"/>
      <c r="E1464" s="294"/>
      <c r="F1464" s="294"/>
      <c r="G1464" s="294"/>
      <c r="H1464" s="265"/>
      <c r="I1464" s="265"/>
      <c r="J1464" s="265"/>
      <c r="K1464" s="265"/>
      <c r="L1464" s="265" t="str">
        <f ca="1">IF(AND($B1464&lt;&gt;"",$Q1443&lt;&gt;""),IF($B1464="Missing Player",0,IF($B1466="Missing Player",11,"")),"")</f>
        <v/>
      </c>
      <c r="M1464" s="262" t="str">
        <f ca="1">IF(OR(AND($B1457&lt;&gt;"",$B1464&lt;&gt;"",$E1468&lt;=$D1468),AND($B1459&lt;&gt;"",$B1466&lt;&gt;"",$I1468&lt;=$H1468)),"Invalid Lineup","")</f>
        <v/>
      </c>
      <c r="N1464" s="263"/>
      <c r="O1464" s="263"/>
      <c r="P1464" s="264"/>
      <c r="Q1464" s="137" t="str">
        <f ca="1">IF($L1464=$L1466,IF($K1464=$K1466,IF($J1464&lt;&gt;"",IF($J1464&gt;$J1466,"W","L"),""),IF($K1464&gt;$K1466,"W","L")),IF($L1464&gt;$L1466,"W","L"))</f>
        <v/>
      </c>
      <c r="R1464" s="300" t="str">
        <f>$K1437</f>
        <v>G</v>
      </c>
      <c r="S1464" s="331" t="str">
        <f ca="1">IF($B1459&lt;&gt;"",$B1459,"")</f>
        <v/>
      </c>
      <c r="T1464" s="332"/>
      <c r="U1464" s="332"/>
      <c r="V1464" s="332"/>
      <c r="W1464" s="332"/>
      <c r="X1464" s="333"/>
      <c r="Y1464" s="329"/>
      <c r="Z1464" s="329"/>
      <c r="AA1464" s="329"/>
      <c r="AB1464" s="329"/>
      <c r="AC1464" s="351"/>
      <c r="AD1464" s="363" t="s">
        <v>1237</v>
      </c>
      <c r="AE1464" s="358"/>
      <c r="AF1464" s="359"/>
    </row>
    <row r="1465" spans="1:32" ht="12.75" customHeight="1">
      <c r="A1465" s="301"/>
      <c r="B1465" s="295"/>
      <c r="C1465" s="296"/>
      <c r="D1465" s="296"/>
      <c r="E1465" s="296"/>
      <c r="F1465" s="296"/>
      <c r="G1465" s="296"/>
      <c r="H1465" s="270"/>
      <c r="I1465" s="270"/>
      <c r="J1465" s="270"/>
      <c r="K1465" s="270"/>
      <c r="L1465" s="270"/>
      <c r="M1465" s="262"/>
      <c r="N1465" s="263"/>
      <c r="O1465" s="263"/>
      <c r="P1465" s="264"/>
      <c r="Q1465" s="139" t="str">
        <f ca="1">IF($Q1464&lt;&gt;"",IF($B1466&lt;&gt;"Missing Player",IF($Q1464="W",IF(SUM(IF($H1464&gt;$H1466,1,0),IF($I1464&gt;$I1466,1,0),IF($J1464&gt;$J1466,1,0),IF($K1464&gt;$K1466,1,0),IF($L1464&gt;$L1466,1,0))&lt;&gt;3,"Error",""),""),""),"")</f>
        <v/>
      </c>
      <c r="R1465" s="330"/>
      <c r="S1465" s="334"/>
      <c r="T1465" s="335"/>
      <c r="U1465" s="335"/>
      <c r="V1465" s="335"/>
      <c r="W1465" s="335"/>
      <c r="X1465" s="336"/>
      <c r="Y1465" s="330"/>
      <c r="Z1465" s="330"/>
      <c r="AA1465" s="330"/>
      <c r="AB1465" s="330"/>
      <c r="AC1465" s="330"/>
      <c r="AD1465" s="360"/>
      <c r="AE1465" s="361"/>
      <c r="AF1465" s="362"/>
    </row>
    <row r="1466" spans="1:32" ht="12.75" customHeight="1">
      <c r="A1466" s="300" t="str">
        <f>K1437</f>
        <v>G</v>
      </c>
      <c r="B1466" s="293" t="str">
        <f ca="1">IF(AND(OFFSET($AO$1,$L1437-1,8,1,1),$A1438&lt;&gt;"",$J1438&lt;&gt;""),CHOOSE($L1437,$AR$1,$AR$2,$AR$3,$AR$4,$AR$5,$AR$6,$AR$7,$AR$8,$AR$9,$AR$10,$AR$11,$AR$12),"")</f>
        <v/>
      </c>
      <c r="C1466" s="294"/>
      <c r="D1466" s="294"/>
      <c r="E1466" s="294"/>
      <c r="F1466" s="294"/>
      <c r="G1466" s="294"/>
      <c r="H1466" s="265"/>
      <c r="I1466" s="265"/>
      <c r="J1466" s="265"/>
      <c r="K1466" s="265"/>
      <c r="L1466" s="265" t="str">
        <f ca="1">IF(AND($B1466&lt;&gt;"",$Q1443&lt;&gt;""),IF($B1466="Missing Player",0,IF($B1464="Missing Player",11,"")),"")</f>
        <v/>
      </c>
      <c r="M1466" s="267" t="s">
        <v>1237</v>
      </c>
      <c r="N1466" s="268"/>
      <c r="O1466" s="268"/>
      <c r="P1466" s="269"/>
      <c r="Q1466" s="137" t="str">
        <f ca="1">IF($Q1464&lt;&gt;"",IF($Q1464="W","L","W"),"")</f>
        <v/>
      </c>
      <c r="R1466" s="112"/>
      <c r="S1466" s="98"/>
      <c r="T1466" s="108"/>
      <c r="U1466" s="108"/>
      <c r="V1466" s="108"/>
      <c r="W1466" s="108"/>
      <c r="X1466" s="108"/>
      <c r="Y1466" s="113"/>
      <c r="Z1466" s="113"/>
      <c r="AA1466" s="113"/>
      <c r="AB1466" s="113"/>
      <c r="AC1466" s="113"/>
      <c r="AD1466" s="107"/>
      <c r="AE1466" s="109"/>
      <c r="AF1466" s="109"/>
    </row>
    <row r="1467" spans="1:32" ht="12.75" customHeight="1">
      <c r="A1467" s="301"/>
      <c r="B1467" s="295"/>
      <c r="C1467" s="296"/>
      <c r="D1467" s="296"/>
      <c r="E1467" s="296"/>
      <c r="F1467" s="296"/>
      <c r="G1467" s="296"/>
      <c r="H1467" s="270"/>
      <c r="I1467" s="270"/>
      <c r="J1467" s="266"/>
      <c r="K1467" s="266"/>
      <c r="L1467" s="266"/>
      <c r="M1467" s="267"/>
      <c r="N1467" s="268"/>
      <c r="O1467" s="268"/>
      <c r="P1467" s="269"/>
      <c r="Q1467" s="139" t="str">
        <f ca="1">IF($Q1466&lt;&gt;"",IF($B1464&lt;&gt;"Missing Player",IF($Q1466="W",IF(SUM(IF($H1466&gt;$H1464,1,0),IF($I1466&gt;$I1464,1,0),IF($J1466&gt;$J1464,1,0),IF($K1466&gt;$K1464,1,0),IF($L1466&gt;$L1464,1,0))&lt;&gt;3,"Error",""),""),""),"")</f>
        <v/>
      </c>
      <c r="R1467" s="114"/>
      <c r="S1467" s="115"/>
      <c r="T1467" s="115"/>
      <c r="U1467" s="115"/>
      <c r="V1467" s="115"/>
      <c r="W1467" s="115"/>
      <c r="X1467" s="115"/>
      <c r="Y1467" s="114"/>
      <c r="Z1467" s="114"/>
      <c r="AA1467" s="114"/>
      <c r="AB1467" s="114"/>
      <c r="AC1467" s="114"/>
      <c r="AD1467" s="114"/>
      <c r="AE1467" s="114"/>
      <c r="AF1467" s="114"/>
    </row>
    <row r="1468" spans="1:32" ht="12.75" customHeight="1">
      <c r="B1468" s="140" t="str">
        <f ca="1">IF(ISERROR(VLOOKUP($B1443&amp;"("&amp;$B1437&amp;")",Players!$S$4:$T$132,2,FALSE)),"",VLOOKUP($B1443&amp;"("&amp;$B1437&amp;")",Players!$S$4:$T$132,2,FALSE))</f>
        <v>B1</v>
      </c>
      <c r="C1468" s="140" t="str">
        <f ca="1">IF(ISERROR(VLOOKUP($B1450&amp;"("&amp;$B1437&amp;")",Players!$S$4:$T$132,2,FALSE)),"",VLOOKUP($B1450&amp;"("&amp;$B1437&amp;")",Players!$S$4:$T$132,2,FALSE))</f>
        <v>B1</v>
      </c>
      <c r="D1468" s="141" t="str">
        <f ca="1">IF(ISERROR(VLOOKUP($B1457&amp;"("&amp;$B1437&amp;")",Players!$S$4:$T$132,2,FALSE)),"",VLOOKUP($B1457&amp;"("&amp;$B1437&amp;")",Players!$S$4:$T$132,2,FALSE))</f>
        <v>B1</v>
      </c>
      <c r="E1468" s="141" t="str">
        <f ca="1">IF(ISERROR(VLOOKUP($B1464&amp;"("&amp;$B1437&amp;")",Players!$S$4:$T$132,2,FALSE)),"",VLOOKUP($B1464&amp;"("&amp;$B1437&amp;")",Players!$S$4:$T$132,2,FALSE))</f>
        <v>B1</v>
      </c>
      <c r="F1468" s="141" t="str">
        <f ca="1">IF(ISERROR(VLOOKUP($B1445&amp;"("&amp;$K1437&amp;")",Players!$S$4:$T$132,2,FALSE)),"",VLOOKUP($B1445&amp;"("&amp;$K1437&amp;")",Players!$S$4:$T$132,2,FALSE))</f>
        <v>G1</v>
      </c>
      <c r="G1468" s="141" t="str">
        <f ca="1">IF(ISERROR(VLOOKUP($B1452&amp;"("&amp;$K1437&amp;")",Players!$S$4:$T$132,2,FALSE)),"",VLOOKUP($B1452&amp;"("&amp;$K1437&amp;")",Players!$S$4:$T$132,2,FALSE))</f>
        <v>G1</v>
      </c>
      <c r="H1468" s="141" t="str">
        <f ca="1">IF(ISERROR(VLOOKUP($B1459&amp;"("&amp;$K1437&amp;")",Players!$S$4:$T$132,2,FALSE)),"",VLOOKUP($B1459&amp;"("&amp;$K1437&amp;")",Players!$S$4:$T$132,2,FALSE))</f>
        <v>G1</v>
      </c>
      <c r="I1468" s="141" t="str">
        <f ca="1">IF(ISERROR(VLOOKUP($B1466&amp;"("&amp;$K1437&amp;")",Players!$S$4:$T$132,2,FALSE)),"",VLOOKUP($B1466&amp;"("&amp;$K1437&amp;")",Players!$S$4:$T$132,2,FALSE))</f>
        <v>G1</v>
      </c>
      <c r="Q1468" s="7"/>
      <c r="R1468" s="50"/>
      <c r="S1468" s="116"/>
      <c r="T1468" s="115"/>
      <c r="U1468" s="115"/>
      <c r="V1468" s="115"/>
      <c r="W1468" s="115"/>
      <c r="X1468" s="115"/>
      <c r="Y1468" s="99"/>
      <c r="Z1468" s="99"/>
      <c r="AA1468" s="99"/>
      <c r="AB1468" s="99"/>
      <c r="AC1468" s="117"/>
      <c r="AD1468" s="118"/>
      <c r="AE1468" s="114"/>
      <c r="AF1468" s="114"/>
    </row>
    <row r="1469" spans="1:32" ht="12.75" customHeight="1">
      <c r="A1469" s="21" t="s">
        <v>1225</v>
      </c>
      <c r="H1469" s="136" t="str">
        <f ca="1">IF($Q1471&lt;&gt;"",IF(AND($B1472&lt;&gt;"Missing Player",$B1474&lt;&gt;"Missing Player"),IF(AND(AND($H1471&gt;-1,$H1473&gt;-1),OR($H1471&gt;10,$H1473&gt;10),ABS($H1471-$H1473)&gt;1,IF(OR($H1471&gt;11,$H1473&gt;11),ABS($H1471-$H1473)=2,TRUE),$H1471=INT($H1471),$H1473=INT($H1473)),"","Error"),""),"")</f>
        <v/>
      </c>
      <c r="I1469" s="136" t="str">
        <f ca="1">IF($Q1471&lt;&gt;"",IF(AND($B1472&lt;&gt;"Missing Player",$B1474&lt;&gt;"Missing Player"),IF(AND(AND($I1471&gt;-1,$I1473&gt;-1),OR($I1471&gt;10,$I1473&gt;10),ABS($I1471-$I1473)&gt;1,IF(OR($I1471&gt;11,$I1473&gt;11),ABS($I1471-$I1473)=2,TRUE),$I1471=INT($I1471),$I1473=INT($I1473)),"","Error"),""),"")</f>
        <v/>
      </c>
      <c r="J1469" s="136" t="str">
        <f ca="1">IF($Q1471&lt;&gt;"",IF(AND($B1472&lt;&gt;"Missing Player",$B1474&lt;&gt;"Missing Player"),IF(AND(AND($J1471&gt;-1,$J1473&gt;-1),OR($J1471&gt;10,$J1473&gt;10),ABS($J1471-$J1473)&gt;1,IF(OR($J1471&gt;11,$J1473&gt;11),ABS($J1471-$J1473)=2,TRUE),$J1471=INT($J1471),$J1473=INT($J1473)),"","Error"),""),"")</f>
        <v/>
      </c>
      <c r="K1469" s="136" t="str">
        <f ca="1">IF($Q1471&lt;&gt;"",IF(AND($K1471&lt;&gt;"",$K1473&lt;&gt;""), IF(AND(AND($K1471&gt;-1,$K1473&gt;-1),OR($K1471&gt;10,$K1473&gt;10),ABS($K1471-$K1473)&gt;1,IF(OR($K1471&gt;11,$K1473&gt;11),ABS($K1471-$K1473)=2,TRUE),$K1471=INT($K1471),$K1473=INT($K1473)),"","Error"),""),"")</f>
        <v/>
      </c>
      <c r="L1469" s="136" t="str">
        <f ca="1">IF($Q1471&lt;&gt;"",IF(AND($L1471&lt;&gt;"",$L1473&lt;&gt;""), IF(AND(AND($L1471&gt;-1,$L1473&gt;-1),OR($L1471&gt;10,$L1473&gt;10),ABS($L1471-$L1473)&gt;1,IF(OR($L1471&gt;11,$L1473&gt;11),ABS($L1471-$L1473)=2,TRUE),$L1471=INT($L1471),$L1473=INT($L1473)),"","Error"),""),"")</f>
        <v/>
      </c>
      <c r="Q1469" s="7"/>
      <c r="R1469" s="114"/>
      <c r="S1469" s="115"/>
      <c r="T1469" s="115"/>
      <c r="U1469" s="115"/>
      <c r="V1469" s="115"/>
      <c r="W1469" s="115"/>
      <c r="X1469" s="115"/>
      <c r="Y1469" s="114"/>
      <c r="Z1469" s="114"/>
      <c r="AA1469" s="114"/>
      <c r="AB1469" s="114"/>
      <c r="AC1469" s="114"/>
      <c r="AD1469" s="114"/>
      <c r="AE1469" s="114"/>
      <c r="AF1469" s="114"/>
    </row>
    <row r="1470" spans="1:32" ht="12.75" customHeight="1">
      <c r="A1470" s="5" t="s">
        <v>1228</v>
      </c>
      <c r="B1470" s="290" t="s">
        <v>1126</v>
      </c>
      <c r="C1470" s="291"/>
      <c r="D1470" s="291"/>
      <c r="E1470" s="291"/>
      <c r="F1470" s="291"/>
      <c r="G1470" s="292"/>
      <c r="H1470" s="5">
        <v>1</v>
      </c>
      <c r="I1470" s="5">
        <v>2</v>
      </c>
      <c r="J1470" s="5">
        <v>3</v>
      </c>
      <c r="K1470" s="5">
        <v>4</v>
      </c>
      <c r="L1470" s="5">
        <v>5</v>
      </c>
      <c r="M1470" s="271"/>
      <c r="N1470" s="272"/>
      <c r="O1470" s="272"/>
      <c r="P1470" s="273"/>
      <c r="Q1470" s="8"/>
      <c r="S1470" s="24"/>
      <c r="T1470" s="26"/>
    </row>
    <row r="1471" spans="1:32" ht="12.75" customHeight="1">
      <c r="A1471" s="300" t="str">
        <f>B1437</f>
        <v>B</v>
      </c>
      <c r="B1471" s="311" t="str">
        <f ca="1">IF($B1443&lt;&gt;"",$B1443,"")</f>
        <v/>
      </c>
      <c r="C1471" s="312"/>
      <c r="D1471" s="312"/>
      <c r="E1471" s="312"/>
      <c r="F1471" s="312"/>
      <c r="G1471" s="313"/>
      <c r="H1471" s="265"/>
      <c r="I1471" s="265"/>
      <c r="J1471" s="265"/>
      <c r="K1471" s="265"/>
      <c r="L1471" s="265" t="str">
        <f ca="1">IF($B1464&lt;&gt;"",IF(AND($B1464="Missing Player",$G1475=2,$J1475=2),0,IF(AND($B1466="Missing Player",$G1475=2,$J1475=2),11,"")),"")</f>
        <v/>
      </c>
      <c r="M1471" s="262" t="str">
        <f ca="1">IF(OR(AND($B1471&lt;&gt;"",$B1472&lt;&gt;"",$B1471=$B1472),AND($B1473&lt;&gt;"",$B1474&lt;&gt;"",$B1473=$B1474)),"Invalid Partner","")</f>
        <v/>
      </c>
      <c r="N1471" s="263"/>
      <c r="O1471" s="263"/>
      <c r="P1471" s="264"/>
      <c r="Q1471" s="138" t="str">
        <f ca="1">IF(L1471=L1473,IF(K1471=K1473,IF(J1471&lt;&gt;"",IF(J1471&gt;J1473,"W","L"),""),IF(K1471&gt;K1473,"W","L")),IF(L1471&gt;L1473,"W","L"))</f>
        <v/>
      </c>
      <c r="S1471" s="24"/>
      <c r="T1471" s="26"/>
    </row>
    <row r="1472" spans="1:32" ht="12.75" customHeight="1">
      <c r="A1472" s="324"/>
      <c r="B1472" s="308" t="str">
        <f ca="1">IF($B1464="Missing Player",$B1464,"")</f>
        <v/>
      </c>
      <c r="C1472" s="309"/>
      <c r="D1472" s="309"/>
      <c r="E1472" s="309"/>
      <c r="F1472" s="309"/>
      <c r="G1472" s="310"/>
      <c r="H1472" s="270"/>
      <c r="I1472" s="270"/>
      <c r="J1472" s="270"/>
      <c r="K1472" s="270"/>
      <c r="L1472" s="270"/>
      <c r="M1472" s="262"/>
      <c r="N1472" s="263"/>
      <c r="O1472" s="263"/>
      <c r="P1472" s="264"/>
      <c r="Q1472" s="139" t="str">
        <f ca="1">IF($Q1471&lt;&gt;"",IF($B1474&lt;&gt;"Missing Player",IF($Q1471="W",IF(SUM(IF($H1471&gt;$H1473,1,0),IF($I1471&gt;$I1473,1,0),IF($J1471&gt;$J1473,1,0),IF($K1471&gt;$K1473,1,0),IF($L1471&gt;$L1473,1,0))&lt;&gt;3,"Error",""),""),""),"")</f>
        <v/>
      </c>
      <c r="R1472" s="328" t="str">
        <f>$A1438</f>
        <v/>
      </c>
      <c r="S1472" s="328"/>
      <c r="T1472" s="328"/>
      <c r="U1472" s="328"/>
      <c r="V1472" s="328"/>
      <c r="W1472" s="328"/>
      <c r="X1472" s="256" t="str">
        <f>CONCATENATE("(",$B1437," vs ",$K1437,")")</f>
        <v>(B vs G)</v>
      </c>
      <c r="Y1472" s="256"/>
      <c r="Z1472" s="328" t="str">
        <f>$J1438</f>
        <v/>
      </c>
      <c r="AA1472" s="328"/>
      <c r="AB1472" s="328"/>
      <c r="AC1472" s="328"/>
      <c r="AD1472" s="328"/>
      <c r="AE1472" s="328"/>
      <c r="AF1472" s="43"/>
    </row>
    <row r="1473" spans="1:32" ht="12.75" customHeight="1">
      <c r="A1473" s="325" t="str">
        <f>K1437</f>
        <v>G</v>
      </c>
      <c r="B1473" s="311" t="str">
        <f ca="1">IF($B1445&lt;&gt;"",$B1445,"")</f>
        <v/>
      </c>
      <c r="C1473" s="312"/>
      <c r="D1473" s="312"/>
      <c r="E1473" s="312"/>
      <c r="F1473" s="312"/>
      <c r="G1473" s="313"/>
      <c r="H1473" s="265"/>
      <c r="I1473" s="265"/>
      <c r="J1473" s="265"/>
      <c r="K1473" s="265"/>
      <c r="L1473" s="265" t="str">
        <f ca="1">IF($B1466&lt;&gt;"",IF(AND($B1466="Missing Player",$G1475=2,$J1475=2),0,IF(AND($B1464="Missing Player",$G1475=2,$J1475=2),11,"")),"")</f>
        <v/>
      </c>
      <c r="M1473" s="267" t="s">
        <v>1237</v>
      </c>
      <c r="N1473" s="268"/>
      <c r="O1473" s="268"/>
      <c r="P1473" s="269"/>
      <c r="Q1473" s="138" t="str">
        <f ca="1">IF(Q1471&lt;&gt;"",IF(Q1471="W","L","W"),"")</f>
        <v/>
      </c>
      <c r="R1473" s="43"/>
      <c r="S1473" s="43"/>
      <c r="T1473" s="43"/>
      <c r="U1473" s="43"/>
      <c r="V1473" s="43"/>
      <c r="W1473" s="43"/>
      <c r="X1473" s="43"/>
      <c r="Y1473" s="43"/>
      <c r="Z1473" s="43"/>
      <c r="AA1473" s="43"/>
      <c r="AB1473" s="43"/>
      <c r="AC1473" s="43"/>
      <c r="AD1473" s="43"/>
      <c r="AE1473" s="43"/>
      <c r="AF1473" s="43"/>
    </row>
    <row r="1474" spans="1:32" ht="12.75" customHeight="1">
      <c r="A1474" s="324"/>
      <c r="B1474" s="308" t="str">
        <f ca="1">IF($B1466="Missing Player",$B1466,"")</f>
        <v/>
      </c>
      <c r="C1474" s="309"/>
      <c r="D1474" s="309"/>
      <c r="E1474" s="309"/>
      <c r="F1474" s="309"/>
      <c r="G1474" s="310"/>
      <c r="H1474" s="270"/>
      <c r="I1474" s="270"/>
      <c r="J1474" s="266"/>
      <c r="K1474" s="266"/>
      <c r="L1474" s="266"/>
      <c r="M1474" s="267"/>
      <c r="N1474" s="268"/>
      <c r="O1474" s="268"/>
      <c r="P1474" s="269"/>
      <c r="Q1474" s="139" t="str">
        <f ca="1">IF($Q1473&lt;&gt;"",IF($B1472&lt;&gt;"Missing Player",IF($Q1473="W",IF(SUM(IF($H1473&gt;$H1471,1,0),IF($I1473&gt;$I1471,1,0),IF($J1473&gt;$J1471,1,0),IF($K1473&gt;$K1471,1,0),IF($L1473&gt;$L1471,1,0))&lt;&gt;3,"Error",""),""),""),"")</f>
        <v/>
      </c>
      <c r="R1474" s="43" t="str">
        <f>A1462</f>
        <v>4th Singles</v>
      </c>
      <c r="S1474" s="43"/>
      <c r="T1474" s="43"/>
      <c r="U1474" s="43"/>
      <c r="V1474" s="43"/>
      <c r="W1474" s="43"/>
      <c r="X1474" s="43"/>
      <c r="Y1474" s="43"/>
      <c r="Z1474" s="43"/>
      <c r="AA1474" s="43"/>
      <c r="AB1474" s="43"/>
      <c r="AC1474" s="43"/>
      <c r="AD1474" s="43"/>
      <c r="AE1474" s="43"/>
      <c r="AF1474" s="43"/>
    </row>
    <row r="1475" spans="1:32" ht="12.75" customHeight="1">
      <c r="G1475" s="66">
        <f ca="1">COUNTIF($Q1443:$Q1443,"W")+COUNTIF($Q1450:$Q1450,"W")+COUNTIF($Q1457:$Q1457,"W")+COUNTIF($Q1464:$Q1464,"W")</f>
        <v>0</v>
      </c>
      <c r="J1475" s="66">
        <f ca="1">COUNTIF($Q1445:$Q1445,"W")+COUNTIF($Q1452:$Q1452,"W")+COUNTIF($Q1459:$Q1459,"W")+COUNTIF($Q1466:$Q1466,"W")</f>
        <v>0</v>
      </c>
      <c r="R1475" s="60" t="s">
        <v>1228</v>
      </c>
      <c r="S1475" s="339" t="s">
        <v>1126</v>
      </c>
      <c r="T1475" s="340"/>
      <c r="U1475" s="340"/>
      <c r="V1475" s="340"/>
      <c r="W1475" s="340"/>
      <c r="X1475" s="341"/>
      <c r="Y1475" s="60">
        <v>1</v>
      </c>
      <c r="Z1475" s="60">
        <v>2</v>
      </c>
      <c r="AA1475" s="60">
        <v>3</v>
      </c>
      <c r="AB1475" s="60">
        <v>4</v>
      </c>
      <c r="AC1475" s="60">
        <v>5</v>
      </c>
      <c r="AD1475" s="342"/>
      <c r="AE1475" s="343"/>
      <c r="AF1475" s="344"/>
    </row>
    <row r="1476" spans="1:32" ht="12.75" customHeight="1" thickBot="1">
      <c r="F1476" s="246" t="s">
        <v>1238</v>
      </c>
      <c r="G1476" s="246"/>
      <c r="H1476" s="246"/>
      <c r="I1476" s="246"/>
      <c r="J1476" s="246"/>
      <c r="K1476" s="246"/>
      <c r="R1476" s="300" t="str">
        <f>B1437</f>
        <v>B</v>
      </c>
      <c r="S1476" s="331" t="str">
        <f ca="1">IF($B1464&lt;&gt;"",$B1464,"")</f>
        <v/>
      </c>
      <c r="T1476" s="353"/>
      <c r="U1476" s="353"/>
      <c r="V1476" s="353"/>
      <c r="W1476" s="353"/>
      <c r="X1476" s="354"/>
      <c r="Y1476" s="329"/>
      <c r="Z1476" s="329"/>
      <c r="AA1476" s="351"/>
      <c r="AB1476" s="351"/>
      <c r="AC1476" s="351"/>
      <c r="AD1476" s="345"/>
      <c r="AE1476" s="346"/>
      <c r="AF1476" s="347"/>
    </row>
    <row r="1477" spans="1:32" ht="12.75" customHeight="1">
      <c r="A1477" s="22"/>
      <c r="B1477" s="22"/>
      <c r="C1477" s="22"/>
      <c r="D1477" s="22"/>
      <c r="E1477" s="22"/>
      <c r="G1477" s="304" t="str">
        <f>B1437</f>
        <v>B</v>
      </c>
      <c r="H1477" s="305"/>
      <c r="I1477" s="302" t="str">
        <f>K1437</f>
        <v>G</v>
      </c>
      <c r="J1477" s="303"/>
      <c r="L1477" s="22"/>
      <c r="M1477" s="22"/>
      <c r="N1477" s="22"/>
      <c r="O1477" s="22"/>
      <c r="P1477" s="22"/>
      <c r="R1477" s="301"/>
      <c r="S1477" s="355"/>
      <c r="T1477" s="356"/>
      <c r="U1477" s="356"/>
      <c r="V1477" s="356"/>
      <c r="W1477" s="356"/>
      <c r="X1477" s="357"/>
      <c r="Y1477" s="338"/>
      <c r="Z1477" s="338"/>
      <c r="AA1477" s="352"/>
      <c r="AB1477" s="352"/>
      <c r="AC1477" s="352"/>
      <c r="AD1477" s="348"/>
      <c r="AE1477" s="349"/>
      <c r="AF1477" s="350"/>
    </row>
    <row r="1478" spans="1:32" ht="12.75" customHeight="1" thickBot="1">
      <c r="A1478" s="2" t="s">
        <v>1228</v>
      </c>
      <c r="B1478" s="53" t="str">
        <f>B1437</f>
        <v>B</v>
      </c>
      <c r="C1478" s="3" t="s">
        <v>1226</v>
      </c>
      <c r="F1478" s="66" t="str">
        <f>CONCATENATE($B1437,"-",$K1437)</f>
        <v>B-G</v>
      </c>
      <c r="G1478" s="320" t="str">
        <f ca="1">IF(OR(Q1443&lt;&gt;"",Q1450&lt;&gt;"",Q1457&lt;&gt;"",Q1464&lt;&gt;"",Q1471&lt;&gt;""),COUNTIF(Q1443:Q1443,"W")+COUNTIF(Q1450:Q1450,"W")+COUNTIF(Q1457:Q1457,"W")+COUNTIF(Q1464:Q1464,"W")+COUNTIF(Q1471:Q1471,"W"),"")</f>
        <v/>
      </c>
      <c r="H1478" s="321"/>
      <c r="I1478" s="322" t="str">
        <f ca="1">IF(OR(Q1445&lt;&gt;"",Q1452&lt;&gt;"",Q1459&lt;&gt;"",Q1466&lt;&gt;"",Q1473&lt;&gt;""),COUNTIF(Q1445:Q1445,"W")+COUNTIF(Q1452:Q1452,"W")+COUNTIF(Q1459:Q1459,"W")+COUNTIF(Q1466:Q1466,"W")+COUNTIF(Q1473:Q1473,"W"),"")</f>
        <v/>
      </c>
      <c r="J1478" s="323"/>
      <c r="L1478" s="2" t="s">
        <v>1228</v>
      </c>
      <c r="M1478" s="53" t="str">
        <f>K1437</f>
        <v>G</v>
      </c>
      <c r="N1478" s="3" t="s">
        <v>1226</v>
      </c>
      <c r="R1478" s="300" t="str">
        <f>K1437</f>
        <v>G</v>
      </c>
      <c r="S1478" s="331" t="str">
        <f ca="1">IF($B1466&lt;&gt;"",$B1466,"")</f>
        <v/>
      </c>
      <c r="T1478" s="332"/>
      <c r="U1478" s="332"/>
      <c r="V1478" s="332"/>
      <c r="W1478" s="332"/>
      <c r="X1478" s="333"/>
      <c r="Y1478" s="329"/>
      <c r="Z1478" s="329"/>
      <c r="AA1478" s="351"/>
      <c r="AB1478" s="351"/>
      <c r="AC1478" s="351"/>
      <c r="AD1478" s="363" t="s">
        <v>1237</v>
      </c>
      <c r="AE1478" s="358"/>
      <c r="AF1478" s="359"/>
    </row>
    <row r="1479" spans="1:32" ht="12.75" customHeight="1">
      <c r="F1479" s="25" t="s">
        <v>3996</v>
      </c>
      <c r="G1479" s="23"/>
      <c r="H1479" s="23"/>
      <c r="I1479" s="23"/>
      <c r="J1479" s="23"/>
      <c r="K1479" s="24"/>
      <c r="R1479" s="330"/>
      <c r="S1479" s="334"/>
      <c r="T1479" s="335"/>
      <c r="U1479" s="335"/>
      <c r="V1479" s="335"/>
      <c r="W1479" s="335"/>
      <c r="X1479" s="336"/>
      <c r="Y1479" s="330"/>
      <c r="Z1479" s="330"/>
      <c r="AA1479" s="330"/>
      <c r="AB1479" s="330"/>
      <c r="AC1479" s="330"/>
      <c r="AD1479" s="360"/>
      <c r="AE1479" s="361"/>
      <c r="AF1479" s="362"/>
    </row>
    <row r="1480" spans="1:32" ht="12.75" customHeight="1">
      <c r="R1480" s="1"/>
      <c r="S1480" s="110"/>
      <c r="T1480" s="110"/>
      <c r="U1480" s="110"/>
      <c r="V1480" s="110"/>
      <c r="W1480" s="110"/>
      <c r="X1480" s="111"/>
      <c r="Y1480" s="111"/>
      <c r="Z1480" s="111"/>
      <c r="AA1480" s="111"/>
    </row>
    <row r="1481" spans="1:32" ht="12.75" customHeight="1">
      <c r="F1481" s="246" t="s">
        <v>4929</v>
      </c>
      <c r="G1481" s="246"/>
      <c r="H1481" s="246"/>
      <c r="I1481" s="246"/>
      <c r="R1481" s="1"/>
      <c r="S1481" s="110"/>
      <c r="T1481" s="110"/>
      <c r="U1481" s="110"/>
      <c r="V1481" s="110"/>
      <c r="W1481" s="110"/>
      <c r="X1481" s="111"/>
      <c r="Y1481" s="111"/>
      <c r="Z1481" s="111"/>
      <c r="AA1481" s="111"/>
    </row>
    <row r="1482" spans="1:32" ht="12.75" customHeight="1">
      <c r="F1482" s="246" t="s">
        <v>4930</v>
      </c>
      <c r="G1482" s="246"/>
      <c r="H1482" s="246"/>
      <c r="I1482" s="246"/>
      <c r="R1482" s="1"/>
      <c r="S1482" s="110"/>
      <c r="T1482" s="110"/>
      <c r="U1482" s="110"/>
      <c r="V1482" s="110"/>
      <c r="W1482" s="110"/>
      <c r="X1482" s="111"/>
      <c r="Y1482" s="111"/>
      <c r="Z1482" s="111"/>
      <c r="AA1482" s="111"/>
    </row>
    <row r="1483" spans="1:32" ht="12.75" customHeight="1">
      <c r="K1483" s="281" t="s">
        <v>1244</v>
      </c>
      <c r="L1483" s="281"/>
      <c r="M1483" s="281"/>
      <c r="N1483" s="281"/>
      <c r="O1483" s="281"/>
      <c r="P1483" s="281"/>
      <c r="R1483" s="1"/>
      <c r="S1483" s="110"/>
      <c r="T1483" s="110"/>
      <c r="U1483" s="110"/>
      <c r="V1483" s="110"/>
      <c r="W1483" s="110"/>
      <c r="X1483" s="111"/>
      <c r="Y1483" s="111"/>
      <c r="Z1483" s="111"/>
      <c r="AA1483" s="111"/>
    </row>
    <row r="1484" spans="1:32" ht="12.75" customHeight="1">
      <c r="A1484" s="12" t="s">
        <v>1229</v>
      </c>
      <c r="B1484" s="11"/>
      <c r="C1484" s="11"/>
      <c r="D1484" s="11" t="str">
        <f>Draw!$B$1</f>
        <v>Enter Division Name</v>
      </c>
      <c r="E1484" s="11"/>
      <c r="F1484" s="7"/>
      <c r="G1484" s="6"/>
      <c r="H1484" s="7"/>
      <c r="I1484" s="11"/>
      <c r="J1484" s="11"/>
      <c r="K1484" s="11"/>
      <c r="L1484" s="11"/>
      <c r="M1484" s="281"/>
      <c r="N1484" s="281"/>
      <c r="O1484" s="281"/>
      <c r="P1484" s="281"/>
      <c r="R1484" s="1"/>
      <c r="S1484" s="110"/>
      <c r="T1484" s="110"/>
      <c r="U1484" s="110"/>
      <c r="V1484" s="110"/>
      <c r="W1484" s="110"/>
      <c r="X1484" s="111"/>
      <c r="Y1484" s="111"/>
      <c r="Z1484" s="111"/>
      <c r="AA1484" s="111"/>
    </row>
    <row r="1485" spans="1:32" ht="12.75" customHeight="1">
      <c r="A1485" s="2" t="s">
        <v>1230</v>
      </c>
      <c r="D1485" s="43" t="str">
        <f>Draw!$D$1</f>
        <v>Enter Hosting Location (City, ST)</v>
      </c>
      <c r="J1485" s="43" t="str">
        <f ca="1">$J$6</f>
        <v>[NCTTA Teams Template (v2.06).xlsx]</v>
      </c>
      <c r="R1485" s="1"/>
      <c r="S1485" s="110"/>
      <c r="T1485" s="110"/>
      <c r="U1485" s="110"/>
      <c r="V1485" s="110"/>
      <c r="W1485" s="110"/>
      <c r="X1485" s="111"/>
      <c r="Y1485" s="111"/>
      <c r="Z1485" s="111"/>
      <c r="AA1485" s="111"/>
    </row>
    <row r="1486" spans="1:32" ht="12.75" customHeight="1">
      <c r="A1486" s="2" t="s">
        <v>1231</v>
      </c>
      <c r="D1486" s="337" t="str">
        <f>Draw!$P$1</f>
        <v>Enter Date</v>
      </c>
      <c r="E1486" s="337"/>
      <c r="F1486" s="337"/>
      <c r="G1486" s="337"/>
      <c r="J1486" s="280" t="str">
        <f>CHOOSE(Draw!$T$1,"Round 5, Match 6","Round 5, Match 6","","","","","","","Round 8, Match 2","Round 6, Match 5","Round 6, Match 5")</f>
        <v/>
      </c>
      <c r="K1486" s="280"/>
      <c r="L1486" s="280"/>
      <c r="M1486" s="276" t="str">
        <f>IF(AND($J1486&lt;&gt;"",Draw!$AC$10&lt;&gt;"",Draw!$AC$13&lt;&gt;""),Draw!$AC$10+TIME(0,VALUE(MID($J1486,7,FIND(",",$J1486)-FIND(" ",$J1486)-1)-1)*Draw!$AC$13,0),"")</f>
        <v/>
      </c>
      <c r="N1486" s="276"/>
      <c r="O1486" s="157" t="str">
        <f>$F1529</f>
        <v>B-H</v>
      </c>
      <c r="R1486" s="1"/>
      <c r="S1486" s="110"/>
      <c r="T1486" s="110"/>
      <c r="U1486" s="110"/>
      <c r="V1486" s="110"/>
      <c r="W1486" s="110"/>
      <c r="X1486" s="111"/>
      <c r="Y1486" s="111"/>
      <c r="Z1486" s="111"/>
      <c r="AA1486" s="111"/>
    </row>
    <row r="1487" spans="1:32" ht="12.75" customHeight="1">
      <c r="A1487" s="14"/>
      <c r="B1487" s="15"/>
      <c r="C1487" s="15"/>
      <c r="D1487" s="15"/>
      <c r="E1487" s="15"/>
      <c r="F1487" s="14"/>
      <c r="G1487" s="14"/>
      <c r="H1487" s="16"/>
      <c r="I1487" s="14"/>
      <c r="J1487" s="15"/>
      <c r="K1487" s="15"/>
      <c r="L1487" s="15"/>
      <c r="M1487" s="15"/>
      <c r="N1487" s="15"/>
      <c r="O1487" s="364" t="str">
        <f>IF(OR(AND(VLOOKUP($B1488,$AM$1:$AX$12,12,FALSE)="C",VLOOKUP($K1488,$AM$1:$AX$12,12,FALSE)="C"),AND(VLOOKUP($B1488,$AM$1:$AX$12,12,FALSE)="W",VLOOKUP($K1488,$AM$1:$AX$12,12,FALSE)="W")),"Official",IF(AND($A1489="",$J1489=""),"","Scrimmage"))</f>
        <v/>
      </c>
      <c r="P1487" s="364"/>
      <c r="R1487" s="1"/>
      <c r="S1487" s="110"/>
      <c r="T1487" s="110"/>
      <c r="U1487" s="110"/>
      <c r="V1487" s="110"/>
      <c r="W1487" s="110"/>
      <c r="X1487" s="111"/>
      <c r="Y1487" s="111"/>
      <c r="Z1487" s="111"/>
      <c r="AA1487" s="111"/>
    </row>
    <row r="1488" spans="1:32" ht="12.75" customHeight="1">
      <c r="A1488" s="17" t="s">
        <v>1228</v>
      </c>
      <c r="B1488" s="119" t="str">
        <f>CHOOSE(Draw!$T$1,"G","H","B","B","C","C","B","A","D","H","C")</f>
        <v>B</v>
      </c>
      <c r="C1488" s="135">
        <f>VLOOKUP($B1488,$AM$1:$AN$12,2)</f>
        <v>2</v>
      </c>
      <c r="D1488" s="13"/>
      <c r="E1488" s="13"/>
      <c r="F1488" s="10"/>
      <c r="H1488" s="19" t="s">
        <v>1232</v>
      </c>
      <c r="J1488" s="17" t="s">
        <v>1228</v>
      </c>
      <c r="K1488" s="119" t="str">
        <f>CHOOSE(Draw!$T$1,"H","I","H","L","K","I","K","J","I","I","K")</f>
        <v>H</v>
      </c>
      <c r="L1488" s="135">
        <f>VLOOKUP($K1488,$AM$1:$AN$12,2)</f>
        <v>8</v>
      </c>
      <c r="M1488" s="13"/>
      <c r="N1488" s="13"/>
      <c r="O1488" s="18"/>
      <c r="P1488" s="274"/>
      <c r="Q1488" s="275"/>
      <c r="R1488" s="1"/>
      <c r="S1488" s="110"/>
      <c r="T1488" s="110"/>
      <c r="U1488" s="110"/>
      <c r="V1488" s="110"/>
      <c r="W1488" s="110"/>
      <c r="X1488" s="111"/>
      <c r="Y1488" s="111"/>
      <c r="Z1488" s="111"/>
      <c r="AA1488" s="111"/>
    </row>
    <row r="1489" spans="1:32" ht="12.75" customHeight="1">
      <c r="A1489" s="277" t="str">
        <f>IF(VLOOKUP($B1488,Draw!$A$4:$B$27,2)&lt;&gt;0,VLOOKUP($B1488,Draw!$A$4:$B$27,2),"")</f>
        <v/>
      </c>
      <c r="B1489" s="278"/>
      <c r="C1489" s="278"/>
      <c r="D1489" s="278"/>
      <c r="E1489" s="278"/>
      <c r="F1489" s="279"/>
      <c r="G1489" s="306" t="s">
        <v>4181</v>
      </c>
      <c r="H1489" s="289"/>
      <c r="I1489" s="307"/>
      <c r="J1489" s="277" t="str">
        <f>IF(VLOOKUP($K1488,Draw!$A$4:$B$27,2)&lt;&gt;0,VLOOKUP($K1488,Draw!$A$4:$B$27,2),"")</f>
        <v/>
      </c>
      <c r="K1489" s="278"/>
      <c r="L1489" s="278"/>
      <c r="M1489" s="278"/>
      <c r="N1489" s="278"/>
      <c r="O1489" s="279"/>
      <c r="P1489" s="15"/>
      <c r="R1489" s="1"/>
      <c r="S1489" s="110"/>
      <c r="T1489" s="110"/>
      <c r="U1489" s="110"/>
      <c r="V1489" s="110"/>
      <c r="W1489" s="110"/>
      <c r="X1489" s="111"/>
      <c r="Y1489" s="111"/>
      <c r="Z1489" s="111"/>
      <c r="AA1489" s="111"/>
    </row>
    <row r="1490" spans="1:32" ht="12.75" customHeight="1">
      <c r="A1490" s="14"/>
      <c r="B1490" s="15"/>
      <c r="C1490" s="15"/>
      <c r="D1490" s="15"/>
      <c r="E1490" s="15"/>
      <c r="F1490" s="14"/>
      <c r="G1490" s="288" t="str">
        <f>"Page "&amp;VALUE(RIGHT($G1489,LEN($G1489)-SEARCH("-",$G1489)))/2</f>
        <v>Page 30</v>
      </c>
      <c r="H1490" s="289"/>
      <c r="I1490" s="289"/>
      <c r="J1490" s="15"/>
      <c r="K1490" s="15"/>
      <c r="L1490" s="15"/>
      <c r="M1490" s="15"/>
      <c r="N1490" s="15"/>
      <c r="O1490" s="15"/>
      <c r="P1490" s="15"/>
      <c r="R1490" s="1"/>
      <c r="S1490" s="110"/>
      <c r="T1490" s="110"/>
      <c r="U1490" s="110"/>
      <c r="V1490" s="110"/>
      <c r="W1490" s="110"/>
      <c r="X1490" s="111"/>
      <c r="Y1490" s="111"/>
      <c r="Z1490" s="111"/>
      <c r="AA1490" s="111"/>
      <c r="AF1490" s="27"/>
    </row>
    <row r="1491" spans="1:32" ht="12.75" customHeight="1">
      <c r="A1491" s="327" t="s">
        <v>1245</v>
      </c>
      <c r="B1491" s="327"/>
      <c r="C1491" s="327"/>
      <c r="D1491" s="327"/>
      <c r="E1491" s="327"/>
      <c r="F1491" s="327"/>
      <c r="G1491" s="327"/>
      <c r="H1491" s="327"/>
      <c r="I1491" s="327"/>
      <c r="J1491" s="327"/>
      <c r="K1491" s="327"/>
      <c r="L1491" s="327"/>
      <c r="M1491" s="327"/>
      <c r="N1491" s="327"/>
      <c r="O1491" s="327"/>
      <c r="P1491" s="327"/>
      <c r="Q1491" s="7"/>
      <c r="R1491" s="1"/>
      <c r="S1491" s="110"/>
      <c r="T1491" s="110"/>
      <c r="U1491" s="110"/>
      <c r="V1491" s="110"/>
      <c r="W1491" s="110"/>
      <c r="X1491" s="111"/>
      <c r="Y1491" s="111"/>
      <c r="Z1491" s="111"/>
      <c r="AA1491" s="111"/>
      <c r="AF1491" s="20"/>
    </row>
    <row r="1492" spans="1:32" ht="12.75" customHeight="1">
      <c r="A1492" s="21" t="s">
        <v>1233</v>
      </c>
      <c r="H1492" s="136" t="str">
        <f>IF($Q1494&lt;&gt;"",IF(AND(AND($H1494&gt;-1,$H1496&gt;-1),OR($H1494&gt;10,$H1496&gt;10),ABS($H1494-$H1496)&gt;1,IF(OR($H1494&gt;11,$H1496&gt;11),ABS($H1494-$H1496)=2,TRUE),$H1494=INT($H1494),$H1496=INT($H1496)),"","Error"),"")</f>
        <v/>
      </c>
      <c r="I1492" s="136" t="str">
        <f>IF($Q1494&lt;&gt;"",IF(AND(AND($I1494&gt;-1,$I1496&gt;-1),OR($I1494&gt;10,$I1496&gt;10),ABS($I1494-$I1496)&gt;1,IF(OR($I1494&gt;11,$I1496&gt;11),ABS($I1494-$I1496)=2,TRUE),$I1494=INT($I1494),$I1496=INT($I1496)),"","Error"),"")</f>
        <v/>
      </c>
      <c r="J1492" s="136" t="str">
        <f>IF($Q1494&lt;&gt;"",IF(AND(AND($J1494&gt;-1,$J1496&gt;-1),OR($J1494&gt;10,$J1496&gt;10),ABS($J1494-$J1496)&gt;1,IF(OR($J1494&gt;11,$J1496&gt;11),ABS($J1494-$J1496)=2,TRUE),$J1494=INT($J1494),$J1496=INT($J1496)),"","Error"),"")</f>
        <v/>
      </c>
      <c r="K1492" s="136" t="str">
        <f>IF($Q1494&lt;&gt;"",IF(AND($K1494&lt;&gt;"",$K1496&lt;&gt;""), IF(AND(AND($K1494&gt;-1,$K1496&gt;-1),OR($K1494&gt;10,$K1496&gt;10),ABS($K1494-$K1496)&gt;1,IF(OR($K1494&gt;11,$K1496&gt;11),ABS($K1494-$K1496)=2,TRUE),$K1494=INT($K1494),$K1496=INT($K1496)),"","Error"),""),"")</f>
        <v/>
      </c>
      <c r="L1492" s="136" t="str">
        <f>IF($Q1494&lt;&gt;"",IF(AND($L1494&lt;&gt;"",$L1496&lt;&gt;""), IF(AND(AND($L1494&gt;-1,$L1496&gt;-1),OR($L1494&gt;10,$L1496&gt;10),ABS($L1494-$L1496)&gt;1,IF(OR($L1494&gt;11,$L1496&gt;11),ABS($L1494-$L1496)=2,TRUE),$L1494=INT($L1494),$L1496=INT($L1496)),"","Error"),""),"")</f>
        <v/>
      </c>
      <c r="R1492" s="1"/>
      <c r="S1492" s="110"/>
      <c r="T1492" s="110"/>
      <c r="U1492" s="110"/>
      <c r="V1492" s="110"/>
      <c r="W1492" s="110"/>
      <c r="X1492" s="111"/>
      <c r="Y1492" s="111"/>
      <c r="Z1492" s="111"/>
      <c r="AA1492" s="111"/>
    </row>
    <row r="1493" spans="1:32" ht="12.75" customHeight="1">
      <c r="A1493" s="5" t="s">
        <v>1228</v>
      </c>
      <c r="B1493" s="290" t="s">
        <v>1126</v>
      </c>
      <c r="C1493" s="291"/>
      <c r="D1493" s="291"/>
      <c r="E1493" s="291"/>
      <c r="F1493" s="291"/>
      <c r="G1493" s="292"/>
      <c r="H1493" s="5">
        <v>1</v>
      </c>
      <c r="I1493" s="5">
        <v>2</v>
      </c>
      <c r="J1493" s="5">
        <v>3</v>
      </c>
      <c r="K1493" s="5">
        <v>4</v>
      </c>
      <c r="L1493" s="5">
        <v>5</v>
      </c>
      <c r="M1493" s="271"/>
      <c r="N1493" s="272"/>
      <c r="O1493" s="272"/>
      <c r="P1493" s="273"/>
      <c r="R1493" s="1"/>
      <c r="S1493" s="110"/>
      <c r="T1493" s="110"/>
      <c r="U1493" s="110"/>
      <c r="V1493" s="110"/>
      <c r="W1493" s="110"/>
      <c r="X1493" s="111"/>
      <c r="Y1493" s="111"/>
      <c r="Z1493" s="111"/>
      <c r="AA1493" s="111"/>
    </row>
    <row r="1494" spans="1:32" ht="12.75" customHeight="1">
      <c r="A1494" s="300" t="str">
        <f>B1488</f>
        <v>B</v>
      </c>
      <c r="B1494" s="293" t="str">
        <f ca="1">IF(AND(OFFSET($AO$1,$C1488-1,8,1,1),$A1489&lt;&gt;"",$J1489&lt;&gt;""),CHOOSE($C1488,$AO$1,$AO$2,$AO$3,$AO$4,$AO$5,$AO$6,$AO$7,$AO$8,$AO$9,$AO$10,$AO$11,$AO$12),"")</f>
        <v/>
      </c>
      <c r="C1494" s="294"/>
      <c r="D1494" s="294"/>
      <c r="E1494" s="294"/>
      <c r="F1494" s="294"/>
      <c r="G1494" s="294"/>
      <c r="H1494" s="265"/>
      <c r="I1494" s="265"/>
      <c r="J1494" s="265"/>
      <c r="K1494" s="265"/>
      <c r="L1494" s="265"/>
      <c r="M1494" s="297"/>
      <c r="N1494" s="298"/>
      <c r="O1494" s="298"/>
      <c r="P1494" s="299"/>
      <c r="Q1494" s="137" t="str">
        <f>IF($L1494=$L1496,IF($K1494=$K1496,IF($J1494&lt;&gt;"",IF($J1494&gt;$J1496,"W","L"),""),IF($K1494&gt;$K1496,"W","L")),IF($L1494&gt;$L1496,"W","L"))</f>
        <v/>
      </c>
      <c r="R1494" s="1"/>
      <c r="S1494" s="110"/>
      <c r="T1494" s="110"/>
      <c r="U1494" s="110"/>
      <c r="V1494" s="110"/>
      <c r="W1494" s="110"/>
      <c r="X1494" s="111"/>
      <c r="Y1494" s="111"/>
      <c r="Z1494" s="111"/>
      <c r="AA1494" s="111"/>
    </row>
    <row r="1495" spans="1:32" ht="12.75" customHeight="1">
      <c r="A1495" s="301"/>
      <c r="B1495" s="295"/>
      <c r="C1495" s="296"/>
      <c r="D1495" s="296"/>
      <c r="E1495" s="296"/>
      <c r="F1495" s="296"/>
      <c r="G1495" s="296"/>
      <c r="H1495" s="270"/>
      <c r="I1495" s="270"/>
      <c r="J1495" s="270"/>
      <c r="K1495" s="270"/>
      <c r="L1495" s="270"/>
      <c r="M1495" s="297"/>
      <c r="N1495" s="298"/>
      <c r="O1495" s="298"/>
      <c r="P1495" s="299"/>
      <c r="Q1495" s="139" t="str">
        <f>IF($Q1494&lt;&gt;"",IF($Q1494="W",IF(SUM(IF($H1494&gt;$H1496,1,0),IF($I1494&gt;$I1496,1,0),IF($J1494&gt;$J1496,1,0),IF($K1494&gt;$K1496,1,0),IF($L1494&gt;$L1496,1,0))&lt;&gt;3,"Error",""),""),"")</f>
        <v/>
      </c>
      <c r="R1495" s="328" t="str">
        <f>$A1489</f>
        <v/>
      </c>
      <c r="S1495" s="328"/>
      <c r="T1495" s="328"/>
      <c r="U1495" s="328"/>
      <c r="V1495" s="328"/>
      <c r="W1495" s="328"/>
      <c r="X1495" s="256" t="str">
        <f>CONCATENATE("(",$B1488," vs ",$K1488,")")</f>
        <v>(B vs H)</v>
      </c>
      <c r="Y1495" s="256"/>
      <c r="Z1495" s="328" t="str">
        <f>$J1489</f>
        <v/>
      </c>
      <c r="AA1495" s="328"/>
      <c r="AB1495" s="328"/>
      <c r="AC1495" s="328"/>
      <c r="AD1495" s="328"/>
      <c r="AE1495" s="328"/>
      <c r="AF1495" s="43"/>
    </row>
    <row r="1496" spans="1:32" ht="12.75" customHeight="1">
      <c r="A1496" s="300" t="str">
        <f>K1488</f>
        <v>H</v>
      </c>
      <c r="B1496" s="293" t="str">
        <f ca="1">IF(AND(OFFSET($AO$1,$L1488-1,8,1,1),$A1489&lt;&gt;"",$J1489&lt;&gt;""),CHOOSE($L1488,$AO$1,$AO$2,$AO$3,$AO$4,$AO$5,$AO$6,$AO$7,$AO$8,$AO$9,$AO$10,$AO$11,$AO$12),"")</f>
        <v/>
      </c>
      <c r="C1496" s="294"/>
      <c r="D1496" s="294"/>
      <c r="E1496" s="294"/>
      <c r="F1496" s="294"/>
      <c r="G1496" s="294"/>
      <c r="H1496" s="265"/>
      <c r="I1496" s="265"/>
      <c r="J1496" s="265"/>
      <c r="K1496" s="265"/>
      <c r="L1496" s="265"/>
      <c r="M1496" s="267" t="s">
        <v>1237</v>
      </c>
      <c r="N1496" s="268"/>
      <c r="O1496" s="268"/>
      <c r="P1496" s="269"/>
      <c r="Q1496" s="137" t="str">
        <f>IF($Q1494&lt;&gt;"",IF($Q1494="W","L","W"),"")</f>
        <v/>
      </c>
      <c r="R1496" s="43"/>
      <c r="S1496" s="43"/>
      <c r="T1496" s="43"/>
      <c r="U1496" s="43"/>
      <c r="V1496" s="43"/>
      <c r="W1496" s="43"/>
      <c r="X1496" s="43"/>
      <c r="Y1496" s="43"/>
      <c r="Z1496" s="43"/>
      <c r="AA1496" s="43"/>
      <c r="AB1496" s="43"/>
      <c r="AC1496" s="43"/>
      <c r="AD1496" s="43"/>
      <c r="AE1496" s="43"/>
      <c r="AF1496" s="43"/>
    </row>
    <row r="1497" spans="1:32" ht="12.75" customHeight="1">
      <c r="A1497" s="301"/>
      <c r="B1497" s="295"/>
      <c r="C1497" s="296"/>
      <c r="D1497" s="296"/>
      <c r="E1497" s="296"/>
      <c r="F1497" s="296"/>
      <c r="G1497" s="296"/>
      <c r="H1497" s="270"/>
      <c r="I1497" s="270"/>
      <c r="J1497" s="266"/>
      <c r="K1497" s="266"/>
      <c r="L1497" s="266"/>
      <c r="M1497" s="267"/>
      <c r="N1497" s="268"/>
      <c r="O1497" s="268"/>
      <c r="P1497" s="269"/>
      <c r="Q1497" s="139" t="str">
        <f>IF($Q1496&lt;&gt;"",IF($Q1496="W",IF(SUM(IF($H1496&gt;$H1494,1,0),IF($I1496&gt;$I1494,1,0),IF($J1496&gt;$J1494,1,0),IF($K1496&gt;$K1494,1,0),IF($L1496&gt;$L1494,1,0))&lt;&gt;3,"Error",""),""),"")</f>
        <v/>
      </c>
      <c r="R1497" s="43" t="str">
        <f>$A1499</f>
        <v>2nd Singles</v>
      </c>
      <c r="S1497" s="43"/>
      <c r="T1497" s="43"/>
      <c r="U1497" s="43"/>
      <c r="V1497" s="43"/>
      <c r="W1497" s="43"/>
      <c r="X1497" s="43"/>
      <c r="Y1497" s="43"/>
      <c r="Z1497" s="43"/>
      <c r="AA1497" s="43"/>
      <c r="AB1497" s="43"/>
      <c r="AC1497" s="43"/>
      <c r="AD1497" s="43"/>
      <c r="AE1497" s="43"/>
      <c r="AF1497" s="43"/>
    </row>
    <row r="1498" spans="1:32" ht="12.75" customHeight="1">
      <c r="Q1498" s="7"/>
      <c r="R1498" s="60" t="s">
        <v>1228</v>
      </c>
      <c r="S1498" s="339" t="s">
        <v>1126</v>
      </c>
      <c r="T1498" s="340"/>
      <c r="U1498" s="340"/>
      <c r="V1498" s="340"/>
      <c r="W1498" s="340"/>
      <c r="X1498" s="341"/>
      <c r="Y1498" s="60">
        <v>1</v>
      </c>
      <c r="Z1498" s="60">
        <v>2</v>
      </c>
      <c r="AA1498" s="60">
        <v>3</v>
      </c>
      <c r="AB1498" s="60">
        <v>4</v>
      </c>
      <c r="AC1498" s="60">
        <v>5</v>
      </c>
      <c r="AD1498" s="342"/>
      <c r="AE1498" s="343"/>
      <c r="AF1498" s="344"/>
    </row>
    <row r="1499" spans="1:32" ht="12.75" customHeight="1">
      <c r="A1499" s="21" t="s">
        <v>1234</v>
      </c>
      <c r="H1499" s="136" t="str">
        <f>IF($Q1501&lt;&gt;"",IF(AND(AND($H1501&gt;-1,$H1503&gt;-1),OR($H1501&gt;10,$H1503&gt;10),ABS($H1501-$H1503)&gt;1,IF(OR($H1501&gt;11,$H1503&gt;11),ABS($H1501-$H1503)=2,TRUE),$H1501=INT($H1501),$H1503=INT($H1503)),"","Error"),"")</f>
        <v/>
      </c>
      <c r="I1499" s="136" t="str">
        <f>IF($Q1501&lt;&gt;"",IF(AND(AND($I1501&gt;-1,$I1503&gt;-1),OR($I1501&gt;10,$I1503&gt;10),ABS($I1501-$I1503)&gt;1,IF(OR($I1501&gt;11,$I1503&gt;11),ABS($I1501-$I1503)=2,TRUE),$I1501=INT($I1501),$I1503=INT($I1503)),"","Error"),"")</f>
        <v/>
      </c>
      <c r="J1499" s="136" t="str">
        <f>IF($Q1501&lt;&gt;"",IF(AND(AND($J1501&gt;-1,$J1503&gt;-1),OR($J1501&gt;10,$J1503&gt;10),ABS($J1501-$J1503)&gt;1,IF(OR($J1501&gt;11,$J1503&gt;11),ABS($J1501-$J1503)=2,TRUE),$J1501=INT($J1501),$J1503=INT($J1503)),"","Error"),"")</f>
        <v/>
      </c>
      <c r="K1499" s="136" t="str">
        <f>IF($Q1501&lt;&gt;"",IF(AND($K1501&lt;&gt;"",$K1503&lt;&gt;""), IF(AND(AND($K1501&gt;-1,$K1503&gt;-1),OR($K1501&gt;10,$K1503&gt;10),ABS($K1501-$K1503)&gt;1,IF(OR($K1501&gt;11,$K1503&gt;11),ABS($K1501-$K1503)=2,TRUE),$K1501=INT($K1501),$K1503=INT($K1503)),"","Error"),""),"")</f>
        <v/>
      </c>
      <c r="L1499" s="136" t="str">
        <f>IF($Q1501&lt;&gt;"",IF(AND($L1501&lt;&gt;"",$L1503&lt;&gt;""), IF(AND(AND($L1501&gt;-1,$L1503&gt;-1),OR($L1501&gt;10,$L1503&gt;10),ABS($L1501-$L1503)&gt;1,IF(OR($L1501&gt;11,$L1503&gt;11),ABS($L1501-$L1503)=2,TRUE),$L1501=INT($L1501),$L1503=INT($L1503)),"","Error"),""),"")</f>
        <v/>
      </c>
      <c r="Q1499" s="7"/>
      <c r="R1499" s="300" t="str">
        <f>$B1488</f>
        <v>B</v>
      </c>
      <c r="S1499" s="331" t="str">
        <f ca="1">IF($B1501&lt;&gt;"",$B1501,"")</f>
        <v/>
      </c>
      <c r="T1499" s="332"/>
      <c r="U1499" s="332"/>
      <c r="V1499" s="332"/>
      <c r="W1499" s="332"/>
      <c r="X1499" s="333"/>
      <c r="Y1499" s="329"/>
      <c r="Z1499" s="329"/>
      <c r="AA1499" s="329"/>
      <c r="AB1499" s="329"/>
      <c r="AC1499" s="329"/>
      <c r="AD1499" s="345"/>
      <c r="AE1499" s="358"/>
      <c r="AF1499" s="359"/>
    </row>
    <row r="1500" spans="1:32" ht="12.75" customHeight="1">
      <c r="A1500" s="5" t="s">
        <v>1228</v>
      </c>
      <c r="B1500" s="290" t="s">
        <v>1126</v>
      </c>
      <c r="C1500" s="291"/>
      <c r="D1500" s="291"/>
      <c r="E1500" s="291"/>
      <c r="F1500" s="291"/>
      <c r="G1500" s="292"/>
      <c r="H1500" s="5">
        <v>1</v>
      </c>
      <c r="I1500" s="5">
        <v>2</v>
      </c>
      <c r="J1500" s="5">
        <v>3</v>
      </c>
      <c r="K1500" s="5">
        <v>4</v>
      </c>
      <c r="L1500" s="5">
        <v>5</v>
      </c>
      <c r="M1500" s="271"/>
      <c r="N1500" s="272"/>
      <c r="O1500" s="272"/>
      <c r="P1500" s="273"/>
      <c r="Q1500" s="7"/>
      <c r="R1500" s="330"/>
      <c r="S1500" s="334"/>
      <c r="T1500" s="335"/>
      <c r="U1500" s="335"/>
      <c r="V1500" s="335"/>
      <c r="W1500" s="335"/>
      <c r="X1500" s="336"/>
      <c r="Y1500" s="330"/>
      <c r="Z1500" s="330"/>
      <c r="AA1500" s="330"/>
      <c r="AB1500" s="330"/>
      <c r="AC1500" s="330"/>
      <c r="AD1500" s="360"/>
      <c r="AE1500" s="361"/>
      <c r="AF1500" s="362"/>
    </row>
    <row r="1501" spans="1:32" ht="12.75" customHeight="1">
      <c r="A1501" s="300" t="str">
        <f>B1488</f>
        <v>B</v>
      </c>
      <c r="B1501" s="293" t="str">
        <f ca="1">IF(AND(OFFSET($AO$1,$C1488-1,8,1,1),$A1489&lt;&gt;"",$J1489&lt;&gt;""),CHOOSE($C1488,$AP$1,$AP$2,$AP$3,$AP$4,$AP$5,$AP$6,$AP$7,$AP$8,$AP$9,$AP$10,$AP$11,$AP$12),"")</f>
        <v/>
      </c>
      <c r="C1501" s="294"/>
      <c r="D1501" s="294"/>
      <c r="E1501" s="294"/>
      <c r="F1501" s="294"/>
      <c r="G1501" s="294"/>
      <c r="H1501" s="265"/>
      <c r="I1501" s="265"/>
      <c r="J1501" s="265"/>
      <c r="K1501" s="265"/>
      <c r="L1501" s="265"/>
      <c r="M1501" s="262" t="str">
        <f ca="1">IF(OR(AND($B1494&lt;&gt;"",$B1501&lt;&gt;"",$C1519&lt;=$B1519),AND($B1496&lt;&gt;"",$B1503&lt;&gt;"",$G1519&lt;=$F1519)),"Invalid Lineup","")</f>
        <v/>
      </c>
      <c r="N1501" s="263"/>
      <c r="O1501" s="263"/>
      <c r="P1501" s="264"/>
      <c r="Q1501" s="137" t="str">
        <f>IF($L1501=$L1503,IF($K1501=$K1503,IF($J1501&lt;&gt;"",IF($J1501&gt;$J1503,"W","L"),""),IF($K1501&gt;$K1503,"W","L")),IF($L1501&gt;$L1503,"W","L"))</f>
        <v/>
      </c>
      <c r="R1501" s="300" t="str">
        <f>$K1488</f>
        <v>H</v>
      </c>
      <c r="S1501" s="331" t="str">
        <f ca="1">IF($B1503&lt;&gt;"",$B1503,"")</f>
        <v/>
      </c>
      <c r="T1501" s="332"/>
      <c r="U1501" s="332"/>
      <c r="V1501" s="332"/>
      <c r="W1501" s="332"/>
      <c r="X1501" s="333"/>
      <c r="Y1501" s="329"/>
      <c r="Z1501" s="329"/>
      <c r="AA1501" s="329"/>
      <c r="AB1501" s="329"/>
      <c r="AC1501" s="351"/>
      <c r="AD1501" s="363" t="s">
        <v>1237</v>
      </c>
      <c r="AE1501" s="358"/>
      <c r="AF1501" s="359"/>
    </row>
    <row r="1502" spans="1:32" ht="12.75" customHeight="1">
      <c r="A1502" s="301"/>
      <c r="B1502" s="295"/>
      <c r="C1502" s="296"/>
      <c r="D1502" s="296"/>
      <c r="E1502" s="296"/>
      <c r="F1502" s="296"/>
      <c r="G1502" s="296"/>
      <c r="H1502" s="270"/>
      <c r="I1502" s="270"/>
      <c r="J1502" s="270"/>
      <c r="K1502" s="270"/>
      <c r="L1502" s="270"/>
      <c r="M1502" s="262"/>
      <c r="N1502" s="263"/>
      <c r="O1502" s="263"/>
      <c r="P1502" s="264"/>
      <c r="Q1502" s="139" t="str">
        <f>IF($Q1501&lt;&gt;"",IF($Q1501="W",IF(SUM(IF($H1501&gt;$H1503,1,0),IF($I1501&gt;$I1503,1,0),IF($J1501&gt;$J1503,1,0),IF($K1501&gt;$K1503,1,0),IF($L1501&gt;$L1503,1,0))&lt;&gt;3,"Error",""),""),"")</f>
        <v/>
      </c>
      <c r="R1502" s="330"/>
      <c r="S1502" s="334"/>
      <c r="T1502" s="335"/>
      <c r="U1502" s="335"/>
      <c r="V1502" s="335"/>
      <c r="W1502" s="335"/>
      <c r="X1502" s="336"/>
      <c r="Y1502" s="330"/>
      <c r="Z1502" s="330"/>
      <c r="AA1502" s="330"/>
      <c r="AB1502" s="330"/>
      <c r="AC1502" s="330"/>
      <c r="AD1502" s="360"/>
      <c r="AE1502" s="361"/>
      <c r="AF1502" s="362"/>
    </row>
    <row r="1503" spans="1:32" ht="12.75" customHeight="1">
      <c r="A1503" s="300" t="str">
        <f>K1488</f>
        <v>H</v>
      </c>
      <c r="B1503" s="293" t="str">
        <f ca="1">IF(AND(OFFSET($AO$1,$L1488-1,8,1,1),$A1489&lt;&gt;"",$J1489&lt;&gt;""),CHOOSE($L1488,$AP$1,$AP$2,$AP$3,$AP$4,$AP$5,$AP$6,$AP$7,$AP$8,$AP$9,$AP$10,$AP$11,$AP$12),"")</f>
        <v/>
      </c>
      <c r="C1503" s="294"/>
      <c r="D1503" s="294"/>
      <c r="E1503" s="294"/>
      <c r="F1503" s="294"/>
      <c r="G1503" s="294"/>
      <c r="H1503" s="265"/>
      <c r="I1503" s="265"/>
      <c r="J1503" s="265"/>
      <c r="K1503" s="265"/>
      <c r="L1503" s="265"/>
      <c r="M1503" s="267" t="s">
        <v>1237</v>
      </c>
      <c r="N1503" s="268"/>
      <c r="O1503" s="268"/>
      <c r="P1503" s="269"/>
      <c r="Q1503" s="137" t="str">
        <f>IF($Q1501&lt;&gt;"",IF($Q1501="W","L","W"),"")</f>
        <v/>
      </c>
      <c r="R1503" s="20"/>
      <c r="S1503" s="20"/>
      <c r="T1503" s="20"/>
      <c r="U1503" s="20"/>
      <c r="V1503" s="20"/>
      <c r="W1503" s="20"/>
      <c r="X1503" s="26"/>
      <c r="Y1503" s="26"/>
      <c r="Z1503" s="20"/>
      <c r="AA1503" s="20"/>
      <c r="AB1503" s="20"/>
      <c r="AC1503" s="20"/>
      <c r="AD1503" s="20"/>
      <c r="AE1503" s="20"/>
      <c r="AF1503" s="27"/>
    </row>
    <row r="1504" spans="1:32" ht="12.75" customHeight="1">
      <c r="A1504" s="301"/>
      <c r="B1504" s="295"/>
      <c r="C1504" s="296"/>
      <c r="D1504" s="296"/>
      <c r="E1504" s="296"/>
      <c r="F1504" s="296"/>
      <c r="G1504" s="296"/>
      <c r="H1504" s="270"/>
      <c r="I1504" s="270"/>
      <c r="J1504" s="266"/>
      <c r="K1504" s="266"/>
      <c r="L1504" s="266"/>
      <c r="M1504" s="267"/>
      <c r="N1504" s="268"/>
      <c r="O1504" s="268"/>
      <c r="P1504" s="269"/>
      <c r="Q1504" s="139" t="str">
        <f>IF($Q1503&lt;&gt;"",IF($Q1503="W",IF(SUM(IF($H1503&gt;$H1501,1,0),IF($I1503&gt;$I1501,1,0),IF($J1503&gt;$J1501,1,0),IF($K1503&gt;$K1501,1,0),IF($L1503&gt;$L1501,1,0))&lt;&gt;3,"Error",""),""),"")</f>
        <v/>
      </c>
      <c r="R1504" s="20"/>
      <c r="S1504" s="20"/>
      <c r="T1504" s="20"/>
      <c r="U1504" s="20"/>
      <c r="V1504" s="20"/>
      <c r="W1504" s="20"/>
      <c r="X1504" s="26"/>
      <c r="Y1504" s="26"/>
      <c r="Z1504" s="20"/>
      <c r="AA1504" s="20"/>
      <c r="AB1504" s="20"/>
      <c r="AC1504" s="20"/>
      <c r="AD1504" s="20"/>
      <c r="AE1504" s="20"/>
      <c r="AF1504" s="27"/>
    </row>
    <row r="1505" spans="1:32" ht="12.75" customHeight="1">
      <c r="Q1505" s="7"/>
      <c r="R1505" s="20"/>
      <c r="S1505" s="20"/>
      <c r="T1505" s="20"/>
      <c r="U1505" s="20"/>
      <c r="V1505" s="20"/>
      <c r="W1505" s="20"/>
      <c r="X1505" s="26"/>
      <c r="Y1505" s="26"/>
      <c r="Z1505" s="20"/>
      <c r="AA1505" s="20"/>
      <c r="AB1505" s="20"/>
      <c r="AC1505" s="20"/>
      <c r="AD1505" s="20"/>
      <c r="AE1505" s="20"/>
      <c r="AF1505" s="27"/>
    </row>
    <row r="1506" spans="1:32" ht="12.75" customHeight="1">
      <c r="A1506" s="21" t="s">
        <v>1235</v>
      </c>
      <c r="H1506" s="136" t="str">
        <f>IF($Q1508&lt;&gt;"",IF(AND(AND($H1508&gt;-1,$H1510&gt;-1),OR($H1508&gt;10,$H1510&gt;10),ABS($H1508-$H1510)&gt;1,IF(OR($H1508&gt;11,$H1510&gt;11),ABS($H1508-$H1510)=2,TRUE),$H1508=INT($H1508),$H1510=INT($H1510)),"","Error"),"")</f>
        <v/>
      </c>
      <c r="I1506" s="136" t="str">
        <f>IF($Q1508&lt;&gt;"",IF(AND(AND($I1508&gt;-1,$I1510&gt;-1),OR($I1508&gt;10,$I1510&gt;10),ABS($I1508-$I1510)&gt;1,IF(OR($I1508&gt;11,$I1510&gt;11),ABS($I1508-$I1510)=2,TRUE),$I1508=INT($I1508),$I1510=INT($I1510)),"","Error"),"")</f>
        <v/>
      </c>
      <c r="J1506" s="136" t="str">
        <f>IF($Q1508&lt;&gt;"",IF(AND(AND($J1508&gt;-1,$J1510&gt;-1),OR($J1508&gt;10,$J1510&gt;10),ABS($J1508-$J1510)&gt;1,IF(OR($J1508&gt;11,$J1510&gt;11),ABS($J1508-$J1510)=2,TRUE),$J1508=INT($J1508),$J1510=INT($J1510)),"","Error"),"")</f>
        <v/>
      </c>
      <c r="K1506" s="136" t="str">
        <f>IF($Q1508&lt;&gt;"",IF(AND($K1508&lt;&gt;"",$K1510&lt;&gt;""), IF(AND(AND($K1508&gt;-1,$K1510&gt;-1),OR($K1508&gt;10,$K1510&gt;10),ABS($K1508-$K1510)&gt;1,IF(OR($K1508&gt;11,$K1510&gt;11),ABS($K1508-$K1510)=2,TRUE),$K1508=INT($K1508),$K1510=INT($K1510)),"","Error"),""),"")</f>
        <v/>
      </c>
      <c r="L1506" s="136" t="str">
        <f>IF($Q1508&lt;&gt;"",IF(AND($L1508&lt;&gt;"",$L1510&lt;&gt;""), IF(AND(AND($L1508&gt;-1,$L1510&gt;-1),OR($L1508&gt;10,$L1510&gt;10),ABS($L1508-$L1510)&gt;1,IF(OR($L1508&gt;11,$L1510&gt;11),ABS($L1508-$L1510)=2,TRUE),$L1508=INT($L1508),$L1510=INT($L1510)),"","Error"),""),"")</f>
        <v/>
      </c>
      <c r="Q1506" s="7"/>
      <c r="R1506" s="20"/>
      <c r="S1506" s="20"/>
      <c r="T1506" s="20"/>
      <c r="U1506" s="20"/>
      <c r="V1506" s="20"/>
      <c r="W1506" s="20"/>
      <c r="X1506" s="26"/>
      <c r="Y1506" s="26"/>
      <c r="Z1506" s="20"/>
      <c r="AA1506" s="20"/>
      <c r="AB1506" s="20"/>
      <c r="AC1506" s="20"/>
      <c r="AD1506" s="20"/>
      <c r="AE1506" s="20"/>
      <c r="AF1506" s="27"/>
    </row>
    <row r="1507" spans="1:32" ht="12.75" customHeight="1">
      <c r="A1507" s="5" t="s">
        <v>1228</v>
      </c>
      <c r="B1507" s="290" t="s">
        <v>1126</v>
      </c>
      <c r="C1507" s="291"/>
      <c r="D1507" s="291"/>
      <c r="E1507" s="291"/>
      <c r="F1507" s="291"/>
      <c r="G1507" s="292"/>
      <c r="H1507" s="5">
        <v>1</v>
      </c>
      <c r="I1507" s="5">
        <v>2</v>
      </c>
      <c r="J1507" s="5">
        <v>3</v>
      </c>
      <c r="K1507" s="5">
        <v>4</v>
      </c>
      <c r="L1507" s="5">
        <v>5</v>
      </c>
      <c r="M1507" s="271"/>
      <c r="N1507" s="272"/>
      <c r="O1507" s="272"/>
      <c r="P1507" s="273"/>
      <c r="Q1507" s="7"/>
      <c r="R1507" s="20"/>
      <c r="S1507" s="20"/>
      <c r="T1507" s="20"/>
      <c r="U1507" s="20"/>
      <c r="V1507" s="20"/>
      <c r="W1507" s="20"/>
      <c r="X1507" s="26"/>
      <c r="Y1507" s="26"/>
      <c r="Z1507" s="20"/>
      <c r="AA1507" s="20"/>
      <c r="AB1507" s="20"/>
      <c r="AC1507" s="20"/>
      <c r="AD1507" s="20"/>
      <c r="AE1507" s="20"/>
      <c r="AF1507" s="27"/>
    </row>
    <row r="1508" spans="1:32" ht="12.75" customHeight="1">
      <c r="A1508" s="300" t="str">
        <f>B1488</f>
        <v>B</v>
      </c>
      <c r="B1508" s="293" t="str">
        <f ca="1">IF(AND(OFFSET($AO$1,$C1488-1,8,1,1),$A1489&lt;&gt;"",$J1489&lt;&gt;""),CHOOSE($C1488,$AQ$1,$AQ$2,$AQ$3,$AQ$4,$AQ$5,$AQ$6,$AQ$7,$AQ$8,$AQ$9,$AQ$10,$AQ$11,$AQ$12),"")</f>
        <v/>
      </c>
      <c r="C1508" s="294"/>
      <c r="D1508" s="294"/>
      <c r="E1508" s="294"/>
      <c r="F1508" s="294"/>
      <c r="G1508" s="294"/>
      <c r="H1508" s="265"/>
      <c r="I1508" s="265"/>
      <c r="J1508" s="265"/>
      <c r="K1508" s="265"/>
      <c r="L1508" s="265"/>
      <c r="M1508" s="262" t="str">
        <f ca="1">IF(OR(AND($B1501&lt;&gt;"",$B1508&lt;&gt;"",$D1519&lt;=$C1519),AND($B1503&lt;&gt;"",$B1510&lt;&gt;"",$H1519&lt;=$G1519)),"Invalid Lineup","")</f>
        <v/>
      </c>
      <c r="N1508" s="263"/>
      <c r="O1508" s="263"/>
      <c r="P1508" s="264"/>
      <c r="Q1508" s="137" t="str">
        <f>IF($L1508=$L1510,IF($K1508=$K1510,IF($J1508&lt;&gt;"",IF($J1508&gt;$J1510,"W","L"),""),IF($K1508&gt;$K1510,"W","L")),IF($L1508&gt;$L1510,"W","L"))</f>
        <v/>
      </c>
      <c r="R1508" s="20"/>
      <c r="S1508" s="20"/>
      <c r="T1508" s="20"/>
      <c r="U1508" s="20"/>
      <c r="V1508" s="20"/>
      <c r="W1508" s="20"/>
      <c r="X1508" s="26"/>
      <c r="Y1508" s="26"/>
      <c r="Z1508" s="20"/>
      <c r="AA1508" s="20"/>
      <c r="AB1508" s="20"/>
      <c r="AC1508" s="20"/>
      <c r="AD1508" s="20"/>
      <c r="AE1508" s="20"/>
      <c r="AF1508" s="27"/>
    </row>
    <row r="1509" spans="1:32" ht="12.75" customHeight="1">
      <c r="A1509" s="301"/>
      <c r="B1509" s="295"/>
      <c r="C1509" s="296"/>
      <c r="D1509" s="296"/>
      <c r="E1509" s="296"/>
      <c r="F1509" s="296"/>
      <c r="G1509" s="296"/>
      <c r="H1509" s="270"/>
      <c r="I1509" s="270"/>
      <c r="J1509" s="270"/>
      <c r="K1509" s="270"/>
      <c r="L1509" s="270"/>
      <c r="M1509" s="262"/>
      <c r="N1509" s="263"/>
      <c r="O1509" s="263"/>
      <c r="P1509" s="264"/>
      <c r="Q1509" s="139" t="str">
        <f>IF($Q1508&lt;&gt;"",IF($Q1508="W",IF(SUM(IF($H1508&gt;$H1510,1,0),IF($I1508&gt;$I1510,1,0),IF($J1508&gt;$J1510,1,0),IF($K1508&gt;$K1510,1,0),IF($L1508&gt;$L1510,1,0))&lt;&gt;3,"Error",""),""),"")</f>
        <v/>
      </c>
      <c r="R1509" s="328" t="str">
        <f>$A1489</f>
        <v/>
      </c>
      <c r="S1509" s="328"/>
      <c r="T1509" s="328"/>
      <c r="U1509" s="328"/>
      <c r="V1509" s="328"/>
      <c r="W1509" s="328"/>
      <c r="X1509" s="256" t="str">
        <f>CONCATENATE("(",$B1488," vs ",$K1488,")")</f>
        <v>(B vs H)</v>
      </c>
      <c r="Y1509" s="256"/>
      <c r="Z1509" s="328" t="str">
        <f>$J1489</f>
        <v/>
      </c>
      <c r="AA1509" s="328"/>
      <c r="AB1509" s="328"/>
      <c r="AC1509" s="328"/>
      <c r="AD1509" s="328"/>
      <c r="AE1509" s="328"/>
      <c r="AF1509" s="100"/>
    </row>
    <row r="1510" spans="1:32" ht="12.75" customHeight="1">
      <c r="A1510" s="300" t="str">
        <f>K1488</f>
        <v>H</v>
      </c>
      <c r="B1510" s="293" t="str">
        <f ca="1">IF(AND(OFFSET($AO$1,$L1488-1,8,1,1),$A1489&lt;&gt;"",$J1489&lt;&gt;""),CHOOSE($L1488,$AQ$1,$AQ$2,$AQ$3,$AQ$4,$AQ$5,$AQ$6,$AQ$7,$AQ$8,$AQ$9,$AQ$10,$AQ$11,$AQ$12),"")</f>
        <v/>
      </c>
      <c r="C1510" s="294"/>
      <c r="D1510" s="294"/>
      <c r="E1510" s="294"/>
      <c r="F1510" s="294"/>
      <c r="G1510" s="294"/>
      <c r="H1510" s="265"/>
      <c r="I1510" s="265"/>
      <c r="J1510" s="265"/>
      <c r="K1510" s="265"/>
      <c r="L1510" s="265"/>
      <c r="M1510" s="267" t="s">
        <v>1237</v>
      </c>
      <c r="N1510" s="268"/>
      <c r="O1510" s="268"/>
      <c r="P1510" s="269"/>
      <c r="Q1510" s="137" t="str">
        <f>IF($Q1508&lt;&gt;"",IF($Q1508="W","L","W"),"")</f>
        <v/>
      </c>
      <c r="R1510" s="100"/>
      <c r="S1510" s="100"/>
      <c r="T1510" s="100"/>
      <c r="U1510" s="100"/>
      <c r="V1510" s="100"/>
      <c r="W1510" s="100"/>
      <c r="X1510" s="100"/>
      <c r="Y1510" s="100"/>
      <c r="Z1510" s="100"/>
      <c r="AA1510" s="100"/>
      <c r="AB1510" s="100"/>
      <c r="AC1510" s="100"/>
      <c r="AD1510" s="100"/>
      <c r="AE1510" s="100"/>
      <c r="AF1510" s="100"/>
    </row>
    <row r="1511" spans="1:32" ht="12.75" customHeight="1">
      <c r="A1511" s="301"/>
      <c r="B1511" s="295"/>
      <c r="C1511" s="296"/>
      <c r="D1511" s="296"/>
      <c r="E1511" s="296"/>
      <c r="F1511" s="296"/>
      <c r="G1511" s="296"/>
      <c r="H1511" s="270"/>
      <c r="I1511" s="270"/>
      <c r="J1511" s="266"/>
      <c r="K1511" s="266"/>
      <c r="L1511" s="266"/>
      <c r="M1511" s="267"/>
      <c r="N1511" s="268"/>
      <c r="O1511" s="268"/>
      <c r="P1511" s="269"/>
      <c r="Q1511" s="139" t="str">
        <f>IF($Q1510&lt;&gt;"",IF($Q1510="W",IF(SUM(IF($H1510&gt;$H1508,1,0),IF($I1510&gt;$I1508,1,0),IF($J1510&gt;$J1508,1,0),IF($K1510&gt;$K1508,1,0),IF($L1510&gt;$L1508,1,0))&lt;&gt;3,"Error",""),""),"")</f>
        <v/>
      </c>
      <c r="R1511" s="43" t="str">
        <f>$A1506</f>
        <v>3rd Singles</v>
      </c>
      <c r="S1511" s="43"/>
      <c r="T1511" s="43"/>
      <c r="U1511" s="43"/>
      <c r="V1511" s="43"/>
      <c r="W1511" s="43"/>
      <c r="X1511" s="43"/>
      <c r="Y1511" s="43"/>
      <c r="Z1511" s="43"/>
      <c r="AA1511" s="43"/>
      <c r="AB1511" s="43"/>
      <c r="AC1511" s="43"/>
      <c r="AD1511" s="43"/>
      <c r="AE1511" s="43"/>
      <c r="AF1511" s="43"/>
    </row>
    <row r="1512" spans="1:32" ht="12.75" customHeight="1">
      <c r="Q1512" s="7"/>
      <c r="R1512" s="60" t="s">
        <v>1228</v>
      </c>
      <c r="S1512" s="101" t="s">
        <v>1126</v>
      </c>
      <c r="T1512" s="102"/>
      <c r="U1512" s="102"/>
      <c r="V1512" s="102"/>
      <c r="W1512" s="102"/>
      <c r="X1512" s="103"/>
      <c r="Y1512" s="60">
        <v>1</v>
      </c>
      <c r="Z1512" s="60">
        <v>2</v>
      </c>
      <c r="AA1512" s="60">
        <v>3</v>
      </c>
      <c r="AB1512" s="60">
        <v>4</v>
      </c>
      <c r="AC1512" s="60">
        <v>5</v>
      </c>
      <c r="AD1512" s="104"/>
      <c r="AE1512" s="105"/>
      <c r="AF1512" s="106"/>
    </row>
    <row r="1513" spans="1:32" ht="12.75" customHeight="1">
      <c r="A1513" s="21" t="s">
        <v>1236</v>
      </c>
      <c r="H1513" s="136" t="str">
        <f ca="1">IF($Q1515&lt;&gt;"",IF(AND($B1515&lt;&gt;"Missing Player",$B1517&lt;&gt;"Missing Player"),IF(AND(AND($H1515&gt;-1,$H1517&gt;-1),OR($H1515&gt;10,$H1517&gt;10),ABS($H1515-$H1517)&gt;1,IF(OR($H1515&gt;11,$H1517&gt;11),ABS($H1515-$H1517)=2,TRUE),$H1515=INT($H1515),$H1517=INT($H1517)),"","Error"),""),"")</f>
        <v/>
      </c>
      <c r="I1513" s="136" t="str">
        <f ca="1">IF($Q1515&lt;&gt;"",IF(AND($B1515&lt;&gt;"Missing Player",$B1517&lt;&gt;"Missing Player"),IF(AND(AND($I1515&gt;-1,$I1517&gt;-1),OR($I1515&gt;10,$I1517&gt;10),ABS($I1515-$I1517)&gt;1,IF(OR($I1515&gt;11,$I1517&gt;11),ABS($I1515-$I1517)=2,TRUE),$I1515=INT($I1515),$I1517=INT($I1517)),"","Error"),""),"")</f>
        <v/>
      </c>
      <c r="J1513" s="136" t="str">
        <f ca="1">IF($Q1515&lt;&gt;"",IF(AND($B1515&lt;&gt;"Missing Player",$B1517&lt;&gt;"Missing Player"),IF(AND(AND($J1515&gt;-1,$J1517&gt;-1),OR($J1515&gt;10,$J1517&gt;10),ABS($J1515-$J1517)&gt;1,IF(OR($J1515&gt;11,$J1517&gt;11),ABS($J1515-$J1517)=2,TRUE),$J1515=INT($J1515),$J1517=INT($J1517)),"","Error"),""),"")</f>
        <v/>
      </c>
      <c r="K1513" s="136" t="str">
        <f ca="1">IF($Q1515&lt;&gt;"",IF(AND($K1515&lt;&gt;"",$K1517&lt;&gt;""), IF(AND(AND($K1515&gt;-1,$K1517&gt;-1),OR($K1515&gt;10,$K1517&gt;10),ABS($K1515-$K1517)&gt;1,IF(OR($K1515&gt;11,$K1517&gt;11),ABS($K1515-$K1517)=2,TRUE),$K1515=INT($K1515),$K1517=INT($K1517)),"","Error"),""),"")</f>
        <v/>
      </c>
      <c r="L1513" s="136" t="str">
        <f ca="1">IF($Q1515&lt;&gt;"",IF(AND($L1515&lt;&gt;"",$L1517&lt;&gt;""), IF(AND(AND($L1515&gt;-1,$L1517&gt;-1),OR($L1515&gt;10,$L1517&gt;10),ABS($L1515-$L1517)&gt;1,IF(OR($L1515&gt;11,$L1517&gt;11),ABS($L1515-$L1517)=2,TRUE),$L1515=INT($L1515),$L1517=INT($L1517)),"","Error"),""),"")</f>
        <v/>
      </c>
      <c r="Q1513" s="7"/>
      <c r="R1513" s="300" t="str">
        <f>$B1488</f>
        <v>B</v>
      </c>
      <c r="S1513" s="331" t="str">
        <f ca="1">IF($B1508&lt;&gt;"",$B1508,"")</f>
        <v/>
      </c>
      <c r="T1513" s="332"/>
      <c r="U1513" s="332"/>
      <c r="V1513" s="332"/>
      <c r="W1513" s="332"/>
      <c r="X1513" s="333"/>
      <c r="Y1513" s="329"/>
      <c r="Z1513" s="329"/>
      <c r="AA1513" s="329"/>
      <c r="AB1513" s="329"/>
      <c r="AC1513" s="329"/>
      <c r="AD1513" s="345"/>
      <c r="AE1513" s="358"/>
      <c r="AF1513" s="359"/>
    </row>
    <row r="1514" spans="1:32" ht="12.75" customHeight="1">
      <c r="A1514" s="5" t="s">
        <v>1228</v>
      </c>
      <c r="B1514" s="290" t="s">
        <v>1126</v>
      </c>
      <c r="C1514" s="291"/>
      <c r="D1514" s="291"/>
      <c r="E1514" s="291"/>
      <c r="F1514" s="291"/>
      <c r="G1514" s="292"/>
      <c r="H1514" s="5">
        <v>1</v>
      </c>
      <c r="I1514" s="5">
        <v>2</v>
      </c>
      <c r="J1514" s="5">
        <v>3</v>
      </c>
      <c r="K1514" s="5">
        <v>4</v>
      </c>
      <c r="L1514" s="5">
        <v>5</v>
      </c>
      <c r="M1514" s="271"/>
      <c r="N1514" s="272"/>
      <c r="O1514" s="272"/>
      <c r="P1514" s="273"/>
      <c r="Q1514" s="7"/>
      <c r="R1514" s="330"/>
      <c r="S1514" s="334"/>
      <c r="T1514" s="335"/>
      <c r="U1514" s="335"/>
      <c r="V1514" s="335"/>
      <c r="W1514" s="335"/>
      <c r="X1514" s="336"/>
      <c r="Y1514" s="330"/>
      <c r="Z1514" s="330"/>
      <c r="AA1514" s="330"/>
      <c r="AB1514" s="330"/>
      <c r="AC1514" s="330"/>
      <c r="AD1514" s="360"/>
      <c r="AE1514" s="361"/>
      <c r="AF1514" s="362"/>
    </row>
    <row r="1515" spans="1:32" ht="12.75" customHeight="1">
      <c r="A1515" s="300" t="str">
        <f>B1488</f>
        <v>B</v>
      </c>
      <c r="B1515" s="293" t="str">
        <f ca="1">IF(AND(OFFSET($AO$1,$C1488-1,8,1,1),$A1489&lt;&gt;"",$J1489&lt;&gt;""),CHOOSE($C1488,$AR$1,$AR$2,$AR$3,$AR$4,$AR$5,$AR$6,$AR$7,$AR$8,$AR$9,$AR$10,$AR$11,$AR$12),"")</f>
        <v/>
      </c>
      <c r="C1515" s="294"/>
      <c r="D1515" s="294"/>
      <c r="E1515" s="294"/>
      <c r="F1515" s="294"/>
      <c r="G1515" s="294"/>
      <c r="H1515" s="265"/>
      <c r="I1515" s="265"/>
      <c r="J1515" s="265"/>
      <c r="K1515" s="265"/>
      <c r="L1515" s="265" t="str">
        <f ca="1">IF(AND($B1515&lt;&gt;"",$Q1494&lt;&gt;""),IF($B1515="Missing Player",0,IF($B1517="Missing Player",11,"")),"")</f>
        <v/>
      </c>
      <c r="M1515" s="262" t="str">
        <f ca="1">IF(OR(AND($B1508&lt;&gt;"",$B1515&lt;&gt;"",$E1519&lt;=$D1519),AND($B1510&lt;&gt;"",$B1517&lt;&gt;"",$I1519&lt;=$H1519)),"Invalid Lineup","")</f>
        <v/>
      </c>
      <c r="N1515" s="263"/>
      <c r="O1515" s="263"/>
      <c r="P1515" s="264"/>
      <c r="Q1515" s="137" t="str">
        <f ca="1">IF($L1515=$L1517,IF($K1515=$K1517,IF($J1515&lt;&gt;"",IF($J1515&gt;$J1517,"W","L"),""),IF($K1515&gt;$K1517,"W","L")),IF($L1515&gt;$L1517,"W","L"))</f>
        <v/>
      </c>
      <c r="R1515" s="300" t="str">
        <f>$K1488</f>
        <v>H</v>
      </c>
      <c r="S1515" s="331" t="str">
        <f ca="1">IF($B1510&lt;&gt;"",$B1510,"")</f>
        <v/>
      </c>
      <c r="T1515" s="332"/>
      <c r="U1515" s="332"/>
      <c r="V1515" s="332"/>
      <c r="W1515" s="332"/>
      <c r="X1515" s="333"/>
      <c r="Y1515" s="329"/>
      <c r="Z1515" s="329"/>
      <c r="AA1515" s="329"/>
      <c r="AB1515" s="329"/>
      <c r="AC1515" s="351"/>
      <c r="AD1515" s="363" t="s">
        <v>1237</v>
      </c>
      <c r="AE1515" s="358"/>
      <c r="AF1515" s="359"/>
    </row>
    <row r="1516" spans="1:32" ht="12.75" customHeight="1">
      <c r="A1516" s="301"/>
      <c r="B1516" s="295"/>
      <c r="C1516" s="296"/>
      <c r="D1516" s="296"/>
      <c r="E1516" s="296"/>
      <c r="F1516" s="296"/>
      <c r="G1516" s="296"/>
      <c r="H1516" s="270"/>
      <c r="I1516" s="270"/>
      <c r="J1516" s="270"/>
      <c r="K1516" s="270"/>
      <c r="L1516" s="270"/>
      <c r="M1516" s="262"/>
      <c r="N1516" s="263"/>
      <c r="O1516" s="263"/>
      <c r="P1516" s="264"/>
      <c r="Q1516" s="139" t="str">
        <f ca="1">IF($Q1515&lt;&gt;"",IF($B1517&lt;&gt;"Missing Player",IF($Q1515="W",IF(SUM(IF($H1515&gt;$H1517,1,0),IF($I1515&gt;$I1517,1,0),IF($J1515&gt;$J1517,1,0),IF($K1515&gt;$K1517,1,0),IF($L1515&gt;$L1517,1,0))&lt;&gt;3,"Error",""),""),""),"")</f>
        <v/>
      </c>
      <c r="R1516" s="330"/>
      <c r="S1516" s="334"/>
      <c r="T1516" s="335"/>
      <c r="U1516" s="335"/>
      <c r="V1516" s="335"/>
      <c r="W1516" s="335"/>
      <c r="X1516" s="336"/>
      <c r="Y1516" s="330"/>
      <c r="Z1516" s="330"/>
      <c r="AA1516" s="330"/>
      <c r="AB1516" s="330"/>
      <c r="AC1516" s="330"/>
      <c r="AD1516" s="360"/>
      <c r="AE1516" s="361"/>
      <c r="AF1516" s="362"/>
    </row>
    <row r="1517" spans="1:32" ht="12.75" customHeight="1">
      <c r="A1517" s="300" t="str">
        <f>K1488</f>
        <v>H</v>
      </c>
      <c r="B1517" s="293" t="str">
        <f ca="1">IF(AND(OFFSET($AO$1,$L1488-1,8,1,1),$A1489&lt;&gt;"",$J1489&lt;&gt;""),CHOOSE($L1488,$AR$1,$AR$2,$AR$3,$AR$4,$AR$5,$AR$6,$AR$7,$AR$8,$AR$9,$AR$10,$AR$11,$AR$12),"")</f>
        <v/>
      </c>
      <c r="C1517" s="294"/>
      <c r="D1517" s="294"/>
      <c r="E1517" s="294"/>
      <c r="F1517" s="294"/>
      <c r="G1517" s="294"/>
      <c r="H1517" s="265"/>
      <c r="I1517" s="265"/>
      <c r="J1517" s="265"/>
      <c r="K1517" s="265"/>
      <c r="L1517" s="265" t="str">
        <f ca="1">IF(AND($B1517&lt;&gt;"",$Q1494&lt;&gt;""),IF($B1517="Missing Player",0,IF($B1515="Missing Player",11,"")),"")</f>
        <v/>
      </c>
      <c r="M1517" s="267" t="s">
        <v>1237</v>
      </c>
      <c r="N1517" s="268"/>
      <c r="O1517" s="268"/>
      <c r="P1517" s="269"/>
      <c r="Q1517" s="137" t="str">
        <f ca="1">IF($Q1515&lt;&gt;"",IF($Q1515="W","L","W"),"")</f>
        <v/>
      </c>
      <c r="R1517" s="112"/>
      <c r="S1517" s="98"/>
      <c r="T1517" s="108"/>
      <c r="U1517" s="108"/>
      <c r="V1517" s="108"/>
      <c r="W1517" s="108"/>
      <c r="X1517" s="108"/>
      <c r="Y1517" s="113"/>
      <c r="Z1517" s="113"/>
      <c r="AA1517" s="113"/>
      <c r="AB1517" s="113"/>
      <c r="AC1517" s="113"/>
      <c r="AD1517" s="107"/>
      <c r="AE1517" s="109"/>
      <c r="AF1517" s="109"/>
    </row>
    <row r="1518" spans="1:32" ht="12.75" customHeight="1">
      <c r="A1518" s="301"/>
      <c r="B1518" s="295"/>
      <c r="C1518" s="296"/>
      <c r="D1518" s="296"/>
      <c r="E1518" s="296"/>
      <c r="F1518" s="296"/>
      <c r="G1518" s="296"/>
      <c r="H1518" s="270"/>
      <c r="I1518" s="270"/>
      <c r="J1518" s="266"/>
      <c r="K1518" s="266"/>
      <c r="L1518" s="266"/>
      <c r="M1518" s="267"/>
      <c r="N1518" s="268"/>
      <c r="O1518" s="268"/>
      <c r="P1518" s="269"/>
      <c r="Q1518" s="139" t="str">
        <f ca="1">IF($Q1517&lt;&gt;"",IF($B1515&lt;&gt;"Missing Player",IF($Q1517="W",IF(SUM(IF($H1517&gt;$H1515,1,0),IF($I1517&gt;$I1515,1,0),IF($J1517&gt;$J1515,1,0),IF($K1517&gt;$K1515,1,0),IF($L1517&gt;$L1515,1,0))&lt;&gt;3,"Error",""),""),""),"")</f>
        <v/>
      </c>
      <c r="R1518" s="114"/>
      <c r="S1518" s="115"/>
      <c r="T1518" s="115"/>
      <c r="U1518" s="115"/>
      <c r="V1518" s="115"/>
      <c r="W1518" s="115"/>
      <c r="X1518" s="115"/>
      <c r="Y1518" s="114"/>
      <c r="Z1518" s="114"/>
      <c r="AA1518" s="114"/>
      <c r="AB1518" s="114"/>
      <c r="AC1518" s="114"/>
      <c r="AD1518" s="114"/>
      <c r="AE1518" s="114"/>
      <c r="AF1518" s="114"/>
    </row>
    <row r="1519" spans="1:32" ht="12.75" customHeight="1">
      <c r="B1519" s="140" t="str">
        <f ca="1">IF(ISERROR(VLOOKUP($B1494&amp;"("&amp;$B1488&amp;")",Players!$S$4:$T$132,2,FALSE)),"",VLOOKUP($B1494&amp;"("&amp;$B1488&amp;")",Players!$S$4:$T$132,2,FALSE))</f>
        <v>B1</v>
      </c>
      <c r="C1519" s="140" t="str">
        <f ca="1">IF(ISERROR(VLOOKUP($B1501&amp;"("&amp;$B1488&amp;")",Players!$S$4:$T$132,2,FALSE)),"",VLOOKUP($B1501&amp;"("&amp;$B1488&amp;")",Players!$S$4:$T$132,2,FALSE))</f>
        <v>B1</v>
      </c>
      <c r="D1519" s="141" t="str">
        <f ca="1">IF(ISERROR(VLOOKUP($B1508&amp;"("&amp;$B1488&amp;")",Players!$S$4:$T$132,2,FALSE)),"",VLOOKUP($B1508&amp;"("&amp;$B1488&amp;")",Players!$S$4:$T$132,2,FALSE))</f>
        <v>B1</v>
      </c>
      <c r="E1519" s="141" t="str">
        <f ca="1">IF(ISERROR(VLOOKUP($B1515&amp;"("&amp;$B1488&amp;")",Players!$S$4:$T$132,2,FALSE)),"",VLOOKUP($B1515&amp;"("&amp;$B1488&amp;")",Players!$S$4:$T$132,2,FALSE))</f>
        <v>B1</v>
      </c>
      <c r="F1519" s="141" t="str">
        <f ca="1">IF(ISERROR(VLOOKUP($B1496&amp;"("&amp;$K1488&amp;")",Players!$S$4:$T$132,2,FALSE)),"",VLOOKUP($B1496&amp;"("&amp;$K1488&amp;")",Players!$S$4:$T$132,2,FALSE))</f>
        <v>H1</v>
      </c>
      <c r="G1519" s="141" t="str">
        <f ca="1">IF(ISERROR(VLOOKUP($B1503&amp;"("&amp;$K1488&amp;")",Players!$S$4:$T$132,2,FALSE)),"",VLOOKUP($B1503&amp;"("&amp;$K1488&amp;")",Players!$S$4:$T$132,2,FALSE))</f>
        <v>H1</v>
      </c>
      <c r="H1519" s="141" t="str">
        <f ca="1">IF(ISERROR(VLOOKUP($B1510&amp;"("&amp;$K1488&amp;")",Players!$S$4:$T$132,2,FALSE)),"",VLOOKUP($B1510&amp;"("&amp;$K1488&amp;")",Players!$S$4:$T$132,2,FALSE))</f>
        <v>H1</v>
      </c>
      <c r="I1519" s="141" t="str">
        <f ca="1">IF(ISERROR(VLOOKUP($B1517&amp;"("&amp;$K1488&amp;")",Players!$S$4:$T$132,2,FALSE)),"",VLOOKUP($B1517&amp;"("&amp;$K1488&amp;")",Players!$S$4:$T$132,2,FALSE))</f>
        <v>H1</v>
      </c>
      <c r="Q1519" s="7"/>
      <c r="R1519" s="50"/>
      <c r="S1519" s="116"/>
      <c r="T1519" s="115"/>
      <c r="U1519" s="115"/>
      <c r="V1519" s="115"/>
      <c r="W1519" s="115"/>
      <c r="X1519" s="115"/>
      <c r="Y1519" s="99"/>
      <c r="Z1519" s="99"/>
      <c r="AA1519" s="99"/>
      <c r="AB1519" s="99"/>
      <c r="AC1519" s="117"/>
      <c r="AD1519" s="118"/>
      <c r="AE1519" s="114"/>
      <c r="AF1519" s="114"/>
    </row>
    <row r="1520" spans="1:32" ht="12.75" customHeight="1">
      <c r="A1520" s="21" t="s">
        <v>1225</v>
      </c>
      <c r="H1520" s="136" t="str">
        <f ca="1">IF($Q1522&lt;&gt;"",IF(AND($B1523&lt;&gt;"Missing Player",$B1525&lt;&gt;"Missing Player"),IF(AND(AND($H1522&gt;-1,$H1524&gt;-1),OR($H1522&gt;10,$H1524&gt;10),ABS($H1522-$H1524)&gt;1,IF(OR($H1522&gt;11,$H1524&gt;11),ABS($H1522-$H1524)=2,TRUE),$H1522=INT($H1522),$H1524=INT($H1524)),"","Error"),""),"")</f>
        <v/>
      </c>
      <c r="I1520" s="136" t="str">
        <f ca="1">IF($Q1522&lt;&gt;"",IF(AND($B1523&lt;&gt;"Missing Player",$B1525&lt;&gt;"Missing Player"),IF(AND(AND($I1522&gt;-1,$I1524&gt;-1),OR($I1522&gt;10,$I1524&gt;10),ABS($I1522-$I1524)&gt;1,IF(OR($I1522&gt;11,$I1524&gt;11),ABS($I1522-$I1524)=2,TRUE),$I1522=INT($I1522),$I1524=INT($I1524)),"","Error"),""),"")</f>
        <v/>
      </c>
      <c r="J1520" s="136" t="str">
        <f ca="1">IF($Q1522&lt;&gt;"",IF(AND($B1523&lt;&gt;"Missing Player",$B1525&lt;&gt;"Missing Player"),IF(AND(AND($J1522&gt;-1,$J1524&gt;-1),OR($J1522&gt;10,$J1524&gt;10),ABS($J1522-$J1524)&gt;1,IF(OR($J1522&gt;11,$J1524&gt;11),ABS($J1522-$J1524)=2,TRUE),$J1522=INT($J1522),$J1524=INT($J1524)),"","Error"),""),"")</f>
        <v/>
      </c>
      <c r="K1520" s="136" t="str">
        <f ca="1">IF($Q1522&lt;&gt;"",IF(AND($K1522&lt;&gt;"",$K1524&lt;&gt;""), IF(AND(AND($K1522&gt;-1,$K1524&gt;-1),OR($K1522&gt;10,$K1524&gt;10),ABS($K1522-$K1524)&gt;1,IF(OR($K1522&gt;11,$K1524&gt;11),ABS($K1522-$K1524)=2,TRUE),$K1522=INT($K1522),$K1524=INT($K1524)),"","Error"),""),"")</f>
        <v/>
      </c>
      <c r="L1520" s="136" t="str">
        <f ca="1">IF($Q1522&lt;&gt;"",IF(AND($L1522&lt;&gt;"",$L1524&lt;&gt;""), IF(AND(AND($L1522&gt;-1,$L1524&gt;-1),OR($L1522&gt;10,$L1524&gt;10),ABS($L1522-$L1524)&gt;1,IF(OR($L1522&gt;11,$L1524&gt;11),ABS($L1522-$L1524)=2,TRUE),$L1522=INT($L1522),$L1524=INT($L1524)),"","Error"),""),"")</f>
        <v/>
      </c>
      <c r="Q1520" s="7"/>
      <c r="R1520" s="114"/>
      <c r="S1520" s="115"/>
      <c r="T1520" s="115"/>
      <c r="U1520" s="115"/>
      <c r="V1520" s="115"/>
      <c r="W1520" s="115"/>
      <c r="X1520" s="115"/>
      <c r="Y1520" s="114"/>
      <c r="Z1520" s="114"/>
      <c r="AA1520" s="114"/>
      <c r="AB1520" s="114"/>
      <c r="AC1520" s="114"/>
      <c r="AD1520" s="114"/>
      <c r="AE1520" s="114"/>
      <c r="AF1520" s="114"/>
    </row>
    <row r="1521" spans="1:32" ht="12.75" customHeight="1">
      <c r="A1521" s="5" t="s">
        <v>1228</v>
      </c>
      <c r="B1521" s="290" t="s">
        <v>1126</v>
      </c>
      <c r="C1521" s="291"/>
      <c r="D1521" s="291"/>
      <c r="E1521" s="291"/>
      <c r="F1521" s="291"/>
      <c r="G1521" s="292"/>
      <c r="H1521" s="5">
        <v>1</v>
      </c>
      <c r="I1521" s="5">
        <v>2</v>
      </c>
      <c r="J1521" s="5">
        <v>3</v>
      </c>
      <c r="K1521" s="5">
        <v>4</v>
      </c>
      <c r="L1521" s="5">
        <v>5</v>
      </c>
      <c r="M1521" s="271"/>
      <c r="N1521" s="272"/>
      <c r="O1521" s="272"/>
      <c r="P1521" s="273"/>
      <c r="Q1521" s="8"/>
      <c r="S1521" s="24"/>
      <c r="T1521" s="26"/>
    </row>
    <row r="1522" spans="1:32" ht="12.75" customHeight="1">
      <c r="A1522" s="300" t="str">
        <f>B1488</f>
        <v>B</v>
      </c>
      <c r="B1522" s="311" t="str">
        <f ca="1">IF($B1494&lt;&gt;"",$B1494,"")</f>
        <v/>
      </c>
      <c r="C1522" s="312"/>
      <c r="D1522" s="312"/>
      <c r="E1522" s="312"/>
      <c r="F1522" s="312"/>
      <c r="G1522" s="313"/>
      <c r="H1522" s="265"/>
      <c r="I1522" s="265"/>
      <c r="J1522" s="265"/>
      <c r="K1522" s="265"/>
      <c r="L1522" s="265" t="str">
        <f ca="1">IF($B1515&lt;&gt;"",IF(AND($B1515="Missing Player",$G1526=2,$J1526=2),0,IF(AND($B1517="Missing Player",$G1526=2,$J1526=2),11,"")),"")</f>
        <v/>
      </c>
      <c r="M1522" s="262" t="str">
        <f ca="1">IF(OR(AND($B1522&lt;&gt;"",$B1523&lt;&gt;"",$B1522=$B1523),AND($B1524&lt;&gt;"",$B1525&lt;&gt;"",$B1524=$B1525)),"Invalid Partner","")</f>
        <v/>
      </c>
      <c r="N1522" s="263"/>
      <c r="O1522" s="263"/>
      <c r="P1522" s="264"/>
      <c r="Q1522" s="138" t="str">
        <f ca="1">IF(L1522=L1524,IF(K1522=K1524,IF(J1522&lt;&gt;"",IF(J1522&gt;J1524,"W","L"),""),IF(K1522&gt;K1524,"W","L")),IF(L1522&gt;L1524,"W","L"))</f>
        <v/>
      </c>
      <c r="S1522" s="24"/>
      <c r="T1522" s="26"/>
    </row>
    <row r="1523" spans="1:32" ht="12.75" customHeight="1">
      <c r="A1523" s="324"/>
      <c r="B1523" s="308" t="str">
        <f ca="1">IF($B1515="Missing Player",$B1515,"")</f>
        <v/>
      </c>
      <c r="C1523" s="309"/>
      <c r="D1523" s="309"/>
      <c r="E1523" s="309"/>
      <c r="F1523" s="309"/>
      <c r="G1523" s="310"/>
      <c r="H1523" s="270"/>
      <c r="I1523" s="270"/>
      <c r="J1523" s="270"/>
      <c r="K1523" s="270"/>
      <c r="L1523" s="270"/>
      <c r="M1523" s="262"/>
      <c r="N1523" s="263"/>
      <c r="O1523" s="263"/>
      <c r="P1523" s="264"/>
      <c r="Q1523" s="139" t="str">
        <f ca="1">IF($Q1522&lt;&gt;"",IF($B1525&lt;&gt;"Missing Player",IF($Q1522="W",IF(SUM(IF($H1522&gt;$H1524,1,0),IF($I1522&gt;$I1524,1,0),IF($J1522&gt;$J1524,1,0),IF($K1522&gt;$K1524,1,0),IF($L1522&gt;$L1524,1,0))&lt;&gt;3,"Error",""),""),""),"")</f>
        <v/>
      </c>
      <c r="R1523" s="328" t="str">
        <f>$A1489</f>
        <v/>
      </c>
      <c r="S1523" s="328"/>
      <c r="T1523" s="328"/>
      <c r="U1523" s="328"/>
      <c r="V1523" s="328"/>
      <c r="W1523" s="328"/>
      <c r="X1523" s="256" t="str">
        <f>CONCATENATE("(",$B1488," vs ",$K1488,")")</f>
        <v>(B vs H)</v>
      </c>
      <c r="Y1523" s="256"/>
      <c r="Z1523" s="328" t="str">
        <f>$J1489</f>
        <v/>
      </c>
      <c r="AA1523" s="328"/>
      <c r="AB1523" s="328"/>
      <c r="AC1523" s="328"/>
      <c r="AD1523" s="328"/>
      <c r="AE1523" s="328"/>
      <c r="AF1523" s="43"/>
    </row>
    <row r="1524" spans="1:32" ht="12.75" customHeight="1">
      <c r="A1524" s="325" t="str">
        <f>K1488</f>
        <v>H</v>
      </c>
      <c r="B1524" s="311" t="str">
        <f ca="1">IF($B1496&lt;&gt;"",$B1496,"")</f>
        <v/>
      </c>
      <c r="C1524" s="312"/>
      <c r="D1524" s="312"/>
      <c r="E1524" s="312"/>
      <c r="F1524" s="312"/>
      <c r="G1524" s="313"/>
      <c r="H1524" s="265"/>
      <c r="I1524" s="265"/>
      <c r="J1524" s="265"/>
      <c r="K1524" s="265"/>
      <c r="L1524" s="265" t="str">
        <f ca="1">IF($B1517&lt;&gt;"",IF(AND($B1517="Missing Player",$G1526=2,$J1526=2),0,IF(AND($B1515="Missing Player",$G1526=2,$J1526=2),11,"")),"")</f>
        <v/>
      </c>
      <c r="M1524" s="267" t="s">
        <v>1237</v>
      </c>
      <c r="N1524" s="268"/>
      <c r="O1524" s="268"/>
      <c r="P1524" s="269"/>
      <c r="Q1524" s="138" t="str">
        <f ca="1">IF(Q1522&lt;&gt;"",IF(Q1522="W","L","W"),"")</f>
        <v/>
      </c>
      <c r="R1524" s="43"/>
      <c r="S1524" s="43"/>
      <c r="T1524" s="43"/>
      <c r="U1524" s="43"/>
      <c r="V1524" s="43"/>
      <c r="W1524" s="43"/>
      <c r="X1524" s="43"/>
      <c r="Y1524" s="43"/>
      <c r="Z1524" s="43"/>
      <c r="AA1524" s="43"/>
      <c r="AB1524" s="43"/>
      <c r="AC1524" s="43"/>
      <c r="AD1524" s="43"/>
      <c r="AE1524" s="43"/>
      <c r="AF1524" s="43"/>
    </row>
    <row r="1525" spans="1:32" ht="12.75" customHeight="1">
      <c r="A1525" s="324"/>
      <c r="B1525" s="308" t="str">
        <f ca="1">IF($B1517="Missing Player",$B1517,"")</f>
        <v/>
      </c>
      <c r="C1525" s="309"/>
      <c r="D1525" s="309"/>
      <c r="E1525" s="309"/>
      <c r="F1525" s="309"/>
      <c r="G1525" s="310"/>
      <c r="H1525" s="270"/>
      <c r="I1525" s="270"/>
      <c r="J1525" s="266"/>
      <c r="K1525" s="266"/>
      <c r="L1525" s="266"/>
      <c r="M1525" s="267"/>
      <c r="N1525" s="268"/>
      <c r="O1525" s="268"/>
      <c r="P1525" s="269"/>
      <c r="Q1525" s="139" t="str">
        <f ca="1">IF($Q1524&lt;&gt;"",IF($B1523&lt;&gt;"Missing Player",IF($Q1524="W",IF(SUM(IF($H1524&gt;$H1522,1,0),IF($I1524&gt;$I1522,1,0),IF($J1524&gt;$J1522,1,0),IF($K1524&gt;$K1522,1,0),IF($L1524&gt;$L1522,1,0))&lt;&gt;3,"Error",""),""),""),"")</f>
        <v/>
      </c>
      <c r="R1525" s="43" t="str">
        <f>A1513</f>
        <v>4th Singles</v>
      </c>
      <c r="S1525" s="43"/>
      <c r="T1525" s="43"/>
      <c r="U1525" s="43"/>
      <c r="V1525" s="43"/>
      <c r="W1525" s="43"/>
      <c r="X1525" s="43"/>
      <c r="Y1525" s="43"/>
      <c r="Z1525" s="43"/>
      <c r="AA1525" s="43"/>
      <c r="AB1525" s="43"/>
      <c r="AC1525" s="43"/>
      <c r="AD1525" s="43"/>
      <c r="AE1525" s="43"/>
      <c r="AF1525" s="43"/>
    </row>
    <row r="1526" spans="1:32" ht="12.75" customHeight="1">
      <c r="G1526" s="66">
        <f ca="1">COUNTIF($Q1494:$Q1494,"W")+COUNTIF($Q1501:$Q1501,"W")+COUNTIF($Q1508:$Q1508,"W")+COUNTIF($Q1515:$Q1515,"W")</f>
        <v>0</v>
      </c>
      <c r="J1526" s="66">
        <f ca="1">COUNTIF($Q1496:$Q1496,"W")+COUNTIF($Q1503:$Q1503,"W")+COUNTIF($Q1510:$Q1510,"W")+COUNTIF($Q1517:$Q1517,"W")</f>
        <v>0</v>
      </c>
      <c r="R1526" s="60" t="s">
        <v>1228</v>
      </c>
      <c r="S1526" s="339" t="s">
        <v>1126</v>
      </c>
      <c r="T1526" s="340"/>
      <c r="U1526" s="340"/>
      <c r="V1526" s="340"/>
      <c r="W1526" s="340"/>
      <c r="X1526" s="341"/>
      <c r="Y1526" s="60">
        <v>1</v>
      </c>
      <c r="Z1526" s="60">
        <v>2</v>
      </c>
      <c r="AA1526" s="60">
        <v>3</v>
      </c>
      <c r="AB1526" s="60">
        <v>4</v>
      </c>
      <c r="AC1526" s="60">
        <v>5</v>
      </c>
      <c r="AD1526" s="342"/>
      <c r="AE1526" s="343"/>
      <c r="AF1526" s="344"/>
    </row>
    <row r="1527" spans="1:32" ht="12.75" customHeight="1" thickBot="1">
      <c r="F1527" s="246" t="s">
        <v>1238</v>
      </c>
      <c r="G1527" s="246"/>
      <c r="H1527" s="246"/>
      <c r="I1527" s="246"/>
      <c r="J1527" s="246"/>
      <c r="K1527" s="246"/>
      <c r="R1527" s="300" t="str">
        <f>B1488</f>
        <v>B</v>
      </c>
      <c r="S1527" s="331" t="str">
        <f ca="1">IF($B1515&lt;&gt;"",$B1515,"")</f>
        <v/>
      </c>
      <c r="T1527" s="353"/>
      <c r="U1527" s="353"/>
      <c r="V1527" s="353"/>
      <c r="W1527" s="353"/>
      <c r="X1527" s="354"/>
      <c r="Y1527" s="329"/>
      <c r="Z1527" s="329"/>
      <c r="AA1527" s="351"/>
      <c r="AB1527" s="351"/>
      <c r="AC1527" s="351"/>
      <c r="AD1527" s="345"/>
      <c r="AE1527" s="346"/>
      <c r="AF1527" s="347"/>
    </row>
    <row r="1528" spans="1:32" ht="12.75" customHeight="1">
      <c r="A1528" s="22"/>
      <c r="B1528" s="22"/>
      <c r="C1528" s="22"/>
      <c r="D1528" s="22"/>
      <c r="E1528" s="22"/>
      <c r="G1528" s="304" t="str">
        <f>B1488</f>
        <v>B</v>
      </c>
      <c r="H1528" s="305"/>
      <c r="I1528" s="302" t="str">
        <f>K1488</f>
        <v>H</v>
      </c>
      <c r="J1528" s="303"/>
      <c r="L1528" s="22"/>
      <c r="M1528" s="22"/>
      <c r="N1528" s="22"/>
      <c r="O1528" s="22"/>
      <c r="P1528" s="22"/>
      <c r="R1528" s="301"/>
      <c r="S1528" s="355"/>
      <c r="T1528" s="356"/>
      <c r="U1528" s="356"/>
      <c r="V1528" s="356"/>
      <c r="W1528" s="356"/>
      <c r="X1528" s="357"/>
      <c r="Y1528" s="338"/>
      <c r="Z1528" s="338"/>
      <c r="AA1528" s="352"/>
      <c r="AB1528" s="352"/>
      <c r="AC1528" s="352"/>
      <c r="AD1528" s="348"/>
      <c r="AE1528" s="349"/>
      <c r="AF1528" s="350"/>
    </row>
    <row r="1529" spans="1:32" ht="12.75" customHeight="1" thickBot="1">
      <c r="A1529" s="2" t="s">
        <v>1228</v>
      </c>
      <c r="B1529" s="53" t="str">
        <f>B1488</f>
        <v>B</v>
      </c>
      <c r="C1529" s="3" t="s">
        <v>1226</v>
      </c>
      <c r="F1529" s="66" t="str">
        <f>CONCATENATE($B1488,"-",$K1488)</f>
        <v>B-H</v>
      </c>
      <c r="G1529" s="320" t="str">
        <f ca="1">IF(OR(Q1494&lt;&gt;"",Q1501&lt;&gt;"",Q1508&lt;&gt;"",Q1515&lt;&gt;"",Q1522&lt;&gt;""),COUNTIF(Q1494:Q1494,"W")+COUNTIF(Q1501:Q1501,"W")+COUNTIF(Q1508:Q1508,"W")+COUNTIF(Q1515:Q1515,"W")+COUNTIF(Q1522:Q1522,"W"),"")</f>
        <v/>
      </c>
      <c r="H1529" s="321"/>
      <c r="I1529" s="322" t="str">
        <f ca="1">IF(OR(Q1496&lt;&gt;"",Q1503&lt;&gt;"",Q1510&lt;&gt;"",Q1517&lt;&gt;"",Q1524&lt;&gt;""),COUNTIF(Q1496:Q1496,"W")+COUNTIF(Q1503:Q1503,"W")+COUNTIF(Q1510:Q1510,"W")+COUNTIF(Q1517:Q1517,"W")+COUNTIF(Q1524:Q1524,"W"),"")</f>
        <v/>
      </c>
      <c r="J1529" s="323"/>
      <c r="L1529" s="2" t="s">
        <v>1228</v>
      </c>
      <c r="M1529" s="53" t="str">
        <f>K1488</f>
        <v>H</v>
      </c>
      <c r="N1529" s="3" t="s">
        <v>1226</v>
      </c>
      <c r="R1529" s="300" t="str">
        <f>K1488</f>
        <v>H</v>
      </c>
      <c r="S1529" s="331" t="str">
        <f ca="1">IF($B1517&lt;&gt;"",$B1517,"")</f>
        <v/>
      </c>
      <c r="T1529" s="332"/>
      <c r="U1529" s="332"/>
      <c r="V1529" s="332"/>
      <c r="W1529" s="332"/>
      <c r="X1529" s="333"/>
      <c r="Y1529" s="329"/>
      <c r="Z1529" s="329"/>
      <c r="AA1529" s="351"/>
      <c r="AB1529" s="351"/>
      <c r="AC1529" s="351"/>
      <c r="AD1529" s="363" t="s">
        <v>1237</v>
      </c>
      <c r="AE1529" s="358"/>
      <c r="AF1529" s="359"/>
    </row>
    <row r="1530" spans="1:32" ht="12.75" customHeight="1">
      <c r="F1530" s="25" t="s">
        <v>3996</v>
      </c>
      <c r="G1530" s="23"/>
      <c r="H1530" s="23"/>
      <c r="I1530" s="23"/>
      <c r="J1530" s="23"/>
      <c r="K1530" s="24"/>
      <c r="R1530" s="330"/>
      <c r="S1530" s="334"/>
      <c r="T1530" s="335"/>
      <c r="U1530" s="335"/>
      <c r="V1530" s="335"/>
      <c r="W1530" s="335"/>
      <c r="X1530" s="336"/>
      <c r="Y1530" s="330"/>
      <c r="Z1530" s="330"/>
      <c r="AA1530" s="330"/>
      <c r="AB1530" s="330"/>
      <c r="AC1530" s="330"/>
      <c r="AD1530" s="360"/>
      <c r="AE1530" s="361"/>
      <c r="AF1530" s="362"/>
    </row>
    <row r="1531" spans="1:32" ht="12.75" customHeight="1">
      <c r="R1531" s="1"/>
      <c r="S1531" s="110"/>
      <c r="T1531" s="110"/>
      <c r="U1531" s="110"/>
      <c r="V1531" s="110"/>
      <c r="W1531" s="110"/>
      <c r="X1531" s="111"/>
      <c r="Y1531" s="111"/>
      <c r="Z1531" s="111"/>
      <c r="AA1531" s="111"/>
    </row>
    <row r="1532" spans="1:32" ht="12.75" customHeight="1">
      <c r="F1532" s="246" t="s">
        <v>4929</v>
      </c>
      <c r="G1532" s="246"/>
      <c r="H1532" s="246"/>
      <c r="I1532" s="246"/>
      <c r="R1532" s="1"/>
      <c r="S1532" s="110"/>
      <c r="T1532" s="110"/>
      <c r="U1532" s="110"/>
      <c r="V1532" s="110"/>
      <c r="W1532" s="110"/>
      <c r="X1532" s="111"/>
      <c r="Y1532" s="111"/>
      <c r="Z1532" s="111"/>
      <c r="AA1532" s="111"/>
    </row>
    <row r="1533" spans="1:32" ht="12.75" customHeight="1">
      <c r="F1533" s="246" t="s">
        <v>4930</v>
      </c>
      <c r="G1533" s="246"/>
      <c r="H1533" s="246"/>
      <c r="I1533" s="246"/>
      <c r="R1533" s="1"/>
      <c r="S1533" s="110"/>
      <c r="T1533" s="110"/>
      <c r="U1533" s="110"/>
      <c r="V1533" s="110"/>
      <c r="W1533" s="110"/>
      <c r="X1533" s="111"/>
      <c r="Y1533" s="111"/>
      <c r="Z1533" s="111"/>
      <c r="AA1533" s="111"/>
    </row>
    <row r="1534" spans="1:32" ht="12.75" customHeight="1">
      <c r="K1534" s="281" t="s">
        <v>1244</v>
      </c>
      <c r="L1534" s="281"/>
      <c r="M1534" s="281"/>
      <c r="N1534" s="281"/>
      <c r="O1534" s="281"/>
      <c r="P1534" s="281"/>
      <c r="R1534" s="1"/>
      <c r="S1534" s="110"/>
      <c r="T1534" s="110"/>
      <c r="U1534" s="110"/>
      <c r="V1534" s="110"/>
      <c r="W1534" s="110"/>
      <c r="X1534" s="111"/>
      <c r="Y1534" s="111"/>
      <c r="Z1534" s="111"/>
      <c r="AA1534" s="111"/>
    </row>
    <row r="1535" spans="1:32" ht="12.75" customHeight="1">
      <c r="A1535" s="12" t="s">
        <v>1229</v>
      </c>
      <c r="B1535" s="11"/>
      <c r="C1535" s="11"/>
      <c r="D1535" s="11" t="str">
        <f>Draw!$B$1</f>
        <v>Enter Division Name</v>
      </c>
      <c r="E1535" s="11"/>
      <c r="F1535" s="7"/>
      <c r="G1535" s="6"/>
      <c r="H1535" s="7"/>
      <c r="I1535" s="11"/>
      <c r="J1535" s="11"/>
      <c r="K1535" s="11"/>
      <c r="L1535" s="11"/>
      <c r="M1535" s="281"/>
      <c r="N1535" s="281"/>
      <c r="O1535" s="281"/>
      <c r="P1535" s="281"/>
      <c r="R1535" s="1"/>
      <c r="S1535" s="110"/>
      <c r="T1535" s="110"/>
      <c r="U1535" s="110"/>
      <c r="V1535" s="110"/>
      <c r="W1535" s="110"/>
      <c r="X1535" s="111"/>
      <c r="Y1535" s="111"/>
      <c r="Z1535" s="111"/>
      <c r="AA1535" s="111"/>
    </row>
    <row r="1536" spans="1:32" ht="12.75" customHeight="1">
      <c r="A1536" s="2" t="s">
        <v>1230</v>
      </c>
      <c r="D1536" s="43" t="str">
        <f>Draw!$D$1</f>
        <v>Enter Hosting Location (City, ST)</v>
      </c>
      <c r="J1536" s="43" t="str">
        <f ca="1">$J$6</f>
        <v>[NCTTA Teams Template (v2.06).xlsx]</v>
      </c>
      <c r="R1536" s="1"/>
      <c r="S1536" s="110"/>
      <c r="T1536" s="110"/>
      <c r="U1536" s="110"/>
      <c r="V1536" s="110"/>
      <c r="W1536" s="110"/>
      <c r="X1536" s="111"/>
      <c r="Y1536" s="111"/>
      <c r="Z1536" s="111"/>
      <c r="AA1536" s="111"/>
    </row>
    <row r="1537" spans="1:32" ht="12.75" customHeight="1">
      <c r="A1537" s="2" t="s">
        <v>1231</v>
      </c>
      <c r="D1537" s="337" t="str">
        <f>Draw!$P$1</f>
        <v>Enter Date</v>
      </c>
      <c r="E1537" s="337"/>
      <c r="F1537" s="337"/>
      <c r="G1537" s="337"/>
      <c r="J1537" s="280" t="str">
        <f>CHOOSE(Draw!$T$1,"Round 6, Match 1","","","","","","","","Round 8, Match 3","Round 7, Match 1","Round 7, Match 1")</f>
        <v/>
      </c>
      <c r="K1537" s="280"/>
      <c r="L1537" s="280"/>
      <c r="M1537" s="276" t="str">
        <f>IF(AND($J1537&lt;&gt;"",Draw!$AC$10&lt;&gt;"",Draw!$AC$13&lt;&gt;""),Draw!$AC$10+TIME(0,VALUE(MID($J1537,7,FIND(",",$J1537)-FIND(" ",$J1537)-1)-1)*Draw!$AC$13,0),"")</f>
        <v/>
      </c>
      <c r="N1537" s="276"/>
      <c r="O1537" s="157" t="str">
        <f>$F1580</f>
        <v>B-I</v>
      </c>
      <c r="R1537" s="1"/>
      <c r="S1537" s="110"/>
      <c r="T1537" s="110"/>
      <c r="U1537" s="110"/>
      <c r="V1537" s="110"/>
      <c r="W1537" s="110"/>
      <c r="X1537" s="111"/>
      <c r="Y1537" s="111"/>
      <c r="Z1537" s="111"/>
      <c r="AA1537" s="111"/>
    </row>
    <row r="1538" spans="1:32" ht="12.75" customHeight="1">
      <c r="A1538" s="14"/>
      <c r="B1538" s="15"/>
      <c r="C1538" s="15"/>
      <c r="D1538" s="15"/>
      <c r="E1538" s="15"/>
      <c r="F1538" s="14"/>
      <c r="G1538" s="14"/>
      <c r="H1538" s="16"/>
      <c r="I1538" s="14"/>
      <c r="J1538" s="15"/>
      <c r="K1538" s="15"/>
      <c r="L1538" s="15"/>
      <c r="M1538" s="15"/>
      <c r="N1538" s="15"/>
      <c r="O1538" s="364" t="str">
        <f>IF(OR(AND(VLOOKUP($B1539,$AM$1:$AX$12,12,FALSE)="C",VLOOKUP($K1539,$AM$1:$AX$12,12,FALSE)="C"),AND(VLOOKUP($B1539,$AM$1:$AX$12,12,FALSE)="W",VLOOKUP($K1539,$AM$1:$AX$12,12,FALSE)="W")),"Official",IF(AND($A1540="",$J1540=""),"","Scrimmage"))</f>
        <v/>
      </c>
      <c r="P1538" s="364"/>
      <c r="R1538" s="1"/>
      <c r="S1538" s="110"/>
      <c r="T1538" s="110"/>
      <c r="U1538" s="110"/>
      <c r="V1538" s="110"/>
      <c r="W1538" s="110"/>
      <c r="X1538" s="111"/>
      <c r="Y1538" s="111"/>
      <c r="Z1538" s="111"/>
      <c r="AA1538" s="111"/>
    </row>
    <row r="1539" spans="1:32" ht="12.75" customHeight="1">
      <c r="A1539" s="17" t="s">
        <v>1228</v>
      </c>
      <c r="B1539" s="119" t="str">
        <f>CHOOSE(Draw!$T$1,"A","A","B","C","C","C","B","A","E","A","A")</f>
        <v>B</v>
      </c>
      <c r="C1539" s="135">
        <f>VLOOKUP($B1539,$AM$1:$AN$12,2)</f>
        <v>2</v>
      </c>
      <c r="D1539" s="13"/>
      <c r="E1539" s="13"/>
      <c r="F1539" s="10"/>
      <c r="H1539" s="19" t="s">
        <v>1232</v>
      </c>
      <c r="J1539" s="17" t="s">
        <v>1228</v>
      </c>
      <c r="K1539" s="119" t="str">
        <f>CHOOSE(Draw!$T$1,"G","G","I","D","L","J","L","K","H","C","F")</f>
        <v>I</v>
      </c>
      <c r="L1539" s="135">
        <f>VLOOKUP($K1539,$AM$1:$AN$12,2)</f>
        <v>9</v>
      </c>
      <c r="M1539" s="13"/>
      <c r="N1539" s="13"/>
      <c r="O1539" s="18"/>
      <c r="P1539" s="274"/>
      <c r="Q1539" s="275"/>
      <c r="R1539" s="1"/>
      <c r="S1539" s="110"/>
      <c r="T1539" s="110"/>
      <c r="U1539" s="110"/>
      <c r="V1539" s="110"/>
      <c r="W1539" s="110"/>
      <c r="X1539" s="111"/>
      <c r="Y1539" s="111"/>
      <c r="Z1539" s="111"/>
      <c r="AA1539" s="111"/>
    </row>
    <row r="1540" spans="1:32" ht="12.75" customHeight="1">
      <c r="A1540" s="277" t="str">
        <f>IF(VLOOKUP($B1539,Draw!$A$4:$B$27,2)&lt;&gt;0,VLOOKUP($B1539,Draw!$A$4:$B$27,2),"")</f>
        <v/>
      </c>
      <c r="B1540" s="278"/>
      <c r="C1540" s="278"/>
      <c r="D1540" s="278"/>
      <c r="E1540" s="278"/>
      <c r="F1540" s="279"/>
      <c r="G1540" s="306" t="s">
        <v>4182</v>
      </c>
      <c r="H1540" s="289"/>
      <c r="I1540" s="307"/>
      <c r="J1540" s="277" t="str">
        <f>IF(VLOOKUP($K1539,Draw!$A$4:$B$27,2)&lt;&gt;0,VLOOKUP($K1539,Draw!$A$4:$B$27,2),"")</f>
        <v/>
      </c>
      <c r="K1540" s="278"/>
      <c r="L1540" s="278"/>
      <c r="M1540" s="278"/>
      <c r="N1540" s="278"/>
      <c r="O1540" s="279"/>
      <c r="P1540" s="15"/>
      <c r="R1540" s="1"/>
      <c r="S1540" s="110"/>
      <c r="T1540" s="110"/>
      <c r="U1540" s="110"/>
      <c r="V1540" s="110"/>
      <c r="W1540" s="110"/>
      <c r="X1540" s="111"/>
      <c r="Y1540" s="111"/>
      <c r="Z1540" s="111"/>
      <c r="AA1540" s="111"/>
    </row>
    <row r="1541" spans="1:32" ht="12.75" customHeight="1">
      <c r="A1541" s="14"/>
      <c r="B1541" s="15"/>
      <c r="C1541" s="15"/>
      <c r="D1541" s="15"/>
      <c r="E1541" s="15"/>
      <c r="F1541" s="14"/>
      <c r="G1541" s="288" t="str">
        <f>"Page "&amp;VALUE(RIGHT($G1540,LEN($G1540)-SEARCH("-",$G1540)))/2</f>
        <v>Page 31</v>
      </c>
      <c r="H1541" s="289"/>
      <c r="I1541" s="289"/>
      <c r="J1541" s="15"/>
      <c r="K1541" s="15"/>
      <c r="L1541" s="15"/>
      <c r="M1541" s="15"/>
      <c r="N1541" s="15"/>
      <c r="O1541" s="15"/>
      <c r="P1541" s="15"/>
      <c r="R1541" s="1"/>
      <c r="S1541" s="110"/>
      <c r="T1541" s="110"/>
      <c r="U1541" s="110"/>
      <c r="V1541" s="110"/>
      <c r="W1541" s="110"/>
      <c r="X1541" s="111"/>
      <c r="Y1541" s="111"/>
      <c r="Z1541" s="111"/>
      <c r="AA1541" s="111"/>
      <c r="AF1541" s="27"/>
    </row>
    <row r="1542" spans="1:32" ht="12.75" customHeight="1">
      <c r="A1542" s="327" t="s">
        <v>1245</v>
      </c>
      <c r="B1542" s="327"/>
      <c r="C1542" s="327"/>
      <c r="D1542" s="327"/>
      <c r="E1542" s="327"/>
      <c r="F1542" s="327"/>
      <c r="G1542" s="327"/>
      <c r="H1542" s="327"/>
      <c r="I1542" s="327"/>
      <c r="J1542" s="327"/>
      <c r="K1542" s="327"/>
      <c r="L1542" s="327"/>
      <c r="M1542" s="327"/>
      <c r="N1542" s="327"/>
      <c r="O1542" s="327"/>
      <c r="P1542" s="327"/>
      <c r="Q1542" s="7"/>
      <c r="R1542" s="1"/>
      <c r="S1542" s="110"/>
      <c r="T1542" s="110"/>
      <c r="U1542" s="110"/>
      <c r="V1542" s="110"/>
      <c r="W1542" s="110"/>
      <c r="X1542" s="111"/>
      <c r="Y1542" s="111"/>
      <c r="Z1542" s="111"/>
      <c r="AA1542" s="111"/>
      <c r="AF1542" s="20"/>
    </row>
    <row r="1543" spans="1:32" ht="12.75" customHeight="1">
      <c r="A1543" s="21" t="s">
        <v>1233</v>
      </c>
      <c r="H1543" s="136" t="str">
        <f>IF($Q1545&lt;&gt;"",IF(AND(AND($H1545&gt;-1,$H1547&gt;-1),OR($H1545&gt;10,$H1547&gt;10),ABS($H1545-$H1547)&gt;1,IF(OR($H1545&gt;11,$H1547&gt;11),ABS($H1545-$H1547)=2,TRUE),$H1545=INT($H1545),$H1547=INT($H1547)),"","Error"),"")</f>
        <v/>
      </c>
      <c r="I1543" s="136" t="str">
        <f>IF($Q1545&lt;&gt;"",IF(AND(AND($I1545&gt;-1,$I1547&gt;-1),OR($I1545&gt;10,$I1547&gt;10),ABS($I1545-$I1547)&gt;1,IF(OR($I1545&gt;11,$I1547&gt;11),ABS($I1545-$I1547)=2,TRUE),$I1545=INT($I1545),$I1547=INT($I1547)),"","Error"),"")</f>
        <v/>
      </c>
      <c r="J1543" s="136" t="str">
        <f>IF($Q1545&lt;&gt;"",IF(AND(AND($J1545&gt;-1,$J1547&gt;-1),OR($J1545&gt;10,$J1547&gt;10),ABS($J1545-$J1547)&gt;1,IF(OR($J1545&gt;11,$J1547&gt;11),ABS($J1545-$J1547)=2,TRUE),$J1545=INT($J1545),$J1547=INT($J1547)),"","Error"),"")</f>
        <v/>
      </c>
      <c r="K1543" s="136" t="str">
        <f>IF($Q1545&lt;&gt;"",IF(AND($K1545&lt;&gt;"",$K1547&lt;&gt;""), IF(AND(AND($K1545&gt;-1,$K1547&gt;-1),OR($K1545&gt;10,$K1547&gt;10),ABS($K1545-$K1547)&gt;1,IF(OR($K1545&gt;11,$K1547&gt;11),ABS($K1545-$K1547)=2,TRUE),$K1545=INT($K1545),$K1547=INT($K1547)),"","Error"),""),"")</f>
        <v/>
      </c>
      <c r="L1543" s="136" t="str">
        <f>IF($Q1545&lt;&gt;"",IF(AND($L1545&lt;&gt;"",$L1547&lt;&gt;""), IF(AND(AND($L1545&gt;-1,$L1547&gt;-1),OR($L1545&gt;10,$L1547&gt;10),ABS($L1545-$L1547)&gt;1,IF(OR($L1545&gt;11,$L1547&gt;11),ABS($L1545-$L1547)=2,TRUE),$L1545=INT($L1545),$L1547=INT($L1547)),"","Error"),""),"")</f>
        <v/>
      </c>
      <c r="R1543" s="1"/>
      <c r="S1543" s="110"/>
      <c r="T1543" s="110"/>
      <c r="U1543" s="110"/>
      <c r="V1543" s="110"/>
      <c r="W1543" s="110"/>
      <c r="X1543" s="111"/>
      <c r="Y1543" s="111"/>
      <c r="Z1543" s="111"/>
      <c r="AA1543" s="111"/>
    </row>
    <row r="1544" spans="1:32" ht="12.75" customHeight="1">
      <c r="A1544" s="5" t="s">
        <v>1228</v>
      </c>
      <c r="B1544" s="290" t="s">
        <v>1126</v>
      </c>
      <c r="C1544" s="291"/>
      <c r="D1544" s="291"/>
      <c r="E1544" s="291"/>
      <c r="F1544" s="291"/>
      <c r="G1544" s="292"/>
      <c r="H1544" s="5">
        <v>1</v>
      </c>
      <c r="I1544" s="5">
        <v>2</v>
      </c>
      <c r="J1544" s="5">
        <v>3</v>
      </c>
      <c r="K1544" s="5">
        <v>4</v>
      </c>
      <c r="L1544" s="5">
        <v>5</v>
      </c>
      <c r="M1544" s="271"/>
      <c r="N1544" s="272"/>
      <c r="O1544" s="272"/>
      <c r="P1544" s="273"/>
      <c r="R1544" s="1"/>
      <c r="S1544" s="110"/>
      <c r="T1544" s="110"/>
      <c r="U1544" s="110"/>
      <c r="V1544" s="110"/>
      <c r="W1544" s="110"/>
      <c r="X1544" s="111"/>
      <c r="Y1544" s="111"/>
      <c r="Z1544" s="111"/>
      <c r="AA1544" s="111"/>
    </row>
    <row r="1545" spans="1:32" ht="12.75" customHeight="1">
      <c r="A1545" s="300" t="str">
        <f>B1539</f>
        <v>B</v>
      </c>
      <c r="B1545" s="293" t="str">
        <f ca="1">IF(AND(OFFSET($AO$1,$C1539-1,8,1,1),$A1540&lt;&gt;"",$J1540&lt;&gt;""),CHOOSE($C1539,$AO$1,$AO$2,$AO$3,$AO$4,$AO$5,$AO$6,$AO$7,$AO$8,$AO$9,$AO$10,$AO$11,$AO$12),"")</f>
        <v/>
      </c>
      <c r="C1545" s="294"/>
      <c r="D1545" s="294"/>
      <c r="E1545" s="294"/>
      <c r="F1545" s="294"/>
      <c r="G1545" s="294"/>
      <c r="H1545" s="265"/>
      <c r="I1545" s="265"/>
      <c r="J1545" s="265"/>
      <c r="K1545" s="265"/>
      <c r="L1545" s="265"/>
      <c r="M1545" s="297"/>
      <c r="N1545" s="298"/>
      <c r="O1545" s="298"/>
      <c r="P1545" s="299"/>
      <c r="Q1545" s="137" t="str">
        <f>IF($L1545=$L1547,IF($K1545=$K1547,IF($J1545&lt;&gt;"",IF($J1545&gt;$J1547,"W","L"),""),IF($K1545&gt;$K1547,"W","L")),IF($L1545&gt;$L1547,"W","L"))</f>
        <v/>
      </c>
      <c r="R1545" s="1"/>
      <c r="S1545" s="110"/>
      <c r="T1545" s="110"/>
      <c r="U1545" s="110"/>
      <c r="V1545" s="110"/>
      <c r="W1545" s="110"/>
      <c r="X1545" s="111"/>
      <c r="Y1545" s="111"/>
      <c r="Z1545" s="111"/>
      <c r="AA1545" s="111"/>
    </row>
    <row r="1546" spans="1:32" ht="12.75" customHeight="1">
      <c r="A1546" s="301"/>
      <c r="B1546" s="295"/>
      <c r="C1546" s="296"/>
      <c r="D1546" s="296"/>
      <c r="E1546" s="296"/>
      <c r="F1546" s="296"/>
      <c r="G1546" s="296"/>
      <c r="H1546" s="270"/>
      <c r="I1546" s="270"/>
      <c r="J1546" s="270"/>
      <c r="K1546" s="270"/>
      <c r="L1546" s="270"/>
      <c r="M1546" s="297"/>
      <c r="N1546" s="298"/>
      <c r="O1546" s="298"/>
      <c r="P1546" s="299"/>
      <c r="Q1546" s="139" t="str">
        <f>IF($Q1545&lt;&gt;"",IF($Q1545="W",IF(SUM(IF($H1545&gt;$H1547,1,0),IF($I1545&gt;$I1547,1,0),IF($J1545&gt;$J1547,1,0),IF($K1545&gt;$K1547,1,0),IF($L1545&gt;$L1547,1,0))&lt;&gt;3,"Error",""),""),"")</f>
        <v/>
      </c>
      <c r="R1546" s="328" t="str">
        <f>$A1540</f>
        <v/>
      </c>
      <c r="S1546" s="328"/>
      <c r="T1546" s="328"/>
      <c r="U1546" s="328"/>
      <c r="V1546" s="328"/>
      <c r="W1546" s="328"/>
      <c r="X1546" s="256" t="str">
        <f>CONCATENATE("(",$B1539," vs ",$K1539,")")</f>
        <v>(B vs I)</v>
      </c>
      <c r="Y1546" s="256"/>
      <c r="Z1546" s="328" t="str">
        <f>$J1540</f>
        <v/>
      </c>
      <c r="AA1546" s="328"/>
      <c r="AB1546" s="328"/>
      <c r="AC1546" s="328"/>
      <c r="AD1546" s="328"/>
      <c r="AE1546" s="328"/>
      <c r="AF1546" s="43"/>
    </row>
    <row r="1547" spans="1:32" ht="12.75" customHeight="1">
      <c r="A1547" s="300" t="str">
        <f>K1539</f>
        <v>I</v>
      </c>
      <c r="B1547" s="293" t="str">
        <f ca="1">IF(AND(OFFSET($AO$1,$L1539-1,8,1,1),$A1540&lt;&gt;"",$J1540&lt;&gt;""),CHOOSE($L1539,$AO$1,$AO$2,$AO$3,$AO$4,$AO$5,$AO$6,$AO$7,$AO$8,$AO$9,$AO$10,$AO$11,$AO$12),"")</f>
        <v/>
      </c>
      <c r="C1547" s="294"/>
      <c r="D1547" s="294"/>
      <c r="E1547" s="294"/>
      <c r="F1547" s="294"/>
      <c r="G1547" s="294"/>
      <c r="H1547" s="265"/>
      <c r="I1547" s="265"/>
      <c r="J1547" s="265"/>
      <c r="K1547" s="265"/>
      <c r="L1547" s="265"/>
      <c r="M1547" s="267" t="s">
        <v>1237</v>
      </c>
      <c r="N1547" s="268"/>
      <c r="O1547" s="268"/>
      <c r="P1547" s="269"/>
      <c r="Q1547" s="137" t="str">
        <f>IF($Q1545&lt;&gt;"",IF($Q1545="W","L","W"),"")</f>
        <v/>
      </c>
      <c r="R1547" s="43"/>
      <c r="S1547" s="43"/>
      <c r="T1547" s="43"/>
      <c r="U1547" s="43"/>
      <c r="V1547" s="43"/>
      <c r="W1547" s="43"/>
      <c r="X1547" s="43"/>
      <c r="Y1547" s="43"/>
      <c r="Z1547" s="43"/>
      <c r="AA1547" s="43"/>
      <c r="AB1547" s="43"/>
      <c r="AC1547" s="43"/>
      <c r="AD1547" s="43"/>
      <c r="AE1547" s="43"/>
      <c r="AF1547" s="43"/>
    </row>
    <row r="1548" spans="1:32" ht="12.75" customHeight="1">
      <c r="A1548" s="301"/>
      <c r="B1548" s="295"/>
      <c r="C1548" s="296"/>
      <c r="D1548" s="296"/>
      <c r="E1548" s="296"/>
      <c r="F1548" s="296"/>
      <c r="G1548" s="296"/>
      <c r="H1548" s="270"/>
      <c r="I1548" s="270"/>
      <c r="J1548" s="266"/>
      <c r="K1548" s="266"/>
      <c r="L1548" s="266"/>
      <c r="M1548" s="267"/>
      <c r="N1548" s="268"/>
      <c r="O1548" s="268"/>
      <c r="P1548" s="269"/>
      <c r="Q1548" s="139" t="str">
        <f>IF($Q1547&lt;&gt;"",IF($Q1547="W",IF(SUM(IF($H1547&gt;$H1545,1,0),IF($I1547&gt;$I1545,1,0),IF($J1547&gt;$J1545,1,0),IF($K1547&gt;$K1545,1,0),IF($L1547&gt;$L1545,1,0))&lt;&gt;3,"Error",""),""),"")</f>
        <v/>
      </c>
      <c r="R1548" s="43" t="str">
        <f>$A1550</f>
        <v>2nd Singles</v>
      </c>
      <c r="S1548" s="43"/>
      <c r="T1548" s="43"/>
      <c r="U1548" s="43"/>
      <c r="V1548" s="43"/>
      <c r="W1548" s="43"/>
      <c r="X1548" s="43"/>
      <c r="Y1548" s="43"/>
      <c r="Z1548" s="43"/>
      <c r="AA1548" s="43"/>
      <c r="AB1548" s="43"/>
      <c r="AC1548" s="43"/>
      <c r="AD1548" s="43"/>
      <c r="AE1548" s="43"/>
      <c r="AF1548" s="43"/>
    </row>
    <row r="1549" spans="1:32" ht="12.75" customHeight="1">
      <c r="Q1549" s="7"/>
      <c r="R1549" s="60" t="s">
        <v>1228</v>
      </c>
      <c r="S1549" s="339" t="s">
        <v>1126</v>
      </c>
      <c r="T1549" s="340"/>
      <c r="U1549" s="340"/>
      <c r="V1549" s="340"/>
      <c r="W1549" s="340"/>
      <c r="X1549" s="341"/>
      <c r="Y1549" s="60">
        <v>1</v>
      </c>
      <c r="Z1549" s="60">
        <v>2</v>
      </c>
      <c r="AA1549" s="60">
        <v>3</v>
      </c>
      <c r="AB1549" s="60">
        <v>4</v>
      </c>
      <c r="AC1549" s="60">
        <v>5</v>
      </c>
      <c r="AD1549" s="342"/>
      <c r="AE1549" s="343"/>
      <c r="AF1549" s="344"/>
    </row>
    <row r="1550" spans="1:32" ht="12.75" customHeight="1">
      <c r="A1550" s="21" t="s">
        <v>1234</v>
      </c>
      <c r="H1550" s="136" t="str">
        <f>IF($Q1552&lt;&gt;"",IF(AND(AND($H1552&gt;-1,$H1554&gt;-1),OR($H1552&gt;10,$H1554&gt;10),ABS($H1552-$H1554)&gt;1,IF(OR($H1552&gt;11,$H1554&gt;11),ABS($H1552-$H1554)=2,TRUE),$H1552=INT($H1552),$H1554=INT($H1554)),"","Error"),"")</f>
        <v/>
      </c>
      <c r="I1550" s="136" t="str">
        <f>IF($Q1552&lt;&gt;"",IF(AND(AND($I1552&gt;-1,$I1554&gt;-1),OR($I1552&gt;10,$I1554&gt;10),ABS($I1552-$I1554)&gt;1,IF(OR($I1552&gt;11,$I1554&gt;11),ABS($I1552-$I1554)=2,TRUE),$I1552=INT($I1552),$I1554=INT($I1554)),"","Error"),"")</f>
        <v/>
      </c>
      <c r="J1550" s="136" t="str">
        <f>IF($Q1552&lt;&gt;"",IF(AND(AND($J1552&gt;-1,$J1554&gt;-1),OR($J1552&gt;10,$J1554&gt;10),ABS($J1552-$J1554)&gt;1,IF(OR($J1552&gt;11,$J1554&gt;11),ABS($J1552-$J1554)=2,TRUE),$J1552=INT($J1552),$J1554=INT($J1554)),"","Error"),"")</f>
        <v/>
      </c>
      <c r="K1550" s="136" t="str">
        <f>IF($Q1552&lt;&gt;"",IF(AND($K1552&lt;&gt;"",$K1554&lt;&gt;""), IF(AND(AND($K1552&gt;-1,$K1554&gt;-1),OR($K1552&gt;10,$K1554&gt;10),ABS($K1552-$K1554)&gt;1,IF(OR($K1552&gt;11,$K1554&gt;11),ABS($K1552-$K1554)=2,TRUE),$K1552=INT($K1552),$K1554=INT($K1554)),"","Error"),""),"")</f>
        <v/>
      </c>
      <c r="L1550" s="136" t="str">
        <f>IF($Q1552&lt;&gt;"",IF(AND($L1552&lt;&gt;"",$L1554&lt;&gt;""), IF(AND(AND($L1552&gt;-1,$L1554&gt;-1),OR($L1552&gt;10,$L1554&gt;10),ABS($L1552-$L1554)&gt;1,IF(OR($L1552&gt;11,$L1554&gt;11),ABS($L1552-$L1554)=2,TRUE),$L1552=INT($L1552),$L1554=INT($L1554)),"","Error"),""),"")</f>
        <v/>
      </c>
      <c r="Q1550" s="7"/>
      <c r="R1550" s="300" t="str">
        <f>$B1539</f>
        <v>B</v>
      </c>
      <c r="S1550" s="331" t="str">
        <f ca="1">IF($B1552&lt;&gt;"",$B1552,"")</f>
        <v/>
      </c>
      <c r="T1550" s="332"/>
      <c r="U1550" s="332"/>
      <c r="V1550" s="332"/>
      <c r="W1550" s="332"/>
      <c r="X1550" s="333"/>
      <c r="Y1550" s="329"/>
      <c r="Z1550" s="329"/>
      <c r="AA1550" s="329"/>
      <c r="AB1550" s="329"/>
      <c r="AC1550" s="329"/>
      <c r="AD1550" s="345"/>
      <c r="AE1550" s="358"/>
      <c r="AF1550" s="359"/>
    </row>
    <row r="1551" spans="1:32" ht="12.75" customHeight="1">
      <c r="A1551" s="5" t="s">
        <v>1228</v>
      </c>
      <c r="B1551" s="290" t="s">
        <v>1126</v>
      </c>
      <c r="C1551" s="291"/>
      <c r="D1551" s="291"/>
      <c r="E1551" s="291"/>
      <c r="F1551" s="291"/>
      <c r="G1551" s="292"/>
      <c r="H1551" s="5">
        <v>1</v>
      </c>
      <c r="I1551" s="5">
        <v>2</v>
      </c>
      <c r="J1551" s="5">
        <v>3</v>
      </c>
      <c r="K1551" s="5">
        <v>4</v>
      </c>
      <c r="L1551" s="5">
        <v>5</v>
      </c>
      <c r="M1551" s="271"/>
      <c r="N1551" s="272"/>
      <c r="O1551" s="272"/>
      <c r="P1551" s="273"/>
      <c r="Q1551" s="7"/>
      <c r="R1551" s="330"/>
      <c r="S1551" s="334"/>
      <c r="T1551" s="335"/>
      <c r="U1551" s="335"/>
      <c r="V1551" s="335"/>
      <c r="W1551" s="335"/>
      <c r="X1551" s="336"/>
      <c r="Y1551" s="330"/>
      <c r="Z1551" s="330"/>
      <c r="AA1551" s="330"/>
      <c r="AB1551" s="330"/>
      <c r="AC1551" s="330"/>
      <c r="AD1551" s="360"/>
      <c r="AE1551" s="361"/>
      <c r="AF1551" s="362"/>
    </row>
    <row r="1552" spans="1:32" ht="12.75" customHeight="1">
      <c r="A1552" s="300" t="str">
        <f>B1539</f>
        <v>B</v>
      </c>
      <c r="B1552" s="293" t="str">
        <f ca="1">IF(AND(OFFSET($AO$1,$C1539-1,8,1,1),$A1540&lt;&gt;"",$J1540&lt;&gt;""),CHOOSE($C1539,$AP$1,$AP$2,$AP$3,$AP$4,$AP$5,$AP$6,$AP$7,$AP$8,$AP$9,$AP$10,$AP$11,$AP$12),"")</f>
        <v/>
      </c>
      <c r="C1552" s="294"/>
      <c r="D1552" s="294"/>
      <c r="E1552" s="294"/>
      <c r="F1552" s="294"/>
      <c r="G1552" s="294"/>
      <c r="H1552" s="265"/>
      <c r="I1552" s="265"/>
      <c r="J1552" s="265"/>
      <c r="K1552" s="265"/>
      <c r="L1552" s="265"/>
      <c r="M1552" s="262" t="str">
        <f ca="1">IF(OR(AND($B1545&lt;&gt;"",$B1552&lt;&gt;"",$C1570&lt;=$B1570),AND($B1547&lt;&gt;"",$B1554&lt;&gt;"",$G1570&lt;=$F1570)),"Invalid Lineup","")</f>
        <v/>
      </c>
      <c r="N1552" s="263"/>
      <c r="O1552" s="263"/>
      <c r="P1552" s="264"/>
      <c r="Q1552" s="137" t="str">
        <f>IF($L1552=$L1554,IF($K1552=$K1554,IF($J1552&lt;&gt;"",IF($J1552&gt;$J1554,"W","L"),""),IF($K1552&gt;$K1554,"W","L")),IF($L1552&gt;$L1554,"W","L"))</f>
        <v/>
      </c>
      <c r="R1552" s="300" t="str">
        <f>$K1539</f>
        <v>I</v>
      </c>
      <c r="S1552" s="331" t="str">
        <f ca="1">IF($B1554&lt;&gt;"",$B1554,"")</f>
        <v/>
      </c>
      <c r="T1552" s="332"/>
      <c r="U1552" s="332"/>
      <c r="V1552" s="332"/>
      <c r="W1552" s="332"/>
      <c r="X1552" s="333"/>
      <c r="Y1552" s="329"/>
      <c r="Z1552" s="329"/>
      <c r="AA1552" s="329"/>
      <c r="AB1552" s="329"/>
      <c r="AC1552" s="351"/>
      <c r="AD1552" s="363" t="s">
        <v>1237</v>
      </c>
      <c r="AE1552" s="358"/>
      <c r="AF1552" s="359"/>
    </row>
    <row r="1553" spans="1:32" ht="12.75" customHeight="1">
      <c r="A1553" s="301"/>
      <c r="B1553" s="295"/>
      <c r="C1553" s="296"/>
      <c r="D1553" s="296"/>
      <c r="E1553" s="296"/>
      <c r="F1553" s="296"/>
      <c r="G1553" s="296"/>
      <c r="H1553" s="270"/>
      <c r="I1553" s="270"/>
      <c r="J1553" s="270"/>
      <c r="K1553" s="270"/>
      <c r="L1553" s="270"/>
      <c r="M1553" s="262"/>
      <c r="N1553" s="263"/>
      <c r="O1553" s="263"/>
      <c r="P1553" s="264"/>
      <c r="Q1553" s="139" t="str">
        <f>IF($Q1552&lt;&gt;"",IF($Q1552="W",IF(SUM(IF($H1552&gt;$H1554,1,0),IF($I1552&gt;$I1554,1,0),IF($J1552&gt;$J1554,1,0),IF($K1552&gt;$K1554,1,0),IF($L1552&gt;$L1554,1,0))&lt;&gt;3,"Error",""),""),"")</f>
        <v/>
      </c>
      <c r="R1553" s="330"/>
      <c r="S1553" s="334"/>
      <c r="T1553" s="335"/>
      <c r="U1553" s="335"/>
      <c r="V1553" s="335"/>
      <c r="W1553" s="335"/>
      <c r="X1553" s="336"/>
      <c r="Y1553" s="330"/>
      <c r="Z1553" s="330"/>
      <c r="AA1553" s="330"/>
      <c r="AB1553" s="330"/>
      <c r="AC1553" s="330"/>
      <c r="AD1553" s="360"/>
      <c r="AE1553" s="361"/>
      <c r="AF1553" s="362"/>
    </row>
    <row r="1554" spans="1:32" ht="12.75" customHeight="1">
      <c r="A1554" s="300" t="str">
        <f>K1539</f>
        <v>I</v>
      </c>
      <c r="B1554" s="293" t="str">
        <f ca="1">IF(AND(OFFSET($AO$1,$L1539-1,8,1,1),$A1540&lt;&gt;"",$J1540&lt;&gt;""),CHOOSE($L1539,$AP$1,$AP$2,$AP$3,$AP$4,$AP$5,$AP$6,$AP$7,$AP$8,$AP$9,$AP$10,$AP$11,$AP$12),"")</f>
        <v/>
      </c>
      <c r="C1554" s="294"/>
      <c r="D1554" s="294"/>
      <c r="E1554" s="294"/>
      <c r="F1554" s="294"/>
      <c r="G1554" s="294"/>
      <c r="H1554" s="265"/>
      <c r="I1554" s="265"/>
      <c r="J1554" s="265"/>
      <c r="K1554" s="265"/>
      <c r="L1554" s="265"/>
      <c r="M1554" s="267" t="s">
        <v>1237</v>
      </c>
      <c r="N1554" s="268"/>
      <c r="O1554" s="268"/>
      <c r="P1554" s="269"/>
      <c r="Q1554" s="137" t="str">
        <f>IF($Q1552&lt;&gt;"",IF($Q1552="W","L","W"),"")</f>
        <v/>
      </c>
      <c r="R1554" s="20"/>
      <c r="S1554" s="20"/>
      <c r="T1554" s="20"/>
      <c r="U1554" s="20"/>
      <c r="V1554" s="20"/>
      <c r="W1554" s="20"/>
      <c r="X1554" s="26"/>
      <c r="Y1554" s="26"/>
      <c r="Z1554" s="20"/>
      <c r="AA1554" s="20"/>
      <c r="AB1554" s="20"/>
      <c r="AC1554" s="20"/>
      <c r="AD1554" s="20"/>
      <c r="AE1554" s="20"/>
      <c r="AF1554" s="27"/>
    </row>
    <row r="1555" spans="1:32" ht="12.75" customHeight="1">
      <c r="A1555" s="301"/>
      <c r="B1555" s="295"/>
      <c r="C1555" s="296"/>
      <c r="D1555" s="296"/>
      <c r="E1555" s="296"/>
      <c r="F1555" s="296"/>
      <c r="G1555" s="296"/>
      <c r="H1555" s="270"/>
      <c r="I1555" s="270"/>
      <c r="J1555" s="266"/>
      <c r="K1555" s="266"/>
      <c r="L1555" s="266"/>
      <c r="M1555" s="267"/>
      <c r="N1555" s="268"/>
      <c r="O1555" s="268"/>
      <c r="P1555" s="269"/>
      <c r="Q1555" s="139" t="str">
        <f>IF($Q1554&lt;&gt;"",IF($Q1554="W",IF(SUM(IF($H1554&gt;$H1552,1,0),IF($I1554&gt;$I1552,1,0),IF($J1554&gt;$J1552,1,0),IF($K1554&gt;$K1552,1,0),IF($L1554&gt;$L1552,1,0))&lt;&gt;3,"Error",""),""),"")</f>
        <v/>
      </c>
      <c r="R1555" s="20"/>
      <c r="S1555" s="20"/>
      <c r="T1555" s="20"/>
      <c r="U1555" s="20"/>
      <c r="V1555" s="20"/>
      <c r="W1555" s="20"/>
      <c r="X1555" s="26"/>
      <c r="Y1555" s="26"/>
      <c r="Z1555" s="20"/>
      <c r="AA1555" s="20"/>
      <c r="AB1555" s="20"/>
      <c r="AC1555" s="20"/>
      <c r="AD1555" s="20"/>
      <c r="AE1555" s="20"/>
      <c r="AF1555" s="27"/>
    </row>
    <row r="1556" spans="1:32" ht="12.75" customHeight="1">
      <c r="Q1556" s="7"/>
      <c r="R1556" s="20"/>
      <c r="S1556" s="20"/>
      <c r="T1556" s="20"/>
      <c r="U1556" s="20"/>
      <c r="V1556" s="20"/>
      <c r="W1556" s="20"/>
      <c r="X1556" s="26"/>
      <c r="Y1556" s="26"/>
      <c r="Z1556" s="20"/>
      <c r="AA1556" s="20"/>
      <c r="AB1556" s="20"/>
      <c r="AC1556" s="20"/>
      <c r="AD1556" s="20"/>
      <c r="AE1556" s="20"/>
      <c r="AF1556" s="27"/>
    </row>
    <row r="1557" spans="1:32" ht="12.75" customHeight="1">
      <c r="A1557" s="21" t="s">
        <v>1235</v>
      </c>
      <c r="H1557" s="136" t="str">
        <f>IF($Q1559&lt;&gt;"",IF(AND(AND($H1559&gt;-1,$H1561&gt;-1),OR($H1559&gt;10,$H1561&gt;10),ABS($H1559-$H1561)&gt;1,IF(OR($H1559&gt;11,$H1561&gt;11),ABS($H1559-$H1561)=2,TRUE),$H1559=INT($H1559),$H1561=INT($H1561)),"","Error"),"")</f>
        <v/>
      </c>
      <c r="I1557" s="136" t="str">
        <f>IF($Q1559&lt;&gt;"",IF(AND(AND($I1559&gt;-1,$I1561&gt;-1),OR($I1559&gt;10,$I1561&gt;10),ABS($I1559-$I1561)&gt;1,IF(OR($I1559&gt;11,$I1561&gt;11),ABS($I1559-$I1561)=2,TRUE),$I1559=INT($I1559),$I1561=INT($I1561)),"","Error"),"")</f>
        <v/>
      </c>
      <c r="J1557" s="136" t="str">
        <f>IF($Q1559&lt;&gt;"",IF(AND(AND($J1559&gt;-1,$J1561&gt;-1),OR($J1559&gt;10,$J1561&gt;10),ABS($J1559-$J1561)&gt;1,IF(OR($J1559&gt;11,$J1561&gt;11),ABS($J1559-$J1561)=2,TRUE),$J1559=INT($J1559),$J1561=INT($J1561)),"","Error"),"")</f>
        <v/>
      </c>
      <c r="K1557" s="136" t="str">
        <f>IF($Q1559&lt;&gt;"",IF(AND($K1559&lt;&gt;"",$K1561&lt;&gt;""), IF(AND(AND($K1559&gt;-1,$K1561&gt;-1),OR($K1559&gt;10,$K1561&gt;10),ABS($K1559-$K1561)&gt;1,IF(OR($K1559&gt;11,$K1561&gt;11),ABS($K1559-$K1561)=2,TRUE),$K1559=INT($K1559),$K1561=INT($K1561)),"","Error"),""),"")</f>
        <v/>
      </c>
      <c r="L1557" s="136" t="str">
        <f>IF($Q1559&lt;&gt;"",IF(AND($L1559&lt;&gt;"",$L1561&lt;&gt;""), IF(AND(AND($L1559&gt;-1,$L1561&gt;-1),OR($L1559&gt;10,$L1561&gt;10),ABS($L1559-$L1561)&gt;1,IF(OR($L1559&gt;11,$L1561&gt;11),ABS($L1559-$L1561)=2,TRUE),$L1559=INT($L1559),$L1561=INT($L1561)),"","Error"),""),"")</f>
        <v/>
      </c>
      <c r="Q1557" s="7"/>
      <c r="R1557" s="20"/>
      <c r="S1557" s="20"/>
      <c r="T1557" s="20"/>
      <c r="U1557" s="20"/>
      <c r="V1557" s="20"/>
      <c r="W1557" s="20"/>
      <c r="X1557" s="26"/>
      <c r="Y1557" s="26"/>
      <c r="Z1557" s="20"/>
      <c r="AA1557" s="20"/>
      <c r="AB1557" s="20"/>
      <c r="AC1557" s="20"/>
      <c r="AD1557" s="20"/>
      <c r="AE1557" s="20"/>
      <c r="AF1557" s="27"/>
    </row>
    <row r="1558" spans="1:32" ht="12.75" customHeight="1">
      <c r="A1558" s="5" t="s">
        <v>1228</v>
      </c>
      <c r="B1558" s="290" t="s">
        <v>1126</v>
      </c>
      <c r="C1558" s="291"/>
      <c r="D1558" s="291"/>
      <c r="E1558" s="291"/>
      <c r="F1558" s="291"/>
      <c r="G1558" s="292"/>
      <c r="H1558" s="5">
        <v>1</v>
      </c>
      <c r="I1558" s="5">
        <v>2</v>
      </c>
      <c r="J1558" s="5">
        <v>3</v>
      </c>
      <c r="K1558" s="5">
        <v>4</v>
      </c>
      <c r="L1558" s="5">
        <v>5</v>
      </c>
      <c r="M1558" s="271"/>
      <c r="N1558" s="272"/>
      <c r="O1558" s="272"/>
      <c r="P1558" s="273"/>
      <c r="Q1558" s="7"/>
      <c r="R1558" s="20"/>
      <c r="S1558" s="20"/>
      <c r="T1558" s="20"/>
      <c r="U1558" s="20"/>
      <c r="V1558" s="20"/>
      <c r="W1558" s="20"/>
      <c r="X1558" s="26"/>
      <c r="Y1558" s="26"/>
      <c r="Z1558" s="20"/>
      <c r="AA1558" s="20"/>
      <c r="AB1558" s="20"/>
      <c r="AC1558" s="20"/>
      <c r="AD1558" s="20"/>
      <c r="AE1558" s="20"/>
      <c r="AF1558" s="27"/>
    </row>
    <row r="1559" spans="1:32" ht="12.75" customHeight="1">
      <c r="A1559" s="300" t="str">
        <f>B1539</f>
        <v>B</v>
      </c>
      <c r="B1559" s="293" t="str">
        <f ca="1">IF(AND(OFFSET($AO$1,$C1539-1,8,1,1),$A1540&lt;&gt;"",$J1540&lt;&gt;""),CHOOSE($C1539,$AQ$1,$AQ$2,$AQ$3,$AQ$4,$AQ$5,$AQ$6,$AQ$7,$AQ$8,$AQ$9,$AQ$10,$AQ$11,$AQ$12),"")</f>
        <v/>
      </c>
      <c r="C1559" s="294"/>
      <c r="D1559" s="294"/>
      <c r="E1559" s="294"/>
      <c r="F1559" s="294"/>
      <c r="G1559" s="294"/>
      <c r="H1559" s="265"/>
      <c r="I1559" s="265"/>
      <c r="J1559" s="265"/>
      <c r="K1559" s="265"/>
      <c r="L1559" s="265"/>
      <c r="M1559" s="262" t="str">
        <f ca="1">IF(OR(AND($B1552&lt;&gt;"",$B1559&lt;&gt;"",$D1570&lt;=$C1570),AND($B1554&lt;&gt;"",$B1561&lt;&gt;"",$H1570&lt;=$G1570)),"Invalid Lineup","")</f>
        <v/>
      </c>
      <c r="N1559" s="263"/>
      <c r="O1559" s="263"/>
      <c r="P1559" s="264"/>
      <c r="Q1559" s="137" t="str">
        <f>IF($L1559=$L1561,IF($K1559=$K1561,IF($J1559&lt;&gt;"",IF($J1559&gt;$J1561,"W","L"),""),IF($K1559&gt;$K1561,"W","L")),IF($L1559&gt;$L1561,"W","L"))</f>
        <v/>
      </c>
      <c r="R1559" s="20"/>
      <c r="S1559" s="20"/>
      <c r="T1559" s="20"/>
      <c r="U1559" s="20"/>
      <c r="V1559" s="20"/>
      <c r="W1559" s="20"/>
      <c r="X1559" s="26"/>
      <c r="Y1559" s="26"/>
      <c r="Z1559" s="20"/>
      <c r="AA1559" s="20"/>
      <c r="AB1559" s="20"/>
      <c r="AC1559" s="20"/>
      <c r="AD1559" s="20"/>
      <c r="AE1559" s="20"/>
      <c r="AF1559" s="27"/>
    </row>
    <row r="1560" spans="1:32" ht="12.75" customHeight="1">
      <c r="A1560" s="301"/>
      <c r="B1560" s="295"/>
      <c r="C1560" s="296"/>
      <c r="D1560" s="296"/>
      <c r="E1560" s="296"/>
      <c r="F1560" s="296"/>
      <c r="G1560" s="296"/>
      <c r="H1560" s="270"/>
      <c r="I1560" s="270"/>
      <c r="J1560" s="270"/>
      <c r="K1560" s="270"/>
      <c r="L1560" s="270"/>
      <c r="M1560" s="262"/>
      <c r="N1560" s="263"/>
      <c r="O1560" s="263"/>
      <c r="P1560" s="264"/>
      <c r="Q1560" s="139" t="str">
        <f>IF($Q1559&lt;&gt;"",IF($Q1559="W",IF(SUM(IF($H1559&gt;$H1561,1,0),IF($I1559&gt;$I1561,1,0),IF($J1559&gt;$J1561,1,0),IF($K1559&gt;$K1561,1,0),IF($L1559&gt;$L1561,1,0))&lt;&gt;3,"Error",""),""),"")</f>
        <v/>
      </c>
      <c r="R1560" s="328" t="str">
        <f>$A1540</f>
        <v/>
      </c>
      <c r="S1560" s="328"/>
      <c r="T1560" s="328"/>
      <c r="U1560" s="328"/>
      <c r="V1560" s="328"/>
      <c r="W1560" s="328"/>
      <c r="X1560" s="256" t="str">
        <f>CONCATENATE("(",$B1539," vs ",$K1539,")")</f>
        <v>(B vs I)</v>
      </c>
      <c r="Y1560" s="256"/>
      <c r="Z1560" s="328" t="str">
        <f>$J1540</f>
        <v/>
      </c>
      <c r="AA1560" s="328"/>
      <c r="AB1560" s="328"/>
      <c r="AC1560" s="328"/>
      <c r="AD1560" s="328"/>
      <c r="AE1560" s="328"/>
      <c r="AF1560" s="100"/>
    </row>
    <row r="1561" spans="1:32" ht="12.75" customHeight="1">
      <c r="A1561" s="300" t="str">
        <f>K1539</f>
        <v>I</v>
      </c>
      <c r="B1561" s="293" t="str">
        <f ca="1">IF(AND(OFFSET($AO$1,$L1539-1,8,1,1),$A1540&lt;&gt;"",$J1540&lt;&gt;""),CHOOSE($L1539,$AQ$1,$AQ$2,$AQ$3,$AQ$4,$AQ$5,$AQ$6,$AQ$7,$AQ$8,$AQ$9,$AQ$10,$AQ$11,$AQ$12),"")</f>
        <v/>
      </c>
      <c r="C1561" s="294"/>
      <c r="D1561" s="294"/>
      <c r="E1561" s="294"/>
      <c r="F1561" s="294"/>
      <c r="G1561" s="294"/>
      <c r="H1561" s="265"/>
      <c r="I1561" s="265"/>
      <c r="J1561" s="265"/>
      <c r="K1561" s="265"/>
      <c r="L1561" s="265"/>
      <c r="M1561" s="267" t="s">
        <v>1237</v>
      </c>
      <c r="N1561" s="268"/>
      <c r="O1561" s="268"/>
      <c r="P1561" s="269"/>
      <c r="Q1561" s="137" t="str">
        <f>IF($Q1559&lt;&gt;"",IF($Q1559="W","L","W"),"")</f>
        <v/>
      </c>
      <c r="R1561" s="100"/>
      <c r="S1561" s="100"/>
      <c r="T1561" s="100"/>
      <c r="U1561" s="100"/>
      <c r="V1561" s="100"/>
      <c r="W1561" s="100"/>
      <c r="X1561" s="100"/>
      <c r="Y1561" s="100"/>
      <c r="Z1561" s="100"/>
      <c r="AA1561" s="100"/>
      <c r="AB1561" s="100"/>
      <c r="AC1561" s="100"/>
      <c r="AD1561" s="100"/>
      <c r="AE1561" s="100"/>
      <c r="AF1561" s="100"/>
    </row>
    <row r="1562" spans="1:32" ht="12.75" customHeight="1">
      <c r="A1562" s="301"/>
      <c r="B1562" s="295"/>
      <c r="C1562" s="296"/>
      <c r="D1562" s="296"/>
      <c r="E1562" s="296"/>
      <c r="F1562" s="296"/>
      <c r="G1562" s="296"/>
      <c r="H1562" s="270"/>
      <c r="I1562" s="270"/>
      <c r="J1562" s="266"/>
      <c r="K1562" s="266"/>
      <c r="L1562" s="266"/>
      <c r="M1562" s="267"/>
      <c r="N1562" s="268"/>
      <c r="O1562" s="268"/>
      <c r="P1562" s="269"/>
      <c r="Q1562" s="139" t="str">
        <f>IF($Q1561&lt;&gt;"",IF($Q1561="W",IF(SUM(IF($H1561&gt;$H1559,1,0),IF($I1561&gt;$I1559,1,0),IF($J1561&gt;$J1559,1,0),IF($K1561&gt;$K1559,1,0),IF($L1561&gt;$L1559,1,0))&lt;&gt;3,"Error",""),""),"")</f>
        <v/>
      </c>
      <c r="R1562" s="43" t="str">
        <f>$A1557</f>
        <v>3rd Singles</v>
      </c>
      <c r="S1562" s="43"/>
      <c r="T1562" s="43"/>
      <c r="U1562" s="43"/>
      <c r="V1562" s="43"/>
      <c r="W1562" s="43"/>
      <c r="X1562" s="43"/>
      <c r="Y1562" s="43"/>
      <c r="Z1562" s="43"/>
      <c r="AA1562" s="43"/>
      <c r="AB1562" s="43"/>
      <c r="AC1562" s="43"/>
      <c r="AD1562" s="43"/>
      <c r="AE1562" s="43"/>
      <c r="AF1562" s="43"/>
    </row>
    <row r="1563" spans="1:32" ht="12.75" customHeight="1">
      <c r="Q1563" s="7"/>
      <c r="R1563" s="60" t="s">
        <v>1228</v>
      </c>
      <c r="S1563" s="101" t="s">
        <v>1126</v>
      </c>
      <c r="T1563" s="102"/>
      <c r="U1563" s="102"/>
      <c r="V1563" s="102"/>
      <c r="W1563" s="102"/>
      <c r="X1563" s="103"/>
      <c r="Y1563" s="60">
        <v>1</v>
      </c>
      <c r="Z1563" s="60">
        <v>2</v>
      </c>
      <c r="AA1563" s="60">
        <v>3</v>
      </c>
      <c r="AB1563" s="60">
        <v>4</v>
      </c>
      <c r="AC1563" s="60">
        <v>5</v>
      </c>
      <c r="AD1563" s="104"/>
      <c r="AE1563" s="105"/>
      <c r="AF1563" s="106"/>
    </row>
    <row r="1564" spans="1:32" ht="12.75" customHeight="1">
      <c r="A1564" s="21" t="s">
        <v>1236</v>
      </c>
      <c r="H1564" s="136" t="str">
        <f ca="1">IF($Q1566&lt;&gt;"",IF(AND($B1566&lt;&gt;"Missing Player",$B1568&lt;&gt;"Missing Player"),IF(AND(AND($H1566&gt;-1,$H1568&gt;-1),OR($H1566&gt;10,$H1568&gt;10),ABS($H1566-$H1568)&gt;1,IF(OR($H1566&gt;11,$H1568&gt;11),ABS($H1566-$H1568)=2,TRUE),$H1566=INT($H1566),$H1568=INT($H1568)),"","Error"),""),"")</f>
        <v/>
      </c>
      <c r="I1564" s="136" t="str">
        <f ca="1">IF($Q1566&lt;&gt;"",IF(AND($B1566&lt;&gt;"Missing Player",$B1568&lt;&gt;"Missing Player"),IF(AND(AND($I1566&gt;-1,$I1568&gt;-1),OR($I1566&gt;10,$I1568&gt;10),ABS($I1566-$I1568)&gt;1,IF(OR($I1566&gt;11,$I1568&gt;11),ABS($I1566-$I1568)=2,TRUE),$I1566=INT($I1566),$I1568=INT($I1568)),"","Error"),""),"")</f>
        <v/>
      </c>
      <c r="J1564" s="136" t="str">
        <f ca="1">IF($Q1566&lt;&gt;"",IF(AND($B1566&lt;&gt;"Missing Player",$B1568&lt;&gt;"Missing Player"),IF(AND(AND($J1566&gt;-1,$J1568&gt;-1),OR($J1566&gt;10,$J1568&gt;10),ABS($J1566-$J1568)&gt;1,IF(OR($J1566&gt;11,$J1568&gt;11),ABS($J1566-$J1568)=2,TRUE),$J1566=INT($J1566),$J1568=INT($J1568)),"","Error"),""),"")</f>
        <v/>
      </c>
      <c r="K1564" s="136" t="str">
        <f ca="1">IF($Q1566&lt;&gt;"",IF(AND($K1566&lt;&gt;"",$K1568&lt;&gt;""), IF(AND(AND($K1566&gt;-1,$K1568&gt;-1),OR($K1566&gt;10,$K1568&gt;10),ABS($K1566-$K1568)&gt;1,IF(OR($K1566&gt;11,$K1568&gt;11),ABS($K1566-$K1568)=2,TRUE),$K1566=INT($K1566),$K1568=INT($K1568)),"","Error"),""),"")</f>
        <v/>
      </c>
      <c r="L1564" s="136" t="str">
        <f ca="1">IF($Q1566&lt;&gt;"",IF(AND($L1566&lt;&gt;"",$L1568&lt;&gt;""), IF(AND(AND($L1566&gt;-1,$L1568&gt;-1),OR($L1566&gt;10,$L1568&gt;10),ABS($L1566-$L1568)&gt;1,IF(OR($L1566&gt;11,$L1568&gt;11),ABS($L1566-$L1568)=2,TRUE),$L1566=INT($L1566),$L1568=INT($L1568)),"","Error"),""),"")</f>
        <v/>
      </c>
      <c r="Q1564" s="7"/>
      <c r="R1564" s="300" t="str">
        <f>$B1539</f>
        <v>B</v>
      </c>
      <c r="S1564" s="331" t="str">
        <f ca="1">IF($B1559&lt;&gt;"",$B1559,"")</f>
        <v/>
      </c>
      <c r="T1564" s="332"/>
      <c r="U1564" s="332"/>
      <c r="V1564" s="332"/>
      <c r="W1564" s="332"/>
      <c r="X1564" s="333"/>
      <c r="Y1564" s="329"/>
      <c r="Z1564" s="329"/>
      <c r="AA1564" s="329"/>
      <c r="AB1564" s="329"/>
      <c r="AC1564" s="329"/>
      <c r="AD1564" s="345"/>
      <c r="AE1564" s="358"/>
      <c r="AF1564" s="359"/>
    </row>
    <row r="1565" spans="1:32" ht="12.75" customHeight="1">
      <c r="A1565" s="5" t="s">
        <v>1228</v>
      </c>
      <c r="B1565" s="290" t="s">
        <v>1126</v>
      </c>
      <c r="C1565" s="291"/>
      <c r="D1565" s="291"/>
      <c r="E1565" s="291"/>
      <c r="F1565" s="291"/>
      <c r="G1565" s="292"/>
      <c r="H1565" s="5">
        <v>1</v>
      </c>
      <c r="I1565" s="5">
        <v>2</v>
      </c>
      <c r="J1565" s="5">
        <v>3</v>
      </c>
      <c r="K1565" s="5">
        <v>4</v>
      </c>
      <c r="L1565" s="5">
        <v>5</v>
      </c>
      <c r="M1565" s="271"/>
      <c r="N1565" s="272"/>
      <c r="O1565" s="272"/>
      <c r="P1565" s="273"/>
      <c r="Q1565" s="7"/>
      <c r="R1565" s="330"/>
      <c r="S1565" s="334"/>
      <c r="T1565" s="335"/>
      <c r="U1565" s="335"/>
      <c r="V1565" s="335"/>
      <c r="W1565" s="335"/>
      <c r="X1565" s="336"/>
      <c r="Y1565" s="330"/>
      <c r="Z1565" s="330"/>
      <c r="AA1565" s="330"/>
      <c r="AB1565" s="330"/>
      <c r="AC1565" s="330"/>
      <c r="AD1565" s="360"/>
      <c r="AE1565" s="361"/>
      <c r="AF1565" s="362"/>
    </row>
    <row r="1566" spans="1:32" ht="12.75" customHeight="1">
      <c r="A1566" s="300" t="str">
        <f>B1539</f>
        <v>B</v>
      </c>
      <c r="B1566" s="293" t="str">
        <f ca="1">IF(AND(OFFSET($AO$1,$C1539-1,8,1,1),$A1540&lt;&gt;"",$J1540&lt;&gt;""),CHOOSE($C1539,$AR$1,$AR$2,$AR$3,$AR$4,$AR$5,$AR$6,$AR$7,$AR$8,$AR$9,$AR$10,$AR$11,$AR$12),"")</f>
        <v/>
      </c>
      <c r="C1566" s="294"/>
      <c r="D1566" s="294"/>
      <c r="E1566" s="294"/>
      <c r="F1566" s="294"/>
      <c r="G1566" s="294"/>
      <c r="H1566" s="265"/>
      <c r="I1566" s="265"/>
      <c r="J1566" s="265"/>
      <c r="K1566" s="265"/>
      <c r="L1566" s="265" t="str">
        <f ca="1">IF(AND($B1566&lt;&gt;"",$Q1545&lt;&gt;""),IF($B1566="Missing Player",0,IF($B1568="Missing Player",11,"")),"")</f>
        <v/>
      </c>
      <c r="M1566" s="262" t="str">
        <f ca="1">IF(OR(AND($B1559&lt;&gt;"",$B1566&lt;&gt;"",$E1570&lt;=$D1570),AND($B1561&lt;&gt;"",$B1568&lt;&gt;"",$I1570&lt;=$H1570)),"Invalid Lineup","")</f>
        <v/>
      </c>
      <c r="N1566" s="263"/>
      <c r="O1566" s="263"/>
      <c r="P1566" s="264"/>
      <c r="Q1566" s="137" t="str">
        <f ca="1">IF($L1566=$L1568,IF($K1566=$K1568,IF($J1566&lt;&gt;"",IF($J1566&gt;$J1568,"W","L"),""),IF($K1566&gt;$K1568,"W","L")),IF($L1566&gt;$L1568,"W","L"))</f>
        <v/>
      </c>
      <c r="R1566" s="300" t="str">
        <f>$K1539</f>
        <v>I</v>
      </c>
      <c r="S1566" s="331" t="str">
        <f ca="1">IF($B1561&lt;&gt;"",$B1561,"")</f>
        <v/>
      </c>
      <c r="T1566" s="332"/>
      <c r="U1566" s="332"/>
      <c r="V1566" s="332"/>
      <c r="W1566" s="332"/>
      <c r="X1566" s="333"/>
      <c r="Y1566" s="329"/>
      <c r="Z1566" s="329"/>
      <c r="AA1566" s="329"/>
      <c r="AB1566" s="329"/>
      <c r="AC1566" s="351"/>
      <c r="AD1566" s="363" t="s">
        <v>1237</v>
      </c>
      <c r="AE1566" s="358"/>
      <c r="AF1566" s="359"/>
    </row>
    <row r="1567" spans="1:32" ht="12.75" customHeight="1">
      <c r="A1567" s="301"/>
      <c r="B1567" s="295"/>
      <c r="C1567" s="296"/>
      <c r="D1567" s="296"/>
      <c r="E1567" s="296"/>
      <c r="F1567" s="296"/>
      <c r="G1567" s="296"/>
      <c r="H1567" s="270"/>
      <c r="I1567" s="270"/>
      <c r="J1567" s="270"/>
      <c r="K1567" s="270"/>
      <c r="L1567" s="270"/>
      <c r="M1567" s="262"/>
      <c r="N1567" s="263"/>
      <c r="O1567" s="263"/>
      <c r="P1567" s="264"/>
      <c r="Q1567" s="139" t="str">
        <f ca="1">IF($Q1566&lt;&gt;"",IF($B1568&lt;&gt;"Missing Player",IF($Q1566="W",IF(SUM(IF($H1566&gt;$H1568,1,0),IF($I1566&gt;$I1568,1,0),IF($J1566&gt;$J1568,1,0),IF($K1566&gt;$K1568,1,0),IF($L1566&gt;$L1568,1,0))&lt;&gt;3,"Error",""),""),""),"")</f>
        <v/>
      </c>
      <c r="R1567" s="330"/>
      <c r="S1567" s="334"/>
      <c r="T1567" s="335"/>
      <c r="U1567" s="335"/>
      <c r="V1567" s="335"/>
      <c r="W1567" s="335"/>
      <c r="X1567" s="336"/>
      <c r="Y1567" s="330"/>
      <c r="Z1567" s="330"/>
      <c r="AA1567" s="330"/>
      <c r="AB1567" s="330"/>
      <c r="AC1567" s="330"/>
      <c r="AD1567" s="360"/>
      <c r="AE1567" s="361"/>
      <c r="AF1567" s="362"/>
    </row>
    <row r="1568" spans="1:32" ht="12.75" customHeight="1">
      <c r="A1568" s="300" t="str">
        <f>K1539</f>
        <v>I</v>
      </c>
      <c r="B1568" s="293" t="str">
        <f ca="1">IF(AND(OFFSET($AO$1,$L1539-1,8,1,1),$A1540&lt;&gt;"",$J1540&lt;&gt;""),CHOOSE($L1539,$AR$1,$AR$2,$AR$3,$AR$4,$AR$5,$AR$6,$AR$7,$AR$8,$AR$9,$AR$10,$AR$11,$AR$12),"")</f>
        <v/>
      </c>
      <c r="C1568" s="294"/>
      <c r="D1568" s="294"/>
      <c r="E1568" s="294"/>
      <c r="F1568" s="294"/>
      <c r="G1568" s="294"/>
      <c r="H1568" s="265"/>
      <c r="I1568" s="265"/>
      <c r="J1568" s="265"/>
      <c r="K1568" s="265"/>
      <c r="L1568" s="265" t="str">
        <f ca="1">IF(AND($B1568&lt;&gt;"",$Q1545&lt;&gt;""),IF($B1568="Missing Player",0,IF($B1566="Missing Player",11,"")),"")</f>
        <v/>
      </c>
      <c r="M1568" s="267" t="s">
        <v>1237</v>
      </c>
      <c r="N1568" s="268"/>
      <c r="O1568" s="268"/>
      <c r="P1568" s="269"/>
      <c r="Q1568" s="137" t="str">
        <f ca="1">IF($Q1566&lt;&gt;"",IF($Q1566="W","L","W"),"")</f>
        <v/>
      </c>
      <c r="R1568" s="112"/>
      <c r="S1568" s="98"/>
      <c r="T1568" s="108"/>
      <c r="U1568" s="108"/>
      <c r="V1568" s="108"/>
      <c r="W1568" s="108"/>
      <c r="X1568" s="108"/>
      <c r="Y1568" s="113"/>
      <c r="Z1568" s="113"/>
      <c r="AA1568" s="113"/>
      <c r="AB1568" s="113"/>
      <c r="AC1568" s="113"/>
      <c r="AD1568" s="107"/>
      <c r="AE1568" s="109"/>
      <c r="AF1568" s="109"/>
    </row>
    <row r="1569" spans="1:32" ht="12.75" customHeight="1">
      <c r="A1569" s="301"/>
      <c r="B1569" s="295"/>
      <c r="C1569" s="296"/>
      <c r="D1569" s="296"/>
      <c r="E1569" s="296"/>
      <c r="F1569" s="296"/>
      <c r="G1569" s="296"/>
      <c r="H1569" s="270"/>
      <c r="I1569" s="270"/>
      <c r="J1569" s="266"/>
      <c r="K1569" s="266"/>
      <c r="L1569" s="266"/>
      <c r="M1569" s="267"/>
      <c r="N1569" s="268"/>
      <c r="O1569" s="268"/>
      <c r="P1569" s="269"/>
      <c r="Q1569" s="139" t="str">
        <f ca="1">IF($Q1568&lt;&gt;"",IF($B1566&lt;&gt;"Missing Player",IF($Q1568="W",IF(SUM(IF($H1568&gt;$H1566,1,0),IF($I1568&gt;$I1566,1,0),IF($J1568&gt;$J1566,1,0),IF($K1568&gt;$K1566,1,0),IF($L1568&gt;$L1566,1,0))&lt;&gt;3,"Error",""),""),""),"")</f>
        <v/>
      </c>
      <c r="R1569" s="114"/>
      <c r="S1569" s="115"/>
      <c r="T1569" s="115"/>
      <c r="U1569" s="115"/>
      <c r="V1569" s="115"/>
      <c r="W1569" s="115"/>
      <c r="X1569" s="115"/>
      <c r="Y1569" s="114"/>
      <c r="Z1569" s="114"/>
      <c r="AA1569" s="114"/>
      <c r="AB1569" s="114"/>
      <c r="AC1569" s="114"/>
      <c r="AD1569" s="114"/>
      <c r="AE1569" s="114"/>
      <c r="AF1569" s="114"/>
    </row>
    <row r="1570" spans="1:32" ht="12.75" customHeight="1">
      <c r="B1570" s="140" t="str">
        <f ca="1">IF(ISERROR(VLOOKUP($B1545&amp;"("&amp;$B1539&amp;")",Players!$S$4:$T$132,2,FALSE)),"",VLOOKUP($B1545&amp;"("&amp;$B1539&amp;")",Players!$S$4:$T$132,2,FALSE))</f>
        <v>B1</v>
      </c>
      <c r="C1570" s="140" t="str">
        <f ca="1">IF(ISERROR(VLOOKUP($B1552&amp;"("&amp;$B1539&amp;")",Players!$S$4:$T$132,2,FALSE)),"",VLOOKUP($B1552&amp;"("&amp;$B1539&amp;")",Players!$S$4:$T$132,2,FALSE))</f>
        <v>B1</v>
      </c>
      <c r="D1570" s="141" t="str">
        <f ca="1">IF(ISERROR(VLOOKUP($B1559&amp;"("&amp;$B1539&amp;")",Players!$S$4:$T$132,2,FALSE)),"",VLOOKUP($B1559&amp;"("&amp;$B1539&amp;")",Players!$S$4:$T$132,2,FALSE))</f>
        <v>B1</v>
      </c>
      <c r="E1570" s="141" t="str">
        <f ca="1">IF(ISERROR(VLOOKUP($B1566&amp;"("&amp;$B1539&amp;")",Players!$S$4:$T$132,2,FALSE)),"",VLOOKUP($B1566&amp;"("&amp;$B1539&amp;")",Players!$S$4:$T$132,2,FALSE))</f>
        <v>B1</v>
      </c>
      <c r="F1570" s="141" t="str">
        <f ca="1">IF(ISERROR(VLOOKUP($B1547&amp;"("&amp;$K1539&amp;")",Players!$S$4:$T$132,2,FALSE)),"",VLOOKUP($B1547&amp;"("&amp;$K1539&amp;")",Players!$S$4:$T$132,2,FALSE))</f>
        <v>I1</v>
      </c>
      <c r="G1570" s="141" t="str">
        <f ca="1">IF(ISERROR(VLOOKUP($B1554&amp;"("&amp;$K1539&amp;")",Players!$S$4:$T$132,2,FALSE)),"",VLOOKUP($B1554&amp;"("&amp;$K1539&amp;")",Players!$S$4:$T$132,2,FALSE))</f>
        <v>I1</v>
      </c>
      <c r="H1570" s="141" t="str">
        <f ca="1">IF(ISERROR(VLOOKUP($B1561&amp;"("&amp;$K1539&amp;")",Players!$S$4:$T$132,2,FALSE)),"",VLOOKUP($B1561&amp;"("&amp;$K1539&amp;")",Players!$S$4:$T$132,2,FALSE))</f>
        <v>I1</v>
      </c>
      <c r="I1570" s="141" t="str">
        <f ca="1">IF(ISERROR(VLOOKUP($B1568&amp;"("&amp;$K1539&amp;")",Players!$S$4:$T$132,2,FALSE)),"",VLOOKUP($B1568&amp;"("&amp;$K1539&amp;")",Players!$S$4:$T$132,2,FALSE))</f>
        <v>I1</v>
      </c>
      <c r="Q1570" s="7"/>
      <c r="R1570" s="50"/>
      <c r="S1570" s="116"/>
      <c r="T1570" s="115"/>
      <c r="U1570" s="115"/>
      <c r="V1570" s="115"/>
      <c r="W1570" s="115"/>
      <c r="X1570" s="115"/>
      <c r="Y1570" s="99"/>
      <c r="Z1570" s="99"/>
      <c r="AA1570" s="99"/>
      <c r="AB1570" s="99"/>
      <c r="AC1570" s="117"/>
      <c r="AD1570" s="118"/>
      <c r="AE1570" s="114"/>
      <c r="AF1570" s="114"/>
    </row>
    <row r="1571" spans="1:32" ht="12.75" customHeight="1">
      <c r="A1571" s="21" t="s">
        <v>1225</v>
      </c>
      <c r="H1571" s="136" t="str">
        <f ca="1">IF($Q1573&lt;&gt;"",IF(AND($B1574&lt;&gt;"Missing Player",$B1576&lt;&gt;"Missing Player"),IF(AND(AND($H1573&gt;-1,$H1575&gt;-1),OR($H1573&gt;10,$H1575&gt;10),ABS($H1573-$H1575)&gt;1,IF(OR($H1573&gt;11,$H1575&gt;11),ABS($H1573-$H1575)=2,TRUE),$H1573=INT($H1573),$H1575=INT($H1575)),"","Error"),""),"")</f>
        <v/>
      </c>
      <c r="I1571" s="136" t="str">
        <f ca="1">IF($Q1573&lt;&gt;"",IF(AND($B1574&lt;&gt;"Missing Player",$B1576&lt;&gt;"Missing Player"),IF(AND(AND($I1573&gt;-1,$I1575&gt;-1),OR($I1573&gt;10,$I1575&gt;10),ABS($I1573-$I1575)&gt;1,IF(OR($I1573&gt;11,$I1575&gt;11),ABS($I1573-$I1575)=2,TRUE),$I1573=INT($I1573),$I1575=INT($I1575)),"","Error"),""),"")</f>
        <v/>
      </c>
      <c r="J1571" s="136" t="str">
        <f ca="1">IF($Q1573&lt;&gt;"",IF(AND($B1574&lt;&gt;"Missing Player",$B1576&lt;&gt;"Missing Player"),IF(AND(AND($J1573&gt;-1,$J1575&gt;-1),OR($J1573&gt;10,$J1575&gt;10),ABS($J1573-$J1575)&gt;1,IF(OR($J1573&gt;11,$J1575&gt;11),ABS($J1573-$J1575)=2,TRUE),$J1573=INT($J1573),$J1575=INT($J1575)),"","Error"),""),"")</f>
        <v/>
      </c>
      <c r="K1571" s="136" t="str">
        <f ca="1">IF($Q1573&lt;&gt;"",IF(AND($K1573&lt;&gt;"",$K1575&lt;&gt;""), IF(AND(AND($K1573&gt;-1,$K1575&gt;-1),OR($K1573&gt;10,$K1575&gt;10),ABS($K1573-$K1575)&gt;1,IF(OR($K1573&gt;11,$K1575&gt;11),ABS($K1573-$K1575)=2,TRUE),$K1573=INT($K1573),$K1575=INT($K1575)),"","Error"),""),"")</f>
        <v/>
      </c>
      <c r="L1571" s="136" t="str">
        <f ca="1">IF($Q1573&lt;&gt;"",IF(AND($L1573&lt;&gt;"",$L1575&lt;&gt;""), IF(AND(AND($L1573&gt;-1,$L1575&gt;-1),OR($L1573&gt;10,$L1575&gt;10),ABS($L1573-$L1575)&gt;1,IF(OR($L1573&gt;11,$L1575&gt;11),ABS($L1573-$L1575)=2,TRUE),$L1573=INT($L1573),$L1575=INT($L1575)),"","Error"),""),"")</f>
        <v/>
      </c>
      <c r="Q1571" s="7"/>
      <c r="R1571" s="114"/>
      <c r="S1571" s="115"/>
      <c r="T1571" s="115"/>
      <c r="U1571" s="115"/>
      <c r="V1571" s="115"/>
      <c r="W1571" s="115"/>
      <c r="X1571" s="115"/>
      <c r="Y1571" s="114"/>
      <c r="Z1571" s="114"/>
      <c r="AA1571" s="114"/>
      <c r="AB1571" s="114"/>
      <c r="AC1571" s="114"/>
      <c r="AD1571" s="114"/>
      <c r="AE1571" s="114"/>
      <c r="AF1571" s="114"/>
    </row>
    <row r="1572" spans="1:32" ht="12.75" customHeight="1">
      <c r="A1572" s="5" t="s">
        <v>1228</v>
      </c>
      <c r="B1572" s="290" t="s">
        <v>1126</v>
      </c>
      <c r="C1572" s="291"/>
      <c r="D1572" s="291"/>
      <c r="E1572" s="291"/>
      <c r="F1572" s="291"/>
      <c r="G1572" s="292"/>
      <c r="H1572" s="5">
        <v>1</v>
      </c>
      <c r="I1572" s="5">
        <v>2</v>
      </c>
      <c r="J1572" s="5">
        <v>3</v>
      </c>
      <c r="K1572" s="5">
        <v>4</v>
      </c>
      <c r="L1572" s="5">
        <v>5</v>
      </c>
      <c r="M1572" s="271"/>
      <c r="N1572" s="272"/>
      <c r="O1572" s="272"/>
      <c r="P1572" s="273"/>
      <c r="Q1572" s="8"/>
      <c r="S1572" s="24"/>
      <c r="T1572" s="26"/>
    </row>
    <row r="1573" spans="1:32" ht="12.75" customHeight="1">
      <c r="A1573" s="300" t="str">
        <f>B1539</f>
        <v>B</v>
      </c>
      <c r="B1573" s="311" t="str">
        <f ca="1">IF($B1545&lt;&gt;"",$B1545,"")</f>
        <v/>
      </c>
      <c r="C1573" s="312"/>
      <c r="D1573" s="312"/>
      <c r="E1573" s="312"/>
      <c r="F1573" s="312"/>
      <c r="G1573" s="313"/>
      <c r="H1573" s="265"/>
      <c r="I1573" s="265"/>
      <c r="J1573" s="265"/>
      <c r="K1573" s="265"/>
      <c r="L1573" s="265" t="str">
        <f ca="1">IF($B1566&lt;&gt;"",IF(AND($B1566="Missing Player",$G1577=2,$J1577=2),0,IF(AND($B1568="Missing Player",$G1577=2,$J1577=2),11,"")),"")</f>
        <v/>
      </c>
      <c r="M1573" s="262" t="str">
        <f ca="1">IF(OR(AND($B1573&lt;&gt;"",$B1574&lt;&gt;"",$B1573=$B1574),AND($B1575&lt;&gt;"",$B1576&lt;&gt;"",$B1575=$B1576)),"Invalid Partner","")</f>
        <v/>
      </c>
      <c r="N1573" s="263"/>
      <c r="O1573" s="263"/>
      <c r="P1573" s="264"/>
      <c r="Q1573" s="138" t="str">
        <f ca="1">IF(L1573=L1575,IF(K1573=K1575,IF(J1573&lt;&gt;"",IF(J1573&gt;J1575,"W","L"),""),IF(K1573&gt;K1575,"W","L")),IF(L1573&gt;L1575,"W","L"))</f>
        <v/>
      </c>
      <c r="S1573" s="24"/>
      <c r="T1573" s="26"/>
    </row>
    <row r="1574" spans="1:32" ht="12.75" customHeight="1">
      <c r="A1574" s="324"/>
      <c r="B1574" s="308" t="str">
        <f ca="1">IF($B1566="Missing Player",$B1566,"")</f>
        <v/>
      </c>
      <c r="C1574" s="309"/>
      <c r="D1574" s="309"/>
      <c r="E1574" s="309"/>
      <c r="F1574" s="309"/>
      <c r="G1574" s="310"/>
      <c r="H1574" s="270"/>
      <c r="I1574" s="270"/>
      <c r="J1574" s="270"/>
      <c r="K1574" s="270"/>
      <c r="L1574" s="270"/>
      <c r="M1574" s="262"/>
      <c r="N1574" s="263"/>
      <c r="O1574" s="263"/>
      <c r="P1574" s="264"/>
      <c r="Q1574" s="139" t="str">
        <f ca="1">IF($Q1573&lt;&gt;"",IF($B1576&lt;&gt;"Missing Player",IF($Q1573="W",IF(SUM(IF($H1573&gt;$H1575,1,0),IF($I1573&gt;$I1575,1,0),IF($J1573&gt;$J1575,1,0),IF($K1573&gt;$K1575,1,0),IF($L1573&gt;$L1575,1,0))&lt;&gt;3,"Error",""),""),""),"")</f>
        <v/>
      </c>
      <c r="R1574" s="328" t="str">
        <f>$A1540</f>
        <v/>
      </c>
      <c r="S1574" s="328"/>
      <c r="T1574" s="328"/>
      <c r="U1574" s="328"/>
      <c r="V1574" s="328"/>
      <c r="W1574" s="328"/>
      <c r="X1574" s="256" t="str">
        <f>CONCATENATE("(",$B1539," vs ",$K1539,")")</f>
        <v>(B vs I)</v>
      </c>
      <c r="Y1574" s="256"/>
      <c r="Z1574" s="328" t="str">
        <f>$J1540</f>
        <v/>
      </c>
      <c r="AA1574" s="328"/>
      <c r="AB1574" s="328"/>
      <c r="AC1574" s="328"/>
      <c r="AD1574" s="328"/>
      <c r="AE1574" s="328"/>
      <c r="AF1574" s="43"/>
    </row>
    <row r="1575" spans="1:32" ht="12.75" customHeight="1">
      <c r="A1575" s="325" t="str">
        <f>K1539</f>
        <v>I</v>
      </c>
      <c r="B1575" s="311" t="str">
        <f ca="1">IF($B1547&lt;&gt;"",$B1547,"")</f>
        <v/>
      </c>
      <c r="C1575" s="312"/>
      <c r="D1575" s="312"/>
      <c r="E1575" s="312"/>
      <c r="F1575" s="312"/>
      <c r="G1575" s="313"/>
      <c r="H1575" s="265"/>
      <c r="I1575" s="265"/>
      <c r="J1575" s="265"/>
      <c r="K1575" s="265"/>
      <c r="L1575" s="265" t="str">
        <f ca="1">IF($B1568&lt;&gt;"",IF(AND($B1568="Missing Player",$G1577=2,$J1577=2),0,IF(AND($B1566="Missing Player",$G1577=2,$J1577=2),11,"")),"")</f>
        <v/>
      </c>
      <c r="M1575" s="267" t="s">
        <v>1237</v>
      </c>
      <c r="N1575" s="268"/>
      <c r="O1575" s="268"/>
      <c r="P1575" s="269"/>
      <c r="Q1575" s="138" t="str">
        <f ca="1">IF(Q1573&lt;&gt;"",IF(Q1573="W","L","W"),"")</f>
        <v/>
      </c>
      <c r="R1575" s="43"/>
      <c r="S1575" s="43"/>
      <c r="T1575" s="43"/>
      <c r="U1575" s="43"/>
      <c r="V1575" s="43"/>
      <c r="W1575" s="43"/>
      <c r="X1575" s="43"/>
      <c r="Y1575" s="43"/>
      <c r="Z1575" s="43"/>
      <c r="AA1575" s="43"/>
      <c r="AB1575" s="43"/>
      <c r="AC1575" s="43"/>
      <c r="AD1575" s="43"/>
      <c r="AE1575" s="43"/>
      <c r="AF1575" s="43"/>
    </row>
    <row r="1576" spans="1:32" ht="12.75" customHeight="1">
      <c r="A1576" s="324"/>
      <c r="B1576" s="308" t="str">
        <f ca="1">IF($B1568="Missing Player",$B1568,"")</f>
        <v/>
      </c>
      <c r="C1576" s="309"/>
      <c r="D1576" s="309"/>
      <c r="E1576" s="309"/>
      <c r="F1576" s="309"/>
      <c r="G1576" s="310"/>
      <c r="H1576" s="270"/>
      <c r="I1576" s="270"/>
      <c r="J1576" s="266"/>
      <c r="K1576" s="266"/>
      <c r="L1576" s="266"/>
      <c r="M1576" s="267"/>
      <c r="N1576" s="268"/>
      <c r="O1576" s="268"/>
      <c r="P1576" s="269"/>
      <c r="Q1576" s="139" t="str">
        <f ca="1">IF($Q1575&lt;&gt;"",IF($B1574&lt;&gt;"Missing Player",IF($Q1575="W",IF(SUM(IF($H1575&gt;$H1573,1,0),IF($I1575&gt;$I1573,1,0),IF($J1575&gt;$J1573,1,0),IF($K1575&gt;$K1573,1,0),IF($L1575&gt;$L1573,1,0))&lt;&gt;3,"Error",""),""),""),"")</f>
        <v/>
      </c>
      <c r="R1576" s="43" t="str">
        <f>A1564</f>
        <v>4th Singles</v>
      </c>
      <c r="S1576" s="43"/>
      <c r="T1576" s="43"/>
      <c r="U1576" s="43"/>
      <c r="V1576" s="43"/>
      <c r="W1576" s="43"/>
      <c r="X1576" s="43"/>
      <c r="Y1576" s="43"/>
      <c r="Z1576" s="43"/>
      <c r="AA1576" s="43"/>
      <c r="AB1576" s="43"/>
      <c r="AC1576" s="43"/>
      <c r="AD1576" s="43"/>
      <c r="AE1576" s="43"/>
      <c r="AF1576" s="43"/>
    </row>
    <row r="1577" spans="1:32" ht="12.75" customHeight="1">
      <c r="G1577" s="66">
        <f ca="1">COUNTIF($Q1545:$Q1545,"W")+COUNTIF($Q1552:$Q1552,"W")+COUNTIF($Q1559:$Q1559,"W")+COUNTIF($Q1566:$Q1566,"W")</f>
        <v>0</v>
      </c>
      <c r="J1577" s="66">
        <f ca="1">COUNTIF($Q1547:$Q1547,"W")+COUNTIF($Q1554:$Q1554,"W")+COUNTIF($Q1561:$Q1561,"W")+COUNTIF($Q1568:$Q1568,"W")</f>
        <v>0</v>
      </c>
      <c r="R1577" s="60" t="s">
        <v>1228</v>
      </c>
      <c r="S1577" s="339" t="s">
        <v>1126</v>
      </c>
      <c r="T1577" s="340"/>
      <c r="U1577" s="340"/>
      <c r="V1577" s="340"/>
      <c r="W1577" s="340"/>
      <c r="X1577" s="341"/>
      <c r="Y1577" s="60">
        <v>1</v>
      </c>
      <c r="Z1577" s="60">
        <v>2</v>
      </c>
      <c r="AA1577" s="60">
        <v>3</v>
      </c>
      <c r="AB1577" s="60">
        <v>4</v>
      </c>
      <c r="AC1577" s="60">
        <v>5</v>
      </c>
      <c r="AD1577" s="342"/>
      <c r="AE1577" s="343"/>
      <c r="AF1577" s="344"/>
    </row>
    <row r="1578" spans="1:32" ht="12.75" customHeight="1" thickBot="1">
      <c r="F1578" s="246" t="s">
        <v>1238</v>
      </c>
      <c r="G1578" s="246"/>
      <c r="H1578" s="246"/>
      <c r="I1578" s="246"/>
      <c r="J1578" s="246"/>
      <c r="K1578" s="246"/>
      <c r="R1578" s="300" t="str">
        <f>B1539</f>
        <v>B</v>
      </c>
      <c r="S1578" s="331" t="str">
        <f ca="1">IF($B1566&lt;&gt;"",$B1566,"")</f>
        <v/>
      </c>
      <c r="T1578" s="353"/>
      <c r="U1578" s="353"/>
      <c r="V1578" s="353"/>
      <c r="W1578" s="353"/>
      <c r="X1578" s="354"/>
      <c r="Y1578" s="329"/>
      <c r="Z1578" s="329"/>
      <c r="AA1578" s="351"/>
      <c r="AB1578" s="351"/>
      <c r="AC1578" s="351"/>
      <c r="AD1578" s="345"/>
      <c r="AE1578" s="346"/>
      <c r="AF1578" s="347"/>
    </row>
    <row r="1579" spans="1:32" ht="12.75" customHeight="1">
      <c r="A1579" s="22"/>
      <c r="B1579" s="22"/>
      <c r="C1579" s="22"/>
      <c r="D1579" s="22"/>
      <c r="E1579" s="22"/>
      <c r="G1579" s="304" t="str">
        <f>B1539</f>
        <v>B</v>
      </c>
      <c r="H1579" s="305"/>
      <c r="I1579" s="302" t="str">
        <f>K1539</f>
        <v>I</v>
      </c>
      <c r="J1579" s="303"/>
      <c r="L1579" s="22"/>
      <c r="M1579" s="22"/>
      <c r="N1579" s="22"/>
      <c r="O1579" s="22"/>
      <c r="P1579" s="22"/>
      <c r="R1579" s="301"/>
      <c r="S1579" s="355"/>
      <c r="T1579" s="356"/>
      <c r="U1579" s="356"/>
      <c r="V1579" s="356"/>
      <c r="W1579" s="356"/>
      <c r="X1579" s="357"/>
      <c r="Y1579" s="338"/>
      <c r="Z1579" s="338"/>
      <c r="AA1579" s="352"/>
      <c r="AB1579" s="352"/>
      <c r="AC1579" s="352"/>
      <c r="AD1579" s="348"/>
      <c r="AE1579" s="349"/>
      <c r="AF1579" s="350"/>
    </row>
    <row r="1580" spans="1:32" ht="12.75" customHeight="1" thickBot="1">
      <c r="A1580" s="2" t="s">
        <v>1228</v>
      </c>
      <c r="B1580" s="53" t="str">
        <f>B1539</f>
        <v>B</v>
      </c>
      <c r="C1580" s="3" t="s">
        <v>1226</v>
      </c>
      <c r="F1580" s="66" t="str">
        <f>CONCATENATE($B1539,"-",$K1539)</f>
        <v>B-I</v>
      </c>
      <c r="G1580" s="320" t="str">
        <f ca="1">IF(OR(Q1545&lt;&gt;"",Q1552&lt;&gt;"",Q1559&lt;&gt;"",Q1566&lt;&gt;"",Q1573&lt;&gt;""),COUNTIF(Q1545:Q1545,"W")+COUNTIF(Q1552:Q1552,"W")+COUNTIF(Q1559:Q1559,"W")+COUNTIF(Q1566:Q1566,"W")+COUNTIF(Q1573:Q1573,"W"),"")</f>
        <v/>
      </c>
      <c r="H1580" s="321"/>
      <c r="I1580" s="322" t="str">
        <f ca="1">IF(OR(Q1547&lt;&gt;"",Q1554&lt;&gt;"",Q1561&lt;&gt;"",Q1568&lt;&gt;"",Q1575&lt;&gt;""),COUNTIF(Q1547:Q1547,"W")+COUNTIF(Q1554:Q1554,"W")+COUNTIF(Q1561:Q1561,"W")+COUNTIF(Q1568:Q1568,"W")+COUNTIF(Q1575:Q1575,"W"),"")</f>
        <v/>
      </c>
      <c r="J1580" s="323"/>
      <c r="L1580" s="2" t="s">
        <v>1228</v>
      </c>
      <c r="M1580" s="53" t="str">
        <f>K1539</f>
        <v>I</v>
      </c>
      <c r="N1580" s="3" t="s">
        <v>1226</v>
      </c>
      <c r="R1580" s="300" t="str">
        <f>K1539</f>
        <v>I</v>
      </c>
      <c r="S1580" s="331" t="str">
        <f ca="1">IF($B1568&lt;&gt;"",$B1568,"")</f>
        <v/>
      </c>
      <c r="T1580" s="332"/>
      <c r="U1580" s="332"/>
      <c r="V1580" s="332"/>
      <c r="W1580" s="332"/>
      <c r="X1580" s="333"/>
      <c r="Y1580" s="329"/>
      <c r="Z1580" s="329"/>
      <c r="AA1580" s="351"/>
      <c r="AB1580" s="351"/>
      <c r="AC1580" s="351"/>
      <c r="AD1580" s="363" t="s">
        <v>1237</v>
      </c>
      <c r="AE1580" s="358"/>
      <c r="AF1580" s="359"/>
    </row>
    <row r="1581" spans="1:32" ht="12.75" customHeight="1">
      <c r="F1581" s="25" t="s">
        <v>3996</v>
      </c>
      <c r="G1581" s="23"/>
      <c r="H1581" s="23"/>
      <c r="I1581" s="23"/>
      <c r="J1581" s="23"/>
      <c r="K1581" s="24"/>
      <c r="R1581" s="330"/>
      <c r="S1581" s="334"/>
      <c r="T1581" s="335"/>
      <c r="U1581" s="335"/>
      <c r="V1581" s="335"/>
      <c r="W1581" s="335"/>
      <c r="X1581" s="336"/>
      <c r="Y1581" s="330"/>
      <c r="Z1581" s="330"/>
      <c r="AA1581" s="330"/>
      <c r="AB1581" s="330"/>
      <c r="AC1581" s="330"/>
      <c r="AD1581" s="360"/>
      <c r="AE1581" s="361"/>
      <c r="AF1581" s="362"/>
    </row>
    <row r="1582" spans="1:32" ht="12.75" customHeight="1">
      <c r="R1582" s="1"/>
      <c r="S1582" s="110"/>
      <c r="T1582" s="110"/>
      <c r="U1582" s="110"/>
      <c r="V1582" s="110"/>
      <c r="W1582" s="110"/>
      <c r="X1582" s="111"/>
      <c r="Y1582" s="111"/>
      <c r="Z1582" s="111"/>
      <c r="AA1582" s="111"/>
    </row>
    <row r="1583" spans="1:32" ht="12.75" customHeight="1">
      <c r="F1583" s="246" t="s">
        <v>4929</v>
      </c>
      <c r="G1583" s="246"/>
      <c r="H1583" s="246"/>
      <c r="I1583" s="246"/>
      <c r="R1583" s="1"/>
      <c r="S1583" s="110"/>
      <c r="T1583" s="110"/>
      <c r="U1583" s="110"/>
      <c r="V1583" s="110"/>
      <c r="W1583" s="110"/>
      <c r="X1583" s="111"/>
      <c r="Y1583" s="111"/>
      <c r="Z1583" s="111"/>
      <c r="AA1583" s="111"/>
    </row>
    <row r="1584" spans="1:32" ht="12.75" customHeight="1">
      <c r="F1584" s="246" t="s">
        <v>4930</v>
      </c>
      <c r="G1584" s="246"/>
      <c r="H1584" s="246"/>
      <c r="I1584" s="246"/>
      <c r="R1584" s="1"/>
      <c r="S1584" s="110"/>
      <c r="T1584" s="110"/>
      <c r="U1584" s="110"/>
      <c r="V1584" s="110"/>
      <c r="W1584" s="110"/>
      <c r="X1584" s="111"/>
      <c r="Y1584" s="111"/>
      <c r="Z1584" s="111"/>
      <c r="AA1584" s="111"/>
    </row>
    <row r="1585" spans="1:32" ht="12.75" customHeight="1">
      <c r="K1585" s="281" t="s">
        <v>1244</v>
      </c>
      <c r="L1585" s="281"/>
      <c r="M1585" s="281"/>
      <c r="N1585" s="281"/>
      <c r="O1585" s="281"/>
      <c r="P1585" s="281"/>
      <c r="R1585" s="1"/>
      <c r="S1585" s="110"/>
      <c r="T1585" s="110"/>
      <c r="U1585" s="110"/>
      <c r="V1585" s="110"/>
      <c r="W1585" s="110"/>
      <c r="X1585" s="111"/>
      <c r="Y1585" s="111"/>
      <c r="Z1585" s="111"/>
      <c r="AA1585" s="111"/>
    </row>
    <row r="1586" spans="1:32" ht="12.75" customHeight="1">
      <c r="A1586" s="12" t="s">
        <v>1229</v>
      </c>
      <c r="B1586" s="11"/>
      <c r="C1586" s="11"/>
      <c r="D1586" s="11" t="str">
        <f>Draw!$B$1</f>
        <v>Enter Division Name</v>
      </c>
      <c r="E1586" s="11"/>
      <c r="F1586" s="7"/>
      <c r="G1586" s="6"/>
      <c r="H1586" s="7"/>
      <c r="I1586" s="11"/>
      <c r="J1586" s="11"/>
      <c r="K1586" s="11"/>
      <c r="L1586" s="11"/>
      <c r="M1586" s="281"/>
      <c r="N1586" s="281"/>
      <c r="O1586" s="281"/>
      <c r="P1586" s="281"/>
      <c r="R1586" s="1"/>
      <c r="S1586" s="110"/>
      <c r="T1586" s="110"/>
      <c r="U1586" s="110"/>
      <c r="V1586" s="110"/>
      <c r="W1586" s="110"/>
      <c r="X1586" s="111"/>
      <c r="Y1586" s="111"/>
      <c r="Z1586" s="111"/>
      <c r="AA1586" s="111"/>
    </row>
    <row r="1587" spans="1:32" ht="12.75" customHeight="1">
      <c r="A1587" s="2" t="s">
        <v>1230</v>
      </c>
      <c r="D1587" s="43" t="str">
        <f>Draw!$D$1</f>
        <v>Enter Hosting Location (City, ST)</v>
      </c>
      <c r="J1587" s="43" t="str">
        <f ca="1">$J$6</f>
        <v>[NCTTA Teams Template (v2.06).xlsx]</v>
      </c>
      <c r="R1587" s="1"/>
      <c r="S1587" s="110"/>
      <c r="T1587" s="110"/>
      <c r="U1587" s="110"/>
      <c r="V1587" s="110"/>
      <c r="W1587" s="110"/>
      <c r="X1587" s="111"/>
      <c r="Y1587" s="111"/>
      <c r="Z1587" s="111"/>
      <c r="AA1587" s="111"/>
    </row>
    <row r="1588" spans="1:32" ht="12.75" customHeight="1">
      <c r="A1588" s="2" t="s">
        <v>1231</v>
      </c>
      <c r="D1588" s="337" t="str">
        <f>Draw!$P$1</f>
        <v>Enter Date</v>
      </c>
      <c r="E1588" s="337"/>
      <c r="F1588" s="337"/>
      <c r="G1588" s="337"/>
      <c r="J1588" s="280" t="str">
        <f>CHOOSE(Draw!$T$1,"Round 6, Match 2","","","","","","","","Round 8, Match 4","Round 7, Match 2","Round 7, Match 2")</f>
        <v/>
      </c>
      <c r="K1588" s="280"/>
      <c r="L1588" s="280"/>
      <c r="M1588" s="276" t="str">
        <f>IF(AND($J1588&lt;&gt;"",Draw!$AC$10&lt;&gt;"",Draw!$AC$13&lt;&gt;""),Draw!$AC$10+TIME(0,VALUE(MID($J1588,7,FIND(",",$J1588)-FIND(" ",$J1588)-1)-1)*Draw!$AC$13,0),"")</f>
        <v/>
      </c>
      <c r="N1588" s="276"/>
      <c r="O1588" s="157" t="str">
        <f>$F1631</f>
        <v>B-J</v>
      </c>
      <c r="R1588" s="1"/>
      <c r="S1588" s="110"/>
      <c r="T1588" s="110"/>
      <c r="U1588" s="110"/>
      <c r="V1588" s="110"/>
      <c r="W1588" s="110"/>
      <c r="X1588" s="111"/>
      <c r="Y1588" s="111"/>
      <c r="Z1588" s="111"/>
      <c r="AA1588" s="111"/>
    </row>
    <row r="1589" spans="1:32" ht="12.75" customHeight="1">
      <c r="A1589" s="14"/>
      <c r="B1589" s="15"/>
      <c r="C1589" s="15"/>
      <c r="D1589" s="15"/>
      <c r="E1589" s="15"/>
      <c r="F1589" s="14"/>
      <c r="G1589" s="14"/>
      <c r="H1589" s="16"/>
      <c r="I1589" s="14"/>
      <c r="J1589" s="15"/>
      <c r="K1589" s="15"/>
      <c r="L1589" s="15"/>
      <c r="M1589" s="15"/>
      <c r="N1589" s="15"/>
      <c r="O1589" s="364" t="str">
        <f>IF(OR(AND(VLOOKUP($B1590,$AM$1:$AX$12,12,FALSE)="C",VLOOKUP($K1590,$AM$1:$AX$12,12,FALSE)="C"),AND(VLOOKUP($B1590,$AM$1:$AX$12,12,FALSE)="W",VLOOKUP($K1590,$AM$1:$AX$12,12,FALSE)="W")),"Official",IF(AND($A1591="",$J1591=""),"","Scrimmage"))</f>
        <v/>
      </c>
      <c r="P1589" s="364"/>
      <c r="R1589" s="1"/>
      <c r="S1589" s="110"/>
      <c r="T1589" s="110"/>
      <c r="U1589" s="110"/>
      <c r="V1589" s="110"/>
      <c r="W1589" s="110"/>
      <c r="X1589" s="111"/>
      <c r="Y1589" s="111"/>
      <c r="Z1589" s="111"/>
      <c r="AA1589" s="111"/>
    </row>
    <row r="1590" spans="1:32" ht="12.75" customHeight="1">
      <c r="A1590" s="17" t="s">
        <v>1228</v>
      </c>
      <c r="B1590" s="119" t="str">
        <f>CHOOSE(Draw!$T$1,"F","A","B","C","D","C","C","A","F","B","E")</f>
        <v>B</v>
      </c>
      <c r="C1590" s="135">
        <f>VLOOKUP($B1590,$AM$1:$AN$12,2)</f>
        <v>2</v>
      </c>
      <c r="D1590" s="13"/>
      <c r="E1590" s="13"/>
      <c r="F1590" s="10"/>
      <c r="H1590" s="19" t="s">
        <v>1232</v>
      </c>
      <c r="J1590" s="17" t="s">
        <v>1228</v>
      </c>
      <c r="K1590" s="119" t="str">
        <f>CHOOSE(Draw!$T$1,"H","H","J","E","F","K","H","L","G","D","G")</f>
        <v>J</v>
      </c>
      <c r="L1590" s="135">
        <f>VLOOKUP($K1590,$AM$1:$AN$12,2)</f>
        <v>10</v>
      </c>
      <c r="M1590" s="13"/>
      <c r="N1590" s="13"/>
      <c r="O1590" s="18"/>
      <c r="P1590" s="274"/>
      <c r="Q1590" s="275"/>
      <c r="R1590" s="1"/>
      <c r="S1590" s="110"/>
      <c r="T1590" s="110"/>
      <c r="U1590" s="110"/>
      <c r="V1590" s="110"/>
      <c r="W1590" s="110"/>
      <c r="X1590" s="111"/>
      <c r="Y1590" s="111"/>
      <c r="Z1590" s="111"/>
      <c r="AA1590" s="111"/>
    </row>
    <row r="1591" spans="1:32" ht="12.75" customHeight="1">
      <c r="A1591" s="277" t="str">
        <f>IF(VLOOKUP($B1590,Draw!$A$4:$B$27,2)&lt;&gt;0,VLOOKUP($B1590,Draw!$A$4:$B$27,2),"")</f>
        <v/>
      </c>
      <c r="B1591" s="278"/>
      <c r="C1591" s="278"/>
      <c r="D1591" s="278"/>
      <c r="E1591" s="278"/>
      <c r="F1591" s="279"/>
      <c r="G1591" s="306" t="s">
        <v>4183</v>
      </c>
      <c r="H1591" s="289"/>
      <c r="I1591" s="307"/>
      <c r="J1591" s="277" t="str">
        <f>IF(VLOOKUP($K1590,Draw!$A$4:$B$27,2)&lt;&gt;0,VLOOKUP($K1590,Draw!$A$4:$B$27,2),"")</f>
        <v/>
      </c>
      <c r="K1591" s="278"/>
      <c r="L1591" s="278"/>
      <c r="M1591" s="278"/>
      <c r="N1591" s="278"/>
      <c r="O1591" s="279"/>
      <c r="P1591" s="15"/>
      <c r="R1591" s="1"/>
      <c r="S1591" s="110"/>
      <c r="T1591" s="110"/>
      <c r="U1591" s="110"/>
      <c r="V1591" s="110"/>
      <c r="W1591" s="110"/>
      <c r="X1591" s="111"/>
      <c r="Y1591" s="111"/>
      <c r="Z1591" s="111"/>
      <c r="AA1591" s="111"/>
    </row>
    <row r="1592" spans="1:32" ht="12.75" customHeight="1">
      <c r="A1592" s="14"/>
      <c r="B1592" s="15"/>
      <c r="C1592" s="15"/>
      <c r="D1592" s="15"/>
      <c r="E1592" s="15"/>
      <c r="F1592" s="14"/>
      <c r="G1592" s="288" t="str">
        <f>"Page "&amp;VALUE(RIGHT($G1591,LEN($G1591)-SEARCH("-",$G1591)))/2</f>
        <v>Page 32</v>
      </c>
      <c r="H1592" s="289"/>
      <c r="I1592" s="289"/>
      <c r="J1592" s="15"/>
      <c r="K1592" s="15"/>
      <c r="L1592" s="15"/>
      <c r="M1592" s="15"/>
      <c r="N1592" s="15"/>
      <c r="O1592" s="15"/>
      <c r="P1592" s="15"/>
      <c r="R1592" s="1"/>
      <c r="S1592" s="110"/>
      <c r="T1592" s="110"/>
      <c r="U1592" s="110"/>
      <c r="V1592" s="110"/>
      <c r="W1592" s="110"/>
      <c r="X1592" s="111"/>
      <c r="Y1592" s="111"/>
      <c r="Z1592" s="111"/>
      <c r="AA1592" s="111"/>
      <c r="AF1592" s="27"/>
    </row>
    <row r="1593" spans="1:32" ht="12.75" customHeight="1">
      <c r="A1593" s="327" t="s">
        <v>1245</v>
      </c>
      <c r="B1593" s="327"/>
      <c r="C1593" s="327"/>
      <c r="D1593" s="327"/>
      <c r="E1593" s="327"/>
      <c r="F1593" s="327"/>
      <c r="G1593" s="327"/>
      <c r="H1593" s="327"/>
      <c r="I1593" s="327"/>
      <c r="J1593" s="327"/>
      <c r="K1593" s="327"/>
      <c r="L1593" s="327"/>
      <c r="M1593" s="327"/>
      <c r="N1593" s="327"/>
      <c r="O1593" s="327"/>
      <c r="P1593" s="327"/>
      <c r="Q1593" s="7"/>
      <c r="R1593" s="1"/>
      <c r="S1593" s="110"/>
      <c r="T1593" s="110"/>
      <c r="U1593" s="110"/>
      <c r="V1593" s="110"/>
      <c r="W1593" s="110"/>
      <c r="X1593" s="111"/>
      <c r="Y1593" s="111"/>
      <c r="Z1593" s="111"/>
      <c r="AA1593" s="111"/>
      <c r="AF1593" s="20"/>
    </row>
    <row r="1594" spans="1:32" ht="12.75" customHeight="1">
      <c r="A1594" s="21" t="s">
        <v>1233</v>
      </c>
      <c r="H1594" s="136" t="str">
        <f>IF($Q1596&lt;&gt;"",IF(AND(AND($H1596&gt;-1,$H1598&gt;-1),OR($H1596&gt;10,$H1598&gt;10),ABS($H1596-$H1598)&gt;1,IF(OR($H1596&gt;11,$H1598&gt;11),ABS($H1596-$H1598)=2,TRUE),$H1596=INT($H1596),$H1598=INT($H1598)),"","Error"),"")</f>
        <v/>
      </c>
      <c r="I1594" s="136" t="str">
        <f>IF($Q1596&lt;&gt;"",IF(AND(AND($I1596&gt;-1,$I1598&gt;-1),OR($I1596&gt;10,$I1598&gt;10),ABS($I1596-$I1598)&gt;1,IF(OR($I1596&gt;11,$I1598&gt;11),ABS($I1596-$I1598)=2,TRUE),$I1596=INT($I1596),$I1598=INT($I1598)),"","Error"),"")</f>
        <v/>
      </c>
      <c r="J1594" s="136" t="str">
        <f>IF($Q1596&lt;&gt;"",IF(AND(AND($J1596&gt;-1,$J1598&gt;-1),OR($J1596&gt;10,$J1598&gt;10),ABS($J1596-$J1598)&gt;1,IF(OR($J1596&gt;11,$J1598&gt;11),ABS($J1596-$J1598)=2,TRUE),$J1596=INT($J1596),$J1598=INT($J1598)),"","Error"),"")</f>
        <v/>
      </c>
      <c r="K1594" s="136" t="str">
        <f>IF($Q1596&lt;&gt;"",IF(AND($K1596&lt;&gt;"",$K1598&lt;&gt;""), IF(AND(AND($K1596&gt;-1,$K1598&gt;-1),OR($K1596&gt;10,$K1598&gt;10),ABS($K1596-$K1598)&gt;1,IF(OR($K1596&gt;11,$K1598&gt;11),ABS($K1596-$K1598)=2,TRUE),$K1596=INT($K1596),$K1598=INT($K1598)),"","Error"),""),"")</f>
        <v/>
      </c>
      <c r="L1594" s="136" t="str">
        <f>IF($Q1596&lt;&gt;"",IF(AND($L1596&lt;&gt;"",$L1598&lt;&gt;""), IF(AND(AND($L1596&gt;-1,$L1598&gt;-1),OR($L1596&gt;10,$L1598&gt;10),ABS($L1596-$L1598)&gt;1,IF(OR($L1596&gt;11,$L1598&gt;11),ABS($L1596-$L1598)=2,TRUE),$L1596=INT($L1596),$L1598=INT($L1598)),"","Error"),""),"")</f>
        <v/>
      </c>
      <c r="R1594" s="1"/>
      <c r="S1594" s="110"/>
      <c r="T1594" s="110"/>
      <c r="U1594" s="110"/>
      <c r="V1594" s="110"/>
      <c r="W1594" s="110"/>
      <c r="X1594" s="111"/>
      <c r="Y1594" s="111"/>
      <c r="Z1594" s="111"/>
      <c r="AA1594" s="111"/>
    </row>
    <row r="1595" spans="1:32" ht="12.75" customHeight="1">
      <c r="A1595" s="5" t="s">
        <v>1228</v>
      </c>
      <c r="B1595" s="290" t="s">
        <v>1126</v>
      </c>
      <c r="C1595" s="291"/>
      <c r="D1595" s="291"/>
      <c r="E1595" s="291"/>
      <c r="F1595" s="291"/>
      <c r="G1595" s="292"/>
      <c r="H1595" s="5">
        <v>1</v>
      </c>
      <c r="I1595" s="5">
        <v>2</v>
      </c>
      <c r="J1595" s="5">
        <v>3</v>
      </c>
      <c r="K1595" s="5">
        <v>4</v>
      </c>
      <c r="L1595" s="5">
        <v>5</v>
      </c>
      <c r="M1595" s="271"/>
      <c r="N1595" s="272"/>
      <c r="O1595" s="272"/>
      <c r="P1595" s="273"/>
      <c r="R1595" s="1"/>
      <c r="S1595" s="110"/>
      <c r="T1595" s="110"/>
      <c r="U1595" s="110"/>
      <c r="V1595" s="110"/>
      <c r="W1595" s="110"/>
      <c r="X1595" s="111"/>
      <c r="Y1595" s="111"/>
      <c r="Z1595" s="111"/>
      <c r="AA1595" s="111"/>
    </row>
    <row r="1596" spans="1:32" ht="12.75" customHeight="1">
      <c r="A1596" s="300" t="str">
        <f>B1590</f>
        <v>B</v>
      </c>
      <c r="B1596" s="293" t="str">
        <f ca="1">IF(AND(OFFSET($AO$1,$C1590-1,8,1,1),$A1591&lt;&gt;"",$J1591&lt;&gt;""),CHOOSE($C1590,$AO$1,$AO$2,$AO$3,$AO$4,$AO$5,$AO$6,$AO$7,$AO$8,$AO$9,$AO$10,$AO$11,$AO$12),"")</f>
        <v/>
      </c>
      <c r="C1596" s="294"/>
      <c r="D1596" s="294"/>
      <c r="E1596" s="294"/>
      <c r="F1596" s="294"/>
      <c r="G1596" s="294"/>
      <c r="H1596" s="265"/>
      <c r="I1596" s="265"/>
      <c r="J1596" s="265"/>
      <c r="K1596" s="265"/>
      <c r="L1596" s="265"/>
      <c r="M1596" s="297"/>
      <c r="N1596" s="298"/>
      <c r="O1596" s="298"/>
      <c r="P1596" s="299"/>
      <c r="Q1596" s="137" t="str">
        <f>IF($L1596=$L1598,IF($K1596=$K1598,IF($J1596&lt;&gt;"",IF($J1596&gt;$J1598,"W","L"),""),IF($K1596&gt;$K1598,"W","L")),IF($L1596&gt;$L1598,"W","L"))</f>
        <v/>
      </c>
      <c r="R1596" s="1"/>
      <c r="S1596" s="110"/>
      <c r="T1596" s="110"/>
      <c r="U1596" s="110"/>
      <c r="V1596" s="110"/>
      <c r="W1596" s="110"/>
      <c r="X1596" s="111"/>
      <c r="Y1596" s="111"/>
      <c r="Z1596" s="111"/>
      <c r="AA1596" s="111"/>
    </row>
    <row r="1597" spans="1:32" ht="12.75" customHeight="1">
      <c r="A1597" s="301"/>
      <c r="B1597" s="295"/>
      <c r="C1597" s="296"/>
      <c r="D1597" s="296"/>
      <c r="E1597" s="296"/>
      <c r="F1597" s="296"/>
      <c r="G1597" s="296"/>
      <c r="H1597" s="270"/>
      <c r="I1597" s="270"/>
      <c r="J1597" s="270"/>
      <c r="K1597" s="270"/>
      <c r="L1597" s="270"/>
      <c r="M1597" s="297"/>
      <c r="N1597" s="298"/>
      <c r="O1597" s="298"/>
      <c r="P1597" s="299"/>
      <c r="Q1597" s="139" t="str">
        <f>IF($Q1596&lt;&gt;"",IF($Q1596="W",IF(SUM(IF($H1596&gt;$H1598,1,0),IF($I1596&gt;$I1598,1,0),IF($J1596&gt;$J1598,1,0),IF($K1596&gt;$K1598,1,0),IF($L1596&gt;$L1598,1,0))&lt;&gt;3,"Error",""),""),"")</f>
        <v/>
      </c>
      <c r="R1597" s="328" t="str">
        <f>$A1591</f>
        <v/>
      </c>
      <c r="S1597" s="328"/>
      <c r="T1597" s="328"/>
      <c r="U1597" s="328"/>
      <c r="V1597" s="328"/>
      <c r="W1597" s="328"/>
      <c r="X1597" s="256" t="str">
        <f>CONCATENATE("(",$B1590," vs ",$K1590,")")</f>
        <v>(B vs J)</v>
      </c>
      <c r="Y1597" s="256"/>
      <c r="Z1597" s="328" t="str">
        <f>$J1591</f>
        <v/>
      </c>
      <c r="AA1597" s="328"/>
      <c r="AB1597" s="328"/>
      <c r="AC1597" s="328"/>
      <c r="AD1597" s="328"/>
      <c r="AE1597" s="328"/>
      <c r="AF1597" s="43"/>
    </row>
    <row r="1598" spans="1:32" ht="12.75" customHeight="1">
      <c r="A1598" s="300" t="str">
        <f>K1590</f>
        <v>J</v>
      </c>
      <c r="B1598" s="293" t="str">
        <f ca="1">IF(AND(OFFSET($AO$1,$L1590-1,8,1,1),$A1591&lt;&gt;"",$J1591&lt;&gt;""),CHOOSE($L1590,$AO$1,$AO$2,$AO$3,$AO$4,$AO$5,$AO$6,$AO$7,$AO$8,$AO$9,$AO$10,$AO$11,$AO$12),"")</f>
        <v/>
      </c>
      <c r="C1598" s="294"/>
      <c r="D1598" s="294"/>
      <c r="E1598" s="294"/>
      <c r="F1598" s="294"/>
      <c r="G1598" s="294"/>
      <c r="H1598" s="265"/>
      <c r="I1598" s="265"/>
      <c r="J1598" s="265"/>
      <c r="K1598" s="265"/>
      <c r="L1598" s="265"/>
      <c r="M1598" s="267" t="s">
        <v>1237</v>
      </c>
      <c r="N1598" s="268"/>
      <c r="O1598" s="268"/>
      <c r="P1598" s="269"/>
      <c r="Q1598" s="137" t="str">
        <f>IF($Q1596&lt;&gt;"",IF($Q1596="W","L","W"),"")</f>
        <v/>
      </c>
      <c r="R1598" s="43"/>
      <c r="S1598" s="43"/>
      <c r="T1598" s="43"/>
      <c r="U1598" s="43"/>
      <c r="V1598" s="43"/>
      <c r="W1598" s="43"/>
      <c r="X1598" s="43"/>
      <c r="Y1598" s="43"/>
      <c r="Z1598" s="43"/>
      <c r="AA1598" s="43"/>
      <c r="AB1598" s="43"/>
      <c r="AC1598" s="43"/>
      <c r="AD1598" s="43"/>
      <c r="AE1598" s="43"/>
      <c r="AF1598" s="43"/>
    </row>
    <row r="1599" spans="1:32" ht="12.75" customHeight="1">
      <c r="A1599" s="301"/>
      <c r="B1599" s="295"/>
      <c r="C1599" s="296"/>
      <c r="D1599" s="296"/>
      <c r="E1599" s="296"/>
      <c r="F1599" s="296"/>
      <c r="G1599" s="296"/>
      <c r="H1599" s="270"/>
      <c r="I1599" s="270"/>
      <c r="J1599" s="266"/>
      <c r="K1599" s="266"/>
      <c r="L1599" s="266"/>
      <c r="M1599" s="267"/>
      <c r="N1599" s="268"/>
      <c r="O1599" s="268"/>
      <c r="P1599" s="269"/>
      <c r="Q1599" s="139" t="str">
        <f>IF($Q1598&lt;&gt;"",IF($Q1598="W",IF(SUM(IF($H1598&gt;$H1596,1,0),IF($I1598&gt;$I1596,1,0),IF($J1598&gt;$J1596,1,0),IF($K1598&gt;$K1596,1,0),IF($L1598&gt;$L1596,1,0))&lt;&gt;3,"Error",""),""),"")</f>
        <v/>
      </c>
      <c r="R1599" s="43" t="str">
        <f>$A1601</f>
        <v>2nd Singles</v>
      </c>
      <c r="S1599" s="43"/>
      <c r="T1599" s="43"/>
      <c r="U1599" s="43"/>
      <c r="V1599" s="43"/>
      <c r="W1599" s="43"/>
      <c r="X1599" s="43"/>
      <c r="Y1599" s="43"/>
      <c r="Z1599" s="43"/>
      <c r="AA1599" s="43"/>
      <c r="AB1599" s="43"/>
      <c r="AC1599" s="43"/>
      <c r="AD1599" s="43"/>
      <c r="AE1599" s="43"/>
      <c r="AF1599" s="43"/>
    </row>
    <row r="1600" spans="1:32" ht="12.75" customHeight="1">
      <c r="Q1600" s="7"/>
      <c r="R1600" s="60" t="s">
        <v>1228</v>
      </c>
      <c r="S1600" s="339" t="s">
        <v>1126</v>
      </c>
      <c r="T1600" s="340"/>
      <c r="U1600" s="340"/>
      <c r="V1600" s="340"/>
      <c r="W1600" s="340"/>
      <c r="X1600" s="341"/>
      <c r="Y1600" s="60">
        <v>1</v>
      </c>
      <c r="Z1600" s="60">
        <v>2</v>
      </c>
      <c r="AA1600" s="60">
        <v>3</v>
      </c>
      <c r="AB1600" s="60">
        <v>4</v>
      </c>
      <c r="AC1600" s="60">
        <v>5</v>
      </c>
      <c r="AD1600" s="342"/>
      <c r="AE1600" s="343"/>
      <c r="AF1600" s="344"/>
    </row>
    <row r="1601" spans="1:32" ht="12.75" customHeight="1">
      <c r="A1601" s="21" t="s">
        <v>1234</v>
      </c>
      <c r="H1601" s="136" t="str">
        <f>IF($Q1603&lt;&gt;"",IF(AND(AND($H1603&gt;-1,$H1605&gt;-1),OR($H1603&gt;10,$H1605&gt;10),ABS($H1603-$H1605)&gt;1,IF(OR($H1603&gt;11,$H1605&gt;11),ABS($H1603-$H1605)=2,TRUE),$H1603=INT($H1603),$H1605=INT($H1605)),"","Error"),"")</f>
        <v/>
      </c>
      <c r="I1601" s="136" t="str">
        <f>IF($Q1603&lt;&gt;"",IF(AND(AND($I1603&gt;-1,$I1605&gt;-1),OR($I1603&gt;10,$I1605&gt;10),ABS($I1603-$I1605)&gt;1,IF(OR($I1603&gt;11,$I1605&gt;11),ABS($I1603-$I1605)=2,TRUE),$I1603=INT($I1603),$I1605=INT($I1605)),"","Error"),"")</f>
        <v/>
      </c>
      <c r="J1601" s="136" t="str">
        <f>IF($Q1603&lt;&gt;"",IF(AND(AND($J1603&gt;-1,$J1605&gt;-1),OR($J1603&gt;10,$J1605&gt;10),ABS($J1603-$J1605)&gt;1,IF(OR($J1603&gt;11,$J1605&gt;11),ABS($J1603-$J1605)=2,TRUE),$J1603=INT($J1603),$J1605=INT($J1605)),"","Error"),"")</f>
        <v/>
      </c>
      <c r="K1601" s="136" t="str">
        <f>IF($Q1603&lt;&gt;"",IF(AND($K1603&lt;&gt;"",$K1605&lt;&gt;""), IF(AND(AND($K1603&gt;-1,$K1605&gt;-1),OR($K1603&gt;10,$K1605&gt;10),ABS($K1603-$K1605)&gt;1,IF(OR($K1603&gt;11,$K1605&gt;11),ABS($K1603-$K1605)=2,TRUE),$K1603=INT($K1603),$K1605=INT($K1605)),"","Error"),""),"")</f>
        <v/>
      </c>
      <c r="L1601" s="136" t="str">
        <f>IF($Q1603&lt;&gt;"",IF(AND($L1603&lt;&gt;"",$L1605&lt;&gt;""), IF(AND(AND($L1603&gt;-1,$L1605&gt;-1),OR($L1603&gt;10,$L1605&gt;10),ABS($L1603-$L1605)&gt;1,IF(OR($L1603&gt;11,$L1605&gt;11),ABS($L1603-$L1605)=2,TRUE),$L1603=INT($L1603),$L1605=INT($L1605)),"","Error"),""),"")</f>
        <v/>
      </c>
      <c r="Q1601" s="7"/>
      <c r="R1601" s="300" t="str">
        <f>$B1590</f>
        <v>B</v>
      </c>
      <c r="S1601" s="331" t="str">
        <f ca="1">IF($B1603&lt;&gt;"",$B1603,"")</f>
        <v/>
      </c>
      <c r="T1601" s="332"/>
      <c r="U1601" s="332"/>
      <c r="V1601" s="332"/>
      <c r="W1601" s="332"/>
      <c r="X1601" s="333"/>
      <c r="Y1601" s="329"/>
      <c r="Z1601" s="329"/>
      <c r="AA1601" s="329"/>
      <c r="AB1601" s="329"/>
      <c r="AC1601" s="329"/>
      <c r="AD1601" s="345"/>
      <c r="AE1601" s="358"/>
      <c r="AF1601" s="359"/>
    </row>
    <row r="1602" spans="1:32" ht="12.75" customHeight="1">
      <c r="A1602" s="5" t="s">
        <v>1228</v>
      </c>
      <c r="B1602" s="290" t="s">
        <v>1126</v>
      </c>
      <c r="C1602" s="291"/>
      <c r="D1602" s="291"/>
      <c r="E1602" s="291"/>
      <c r="F1602" s="291"/>
      <c r="G1602" s="292"/>
      <c r="H1602" s="5">
        <v>1</v>
      </c>
      <c r="I1602" s="5">
        <v>2</v>
      </c>
      <c r="J1602" s="5">
        <v>3</v>
      </c>
      <c r="K1602" s="5">
        <v>4</v>
      </c>
      <c r="L1602" s="5">
        <v>5</v>
      </c>
      <c r="M1602" s="271"/>
      <c r="N1602" s="272"/>
      <c r="O1602" s="272"/>
      <c r="P1602" s="273"/>
      <c r="Q1602" s="7"/>
      <c r="R1602" s="330"/>
      <c r="S1602" s="334"/>
      <c r="T1602" s="335"/>
      <c r="U1602" s="335"/>
      <c r="V1602" s="335"/>
      <c r="W1602" s="335"/>
      <c r="X1602" s="336"/>
      <c r="Y1602" s="330"/>
      <c r="Z1602" s="330"/>
      <c r="AA1602" s="330"/>
      <c r="AB1602" s="330"/>
      <c r="AC1602" s="330"/>
      <c r="AD1602" s="360"/>
      <c r="AE1602" s="361"/>
      <c r="AF1602" s="362"/>
    </row>
    <row r="1603" spans="1:32" ht="12.75" customHeight="1">
      <c r="A1603" s="300" t="str">
        <f>B1590</f>
        <v>B</v>
      </c>
      <c r="B1603" s="293" t="str">
        <f ca="1">IF(AND(OFFSET($AO$1,$C1590-1,8,1,1),$A1591&lt;&gt;"",$J1591&lt;&gt;""),CHOOSE($C1590,$AP$1,$AP$2,$AP$3,$AP$4,$AP$5,$AP$6,$AP$7,$AP$8,$AP$9,$AP$10,$AP$11,$AP$12),"")</f>
        <v/>
      </c>
      <c r="C1603" s="294"/>
      <c r="D1603" s="294"/>
      <c r="E1603" s="294"/>
      <c r="F1603" s="294"/>
      <c r="G1603" s="294"/>
      <c r="H1603" s="265"/>
      <c r="I1603" s="265"/>
      <c r="J1603" s="265"/>
      <c r="K1603" s="265"/>
      <c r="L1603" s="265"/>
      <c r="M1603" s="262" t="str">
        <f ca="1">IF(OR(AND($B1596&lt;&gt;"",$B1603&lt;&gt;"",$C1621&lt;=$B1621),AND($B1598&lt;&gt;"",$B1605&lt;&gt;"",$G1621&lt;=$F1621)),"Invalid Lineup","")</f>
        <v/>
      </c>
      <c r="N1603" s="263"/>
      <c r="O1603" s="263"/>
      <c r="P1603" s="264"/>
      <c r="Q1603" s="137" t="str">
        <f>IF($L1603=$L1605,IF($K1603=$K1605,IF($J1603&lt;&gt;"",IF($J1603&gt;$J1605,"W","L"),""),IF($K1603&gt;$K1605,"W","L")),IF($L1603&gt;$L1605,"W","L"))</f>
        <v/>
      </c>
      <c r="R1603" s="300" t="str">
        <f>$K1590</f>
        <v>J</v>
      </c>
      <c r="S1603" s="331" t="str">
        <f ca="1">IF($B1605&lt;&gt;"",$B1605,"")</f>
        <v/>
      </c>
      <c r="T1603" s="332"/>
      <c r="U1603" s="332"/>
      <c r="V1603" s="332"/>
      <c r="W1603" s="332"/>
      <c r="X1603" s="333"/>
      <c r="Y1603" s="329"/>
      <c r="Z1603" s="329"/>
      <c r="AA1603" s="329"/>
      <c r="AB1603" s="329"/>
      <c r="AC1603" s="351"/>
      <c r="AD1603" s="363" t="s">
        <v>1237</v>
      </c>
      <c r="AE1603" s="358"/>
      <c r="AF1603" s="359"/>
    </row>
    <row r="1604" spans="1:32" ht="12.75" customHeight="1">
      <c r="A1604" s="301"/>
      <c r="B1604" s="295"/>
      <c r="C1604" s="296"/>
      <c r="D1604" s="296"/>
      <c r="E1604" s="296"/>
      <c r="F1604" s="296"/>
      <c r="G1604" s="296"/>
      <c r="H1604" s="270"/>
      <c r="I1604" s="270"/>
      <c r="J1604" s="270"/>
      <c r="K1604" s="270"/>
      <c r="L1604" s="270"/>
      <c r="M1604" s="262"/>
      <c r="N1604" s="263"/>
      <c r="O1604" s="263"/>
      <c r="P1604" s="264"/>
      <c r="Q1604" s="139" t="str">
        <f>IF($Q1603&lt;&gt;"",IF($Q1603="W",IF(SUM(IF($H1603&gt;$H1605,1,0),IF($I1603&gt;$I1605,1,0),IF($J1603&gt;$J1605,1,0),IF($K1603&gt;$K1605,1,0),IF($L1603&gt;$L1605,1,0))&lt;&gt;3,"Error",""),""),"")</f>
        <v/>
      </c>
      <c r="R1604" s="330"/>
      <c r="S1604" s="334"/>
      <c r="T1604" s="335"/>
      <c r="U1604" s="335"/>
      <c r="V1604" s="335"/>
      <c r="W1604" s="335"/>
      <c r="X1604" s="336"/>
      <c r="Y1604" s="330"/>
      <c r="Z1604" s="330"/>
      <c r="AA1604" s="330"/>
      <c r="AB1604" s="330"/>
      <c r="AC1604" s="330"/>
      <c r="AD1604" s="360"/>
      <c r="AE1604" s="361"/>
      <c r="AF1604" s="362"/>
    </row>
    <row r="1605" spans="1:32" ht="12.75" customHeight="1">
      <c r="A1605" s="300" t="str">
        <f>K1590</f>
        <v>J</v>
      </c>
      <c r="B1605" s="293" t="str">
        <f ca="1">IF(AND(OFFSET($AO$1,$L1590-1,8,1,1),$A1591&lt;&gt;"",$J1591&lt;&gt;""),CHOOSE($L1590,$AP$1,$AP$2,$AP$3,$AP$4,$AP$5,$AP$6,$AP$7,$AP$8,$AP$9,$AP$10,$AP$11,$AP$12),"")</f>
        <v/>
      </c>
      <c r="C1605" s="294"/>
      <c r="D1605" s="294"/>
      <c r="E1605" s="294"/>
      <c r="F1605" s="294"/>
      <c r="G1605" s="294"/>
      <c r="H1605" s="265"/>
      <c r="I1605" s="265"/>
      <c r="J1605" s="265"/>
      <c r="K1605" s="265"/>
      <c r="L1605" s="265"/>
      <c r="M1605" s="267" t="s">
        <v>1237</v>
      </c>
      <c r="N1605" s="268"/>
      <c r="O1605" s="268"/>
      <c r="P1605" s="269"/>
      <c r="Q1605" s="137" t="str">
        <f>IF($Q1603&lt;&gt;"",IF($Q1603="W","L","W"),"")</f>
        <v/>
      </c>
      <c r="R1605" s="20"/>
      <c r="S1605" s="20"/>
      <c r="T1605" s="20"/>
      <c r="U1605" s="20"/>
      <c r="V1605" s="20"/>
      <c r="W1605" s="20"/>
      <c r="X1605" s="26"/>
      <c r="Y1605" s="26"/>
      <c r="Z1605" s="20"/>
      <c r="AA1605" s="20"/>
      <c r="AB1605" s="20"/>
      <c r="AC1605" s="20"/>
      <c r="AD1605" s="20"/>
      <c r="AE1605" s="20"/>
      <c r="AF1605" s="27"/>
    </row>
    <row r="1606" spans="1:32" ht="12.75" customHeight="1">
      <c r="A1606" s="301"/>
      <c r="B1606" s="295"/>
      <c r="C1606" s="296"/>
      <c r="D1606" s="296"/>
      <c r="E1606" s="296"/>
      <c r="F1606" s="296"/>
      <c r="G1606" s="296"/>
      <c r="H1606" s="270"/>
      <c r="I1606" s="270"/>
      <c r="J1606" s="266"/>
      <c r="K1606" s="266"/>
      <c r="L1606" s="266"/>
      <c r="M1606" s="267"/>
      <c r="N1606" s="268"/>
      <c r="O1606" s="268"/>
      <c r="P1606" s="269"/>
      <c r="Q1606" s="139" t="str">
        <f>IF($Q1605&lt;&gt;"",IF($Q1605="W",IF(SUM(IF($H1605&gt;$H1603,1,0),IF($I1605&gt;$I1603,1,0),IF($J1605&gt;$J1603,1,0),IF($K1605&gt;$K1603,1,0),IF($L1605&gt;$L1603,1,0))&lt;&gt;3,"Error",""),""),"")</f>
        <v/>
      </c>
      <c r="R1606" s="20"/>
      <c r="S1606" s="20"/>
      <c r="T1606" s="20"/>
      <c r="U1606" s="20"/>
      <c r="V1606" s="20"/>
      <c r="W1606" s="20"/>
      <c r="X1606" s="26"/>
      <c r="Y1606" s="26"/>
      <c r="Z1606" s="20"/>
      <c r="AA1606" s="20"/>
      <c r="AB1606" s="20"/>
      <c r="AC1606" s="20"/>
      <c r="AD1606" s="20"/>
      <c r="AE1606" s="20"/>
      <c r="AF1606" s="27"/>
    </row>
    <row r="1607" spans="1:32" ht="12.75" customHeight="1">
      <c r="Q1607" s="7"/>
      <c r="R1607" s="20"/>
      <c r="S1607" s="20"/>
      <c r="T1607" s="20"/>
      <c r="U1607" s="20"/>
      <c r="V1607" s="20"/>
      <c r="W1607" s="20"/>
      <c r="X1607" s="26"/>
      <c r="Y1607" s="26"/>
      <c r="Z1607" s="20"/>
      <c r="AA1607" s="20"/>
      <c r="AB1607" s="20"/>
      <c r="AC1607" s="20"/>
      <c r="AD1607" s="20"/>
      <c r="AE1607" s="20"/>
      <c r="AF1607" s="27"/>
    </row>
    <row r="1608" spans="1:32" ht="12.75" customHeight="1">
      <c r="A1608" s="21" t="s">
        <v>1235</v>
      </c>
      <c r="H1608" s="136" t="str">
        <f>IF($Q1610&lt;&gt;"",IF(AND(AND($H1610&gt;-1,$H1612&gt;-1),OR($H1610&gt;10,$H1612&gt;10),ABS($H1610-$H1612)&gt;1,IF(OR($H1610&gt;11,$H1612&gt;11),ABS($H1610-$H1612)=2,TRUE),$H1610=INT($H1610),$H1612=INT($H1612)),"","Error"),"")</f>
        <v/>
      </c>
      <c r="I1608" s="136" t="str">
        <f>IF($Q1610&lt;&gt;"",IF(AND(AND($I1610&gt;-1,$I1612&gt;-1),OR($I1610&gt;10,$I1612&gt;10),ABS($I1610-$I1612)&gt;1,IF(OR($I1610&gt;11,$I1612&gt;11),ABS($I1610-$I1612)=2,TRUE),$I1610=INT($I1610),$I1612=INT($I1612)),"","Error"),"")</f>
        <v/>
      </c>
      <c r="J1608" s="136" t="str">
        <f>IF($Q1610&lt;&gt;"",IF(AND(AND($J1610&gt;-1,$J1612&gt;-1),OR($J1610&gt;10,$J1612&gt;10),ABS($J1610-$J1612)&gt;1,IF(OR($J1610&gt;11,$J1612&gt;11),ABS($J1610-$J1612)=2,TRUE),$J1610=INT($J1610),$J1612=INT($J1612)),"","Error"),"")</f>
        <v/>
      </c>
      <c r="K1608" s="136" t="str">
        <f>IF($Q1610&lt;&gt;"",IF(AND($K1610&lt;&gt;"",$K1612&lt;&gt;""), IF(AND(AND($K1610&gt;-1,$K1612&gt;-1),OR($K1610&gt;10,$K1612&gt;10),ABS($K1610-$K1612)&gt;1,IF(OR($K1610&gt;11,$K1612&gt;11),ABS($K1610-$K1612)=2,TRUE),$K1610=INT($K1610),$K1612=INT($K1612)),"","Error"),""),"")</f>
        <v/>
      </c>
      <c r="L1608" s="136" t="str">
        <f>IF($Q1610&lt;&gt;"",IF(AND($L1610&lt;&gt;"",$L1612&lt;&gt;""), IF(AND(AND($L1610&gt;-1,$L1612&gt;-1),OR($L1610&gt;10,$L1612&gt;10),ABS($L1610-$L1612)&gt;1,IF(OR($L1610&gt;11,$L1612&gt;11),ABS($L1610-$L1612)=2,TRUE),$L1610=INT($L1610),$L1612=INT($L1612)),"","Error"),""),"")</f>
        <v/>
      </c>
      <c r="Q1608" s="7"/>
      <c r="R1608" s="20"/>
      <c r="S1608" s="20"/>
      <c r="T1608" s="20"/>
      <c r="U1608" s="20"/>
      <c r="V1608" s="20"/>
      <c r="W1608" s="20"/>
      <c r="X1608" s="26"/>
      <c r="Y1608" s="26"/>
      <c r="Z1608" s="20"/>
      <c r="AA1608" s="20"/>
      <c r="AB1608" s="20"/>
      <c r="AC1608" s="20"/>
      <c r="AD1608" s="20"/>
      <c r="AE1608" s="20"/>
      <c r="AF1608" s="27"/>
    </row>
    <row r="1609" spans="1:32" ht="12.75" customHeight="1">
      <c r="A1609" s="5" t="s">
        <v>1228</v>
      </c>
      <c r="B1609" s="290" t="s">
        <v>1126</v>
      </c>
      <c r="C1609" s="291"/>
      <c r="D1609" s="291"/>
      <c r="E1609" s="291"/>
      <c r="F1609" s="291"/>
      <c r="G1609" s="292"/>
      <c r="H1609" s="5">
        <v>1</v>
      </c>
      <c r="I1609" s="5">
        <v>2</v>
      </c>
      <c r="J1609" s="5">
        <v>3</v>
      </c>
      <c r="K1609" s="5">
        <v>4</v>
      </c>
      <c r="L1609" s="5">
        <v>5</v>
      </c>
      <c r="M1609" s="271"/>
      <c r="N1609" s="272"/>
      <c r="O1609" s="272"/>
      <c r="P1609" s="273"/>
      <c r="Q1609" s="7"/>
      <c r="R1609" s="20"/>
      <c r="S1609" s="20"/>
      <c r="T1609" s="20"/>
      <c r="U1609" s="20"/>
      <c r="V1609" s="20"/>
      <c r="W1609" s="20"/>
      <c r="X1609" s="26"/>
      <c r="Y1609" s="26"/>
      <c r="Z1609" s="20"/>
      <c r="AA1609" s="20"/>
      <c r="AB1609" s="20"/>
      <c r="AC1609" s="20"/>
      <c r="AD1609" s="20"/>
      <c r="AE1609" s="20"/>
      <c r="AF1609" s="27"/>
    </row>
    <row r="1610" spans="1:32" ht="12.75" customHeight="1">
      <c r="A1610" s="300" t="str">
        <f>B1590</f>
        <v>B</v>
      </c>
      <c r="B1610" s="293" t="str">
        <f ca="1">IF(AND(OFFSET($AO$1,$C1590-1,8,1,1),$A1591&lt;&gt;"",$J1591&lt;&gt;""),CHOOSE($C1590,$AQ$1,$AQ$2,$AQ$3,$AQ$4,$AQ$5,$AQ$6,$AQ$7,$AQ$8,$AQ$9,$AQ$10,$AQ$11,$AQ$12),"")</f>
        <v/>
      </c>
      <c r="C1610" s="294"/>
      <c r="D1610" s="294"/>
      <c r="E1610" s="294"/>
      <c r="F1610" s="294"/>
      <c r="G1610" s="294"/>
      <c r="H1610" s="265"/>
      <c r="I1610" s="265"/>
      <c r="J1610" s="265"/>
      <c r="K1610" s="265"/>
      <c r="L1610" s="265"/>
      <c r="M1610" s="262" t="str">
        <f ca="1">IF(OR(AND($B1603&lt;&gt;"",$B1610&lt;&gt;"",$D1621&lt;=$C1621),AND($B1605&lt;&gt;"",$B1612&lt;&gt;"",$H1621&lt;=$G1621)),"Invalid Lineup","")</f>
        <v/>
      </c>
      <c r="N1610" s="263"/>
      <c r="O1610" s="263"/>
      <c r="P1610" s="264"/>
      <c r="Q1610" s="137" t="str">
        <f>IF($L1610=$L1612,IF($K1610=$K1612,IF($J1610&lt;&gt;"",IF($J1610&gt;$J1612,"W","L"),""),IF($K1610&gt;$K1612,"W","L")),IF($L1610&gt;$L1612,"W","L"))</f>
        <v/>
      </c>
      <c r="R1610" s="20"/>
      <c r="S1610" s="20"/>
      <c r="T1610" s="20"/>
      <c r="U1610" s="20"/>
      <c r="V1610" s="20"/>
      <c r="W1610" s="20"/>
      <c r="X1610" s="26"/>
      <c r="Y1610" s="26"/>
      <c r="Z1610" s="20"/>
      <c r="AA1610" s="20"/>
      <c r="AB1610" s="20"/>
      <c r="AC1610" s="20"/>
      <c r="AD1610" s="20"/>
      <c r="AE1610" s="20"/>
      <c r="AF1610" s="27"/>
    </row>
    <row r="1611" spans="1:32" ht="12.75" customHeight="1">
      <c r="A1611" s="301"/>
      <c r="B1611" s="295"/>
      <c r="C1611" s="296"/>
      <c r="D1611" s="296"/>
      <c r="E1611" s="296"/>
      <c r="F1611" s="296"/>
      <c r="G1611" s="296"/>
      <c r="H1611" s="270"/>
      <c r="I1611" s="270"/>
      <c r="J1611" s="270"/>
      <c r="K1611" s="270"/>
      <c r="L1611" s="270"/>
      <c r="M1611" s="262"/>
      <c r="N1611" s="263"/>
      <c r="O1611" s="263"/>
      <c r="P1611" s="264"/>
      <c r="Q1611" s="139" t="str">
        <f>IF($Q1610&lt;&gt;"",IF($Q1610="W",IF(SUM(IF($H1610&gt;$H1612,1,0),IF($I1610&gt;$I1612,1,0),IF($J1610&gt;$J1612,1,0),IF($K1610&gt;$K1612,1,0),IF($L1610&gt;$L1612,1,0))&lt;&gt;3,"Error",""),""),"")</f>
        <v/>
      </c>
      <c r="R1611" s="328" t="str">
        <f>$A1591</f>
        <v/>
      </c>
      <c r="S1611" s="328"/>
      <c r="T1611" s="328"/>
      <c r="U1611" s="328"/>
      <c r="V1611" s="328"/>
      <c r="W1611" s="328"/>
      <c r="X1611" s="256" t="str">
        <f>CONCATENATE("(",$B1590," vs ",$K1590,")")</f>
        <v>(B vs J)</v>
      </c>
      <c r="Y1611" s="256"/>
      <c r="Z1611" s="328" t="str">
        <f>$J1591</f>
        <v/>
      </c>
      <c r="AA1611" s="328"/>
      <c r="AB1611" s="328"/>
      <c r="AC1611" s="328"/>
      <c r="AD1611" s="328"/>
      <c r="AE1611" s="328"/>
      <c r="AF1611" s="100"/>
    </row>
    <row r="1612" spans="1:32" ht="12.75" customHeight="1">
      <c r="A1612" s="300" t="str">
        <f>K1590</f>
        <v>J</v>
      </c>
      <c r="B1612" s="293" t="str">
        <f ca="1">IF(AND(OFFSET($AO$1,$L1590-1,8,1,1),$A1591&lt;&gt;"",$J1591&lt;&gt;""),CHOOSE($L1590,$AQ$1,$AQ$2,$AQ$3,$AQ$4,$AQ$5,$AQ$6,$AQ$7,$AQ$8,$AQ$9,$AQ$10,$AQ$11,$AQ$12),"")</f>
        <v/>
      </c>
      <c r="C1612" s="294"/>
      <c r="D1612" s="294"/>
      <c r="E1612" s="294"/>
      <c r="F1612" s="294"/>
      <c r="G1612" s="294"/>
      <c r="H1612" s="265"/>
      <c r="I1612" s="265"/>
      <c r="J1612" s="265"/>
      <c r="K1612" s="265"/>
      <c r="L1612" s="265"/>
      <c r="M1612" s="267" t="s">
        <v>1237</v>
      </c>
      <c r="N1612" s="268"/>
      <c r="O1612" s="268"/>
      <c r="P1612" s="269"/>
      <c r="Q1612" s="137" t="str">
        <f>IF($Q1610&lt;&gt;"",IF($Q1610="W","L","W"),"")</f>
        <v/>
      </c>
      <c r="R1612" s="100"/>
      <c r="S1612" s="100"/>
      <c r="T1612" s="100"/>
      <c r="U1612" s="100"/>
      <c r="V1612" s="100"/>
      <c r="W1612" s="100"/>
      <c r="X1612" s="100"/>
      <c r="Y1612" s="100"/>
      <c r="Z1612" s="100"/>
      <c r="AA1612" s="100"/>
      <c r="AB1612" s="100"/>
      <c r="AC1612" s="100"/>
      <c r="AD1612" s="100"/>
      <c r="AE1612" s="100"/>
      <c r="AF1612" s="100"/>
    </row>
    <row r="1613" spans="1:32" ht="12.75" customHeight="1">
      <c r="A1613" s="301"/>
      <c r="B1613" s="295"/>
      <c r="C1613" s="296"/>
      <c r="D1613" s="296"/>
      <c r="E1613" s="296"/>
      <c r="F1613" s="296"/>
      <c r="G1613" s="296"/>
      <c r="H1613" s="270"/>
      <c r="I1613" s="270"/>
      <c r="J1613" s="266"/>
      <c r="K1613" s="266"/>
      <c r="L1613" s="266"/>
      <c r="M1613" s="267"/>
      <c r="N1613" s="268"/>
      <c r="O1613" s="268"/>
      <c r="P1613" s="269"/>
      <c r="Q1613" s="139" t="str">
        <f>IF($Q1612&lt;&gt;"",IF($Q1612="W",IF(SUM(IF($H1612&gt;$H1610,1,0),IF($I1612&gt;$I1610,1,0),IF($J1612&gt;$J1610,1,0),IF($K1612&gt;$K1610,1,0),IF($L1612&gt;$L1610,1,0))&lt;&gt;3,"Error",""),""),"")</f>
        <v/>
      </c>
      <c r="R1613" s="43" t="str">
        <f>$A1608</f>
        <v>3rd Singles</v>
      </c>
      <c r="S1613" s="43"/>
      <c r="T1613" s="43"/>
      <c r="U1613" s="43"/>
      <c r="V1613" s="43"/>
      <c r="W1613" s="43"/>
      <c r="X1613" s="43"/>
      <c r="Y1613" s="43"/>
      <c r="Z1613" s="43"/>
      <c r="AA1613" s="43"/>
      <c r="AB1613" s="43"/>
      <c r="AC1613" s="43"/>
      <c r="AD1613" s="43"/>
      <c r="AE1613" s="43"/>
      <c r="AF1613" s="43"/>
    </row>
    <row r="1614" spans="1:32" ht="12.75" customHeight="1">
      <c r="Q1614" s="7"/>
      <c r="R1614" s="60" t="s">
        <v>1228</v>
      </c>
      <c r="S1614" s="101" t="s">
        <v>1126</v>
      </c>
      <c r="T1614" s="102"/>
      <c r="U1614" s="102"/>
      <c r="V1614" s="102"/>
      <c r="W1614" s="102"/>
      <c r="X1614" s="103"/>
      <c r="Y1614" s="60">
        <v>1</v>
      </c>
      <c r="Z1614" s="60">
        <v>2</v>
      </c>
      <c r="AA1614" s="60">
        <v>3</v>
      </c>
      <c r="AB1614" s="60">
        <v>4</v>
      </c>
      <c r="AC1614" s="60">
        <v>5</v>
      </c>
      <c r="AD1614" s="104"/>
      <c r="AE1614" s="105"/>
      <c r="AF1614" s="106"/>
    </row>
    <row r="1615" spans="1:32" ht="12.75" customHeight="1">
      <c r="A1615" s="21" t="s">
        <v>1236</v>
      </c>
      <c r="H1615" s="136" t="str">
        <f ca="1">IF($Q1617&lt;&gt;"",IF(AND($B1617&lt;&gt;"Missing Player",$B1619&lt;&gt;"Missing Player"),IF(AND(AND($H1617&gt;-1,$H1619&gt;-1),OR($H1617&gt;10,$H1619&gt;10),ABS($H1617-$H1619)&gt;1,IF(OR($H1617&gt;11,$H1619&gt;11),ABS($H1617-$H1619)=2,TRUE),$H1617=INT($H1617),$H1619=INT($H1619)),"","Error"),""),"")</f>
        <v/>
      </c>
      <c r="I1615" s="136" t="str">
        <f ca="1">IF($Q1617&lt;&gt;"",IF(AND($B1617&lt;&gt;"Missing Player",$B1619&lt;&gt;"Missing Player"),IF(AND(AND($I1617&gt;-1,$I1619&gt;-1),OR($I1617&gt;10,$I1619&gt;10),ABS($I1617-$I1619)&gt;1,IF(OR($I1617&gt;11,$I1619&gt;11),ABS($I1617-$I1619)=2,TRUE),$I1617=INT($I1617),$I1619=INT($I1619)),"","Error"),""),"")</f>
        <v/>
      </c>
      <c r="J1615" s="136" t="str">
        <f ca="1">IF($Q1617&lt;&gt;"",IF(AND($B1617&lt;&gt;"Missing Player",$B1619&lt;&gt;"Missing Player"),IF(AND(AND($J1617&gt;-1,$J1619&gt;-1),OR($J1617&gt;10,$J1619&gt;10),ABS($J1617-$J1619)&gt;1,IF(OR($J1617&gt;11,$J1619&gt;11),ABS($J1617-$J1619)=2,TRUE),$J1617=INT($J1617),$J1619=INT($J1619)),"","Error"),""),"")</f>
        <v/>
      </c>
      <c r="K1615" s="136" t="str">
        <f ca="1">IF($Q1617&lt;&gt;"",IF(AND($K1617&lt;&gt;"",$K1619&lt;&gt;""), IF(AND(AND($K1617&gt;-1,$K1619&gt;-1),OR($K1617&gt;10,$K1619&gt;10),ABS($K1617-$K1619)&gt;1,IF(OR($K1617&gt;11,$K1619&gt;11),ABS($K1617-$K1619)=2,TRUE),$K1617=INT($K1617),$K1619=INT($K1619)),"","Error"),""),"")</f>
        <v/>
      </c>
      <c r="L1615" s="136" t="str">
        <f ca="1">IF($Q1617&lt;&gt;"",IF(AND($L1617&lt;&gt;"",$L1619&lt;&gt;""), IF(AND(AND($L1617&gt;-1,$L1619&gt;-1),OR($L1617&gt;10,$L1619&gt;10),ABS($L1617-$L1619)&gt;1,IF(OR($L1617&gt;11,$L1619&gt;11),ABS($L1617-$L1619)=2,TRUE),$L1617=INT($L1617),$L1619=INT($L1619)),"","Error"),""),"")</f>
        <v/>
      </c>
      <c r="Q1615" s="7"/>
      <c r="R1615" s="300" t="str">
        <f>$B1590</f>
        <v>B</v>
      </c>
      <c r="S1615" s="331" t="str">
        <f ca="1">IF($B1610&lt;&gt;"",$B1610,"")</f>
        <v/>
      </c>
      <c r="T1615" s="332"/>
      <c r="U1615" s="332"/>
      <c r="V1615" s="332"/>
      <c r="W1615" s="332"/>
      <c r="X1615" s="333"/>
      <c r="Y1615" s="329"/>
      <c r="Z1615" s="329"/>
      <c r="AA1615" s="329"/>
      <c r="AB1615" s="329"/>
      <c r="AC1615" s="329"/>
      <c r="AD1615" s="345"/>
      <c r="AE1615" s="358"/>
      <c r="AF1615" s="359"/>
    </row>
    <row r="1616" spans="1:32" ht="12.75" customHeight="1">
      <c r="A1616" s="5" t="s">
        <v>1228</v>
      </c>
      <c r="B1616" s="290" t="s">
        <v>1126</v>
      </c>
      <c r="C1616" s="291"/>
      <c r="D1616" s="291"/>
      <c r="E1616" s="291"/>
      <c r="F1616" s="291"/>
      <c r="G1616" s="292"/>
      <c r="H1616" s="5">
        <v>1</v>
      </c>
      <c r="I1616" s="5">
        <v>2</v>
      </c>
      <c r="J1616" s="5">
        <v>3</v>
      </c>
      <c r="K1616" s="5">
        <v>4</v>
      </c>
      <c r="L1616" s="5">
        <v>5</v>
      </c>
      <c r="M1616" s="271"/>
      <c r="N1616" s="272"/>
      <c r="O1616" s="272"/>
      <c r="P1616" s="273"/>
      <c r="Q1616" s="7"/>
      <c r="R1616" s="330"/>
      <c r="S1616" s="334"/>
      <c r="T1616" s="335"/>
      <c r="U1616" s="335"/>
      <c r="V1616" s="335"/>
      <c r="W1616" s="335"/>
      <c r="X1616" s="336"/>
      <c r="Y1616" s="330"/>
      <c r="Z1616" s="330"/>
      <c r="AA1616" s="330"/>
      <c r="AB1616" s="330"/>
      <c r="AC1616" s="330"/>
      <c r="AD1616" s="360"/>
      <c r="AE1616" s="361"/>
      <c r="AF1616" s="362"/>
    </row>
    <row r="1617" spans="1:32" ht="12.75" customHeight="1">
      <c r="A1617" s="300" t="str">
        <f>B1590</f>
        <v>B</v>
      </c>
      <c r="B1617" s="293" t="str">
        <f ca="1">IF(AND(OFFSET($AO$1,$C1590-1,8,1,1),$A1591&lt;&gt;"",$J1591&lt;&gt;""),CHOOSE($C1590,$AR$1,$AR$2,$AR$3,$AR$4,$AR$5,$AR$6,$AR$7,$AR$8,$AR$9,$AR$10,$AR$11,$AR$12),"")</f>
        <v/>
      </c>
      <c r="C1617" s="294"/>
      <c r="D1617" s="294"/>
      <c r="E1617" s="294"/>
      <c r="F1617" s="294"/>
      <c r="G1617" s="294"/>
      <c r="H1617" s="265"/>
      <c r="I1617" s="265"/>
      <c r="J1617" s="265"/>
      <c r="K1617" s="265"/>
      <c r="L1617" s="265" t="str">
        <f ca="1">IF(AND($B1617&lt;&gt;"",$Q1596&lt;&gt;""),IF($B1617="Missing Player",0,IF($B1619="Missing Player",11,"")),"")</f>
        <v/>
      </c>
      <c r="M1617" s="262" t="str">
        <f ca="1">IF(OR(AND($B1610&lt;&gt;"",$B1617&lt;&gt;"",$E1621&lt;=$D1621),AND($B1612&lt;&gt;"",$B1619&lt;&gt;"",$I1621&lt;=$H1621)),"Invalid Lineup","")</f>
        <v/>
      </c>
      <c r="N1617" s="263"/>
      <c r="O1617" s="263"/>
      <c r="P1617" s="264"/>
      <c r="Q1617" s="137" t="str">
        <f ca="1">IF($L1617=$L1619,IF($K1617=$K1619,IF($J1617&lt;&gt;"",IF($J1617&gt;$J1619,"W","L"),""),IF($K1617&gt;$K1619,"W","L")),IF($L1617&gt;$L1619,"W","L"))</f>
        <v/>
      </c>
      <c r="R1617" s="300" t="str">
        <f>$K1590</f>
        <v>J</v>
      </c>
      <c r="S1617" s="331" t="str">
        <f ca="1">IF($B1612&lt;&gt;"",$B1612,"")</f>
        <v/>
      </c>
      <c r="T1617" s="332"/>
      <c r="U1617" s="332"/>
      <c r="V1617" s="332"/>
      <c r="W1617" s="332"/>
      <c r="X1617" s="333"/>
      <c r="Y1617" s="329"/>
      <c r="Z1617" s="329"/>
      <c r="AA1617" s="329"/>
      <c r="AB1617" s="329"/>
      <c r="AC1617" s="351"/>
      <c r="AD1617" s="363" t="s">
        <v>1237</v>
      </c>
      <c r="AE1617" s="358"/>
      <c r="AF1617" s="359"/>
    </row>
    <row r="1618" spans="1:32" ht="12.75" customHeight="1">
      <c r="A1618" s="301"/>
      <c r="B1618" s="295"/>
      <c r="C1618" s="296"/>
      <c r="D1618" s="296"/>
      <c r="E1618" s="296"/>
      <c r="F1618" s="296"/>
      <c r="G1618" s="296"/>
      <c r="H1618" s="270"/>
      <c r="I1618" s="270"/>
      <c r="J1618" s="270"/>
      <c r="K1618" s="270"/>
      <c r="L1618" s="270"/>
      <c r="M1618" s="262"/>
      <c r="N1618" s="263"/>
      <c r="O1618" s="263"/>
      <c r="P1618" s="264"/>
      <c r="Q1618" s="139" t="str">
        <f ca="1">IF($Q1617&lt;&gt;"",IF($B1619&lt;&gt;"Missing Player",IF($Q1617="W",IF(SUM(IF($H1617&gt;$H1619,1,0),IF($I1617&gt;$I1619,1,0),IF($J1617&gt;$J1619,1,0),IF($K1617&gt;$K1619,1,0),IF($L1617&gt;$L1619,1,0))&lt;&gt;3,"Error",""),""),""),"")</f>
        <v/>
      </c>
      <c r="R1618" s="330"/>
      <c r="S1618" s="334"/>
      <c r="T1618" s="335"/>
      <c r="U1618" s="335"/>
      <c r="V1618" s="335"/>
      <c r="W1618" s="335"/>
      <c r="X1618" s="336"/>
      <c r="Y1618" s="330"/>
      <c r="Z1618" s="330"/>
      <c r="AA1618" s="330"/>
      <c r="AB1618" s="330"/>
      <c r="AC1618" s="330"/>
      <c r="AD1618" s="360"/>
      <c r="AE1618" s="361"/>
      <c r="AF1618" s="362"/>
    </row>
    <row r="1619" spans="1:32" ht="12.75" customHeight="1">
      <c r="A1619" s="300" t="str">
        <f>K1590</f>
        <v>J</v>
      </c>
      <c r="B1619" s="293" t="str">
        <f ca="1">IF(AND(OFFSET($AO$1,$L1590-1,8,1,1),$A1591&lt;&gt;"",$J1591&lt;&gt;""),CHOOSE($L1590,$AR$1,$AR$2,$AR$3,$AR$4,$AR$5,$AR$6,$AR$7,$AR$8,$AR$9,$AR$10,$AR$11,$AR$12),"")</f>
        <v/>
      </c>
      <c r="C1619" s="294"/>
      <c r="D1619" s="294"/>
      <c r="E1619" s="294"/>
      <c r="F1619" s="294"/>
      <c r="G1619" s="294"/>
      <c r="H1619" s="265"/>
      <c r="I1619" s="265"/>
      <c r="J1619" s="265"/>
      <c r="K1619" s="265"/>
      <c r="L1619" s="265" t="str">
        <f ca="1">IF(AND($B1619&lt;&gt;"",$Q1596&lt;&gt;""),IF($B1619="Missing Player",0,IF($B1617="Missing Player",11,"")),"")</f>
        <v/>
      </c>
      <c r="M1619" s="267" t="s">
        <v>1237</v>
      </c>
      <c r="N1619" s="268"/>
      <c r="O1619" s="268"/>
      <c r="P1619" s="269"/>
      <c r="Q1619" s="137" t="str">
        <f ca="1">IF($Q1617&lt;&gt;"",IF($Q1617="W","L","W"),"")</f>
        <v/>
      </c>
      <c r="R1619" s="112"/>
      <c r="S1619" s="98"/>
      <c r="T1619" s="108"/>
      <c r="U1619" s="108"/>
      <c r="V1619" s="108"/>
      <c r="W1619" s="108"/>
      <c r="X1619" s="108"/>
      <c r="Y1619" s="113"/>
      <c r="Z1619" s="113"/>
      <c r="AA1619" s="113"/>
      <c r="AB1619" s="113"/>
      <c r="AC1619" s="113"/>
      <c r="AD1619" s="107"/>
      <c r="AE1619" s="109"/>
      <c r="AF1619" s="109"/>
    </row>
    <row r="1620" spans="1:32" ht="12.75" customHeight="1">
      <c r="A1620" s="301"/>
      <c r="B1620" s="295"/>
      <c r="C1620" s="296"/>
      <c r="D1620" s="296"/>
      <c r="E1620" s="296"/>
      <c r="F1620" s="296"/>
      <c r="G1620" s="296"/>
      <c r="H1620" s="270"/>
      <c r="I1620" s="270"/>
      <c r="J1620" s="266"/>
      <c r="K1620" s="266"/>
      <c r="L1620" s="266"/>
      <c r="M1620" s="267"/>
      <c r="N1620" s="268"/>
      <c r="O1620" s="268"/>
      <c r="P1620" s="269"/>
      <c r="Q1620" s="139" t="str">
        <f ca="1">IF($Q1619&lt;&gt;"",IF($B1617&lt;&gt;"Missing Player",IF($Q1619="W",IF(SUM(IF($H1619&gt;$H1617,1,0),IF($I1619&gt;$I1617,1,0),IF($J1619&gt;$J1617,1,0),IF($K1619&gt;$K1617,1,0),IF($L1619&gt;$L1617,1,0))&lt;&gt;3,"Error",""),""),""),"")</f>
        <v/>
      </c>
      <c r="R1620" s="114"/>
      <c r="S1620" s="115"/>
      <c r="T1620" s="115"/>
      <c r="U1620" s="115"/>
      <c r="V1620" s="115"/>
      <c r="W1620" s="115"/>
      <c r="X1620" s="115"/>
      <c r="Y1620" s="114"/>
      <c r="Z1620" s="114"/>
      <c r="AA1620" s="114"/>
      <c r="AB1620" s="114"/>
      <c r="AC1620" s="114"/>
      <c r="AD1620" s="114"/>
      <c r="AE1620" s="114"/>
      <c r="AF1620" s="114"/>
    </row>
    <row r="1621" spans="1:32" ht="12.75" customHeight="1">
      <c r="B1621" s="140" t="str">
        <f ca="1">IF(ISERROR(VLOOKUP($B1596&amp;"("&amp;$B1590&amp;")",Players!$S$4:$T$132,2,FALSE)),"",VLOOKUP($B1596&amp;"("&amp;$B1590&amp;")",Players!$S$4:$T$132,2,FALSE))</f>
        <v>B1</v>
      </c>
      <c r="C1621" s="140" t="str">
        <f ca="1">IF(ISERROR(VLOOKUP($B1603&amp;"("&amp;$B1590&amp;")",Players!$S$4:$T$132,2,FALSE)),"",VLOOKUP($B1603&amp;"("&amp;$B1590&amp;")",Players!$S$4:$T$132,2,FALSE))</f>
        <v>B1</v>
      </c>
      <c r="D1621" s="141" t="str">
        <f ca="1">IF(ISERROR(VLOOKUP($B1610&amp;"("&amp;$B1590&amp;")",Players!$S$4:$T$132,2,FALSE)),"",VLOOKUP($B1610&amp;"("&amp;$B1590&amp;")",Players!$S$4:$T$132,2,FALSE))</f>
        <v>B1</v>
      </c>
      <c r="E1621" s="141" t="str">
        <f ca="1">IF(ISERROR(VLOOKUP($B1617&amp;"("&amp;$B1590&amp;")",Players!$S$4:$T$132,2,FALSE)),"",VLOOKUP($B1617&amp;"("&amp;$B1590&amp;")",Players!$S$4:$T$132,2,FALSE))</f>
        <v>B1</v>
      </c>
      <c r="F1621" s="141" t="str">
        <f ca="1">IF(ISERROR(VLOOKUP($B1598&amp;"("&amp;$K1590&amp;")",Players!$S$4:$T$132,2,FALSE)),"",VLOOKUP($B1598&amp;"("&amp;$K1590&amp;")",Players!$S$4:$T$132,2,FALSE))</f>
        <v>J1</v>
      </c>
      <c r="G1621" s="141" t="str">
        <f ca="1">IF(ISERROR(VLOOKUP($B1605&amp;"("&amp;$K1590&amp;")",Players!$S$4:$T$132,2,FALSE)),"",VLOOKUP($B1605&amp;"("&amp;$K1590&amp;")",Players!$S$4:$T$132,2,FALSE))</f>
        <v>J1</v>
      </c>
      <c r="H1621" s="141" t="str">
        <f ca="1">IF(ISERROR(VLOOKUP($B1612&amp;"("&amp;$K1590&amp;")",Players!$S$4:$T$132,2,FALSE)),"",VLOOKUP($B1612&amp;"("&amp;$K1590&amp;")",Players!$S$4:$T$132,2,FALSE))</f>
        <v>J1</v>
      </c>
      <c r="I1621" s="141" t="str">
        <f ca="1">IF(ISERROR(VLOOKUP($B1619&amp;"("&amp;$K1590&amp;")",Players!$S$4:$T$132,2,FALSE)),"",VLOOKUP($B1619&amp;"("&amp;$K1590&amp;")",Players!$S$4:$T$132,2,FALSE))</f>
        <v>J1</v>
      </c>
      <c r="Q1621" s="7"/>
      <c r="R1621" s="50"/>
      <c r="S1621" s="116"/>
      <c r="T1621" s="115"/>
      <c r="U1621" s="115"/>
      <c r="V1621" s="115"/>
      <c r="W1621" s="115"/>
      <c r="X1621" s="115"/>
      <c r="Y1621" s="99"/>
      <c r="Z1621" s="99"/>
      <c r="AA1621" s="99"/>
      <c r="AB1621" s="99"/>
      <c r="AC1621" s="117"/>
      <c r="AD1621" s="118"/>
      <c r="AE1621" s="114"/>
      <c r="AF1621" s="114"/>
    </row>
    <row r="1622" spans="1:32" ht="12.75" customHeight="1">
      <c r="A1622" s="21" t="s">
        <v>1225</v>
      </c>
      <c r="H1622" s="136" t="str">
        <f ca="1">IF($Q1624&lt;&gt;"",IF(AND($B1625&lt;&gt;"Missing Player",$B1627&lt;&gt;"Missing Player"),IF(AND(AND($H1624&gt;-1,$H1626&gt;-1),OR($H1624&gt;10,$H1626&gt;10),ABS($H1624-$H1626)&gt;1,IF(OR($H1624&gt;11,$H1626&gt;11),ABS($H1624-$H1626)=2,TRUE),$H1624=INT($H1624),$H1626=INT($H1626)),"","Error"),""),"")</f>
        <v/>
      </c>
      <c r="I1622" s="136" t="str">
        <f ca="1">IF($Q1624&lt;&gt;"",IF(AND($B1625&lt;&gt;"Missing Player",$B1627&lt;&gt;"Missing Player"),IF(AND(AND($I1624&gt;-1,$I1626&gt;-1),OR($I1624&gt;10,$I1626&gt;10),ABS($I1624-$I1626)&gt;1,IF(OR($I1624&gt;11,$I1626&gt;11),ABS($I1624-$I1626)=2,TRUE),$I1624=INT($I1624),$I1626=INT($I1626)),"","Error"),""),"")</f>
        <v/>
      </c>
      <c r="J1622" s="136" t="str">
        <f ca="1">IF($Q1624&lt;&gt;"",IF(AND($B1625&lt;&gt;"Missing Player",$B1627&lt;&gt;"Missing Player"),IF(AND(AND($J1624&gt;-1,$J1626&gt;-1),OR($J1624&gt;10,$J1626&gt;10),ABS($J1624-$J1626)&gt;1,IF(OR($J1624&gt;11,$J1626&gt;11),ABS($J1624-$J1626)=2,TRUE),$J1624=INT($J1624),$J1626=INT($J1626)),"","Error"),""),"")</f>
        <v/>
      </c>
      <c r="K1622" s="136" t="str">
        <f ca="1">IF($Q1624&lt;&gt;"",IF(AND($K1624&lt;&gt;"",$K1626&lt;&gt;""), IF(AND(AND($K1624&gt;-1,$K1626&gt;-1),OR($K1624&gt;10,$K1626&gt;10),ABS($K1624-$K1626)&gt;1,IF(OR($K1624&gt;11,$K1626&gt;11),ABS($K1624-$K1626)=2,TRUE),$K1624=INT($K1624),$K1626=INT($K1626)),"","Error"),""),"")</f>
        <v/>
      </c>
      <c r="L1622" s="136" t="str">
        <f ca="1">IF($Q1624&lt;&gt;"",IF(AND($L1624&lt;&gt;"",$L1626&lt;&gt;""), IF(AND(AND($L1624&gt;-1,$L1626&gt;-1),OR($L1624&gt;10,$L1626&gt;10),ABS($L1624-$L1626)&gt;1,IF(OR($L1624&gt;11,$L1626&gt;11),ABS($L1624-$L1626)=2,TRUE),$L1624=INT($L1624),$L1626=INT($L1626)),"","Error"),""),"")</f>
        <v/>
      </c>
      <c r="Q1622" s="7"/>
      <c r="R1622" s="114"/>
      <c r="S1622" s="115"/>
      <c r="T1622" s="115"/>
      <c r="U1622" s="115"/>
      <c r="V1622" s="115"/>
      <c r="W1622" s="115"/>
      <c r="X1622" s="115"/>
      <c r="Y1622" s="114"/>
      <c r="Z1622" s="114"/>
      <c r="AA1622" s="114"/>
      <c r="AB1622" s="114"/>
      <c r="AC1622" s="114"/>
      <c r="AD1622" s="114"/>
      <c r="AE1622" s="114"/>
      <c r="AF1622" s="114"/>
    </row>
    <row r="1623" spans="1:32" ht="12.75" customHeight="1">
      <c r="A1623" s="5" t="s">
        <v>1228</v>
      </c>
      <c r="B1623" s="290" t="s">
        <v>1126</v>
      </c>
      <c r="C1623" s="291"/>
      <c r="D1623" s="291"/>
      <c r="E1623" s="291"/>
      <c r="F1623" s="291"/>
      <c r="G1623" s="292"/>
      <c r="H1623" s="5">
        <v>1</v>
      </c>
      <c r="I1623" s="5">
        <v>2</v>
      </c>
      <c r="J1623" s="5">
        <v>3</v>
      </c>
      <c r="K1623" s="5">
        <v>4</v>
      </c>
      <c r="L1623" s="5">
        <v>5</v>
      </c>
      <c r="M1623" s="271"/>
      <c r="N1623" s="272"/>
      <c r="O1623" s="272"/>
      <c r="P1623" s="273"/>
      <c r="Q1623" s="8"/>
      <c r="S1623" s="24"/>
      <c r="T1623" s="26"/>
    </row>
    <row r="1624" spans="1:32" ht="12.75" customHeight="1">
      <c r="A1624" s="300" t="str">
        <f>B1590</f>
        <v>B</v>
      </c>
      <c r="B1624" s="311" t="str">
        <f ca="1">IF($B1596&lt;&gt;"",$B1596,"")</f>
        <v/>
      </c>
      <c r="C1624" s="312"/>
      <c r="D1624" s="312"/>
      <c r="E1624" s="312"/>
      <c r="F1624" s="312"/>
      <c r="G1624" s="313"/>
      <c r="H1624" s="265"/>
      <c r="I1624" s="265"/>
      <c r="J1624" s="265"/>
      <c r="K1624" s="265"/>
      <c r="L1624" s="265" t="str">
        <f ca="1">IF($B1617&lt;&gt;"",IF(AND($B1617="Missing Player",$G1628=2,$J1628=2),0,IF(AND($B1619="Missing Player",$G1628=2,$J1628=2),11,"")),"")</f>
        <v/>
      </c>
      <c r="M1624" s="262" t="str">
        <f ca="1">IF(OR(AND($B1624&lt;&gt;"",$B1625&lt;&gt;"",$B1624=$B1625),AND($B1626&lt;&gt;"",$B1627&lt;&gt;"",$B1626=$B1627)),"Invalid Partner","")</f>
        <v/>
      </c>
      <c r="N1624" s="263"/>
      <c r="O1624" s="263"/>
      <c r="P1624" s="264"/>
      <c r="Q1624" s="138" t="str">
        <f ca="1">IF(L1624=L1626,IF(K1624=K1626,IF(J1624&lt;&gt;"",IF(J1624&gt;J1626,"W","L"),""),IF(K1624&gt;K1626,"W","L")),IF(L1624&gt;L1626,"W","L"))</f>
        <v/>
      </c>
      <c r="S1624" s="24"/>
      <c r="T1624" s="26"/>
    </row>
    <row r="1625" spans="1:32" ht="12.75" customHeight="1">
      <c r="A1625" s="324"/>
      <c r="B1625" s="308" t="str">
        <f ca="1">IF($B1617="Missing Player",$B1617,"")</f>
        <v/>
      </c>
      <c r="C1625" s="309"/>
      <c r="D1625" s="309"/>
      <c r="E1625" s="309"/>
      <c r="F1625" s="309"/>
      <c r="G1625" s="310"/>
      <c r="H1625" s="270"/>
      <c r="I1625" s="270"/>
      <c r="J1625" s="270"/>
      <c r="K1625" s="270"/>
      <c r="L1625" s="270"/>
      <c r="M1625" s="262"/>
      <c r="N1625" s="263"/>
      <c r="O1625" s="263"/>
      <c r="P1625" s="264"/>
      <c r="Q1625" s="139" t="str">
        <f ca="1">IF($Q1624&lt;&gt;"",IF($B1627&lt;&gt;"Missing Player",IF($Q1624="W",IF(SUM(IF($H1624&gt;$H1626,1,0),IF($I1624&gt;$I1626,1,0),IF($J1624&gt;$J1626,1,0),IF($K1624&gt;$K1626,1,0),IF($L1624&gt;$L1626,1,0))&lt;&gt;3,"Error",""),""),""),"")</f>
        <v/>
      </c>
      <c r="R1625" s="328" t="str">
        <f>$A1591</f>
        <v/>
      </c>
      <c r="S1625" s="328"/>
      <c r="T1625" s="328"/>
      <c r="U1625" s="328"/>
      <c r="V1625" s="328"/>
      <c r="W1625" s="328"/>
      <c r="X1625" s="256" t="str">
        <f>CONCATENATE("(",$B1590," vs ",$K1590,")")</f>
        <v>(B vs J)</v>
      </c>
      <c r="Y1625" s="256"/>
      <c r="Z1625" s="328" t="str">
        <f>$J1591</f>
        <v/>
      </c>
      <c r="AA1625" s="328"/>
      <c r="AB1625" s="328"/>
      <c r="AC1625" s="328"/>
      <c r="AD1625" s="328"/>
      <c r="AE1625" s="328"/>
      <c r="AF1625" s="43"/>
    </row>
    <row r="1626" spans="1:32" ht="12.75" customHeight="1">
      <c r="A1626" s="325" t="str">
        <f>K1590</f>
        <v>J</v>
      </c>
      <c r="B1626" s="311" t="str">
        <f ca="1">IF($B1598&lt;&gt;"",$B1598,"")</f>
        <v/>
      </c>
      <c r="C1626" s="312"/>
      <c r="D1626" s="312"/>
      <c r="E1626" s="312"/>
      <c r="F1626" s="312"/>
      <c r="G1626" s="313"/>
      <c r="H1626" s="265"/>
      <c r="I1626" s="265"/>
      <c r="J1626" s="265"/>
      <c r="K1626" s="265"/>
      <c r="L1626" s="265" t="str">
        <f ca="1">IF($B1619&lt;&gt;"",IF(AND($B1619="Missing Player",$G1628=2,$J1628=2),0,IF(AND($B1617="Missing Player",$G1628=2,$J1628=2),11,"")),"")</f>
        <v/>
      </c>
      <c r="M1626" s="267" t="s">
        <v>1237</v>
      </c>
      <c r="N1626" s="268"/>
      <c r="O1626" s="268"/>
      <c r="P1626" s="269"/>
      <c r="Q1626" s="138" t="str">
        <f ca="1">IF(Q1624&lt;&gt;"",IF(Q1624="W","L","W"),"")</f>
        <v/>
      </c>
      <c r="R1626" s="43"/>
      <c r="S1626" s="43"/>
      <c r="T1626" s="43"/>
      <c r="U1626" s="43"/>
      <c r="V1626" s="43"/>
      <c r="W1626" s="43"/>
      <c r="X1626" s="43"/>
      <c r="Y1626" s="43"/>
      <c r="Z1626" s="43"/>
      <c r="AA1626" s="43"/>
      <c r="AB1626" s="43"/>
      <c r="AC1626" s="43"/>
      <c r="AD1626" s="43"/>
      <c r="AE1626" s="43"/>
      <c r="AF1626" s="43"/>
    </row>
    <row r="1627" spans="1:32" ht="12.75" customHeight="1">
      <c r="A1627" s="324"/>
      <c r="B1627" s="308" t="str">
        <f ca="1">IF($B1619="Missing Player",$B1619,"")</f>
        <v/>
      </c>
      <c r="C1627" s="309"/>
      <c r="D1627" s="309"/>
      <c r="E1627" s="309"/>
      <c r="F1627" s="309"/>
      <c r="G1627" s="310"/>
      <c r="H1627" s="270"/>
      <c r="I1627" s="270"/>
      <c r="J1627" s="266"/>
      <c r="K1627" s="266"/>
      <c r="L1627" s="266"/>
      <c r="M1627" s="267"/>
      <c r="N1627" s="268"/>
      <c r="O1627" s="268"/>
      <c r="P1627" s="269"/>
      <c r="Q1627" s="139" t="str">
        <f ca="1">IF($Q1626&lt;&gt;"",IF($B1625&lt;&gt;"Missing Player",IF($Q1626="W",IF(SUM(IF($H1626&gt;$H1624,1,0),IF($I1626&gt;$I1624,1,0),IF($J1626&gt;$J1624,1,0),IF($K1626&gt;$K1624,1,0),IF($L1626&gt;$L1624,1,0))&lt;&gt;3,"Error",""),""),""),"")</f>
        <v/>
      </c>
      <c r="R1627" s="43" t="str">
        <f>A1615</f>
        <v>4th Singles</v>
      </c>
      <c r="S1627" s="43"/>
      <c r="T1627" s="43"/>
      <c r="U1627" s="43"/>
      <c r="V1627" s="43"/>
      <c r="W1627" s="43"/>
      <c r="X1627" s="43"/>
      <c r="Y1627" s="43"/>
      <c r="Z1627" s="43"/>
      <c r="AA1627" s="43"/>
      <c r="AB1627" s="43"/>
      <c r="AC1627" s="43"/>
      <c r="AD1627" s="43"/>
      <c r="AE1627" s="43"/>
      <c r="AF1627" s="43"/>
    </row>
    <row r="1628" spans="1:32" ht="12.75" customHeight="1">
      <c r="G1628" s="66">
        <f ca="1">COUNTIF($Q1596:$Q1596,"W")+COUNTIF($Q1603:$Q1603,"W")+COUNTIF($Q1610:$Q1610,"W")+COUNTIF($Q1617:$Q1617,"W")</f>
        <v>0</v>
      </c>
      <c r="J1628" s="66">
        <f ca="1">COUNTIF($Q1598:$Q1598,"W")+COUNTIF($Q1605:$Q1605,"W")+COUNTIF($Q1612:$Q1612,"W")+COUNTIF($Q1619:$Q1619,"W")</f>
        <v>0</v>
      </c>
      <c r="R1628" s="60" t="s">
        <v>1228</v>
      </c>
      <c r="S1628" s="339" t="s">
        <v>1126</v>
      </c>
      <c r="T1628" s="340"/>
      <c r="U1628" s="340"/>
      <c r="V1628" s="340"/>
      <c r="W1628" s="340"/>
      <c r="X1628" s="341"/>
      <c r="Y1628" s="60">
        <v>1</v>
      </c>
      <c r="Z1628" s="60">
        <v>2</v>
      </c>
      <c r="AA1628" s="60">
        <v>3</v>
      </c>
      <c r="AB1628" s="60">
        <v>4</v>
      </c>
      <c r="AC1628" s="60">
        <v>5</v>
      </c>
      <c r="AD1628" s="342"/>
      <c r="AE1628" s="343"/>
      <c r="AF1628" s="344"/>
    </row>
    <row r="1629" spans="1:32" ht="12.75" customHeight="1" thickBot="1">
      <c r="F1629" s="246" t="s">
        <v>1238</v>
      </c>
      <c r="G1629" s="246"/>
      <c r="H1629" s="246"/>
      <c r="I1629" s="246"/>
      <c r="J1629" s="246"/>
      <c r="K1629" s="246"/>
      <c r="R1629" s="300" t="str">
        <f>B1590</f>
        <v>B</v>
      </c>
      <c r="S1629" s="331" t="str">
        <f ca="1">IF($B1617&lt;&gt;"",$B1617,"")</f>
        <v/>
      </c>
      <c r="T1629" s="353"/>
      <c r="U1629" s="353"/>
      <c r="V1629" s="353"/>
      <c r="W1629" s="353"/>
      <c r="X1629" s="354"/>
      <c r="Y1629" s="329"/>
      <c r="Z1629" s="329"/>
      <c r="AA1629" s="351"/>
      <c r="AB1629" s="351"/>
      <c r="AC1629" s="351"/>
      <c r="AD1629" s="345"/>
      <c r="AE1629" s="346"/>
      <c r="AF1629" s="347"/>
    </row>
    <row r="1630" spans="1:32" ht="12.75" customHeight="1">
      <c r="A1630" s="22"/>
      <c r="B1630" s="22"/>
      <c r="C1630" s="22"/>
      <c r="D1630" s="22"/>
      <c r="E1630" s="22"/>
      <c r="G1630" s="304" t="str">
        <f>B1590</f>
        <v>B</v>
      </c>
      <c r="H1630" s="305"/>
      <c r="I1630" s="302" t="str">
        <f>K1590</f>
        <v>J</v>
      </c>
      <c r="J1630" s="303"/>
      <c r="L1630" s="22"/>
      <c r="M1630" s="22"/>
      <c r="N1630" s="22"/>
      <c r="O1630" s="22"/>
      <c r="P1630" s="22"/>
      <c r="R1630" s="301"/>
      <c r="S1630" s="355"/>
      <c r="T1630" s="356"/>
      <c r="U1630" s="356"/>
      <c r="V1630" s="356"/>
      <c r="W1630" s="356"/>
      <c r="X1630" s="357"/>
      <c r="Y1630" s="338"/>
      <c r="Z1630" s="338"/>
      <c r="AA1630" s="352"/>
      <c r="AB1630" s="352"/>
      <c r="AC1630" s="352"/>
      <c r="AD1630" s="348"/>
      <c r="AE1630" s="349"/>
      <c r="AF1630" s="350"/>
    </row>
    <row r="1631" spans="1:32" ht="12.75" customHeight="1" thickBot="1">
      <c r="A1631" s="2" t="s">
        <v>1228</v>
      </c>
      <c r="B1631" s="53" t="str">
        <f>B1590</f>
        <v>B</v>
      </c>
      <c r="C1631" s="3" t="s">
        <v>1226</v>
      </c>
      <c r="F1631" s="66" t="str">
        <f>CONCATENATE($B1590,"-",$K1590)</f>
        <v>B-J</v>
      </c>
      <c r="G1631" s="320" t="str">
        <f ca="1">IF(OR(Q1596&lt;&gt;"",Q1603&lt;&gt;"",Q1610&lt;&gt;"",Q1617&lt;&gt;"",Q1624&lt;&gt;""),COUNTIF(Q1596:Q1596,"W")+COUNTIF(Q1603:Q1603,"W")+COUNTIF(Q1610:Q1610,"W")+COUNTIF(Q1617:Q1617,"W")+COUNTIF(Q1624:Q1624,"W"),"")</f>
        <v/>
      </c>
      <c r="H1631" s="321"/>
      <c r="I1631" s="322" t="str">
        <f ca="1">IF(OR(Q1598&lt;&gt;"",Q1605&lt;&gt;"",Q1612&lt;&gt;"",Q1619&lt;&gt;"",Q1626&lt;&gt;""),COUNTIF(Q1598:Q1598,"W")+COUNTIF(Q1605:Q1605,"W")+COUNTIF(Q1612:Q1612,"W")+COUNTIF(Q1619:Q1619,"W")+COUNTIF(Q1626:Q1626,"W"),"")</f>
        <v/>
      </c>
      <c r="J1631" s="323"/>
      <c r="L1631" s="2" t="s">
        <v>1228</v>
      </c>
      <c r="M1631" s="53" t="str">
        <f>K1590</f>
        <v>J</v>
      </c>
      <c r="N1631" s="3" t="s">
        <v>1226</v>
      </c>
      <c r="R1631" s="300" t="str">
        <f>K1590</f>
        <v>J</v>
      </c>
      <c r="S1631" s="331" t="str">
        <f ca="1">IF($B1619&lt;&gt;"",$B1619,"")</f>
        <v/>
      </c>
      <c r="T1631" s="332"/>
      <c r="U1631" s="332"/>
      <c r="V1631" s="332"/>
      <c r="W1631" s="332"/>
      <c r="X1631" s="333"/>
      <c r="Y1631" s="329"/>
      <c r="Z1631" s="329"/>
      <c r="AA1631" s="351"/>
      <c r="AB1631" s="351"/>
      <c r="AC1631" s="351"/>
      <c r="AD1631" s="363" t="s">
        <v>1237</v>
      </c>
      <c r="AE1631" s="358"/>
      <c r="AF1631" s="359"/>
    </row>
    <row r="1632" spans="1:32" ht="12.75" customHeight="1">
      <c r="F1632" s="25" t="s">
        <v>3996</v>
      </c>
      <c r="G1632" s="23"/>
      <c r="H1632" s="23"/>
      <c r="I1632" s="23"/>
      <c r="J1632" s="23"/>
      <c r="K1632" s="24"/>
      <c r="R1632" s="330"/>
      <c r="S1632" s="334"/>
      <c r="T1632" s="335"/>
      <c r="U1632" s="335"/>
      <c r="V1632" s="335"/>
      <c r="W1632" s="335"/>
      <c r="X1632" s="336"/>
      <c r="Y1632" s="330"/>
      <c r="Z1632" s="330"/>
      <c r="AA1632" s="330"/>
      <c r="AB1632" s="330"/>
      <c r="AC1632" s="330"/>
      <c r="AD1632" s="360"/>
      <c r="AE1632" s="361"/>
      <c r="AF1632" s="362"/>
    </row>
    <row r="1633" spans="1:32" ht="12.75" customHeight="1">
      <c r="R1633" s="1"/>
      <c r="S1633" s="110"/>
      <c r="T1633" s="110"/>
      <c r="U1633" s="110"/>
      <c r="V1633" s="110"/>
      <c r="W1633" s="110"/>
      <c r="X1633" s="111"/>
      <c r="Y1633" s="111"/>
      <c r="Z1633" s="111"/>
      <c r="AA1633" s="111"/>
    </row>
    <row r="1634" spans="1:32" ht="12.75" customHeight="1">
      <c r="F1634" s="246" t="s">
        <v>4929</v>
      </c>
      <c r="G1634" s="246"/>
      <c r="H1634" s="246"/>
      <c r="I1634" s="246"/>
      <c r="R1634" s="1"/>
      <c r="S1634" s="110"/>
      <c r="T1634" s="110"/>
      <c r="U1634" s="110"/>
      <c r="V1634" s="110"/>
      <c r="W1634" s="110"/>
      <c r="X1634" s="111"/>
      <c r="Y1634" s="111"/>
      <c r="Z1634" s="111"/>
      <c r="AA1634" s="111"/>
    </row>
    <row r="1635" spans="1:32" ht="12.75" customHeight="1">
      <c r="F1635" s="246" t="s">
        <v>4930</v>
      </c>
      <c r="G1635" s="246"/>
      <c r="H1635" s="246"/>
      <c r="I1635" s="246"/>
      <c r="R1635" s="1"/>
      <c r="S1635" s="110"/>
      <c r="T1635" s="110"/>
      <c r="U1635" s="110"/>
      <c r="V1635" s="110"/>
      <c r="W1635" s="110"/>
      <c r="X1635" s="111"/>
      <c r="Y1635" s="111"/>
      <c r="Z1635" s="111"/>
      <c r="AA1635" s="111"/>
    </row>
    <row r="1636" spans="1:32" ht="12.75" customHeight="1">
      <c r="K1636" s="281" t="s">
        <v>1244</v>
      </c>
      <c r="L1636" s="281"/>
      <c r="M1636" s="281"/>
      <c r="N1636" s="281"/>
      <c r="O1636" s="281"/>
      <c r="P1636" s="281"/>
      <c r="R1636" s="1"/>
      <c r="S1636" s="110"/>
      <c r="T1636" s="110"/>
      <c r="U1636" s="110"/>
      <c r="V1636" s="110"/>
      <c r="W1636" s="110"/>
      <c r="X1636" s="111"/>
      <c r="Y1636" s="111"/>
      <c r="Z1636" s="111"/>
      <c r="AA1636" s="111"/>
    </row>
    <row r="1637" spans="1:32" ht="12.75" customHeight="1">
      <c r="A1637" s="12" t="s">
        <v>1229</v>
      </c>
      <c r="B1637" s="11"/>
      <c r="C1637" s="11"/>
      <c r="D1637" s="11" t="str">
        <f>Draw!$B$1</f>
        <v>Enter Division Name</v>
      </c>
      <c r="E1637" s="11"/>
      <c r="F1637" s="7"/>
      <c r="G1637" s="6"/>
      <c r="H1637" s="7"/>
      <c r="I1637" s="11"/>
      <c r="J1637" s="11"/>
      <c r="K1637" s="11"/>
      <c r="L1637" s="11"/>
      <c r="M1637" s="281"/>
      <c r="N1637" s="281"/>
      <c r="O1637" s="281"/>
      <c r="P1637" s="281"/>
      <c r="R1637" s="1"/>
      <c r="S1637" s="110"/>
      <c r="T1637" s="110"/>
      <c r="U1637" s="110"/>
      <c r="V1637" s="110"/>
      <c r="W1637" s="110"/>
      <c r="X1637" s="111"/>
      <c r="Y1637" s="111"/>
      <c r="Z1637" s="111"/>
      <c r="AA1637" s="111"/>
    </row>
    <row r="1638" spans="1:32" ht="12.75" customHeight="1">
      <c r="A1638" s="2" t="s">
        <v>1230</v>
      </c>
      <c r="D1638" s="43" t="str">
        <f>Draw!$D$1</f>
        <v>Enter Hosting Location (City, ST)</v>
      </c>
      <c r="J1638" s="43" t="str">
        <f ca="1">$J$6</f>
        <v>[NCTTA Teams Template (v2.06).xlsx]</v>
      </c>
      <c r="R1638" s="1"/>
      <c r="S1638" s="110"/>
      <c r="T1638" s="110"/>
      <c r="U1638" s="110"/>
      <c r="V1638" s="110"/>
      <c r="W1638" s="110"/>
      <c r="X1638" s="111"/>
      <c r="Y1638" s="111"/>
      <c r="Z1638" s="111"/>
      <c r="AA1638" s="111"/>
    </row>
    <row r="1639" spans="1:32" ht="12.75" customHeight="1">
      <c r="A1639" s="2" t="s">
        <v>1231</v>
      </c>
      <c r="D1639" s="337" t="str">
        <f>Draw!$P$1</f>
        <v>Enter Date</v>
      </c>
      <c r="E1639" s="337"/>
      <c r="F1639" s="337"/>
      <c r="G1639" s="337"/>
      <c r="J1639" s="280" t="str">
        <f>CHOOSE(Draw!$T$1,"Round 6, Match 3","","","","","","","","Round 9, Match 1","Round 7, Match 3","Round 7, Match 3")</f>
        <v/>
      </c>
      <c r="K1639" s="280"/>
      <c r="L1639" s="280"/>
      <c r="M1639" s="276" t="str">
        <f>IF(AND($J1639&lt;&gt;"",Draw!$AC$10&lt;&gt;"",Draw!$AC$13&lt;&gt;""),Draw!$AC$10+TIME(0,VALUE(MID($J1639,7,FIND(",",$J1639)-FIND(" ",$J1639)-1)-1)*Draw!$AC$13,0),"")</f>
        <v/>
      </c>
      <c r="N1639" s="276"/>
      <c r="O1639" s="157" t="str">
        <f>$F1682</f>
        <v>B-K</v>
      </c>
      <c r="R1639" s="1"/>
      <c r="S1639" s="110"/>
      <c r="T1639" s="110"/>
      <c r="U1639" s="110"/>
      <c r="V1639" s="110"/>
      <c r="W1639" s="110"/>
      <c r="X1639" s="111"/>
      <c r="Y1639" s="111"/>
      <c r="Z1639" s="111"/>
      <c r="AA1639" s="111"/>
    </row>
    <row r="1640" spans="1:32" ht="12.75" customHeight="1">
      <c r="A1640" s="14"/>
      <c r="B1640" s="15"/>
      <c r="C1640" s="15"/>
      <c r="D1640" s="15"/>
      <c r="E1640" s="15"/>
      <c r="F1640" s="14"/>
      <c r="G1640" s="14"/>
      <c r="H1640" s="16"/>
      <c r="I1640" s="14"/>
      <c r="J1640" s="15"/>
      <c r="K1640" s="15"/>
      <c r="L1640" s="15"/>
      <c r="M1640" s="15"/>
      <c r="N1640" s="15"/>
      <c r="O1640" s="364" t="str">
        <f>IF(OR(AND(VLOOKUP($B1641,$AM$1:$AX$12,12,FALSE)="C",VLOOKUP($K1641,$AM$1:$AX$12,12,FALSE)="C"),AND(VLOOKUP($B1641,$AM$1:$AX$12,12,FALSE)="W",VLOOKUP($K1641,$AM$1:$AX$12,12,FALSE)="W")),"Official",IF(AND($A1642="",$J1642=""),"","Scrimmage"))</f>
        <v/>
      </c>
      <c r="P1640" s="364"/>
      <c r="R1640" s="1"/>
      <c r="S1640" s="110"/>
      <c r="T1640" s="110"/>
      <c r="U1640" s="110"/>
      <c r="V1640" s="110"/>
      <c r="W1640" s="110"/>
      <c r="X1640" s="111"/>
      <c r="Y1640" s="111"/>
      <c r="Z1640" s="111"/>
      <c r="AA1640" s="111"/>
    </row>
    <row r="1641" spans="1:32" ht="12.75" customHeight="1">
      <c r="A1641" s="17" t="s">
        <v>1228</v>
      </c>
      <c r="B1641" s="119" t="str">
        <f>CHOOSE(Draw!$T$1,"E","A","B","C","D","C","C","B","A","E","D")</f>
        <v>B</v>
      </c>
      <c r="C1641" s="135">
        <f>VLOOKUP($B1641,$AM$1:$AN$12,2)</f>
        <v>2</v>
      </c>
      <c r="D1641" s="13"/>
      <c r="E1641" s="13"/>
      <c r="F1641" s="10"/>
      <c r="H1641" s="19" t="s">
        <v>1232</v>
      </c>
      <c r="J1641" s="17" t="s">
        <v>1228</v>
      </c>
      <c r="K1641" s="119" t="str">
        <f>CHOOSE(Draw!$T$1,"I","I","K","F","G","L","I","I","G","J","H")</f>
        <v>K</v>
      </c>
      <c r="L1641" s="135">
        <f>VLOOKUP($K1641,$AM$1:$AN$12,2)</f>
        <v>11</v>
      </c>
      <c r="M1641" s="13"/>
      <c r="N1641" s="13"/>
      <c r="O1641" s="18"/>
      <c r="P1641" s="274"/>
      <c r="Q1641" s="275"/>
      <c r="R1641" s="1"/>
      <c r="S1641" s="110"/>
      <c r="T1641" s="110"/>
      <c r="U1641" s="110"/>
      <c r="V1641" s="110"/>
      <c r="W1641" s="110"/>
      <c r="X1641" s="111"/>
      <c r="Y1641" s="111"/>
      <c r="Z1641" s="111"/>
      <c r="AA1641" s="111"/>
    </row>
    <row r="1642" spans="1:32" ht="12.75" customHeight="1">
      <c r="A1642" s="277" t="str">
        <f>IF(VLOOKUP($B1641,Draw!$A$4:$B$27,2)&lt;&gt;0,VLOOKUP($B1641,Draw!$A$4:$B$27,2),"")</f>
        <v/>
      </c>
      <c r="B1642" s="278"/>
      <c r="C1642" s="278"/>
      <c r="D1642" s="278"/>
      <c r="E1642" s="278"/>
      <c r="F1642" s="279"/>
      <c r="G1642" s="306" t="s">
        <v>4184</v>
      </c>
      <c r="H1642" s="289"/>
      <c r="I1642" s="307"/>
      <c r="J1642" s="277" t="str">
        <f>IF(VLOOKUP($K1641,Draw!$A$4:$B$27,2)&lt;&gt;0,VLOOKUP($K1641,Draw!$A$4:$B$27,2),"")</f>
        <v/>
      </c>
      <c r="K1642" s="278"/>
      <c r="L1642" s="278"/>
      <c r="M1642" s="278"/>
      <c r="N1642" s="278"/>
      <c r="O1642" s="279"/>
      <c r="P1642" s="15"/>
      <c r="R1642" s="1"/>
      <c r="S1642" s="110"/>
      <c r="T1642" s="110"/>
      <c r="U1642" s="110"/>
      <c r="V1642" s="110"/>
      <c r="W1642" s="110"/>
      <c r="X1642" s="111"/>
      <c r="Y1642" s="111"/>
      <c r="Z1642" s="111"/>
      <c r="AA1642" s="111"/>
    </row>
    <row r="1643" spans="1:32" ht="12.75" customHeight="1">
      <c r="A1643" s="14"/>
      <c r="B1643" s="15"/>
      <c r="C1643" s="15"/>
      <c r="D1643" s="15"/>
      <c r="E1643" s="15"/>
      <c r="F1643" s="14"/>
      <c r="G1643" s="288" t="str">
        <f>"Page "&amp;VALUE(RIGHT($G1642,LEN($G1642)-SEARCH("-",$G1642)))/2</f>
        <v>Page 33</v>
      </c>
      <c r="H1643" s="289"/>
      <c r="I1643" s="289"/>
      <c r="J1643" s="15"/>
      <c r="K1643" s="15"/>
      <c r="L1643" s="15"/>
      <c r="M1643" s="15"/>
      <c r="N1643" s="15"/>
      <c r="O1643" s="15"/>
      <c r="P1643" s="15"/>
      <c r="R1643" s="1"/>
      <c r="S1643" s="110"/>
      <c r="T1643" s="110"/>
      <c r="U1643" s="110"/>
      <c r="V1643" s="110"/>
      <c r="W1643" s="110"/>
      <c r="X1643" s="111"/>
      <c r="Y1643" s="111"/>
      <c r="Z1643" s="111"/>
      <c r="AA1643" s="111"/>
      <c r="AF1643" s="27"/>
    </row>
    <row r="1644" spans="1:32" ht="12.75" customHeight="1">
      <c r="A1644" s="327" t="s">
        <v>1245</v>
      </c>
      <c r="B1644" s="327"/>
      <c r="C1644" s="327"/>
      <c r="D1644" s="327"/>
      <c r="E1644" s="327"/>
      <c r="F1644" s="327"/>
      <c r="G1644" s="327"/>
      <c r="H1644" s="327"/>
      <c r="I1644" s="327"/>
      <c r="J1644" s="327"/>
      <c r="K1644" s="327"/>
      <c r="L1644" s="327"/>
      <c r="M1644" s="327"/>
      <c r="N1644" s="327"/>
      <c r="O1644" s="327"/>
      <c r="P1644" s="327"/>
      <c r="Q1644" s="7"/>
      <c r="R1644" s="1"/>
      <c r="S1644" s="110"/>
      <c r="T1644" s="110"/>
      <c r="U1644" s="110"/>
      <c r="V1644" s="110"/>
      <c r="W1644" s="110"/>
      <c r="X1644" s="111"/>
      <c r="Y1644" s="111"/>
      <c r="Z1644" s="111"/>
      <c r="AA1644" s="111"/>
      <c r="AF1644" s="20"/>
    </row>
    <row r="1645" spans="1:32" ht="12.75" customHeight="1">
      <c r="A1645" s="21" t="s">
        <v>1233</v>
      </c>
      <c r="H1645" s="136" t="str">
        <f>IF($Q1647&lt;&gt;"",IF(AND(AND($H1647&gt;-1,$H1649&gt;-1),OR($H1647&gt;10,$H1649&gt;10),ABS($H1647-$H1649)&gt;1,IF(OR($H1647&gt;11,$H1649&gt;11),ABS($H1647-$H1649)=2,TRUE),$H1647=INT($H1647),$H1649=INT($H1649)),"","Error"),"")</f>
        <v/>
      </c>
      <c r="I1645" s="136" t="str">
        <f>IF($Q1647&lt;&gt;"",IF(AND(AND($I1647&gt;-1,$I1649&gt;-1),OR($I1647&gt;10,$I1649&gt;10),ABS($I1647-$I1649)&gt;1,IF(OR($I1647&gt;11,$I1649&gt;11),ABS($I1647-$I1649)=2,TRUE),$I1647=INT($I1647),$I1649=INT($I1649)),"","Error"),"")</f>
        <v/>
      </c>
      <c r="J1645" s="136" t="str">
        <f>IF($Q1647&lt;&gt;"",IF(AND(AND($J1647&gt;-1,$J1649&gt;-1),OR($J1647&gt;10,$J1649&gt;10),ABS($J1647-$J1649)&gt;1,IF(OR($J1647&gt;11,$J1649&gt;11),ABS($J1647-$J1649)=2,TRUE),$J1647=INT($J1647),$J1649=INT($J1649)),"","Error"),"")</f>
        <v/>
      </c>
      <c r="K1645" s="136" t="str">
        <f>IF($Q1647&lt;&gt;"",IF(AND($K1647&lt;&gt;"",$K1649&lt;&gt;""), IF(AND(AND($K1647&gt;-1,$K1649&gt;-1),OR($K1647&gt;10,$K1649&gt;10),ABS($K1647-$K1649)&gt;1,IF(OR($K1647&gt;11,$K1649&gt;11),ABS($K1647-$K1649)=2,TRUE),$K1647=INT($K1647),$K1649=INT($K1649)),"","Error"),""),"")</f>
        <v/>
      </c>
      <c r="L1645" s="136" t="str">
        <f>IF($Q1647&lt;&gt;"",IF(AND($L1647&lt;&gt;"",$L1649&lt;&gt;""), IF(AND(AND($L1647&gt;-1,$L1649&gt;-1),OR($L1647&gt;10,$L1649&gt;10),ABS($L1647-$L1649)&gt;1,IF(OR($L1647&gt;11,$L1649&gt;11),ABS($L1647-$L1649)=2,TRUE),$L1647=INT($L1647),$L1649=INT($L1649)),"","Error"),""),"")</f>
        <v/>
      </c>
      <c r="R1645" s="1"/>
      <c r="S1645" s="110"/>
      <c r="T1645" s="110"/>
      <c r="U1645" s="110"/>
      <c r="V1645" s="110"/>
      <c r="W1645" s="110"/>
      <c r="X1645" s="111"/>
      <c r="Y1645" s="111"/>
      <c r="Z1645" s="111"/>
      <c r="AA1645" s="111"/>
    </row>
    <row r="1646" spans="1:32" ht="12.75" customHeight="1">
      <c r="A1646" s="5" t="s">
        <v>1228</v>
      </c>
      <c r="B1646" s="290" t="s">
        <v>1126</v>
      </c>
      <c r="C1646" s="291"/>
      <c r="D1646" s="291"/>
      <c r="E1646" s="291"/>
      <c r="F1646" s="291"/>
      <c r="G1646" s="292"/>
      <c r="H1646" s="5">
        <v>1</v>
      </c>
      <c r="I1646" s="5">
        <v>2</v>
      </c>
      <c r="J1646" s="5">
        <v>3</v>
      </c>
      <c r="K1646" s="5">
        <v>4</v>
      </c>
      <c r="L1646" s="5">
        <v>5</v>
      </c>
      <c r="M1646" s="271"/>
      <c r="N1646" s="272"/>
      <c r="O1646" s="272"/>
      <c r="P1646" s="273"/>
      <c r="R1646" s="1"/>
      <c r="S1646" s="110"/>
      <c r="T1646" s="110"/>
      <c r="U1646" s="110"/>
      <c r="V1646" s="110"/>
      <c r="W1646" s="110"/>
      <c r="X1646" s="111"/>
      <c r="Y1646" s="111"/>
      <c r="Z1646" s="111"/>
      <c r="AA1646" s="111"/>
    </row>
    <row r="1647" spans="1:32" ht="12.75" customHeight="1">
      <c r="A1647" s="300" t="str">
        <f>B1641</f>
        <v>B</v>
      </c>
      <c r="B1647" s="293" t="str">
        <f ca="1">IF(AND(OFFSET($AO$1,$C1641-1,8,1,1),$A1642&lt;&gt;"",$J1642&lt;&gt;""),CHOOSE($C1641,$AO$1,$AO$2,$AO$3,$AO$4,$AO$5,$AO$6,$AO$7,$AO$8,$AO$9,$AO$10,$AO$11,$AO$12),"")</f>
        <v/>
      </c>
      <c r="C1647" s="294"/>
      <c r="D1647" s="294"/>
      <c r="E1647" s="294"/>
      <c r="F1647" s="294"/>
      <c r="G1647" s="294"/>
      <c r="H1647" s="265"/>
      <c r="I1647" s="265"/>
      <c r="J1647" s="265"/>
      <c r="K1647" s="265"/>
      <c r="L1647" s="265"/>
      <c r="M1647" s="297"/>
      <c r="N1647" s="298"/>
      <c r="O1647" s="298"/>
      <c r="P1647" s="299"/>
      <c r="Q1647" s="137" t="str">
        <f>IF($L1647=$L1649,IF($K1647=$K1649,IF($J1647&lt;&gt;"",IF($J1647&gt;$J1649,"W","L"),""),IF($K1647&gt;$K1649,"W","L")),IF($L1647&gt;$L1649,"W","L"))</f>
        <v/>
      </c>
      <c r="R1647" s="1"/>
      <c r="S1647" s="110"/>
      <c r="T1647" s="110"/>
      <c r="U1647" s="110"/>
      <c r="V1647" s="110"/>
      <c r="W1647" s="110"/>
      <c r="X1647" s="111"/>
      <c r="Y1647" s="111"/>
      <c r="Z1647" s="111"/>
      <c r="AA1647" s="111"/>
    </row>
    <row r="1648" spans="1:32" ht="12.75" customHeight="1">
      <c r="A1648" s="301"/>
      <c r="B1648" s="295"/>
      <c r="C1648" s="296"/>
      <c r="D1648" s="296"/>
      <c r="E1648" s="296"/>
      <c r="F1648" s="296"/>
      <c r="G1648" s="296"/>
      <c r="H1648" s="270"/>
      <c r="I1648" s="270"/>
      <c r="J1648" s="270"/>
      <c r="K1648" s="270"/>
      <c r="L1648" s="270"/>
      <c r="M1648" s="297"/>
      <c r="N1648" s="298"/>
      <c r="O1648" s="298"/>
      <c r="P1648" s="299"/>
      <c r="Q1648" s="139" t="str">
        <f>IF($Q1647&lt;&gt;"",IF($Q1647="W",IF(SUM(IF($H1647&gt;$H1649,1,0),IF($I1647&gt;$I1649,1,0),IF($J1647&gt;$J1649,1,0),IF($K1647&gt;$K1649,1,0),IF($L1647&gt;$L1649,1,0))&lt;&gt;3,"Error",""),""),"")</f>
        <v/>
      </c>
      <c r="R1648" s="328" t="str">
        <f>$A1642</f>
        <v/>
      </c>
      <c r="S1648" s="328"/>
      <c r="T1648" s="328"/>
      <c r="U1648" s="328"/>
      <c r="V1648" s="328"/>
      <c r="W1648" s="328"/>
      <c r="X1648" s="256" t="str">
        <f>CONCATENATE("(",$B1641," vs ",$K1641,")")</f>
        <v>(B vs K)</v>
      </c>
      <c r="Y1648" s="256"/>
      <c r="Z1648" s="328" t="str">
        <f>$J1642</f>
        <v/>
      </c>
      <c r="AA1648" s="328"/>
      <c r="AB1648" s="328"/>
      <c r="AC1648" s="328"/>
      <c r="AD1648" s="328"/>
      <c r="AE1648" s="328"/>
      <c r="AF1648" s="43"/>
    </row>
    <row r="1649" spans="1:32" ht="12.75" customHeight="1">
      <c r="A1649" s="300" t="str">
        <f>K1641</f>
        <v>K</v>
      </c>
      <c r="B1649" s="293" t="str">
        <f ca="1">IF(AND(OFFSET($AO$1,$L1641-1,8,1,1),$A1642&lt;&gt;"",$J1642&lt;&gt;""),CHOOSE($L1641,$AO$1,$AO$2,$AO$3,$AO$4,$AO$5,$AO$6,$AO$7,$AO$8,$AO$9,$AO$10,$AO$11,$AO$12),"")</f>
        <v/>
      </c>
      <c r="C1649" s="294"/>
      <c r="D1649" s="294"/>
      <c r="E1649" s="294"/>
      <c r="F1649" s="294"/>
      <c r="G1649" s="294"/>
      <c r="H1649" s="265"/>
      <c r="I1649" s="265"/>
      <c r="J1649" s="265"/>
      <c r="K1649" s="265"/>
      <c r="L1649" s="265"/>
      <c r="M1649" s="267" t="s">
        <v>1237</v>
      </c>
      <c r="N1649" s="268"/>
      <c r="O1649" s="268"/>
      <c r="P1649" s="269"/>
      <c r="Q1649" s="137" t="str">
        <f>IF($Q1647&lt;&gt;"",IF($Q1647="W","L","W"),"")</f>
        <v/>
      </c>
      <c r="R1649" s="43"/>
      <c r="S1649" s="43"/>
      <c r="T1649" s="43"/>
      <c r="U1649" s="43"/>
      <c r="V1649" s="43"/>
      <c r="W1649" s="43"/>
      <c r="X1649" s="43"/>
      <c r="Y1649" s="43"/>
      <c r="Z1649" s="43"/>
      <c r="AA1649" s="43"/>
      <c r="AB1649" s="43"/>
      <c r="AC1649" s="43"/>
      <c r="AD1649" s="43"/>
      <c r="AE1649" s="43"/>
      <c r="AF1649" s="43"/>
    </row>
    <row r="1650" spans="1:32" ht="12.75" customHeight="1">
      <c r="A1650" s="301"/>
      <c r="B1650" s="295"/>
      <c r="C1650" s="296"/>
      <c r="D1650" s="296"/>
      <c r="E1650" s="296"/>
      <c r="F1650" s="296"/>
      <c r="G1650" s="296"/>
      <c r="H1650" s="270"/>
      <c r="I1650" s="270"/>
      <c r="J1650" s="266"/>
      <c r="K1650" s="266"/>
      <c r="L1650" s="266"/>
      <c r="M1650" s="267"/>
      <c r="N1650" s="268"/>
      <c r="O1650" s="268"/>
      <c r="P1650" s="269"/>
      <c r="Q1650" s="139" t="str">
        <f>IF($Q1649&lt;&gt;"",IF($Q1649="W",IF(SUM(IF($H1649&gt;$H1647,1,0),IF($I1649&gt;$I1647,1,0),IF($J1649&gt;$J1647,1,0),IF($K1649&gt;$K1647,1,0),IF($L1649&gt;$L1647,1,0))&lt;&gt;3,"Error",""),""),"")</f>
        <v/>
      </c>
      <c r="R1650" s="43" t="str">
        <f>$A1652</f>
        <v>2nd Singles</v>
      </c>
      <c r="S1650" s="43"/>
      <c r="T1650" s="43"/>
      <c r="U1650" s="43"/>
      <c r="V1650" s="43"/>
      <c r="W1650" s="43"/>
      <c r="X1650" s="43"/>
      <c r="Y1650" s="43"/>
      <c r="Z1650" s="43"/>
      <c r="AA1650" s="43"/>
      <c r="AB1650" s="43"/>
      <c r="AC1650" s="43"/>
      <c r="AD1650" s="43"/>
      <c r="AE1650" s="43"/>
      <c r="AF1650" s="43"/>
    </row>
    <row r="1651" spans="1:32" ht="12.75" customHeight="1">
      <c r="Q1651" s="7"/>
      <c r="R1651" s="60" t="s">
        <v>1228</v>
      </c>
      <c r="S1651" s="339" t="s">
        <v>1126</v>
      </c>
      <c r="T1651" s="340"/>
      <c r="U1651" s="340"/>
      <c r="V1651" s="340"/>
      <c r="W1651" s="340"/>
      <c r="X1651" s="341"/>
      <c r="Y1651" s="60">
        <v>1</v>
      </c>
      <c r="Z1651" s="60">
        <v>2</v>
      </c>
      <c r="AA1651" s="60">
        <v>3</v>
      </c>
      <c r="AB1651" s="60">
        <v>4</v>
      </c>
      <c r="AC1651" s="60">
        <v>5</v>
      </c>
      <c r="AD1651" s="342"/>
      <c r="AE1651" s="343"/>
      <c r="AF1651" s="344"/>
    </row>
    <row r="1652" spans="1:32" ht="12.75" customHeight="1">
      <c r="A1652" s="21" t="s">
        <v>1234</v>
      </c>
      <c r="H1652" s="136" t="str">
        <f>IF($Q1654&lt;&gt;"",IF(AND(AND($H1654&gt;-1,$H1656&gt;-1),OR($H1654&gt;10,$H1656&gt;10),ABS($H1654-$H1656)&gt;1,IF(OR($H1654&gt;11,$H1656&gt;11),ABS($H1654-$H1656)=2,TRUE),$H1654=INT($H1654),$H1656=INT($H1656)),"","Error"),"")</f>
        <v/>
      </c>
      <c r="I1652" s="136" t="str">
        <f>IF($Q1654&lt;&gt;"",IF(AND(AND($I1654&gt;-1,$I1656&gt;-1),OR($I1654&gt;10,$I1656&gt;10),ABS($I1654-$I1656)&gt;1,IF(OR($I1654&gt;11,$I1656&gt;11),ABS($I1654-$I1656)=2,TRUE),$I1654=INT($I1654),$I1656=INT($I1656)),"","Error"),"")</f>
        <v/>
      </c>
      <c r="J1652" s="136" t="str">
        <f>IF($Q1654&lt;&gt;"",IF(AND(AND($J1654&gt;-1,$J1656&gt;-1),OR($J1654&gt;10,$J1656&gt;10),ABS($J1654-$J1656)&gt;1,IF(OR($J1654&gt;11,$J1656&gt;11),ABS($J1654-$J1656)=2,TRUE),$J1654=INT($J1654),$J1656=INT($J1656)),"","Error"),"")</f>
        <v/>
      </c>
      <c r="K1652" s="136" t="str">
        <f>IF($Q1654&lt;&gt;"",IF(AND($K1654&lt;&gt;"",$K1656&lt;&gt;""), IF(AND(AND($K1654&gt;-1,$K1656&gt;-1),OR($K1654&gt;10,$K1656&gt;10),ABS($K1654-$K1656)&gt;1,IF(OR($K1654&gt;11,$K1656&gt;11),ABS($K1654-$K1656)=2,TRUE),$K1654=INT($K1654),$K1656=INT($K1656)),"","Error"),""),"")</f>
        <v/>
      </c>
      <c r="L1652" s="136" t="str">
        <f>IF($Q1654&lt;&gt;"",IF(AND($L1654&lt;&gt;"",$L1656&lt;&gt;""), IF(AND(AND($L1654&gt;-1,$L1656&gt;-1),OR($L1654&gt;10,$L1656&gt;10),ABS($L1654-$L1656)&gt;1,IF(OR($L1654&gt;11,$L1656&gt;11),ABS($L1654-$L1656)=2,TRUE),$L1654=INT($L1654),$L1656=INT($L1656)),"","Error"),""),"")</f>
        <v/>
      </c>
      <c r="Q1652" s="7"/>
      <c r="R1652" s="300" t="str">
        <f>$B1641</f>
        <v>B</v>
      </c>
      <c r="S1652" s="331" t="str">
        <f ca="1">IF($B1654&lt;&gt;"",$B1654,"")</f>
        <v/>
      </c>
      <c r="T1652" s="332"/>
      <c r="U1652" s="332"/>
      <c r="V1652" s="332"/>
      <c r="W1652" s="332"/>
      <c r="X1652" s="333"/>
      <c r="Y1652" s="329"/>
      <c r="Z1652" s="329"/>
      <c r="AA1652" s="329"/>
      <c r="AB1652" s="329"/>
      <c r="AC1652" s="329"/>
      <c r="AD1652" s="345"/>
      <c r="AE1652" s="358"/>
      <c r="AF1652" s="359"/>
    </row>
    <row r="1653" spans="1:32" ht="12.75" customHeight="1">
      <c r="A1653" s="5" t="s">
        <v>1228</v>
      </c>
      <c r="B1653" s="290" t="s">
        <v>1126</v>
      </c>
      <c r="C1653" s="291"/>
      <c r="D1653" s="291"/>
      <c r="E1653" s="291"/>
      <c r="F1653" s="291"/>
      <c r="G1653" s="292"/>
      <c r="H1653" s="5">
        <v>1</v>
      </c>
      <c r="I1653" s="5">
        <v>2</v>
      </c>
      <c r="J1653" s="5">
        <v>3</v>
      </c>
      <c r="K1653" s="5">
        <v>4</v>
      </c>
      <c r="L1653" s="5">
        <v>5</v>
      </c>
      <c r="M1653" s="271"/>
      <c r="N1653" s="272"/>
      <c r="O1653" s="272"/>
      <c r="P1653" s="273"/>
      <c r="Q1653" s="7"/>
      <c r="R1653" s="330"/>
      <c r="S1653" s="334"/>
      <c r="T1653" s="335"/>
      <c r="U1653" s="335"/>
      <c r="V1653" s="335"/>
      <c r="W1653" s="335"/>
      <c r="X1653" s="336"/>
      <c r="Y1653" s="330"/>
      <c r="Z1653" s="330"/>
      <c r="AA1653" s="330"/>
      <c r="AB1653" s="330"/>
      <c r="AC1653" s="330"/>
      <c r="AD1653" s="360"/>
      <c r="AE1653" s="361"/>
      <c r="AF1653" s="362"/>
    </row>
    <row r="1654" spans="1:32" ht="12.75" customHeight="1">
      <c r="A1654" s="300" t="str">
        <f>B1641</f>
        <v>B</v>
      </c>
      <c r="B1654" s="293" t="str">
        <f ca="1">IF(AND(OFFSET($AO$1,$C1641-1,8,1,1),$A1642&lt;&gt;"",$J1642&lt;&gt;""),CHOOSE($C1641,$AP$1,$AP$2,$AP$3,$AP$4,$AP$5,$AP$6,$AP$7,$AP$8,$AP$9,$AP$10,$AP$11,$AP$12),"")</f>
        <v/>
      </c>
      <c r="C1654" s="294"/>
      <c r="D1654" s="294"/>
      <c r="E1654" s="294"/>
      <c r="F1654" s="294"/>
      <c r="G1654" s="294"/>
      <c r="H1654" s="265"/>
      <c r="I1654" s="265"/>
      <c r="J1654" s="265"/>
      <c r="K1654" s="265"/>
      <c r="L1654" s="265"/>
      <c r="M1654" s="262" t="str">
        <f ca="1">IF(OR(AND($B1647&lt;&gt;"",$B1654&lt;&gt;"",$C1672&lt;=$B1672),AND($B1649&lt;&gt;"",$B1656&lt;&gt;"",$G1672&lt;=$F1672)),"Invalid Lineup","")</f>
        <v/>
      </c>
      <c r="N1654" s="263"/>
      <c r="O1654" s="263"/>
      <c r="P1654" s="264"/>
      <c r="Q1654" s="137" t="str">
        <f>IF($L1654=$L1656,IF($K1654=$K1656,IF($J1654&lt;&gt;"",IF($J1654&gt;$J1656,"W","L"),""),IF($K1654&gt;$K1656,"W","L")),IF($L1654&gt;$L1656,"W","L"))</f>
        <v/>
      </c>
      <c r="R1654" s="300" t="str">
        <f>$K1641</f>
        <v>K</v>
      </c>
      <c r="S1654" s="331" t="str">
        <f ca="1">IF($B1656&lt;&gt;"",$B1656,"")</f>
        <v/>
      </c>
      <c r="T1654" s="332"/>
      <c r="U1654" s="332"/>
      <c r="V1654" s="332"/>
      <c r="W1654" s="332"/>
      <c r="X1654" s="333"/>
      <c r="Y1654" s="329"/>
      <c r="Z1654" s="329"/>
      <c r="AA1654" s="329"/>
      <c r="AB1654" s="329"/>
      <c r="AC1654" s="351"/>
      <c r="AD1654" s="363" t="s">
        <v>1237</v>
      </c>
      <c r="AE1654" s="358"/>
      <c r="AF1654" s="359"/>
    </row>
    <row r="1655" spans="1:32" ht="12.75" customHeight="1">
      <c r="A1655" s="301"/>
      <c r="B1655" s="295"/>
      <c r="C1655" s="296"/>
      <c r="D1655" s="296"/>
      <c r="E1655" s="296"/>
      <c r="F1655" s="296"/>
      <c r="G1655" s="296"/>
      <c r="H1655" s="270"/>
      <c r="I1655" s="270"/>
      <c r="J1655" s="270"/>
      <c r="K1655" s="270"/>
      <c r="L1655" s="270"/>
      <c r="M1655" s="262"/>
      <c r="N1655" s="263"/>
      <c r="O1655" s="263"/>
      <c r="P1655" s="264"/>
      <c r="Q1655" s="139" t="str">
        <f>IF($Q1654&lt;&gt;"",IF($Q1654="W",IF(SUM(IF($H1654&gt;$H1656,1,0),IF($I1654&gt;$I1656,1,0),IF($J1654&gt;$J1656,1,0),IF($K1654&gt;$K1656,1,0),IF($L1654&gt;$L1656,1,0))&lt;&gt;3,"Error",""),""),"")</f>
        <v/>
      </c>
      <c r="R1655" s="330"/>
      <c r="S1655" s="334"/>
      <c r="T1655" s="335"/>
      <c r="U1655" s="335"/>
      <c r="V1655" s="335"/>
      <c r="W1655" s="335"/>
      <c r="X1655" s="336"/>
      <c r="Y1655" s="330"/>
      <c r="Z1655" s="330"/>
      <c r="AA1655" s="330"/>
      <c r="AB1655" s="330"/>
      <c r="AC1655" s="330"/>
      <c r="AD1655" s="360"/>
      <c r="AE1655" s="361"/>
      <c r="AF1655" s="362"/>
    </row>
    <row r="1656" spans="1:32" ht="12.75" customHeight="1">
      <c r="A1656" s="300" t="str">
        <f>K1641</f>
        <v>K</v>
      </c>
      <c r="B1656" s="293" t="str">
        <f ca="1">IF(AND(OFFSET($AO$1,$L1641-1,8,1,1),$A1642&lt;&gt;"",$J1642&lt;&gt;""),CHOOSE($L1641,$AP$1,$AP$2,$AP$3,$AP$4,$AP$5,$AP$6,$AP$7,$AP$8,$AP$9,$AP$10,$AP$11,$AP$12),"")</f>
        <v/>
      </c>
      <c r="C1656" s="294"/>
      <c r="D1656" s="294"/>
      <c r="E1656" s="294"/>
      <c r="F1656" s="294"/>
      <c r="G1656" s="294"/>
      <c r="H1656" s="265"/>
      <c r="I1656" s="265"/>
      <c r="J1656" s="265"/>
      <c r="K1656" s="265"/>
      <c r="L1656" s="265"/>
      <c r="M1656" s="267" t="s">
        <v>1237</v>
      </c>
      <c r="N1656" s="268"/>
      <c r="O1656" s="268"/>
      <c r="P1656" s="269"/>
      <c r="Q1656" s="137" t="str">
        <f>IF($Q1654&lt;&gt;"",IF($Q1654="W","L","W"),"")</f>
        <v/>
      </c>
      <c r="R1656" s="20"/>
      <c r="S1656" s="20"/>
      <c r="T1656" s="20"/>
      <c r="U1656" s="20"/>
      <c r="V1656" s="20"/>
      <c r="W1656" s="20"/>
      <c r="X1656" s="26"/>
      <c r="Y1656" s="26"/>
      <c r="Z1656" s="20"/>
      <c r="AA1656" s="20"/>
      <c r="AB1656" s="20"/>
      <c r="AC1656" s="20"/>
      <c r="AD1656" s="20"/>
      <c r="AE1656" s="20"/>
      <c r="AF1656" s="27"/>
    </row>
    <row r="1657" spans="1:32" ht="12.75" customHeight="1">
      <c r="A1657" s="301"/>
      <c r="B1657" s="295"/>
      <c r="C1657" s="296"/>
      <c r="D1657" s="296"/>
      <c r="E1657" s="296"/>
      <c r="F1657" s="296"/>
      <c r="G1657" s="296"/>
      <c r="H1657" s="270"/>
      <c r="I1657" s="270"/>
      <c r="J1657" s="266"/>
      <c r="K1657" s="266"/>
      <c r="L1657" s="266"/>
      <c r="M1657" s="267"/>
      <c r="N1657" s="268"/>
      <c r="O1657" s="268"/>
      <c r="P1657" s="269"/>
      <c r="Q1657" s="139" t="str">
        <f>IF($Q1656&lt;&gt;"",IF($Q1656="W",IF(SUM(IF($H1656&gt;$H1654,1,0),IF($I1656&gt;$I1654,1,0),IF($J1656&gt;$J1654,1,0),IF($K1656&gt;$K1654,1,0),IF($L1656&gt;$L1654,1,0))&lt;&gt;3,"Error",""),""),"")</f>
        <v/>
      </c>
      <c r="R1657" s="20"/>
      <c r="S1657" s="20"/>
      <c r="T1657" s="20"/>
      <c r="U1657" s="20"/>
      <c r="V1657" s="20"/>
      <c r="W1657" s="20"/>
      <c r="X1657" s="26"/>
      <c r="Y1657" s="26"/>
      <c r="Z1657" s="20"/>
      <c r="AA1657" s="20"/>
      <c r="AB1657" s="20"/>
      <c r="AC1657" s="20"/>
      <c r="AD1657" s="20"/>
      <c r="AE1657" s="20"/>
      <c r="AF1657" s="27"/>
    </row>
    <row r="1658" spans="1:32" ht="12.75" customHeight="1">
      <c r="Q1658" s="7"/>
      <c r="R1658" s="20"/>
      <c r="S1658" s="20"/>
      <c r="T1658" s="20"/>
      <c r="U1658" s="20"/>
      <c r="V1658" s="20"/>
      <c r="W1658" s="20"/>
      <c r="X1658" s="26"/>
      <c r="Y1658" s="26"/>
      <c r="Z1658" s="20"/>
      <c r="AA1658" s="20"/>
      <c r="AB1658" s="20"/>
      <c r="AC1658" s="20"/>
      <c r="AD1658" s="20"/>
      <c r="AE1658" s="20"/>
      <c r="AF1658" s="27"/>
    </row>
    <row r="1659" spans="1:32" ht="12.75" customHeight="1">
      <c r="A1659" s="21" t="s">
        <v>1235</v>
      </c>
      <c r="H1659" s="136" t="str">
        <f>IF($Q1661&lt;&gt;"",IF(AND(AND($H1661&gt;-1,$H1663&gt;-1),OR($H1661&gt;10,$H1663&gt;10),ABS($H1661-$H1663)&gt;1,IF(OR($H1661&gt;11,$H1663&gt;11),ABS($H1661-$H1663)=2,TRUE),$H1661=INT($H1661),$H1663=INT($H1663)),"","Error"),"")</f>
        <v/>
      </c>
      <c r="I1659" s="136" t="str">
        <f>IF($Q1661&lt;&gt;"",IF(AND(AND($I1661&gt;-1,$I1663&gt;-1),OR($I1661&gt;10,$I1663&gt;10),ABS($I1661-$I1663)&gt;1,IF(OR($I1661&gt;11,$I1663&gt;11),ABS($I1661-$I1663)=2,TRUE),$I1661=INT($I1661),$I1663=INT($I1663)),"","Error"),"")</f>
        <v/>
      </c>
      <c r="J1659" s="136" t="str">
        <f>IF($Q1661&lt;&gt;"",IF(AND(AND($J1661&gt;-1,$J1663&gt;-1),OR($J1661&gt;10,$J1663&gt;10),ABS($J1661-$J1663)&gt;1,IF(OR($J1661&gt;11,$J1663&gt;11),ABS($J1661-$J1663)=2,TRUE),$J1661=INT($J1661),$J1663=INT($J1663)),"","Error"),"")</f>
        <v/>
      </c>
      <c r="K1659" s="136" t="str">
        <f>IF($Q1661&lt;&gt;"",IF(AND($K1661&lt;&gt;"",$K1663&lt;&gt;""), IF(AND(AND($K1661&gt;-1,$K1663&gt;-1),OR($K1661&gt;10,$K1663&gt;10),ABS($K1661-$K1663)&gt;1,IF(OR($K1661&gt;11,$K1663&gt;11),ABS($K1661-$K1663)=2,TRUE),$K1661=INT($K1661),$K1663=INT($K1663)),"","Error"),""),"")</f>
        <v/>
      </c>
      <c r="L1659" s="136" t="str">
        <f>IF($Q1661&lt;&gt;"",IF(AND($L1661&lt;&gt;"",$L1663&lt;&gt;""), IF(AND(AND($L1661&gt;-1,$L1663&gt;-1),OR($L1661&gt;10,$L1663&gt;10),ABS($L1661-$L1663)&gt;1,IF(OR($L1661&gt;11,$L1663&gt;11),ABS($L1661-$L1663)=2,TRUE),$L1661=INT($L1661),$L1663=INT($L1663)),"","Error"),""),"")</f>
        <v/>
      </c>
      <c r="Q1659" s="7"/>
      <c r="R1659" s="20"/>
      <c r="S1659" s="20"/>
      <c r="T1659" s="20"/>
      <c r="U1659" s="20"/>
      <c r="V1659" s="20"/>
      <c r="W1659" s="20"/>
      <c r="X1659" s="26"/>
      <c r="Y1659" s="26"/>
      <c r="Z1659" s="20"/>
      <c r="AA1659" s="20"/>
      <c r="AB1659" s="20"/>
      <c r="AC1659" s="20"/>
      <c r="AD1659" s="20"/>
      <c r="AE1659" s="20"/>
      <c r="AF1659" s="27"/>
    </row>
    <row r="1660" spans="1:32" ht="12.75" customHeight="1">
      <c r="A1660" s="5" t="s">
        <v>1228</v>
      </c>
      <c r="B1660" s="290" t="s">
        <v>1126</v>
      </c>
      <c r="C1660" s="291"/>
      <c r="D1660" s="291"/>
      <c r="E1660" s="291"/>
      <c r="F1660" s="291"/>
      <c r="G1660" s="292"/>
      <c r="H1660" s="5">
        <v>1</v>
      </c>
      <c r="I1660" s="5">
        <v>2</v>
      </c>
      <c r="J1660" s="5">
        <v>3</v>
      </c>
      <c r="K1660" s="5">
        <v>4</v>
      </c>
      <c r="L1660" s="5">
        <v>5</v>
      </c>
      <c r="M1660" s="271"/>
      <c r="N1660" s="272"/>
      <c r="O1660" s="272"/>
      <c r="P1660" s="273"/>
      <c r="Q1660" s="7"/>
      <c r="R1660" s="20"/>
      <c r="S1660" s="20"/>
      <c r="T1660" s="20"/>
      <c r="U1660" s="20"/>
      <c r="V1660" s="20"/>
      <c r="W1660" s="20"/>
      <c r="X1660" s="26"/>
      <c r="Y1660" s="26"/>
      <c r="Z1660" s="20"/>
      <c r="AA1660" s="20"/>
      <c r="AB1660" s="20"/>
      <c r="AC1660" s="20"/>
      <c r="AD1660" s="20"/>
      <c r="AE1660" s="20"/>
      <c r="AF1660" s="27"/>
    </row>
    <row r="1661" spans="1:32" ht="12.75" customHeight="1">
      <c r="A1661" s="300" t="str">
        <f>B1641</f>
        <v>B</v>
      </c>
      <c r="B1661" s="293" t="str">
        <f ca="1">IF(AND(OFFSET($AO$1,$C1641-1,8,1,1),$A1642&lt;&gt;"",$J1642&lt;&gt;""),CHOOSE($C1641,$AQ$1,$AQ$2,$AQ$3,$AQ$4,$AQ$5,$AQ$6,$AQ$7,$AQ$8,$AQ$9,$AQ$10,$AQ$11,$AQ$12),"")</f>
        <v/>
      </c>
      <c r="C1661" s="294"/>
      <c r="D1661" s="294"/>
      <c r="E1661" s="294"/>
      <c r="F1661" s="294"/>
      <c r="G1661" s="294"/>
      <c r="H1661" s="265"/>
      <c r="I1661" s="265"/>
      <c r="J1661" s="265"/>
      <c r="K1661" s="265"/>
      <c r="L1661" s="265"/>
      <c r="M1661" s="262" t="str">
        <f ca="1">IF(OR(AND($B1654&lt;&gt;"",$B1661&lt;&gt;"",$D1672&lt;=$C1672),AND($B1656&lt;&gt;"",$B1663&lt;&gt;"",$H1672&lt;=$G1672)),"Invalid Lineup","")</f>
        <v/>
      </c>
      <c r="N1661" s="263"/>
      <c r="O1661" s="263"/>
      <c r="P1661" s="264"/>
      <c r="Q1661" s="137" t="str">
        <f>IF($L1661=$L1663,IF($K1661=$K1663,IF($J1661&lt;&gt;"",IF($J1661&gt;$J1663,"W","L"),""),IF($K1661&gt;$K1663,"W","L")),IF($L1661&gt;$L1663,"W","L"))</f>
        <v/>
      </c>
      <c r="R1661" s="20"/>
      <c r="S1661" s="20"/>
      <c r="T1661" s="20"/>
      <c r="U1661" s="20"/>
      <c r="V1661" s="20"/>
      <c r="W1661" s="20"/>
      <c r="X1661" s="26"/>
      <c r="Y1661" s="26"/>
      <c r="Z1661" s="20"/>
      <c r="AA1661" s="20"/>
      <c r="AB1661" s="20"/>
      <c r="AC1661" s="20"/>
      <c r="AD1661" s="20"/>
      <c r="AE1661" s="20"/>
      <c r="AF1661" s="27"/>
    </row>
    <row r="1662" spans="1:32" ht="12.75" customHeight="1">
      <c r="A1662" s="301"/>
      <c r="B1662" s="295"/>
      <c r="C1662" s="296"/>
      <c r="D1662" s="296"/>
      <c r="E1662" s="296"/>
      <c r="F1662" s="296"/>
      <c r="G1662" s="296"/>
      <c r="H1662" s="270"/>
      <c r="I1662" s="270"/>
      <c r="J1662" s="270"/>
      <c r="K1662" s="270"/>
      <c r="L1662" s="270"/>
      <c r="M1662" s="262"/>
      <c r="N1662" s="263"/>
      <c r="O1662" s="263"/>
      <c r="P1662" s="264"/>
      <c r="Q1662" s="139" t="str">
        <f>IF($Q1661&lt;&gt;"",IF($Q1661="W",IF(SUM(IF($H1661&gt;$H1663,1,0),IF($I1661&gt;$I1663,1,0),IF($J1661&gt;$J1663,1,0),IF($K1661&gt;$K1663,1,0),IF($L1661&gt;$L1663,1,0))&lt;&gt;3,"Error",""),""),"")</f>
        <v/>
      </c>
      <c r="R1662" s="328" t="str">
        <f>$A1642</f>
        <v/>
      </c>
      <c r="S1662" s="328"/>
      <c r="T1662" s="328"/>
      <c r="U1662" s="328"/>
      <c r="V1662" s="328"/>
      <c r="W1662" s="328"/>
      <c r="X1662" s="256" t="str">
        <f>CONCATENATE("(",$B1641," vs ",$K1641,")")</f>
        <v>(B vs K)</v>
      </c>
      <c r="Y1662" s="256"/>
      <c r="Z1662" s="328" t="str">
        <f>$J1642</f>
        <v/>
      </c>
      <c r="AA1662" s="328"/>
      <c r="AB1662" s="328"/>
      <c r="AC1662" s="328"/>
      <c r="AD1662" s="328"/>
      <c r="AE1662" s="328"/>
      <c r="AF1662" s="100"/>
    </row>
    <row r="1663" spans="1:32" ht="12.75" customHeight="1">
      <c r="A1663" s="300" t="str">
        <f>K1641</f>
        <v>K</v>
      </c>
      <c r="B1663" s="293" t="str">
        <f ca="1">IF(AND(OFFSET($AO$1,$L1641-1,8,1,1),$A1642&lt;&gt;"",$J1642&lt;&gt;""),CHOOSE($L1641,$AQ$1,$AQ$2,$AQ$3,$AQ$4,$AQ$5,$AQ$6,$AQ$7,$AQ$8,$AQ$9,$AQ$10,$AQ$11,$AQ$12),"")</f>
        <v/>
      </c>
      <c r="C1663" s="294"/>
      <c r="D1663" s="294"/>
      <c r="E1663" s="294"/>
      <c r="F1663" s="294"/>
      <c r="G1663" s="294"/>
      <c r="H1663" s="265"/>
      <c r="I1663" s="265"/>
      <c r="J1663" s="265"/>
      <c r="K1663" s="265"/>
      <c r="L1663" s="265"/>
      <c r="M1663" s="267" t="s">
        <v>1237</v>
      </c>
      <c r="N1663" s="268"/>
      <c r="O1663" s="268"/>
      <c r="P1663" s="269"/>
      <c r="Q1663" s="137" t="str">
        <f>IF($Q1661&lt;&gt;"",IF($Q1661="W","L","W"),"")</f>
        <v/>
      </c>
      <c r="R1663" s="100"/>
      <c r="S1663" s="100"/>
      <c r="T1663" s="100"/>
      <c r="U1663" s="100"/>
      <c r="V1663" s="100"/>
      <c r="W1663" s="100"/>
      <c r="X1663" s="100"/>
      <c r="Y1663" s="100"/>
      <c r="Z1663" s="100"/>
      <c r="AA1663" s="100"/>
      <c r="AB1663" s="100"/>
      <c r="AC1663" s="100"/>
      <c r="AD1663" s="100"/>
      <c r="AE1663" s="100"/>
      <c r="AF1663" s="100"/>
    </row>
    <row r="1664" spans="1:32" ht="12.75" customHeight="1">
      <c r="A1664" s="301"/>
      <c r="B1664" s="295"/>
      <c r="C1664" s="296"/>
      <c r="D1664" s="296"/>
      <c r="E1664" s="296"/>
      <c r="F1664" s="296"/>
      <c r="G1664" s="296"/>
      <c r="H1664" s="270"/>
      <c r="I1664" s="270"/>
      <c r="J1664" s="266"/>
      <c r="K1664" s="266"/>
      <c r="L1664" s="266"/>
      <c r="M1664" s="267"/>
      <c r="N1664" s="268"/>
      <c r="O1664" s="268"/>
      <c r="P1664" s="269"/>
      <c r="Q1664" s="139" t="str">
        <f>IF($Q1663&lt;&gt;"",IF($Q1663="W",IF(SUM(IF($H1663&gt;$H1661,1,0),IF($I1663&gt;$I1661,1,0),IF($J1663&gt;$J1661,1,0),IF($K1663&gt;$K1661,1,0),IF($L1663&gt;$L1661,1,0))&lt;&gt;3,"Error",""),""),"")</f>
        <v/>
      </c>
      <c r="R1664" s="43" t="str">
        <f>$A1659</f>
        <v>3rd Singles</v>
      </c>
      <c r="S1664" s="43"/>
      <c r="T1664" s="43"/>
      <c r="U1664" s="43"/>
      <c r="V1664" s="43"/>
      <c r="W1664" s="43"/>
      <c r="X1664" s="43"/>
      <c r="Y1664" s="43"/>
      <c r="Z1664" s="43"/>
      <c r="AA1664" s="43"/>
      <c r="AB1664" s="43"/>
      <c r="AC1664" s="43"/>
      <c r="AD1664" s="43"/>
      <c r="AE1664" s="43"/>
      <c r="AF1664" s="43"/>
    </row>
    <row r="1665" spans="1:32" ht="12.75" customHeight="1">
      <c r="Q1665" s="7"/>
      <c r="R1665" s="60" t="s">
        <v>1228</v>
      </c>
      <c r="S1665" s="101" t="s">
        <v>1126</v>
      </c>
      <c r="T1665" s="102"/>
      <c r="U1665" s="102"/>
      <c r="V1665" s="102"/>
      <c r="W1665" s="102"/>
      <c r="X1665" s="103"/>
      <c r="Y1665" s="60">
        <v>1</v>
      </c>
      <c r="Z1665" s="60">
        <v>2</v>
      </c>
      <c r="AA1665" s="60">
        <v>3</v>
      </c>
      <c r="AB1665" s="60">
        <v>4</v>
      </c>
      <c r="AC1665" s="60">
        <v>5</v>
      </c>
      <c r="AD1665" s="104"/>
      <c r="AE1665" s="105"/>
      <c r="AF1665" s="106"/>
    </row>
    <row r="1666" spans="1:32" ht="12.75" customHeight="1">
      <c r="A1666" s="21" t="s">
        <v>1236</v>
      </c>
      <c r="H1666" s="136" t="str">
        <f ca="1">IF($Q1668&lt;&gt;"",IF(AND($B1668&lt;&gt;"Missing Player",$B1670&lt;&gt;"Missing Player"),IF(AND(AND($H1668&gt;-1,$H1670&gt;-1),OR($H1668&gt;10,$H1670&gt;10),ABS($H1668-$H1670)&gt;1,IF(OR($H1668&gt;11,$H1670&gt;11),ABS($H1668-$H1670)=2,TRUE),$H1668=INT($H1668),$H1670=INT($H1670)),"","Error"),""),"")</f>
        <v/>
      </c>
      <c r="I1666" s="136" t="str">
        <f ca="1">IF($Q1668&lt;&gt;"",IF(AND($B1668&lt;&gt;"Missing Player",$B1670&lt;&gt;"Missing Player"),IF(AND(AND($I1668&gt;-1,$I1670&gt;-1),OR($I1668&gt;10,$I1670&gt;10),ABS($I1668-$I1670)&gt;1,IF(OR($I1668&gt;11,$I1670&gt;11),ABS($I1668-$I1670)=2,TRUE),$I1668=INT($I1668),$I1670=INT($I1670)),"","Error"),""),"")</f>
        <v/>
      </c>
      <c r="J1666" s="136" t="str">
        <f ca="1">IF($Q1668&lt;&gt;"",IF(AND($B1668&lt;&gt;"Missing Player",$B1670&lt;&gt;"Missing Player"),IF(AND(AND($J1668&gt;-1,$J1670&gt;-1),OR($J1668&gt;10,$J1670&gt;10),ABS($J1668-$J1670)&gt;1,IF(OR($J1668&gt;11,$J1670&gt;11),ABS($J1668-$J1670)=2,TRUE),$J1668=INT($J1668),$J1670=INT($J1670)),"","Error"),""),"")</f>
        <v/>
      </c>
      <c r="K1666" s="136" t="str">
        <f ca="1">IF($Q1668&lt;&gt;"",IF(AND($K1668&lt;&gt;"",$K1670&lt;&gt;""), IF(AND(AND($K1668&gt;-1,$K1670&gt;-1),OR($K1668&gt;10,$K1670&gt;10),ABS($K1668-$K1670)&gt;1,IF(OR($K1668&gt;11,$K1670&gt;11),ABS($K1668-$K1670)=2,TRUE),$K1668=INT($K1668),$K1670=INT($K1670)),"","Error"),""),"")</f>
        <v/>
      </c>
      <c r="L1666" s="136" t="str">
        <f ca="1">IF($Q1668&lt;&gt;"",IF(AND($L1668&lt;&gt;"",$L1670&lt;&gt;""), IF(AND(AND($L1668&gt;-1,$L1670&gt;-1),OR($L1668&gt;10,$L1670&gt;10),ABS($L1668-$L1670)&gt;1,IF(OR($L1668&gt;11,$L1670&gt;11),ABS($L1668-$L1670)=2,TRUE),$L1668=INT($L1668),$L1670=INT($L1670)),"","Error"),""),"")</f>
        <v/>
      </c>
      <c r="Q1666" s="7"/>
      <c r="R1666" s="300" t="str">
        <f>$B1641</f>
        <v>B</v>
      </c>
      <c r="S1666" s="331" t="str">
        <f ca="1">IF($B1661&lt;&gt;"",$B1661,"")</f>
        <v/>
      </c>
      <c r="T1666" s="332"/>
      <c r="U1666" s="332"/>
      <c r="V1666" s="332"/>
      <c r="W1666" s="332"/>
      <c r="X1666" s="333"/>
      <c r="Y1666" s="329"/>
      <c r="Z1666" s="329"/>
      <c r="AA1666" s="329"/>
      <c r="AB1666" s="329"/>
      <c r="AC1666" s="329"/>
      <c r="AD1666" s="345"/>
      <c r="AE1666" s="358"/>
      <c r="AF1666" s="359"/>
    </row>
    <row r="1667" spans="1:32" ht="12.75" customHeight="1">
      <c r="A1667" s="5" t="s">
        <v>1228</v>
      </c>
      <c r="B1667" s="290" t="s">
        <v>1126</v>
      </c>
      <c r="C1667" s="291"/>
      <c r="D1667" s="291"/>
      <c r="E1667" s="291"/>
      <c r="F1667" s="291"/>
      <c r="G1667" s="292"/>
      <c r="H1667" s="5">
        <v>1</v>
      </c>
      <c r="I1667" s="5">
        <v>2</v>
      </c>
      <c r="J1667" s="5">
        <v>3</v>
      </c>
      <c r="K1667" s="5">
        <v>4</v>
      </c>
      <c r="L1667" s="5">
        <v>5</v>
      </c>
      <c r="M1667" s="271"/>
      <c r="N1667" s="272"/>
      <c r="O1667" s="272"/>
      <c r="P1667" s="273"/>
      <c r="Q1667" s="7"/>
      <c r="R1667" s="330"/>
      <c r="S1667" s="334"/>
      <c r="T1667" s="335"/>
      <c r="U1667" s="335"/>
      <c r="V1667" s="335"/>
      <c r="W1667" s="335"/>
      <c r="X1667" s="336"/>
      <c r="Y1667" s="330"/>
      <c r="Z1667" s="330"/>
      <c r="AA1667" s="330"/>
      <c r="AB1667" s="330"/>
      <c r="AC1667" s="330"/>
      <c r="AD1667" s="360"/>
      <c r="AE1667" s="361"/>
      <c r="AF1667" s="362"/>
    </row>
    <row r="1668" spans="1:32" ht="12.75" customHeight="1">
      <c r="A1668" s="300" t="str">
        <f>B1641</f>
        <v>B</v>
      </c>
      <c r="B1668" s="293" t="str">
        <f ca="1">IF(AND(OFFSET($AO$1,$C1641-1,8,1,1),$A1642&lt;&gt;"",$J1642&lt;&gt;""),CHOOSE($C1641,$AR$1,$AR$2,$AR$3,$AR$4,$AR$5,$AR$6,$AR$7,$AR$8,$AR$9,$AR$10,$AR$11,$AR$12),"")</f>
        <v/>
      </c>
      <c r="C1668" s="294"/>
      <c r="D1668" s="294"/>
      <c r="E1668" s="294"/>
      <c r="F1668" s="294"/>
      <c r="G1668" s="294"/>
      <c r="H1668" s="265"/>
      <c r="I1668" s="265"/>
      <c r="J1668" s="265"/>
      <c r="K1668" s="265"/>
      <c r="L1668" s="265" t="str">
        <f ca="1">IF(AND($B1668&lt;&gt;"",$Q1647&lt;&gt;""),IF($B1668="Missing Player",0,IF($B1670="Missing Player",11,"")),"")</f>
        <v/>
      </c>
      <c r="M1668" s="262" t="str">
        <f ca="1">IF(OR(AND($B1661&lt;&gt;"",$B1668&lt;&gt;"",$E1672&lt;=$D1672),AND($B1663&lt;&gt;"",$B1670&lt;&gt;"",$I1672&lt;=$H1672)),"Invalid Lineup","")</f>
        <v/>
      </c>
      <c r="N1668" s="263"/>
      <c r="O1668" s="263"/>
      <c r="P1668" s="264"/>
      <c r="Q1668" s="137" t="str">
        <f ca="1">IF($L1668=$L1670,IF($K1668=$K1670,IF($J1668&lt;&gt;"",IF($J1668&gt;$J1670,"W","L"),""),IF($K1668&gt;$K1670,"W","L")),IF($L1668&gt;$L1670,"W","L"))</f>
        <v/>
      </c>
      <c r="R1668" s="300" t="str">
        <f>$K1641</f>
        <v>K</v>
      </c>
      <c r="S1668" s="331" t="str">
        <f ca="1">IF($B1663&lt;&gt;"",$B1663,"")</f>
        <v/>
      </c>
      <c r="T1668" s="332"/>
      <c r="U1668" s="332"/>
      <c r="V1668" s="332"/>
      <c r="W1668" s="332"/>
      <c r="X1668" s="333"/>
      <c r="Y1668" s="329"/>
      <c r="Z1668" s="329"/>
      <c r="AA1668" s="329"/>
      <c r="AB1668" s="329"/>
      <c r="AC1668" s="351"/>
      <c r="AD1668" s="363" t="s">
        <v>1237</v>
      </c>
      <c r="AE1668" s="358"/>
      <c r="AF1668" s="359"/>
    </row>
    <row r="1669" spans="1:32" ht="12.75" customHeight="1">
      <c r="A1669" s="301"/>
      <c r="B1669" s="295"/>
      <c r="C1669" s="296"/>
      <c r="D1669" s="296"/>
      <c r="E1669" s="296"/>
      <c r="F1669" s="296"/>
      <c r="G1669" s="296"/>
      <c r="H1669" s="270"/>
      <c r="I1669" s="270"/>
      <c r="J1669" s="270"/>
      <c r="K1669" s="270"/>
      <c r="L1669" s="270"/>
      <c r="M1669" s="262"/>
      <c r="N1669" s="263"/>
      <c r="O1669" s="263"/>
      <c r="P1669" s="264"/>
      <c r="Q1669" s="139" t="str">
        <f ca="1">IF($Q1668&lt;&gt;"",IF($B1670&lt;&gt;"Missing Player",IF($Q1668="W",IF(SUM(IF($H1668&gt;$H1670,1,0),IF($I1668&gt;$I1670,1,0),IF($J1668&gt;$J1670,1,0),IF($K1668&gt;$K1670,1,0),IF($L1668&gt;$L1670,1,0))&lt;&gt;3,"Error",""),""),""),"")</f>
        <v/>
      </c>
      <c r="R1669" s="330"/>
      <c r="S1669" s="334"/>
      <c r="T1669" s="335"/>
      <c r="U1669" s="335"/>
      <c r="V1669" s="335"/>
      <c r="W1669" s="335"/>
      <c r="X1669" s="336"/>
      <c r="Y1669" s="330"/>
      <c r="Z1669" s="330"/>
      <c r="AA1669" s="330"/>
      <c r="AB1669" s="330"/>
      <c r="AC1669" s="330"/>
      <c r="AD1669" s="360"/>
      <c r="AE1669" s="361"/>
      <c r="AF1669" s="362"/>
    </row>
    <row r="1670" spans="1:32" ht="12.75" customHeight="1">
      <c r="A1670" s="300" t="str">
        <f>K1641</f>
        <v>K</v>
      </c>
      <c r="B1670" s="293" t="str">
        <f ca="1">IF(AND(OFFSET($AO$1,$L1641-1,8,1,1),$A1642&lt;&gt;"",$J1642&lt;&gt;""),CHOOSE($L1641,$AR$1,$AR$2,$AR$3,$AR$4,$AR$5,$AR$6,$AR$7,$AR$8,$AR$9,$AR$10,$AR$11,$AR$12),"")</f>
        <v/>
      </c>
      <c r="C1670" s="294"/>
      <c r="D1670" s="294"/>
      <c r="E1670" s="294"/>
      <c r="F1670" s="294"/>
      <c r="G1670" s="294"/>
      <c r="H1670" s="265"/>
      <c r="I1670" s="265"/>
      <c r="J1670" s="265"/>
      <c r="K1670" s="265"/>
      <c r="L1670" s="265" t="str">
        <f ca="1">IF(AND($B1670&lt;&gt;"",$Q1647&lt;&gt;""),IF($B1670="Missing Player",0,IF($B1668="Missing Player",11,"")),"")</f>
        <v/>
      </c>
      <c r="M1670" s="267" t="s">
        <v>1237</v>
      </c>
      <c r="N1670" s="268"/>
      <c r="O1670" s="268"/>
      <c r="P1670" s="269"/>
      <c r="Q1670" s="137" t="str">
        <f ca="1">IF($Q1668&lt;&gt;"",IF($Q1668="W","L","W"),"")</f>
        <v/>
      </c>
      <c r="R1670" s="112"/>
      <c r="S1670" s="98"/>
      <c r="T1670" s="108"/>
      <c r="U1670" s="108"/>
      <c r="V1670" s="108"/>
      <c r="W1670" s="108"/>
      <c r="X1670" s="108"/>
      <c r="Y1670" s="113"/>
      <c r="Z1670" s="113"/>
      <c r="AA1670" s="113"/>
      <c r="AB1670" s="113"/>
      <c r="AC1670" s="113"/>
      <c r="AD1670" s="107"/>
      <c r="AE1670" s="109"/>
      <c r="AF1670" s="109"/>
    </row>
    <row r="1671" spans="1:32" ht="12.75" customHeight="1">
      <c r="A1671" s="301"/>
      <c r="B1671" s="295"/>
      <c r="C1671" s="296"/>
      <c r="D1671" s="296"/>
      <c r="E1671" s="296"/>
      <c r="F1671" s="296"/>
      <c r="G1671" s="296"/>
      <c r="H1671" s="270"/>
      <c r="I1671" s="270"/>
      <c r="J1671" s="266"/>
      <c r="K1671" s="266"/>
      <c r="L1671" s="266"/>
      <c r="M1671" s="267"/>
      <c r="N1671" s="268"/>
      <c r="O1671" s="268"/>
      <c r="P1671" s="269"/>
      <c r="Q1671" s="139" t="str">
        <f ca="1">IF($Q1670&lt;&gt;"",IF($B1668&lt;&gt;"Missing Player",IF($Q1670="W",IF(SUM(IF($H1670&gt;$H1668,1,0),IF($I1670&gt;$I1668,1,0),IF($J1670&gt;$J1668,1,0),IF($K1670&gt;$K1668,1,0),IF($L1670&gt;$L1668,1,0))&lt;&gt;3,"Error",""),""),""),"")</f>
        <v/>
      </c>
      <c r="R1671" s="114"/>
      <c r="S1671" s="115"/>
      <c r="T1671" s="115"/>
      <c r="U1671" s="115"/>
      <c r="V1671" s="115"/>
      <c r="W1671" s="115"/>
      <c r="X1671" s="115"/>
      <c r="Y1671" s="114"/>
      <c r="Z1671" s="114"/>
      <c r="AA1671" s="114"/>
      <c r="AB1671" s="114"/>
      <c r="AC1671" s="114"/>
      <c r="AD1671" s="114"/>
      <c r="AE1671" s="114"/>
      <c r="AF1671" s="114"/>
    </row>
    <row r="1672" spans="1:32" ht="12.75" customHeight="1">
      <c r="B1672" s="140" t="str">
        <f ca="1">IF(ISERROR(VLOOKUP($B1647&amp;"("&amp;$B1641&amp;")",Players!$S$4:$T$132,2,FALSE)),"",VLOOKUP($B1647&amp;"("&amp;$B1641&amp;")",Players!$S$4:$T$132,2,FALSE))</f>
        <v>B1</v>
      </c>
      <c r="C1672" s="140" t="str">
        <f ca="1">IF(ISERROR(VLOOKUP($B1654&amp;"("&amp;$B1641&amp;")",Players!$S$4:$T$132,2,FALSE)),"",VLOOKUP($B1654&amp;"("&amp;$B1641&amp;")",Players!$S$4:$T$132,2,FALSE))</f>
        <v>B1</v>
      </c>
      <c r="D1672" s="141" t="str">
        <f ca="1">IF(ISERROR(VLOOKUP($B1661&amp;"("&amp;$B1641&amp;")",Players!$S$4:$T$132,2,FALSE)),"",VLOOKUP($B1661&amp;"("&amp;$B1641&amp;")",Players!$S$4:$T$132,2,FALSE))</f>
        <v>B1</v>
      </c>
      <c r="E1672" s="141" t="str">
        <f ca="1">IF(ISERROR(VLOOKUP($B1668&amp;"("&amp;$B1641&amp;")",Players!$S$4:$T$132,2,FALSE)),"",VLOOKUP($B1668&amp;"("&amp;$B1641&amp;")",Players!$S$4:$T$132,2,FALSE))</f>
        <v>B1</v>
      </c>
      <c r="F1672" s="141" t="str">
        <f ca="1">IF(ISERROR(VLOOKUP($B1649&amp;"("&amp;$K1641&amp;")",Players!$S$4:$T$132,2,FALSE)),"",VLOOKUP($B1649&amp;"("&amp;$K1641&amp;")",Players!$S$4:$T$132,2,FALSE))</f>
        <v>K1</v>
      </c>
      <c r="G1672" s="141" t="str">
        <f ca="1">IF(ISERROR(VLOOKUP($B1656&amp;"("&amp;$K1641&amp;")",Players!$S$4:$T$132,2,FALSE)),"",VLOOKUP($B1656&amp;"("&amp;$K1641&amp;")",Players!$S$4:$T$132,2,FALSE))</f>
        <v>K1</v>
      </c>
      <c r="H1672" s="141" t="str">
        <f ca="1">IF(ISERROR(VLOOKUP($B1663&amp;"("&amp;$K1641&amp;")",Players!$S$4:$T$132,2,FALSE)),"",VLOOKUP($B1663&amp;"("&amp;$K1641&amp;")",Players!$S$4:$T$132,2,FALSE))</f>
        <v>K1</v>
      </c>
      <c r="I1672" s="141" t="str">
        <f ca="1">IF(ISERROR(VLOOKUP($B1670&amp;"("&amp;$K1641&amp;")",Players!$S$4:$T$132,2,FALSE)),"",VLOOKUP($B1670&amp;"("&amp;$K1641&amp;")",Players!$S$4:$T$132,2,FALSE))</f>
        <v>K1</v>
      </c>
      <c r="Q1672" s="7"/>
      <c r="R1672" s="50"/>
      <c r="S1672" s="116"/>
      <c r="T1672" s="115"/>
      <c r="U1672" s="115"/>
      <c r="V1672" s="115"/>
      <c r="W1672" s="115"/>
      <c r="X1672" s="115"/>
      <c r="Y1672" s="99"/>
      <c r="Z1672" s="99"/>
      <c r="AA1672" s="99"/>
      <c r="AB1672" s="99"/>
      <c r="AC1672" s="117"/>
      <c r="AD1672" s="118"/>
      <c r="AE1672" s="114"/>
      <c r="AF1672" s="114"/>
    </row>
    <row r="1673" spans="1:32" ht="12.75" customHeight="1">
      <c r="A1673" s="21" t="s">
        <v>1225</v>
      </c>
      <c r="H1673" s="136" t="str">
        <f ca="1">IF($Q1675&lt;&gt;"",IF(AND($B1676&lt;&gt;"Missing Player",$B1678&lt;&gt;"Missing Player"),IF(AND(AND($H1675&gt;-1,$H1677&gt;-1),OR($H1675&gt;10,$H1677&gt;10),ABS($H1675-$H1677)&gt;1,IF(OR($H1675&gt;11,$H1677&gt;11),ABS($H1675-$H1677)=2,TRUE),$H1675=INT($H1675),$H1677=INT($H1677)),"","Error"),""),"")</f>
        <v/>
      </c>
      <c r="I1673" s="136" t="str">
        <f ca="1">IF($Q1675&lt;&gt;"",IF(AND($B1676&lt;&gt;"Missing Player",$B1678&lt;&gt;"Missing Player"),IF(AND(AND($I1675&gt;-1,$I1677&gt;-1),OR($I1675&gt;10,$I1677&gt;10),ABS($I1675-$I1677)&gt;1,IF(OR($I1675&gt;11,$I1677&gt;11),ABS($I1675-$I1677)=2,TRUE),$I1675=INT($I1675),$I1677=INT($I1677)),"","Error"),""),"")</f>
        <v/>
      </c>
      <c r="J1673" s="136" t="str">
        <f ca="1">IF($Q1675&lt;&gt;"",IF(AND($B1676&lt;&gt;"Missing Player",$B1678&lt;&gt;"Missing Player"),IF(AND(AND($J1675&gt;-1,$J1677&gt;-1),OR($J1675&gt;10,$J1677&gt;10),ABS($J1675-$J1677)&gt;1,IF(OR($J1675&gt;11,$J1677&gt;11),ABS($J1675-$J1677)=2,TRUE),$J1675=INT($J1675),$J1677=INT($J1677)),"","Error"),""),"")</f>
        <v/>
      </c>
      <c r="K1673" s="136" t="str">
        <f ca="1">IF($Q1675&lt;&gt;"",IF(AND($K1675&lt;&gt;"",$K1677&lt;&gt;""), IF(AND(AND($K1675&gt;-1,$K1677&gt;-1),OR($K1675&gt;10,$K1677&gt;10),ABS($K1675-$K1677)&gt;1,IF(OR($K1675&gt;11,$K1677&gt;11),ABS($K1675-$K1677)=2,TRUE),$K1675=INT($K1675),$K1677=INT($K1677)),"","Error"),""),"")</f>
        <v/>
      </c>
      <c r="L1673" s="136" t="str">
        <f ca="1">IF($Q1675&lt;&gt;"",IF(AND($L1675&lt;&gt;"",$L1677&lt;&gt;""), IF(AND(AND($L1675&gt;-1,$L1677&gt;-1),OR($L1675&gt;10,$L1677&gt;10),ABS($L1675-$L1677)&gt;1,IF(OR($L1675&gt;11,$L1677&gt;11),ABS($L1675-$L1677)=2,TRUE),$L1675=INT($L1675),$L1677=INT($L1677)),"","Error"),""),"")</f>
        <v/>
      </c>
      <c r="Q1673" s="7"/>
      <c r="R1673" s="114"/>
      <c r="S1673" s="115"/>
      <c r="T1673" s="115"/>
      <c r="U1673" s="115"/>
      <c r="V1673" s="115"/>
      <c r="W1673" s="115"/>
      <c r="X1673" s="115"/>
      <c r="Y1673" s="114"/>
      <c r="Z1673" s="114"/>
      <c r="AA1673" s="114"/>
      <c r="AB1673" s="114"/>
      <c r="AC1673" s="114"/>
      <c r="AD1673" s="114"/>
      <c r="AE1673" s="114"/>
      <c r="AF1673" s="114"/>
    </row>
    <row r="1674" spans="1:32" ht="12.75" customHeight="1">
      <c r="A1674" s="5" t="s">
        <v>1228</v>
      </c>
      <c r="B1674" s="290" t="s">
        <v>1126</v>
      </c>
      <c r="C1674" s="291"/>
      <c r="D1674" s="291"/>
      <c r="E1674" s="291"/>
      <c r="F1674" s="291"/>
      <c r="G1674" s="292"/>
      <c r="H1674" s="5">
        <v>1</v>
      </c>
      <c r="I1674" s="5">
        <v>2</v>
      </c>
      <c r="J1674" s="5">
        <v>3</v>
      </c>
      <c r="K1674" s="5">
        <v>4</v>
      </c>
      <c r="L1674" s="5">
        <v>5</v>
      </c>
      <c r="M1674" s="271"/>
      <c r="N1674" s="272"/>
      <c r="O1674" s="272"/>
      <c r="P1674" s="273"/>
      <c r="Q1674" s="8"/>
      <c r="S1674" s="24"/>
      <c r="T1674" s="26"/>
    </row>
    <row r="1675" spans="1:32" ht="12.75" customHeight="1">
      <c r="A1675" s="300" t="str">
        <f>B1641</f>
        <v>B</v>
      </c>
      <c r="B1675" s="311" t="str">
        <f ca="1">IF($B1647&lt;&gt;"",$B1647,"")</f>
        <v/>
      </c>
      <c r="C1675" s="312"/>
      <c r="D1675" s="312"/>
      <c r="E1675" s="312"/>
      <c r="F1675" s="312"/>
      <c r="G1675" s="313"/>
      <c r="H1675" s="265"/>
      <c r="I1675" s="265"/>
      <c r="J1675" s="265"/>
      <c r="K1675" s="265"/>
      <c r="L1675" s="265" t="str">
        <f ca="1">IF($B1668&lt;&gt;"",IF(AND($B1668="Missing Player",$G1679=2,$J1679=2),0,IF(AND($B1670="Missing Player",$G1679=2,$J1679=2),11,"")),"")</f>
        <v/>
      </c>
      <c r="M1675" s="262" t="str">
        <f ca="1">IF(OR(AND($B1675&lt;&gt;"",$B1676&lt;&gt;"",$B1675=$B1676),AND($B1677&lt;&gt;"",$B1678&lt;&gt;"",$B1677=$B1678)),"Invalid Partner","")</f>
        <v/>
      </c>
      <c r="N1675" s="263"/>
      <c r="O1675" s="263"/>
      <c r="P1675" s="264"/>
      <c r="Q1675" s="138" t="str">
        <f ca="1">IF(L1675=L1677,IF(K1675=K1677,IF(J1675&lt;&gt;"",IF(J1675&gt;J1677,"W","L"),""),IF(K1675&gt;K1677,"W","L")),IF(L1675&gt;L1677,"W","L"))</f>
        <v/>
      </c>
      <c r="S1675" s="24"/>
      <c r="T1675" s="26"/>
    </row>
    <row r="1676" spans="1:32" ht="12.75" customHeight="1">
      <c r="A1676" s="324"/>
      <c r="B1676" s="308" t="str">
        <f ca="1">IF($B1668="Missing Player",$B1668,"")</f>
        <v/>
      </c>
      <c r="C1676" s="309"/>
      <c r="D1676" s="309"/>
      <c r="E1676" s="309"/>
      <c r="F1676" s="309"/>
      <c r="G1676" s="310"/>
      <c r="H1676" s="270"/>
      <c r="I1676" s="270"/>
      <c r="J1676" s="270"/>
      <c r="K1676" s="270"/>
      <c r="L1676" s="270"/>
      <c r="M1676" s="262"/>
      <c r="N1676" s="263"/>
      <c r="O1676" s="263"/>
      <c r="P1676" s="264"/>
      <c r="Q1676" s="139" t="str">
        <f ca="1">IF($Q1675&lt;&gt;"",IF($B1678&lt;&gt;"Missing Player",IF($Q1675="W",IF(SUM(IF($H1675&gt;$H1677,1,0),IF($I1675&gt;$I1677,1,0),IF($J1675&gt;$J1677,1,0),IF($K1675&gt;$K1677,1,0),IF($L1675&gt;$L1677,1,0))&lt;&gt;3,"Error",""),""),""),"")</f>
        <v/>
      </c>
      <c r="R1676" s="328" t="str">
        <f>$A1642</f>
        <v/>
      </c>
      <c r="S1676" s="328"/>
      <c r="T1676" s="328"/>
      <c r="U1676" s="328"/>
      <c r="V1676" s="328"/>
      <c r="W1676" s="328"/>
      <c r="X1676" s="256" t="str">
        <f>CONCATENATE("(",$B1641," vs ",$K1641,")")</f>
        <v>(B vs K)</v>
      </c>
      <c r="Y1676" s="256"/>
      <c r="Z1676" s="328" t="str">
        <f>$J1642</f>
        <v/>
      </c>
      <c r="AA1676" s="328"/>
      <c r="AB1676" s="328"/>
      <c r="AC1676" s="328"/>
      <c r="AD1676" s="328"/>
      <c r="AE1676" s="328"/>
      <c r="AF1676" s="43"/>
    </row>
    <row r="1677" spans="1:32" ht="12.75" customHeight="1">
      <c r="A1677" s="325" t="str">
        <f>K1641</f>
        <v>K</v>
      </c>
      <c r="B1677" s="311" t="str">
        <f ca="1">IF($B1649&lt;&gt;"",$B1649,"")</f>
        <v/>
      </c>
      <c r="C1677" s="312"/>
      <c r="D1677" s="312"/>
      <c r="E1677" s="312"/>
      <c r="F1677" s="312"/>
      <c r="G1677" s="313"/>
      <c r="H1677" s="265"/>
      <c r="I1677" s="265"/>
      <c r="J1677" s="265"/>
      <c r="K1677" s="265"/>
      <c r="L1677" s="265" t="str">
        <f ca="1">IF($B1670&lt;&gt;"",IF(AND($B1670="Missing Player",$G1679=2,$J1679=2),0,IF(AND($B1668="Missing Player",$G1679=2,$J1679=2),11,"")),"")</f>
        <v/>
      </c>
      <c r="M1677" s="267" t="s">
        <v>1237</v>
      </c>
      <c r="N1677" s="268"/>
      <c r="O1677" s="268"/>
      <c r="P1677" s="269"/>
      <c r="Q1677" s="138" t="str">
        <f ca="1">IF(Q1675&lt;&gt;"",IF(Q1675="W","L","W"),"")</f>
        <v/>
      </c>
      <c r="R1677" s="43"/>
      <c r="S1677" s="43"/>
      <c r="T1677" s="43"/>
      <c r="U1677" s="43"/>
      <c r="V1677" s="43"/>
      <c r="W1677" s="43"/>
      <c r="X1677" s="43"/>
      <c r="Y1677" s="43"/>
      <c r="Z1677" s="43"/>
      <c r="AA1677" s="43"/>
      <c r="AB1677" s="43"/>
      <c r="AC1677" s="43"/>
      <c r="AD1677" s="43"/>
      <c r="AE1677" s="43"/>
      <c r="AF1677" s="43"/>
    </row>
    <row r="1678" spans="1:32" ht="12.75" customHeight="1">
      <c r="A1678" s="324"/>
      <c r="B1678" s="308" t="str">
        <f ca="1">IF($B1670="Missing Player",$B1670,"")</f>
        <v/>
      </c>
      <c r="C1678" s="309"/>
      <c r="D1678" s="309"/>
      <c r="E1678" s="309"/>
      <c r="F1678" s="309"/>
      <c r="G1678" s="310"/>
      <c r="H1678" s="270"/>
      <c r="I1678" s="270"/>
      <c r="J1678" s="266"/>
      <c r="K1678" s="266"/>
      <c r="L1678" s="266"/>
      <c r="M1678" s="267"/>
      <c r="N1678" s="268"/>
      <c r="O1678" s="268"/>
      <c r="P1678" s="269"/>
      <c r="Q1678" s="139" t="str">
        <f ca="1">IF($Q1677&lt;&gt;"",IF($B1676&lt;&gt;"Missing Player",IF($Q1677="W",IF(SUM(IF($H1677&gt;$H1675,1,0),IF($I1677&gt;$I1675,1,0),IF($J1677&gt;$J1675,1,0),IF($K1677&gt;$K1675,1,0),IF($L1677&gt;$L1675,1,0))&lt;&gt;3,"Error",""),""),""),"")</f>
        <v/>
      </c>
      <c r="R1678" s="43" t="str">
        <f>A1666</f>
        <v>4th Singles</v>
      </c>
      <c r="S1678" s="43"/>
      <c r="T1678" s="43"/>
      <c r="U1678" s="43"/>
      <c r="V1678" s="43"/>
      <c r="W1678" s="43"/>
      <c r="X1678" s="43"/>
      <c r="Y1678" s="43"/>
      <c r="Z1678" s="43"/>
      <c r="AA1678" s="43"/>
      <c r="AB1678" s="43"/>
      <c r="AC1678" s="43"/>
      <c r="AD1678" s="43"/>
      <c r="AE1678" s="43"/>
      <c r="AF1678" s="43"/>
    </row>
    <row r="1679" spans="1:32" ht="12.75" customHeight="1">
      <c r="G1679" s="66">
        <f ca="1">COUNTIF($Q1647:$Q1647,"W")+COUNTIF($Q1654:$Q1654,"W")+COUNTIF($Q1661:$Q1661,"W")+COUNTIF($Q1668:$Q1668,"W")</f>
        <v>0</v>
      </c>
      <c r="J1679" s="66">
        <f ca="1">COUNTIF($Q1649:$Q1649,"W")+COUNTIF($Q1656:$Q1656,"W")+COUNTIF($Q1663:$Q1663,"W")+COUNTIF($Q1670:$Q1670,"W")</f>
        <v>0</v>
      </c>
      <c r="R1679" s="60" t="s">
        <v>1228</v>
      </c>
      <c r="S1679" s="339" t="s">
        <v>1126</v>
      </c>
      <c r="T1679" s="340"/>
      <c r="U1679" s="340"/>
      <c r="V1679" s="340"/>
      <c r="W1679" s="340"/>
      <c r="X1679" s="341"/>
      <c r="Y1679" s="60">
        <v>1</v>
      </c>
      <c r="Z1679" s="60">
        <v>2</v>
      </c>
      <c r="AA1679" s="60">
        <v>3</v>
      </c>
      <c r="AB1679" s="60">
        <v>4</v>
      </c>
      <c r="AC1679" s="60">
        <v>5</v>
      </c>
      <c r="AD1679" s="342"/>
      <c r="AE1679" s="343"/>
      <c r="AF1679" s="344"/>
    </row>
    <row r="1680" spans="1:32" ht="12.75" customHeight="1" thickBot="1">
      <c r="F1680" s="246" t="s">
        <v>1238</v>
      </c>
      <c r="G1680" s="246"/>
      <c r="H1680" s="246"/>
      <c r="I1680" s="246"/>
      <c r="J1680" s="246"/>
      <c r="K1680" s="246"/>
      <c r="R1680" s="300" t="str">
        <f>B1641</f>
        <v>B</v>
      </c>
      <c r="S1680" s="331" t="str">
        <f ca="1">IF($B1668&lt;&gt;"",$B1668,"")</f>
        <v/>
      </c>
      <c r="T1680" s="353"/>
      <c r="U1680" s="353"/>
      <c r="V1680" s="353"/>
      <c r="W1680" s="353"/>
      <c r="X1680" s="354"/>
      <c r="Y1680" s="329"/>
      <c r="Z1680" s="329"/>
      <c r="AA1680" s="351"/>
      <c r="AB1680" s="351"/>
      <c r="AC1680" s="351"/>
      <c r="AD1680" s="345"/>
      <c r="AE1680" s="346"/>
      <c r="AF1680" s="347"/>
    </row>
    <row r="1681" spans="1:32" ht="12.75" customHeight="1">
      <c r="A1681" s="22"/>
      <c r="B1681" s="22"/>
      <c r="C1681" s="22"/>
      <c r="D1681" s="22"/>
      <c r="E1681" s="22"/>
      <c r="G1681" s="304" t="str">
        <f>B1641</f>
        <v>B</v>
      </c>
      <c r="H1681" s="305"/>
      <c r="I1681" s="302" t="str">
        <f>K1641</f>
        <v>K</v>
      </c>
      <c r="J1681" s="303"/>
      <c r="L1681" s="22"/>
      <c r="M1681" s="22"/>
      <c r="N1681" s="22"/>
      <c r="O1681" s="22"/>
      <c r="P1681" s="22"/>
      <c r="R1681" s="301"/>
      <c r="S1681" s="355"/>
      <c r="T1681" s="356"/>
      <c r="U1681" s="356"/>
      <c r="V1681" s="356"/>
      <c r="W1681" s="356"/>
      <c r="X1681" s="357"/>
      <c r="Y1681" s="338"/>
      <c r="Z1681" s="338"/>
      <c r="AA1681" s="352"/>
      <c r="AB1681" s="352"/>
      <c r="AC1681" s="352"/>
      <c r="AD1681" s="348"/>
      <c r="AE1681" s="349"/>
      <c r="AF1681" s="350"/>
    </row>
    <row r="1682" spans="1:32" ht="12.75" customHeight="1" thickBot="1">
      <c r="A1682" s="2" t="s">
        <v>1228</v>
      </c>
      <c r="B1682" s="53" t="str">
        <f>B1641</f>
        <v>B</v>
      </c>
      <c r="C1682" s="3" t="s">
        <v>1226</v>
      </c>
      <c r="F1682" s="66" t="str">
        <f>CONCATENATE($B1641,"-",$K1641)</f>
        <v>B-K</v>
      </c>
      <c r="G1682" s="320" t="str">
        <f ca="1">IF(OR(Q1647&lt;&gt;"",Q1654&lt;&gt;"",Q1661&lt;&gt;"",Q1668&lt;&gt;"",Q1675&lt;&gt;""),COUNTIF(Q1647:Q1647,"W")+COUNTIF(Q1654:Q1654,"W")+COUNTIF(Q1661:Q1661,"W")+COUNTIF(Q1668:Q1668,"W")+COUNTIF(Q1675:Q1675,"W"),"")</f>
        <v/>
      </c>
      <c r="H1682" s="321"/>
      <c r="I1682" s="322" t="str">
        <f ca="1">IF(OR(Q1649&lt;&gt;"",Q1656&lt;&gt;"",Q1663&lt;&gt;"",Q1670&lt;&gt;"",Q1677&lt;&gt;""),COUNTIF(Q1649:Q1649,"W")+COUNTIF(Q1656:Q1656,"W")+COUNTIF(Q1663:Q1663,"W")+COUNTIF(Q1670:Q1670,"W")+COUNTIF(Q1677:Q1677,"W"),"")</f>
        <v/>
      </c>
      <c r="J1682" s="323"/>
      <c r="L1682" s="2" t="s">
        <v>1228</v>
      </c>
      <c r="M1682" s="53" t="str">
        <f>K1641</f>
        <v>K</v>
      </c>
      <c r="N1682" s="3" t="s">
        <v>1226</v>
      </c>
      <c r="R1682" s="300" t="str">
        <f>K1641</f>
        <v>K</v>
      </c>
      <c r="S1682" s="331" t="str">
        <f ca="1">IF($B1670&lt;&gt;"",$B1670,"")</f>
        <v/>
      </c>
      <c r="T1682" s="332"/>
      <c r="U1682" s="332"/>
      <c r="V1682" s="332"/>
      <c r="W1682" s="332"/>
      <c r="X1682" s="333"/>
      <c r="Y1682" s="329"/>
      <c r="Z1682" s="329"/>
      <c r="AA1682" s="351"/>
      <c r="AB1682" s="351"/>
      <c r="AC1682" s="351"/>
      <c r="AD1682" s="363" t="s">
        <v>1237</v>
      </c>
      <c r="AE1682" s="358"/>
      <c r="AF1682" s="359"/>
    </row>
    <row r="1683" spans="1:32" ht="12.75" customHeight="1">
      <c r="F1683" s="25" t="s">
        <v>3996</v>
      </c>
      <c r="G1683" s="23"/>
      <c r="H1683" s="23"/>
      <c r="I1683" s="23"/>
      <c r="J1683" s="23"/>
      <c r="K1683" s="24"/>
      <c r="R1683" s="330"/>
      <c r="S1683" s="334"/>
      <c r="T1683" s="335"/>
      <c r="U1683" s="335"/>
      <c r="V1683" s="335"/>
      <c r="W1683" s="335"/>
      <c r="X1683" s="336"/>
      <c r="Y1683" s="330"/>
      <c r="Z1683" s="330"/>
      <c r="AA1683" s="330"/>
      <c r="AB1683" s="330"/>
      <c r="AC1683" s="330"/>
      <c r="AD1683" s="360"/>
      <c r="AE1683" s="361"/>
      <c r="AF1683" s="362"/>
    </row>
    <row r="1684" spans="1:32" ht="12.75" customHeight="1">
      <c r="R1684" s="1"/>
      <c r="S1684" s="110"/>
      <c r="T1684" s="110"/>
      <c r="U1684" s="110"/>
      <c r="V1684" s="110"/>
      <c r="W1684" s="110"/>
      <c r="X1684" s="111"/>
      <c r="Y1684" s="111"/>
      <c r="Z1684" s="111"/>
      <c r="AA1684" s="111"/>
    </row>
    <row r="1685" spans="1:32" ht="12.75" customHeight="1">
      <c r="F1685" s="246" t="s">
        <v>4929</v>
      </c>
      <c r="G1685" s="246"/>
      <c r="H1685" s="246"/>
      <c r="I1685" s="246"/>
      <c r="R1685" s="1"/>
      <c r="S1685" s="110"/>
      <c r="T1685" s="110"/>
      <c r="U1685" s="110"/>
      <c r="V1685" s="110"/>
      <c r="W1685" s="110"/>
      <c r="X1685" s="111"/>
      <c r="Y1685" s="111"/>
      <c r="Z1685" s="111"/>
      <c r="AA1685" s="111"/>
    </row>
    <row r="1686" spans="1:32" ht="12.75" customHeight="1">
      <c r="F1686" s="246" t="s">
        <v>4930</v>
      </c>
      <c r="G1686" s="246"/>
      <c r="H1686" s="246"/>
      <c r="I1686" s="246"/>
      <c r="R1686" s="1"/>
      <c r="S1686" s="110"/>
      <c r="T1686" s="110"/>
      <c r="U1686" s="110"/>
      <c r="V1686" s="110"/>
      <c r="W1686" s="110"/>
      <c r="X1686" s="111"/>
      <c r="Y1686" s="111"/>
      <c r="Z1686" s="111"/>
      <c r="AA1686" s="111"/>
    </row>
    <row r="1687" spans="1:32" ht="12.75" customHeight="1">
      <c r="K1687" s="281" t="s">
        <v>1244</v>
      </c>
      <c r="L1687" s="281"/>
      <c r="M1687" s="281"/>
      <c r="N1687" s="281"/>
      <c r="O1687" s="281"/>
      <c r="P1687" s="281"/>
      <c r="R1687" s="1"/>
      <c r="S1687" s="110"/>
      <c r="T1687" s="110"/>
      <c r="U1687" s="110"/>
      <c r="V1687" s="110"/>
      <c r="W1687" s="110"/>
      <c r="X1687" s="111"/>
      <c r="Y1687" s="111"/>
      <c r="Z1687" s="111"/>
      <c r="AA1687" s="111"/>
    </row>
    <row r="1688" spans="1:32" ht="12.75" customHeight="1">
      <c r="A1688" s="12" t="s">
        <v>1229</v>
      </c>
      <c r="B1688" s="11"/>
      <c r="C1688" s="11"/>
      <c r="D1688" s="11" t="str">
        <f>Draw!$B$1</f>
        <v>Enter Division Name</v>
      </c>
      <c r="E1688" s="11"/>
      <c r="F1688" s="7"/>
      <c r="G1688" s="6"/>
      <c r="H1688" s="7"/>
      <c r="I1688" s="11"/>
      <c r="J1688" s="11"/>
      <c r="K1688" s="11"/>
      <c r="L1688" s="11"/>
      <c r="M1688" s="281"/>
      <c r="N1688" s="281"/>
      <c r="O1688" s="281"/>
      <c r="P1688" s="281"/>
      <c r="R1688" s="1"/>
      <c r="S1688" s="110"/>
      <c r="T1688" s="110"/>
      <c r="U1688" s="110"/>
      <c r="V1688" s="110"/>
      <c r="W1688" s="110"/>
      <c r="X1688" s="111"/>
      <c r="Y1688" s="111"/>
      <c r="Z1688" s="111"/>
      <c r="AA1688" s="111"/>
    </row>
    <row r="1689" spans="1:32" ht="12.75" customHeight="1">
      <c r="A1689" s="2" t="s">
        <v>1230</v>
      </c>
      <c r="D1689" s="43" t="str">
        <f>Draw!$D$1</f>
        <v>Enter Hosting Location (City, ST)</v>
      </c>
      <c r="J1689" s="43" t="str">
        <f ca="1">$J$6</f>
        <v>[NCTTA Teams Template (v2.06).xlsx]</v>
      </c>
      <c r="R1689" s="1"/>
      <c r="S1689" s="110"/>
      <c r="T1689" s="110"/>
      <c r="U1689" s="110"/>
      <c r="V1689" s="110"/>
      <c r="W1689" s="110"/>
      <c r="X1689" s="111"/>
      <c r="Y1689" s="111"/>
      <c r="Z1689" s="111"/>
      <c r="AA1689" s="111"/>
    </row>
    <row r="1690" spans="1:32" ht="12.75" customHeight="1">
      <c r="A1690" s="2" t="s">
        <v>1231</v>
      </c>
      <c r="D1690" s="337" t="str">
        <f>Draw!$P$1</f>
        <v>Enter Date</v>
      </c>
      <c r="E1690" s="337"/>
      <c r="F1690" s="337"/>
      <c r="G1690" s="337"/>
      <c r="J1690" s="280" t="str">
        <f>CHOOSE(Draw!$T$1,"Round 6, Match 4","","","","","","","","Round 9, Match 2","Round 7, Match 4","Round 7, Match 4")</f>
        <v/>
      </c>
      <c r="K1690" s="280"/>
      <c r="L1690" s="280"/>
      <c r="M1690" s="276" t="str">
        <f>IF(AND($J1690&lt;&gt;"",Draw!$AC$10&lt;&gt;"",Draw!$AC$13&lt;&gt;""),Draw!$AC$10+TIME(0,VALUE(MID($J1690,7,FIND(",",$J1690)-FIND(" ",$J1690)-1)-1)*Draw!$AC$13,0),"")</f>
        <v/>
      </c>
      <c r="N1690" s="276"/>
      <c r="O1690" s="157" t="str">
        <f>$F1733</f>
        <v>B-L</v>
      </c>
      <c r="R1690" s="1"/>
      <c r="S1690" s="110"/>
      <c r="T1690" s="110"/>
      <c r="U1690" s="110"/>
      <c r="V1690" s="110"/>
      <c r="W1690" s="110"/>
      <c r="X1690" s="111"/>
      <c r="Y1690" s="111"/>
      <c r="Z1690" s="111"/>
      <c r="AA1690" s="111"/>
    </row>
    <row r="1691" spans="1:32" ht="12.75" customHeight="1">
      <c r="A1691" s="14"/>
      <c r="B1691" s="15"/>
      <c r="C1691" s="15"/>
      <c r="D1691" s="15"/>
      <c r="E1691" s="15"/>
      <c r="F1691" s="14"/>
      <c r="G1691" s="14"/>
      <c r="H1691" s="16"/>
      <c r="I1691" s="14"/>
      <c r="J1691" s="15"/>
      <c r="K1691" s="15"/>
      <c r="L1691" s="15"/>
      <c r="M1691" s="15"/>
      <c r="N1691" s="15"/>
      <c r="O1691" s="364" t="str">
        <f>IF(OR(AND(VLOOKUP($B1692,$AM$1:$AX$12,12,FALSE)="C",VLOOKUP($K1692,$AM$1:$AX$12,12,FALSE)="C"),AND(VLOOKUP($B1692,$AM$1:$AX$12,12,FALSE)="W",VLOOKUP($K1692,$AM$1:$AX$12,12,FALSE)="W")),"Official",IF(AND($A1693="",$J1693=""),"","Scrimmage"))</f>
        <v/>
      </c>
      <c r="P1691" s="364"/>
      <c r="R1691" s="1"/>
      <c r="S1691" s="110"/>
      <c r="T1691" s="110"/>
      <c r="U1691" s="110"/>
      <c r="V1691" s="110"/>
      <c r="W1691" s="110"/>
      <c r="X1691" s="111"/>
      <c r="Y1691" s="111"/>
      <c r="Z1691" s="111"/>
      <c r="AA1691" s="111"/>
    </row>
    <row r="1692" spans="1:32" ht="12.75" customHeight="1">
      <c r="A1692" s="17" t="s">
        <v>1228</v>
      </c>
      <c r="B1692" s="119" t="str">
        <f>CHOOSE(Draw!$T$1,"D","A","B","C","D","D","C","B","F","F","C")</f>
        <v>B</v>
      </c>
      <c r="C1692" s="135">
        <f>VLOOKUP($B1692,$AM$1:$AN$12,2)</f>
        <v>2</v>
      </c>
      <c r="D1692" s="13"/>
      <c r="E1692" s="13"/>
      <c r="F1692" s="10"/>
      <c r="H1692" s="19" t="s">
        <v>1232</v>
      </c>
      <c r="J1692" s="17" t="s">
        <v>1228</v>
      </c>
      <c r="K1692" s="119" t="str">
        <f>CHOOSE(Draw!$T$1,"J","J","L","G","H","G","J","J","H","I","I")</f>
        <v>L</v>
      </c>
      <c r="L1692" s="135">
        <f>VLOOKUP($K1692,$AM$1:$AN$12,2)</f>
        <v>12</v>
      </c>
      <c r="M1692" s="13"/>
      <c r="N1692" s="13"/>
      <c r="O1692" s="18"/>
      <c r="P1692" s="274"/>
      <c r="Q1692" s="275"/>
      <c r="R1692" s="1"/>
      <c r="S1692" s="110"/>
      <c r="T1692" s="110"/>
      <c r="U1692" s="110"/>
      <c r="V1692" s="110"/>
      <c r="W1692" s="110"/>
      <c r="X1692" s="111"/>
      <c r="Y1692" s="111"/>
      <c r="Z1692" s="111"/>
      <c r="AA1692" s="111"/>
    </row>
    <row r="1693" spans="1:32" ht="12.75" customHeight="1">
      <c r="A1693" s="277" t="str">
        <f>IF(VLOOKUP($B1692,Draw!$A$4:$B$27,2)&lt;&gt;0,VLOOKUP($B1692,Draw!$A$4:$B$27,2),"")</f>
        <v/>
      </c>
      <c r="B1693" s="278"/>
      <c r="C1693" s="278"/>
      <c r="D1693" s="278"/>
      <c r="E1693" s="278"/>
      <c r="F1693" s="279"/>
      <c r="G1693" s="306" t="s">
        <v>4185</v>
      </c>
      <c r="H1693" s="289"/>
      <c r="I1693" s="307"/>
      <c r="J1693" s="277" t="str">
        <f>IF(VLOOKUP($K1692,Draw!$A$4:$B$27,2)&lt;&gt;0,VLOOKUP($K1692,Draw!$A$4:$B$27,2),"")</f>
        <v/>
      </c>
      <c r="K1693" s="278"/>
      <c r="L1693" s="278"/>
      <c r="M1693" s="278"/>
      <c r="N1693" s="278"/>
      <c r="O1693" s="279"/>
      <c r="P1693" s="15"/>
      <c r="R1693" s="1"/>
      <c r="S1693" s="110"/>
      <c r="T1693" s="110"/>
      <c r="U1693" s="110"/>
      <c r="V1693" s="110"/>
      <c r="W1693" s="110"/>
      <c r="X1693" s="111"/>
      <c r="Y1693" s="111"/>
      <c r="Z1693" s="111"/>
      <c r="AA1693" s="111"/>
    </row>
    <row r="1694" spans="1:32" ht="12.75" customHeight="1">
      <c r="A1694" s="14"/>
      <c r="B1694" s="15"/>
      <c r="C1694" s="15"/>
      <c r="D1694" s="15"/>
      <c r="E1694" s="15"/>
      <c r="F1694" s="14"/>
      <c r="G1694" s="288" t="str">
        <f>"Page "&amp;VALUE(RIGHT($G1693,LEN($G1693)-SEARCH("-",$G1693)))/2</f>
        <v>Page 34</v>
      </c>
      <c r="H1694" s="289"/>
      <c r="I1694" s="289"/>
      <c r="J1694" s="15"/>
      <c r="K1694" s="15"/>
      <c r="L1694" s="15"/>
      <c r="M1694" s="15"/>
      <c r="N1694" s="15"/>
      <c r="O1694" s="15"/>
      <c r="P1694" s="15"/>
      <c r="R1694" s="1"/>
      <c r="S1694" s="110"/>
      <c r="T1694" s="110"/>
      <c r="U1694" s="110"/>
      <c r="V1694" s="110"/>
      <c r="W1694" s="110"/>
      <c r="X1694" s="111"/>
      <c r="Y1694" s="111"/>
      <c r="Z1694" s="111"/>
      <c r="AA1694" s="111"/>
      <c r="AF1694" s="27"/>
    </row>
    <row r="1695" spans="1:32" ht="12.75" customHeight="1">
      <c r="A1695" s="327" t="s">
        <v>1245</v>
      </c>
      <c r="B1695" s="327"/>
      <c r="C1695" s="327"/>
      <c r="D1695" s="327"/>
      <c r="E1695" s="327"/>
      <c r="F1695" s="327"/>
      <c r="G1695" s="327"/>
      <c r="H1695" s="327"/>
      <c r="I1695" s="327"/>
      <c r="J1695" s="327"/>
      <c r="K1695" s="327"/>
      <c r="L1695" s="327"/>
      <c r="M1695" s="327"/>
      <c r="N1695" s="327"/>
      <c r="O1695" s="327"/>
      <c r="P1695" s="327"/>
      <c r="Q1695" s="7"/>
      <c r="R1695" s="1"/>
      <c r="S1695" s="110"/>
      <c r="T1695" s="110"/>
      <c r="U1695" s="110"/>
      <c r="V1695" s="110"/>
      <c r="W1695" s="110"/>
      <c r="X1695" s="111"/>
      <c r="Y1695" s="111"/>
      <c r="Z1695" s="111"/>
      <c r="AA1695" s="111"/>
      <c r="AF1695" s="20"/>
    </row>
    <row r="1696" spans="1:32" ht="12.75" customHeight="1">
      <c r="A1696" s="21" t="s">
        <v>1233</v>
      </c>
      <c r="H1696" s="136" t="str">
        <f>IF($Q1698&lt;&gt;"",IF(AND(AND($H1698&gt;-1,$H1700&gt;-1),OR($H1698&gt;10,$H1700&gt;10),ABS($H1698-$H1700)&gt;1,IF(OR($H1698&gt;11,$H1700&gt;11),ABS($H1698-$H1700)=2,TRUE),$H1698=INT($H1698),$H1700=INT($H1700)),"","Error"),"")</f>
        <v/>
      </c>
      <c r="I1696" s="136" t="str">
        <f>IF($Q1698&lt;&gt;"",IF(AND(AND($I1698&gt;-1,$I1700&gt;-1),OR($I1698&gt;10,$I1700&gt;10),ABS($I1698-$I1700)&gt;1,IF(OR($I1698&gt;11,$I1700&gt;11),ABS($I1698-$I1700)=2,TRUE),$I1698=INT($I1698),$I1700=INT($I1700)),"","Error"),"")</f>
        <v/>
      </c>
      <c r="J1696" s="136" t="str">
        <f>IF($Q1698&lt;&gt;"",IF(AND(AND($J1698&gt;-1,$J1700&gt;-1),OR($J1698&gt;10,$J1700&gt;10),ABS($J1698-$J1700)&gt;1,IF(OR($J1698&gt;11,$J1700&gt;11),ABS($J1698-$J1700)=2,TRUE),$J1698=INT($J1698),$J1700=INT($J1700)),"","Error"),"")</f>
        <v/>
      </c>
      <c r="K1696" s="136" t="str">
        <f>IF($Q1698&lt;&gt;"",IF(AND($K1698&lt;&gt;"",$K1700&lt;&gt;""), IF(AND(AND($K1698&gt;-1,$K1700&gt;-1),OR($K1698&gt;10,$K1700&gt;10),ABS($K1698-$K1700)&gt;1,IF(OR($K1698&gt;11,$K1700&gt;11),ABS($K1698-$K1700)=2,TRUE),$K1698=INT($K1698),$K1700=INT($K1700)),"","Error"),""),"")</f>
        <v/>
      </c>
      <c r="L1696" s="136" t="str">
        <f>IF($Q1698&lt;&gt;"",IF(AND($L1698&lt;&gt;"",$L1700&lt;&gt;""), IF(AND(AND($L1698&gt;-1,$L1700&gt;-1),OR($L1698&gt;10,$L1700&gt;10),ABS($L1698-$L1700)&gt;1,IF(OR($L1698&gt;11,$L1700&gt;11),ABS($L1698-$L1700)=2,TRUE),$L1698=INT($L1698),$L1700=INT($L1700)),"","Error"),""),"")</f>
        <v/>
      </c>
      <c r="R1696" s="1"/>
      <c r="S1696" s="110"/>
      <c r="T1696" s="110"/>
      <c r="U1696" s="110"/>
      <c r="V1696" s="110"/>
      <c r="W1696" s="110"/>
      <c r="X1696" s="111"/>
      <c r="Y1696" s="111"/>
      <c r="Z1696" s="111"/>
      <c r="AA1696" s="111"/>
    </row>
    <row r="1697" spans="1:32" ht="12.75" customHeight="1">
      <c r="A1697" s="5" t="s">
        <v>1228</v>
      </c>
      <c r="B1697" s="290" t="s">
        <v>1126</v>
      </c>
      <c r="C1697" s="291"/>
      <c r="D1697" s="291"/>
      <c r="E1697" s="291"/>
      <c r="F1697" s="291"/>
      <c r="G1697" s="292"/>
      <c r="H1697" s="5">
        <v>1</v>
      </c>
      <c r="I1697" s="5">
        <v>2</v>
      </c>
      <c r="J1697" s="5">
        <v>3</v>
      </c>
      <c r="K1697" s="5">
        <v>4</v>
      </c>
      <c r="L1697" s="5">
        <v>5</v>
      </c>
      <c r="M1697" s="271"/>
      <c r="N1697" s="272"/>
      <c r="O1697" s="272"/>
      <c r="P1697" s="273"/>
      <c r="R1697" s="1"/>
      <c r="S1697" s="110"/>
      <c r="T1697" s="110"/>
      <c r="U1697" s="110"/>
      <c r="V1697" s="110"/>
      <c r="W1697" s="110"/>
      <c r="X1697" s="111"/>
      <c r="Y1697" s="111"/>
      <c r="Z1697" s="111"/>
      <c r="AA1697" s="111"/>
    </row>
    <row r="1698" spans="1:32" ht="12.75" customHeight="1">
      <c r="A1698" s="300" t="str">
        <f>B1692</f>
        <v>B</v>
      </c>
      <c r="B1698" s="293" t="str">
        <f ca="1">IF(AND(OFFSET($AO$1,$C1692-1,8,1,1),$A1693&lt;&gt;"",$J1693&lt;&gt;""),CHOOSE($C1692,$AO$1,$AO$2,$AO$3,$AO$4,$AO$5,$AO$6,$AO$7,$AO$8,$AO$9,$AO$10,$AO$11,$AO$12),"")</f>
        <v/>
      </c>
      <c r="C1698" s="294"/>
      <c r="D1698" s="294"/>
      <c r="E1698" s="294"/>
      <c r="F1698" s="294"/>
      <c r="G1698" s="294"/>
      <c r="H1698" s="265"/>
      <c r="I1698" s="265"/>
      <c r="J1698" s="265"/>
      <c r="K1698" s="265"/>
      <c r="L1698" s="265"/>
      <c r="M1698" s="297"/>
      <c r="N1698" s="298"/>
      <c r="O1698" s="298"/>
      <c r="P1698" s="299"/>
      <c r="Q1698" s="137" t="str">
        <f>IF($L1698=$L1700,IF($K1698=$K1700,IF($J1698&lt;&gt;"",IF($J1698&gt;$J1700,"W","L"),""),IF($K1698&gt;$K1700,"W","L")),IF($L1698&gt;$L1700,"W","L"))</f>
        <v/>
      </c>
      <c r="R1698" s="1"/>
      <c r="S1698" s="110"/>
      <c r="T1698" s="110"/>
      <c r="U1698" s="110"/>
      <c r="V1698" s="110"/>
      <c r="W1698" s="110"/>
      <c r="X1698" s="111"/>
      <c r="Y1698" s="111"/>
      <c r="Z1698" s="111"/>
      <c r="AA1698" s="111"/>
    </row>
    <row r="1699" spans="1:32" ht="12.75" customHeight="1">
      <c r="A1699" s="301"/>
      <c r="B1699" s="295"/>
      <c r="C1699" s="296"/>
      <c r="D1699" s="296"/>
      <c r="E1699" s="296"/>
      <c r="F1699" s="296"/>
      <c r="G1699" s="296"/>
      <c r="H1699" s="270"/>
      <c r="I1699" s="270"/>
      <c r="J1699" s="270"/>
      <c r="K1699" s="270"/>
      <c r="L1699" s="270"/>
      <c r="M1699" s="297"/>
      <c r="N1699" s="298"/>
      <c r="O1699" s="298"/>
      <c r="P1699" s="299"/>
      <c r="Q1699" s="139" t="str">
        <f>IF($Q1698&lt;&gt;"",IF($Q1698="W",IF(SUM(IF($H1698&gt;$H1700,1,0),IF($I1698&gt;$I1700,1,0),IF($J1698&gt;$J1700,1,0),IF($K1698&gt;$K1700,1,0),IF($L1698&gt;$L1700,1,0))&lt;&gt;3,"Error",""),""),"")</f>
        <v/>
      </c>
      <c r="R1699" s="328" t="str">
        <f>$A1693</f>
        <v/>
      </c>
      <c r="S1699" s="328"/>
      <c r="T1699" s="328"/>
      <c r="U1699" s="328"/>
      <c r="V1699" s="328"/>
      <c r="W1699" s="328"/>
      <c r="X1699" s="256" t="str">
        <f>CONCATENATE("(",$B1692," vs ",$K1692,")")</f>
        <v>(B vs L)</v>
      </c>
      <c r="Y1699" s="256"/>
      <c r="Z1699" s="328" t="str">
        <f>$J1693</f>
        <v/>
      </c>
      <c r="AA1699" s="328"/>
      <c r="AB1699" s="328"/>
      <c r="AC1699" s="328"/>
      <c r="AD1699" s="328"/>
      <c r="AE1699" s="328"/>
      <c r="AF1699" s="43"/>
    </row>
    <row r="1700" spans="1:32" ht="12.75" customHeight="1">
      <c r="A1700" s="300" t="str">
        <f>K1692</f>
        <v>L</v>
      </c>
      <c r="B1700" s="293" t="str">
        <f ca="1">IF(AND(OFFSET($AO$1,$L1692-1,8,1,1),$A1693&lt;&gt;"",$J1693&lt;&gt;""),CHOOSE($L1692,$AO$1,$AO$2,$AO$3,$AO$4,$AO$5,$AO$6,$AO$7,$AO$8,$AO$9,$AO$10,$AO$11,$AO$12),"")</f>
        <v/>
      </c>
      <c r="C1700" s="294"/>
      <c r="D1700" s="294"/>
      <c r="E1700" s="294"/>
      <c r="F1700" s="294"/>
      <c r="G1700" s="294"/>
      <c r="H1700" s="265"/>
      <c r="I1700" s="265"/>
      <c r="J1700" s="265"/>
      <c r="K1700" s="265"/>
      <c r="L1700" s="265"/>
      <c r="M1700" s="267" t="s">
        <v>1237</v>
      </c>
      <c r="N1700" s="268"/>
      <c r="O1700" s="268"/>
      <c r="P1700" s="269"/>
      <c r="Q1700" s="137" t="str">
        <f>IF($Q1698&lt;&gt;"",IF($Q1698="W","L","W"),"")</f>
        <v/>
      </c>
      <c r="R1700" s="43"/>
      <c r="S1700" s="43"/>
      <c r="T1700" s="43"/>
      <c r="U1700" s="43"/>
      <c r="V1700" s="43"/>
      <c r="W1700" s="43"/>
      <c r="X1700" s="43"/>
      <c r="Y1700" s="43"/>
      <c r="Z1700" s="43"/>
      <c r="AA1700" s="43"/>
      <c r="AB1700" s="43"/>
      <c r="AC1700" s="43"/>
      <c r="AD1700" s="43"/>
      <c r="AE1700" s="43"/>
      <c r="AF1700" s="43"/>
    </row>
    <row r="1701" spans="1:32" ht="12.75" customHeight="1">
      <c r="A1701" s="301"/>
      <c r="B1701" s="295"/>
      <c r="C1701" s="296"/>
      <c r="D1701" s="296"/>
      <c r="E1701" s="296"/>
      <c r="F1701" s="296"/>
      <c r="G1701" s="296"/>
      <c r="H1701" s="270"/>
      <c r="I1701" s="270"/>
      <c r="J1701" s="266"/>
      <c r="K1701" s="266"/>
      <c r="L1701" s="266"/>
      <c r="M1701" s="267"/>
      <c r="N1701" s="268"/>
      <c r="O1701" s="268"/>
      <c r="P1701" s="269"/>
      <c r="Q1701" s="139" t="str">
        <f>IF($Q1700&lt;&gt;"",IF($Q1700="W",IF(SUM(IF($H1700&gt;$H1698,1,0),IF($I1700&gt;$I1698,1,0),IF($J1700&gt;$J1698,1,0),IF($K1700&gt;$K1698,1,0),IF($L1700&gt;$L1698,1,0))&lt;&gt;3,"Error",""),""),"")</f>
        <v/>
      </c>
      <c r="R1701" s="43" t="str">
        <f>$A1703</f>
        <v>2nd Singles</v>
      </c>
      <c r="S1701" s="43"/>
      <c r="T1701" s="43"/>
      <c r="U1701" s="43"/>
      <c r="V1701" s="43"/>
      <c r="W1701" s="43"/>
      <c r="X1701" s="43"/>
      <c r="Y1701" s="43"/>
      <c r="Z1701" s="43"/>
      <c r="AA1701" s="43"/>
      <c r="AB1701" s="43"/>
      <c r="AC1701" s="43"/>
      <c r="AD1701" s="43"/>
      <c r="AE1701" s="43"/>
      <c r="AF1701" s="43"/>
    </row>
    <row r="1702" spans="1:32" ht="12.75" customHeight="1">
      <c r="Q1702" s="7"/>
      <c r="R1702" s="60" t="s">
        <v>1228</v>
      </c>
      <c r="S1702" s="339" t="s">
        <v>1126</v>
      </c>
      <c r="T1702" s="340"/>
      <c r="U1702" s="340"/>
      <c r="V1702" s="340"/>
      <c r="W1702" s="340"/>
      <c r="X1702" s="341"/>
      <c r="Y1702" s="60">
        <v>1</v>
      </c>
      <c r="Z1702" s="60">
        <v>2</v>
      </c>
      <c r="AA1702" s="60">
        <v>3</v>
      </c>
      <c r="AB1702" s="60">
        <v>4</v>
      </c>
      <c r="AC1702" s="60">
        <v>5</v>
      </c>
      <c r="AD1702" s="342"/>
      <c r="AE1702" s="343"/>
      <c r="AF1702" s="344"/>
    </row>
    <row r="1703" spans="1:32" ht="12.75" customHeight="1">
      <c r="A1703" s="21" t="s">
        <v>1234</v>
      </c>
      <c r="H1703" s="136" t="str">
        <f>IF($Q1705&lt;&gt;"",IF(AND(AND($H1705&gt;-1,$H1707&gt;-1),OR($H1705&gt;10,$H1707&gt;10),ABS($H1705-$H1707)&gt;1,IF(OR($H1705&gt;11,$H1707&gt;11),ABS($H1705-$H1707)=2,TRUE),$H1705=INT($H1705),$H1707=INT($H1707)),"","Error"),"")</f>
        <v/>
      </c>
      <c r="I1703" s="136" t="str">
        <f>IF($Q1705&lt;&gt;"",IF(AND(AND($I1705&gt;-1,$I1707&gt;-1),OR($I1705&gt;10,$I1707&gt;10),ABS($I1705-$I1707)&gt;1,IF(OR($I1705&gt;11,$I1707&gt;11),ABS($I1705-$I1707)=2,TRUE),$I1705=INT($I1705),$I1707=INT($I1707)),"","Error"),"")</f>
        <v/>
      </c>
      <c r="J1703" s="136" t="str">
        <f>IF($Q1705&lt;&gt;"",IF(AND(AND($J1705&gt;-1,$J1707&gt;-1),OR($J1705&gt;10,$J1707&gt;10),ABS($J1705-$J1707)&gt;1,IF(OR($J1705&gt;11,$J1707&gt;11),ABS($J1705-$J1707)=2,TRUE),$J1705=INT($J1705),$J1707=INT($J1707)),"","Error"),"")</f>
        <v/>
      </c>
      <c r="K1703" s="136" t="str">
        <f>IF($Q1705&lt;&gt;"",IF(AND($K1705&lt;&gt;"",$K1707&lt;&gt;""), IF(AND(AND($K1705&gt;-1,$K1707&gt;-1),OR($K1705&gt;10,$K1707&gt;10),ABS($K1705-$K1707)&gt;1,IF(OR($K1705&gt;11,$K1707&gt;11),ABS($K1705-$K1707)=2,TRUE),$K1705=INT($K1705),$K1707=INT($K1707)),"","Error"),""),"")</f>
        <v/>
      </c>
      <c r="L1703" s="136" t="str">
        <f>IF($Q1705&lt;&gt;"",IF(AND($L1705&lt;&gt;"",$L1707&lt;&gt;""), IF(AND(AND($L1705&gt;-1,$L1707&gt;-1),OR($L1705&gt;10,$L1707&gt;10),ABS($L1705-$L1707)&gt;1,IF(OR($L1705&gt;11,$L1707&gt;11),ABS($L1705-$L1707)=2,TRUE),$L1705=INT($L1705),$L1707=INT($L1707)),"","Error"),""),"")</f>
        <v/>
      </c>
      <c r="Q1703" s="7"/>
      <c r="R1703" s="300" t="str">
        <f>$B1692</f>
        <v>B</v>
      </c>
      <c r="S1703" s="331" t="str">
        <f ca="1">IF($B1705&lt;&gt;"",$B1705,"")</f>
        <v/>
      </c>
      <c r="T1703" s="332"/>
      <c r="U1703" s="332"/>
      <c r="V1703" s="332"/>
      <c r="W1703" s="332"/>
      <c r="X1703" s="333"/>
      <c r="Y1703" s="329"/>
      <c r="Z1703" s="329"/>
      <c r="AA1703" s="329"/>
      <c r="AB1703" s="329"/>
      <c r="AC1703" s="329"/>
      <c r="AD1703" s="345"/>
      <c r="AE1703" s="358"/>
      <c r="AF1703" s="359"/>
    </row>
    <row r="1704" spans="1:32" ht="12.75" customHeight="1">
      <c r="A1704" s="5" t="s">
        <v>1228</v>
      </c>
      <c r="B1704" s="290" t="s">
        <v>1126</v>
      </c>
      <c r="C1704" s="291"/>
      <c r="D1704" s="291"/>
      <c r="E1704" s="291"/>
      <c r="F1704" s="291"/>
      <c r="G1704" s="292"/>
      <c r="H1704" s="5">
        <v>1</v>
      </c>
      <c r="I1704" s="5">
        <v>2</v>
      </c>
      <c r="J1704" s="5">
        <v>3</v>
      </c>
      <c r="K1704" s="5">
        <v>4</v>
      </c>
      <c r="L1704" s="5">
        <v>5</v>
      </c>
      <c r="M1704" s="271"/>
      <c r="N1704" s="272"/>
      <c r="O1704" s="272"/>
      <c r="P1704" s="273"/>
      <c r="Q1704" s="7"/>
      <c r="R1704" s="330"/>
      <c r="S1704" s="334"/>
      <c r="T1704" s="335"/>
      <c r="U1704" s="335"/>
      <c r="V1704" s="335"/>
      <c r="W1704" s="335"/>
      <c r="X1704" s="336"/>
      <c r="Y1704" s="330"/>
      <c r="Z1704" s="330"/>
      <c r="AA1704" s="330"/>
      <c r="AB1704" s="330"/>
      <c r="AC1704" s="330"/>
      <c r="AD1704" s="360"/>
      <c r="AE1704" s="361"/>
      <c r="AF1704" s="362"/>
    </row>
    <row r="1705" spans="1:32" ht="12.75" customHeight="1">
      <c r="A1705" s="300" t="str">
        <f>B1692</f>
        <v>B</v>
      </c>
      <c r="B1705" s="293" t="str">
        <f ca="1">IF(AND(OFFSET($AO$1,$C1692-1,8,1,1),$A1693&lt;&gt;"",$J1693&lt;&gt;""),CHOOSE($C1692,$AP$1,$AP$2,$AP$3,$AP$4,$AP$5,$AP$6,$AP$7,$AP$8,$AP$9,$AP$10,$AP$11,$AP$12),"")</f>
        <v/>
      </c>
      <c r="C1705" s="294"/>
      <c r="D1705" s="294"/>
      <c r="E1705" s="294"/>
      <c r="F1705" s="294"/>
      <c r="G1705" s="294"/>
      <c r="H1705" s="265"/>
      <c r="I1705" s="265"/>
      <c r="J1705" s="265"/>
      <c r="K1705" s="265"/>
      <c r="L1705" s="265"/>
      <c r="M1705" s="262" t="str">
        <f ca="1">IF(OR(AND($B1698&lt;&gt;"",$B1705&lt;&gt;"",$C1723&lt;=$B1723),AND($B1700&lt;&gt;"",$B1707&lt;&gt;"",$G1723&lt;=$F1723)),"Invalid Lineup","")</f>
        <v/>
      </c>
      <c r="N1705" s="263"/>
      <c r="O1705" s="263"/>
      <c r="P1705" s="264"/>
      <c r="Q1705" s="137" t="str">
        <f>IF($L1705=$L1707,IF($K1705=$K1707,IF($J1705&lt;&gt;"",IF($J1705&gt;$J1707,"W","L"),""),IF($K1705&gt;$K1707,"W","L")),IF($L1705&gt;$L1707,"W","L"))</f>
        <v/>
      </c>
      <c r="R1705" s="300" t="str">
        <f>$K1692</f>
        <v>L</v>
      </c>
      <c r="S1705" s="331" t="str">
        <f ca="1">IF($B1707&lt;&gt;"",$B1707,"")</f>
        <v/>
      </c>
      <c r="T1705" s="332"/>
      <c r="U1705" s="332"/>
      <c r="V1705" s="332"/>
      <c r="W1705" s="332"/>
      <c r="X1705" s="333"/>
      <c r="Y1705" s="329"/>
      <c r="Z1705" s="329"/>
      <c r="AA1705" s="329"/>
      <c r="AB1705" s="329"/>
      <c r="AC1705" s="351"/>
      <c r="AD1705" s="363" t="s">
        <v>1237</v>
      </c>
      <c r="AE1705" s="358"/>
      <c r="AF1705" s="359"/>
    </row>
    <row r="1706" spans="1:32" ht="12.75" customHeight="1">
      <c r="A1706" s="301"/>
      <c r="B1706" s="295"/>
      <c r="C1706" s="296"/>
      <c r="D1706" s="296"/>
      <c r="E1706" s="296"/>
      <c r="F1706" s="296"/>
      <c r="G1706" s="296"/>
      <c r="H1706" s="270"/>
      <c r="I1706" s="270"/>
      <c r="J1706" s="270"/>
      <c r="K1706" s="270"/>
      <c r="L1706" s="270"/>
      <c r="M1706" s="262"/>
      <c r="N1706" s="263"/>
      <c r="O1706" s="263"/>
      <c r="P1706" s="264"/>
      <c r="Q1706" s="139" t="str">
        <f>IF($Q1705&lt;&gt;"",IF($Q1705="W",IF(SUM(IF($H1705&gt;$H1707,1,0),IF($I1705&gt;$I1707,1,0),IF($J1705&gt;$J1707,1,0),IF($K1705&gt;$K1707,1,0),IF($L1705&gt;$L1707,1,0))&lt;&gt;3,"Error",""),""),"")</f>
        <v/>
      </c>
      <c r="R1706" s="330"/>
      <c r="S1706" s="334"/>
      <c r="T1706" s="335"/>
      <c r="U1706" s="335"/>
      <c r="V1706" s="335"/>
      <c r="W1706" s="335"/>
      <c r="X1706" s="336"/>
      <c r="Y1706" s="330"/>
      <c r="Z1706" s="330"/>
      <c r="AA1706" s="330"/>
      <c r="AB1706" s="330"/>
      <c r="AC1706" s="330"/>
      <c r="AD1706" s="360"/>
      <c r="AE1706" s="361"/>
      <c r="AF1706" s="362"/>
    </row>
    <row r="1707" spans="1:32" ht="12.75" customHeight="1">
      <c r="A1707" s="300" t="str">
        <f>K1692</f>
        <v>L</v>
      </c>
      <c r="B1707" s="293" t="str">
        <f ca="1">IF(AND(OFFSET($AO$1,$L1692-1,8,1,1),$A1693&lt;&gt;"",$J1693&lt;&gt;""),CHOOSE($L1692,$AP$1,$AP$2,$AP$3,$AP$4,$AP$5,$AP$6,$AP$7,$AP$8,$AP$9,$AP$10,$AP$11,$AP$12),"")</f>
        <v/>
      </c>
      <c r="C1707" s="294"/>
      <c r="D1707" s="294"/>
      <c r="E1707" s="294"/>
      <c r="F1707" s="294"/>
      <c r="G1707" s="294"/>
      <c r="H1707" s="265"/>
      <c r="I1707" s="265"/>
      <c r="J1707" s="265"/>
      <c r="K1707" s="265"/>
      <c r="L1707" s="265"/>
      <c r="M1707" s="267" t="s">
        <v>1237</v>
      </c>
      <c r="N1707" s="268"/>
      <c r="O1707" s="268"/>
      <c r="P1707" s="269"/>
      <c r="Q1707" s="137" t="str">
        <f>IF($Q1705&lt;&gt;"",IF($Q1705="W","L","W"),"")</f>
        <v/>
      </c>
      <c r="R1707" s="20"/>
      <c r="S1707" s="20"/>
      <c r="T1707" s="20"/>
      <c r="U1707" s="20"/>
      <c r="V1707" s="20"/>
      <c r="W1707" s="20"/>
      <c r="X1707" s="26"/>
      <c r="Y1707" s="26"/>
      <c r="Z1707" s="20"/>
      <c r="AA1707" s="20"/>
      <c r="AB1707" s="20"/>
      <c r="AC1707" s="20"/>
      <c r="AD1707" s="20"/>
      <c r="AE1707" s="20"/>
      <c r="AF1707" s="27"/>
    </row>
    <row r="1708" spans="1:32" ht="12.75" customHeight="1">
      <c r="A1708" s="301"/>
      <c r="B1708" s="295"/>
      <c r="C1708" s="296"/>
      <c r="D1708" s="296"/>
      <c r="E1708" s="296"/>
      <c r="F1708" s="296"/>
      <c r="G1708" s="296"/>
      <c r="H1708" s="270"/>
      <c r="I1708" s="270"/>
      <c r="J1708" s="266"/>
      <c r="K1708" s="266"/>
      <c r="L1708" s="266"/>
      <c r="M1708" s="267"/>
      <c r="N1708" s="268"/>
      <c r="O1708" s="268"/>
      <c r="P1708" s="269"/>
      <c r="Q1708" s="139" t="str">
        <f>IF($Q1707&lt;&gt;"",IF($Q1707="W",IF(SUM(IF($H1707&gt;$H1705,1,0),IF($I1707&gt;$I1705,1,0),IF($J1707&gt;$J1705,1,0),IF($K1707&gt;$K1705,1,0),IF($L1707&gt;$L1705,1,0))&lt;&gt;3,"Error",""),""),"")</f>
        <v/>
      </c>
      <c r="R1708" s="20"/>
      <c r="S1708" s="20"/>
      <c r="T1708" s="20"/>
      <c r="U1708" s="20"/>
      <c r="V1708" s="20"/>
      <c r="W1708" s="20"/>
      <c r="X1708" s="26"/>
      <c r="Y1708" s="26"/>
      <c r="Z1708" s="20"/>
      <c r="AA1708" s="20"/>
      <c r="AB1708" s="20"/>
      <c r="AC1708" s="20"/>
      <c r="AD1708" s="20"/>
      <c r="AE1708" s="20"/>
      <c r="AF1708" s="27"/>
    </row>
    <row r="1709" spans="1:32" ht="12.75" customHeight="1">
      <c r="Q1709" s="7"/>
      <c r="R1709" s="20"/>
      <c r="S1709" s="20"/>
      <c r="T1709" s="20"/>
      <c r="U1709" s="20"/>
      <c r="V1709" s="20"/>
      <c r="W1709" s="20"/>
      <c r="X1709" s="26"/>
      <c r="Y1709" s="26"/>
      <c r="Z1709" s="20"/>
      <c r="AA1709" s="20"/>
      <c r="AB1709" s="20"/>
      <c r="AC1709" s="20"/>
      <c r="AD1709" s="20"/>
      <c r="AE1709" s="20"/>
      <c r="AF1709" s="27"/>
    </row>
    <row r="1710" spans="1:32" ht="12.75" customHeight="1">
      <c r="A1710" s="21" t="s">
        <v>1235</v>
      </c>
      <c r="H1710" s="136" t="str">
        <f>IF($Q1712&lt;&gt;"",IF(AND(AND($H1712&gt;-1,$H1714&gt;-1),OR($H1712&gt;10,$H1714&gt;10),ABS($H1712-$H1714)&gt;1,IF(OR($H1712&gt;11,$H1714&gt;11),ABS($H1712-$H1714)=2,TRUE),$H1712=INT($H1712),$H1714=INT($H1714)),"","Error"),"")</f>
        <v/>
      </c>
      <c r="I1710" s="136" t="str">
        <f>IF($Q1712&lt;&gt;"",IF(AND(AND($I1712&gt;-1,$I1714&gt;-1),OR($I1712&gt;10,$I1714&gt;10),ABS($I1712-$I1714)&gt;1,IF(OR($I1712&gt;11,$I1714&gt;11),ABS($I1712-$I1714)=2,TRUE),$I1712=INT($I1712),$I1714=INT($I1714)),"","Error"),"")</f>
        <v/>
      </c>
      <c r="J1710" s="136" t="str">
        <f>IF($Q1712&lt;&gt;"",IF(AND(AND($J1712&gt;-1,$J1714&gt;-1),OR($J1712&gt;10,$J1714&gt;10),ABS($J1712-$J1714)&gt;1,IF(OR($J1712&gt;11,$J1714&gt;11),ABS($J1712-$J1714)=2,TRUE),$J1712=INT($J1712),$J1714=INT($J1714)),"","Error"),"")</f>
        <v/>
      </c>
      <c r="K1710" s="136" t="str">
        <f>IF($Q1712&lt;&gt;"",IF(AND($K1712&lt;&gt;"",$K1714&lt;&gt;""), IF(AND(AND($K1712&gt;-1,$K1714&gt;-1),OR($K1712&gt;10,$K1714&gt;10),ABS($K1712-$K1714)&gt;1,IF(OR($K1712&gt;11,$K1714&gt;11),ABS($K1712-$K1714)=2,TRUE),$K1712=INT($K1712),$K1714=INT($K1714)),"","Error"),""),"")</f>
        <v/>
      </c>
      <c r="L1710" s="136" t="str">
        <f>IF($Q1712&lt;&gt;"",IF(AND($L1712&lt;&gt;"",$L1714&lt;&gt;""), IF(AND(AND($L1712&gt;-1,$L1714&gt;-1),OR($L1712&gt;10,$L1714&gt;10),ABS($L1712-$L1714)&gt;1,IF(OR($L1712&gt;11,$L1714&gt;11),ABS($L1712-$L1714)=2,TRUE),$L1712=INT($L1712),$L1714=INT($L1714)),"","Error"),""),"")</f>
        <v/>
      </c>
      <c r="Q1710" s="7"/>
      <c r="R1710" s="20"/>
      <c r="S1710" s="20"/>
      <c r="T1710" s="20"/>
      <c r="U1710" s="20"/>
      <c r="V1710" s="20"/>
      <c r="W1710" s="20"/>
      <c r="X1710" s="26"/>
      <c r="Y1710" s="26"/>
      <c r="Z1710" s="20"/>
      <c r="AA1710" s="20"/>
      <c r="AB1710" s="20"/>
      <c r="AC1710" s="20"/>
      <c r="AD1710" s="20"/>
      <c r="AE1710" s="20"/>
      <c r="AF1710" s="27"/>
    </row>
    <row r="1711" spans="1:32" ht="12.75" customHeight="1">
      <c r="A1711" s="5" t="s">
        <v>1228</v>
      </c>
      <c r="B1711" s="290" t="s">
        <v>1126</v>
      </c>
      <c r="C1711" s="291"/>
      <c r="D1711" s="291"/>
      <c r="E1711" s="291"/>
      <c r="F1711" s="291"/>
      <c r="G1711" s="292"/>
      <c r="H1711" s="5">
        <v>1</v>
      </c>
      <c r="I1711" s="5">
        <v>2</v>
      </c>
      <c r="J1711" s="5">
        <v>3</v>
      </c>
      <c r="K1711" s="5">
        <v>4</v>
      </c>
      <c r="L1711" s="5">
        <v>5</v>
      </c>
      <c r="M1711" s="271"/>
      <c r="N1711" s="272"/>
      <c r="O1711" s="272"/>
      <c r="P1711" s="273"/>
      <c r="Q1711" s="7"/>
      <c r="R1711" s="20"/>
      <c r="S1711" s="20"/>
      <c r="T1711" s="20"/>
      <c r="U1711" s="20"/>
      <c r="V1711" s="20"/>
      <c r="W1711" s="20"/>
      <c r="X1711" s="26"/>
      <c r="Y1711" s="26"/>
      <c r="Z1711" s="20"/>
      <c r="AA1711" s="20"/>
      <c r="AB1711" s="20"/>
      <c r="AC1711" s="20"/>
      <c r="AD1711" s="20"/>
      <c r="AE1711" s="20"/>
      <c r="AF1711" s="27"/>
    </row>
    <row r="1712" spans="1:32" ht="12.75" customHeight="1">
      <c r="A1712" s="300" t="str">
        <f>B1692</f>
        <v>B</v>
      </c>
      <c r="B1712" s="293" t="str">
        <f ca="1">IF(AND(OFFSET($AO$1,$C1692-1,8,1,1),$A1693&lt;&gt;"",$J1693&lt;&gt;""),CHOOSE($C1692,$AQ$1,$AQ$2,$AQ$3,$AQ$4,$AQ$5,$AQ$6,$AQ$7,$AQ$8,$AQ$9,$AQ$10,$AQ$11,$AQ$12),"")</f>
        <v/>
      </c>
      <c r="C1712" s="294"/>
      <c r="D1712" s="294"/>
      <c r="E1712" s="294"/>
      <c r="F1712" s="294"/>
      <c r="G1712" s="294"/>
      <c r="H1712" s="265"/>
      <c r="I1712" s="265"/>
      <c r="J1712" s="265"/>
      <c r="K1712" s="265"/>
      <c r="L1712" s="265"/>
      <c r="M1712" s="262" t="str">
        <f ca="1">IF(OR(AND($B1705&lt;&gt;"",$B1712&lt;&gt;"",$D1723&lt;=$C1723),AND($B1707&lt;&gt;"",$B1714&lt;&gt;"",$H1723&lt;=$G1723)),"Invalid Lineup","")</f>
        <v/>
      </c>
      <c r="N1712" s="263"/>
      <c r="O1712" s="263"/>
      <c r="P1712" s="264"/>
      <c r="Q1712" s="137" t="str">
        <f>IF($L1712=$L1714,IF($K1712=$K1714,IF($J1712&lt;&gt;"",IF($J1712&gt;$J1714,"W","L"),""),IF($K1712&gt;$K1714,"W","L")),IF($L1712&gt;$L1714,"W","L"))</f>
        <v/>
      </c>
      <c r="R1712" s="20"/>
      <c r="S1712" s="20"/>
      <c r="T1712" s="20"/>
      <c r="U1712" s="20"/>
      <c r="V1712" s="20"/>
      <c r="W1712" s="20"/>
      <c r="X1712" s="26"/>
      <c r="Y1712" s="26"/>
      <c r="Z1712" s="20"/>
      <c r="AA1712" s="20"/>
      <c r="AB1712" s="20"/>
      <c r="AC1712" s="20"/>
      <c r="AD1712" s="20"/>
      <c r="AE1712" s="20"/>
      <c r="AF1712" s="27"/>
    </row>
    <row r="1713" spans="1:32" ht="12.75" customHeight="1">
      <c r="A1713" s="301"/>
      <c r="B1713" s="295"/>
      <c r="C1713" s="296"/>
      <c r="D1713" s="296"/>
      <c r="E1713" s="296"/>
      <c r="F1713" s="296"/>
      <c r="G1713" s="296"/>
      <c r="H1713" s="270"/>
      <c r="I1713" s="270"/>
      <c r="J1713" s="270"/>
      <c r="K1713" s="270"/>
      <c r="L1713" s="270"/>
      <c r="M1713" s="262"/>
      <c r="N1713" s="263"/>
      <c r="O1713" s="263"/>
      <c r="P1713" s="264"/>
      <c r="Q1713" s="139" t="str">
        <f>IF($Q1712&lt;&gt;"",IF($Q1712="W",IF(SUM(IF($H1712&gt;$H1714,1,0),IF($I1712&gt;$I1714,1,0),IF($J1712&gt;$J1714,1,0),IF($K1712&gt;$K1714,1,0),IF($L1712&gt;$L1714,1,0))&lt;&gt;3,"Error",""),""),"")</f>
        <v/>
      </c>
      <c r="R1713" s="328" t="str">
        <f>$A1693</f>
        <v/>
      </c>
      <c r="S1713" s="328"/>
      <c r="T1713" s="328"/>
      <c r="U1713" s="328"/>
      <c r="V1713" s="328"/>
      <c r="W1713" s="328"/>
      <c r="X1713" s="256" t="str">
        <f>CONCATENATE("(",$B1692," vs ",$K1692,")")</f>
        <v>(B vs L)</v>
      </c>
      <c r="Y1713" s="256"/>
      <c r="Z1713" s="328" t="str">
        <f>$J1693</f>
        <v/>
      </c>
      <c r="AA1713" s="328"/>
      <c r="AB1713" s="328"/>
      <c r="AC1713" s="328"/>
      <c r="AD1713" s="328"/>
      <c r="AE1713" s="328"/>
      <c r="AF1713" s="100"/>
    </row>
    <row r="1714" spans="1:32" ht="12.75" customHeight="1">
      <c r="A1714" s="300" t="str">
        <f>K1692</f>
        <v>L</v>
      </c>
      <c r="B1714" s="293" t="str">
        <f ca="1">IF(AND(OFFSET($AO$1,$L1692-1,8,1,1),$A1693&lt;&gt;"",$J1693&lt;&gt;""),CHOOSE($L1692,$AQ$1,$AQ$2,$AQ$3,$AQ$4,$AQ$5,$AQ$6,$AQ$7,$AQ$8,$AQ$9,$AQ$10,$AQ$11,$AQ$12),"")</f>
        <v/>
      </c>
      <c r="C1714" s="294"/>
      <c r="D1714" s="294"/>
      <c r="E1714" s="294"/>
      <c r="F1714" s="294"/>
      <c r="G1714" s="294"/>
      <c r="H1714" s="265"/>
      <c r="I1714" s="265"/>
      <c r="J1714" s="265"/>
      <c r="K1714" s="265"/>
      <c r="L1714" s="265"/>
      <c r="M1714" s="267" t="s">
        <v>1237</v>
      </c>
      <c r="N1714" s="268"/>
      <c r="O1714" s="268"/>
      <c r="P1714" s="269"/>
      <c r="Q1714" s="137" t="str">
        <f>IF($Q1712&lt;&gt;"",IF($Q1712="W","L","W"),"")</f>
        <v/>
      </c>
      <c r="R1714" s="100"/>
      <c r="S1714" s="100"/>
      <c r="T1714" s="100"/>
      <c r="U1714" s="100"/>
      <c r="V1714" s="100"/>
      <c r="W1714" s="100"/>
      <c r="X1714" s="100"/>
      <c r="Y1714" s="100"/>
      <c r="Z1714" s="100"/>
      <c r="AA1714" s="100"/>
      <c r="AB1714" s="100"/>
      <c r="AC1714" s="100"/>
      <c r="AD1714" s="100"/>
      <c r="AE1714" s="100"/>
      <c r="AF1714" s="100"/>
    </row>
    <row r="1715" spans="1:32" ht="12.75" customHeight="1">
      <c r="A1715" s="301"/>
      <c r="B1715" s="295"/>
      <c r="C1715" s="296"/>
      <c r="D1715" s="296"/>
      <c r="E1715" s="296"/>
      <c r="F1715" s="296"/>
      <c r="G1715" s="296"/>
      <c r="H1715" s="270"/>
      <c r="I1715" s="270"/>
      <c r="J1715" s="266"/>
      <c r="K1715" s="266"/>
      <c r="L1715" s="266"/>
      <c r="M1715" s="267"/>
      <c r="N1715" s="268"/>
      <c r="O1715" s="268"/>
      <c r="P1715" s="269"/>
      <c r="Q1715" s="139" t="str">
        <f>IF($Q1714&lt;&gt;"",IF($Q1714="W",IF(SUM(IF($H1714&gt;$H1712,1,0),IF($I1714&gt;$I1712,1,0),IF($J1714&gt;$J1712,1,0),IF($K1714&gt;$K1712,1,0),IF($L1714&gt;$L1712,1,0))&lt;&gt;3,"Error",""),""),"")</f>
        <v/>
      </c>
      <c r="R1715" s="43" t="str">
        <f>$A1710</f>
        <v>3rd Singles</v>
      </c>
      <c r="S1715" s="43"/>
      <c r="T1715" s="43"/>
      <c r="U1715" s="43"/>
      <c r="V1715" s="43"/>
      <c r="W1715" s="43"/>
      <c r="X1715" s="43"/>
      <c r="Y1715" s="43"/>
      <c r="Z1715" s="43"/>
      <c r="AA1715" s="43"/>
      <c r="AB1715" s="43"/>
      <c r="AC1715" s="43"/>
      <c r="AD1715" s="43"/>
      <c r="AE1715" s="43"/>
      <c r="AF1715" s="43"/>
    </row>
    <row r="1716" spans="1:32" ht="12.75" customHeight="1">
      <c r="Q1716" s="7"/>
      <c r="R1716" s="60" t="s">
        <v>1228</v>
      </c>
      <c r="S1716" s="101" t="s">
        <v>1126</v>
      </c>
      <c r="T1716" s="102"/>
      <c r="U1716" s="102"/>
      <c r="V1716" s="102"/>
      <c r="W1716" s="102"/>
      <c r="X1716" s="103"/>
      <c r="Y1716" s="60">
        <v>1</v>
      </c>
      <c r="Z1716" s="60">
        <v>2</v>
      </c>
      <c r="AA1716" s="60">
        <v>3</v>
      </c>
      <c r="AB1716" s="60">
        <v>4</v>
      </c>
      <c r="AC1716" s="60">
        <v>5</v>
      </c>
      <c r="AD1716" s="104"/>
      <c r="AE1716" s="105"/>
      <c r="AF1716" s="106"/>
    </row>
    <row r="1717" spans="1:32" ht="12.75" customHeight="1">
      <c r="A1717" s="21" t="s">
        <v>1236</v>
      </c>
      <c r="H1717" s="136" t="str">
        <f ca="1">IF($Q1719&lt;&gt;"",IF(AND($B1719&lt;&gt;"Missing Player",$B1721&lt;&gt;"Missing Player"),IF(AND(AND($H1719&gt;-1,$H1721&gt;-1),OR($H1719&gt;10,$H1721&gt;10),ABS($H1719-$H1721)&gt;1,IF(OR($H1719&gt;11,$H1721&gt;11),ABS($H1719-$H1721)=2,TRUE),$H1719=INT($H1719),$H1721=INT($H1721)),"","Error"),""),"")</f>
        <v/>
      </c>
      <c r="I1717" s="136" t="str">
        <f ca="1">IF($Q1719&lt;&gt;"",IF(AND($B1719&lt;&gt;"Missing Player",$B1721&lt;&gt;"Missing Player"),IF(AND(AND($I1719&gt;-1,$I1721&gt;-1),OR($I1719&gt;10,$I1721&gt;10),ABS($I1719-$I1721)&gt;1,IF(OR($I1719&gt;11,$I1721&gt;11),ABS($I1719-$I1721)=2,TRUE),$I1719=INT($I1719),$I1721=INT($I1721)),"","Error"),""),"")</f>
        <v/>
      </c>
      <c r="J1717" s="136" t="str">
        <f ca="1">IF($Q1719&lt;&gt;"",IF(AND($B1719&lt;&gt;"Missing Player",$B1721&lt;&gt;"Missing Player"),IF(AND(AND($J1719&gt;-1,$J1721&gt;-1),OR($J1719&gt;10,$J1721&gt;10),ABS($J1719-$J1721)&gt;1,IF(OR($J1719&gt;11,$J1721&gt;11),ABS($J1719-$J1721)=2,TRUE),$J1719=INT($J1719),$J1721=INT($J1721)),"","Error"),""),"")</f>
        <v/>
      </c>
      <c r="K1717" s="136" t="str">
        <f ca="1">IF($Q1719&lt;&gt;"",IF(AND($K1719&lt;&gt;"",$K1721&lt;&gt;""), IF(AND(AND($K1719&gt;-1,$K1721&gt;-1),OR($K1719&gt;10,$K1721&gt;10),ABS($K1719-$K1721)&gt;1,IF(OR($K1719&gt;11,$K1721&gt;11),ABS($K1719-$K1721)=2,TRUE),$K1719=INT($K1719),$K1721=INT($K1721)),"","Error"),""),"")</f>
        <v/>
      </c>
      <c r="L1717" s="136" t="str">
        <f ca="1">IF($Q1719&lt;&gt;"",IF(AND($L1719&lt;&gt;"",$L1721&lt;&gt;""), IF(AND(AND($L1719&gt;-1,$L1721&gt;-1),OR($L1719&gt;10,$L1721&gt;10),ABS($L1719-$L1721)&gt;1,IF(OR($L1719&gt;11,$L1721&gt;11),ABS($L1719-$L1721)=2,TRUE),$L1719=INT($L1719),$L1721=INT($L1721)),"","Error"),""),"")</f>
        <v/>
      </c>
      <c r="Q1717" s="7"/>
      <c r="R1717" s="300" t="str">
        <f>$B1692</f>
        <v>B</v>
      </c>
      <c r="S1717" s="331" t="str">
        <f ca="1">IF($B1712&lt;&gt;"",$B1712,"")</f>
        <v/>
      </c>
      <c r="T1717" s="332"/>
      <c r="U1717" s="332"/>
      <c r="V1717" s="332"/>
      <c r="W1717" s="332"/>
      <c r="X1717" s="333"/>
      <c r="Y1717" s="329"/>
      <c r="Z1717" s="329"/>
      <c r="AA1717" s="329"/>
      <c r="AB1717" s="329"/>
      <c r="AC1717" s="329"/>
      <c r="AD1717" s="345"/>
      <c r="AE1717" s="358"/>
      <c r="AF1717" s="359"/>
    </row>
    <row r="1718" spans="1:32" ht="12.75" customHeight="1">
      <c r="A1718" s="5" t="s">
        <v>1228</v>
      </c>
      <c r="B1718" s="290" t="s">
        <v>1126</v>
      </c>
      <c r="C1718" s="291"/>
      <c r="D1718" s="291"/>
      <c r="E1718" s="291"/>
      <c r="F1718" s="291"/>
      <c r="G1718" s="292"/>
      <c r="H1718" s="5">
        <v>1</v>
      </c>
      <c r="I1718" s="5">
        <v>2</v>
      </c>
      <c r="J1718" s="5">
        <v>3</v>
      </c>
      <c r="K1718" s="5">
        <v>4</v>
      </c>
      <c r="L1718" s="5">
        <v>5</v>
      </c>
      <c r="M1718" s="271"/>
      <c r="N1718" s="272"/>
      <c r="O1718" s="272"/>
      <c r="P1718" s="273"/>
      <c r="Q1718" s="7"/>
      <c r="R1718" s="330"/>
      <c r="S1718" s="334"/>
      <c r="T1718" s="335"/>
      <c r="U1718" s="335"/>
      <c r="V1718" s="335"/>
      <c r="W1718" s="335"/>
      <c r="X1718" s="336"/>
      <c r="Y1718" s="330"/>
      <c r="Z1718" s="330"/>
      <c r="AA1718" s="330"/>
      <c r="AB1718" s="330"/>
      <c r="AC1718" s="330"/>
      <c r="AD1718" s="360"/>
      <c r="AE1718" s="361"/>
      <c r="AF1718" s="362"/>
    </row>
    <row r="1719" spans="1:32" ht="12.75" customHeight="1">
      <c r="A1719" s="300" t="str">
        <f>B1692</f>
        <v>B</v>
      </c>
      <c r="B1719" s="293" t="str">
        <f ca="1">IF(AND(OFFSET($AO$1,$C1692-1,8,1,1),$A1693&lt;&gt;"",$J1693&lt;&gt;""),CHOOSE($C1692,$AR$1,$AR$2,$AR$3,$AR$4,$AR$5,$AR$6,$AR$7,$AR$8,$AR$9,$AR$10,$AR$11,$AR$12),"")</f>
        <v/>
      </c>
      <c r="C1719" s="294"/>
      <c r="D1719" s="294"/>
      <c r="E1719" s="294"/>
      <c r="F1719" s="294"/>
      <c r="G1719" s="294"/>
      <c r="H1719" s="265"/>
      <c r="I1719" s="265"/>
      <c r="J1719" s="265"/>
      <c r="K1719" s="265"/>
      <c r="L1719" s="265" t="str">
        <f ca="1">IF(AND($B1719&lt;&gt;"",$Q1698&lt;&gt;""),IF($B1719="Missing Player",0,IF($B1721="Missing Player",11,"")),"")</f>
        <v/>
      </c>
      <c r="M1719" s="262" t="str">
        <f ca="1">IF(OR(AND($B1712&lt;&gt;"",$B1719&lt;&gt;"",$E1723&lt;=$D1723),AND($B1714&lt;&gt;"",$B1721&lt;&gt;"",$I1723&lt;=$H1723)),"Invalid Lineup","")</f>
        <v/>
      </c>
      <c r="N1719" s="263"/>
      <c r="O1719" s="263"/>
      <c r="P1719" s="264"/>
      <c r="Q1719" s="137" t="str">
        <f ca="1">IF($L1719=$L1721,IF($K1719=$K1721,IF($J1719&lt;&gt;"",IF($J1719&gt;$J1721,"W","L"),""),IF($K1719&gt;$K1721,"W","L")),IF($L1719&gt;$L1721,"W","L"))</f>
        <v/>
      </c>
      <c r="R1719" s="300" t="str">
        <f>$K1692</f>
        <v>L</v>
      </c>
      <c r="S1719" s="331" t="str">
        <f ca="1">IF($B1714&lt;&gt;"",$B1714,"")</f>
        <v/>
      </c>
      <c r="T1719" s="332"/>
      <c r="U1719" s="332"/>
      <c r="V1719" s="332"/>
      <c r="W1719" s="332"/>
      <c r="X1719" s="333"/>
      <c r="Y1719" s="329"/>
      <c r="Z1719" s="329"/>
      <c r="AA1719" s="329"/>
      <c r="AB1719" s="329"/>
      <c r="AC1719" s="351"/>
      <c r="AD1719" s="363" t="s">
        <v>1237</v>
      </c>
      <c r="AE1719" s="358"/>
      <c r="AF1719" s="359"/>
    </row>
    <row r="1720" spans="1:32" ht="12.75" customHeight="1">
      <c r="A1720" s="301"/>
      <c r="B1720" s="295"/>
      <c r="C1720" s="296"/>
      <c r="D1720" s="296"/>
      <c r="E1720" s="296"/>
      <c r="F1720" s="296"/>
      <c r="G1720" s="296"/>
      <c r="H1720" s="270"/>
      <c r="I1720" s="270"/>
      <c r="J1720" s="270"/>
      <c r="K1720" s="270"/>
      <c r="L1720" s="270"/>
      <c r="M1720" s="262"/>
      <c r="N1720" s="263"/>
      <c r="O1720" s="263"/>
      <c r="P1720" s="264"/>
      <c r="Q1720" s="139" t="str">
        <f ca="1">IF($Q1719&lt;&gt;"",IF($B1721&lt;&gt;"Missing Player",IF($Q1719="W",IF(SUM(IF($H1719&gt;$H1721,1,0),IF($I1719&gt;$I1721,1,0),IF($J1719&gt;$J1721,1,0),IF($K1719&gt;$K1721,1,0),IF($L1719&gt;$L1721,1,0))&lt;&gt;3,"Error",""),""),""),"")</f>
        <v/>
      </c>
      <c r="R1720" s="330"/>
      <c r="S1720" s="334"/>
      <c r="T1720" s="335"/>
      <c r="U1720" s="335"/>
      <c r="V1720" s="335"/>
      <c r="W1720" s="335"/>
      <c r="X1720" s="336"/>
      <c r="Y1720" s="330"/>
      <c r="Z1720" s="330"/>
      <c r="AA1720" s="330"/>
      <c r="AB1720" s="330"/>
      <c r="AC1720" s="330"/>
      <c r="AD1720" s="360"/>
      <c r="AE1720" s="361"/>
      <c r="AF1720" s="362"/>
    </row>
    <row r="1721" spans="1:32" ht="12.75" customHeight="1">
      <c r="A1721" s="300" t="str">
        <f>K1692</f>
        <v>L</v>
      </c>
      <c r="B1721" s="293" t="str">
        <f ca="1">IF(AND(OFFSET($AO$1,$L1692-1,8,1,1),$A1693&lt;&gt;"",$J1693&lt;&gt;""),CHOOSE($L1692,$AR$1,$AR$2,$AR$3,$AR$4,$AR$5,$AR$6,$AR$7,$AR$8,$AR$9,$AR$10,$AR$11,$AR$12),"")</f>
        <v/>
      </c>
      <c r="C1721" s="294"/>
      <c r="D1721" s="294"/>
      <c r="E1721" s="294"/>
      <c r="F1721" s="294"/>
      <c r="G1721" s="294"/>
      <c r="H1721" s="265"/>
      <c r="I1721" s="265"/>
      <c r="J1721" s="265"/>
      <c r="K1721" s="265"/>
      <c r="L1721" s="265" t="str">
        <f ca="1">IF(AND($B1721&lt;&gt;"",$Q1698&lt;&gt;""),IF($B1721="Missing Player",0,IF($B1719="Missing Player",11,"")),"")</f>
        <v/>
      </c>
      <c r="M1721" s="267" t="s">
        <v>1237</v>
      </c>
      <c r="N1721" s="268"/>
      <c r="O1721" s="268"/>
      <c r="P1721" s="269"/>
      <c r="Q1721" s="137" t="str">
        <f ca="1">IF($Q1719&lt;&gt;"",IF($Q1719="W","L","W"),"")</f>
        <v/>
      </c>
      <c r="R1721" s="112"/>
      <c r="S1721" s="98"/>
      <c r="T1721" s="108"/>
      <c r="U1721" s="108"/>
      <c r="V1721" s="108"/>
      <c r="W1721" s="108"/>
      <c r="X1721" s="108"/>
      <c r="Y1721" s="113"/>
      <c r="Z1721" s="113"/>
      <c r="AA1721" s="113"/>
      <c r="AB1721" s="113"/>
      <c r="AC1721" s="113"/>
      <c r="AD1721" s="107"/>
      <c r="AE1721" s="109"/>
      <c r="AF1721" s="109"/>
    </row>
    <row r="1722" spans="1:32" ht="12.75" customHeight="1">
      <c r="A1722" s="301"/>
      <c r="B1722" s="295"/>
      <c r="C1722" s="296"/>
      <c r="D1722" s="296"/>
      <c r="E1722" s="296"/>
      <c r="F1722" s="296"/>
      <c r="G1722" s="296"/>
      <c r="H1722" s="270"/>
      <c r="I1722" s="270"/>
      <c r="J1722" s="266"/>
      <c r="K1722" s="266"/>
      <c r="L1722" s="266"/>
      <c r="M1722" s="267"/>
      <c r="N1722" s="268"/>
      <c r="O1722" s="268"/>
      <c r="P1722" s="269"/>
      <c r="Q1722" s="139" t="str">
        <f ca="1">IF($Q1721&lt;&gt;"",IF($B1719&lt;&gt;"Missing Player",IF($Q1721="W",IF(SUM(IF($H1721&gt;$H1719,1,0),IF($I1721&gt;$I1719,1,0),IF($J1721&gt;$J1719,1,0),IF($K1721&gt;$K1719,1,0),IF($L1721&gt;$L1719,1,0))&lt;&gt;3,"Error",""),""),""),"")</f>
        <v/>
      </c>
      <c r="R1722" s="114"/>
      <c r="S1722" s="115"/>
      <c r="T1722" s="115"/>
      <c r="U1722" s="115"/>
      <c r="V1722" s="115"/>
      <c r="W1722" s="115"/>
      <c r="X1722" s="115"/>
      <c r="Y1722" s="114"/>
      <c r="Z1722" s="114"/>
      <c r="AA1722" s="114"/>
      <c r="AB1722" s="114"/>
      <c r="AC1722" s="114"/>
      <c r="AD1722" s="114"/>
      <c r="AE1722" s="114"/>
      <c r="AF1722" s="114"/>
    </row>
    <row r="1723" spans="1:32" ht="12.75" customHeight="1">
      <c r="B1723" s="140" t="str">
        <f ca="1">IF(ISERROR(VLOOKUP($B1698&amp;"("&amp;$B1692&amp;")",Players!$S$4:$T$132,2,FALSE)),"",VLOOKUP($B1698&amp;"("&amp;$B1692&amp;")",Players!$S$4:$T$132,2,FALSE))</f>
        <v>B1</v>
      </c>
      <c r="C1723" s="140" t="str">
        <f ca="1">IF(ISERROR(VLOOKUP($B1705&amp;"("&amp;$B1692&amp;")",Players!$S$4:$T$132,2,FALSE)),"",VLOOKUP($B1705&amp;"("&amp;$B1692&amp;")",Players!$S$4:$T$132,2,FALSE))</f>
        <v>B1</v>
      </c>
      <c r="D1723" s="141" t="str">
        <f ca="1">IF(ISERROR(VLOOKUP($B1712&amp;"("&amp;$B1692&amp;")",Players!$S$4:$T$132,2,FALSE)),"",VLOOKUP($B1712&amp;"("&amp;$B1692&amp;")",Players!$S$4:$T$132,2,FALSE))</f>
        <v>B1</v>
      </c>
      <c r="E1723" s="141" t="str">
        <f ca="1">IF(ISERROR(VLOOKUP($B1719&amp;"("&amp;$B1692&amp;")",Players!$S$4:$T$132,2,FALSE)),"",VLOOKUP($B1719&amp;"("&amp;$B1692&amp;")",Players!$S$4:$T$132,2,FALSE))</f>
        <v>B1</v>
      </c>
      <c r="F1723" s="141" t="str">
        <f ca="1">IF(ISERROR(VLOOKUP($B1700&amp;"("&amp;$K1692&amp;")",Players!$S$4:$T$132,2,FALSE)),"",VLOOKUP($B1700&amp;"("&amp;$K1692&amp;")",Players!$S$4:$T$132,2,FALSE))</f>
        <v>L1</v>
      </c>
      <c r="G1723" s="141" t="str">
        <f ca="1">IF(ISERROR(VLOOKUP($B1707&amp;"("&amp;$K1692&amp;")",Players!$S$4:$T$132,2,FALSE)),"",VLOOKUP($B1707&amp;"("&amp;$K1692&amp;")",Players!$S$4:$T$132,2,FALSE))</f>
        <v>L1</v>
      </c>
      <c r="H1723" s="141" t="str">
        <f ca="1">IF(ISERROR(VLOOKUP($B1714&amp;"("&amp;$K1692&amp;")",Players!$S$4:$T$132,2,FALSE)),"",VLOOKUP($B1714&amp;"("&amp;$K1692&amp;")",Players!$S$4:$T$132,2,FALSE))</f>
        <v>L1</v>
      </c>
      <c r="I1723" s="141" t="str">
        <f ca="1">IF(ISERROR(VLOOKUP($B1721&amp;"("&amp;$K1692&amp;")",Players!$S$4:$T$132,2,FALSE)),"",VLOOKUP($B1721&amp;"("&amp;$K1692&amp;")",Players!$S$4:$T$132,2,FALSE))</f>
        <v>L1</v>
      </c>
      <c r="Q1723" s="7"/>
      <c r="R1723" s="50"/>
      <c r="S1723" s="116"/>
      <c r="T1723" s="115"/>
      <c r="U1723" s="115"/>
      <c r="V1723" s="115"/>
      <c r="W1723" s="115"/>
      <c r="X1723" s="115"/>
      <c r="Y1723" s="99"/>
      <c r="Z1723" s="99"/>
      <c r="AA1723" s="99"/>
      <c r="AB1723" s="99"/>
      <c r="AC1723" s="117"/>
      <c r="AD1723" s="118"/>
      <c r="AE1723" s="114"/>
      <c r="AF1723" s="114"/>
    </row>
    <row r="1724" spans="1:32" ht="12.75" customHeight="1">
      <c r="A1724" s="21" t="s">
        <v>1225</v>
      </c>
      <c r="H1724" s="136" t="str">
        <f ca="1">IF($Q1726&lt;&gt;"",IF(AND($B1727&lt;&gt;"Missing Player",$B1729&lt;&gt;"Missing Player"),IF(AND(AND($H1726&gt;-1,$H1728&gt;-1),OR($H1726&gt;10,$H1728&gt;10),ABS($H1726-$H1728)&gt;1,IF(OR($H1726&gt;11,$H1728&gt;11),ABS($H1726-$H1728)=2,TRUE),$H1726=INT($H1726),$H1728=INT($H1728)),"","Error"),""),"")</f>
        <v/>
      </c>
      <c r="I1724" s="136" t="str">
        <f ca="1">IF($Q1726&lt;&gt;"",IF(AND($B1727&lt;&gt;"Missing Player",$B1729&lt;&gt;"Missing Player"),IF(AND(AND($I1726&gt;-1,$I1728&gt;-1),OR($I1726&gt;10,$I1728&gt;10),ABS($I1726-$I1728)&gt;1,IF(OR($I1726&gt;11,$I1728&gt;11),ABS($I1726-$I1728)=2,TRUE),$I1726=INT($I1726),$I1728=INT($I1728)),"","Error"),""),"")</f>
        <v/>
      </c>
      <c r="J1724" s="136" t="str">
        <f ca="1">IF($Q1726&lt;&gt;"",IF(AND($B1727&lt;&gt;"Missing Player",$B1729&lt;&gt;"Missing Player"),IF(AND(AND($J1726&gt;-1,$J1728&gt;-1),OR($J1726&gt;10,$J1728&gt;10),ABS($J1726-$J1728)&gt;1,IF(OR($J1726&gt;11,$J1728&gt;11),ABS($J1726-$J1728)=2,TRUE),$J1726=INT($J1726),$J1728=INT($J1728)),"","Error"),""),"")</f>
        <v/>
      </c>
      <c r="K1724" s="136" t="str">
        <f ca="1">IF($Q1726&lt;&gt;"",IF(AND($K1726&lt;&gt;"",$K1728&lt;&gt;""), IF(AND(AND($K1726&gt;-1,$K1728&gt;-1),OR($K1726&gt;10,$K1728&gt;10),ABS($K1726-$K1728)&gt;1,IF(OR($K1726&gt;11,$K1728&gt;11),ABS($K1726-$K1728)=2,TRUE),$K1726=INT($K1726),$K1728=INT($K1728)),"","Error"),""),"")</f>
        <v/>
      </c>
      <c r="L1724" s="136" t="str">
        <f ca="1">IF($Q1726&lt;&gt;"",IF(AND($L1726&lt;&gt;"",$L1728&lt;&gt;""), IF(AND(AND($L1726&gt;-1,$L1728&gt;-1),OR($L1726&gt;10,$L1728&gt;10),ABS($L1726-$L1728)&gt;1,IF(OR($L1726&gt;11,$L1728&gt;11),ABS($L1726-$L1728)=2,TRUE),$L1726=INT($L1726),$L1728=INT($L1728)),"","Error"),""),"")</f>
        <v/>
      </c>
      <c r="Q1724" s="7"/>
      <c r="R1724" s="114"/>
      <c r="S1724" s="115"/>
      <c r="T1724" s="115"/>
      <c r="U1724" s="115"/>
      <c r="V1724" s="115"/>
      <c r="W1724" s="115"/>
      <c r="X1724" s="115"/>
      <c r="Y1724" s="114"/>
      <c r="Z1724" s="114"/>
      <c r="AA1724" s="114"/>
      <c r="AB1724" s="114"/>
      <c r="AC1724" s="114"/>
      <c r="AD1724" s="114"/>
      <c r="AE1724" s="114"/>
      <c r="AF1724" s="114"/>
    </row>
    <row r="1725" spans="1:32" ht="12.75" customHeight="1">
      <c r="A1725" s="5" t="s">
        <v>1228</v>
      </c>
      <c r="B1725" s="290" t="s">
        <v>1126</v>
      </c>
      <c r="C1725" s="291"/>
      <c r="D1725" s="291"/>
      <c r="E1725" s="291"/>
      <c r="F1725" s="291"/>
      <c r="G1725" s="292"/>
      <c r="H1725" s="5">
        <v>1</v>
      </c>
      <c r="I1725" s="5">
        <v>2</v>
      </c>
      <c r="J1725" s="5">
        <v>3</v>
      </c>
      <c r="K1725" s="5">
        <v>4</v>
      </c>
      <c r="L1725" s="5">
        <v>5</v>
      </c>
      <c r="M1725" s="271"/>
      <c r="N1725" s="272"/>
      <c r="O1725" s="272"/>
      <c r="P1725" s="273"/>
      <c r="Q1725" s="8"/>
      <c r="S1725" s="24"/>
      <c r="T1725" s="26"/>
    </row>
    <row r="1726" spans="1:32" ht="12.75" customHeight="1">
      <c r="A1726" s="300" t="str">
        <f>B1692</f>
        <v>B</v>
      </c>
      <c r="B1726" s="311" t="str">
        <f ca="1">IF($B1698&lt;&gt;"",$B1698,"")</f>
        <v/>
      </c>
      <c r="C1726" s="312"/>
      <c r="D1726" s="312"/>
      <c r="E1726" s="312"/>
      <c r="F1726" s="312"/>
      <c r="G1726" s="313"/>
      <c r="H1726" s="265"/>
      <c r="I1726" s="265"/>
      <c r="J1726" s="265"/>
      <c r="K1726" s="265"/>
      <c r="L1726" s="265" t="str">
        <f ca="1">IF($B1719&lt;&gt;"",IF(AND($B1719="Missing Player",$G1730=2,$J1730=2),0,IF(AND($B1721="Missing Player",$G1730=2,$J1730=2),11,"")),"")</f>
        <v/>
      </c>
      <c r="M1726" s="262" t="str">
        <f ca="1">IF(OR(AND($B1726&lt;&gt;"",$B1727&lt;&gt;"",$B1726=$B1727),AND($B1728&lt;&gt;"",$B1729&lt;&gt;"",$B1728=$B1729)),"Invalid Partner","")</f>
        <v/>
      </c>
      <c r="N1726" s="263"/>
      <c r="O1726" s="263"/>
      <c r="P1726" s="264"/>
      <c r="Q1726" s="138" t="str">
        <f ca="1">IF(L1726=L1728,IF(K1726=K1728,IF(J1726&lt;&gt;"",IF(J1726&gt;J1728,"W","L"),""),IF(K1726&gt;K1728,"W","L")),IF(L1726&gt;L1728,"W","L"))</f>
        <v/>
      </c>
      <c r="S1726" s="24"/>
      <c r="T1726" s="26"/>
    </row>
    <row r="1727" spans="1:32" ht="12.75" customHeight="1">
      <c r="A1727" s="324"/>
      <c r="B1727" s="308" t="str">
        <f ca="1">IF($B1719="Missing Player",$B1719,"")</f>
        <v/>
      </c>
      <c r="C1727" s="309"/>
      <c r="D1727" s="309"/>
      <c r="E1727" s="309"/>
      <c r="F1727" s="309"/>
      <c r="G1727" s="310"/>
      <c r="H1727" s="270"/>
      <c r="I1727" s="270"/>
      <c r="J1727" s="270"/>
      <c r="K1727" s="270"/>
      <c r="L1727" s="270"/>
      <c r="M1727" s="262"/>
      <c r="N1727" s="263"/>
      <c r="O1727" s="263"/>
      <c r="P1727" s="264"/>
      <c r="Q1727" s="139" t="str">
        <f ca="1">IF($Q1726&lt;&gt;"",IF($B1729&lt;&gt;"Missing Player",IF($Q1726="W",IF(SUM(IF($H1726&gt;$H1728,1,0),IF($I1726&gt;$I1728,1,0),IF($J1726&gt;$J1728,1,0),IF($K1726&gt;$K1728,1,0),IF($L1726&gt;$L1728,1,0))&lt;&gt;3,"Error",""),""),""),"")</f>
        <v/>
      </c>
      <c r="R1727" s="328" t="str">
        <f>$A1693</f>
        <v/>
      </c>
      <c r="S1727" s="328"/>
      <c r="T1727" s="328"/>
      <c r="U1727" s="328"/>
      <c r="V1727" s="328"/>
      <c r="W1727" s="328"/>
      <c r="X1727" s="256" t="str">
        <f>CONCATENATE("(",$B1692," vs ",$K1692,")")</f>
        <v>(B vs L)</v>
      </c>
      <c r="Y1727" s="256"/>
      <c r="Z1727" s="328" t="str">
        <f>$J1693</f>
        <v/>
      </c>
      <c r="AA1727" s="328"/>
      <c r="AB1727" s="328"/>
      <c r="AC1727" s="328"/>
      <c r="AD1727" s="328"/>
      <c r="AE1727" s="328"/>
      <c r="AF1727" s="43"/>
    </row>
    <row r="1728" spans="1:32" ht="12.75" customHeight="1">
      <c r="A1728" s="325" t="str">
        <f>K1692</f>
        <v>L</v>
      </c>
      <c r="B1728" s="311" t="str">
        <f ca="1">IF($B1700&lt;&gt;"",$B1700,"")</f>
        <v/>
      </c>
      <c r="C1728" s="312"/>
      <c r="D1728" s="312"/>
      <c r="E1728" s="312"/>
      <c r="F1728" s="312"/>
      <c r="G1728" s="313"/>
      <c r="H1728" s="265"/>
      <c r="I1728" s="265"/>
      <c r="J1728" s="265"/>
      <c r="K1728" s="265"/>
      <c r="L1728" s="265" t="str">
        <f ca="1">IF($B1721&lt;&gt;"",IF(AND($B1721="Missing Player",$G1730=2,$J1730=2),0,IF(AND($B1719="Missing Player",$G1730=2,$J1730=2),11,"")),"")</f>
        <v/>
      </c>
      <c r="M1728" s="267" t="s">
        <v>1237</v>
      </c>
      <c r="N1728" s="268"/>
      <c r="O1728" s="268"/>
      <c r="P1728" s="269"/>
      <c r="Q1728" s="138" t="str">
        <f ca="1">IF(Q1726&lt;&gt;"",IF(Q1726="W","L","W"),"")</f>
        <v/>
      </c>
      <c r="R1728" s="43"/>
      <c r="S1728" s="43"/>
      <c r="T1728" s="43"/>
      <c r="U1728" s="43"/>
      <c r="V1728" s="43"/>
      <c r="W1728" s="43"/>
      <c r="X1728" s="43"/>
      <c r="Y1728" s="43"/>
      <c r="Z1728" s="43"/>
      <c r="AA1728" s="43"/>
      <c r="AB1728" s="43"/>
      <c r="AC1728" s="43"/>
      <c r="AD1728" s="43"/>
      <c r="AE1728" s="43"/>
      <c r="AF1728" s="43"/>
    </row>
    <row r="1729" spans="1:32" ht="12.75" customHeight="1">
      <c r="A1729" s="324"/>
      <c r="B1729" s="308" t="str">
        <f ca="1">IF($B1721="Missing Player",$B1721,"")</f>
        <v/>
      </c>
      <c r="C1729" s="309"/>
      <c r="D1729" s="309"/>
      <c r="E1729" s="309"/>
      <c r="F1729" s="309"/>
      <c r="G1729" s="310"/>
      <c r="H1729" s="270"/>
      <c r="I1729" s="270"/>
      <c r="J1729" s="266"/>
      <c r="K1729" s="266"/>
      <c r="L1729" s="266"/>
      <c r="M1729" s="267"/>
      <c r="N1729" s="268"/>
      <c r="O1729" s="268"/>
      <c r="P1729" s="269"/>
      <c r="Q1729" s="139" t="str">
        <f ca="1">IF($Q1728&lt;&gt;"",IF($B1727&lt;&gt;"Missing Player",IF($Q1728="W",IF(SUM(IF($H1728&gt;$H1726,1,0),IF($I1728&gt;$I1726,1,0),IF($J1728&gt;$J1726,1,0),IF($K1728&gt;$K1726,1,0),IF($L1728&gt;$L1726,1,0))&lt;&gt;3,"Error",""),""),""),"")</f>
        <v/>
      </c>
      <c r="R1729" s="43" t="str">
        <f>A1717</f>
        <v>4th Singles</v>
      </c>
      <c r="S1729" s="43"/>
      <c r="T1729" s="43"/>
      <c r="U1729" s="43"/>
      <c r="V1729" s="43"/>
      <c r="W1729" s="43"/>
      <c r="X1729" s="43"/>
      <c r="Y1729" s="43"/>
      <c r="Z1729" s="43"/>
      <c r="AA1729" s="43"/>
      <c r="AB1729" s="43"/>
      <c r="AC1729" s="43"/>
      <c r="AD1729" s="43"/>
      <c r="AE1729" s="43"/>
      <c r="AF1729" s="43"/>
    </row>
    <row r="1730" spans="1:32" ht="12.75" customHeight="1">
      <c r="G1730" s="66">
        <f ca="1">COUNTIF($Q1698:$Q1698,"W")+COUNTIF($Q1705:$Q1705,"W")+COUNTIF($Q1712:$Q1712,"W")+COUNTIF($Q1719:$Q1719,"W")</f>
        <v>0</v>
      </c>
      <c r="J1730" s="66">
        <f ca="1">COUNTIF($Q1700:$Q1700,"W")+COUNTIF($Q1707:$Q1707,"W")+COUNTIF($Q1714:$Q1714,"W")+COUNTIF($Q1721:$Q1721,"W")</f>
        <v>0</v>
      </c>
      <c r="R1730" s="60" t="s">
        <v>1228</v>
      </c>
      <c r="S1730" s="339" t="s">
        <v>1126</v>
      </c>
      <c r="T1730" s="340"/>
      <c r="U1730" s="340"/>
      <c r="V1730" s="340"/>
      <c r="W1730" s="340"/>
      <c r="X1730" s="341"/>
      <c r="Y1730" s="60">
        <v>1</v>
      </c>
      <c r="Z1730" s="60">
        <v>2</v>
      </c>
      <c r="AA1730" s="60">
        <v>3</v>
      </c>
      <c r="AB1730" s="60">
        <v>4</v>
      </c>
      <c r="AC1730" s="60">
        <v>5</v>
      </c>
      <c r="AD1730" s="342"/>
      <c r="AE1730" s="343"/>
      <c r="AF1730" s="344"/>
    </row>
    <row r="1731" spans="1:32" ht="12.75" customHeight="1" thickBot="1">
      <c r="F1731" s="246" t="s">
        <v>1238</v>
      </c>
      <c r="G1731" s="246"/>
      <c r="H1731" s="246"/>
      <c r="I1731" s="246"/>
      <c r="J1731" s="246"/>
      <c r="K1731" s="246"/>
      <c r="R1731" s="300" t="str">
        <f>B1692</f>
        <v>B</v>
      </c>
      <c r="S1731" s="331" t="str">
        <f ca="1">IF($B1719&lt;&gt;"",$B1719,"")</f>
        <v/>
      </c>
      <c r="T1731" s="353"/>
      <c r="U1731" s="353"/>
      <c r="V1731" s="353"/>
      <c r="W1731" s="353"/>
      <c r="X1731" s="354"/>
      <c r="Y1731" s="329"/>
      <c r="Z1731" s="329"/>
      <c r="AA1731" s="351"/>
      <c r="AB1731" s="351"/>
      <c r="AC1731" s="351"/>
      <c r="AD1731" s="345"/>
      <c r="AE1731" s="346"/>
      <c r="AF1731" s="347"/>
    </row>
    <row r="1732" spans="1:32" ht="12.75" customHeight="1">
      <c r="A1732" s="22"/>
      <c r="B1732" s="22"/>
      <c r="C1732" s="22"/>
      <c r="D1732" s="22"/>
      <c r="E1732" s="22"/>
      <c r="G1732" s="304" t="str">
        <f>B1692</f>
        <v>B</v>
      </c>
      <c r="H1732" s="305"/>
      <c r="I1732" s="302" t="str">
        <f>K1692</f>
        <v>L</v>
      </c>
      <c r="J1732" s="303"/>
      <c r="L1732" s="22"/>
      <c r="M1732" s="22"/>
      <c r="N1732" s="22"/>
      <c r="O1732" s="22"/>
      <c r="P1732" s="22"/>
      <c r="R1732" s="301"/>
      <c r="S1732" s="355"/>
      <c r="T1732" s="356"/>
      <c r="U1732" s="356"/>
      <c r="V1732" s="356"/>
      <c r="W1732" s="356"/>
      <c r="X1732" s="357"/>
      <c r="Y1732" s="338"/>
      <c r="Z1732" s="338"/>
      <c r="AA1732" s="352"/>
      <c r="AB1732" s="352"/>
      <c r="AC1732" s="352"/>
      <c r="AD1732" s="348"/>
      <c r="AE1732" s="349"/>
      <c r="AF1732" s="350"/>
    </row>
    <row r="1733" spans="1:32" ht="12.75" customHeight="1" thickBot="1">
      <c r="A1733" s="2" t="s">
        <v>1228</v>
      </c>
      <c r="B1733" s="53" t="str">
        <f>B1692</f>
        <v>B</v>
      </c>
      <c r="C1733" s="3" t="s">
        <v>1226</v>
      </c>
      <c r="F1733" s="66" t="str">
        <f>CONCATENATE($B1692,"-",$K1692)</f>
        <v>B-L</v>
      </c>
      <c r="G1733" s="320" t="str">
        <f ca="1">IF(OR(Q1698&lt;&gt;"",Q1705&lt;&gt;"",Q1712&lt;&gt;"",Q1719&lt;&gt;"",Q1726&lt;&gt;""),COUNTIF(Q1698:Q1698,"W")+COUNTIF(Q1705:Q1705,"W")+COUNTIF(Q1712:Q1712,"W")+COUNTIF(Q1719:Q1719,"W")+COUNTIF(Q1726:Q1726,"W"),"")</f>
        <v/>
      </c>
      <c r="H1733" s="321"/>
      <c r="I1733" s="322" t="str">
        <f ca="1">IF(OR(Q1700&lt;&gt;"",Q1707&lt;&gt;"",Q1714&lt;&gt;"",Q1721&lt;&gt;"",Q1728&lt;&gt;""),COUNTIF(Q1700:Q1700,"W")+COUNTIF(Q1707:Q1707,"W")+COUNTIF(Q1714:Q1714,"W")+COUNTIF(Q1721:Q1721,"W")+COUNTIF(Q1728:Q1728,"W"),"")</f>
        <v/>
      </c>
      <c r="J1733" s="323"/>
      <c r="L1733" s="2" t="s">
        <v>1228</v>
      </c>
      <c r="M1733" s="53" t="str">
        <f>K1692</f>
        <v>L</v>
      </c>
      <c r="N1733" s="3" t="s">
        <v>1226</v>
      </c>
      <c r="R1733" s="300" t="str">
        <f>K1692</f>
        <v>L</v>
      </c>
      <c r="S1733" s="331" t="str">
        <f ca="1">IF($B1721&lt;&gt;"",$B1721,"")</f>
        <v/>
      </c>
      <c r="T1733" s="332"/>
      <c r="U1733" s="332"/>
      <c r="V1733" s="332"/>
      <c r="W1733" s="332"/>
      <c r="X1733" s="333"/>
      <c r="Y1733" s="329"/>
      <c r="Z1733" s="329"/>
      <c r="AA1733" s="351"/>
      <c r="AB1733" s="351"/>
      <c r="AC1733" s="351"/>
      <c r="AD1733" s="363" t="s">
        <v>1237</v>
      </c>
      <c r="AE1733" s="358"/>
      <c r="AF1733" s="359"/>
    </row>
    <row r="1734" spans="1:32" ht="12.75" customHeight="1">
      <c r="F1734" s="25" t="s">
        <v>3996</v>
      </c>
      <c r="G1734" s="23"/>
      <c r="H1734" s="23"/>
      <c r="I1734" s="23"/>
      <c r="J1734" s="23"/>
      <c r="K1734" s="24"/>
      <c r="R1734" s="330"/>
      <c r="S1734" s="334"/>
      <c r="T1734" s="335"/>
      <c r="U1734" s="335"/>
      <c r="V1734" s="335"/>
      <c r="W1734" s="335"/>
      <c r="X1734" s="336"/>
      <c r="Y1734" s="330"/>
      <c r="Z1734" s="330"/>
      <c r="AA1734" s="330"/>
      <c r="AB1734" s="330"/>
      <c r="AC1734" s="330"/>
      <c r="AD1734" s="360"/>
      <c r="AE1734" s="361"/>
      <c r="AF1734" s="362"/>
    </row>
    <row r="1735" spans="1:32" ht="12.75" customHeight="1">
      <c r="R1735" s="1"/>
      <c r="S1735" s="110"/>
      <c r="T1735" s="110"/>
      <c r="U1735" s="110"/>
      <c r="V1735" s="110"/>
      <c r="W1735" s="110"/>
      <c r="X1735" s="111"/>
      <c r="Y1735" s="111"/>
      <c r="Z1735" s="111"/>
      <c r="AA1735" s="111"/>
    </row>
    <row r="1736" spans="1:32" ht="12.75" customHeight="1">
      <c r="F1736" s="246" t="s">
        <v>4929</v>
      </c>
      <c r="G1736" s="246"/>
      <c r="H1736" s="246"/>
      <c r="I1736" s="246"/>
      <c r="R1736" s="1"/>
      <c r="S1736" s="110"/>
      <c r="T1736" s="110"/>
      <c r="U1736" s="110"/>
      <c r="V1736" s="110"/>
      <c r="W1736" s="110"/>
      <c r="X1736" s="111"/>
      <c r="Y1736" s="111"/>
      <c r="Z1736" s="111"/>
      <c r="AA1736" s="111"/>
    </row>
    <row r="1737" spans="1:32" ht="12.75" customHeight="1">
      <c r="F1737" s="246" t="s">
        <v>4930</v>
      </c>
      <c r="G1737" s="246"/>
      <c r="H1737" s="246"/>
      <c r="I1737" s="246"/>
      <c r="R1737" s="1"/>
      <c r="S1737" s="110"/>
      <c r="T1737" s="110"/>
      <c r="U1737" s="110"/>
      <c r="V1737" s="110"/>
      <c r="W1737" s="110"/>
      <c r="X1737" s="111"/>
      <c r="Y1737" s="111"/>
      <c r="Z1737" s="111"/>
      <c r="AA1737" s="111"/>
    </row>
    <row r="1738" spans="1:32" ht="12.75" customHeight="1">
      <c r="K1738" s="281" t="s">
        <v>1244</v>
      </c>
      <c r="L1738" s="281"/>
      <c r="M1738" s="281"/>
      <c r="N1738" s="281"/>
      <c r="O1738" s="281"/>
      <c r="P1738" s="281"/>
      <c r="R1738" s="1"/>
      <c r="S1738" s="110"/>
      <c r="T1738" s="110"/>
      <c r="U1738" s="110"/>
      <c r="V1738" s="110"/>
      <c r="W1738" s="110"/>
      <c r="X1738" s="111"/>
      <c r="Y1738" s="111"/>
      <c r="Z1738" s="111"/>
      <c r="AA1738" s="111"/>
    </row>
    <row r="1739" spans="1:32" ht="12.75" customHeight="1">
      <c r="A1739" s="12" t="s">
        <v>1229</v>
      </c>
      <c r="B1739" s="11"/>
      <c r="C1739" s="11"/>
      <c r="D1739" s="11" t="str">
        <f>Draw!$B$1</f>
        <v>Enter Division Name</v>
      </c>
      <c r="E1739" s="11"/>
      <c r="F1739" s="7"/>
      <c r="G1739" s="6"/>
      <c r="H1739" s="7"/>
      <c r="I1739" s="11"/>
      <c r="J1739" s="11"/>
      <c r="K1739" s="11"/>
      <c r="L1739" s="11"/>
      <c r="M1739" s="281"/>
      <c r="N1739" s="281"/>
      <c r="O1739" s="281"/>
      <c r="P1739" s="281"/>
      <c r="R1739" s="1"/>
      <c r="S1739" s="110"/>
      <c r="T1739" s="110"/>
      <c r="U1739" s="110"/>
      <c r="V1739" s="110"/>
      <c r="W1739" s="110"/>
      <c r="X1739" s="111"/>
      <c r="Y1739" s="111"/>
      <c r="Z1739" s="111"/>
      <c r="AA1739" s="111"/>
    </row>
    <row r="1740" spans="1:32" ht="12.75" customHeight="1">
      <c r="A1740" s="2" t="s">
        <v>1230</v>
      </c>
      <c r="D1740" s="43" t="str">
        <f>Draw!$D$1</f>
        <v>Enter Hosting Location (City, ST)</v>
      </c>
      <c r="J1740" s="43" t="str">
        <f ca="1">$J$6</f>
        <v>[NCTTA Teams Template (v2.06).xlsx]</v>
      </c>
      <c r="R1740" s="1"/>
      <c r="S1740" s="110"/>
      <c r="T1740" s="110"/>
      <c r="U1740" s="110"/>
      <c r="V1740" s="110"/>
      <c r="W1740" s="110"/>
      <c r="X1740" s="111"/>
      <c r="Y1740" s="111"/>
      <c r="Z1740" s="111"/>
      <c r="AA1740" s="111"/>
    </row>
    <row r="1741" spans="1:32" ht="12.75" customHeight="1">
      <c r="A1741" s="2" t="s">
        <v>1231</v>
      </c>
      <c r="D1741" s="337" t="str">
        <f>Draw!$P$1</f>
        <v>Enter Date</v>
      </c>
      <c r="E1741" s="337"/>
      <c r="F1741" s="337"/>
      <c r="G1741" s="337"/>
      <c r="J1741" s="280" t="str">
        <f>CHOOSE(Draw!$T$1,"Round 6, Match 5","","","","","","","","Round 9, Match 3","Round 7, Match 5","Round 7, Match 5")</f>
        <v/>
      </c>
      <c r="K1741" s="280"/>
      <c r="L1741" s="280"/>
      <c r="M1741" s="276" t="str">
        <f>IF(AND($J1741&lt;&gt;"",Draw!$AC$10&lt;&gt;"",Draw!$AC$13&lt;&gt;""),Draw!$AC$10+TIME(0,VALUE(MID($J1741,7,FIND(",",$J1741)-FIND(" ",$J1741)-1)-1)*Draw!$AC$13,0),"")</f>
        <v/>
      </c>
      <c r="N1741" s="276"/>
      <c r="O1741" s="157" t="str">
        <f>$F1784</f>
        <v>C-E</v>
      </c>
      <c r="R1741" s="1"/>
      <c r="S1741" s="110"/>
      <c r="T1741" s="110"/>
      <c r="U1741" s="110"/>
      <c r="V1741" s="110"/>
      <c r="W1741" s="110"/>
      <c r="X1741" s="111"/>
      <c r="Y1741" s="111"/>
      <c r="Z1741" s="111"/>
      <c r="AA1741" s="111"/>
    </row>
    <row r="1742" spans="1:32" ht="12.75" customHeight="1">
      <c r="A1742" s="14"/>
      <c r="B1742" s="15"/>
      <c r="C1742" s="15"/>
      <c r="D1742" s="15"/>
      <c r="E1742" s="15"/>
      <c r="F1742" s="14"/>
      <c r="G1742" s="14"/>
      <c r="H1742" s="16"/>
      <c r="I1742" s="14"/>
      <c r="J1742" s="15"/>
      <c r="K1742" s="15"/>
      <c r="L1742" s="15"/>
      <c r="M1742" s="15"/>
      <c r="N1742" s="15"/>
      <c r="O1742" s="364" t="str">
        <f>IF(OR(AND(VLOOKUP($B1743,$AM$1:$AX$12,12,FALSE)="C",VLOOKUP($K1743,$AM$1:$AX$12,12,FALSE)="C"),AND(VLOOKUP($B1743,$AM$1:$AX$12,12,FALSE)="W",VLOOKUP($K1743,$AM$1:$AX$12,12,FALSE)="W")),"Official",IF(AND($A1744="",$J1744=""),"","Scrimmage"))</f>
        <v/>
      </c>
      <c r="P1742" s="364"/>
      <c r="R1742" s="1"/>
      <c r="S1742" s="110"/>
      <c r="T1742" s="110"/>
      <c r="U1742" s="110"/>
      <c r="V1742" s="110"/>
      <c r="W1742" s="110"/>
      <c r="X1742" s="111"/>
      <c r="Y1742" s="111"/>
      <c r="Z1742" s="111"/>
      <c r="AA1742" s="111"/>
    </row>
    <row r="1743" spans="1:32" ht="12.75" customHeight="1">
      <c r="A1743" s="17" t="s">
        <v>1228</v>
      </c>
      <c r="B1743" s="119" t="str">
        <f>CHOOSE(Draw!$T$1,"C","A","C","C","D","D","C","B","E","G","B")</f>
        <v>C</v>
      </c>
      <c r="C1743" s="135">
        <f>VLOOKUP($B1743,$AM$1:$AN$12,2)</f>
        <v>3</v>
      </c>
      <c r="D1743" s="13"/>
      <c r="E1743" s="13"/>
      <c r="F1743" s="10"/>
      <c r="H1743" s="19" t="s">
        <v>1232</v>
      </c>
      <c r="J1743" s="17" t="s">
        <v>1228</v>
      </c>
      <c r="K1743" s="119" t="str">
        <f>CHOOSE(Draw!$T$1,"K","K","E","H","I","H","K","K","I","H","J")</f>
        <v>E</v>
      </c>
      <c r="L1743" s="135">
        <f>VLOOKUP($K1743,$AM$1:$AN$12,2)</f>
        <v>5</v>
      </c>
      <c r="M1743" s="13"/>
      <c r="N1743" s="13"/>
      <c r="O1743" s="18"/>
      <c r="P1743" s="274"/>
      <c r="Q1743" s="275"/>
      <c r="R1743" s="1"/>
      <c r="S1743" s="110"/>
      <c r="T1743" s="110"/>
      <c r="U1743" s="110"/>
      <c r="V1743" s="110"/>
      <c r="W1743" s="110"/>
      <c r="X1743" s="111"/>
      <c r="Y1743" s="111"/>
      <c r="Z1743" s="111"/>
      <c r="AA1743" s="111"/>
    </row>
    <row r="1744" spans="1:32" ht="12.75" customHeight="1">
      <c r="A1744" s="277" t="str">
        <f>IF(VLOOKUP($B1743,Draw!$A$4:$B$27,2)&lt;&gt;0,VLOOKUP($B1743,Draw!$A$4:$B$27,2),"")</f>
        <v/>
      </c>
      <c r="B1744" s="278"/>
      <c r="C1744" s="278"/>
      <c r="D1744" s="278"/>
      <c r="E1744" s="278"/>
      <c r="F1744" s="279"/>
      <c r="G1744" s="306" t="s">
        <v>4186</v>
      </c>
      <c r="H1744" s="289"/>
      <c r="I1744" s="307"/>
      <c r="J1744" s="277" t="str">
        <f>IF(VLOOKUP($K1743,Draw!$A$4:$B$27,2)&lt;&gt;0,VLOOKUP($K1743,Draw!$A$4:$B$27,2),"")</f>
        <v/>
      </c>
      <c r="K1744" s="278"/>
      <c r="L1744" s="278"/>
      <c r="M1744" s="278"/>
      <c r="N1744" s="278"/>
      <c r="O1744" s="279"/>
      <c r="P1744" s="15"/>
      <c r="R1744" s="1"/>
      <c r="S1744" s="110"/>
      <c r="T1744" s="110"/>
      <c r="U1744" s="110"/>
      <c r="V1744" s="110"/>
      <c r="W1744" s="110"/>
      <c r="X1744" s="111"/>
      <c r="Y1744" s="111"/>
      <c r="Z1744" s="111"/>
      <c r="AA1744" s="111"/>
    </row>
    <row r="1745" spans="1:32" ht="12.75" customHeight="1">
      <c r="A1745" s="14"/>
      <c r="B1745" s="15"/>
      <c r="C1745" s="15"/>
      <c r="D1745" s="15"/>
      <c r="E1745" s="15"/>
      <c r="F1745" s="14"/>
      <c r="G1745" s="288" t="str">
        <f>"Page "&amp;VALUE(RIGHT($G1744,LEN($G1744)-SEARCH("-",$G1744)))/2</f>
        <v>Page 35</v>
      </c>
      <c r="H1745" s="289"/>
      <c r="I1745" s="289"/>
      <c r="J1745" s="15"/>
      <c r="K1745" s="15"/>
      <c r="L1745" s="15"/>
      <c r="M1745" s="15"/>
      <c r="N1745" s="15"/>
      <c r="O1745" s="15"/>
      <c r="P1745" s="15"/>
      <c r="R1745" s="1"/>
      <c r="S1745" s="110"/>
      <c r="T1745" s="110"/>
      <c r="U1745" s="110"/>
      <c r="V1745" s="110"/>
      <c r="W1745" s="110"/>
      <c r="X1745" s="111"/>
      <c r="Y1745" s="111"/>
      <c r="Z1745" s="111"/>
      <c r="AA1745" s="111"/>
      <c r="AF1745" s="27"/>
    </row>
    <row r="1746" spans="1:32" ht="12.75" customHeight="1">
      <c r="A1746" s="327" t="s">
        <v>1245</v>
      </c>
      <c r="B1746" s="327"/>
      <c r="C1746" s="327"/>
      <c r="D1746" s="327"/>
      <c r="E1746" s="327"/>
      <c r="F1746" s="327"/>
      <c r="G1746" s="327"/>
      <c r="H1746" s="327"/>
      <c r="I1746" s="327"/>
      <c r="J1746" s="327"/>
      <c r="K1746" s="327"/>
      <c r="L1746" s="327"/>
      <c r="M1746" s="327"/>
      <c r="N1746" s="327"/>
      <c r="O1746" s="327"/>
      <c r="P1746" s="327"/>
      <c r="Q1746" s="7"/>
      <c r="R1746" s="1"/>
      <c r="S1746" s="110"/>
      <c r="T1746" s="110"/>
      <c r="U1746" s="110"/>
      <c r="V1746" s="110"/>
      <c r="W1746" s="110"/>
      <c r="X1746" s="111"/>
      <c r="Y1746" s="111"/>
      <c r="Z1746" s="111"/>
      <c r="AA1746" s="111"/>
      <c r="AF1746" s="20"/>
    </row>
    <row r="1747" spans="1:32" ht="12.75" customHeight="1">
      <c r="A1747" s="21" t="s">
        <v>1233</v>
      </c>
      <c r="H1747" s="136" t="str">
        <f>IF($Q1749&lt;&gt;"",IF(AND(AND($H1749&gt;-1,$H1751&gt;-1),OR($H1749&gt;10,$H1751&gt;10),ABS($H1749-$H1751)&gt;1,IF(OR($H1749&gt;11,$H1751&gt;11),ABS($H1749-$H1751)=2,TRUE),$H1749=INT($H1749),$H1751=INT($H1751)),"","Error"),"")</f>
        <v/>
      </c>
      <c r="I1747" s="136" t="str">
        <f>IF($Q1749&lt;&gt;"",IF(AND(AND($I1749&gt;-1,$I1751&gt;-1),OR($I1749&gt;10,$I1751&gt;10),ABS($I1749-$I1751)&gt;1,IF(OR($I1749&gt;11,$I1751&gt;11),ABS($I1749-$I1751)=2,TRUE),$I1749=INT($I1749),$I1751=INT($I1751)),"","Error"),"")</f>
        <v/>
      </c>
      <c r="J1747" s="136" t="str">
        <f>IF($Q1749&lt;&gt;"",IF(AND(AND($J1749&gt;-1,$J1751&gt;-1),OR($J1749&gt;10,$J1751&gt;10),ABS($J1749-$J1751)&gt;1,IF(OR($J1749&gt;11,$J1751&gt;11),ABS($J1749-$J1751)=2,TRUE),$J1749=INT($J1749),$J1751=INT($J1751)),"","Error"),"")</f>
        <v/>
      </c>
      <c r="K1747" s="136" t="str">
        <f>IF($Q1749&lt;&gt;"",IF(AND($K1749&lt;&gt;"",$K1751&lt;&gt;""), IF(AND(AND($K1749&gt;-1,$K1751&gt;-1),OR($K1749&gt;10,$K1751&gt;10),ABS($K1749-$K1751)&gt;1,IF(OR($K1749&gt;11,$K1751&gt;11),ABS($K1749-$K1751)=2,TRUE),$K1749=INT($K1749),$K1751=INT($K1751)),"","Error"),""),"")</f>
        <v/>
      </c>
      <c r="L1747" s="136" t="str">
        <f>IF($Q1749&lt;&gt;"",IF(AND($L1749&lt;&gt;"",$L1751&lt;&gt;""), IF(AND(AND($L1749&gt;-1,$L1751&gt;-1),OR($L1749&gt;10,$L1751&gt;10),ABS($L1749-$L1751)&gt;1,IF(OR($L1749&gt;11,$L1751&gt;11),ABS($L1749-$L1751)=2,TRUE),$L1749=INT($L1749),$L1751=INT($L1751)),"","Error"),""),"")</f>
        <v/>
      </c>
      <c r="R1747" s="1"/>
      <c r="S1747" s="110"/>
      <c r="T1747" s="110"/>
      <c r="U1747" s="110"/>
      <c r="V1747" s="110"/>
      <c r="W1747" s="110"/>
      <c r="X1747" s="111"/>
      <c r="Y1747" s="111"/>
      <c r="Z1747" s="111"/>
      <c r="AA1747" s="111"/>
    </row>
    <row r="1748" spans="1:32" ht="12.75" customHeight="1">
      <c r="A1748" s="5" t="s">
        <v>1228</v>
      </c>
      <c r="B1748" s="290" t="s">
        <v>1126</v>
      </c>
      <c r="C1748" s="291"/>
      <c r="D1748" s="291"/>
      <c r="E1748" s="291"/>
      <c r="F1748" s="291"/>
      <c r="G1748" s="292"/>
      <c r="H1748" s="5">
        <v>1</v>
      </c>
      <c r="I1748" s="5">
        <v>2</v>
      </c>
      <c r="J1748" s="5">
        <v>3</v>
      </c>
      <c r="K1748" s="5">
        <v>4</v>
      </c>
      <c r="L1748" s="5">
        <v>5</v>
      </c>
      <c r="M1748" s="271"/>
      <c r="N1748" s="272"/>
      <c r="O1748" s="272"/>
      <c r="P1748" s="273"/>
      <c r="R1748" s="1"/>
      <c r="S1748" s="110"/>
      <c r="T1748" s="110"/>
      <c r="U1748" s="110"/>
      <c r="V1748" s="110"/>
      <c r="W1748" s="110"/>
      <c r="X1748" s="111"/>
      <c r="Y1748" s="111"/>
      <c r="Z1748" s="111"/>
      <c r="AA1748" s="111"/>
    </row>
    <row r="1749" spans="1:32" ht="12.75" customHeight="1">
      <c r="A1749" s="300" t="str">
        <f>B1743</f>
        <v>C</v>
      </c>
      <c r="B1749" s="293" t="str">
        <f ca="1">IF(AND(OFFSET($AO$1,$C1743-1,8,1,1),$A1744&lt;&gt;"",$J1744&lt;&gt;""),CHOOSE($C1743,$AO$1,$AO$2,$AO$3,$AO$4,$AO$5,$AO$6,$AO$7,$AO$8,$AO$9,$AO$10,$AO$11,$AO$12),"")</f>
        <v/>
      </c>
      <c r="C1749" s="294"/>
      <c r="D1749" s="294"/>
      <c r="E1749" s="294"/>
      <c r="F1749" s="294"/>
      <c r="G1749" s="294"/>
      <c r="H1749" s="265"/>
      <c r="I1749" s="265"/>
      <c r="J1749" s="265"/>
      <c r="K1749" s="265"/>
      <c r="L1749" s="265"/>
      <c r="M1749" s="297"/>
      <c r="N1749" s="298"/>
      <c r="O1749" s="298"/>
      <c r="P1749" s="299"/>
      <c r="Q1749" s="137" t="str">
        <f>IF($L1749=$L1751,IF($K1749=$K1751,IF($J1749&lt;&gt;"",IF($J1749&gt;$J1751,"W","L"),""),IF($K1749&gt;$K1751,"W","L")),IF($L1749&gt;$L1751,"W","L"))</f>
        <v/>
      </c>
      <c r="R1749" s="1"/>
      <c r="S1749" s="110"/>
      <c r="T1749" s="110"/>
      <c r="U1749" s="110"/>
      <c r="V1749" s="110"/>
      <c r="W1749" s="110"/>
      <c r="X1749" s="111"/>
      <c r="Y1749" s="111"/>
      <c r="Z1749" s="111"/>
      <c r="AA1749" s="111"/>
    </row>
    <row r="1750" spans="1:32" ht="12.75" customHeight="1">
      <c r="A1750" s="301"/>
      <c r="B1750" s="295"/>
      <c r="C1750" s="296"/>
      <c r="D1750" s="296"/>
      <c r="E1750" s="296"/>
      <c r="F1750" s="296"/>
      <c r="G1750" s="296"/>
      <c r="H1750" s="270"/>
      <c r="I1750" s="270"/>
      <c r="J1750" s="270"/>
      <c r="K1750" s="270"/>
      <c r="L1750" s="270"/>
      <c r="M1750" s="297"/>
      <c r="N1750" s="298"/>
      <c r="O1750" s="298"/>
      <c r="P1750" s="299"/>
      <c r="Q1750" s="139" t="str">
        <f>IF($Q1749&lt;&gt;"",IF($Q1749="W",IF(SUM(IF($H1749&gt;$H1751,1,0),IF($I1749&gt;$I1751,1,0),IF($J1749&gt;$J1751,1,0),IF($K1749&gt;$K1751,1,0),IF($L1749&gt;$L1751,1,0))&lt;&gt;3,"Error",""),""),"")</f>
        <v/>
      </c>
      <c r="R1750" s="328" t="str">
        <f>$A1744</f>
        <v/>
      </c>
      <c r="S1750" s="328"/>
      <c r="T1750" s="328"/>
      <c r="U1750" s="328"/>
      <c r="V1750" s="328"/>
      <c r="W1750" s="328"/>
      <c r="X1750" s="256" t="str">
        <f>CONCATENATE("(",$B1743," vs ",$K1743,")")</f>
        <v>(C vs E)</v>
      </c>
      <c r="Y1750" s="256"/>
      <c r="Z1750" s="328" t="str">
        <f>$J1744</f>
        <v/>
      </c>
      <c r="AA1750" s="328"/>
      <c r="AB1750" s="328"/>
      <c r="AC1750" s="328"/>
      <c r="AD1750" s="328"/>
      <c r="AE1750" s="328"/>
      <c r="AF1750" s="43"/>
    </row>
    <row r="1751" spans="1:32" ht="12.75" customHeight="1">
      <c r="A1751" s="300" t="str">
        <f>K1743</f>
        <v>E</v>
      </c>
      <c r="B1751" s="293" t="str">
        <f ca="1">IF(AND(OFFSET($AO$1,$L1743-1,8,1,1),$A1744&lt;&gt;"",$J1744&lt;&gt;""),CHOOSE($L1743,$AO$1,$AO$2,$AO$3,$AO$4,$AO$5,$AO$6,$AO$7,$AO$8,$AO$9,$AO$10,$AO$11,$AO$12),"")</f>
        <v/>
      </c>
      <c r="C1751" s="294"/>
      <c r="D1751" s="294"/>
      <c r="E1751" s="294"/>
      <c r="F1751" s="294"/>
      <c r="G1751" s="294"/>
      <c r="H1751" s="265"/>
      <c r="I1751" s="265"/>
      <c r="J1751" s="265"/>
      <c r="K1751" s="265"/>
      <c r="L1751" s="265"/>
      <c r="M1751" s="267" t="s">
        <v>1237</v>
      </c>
      <c r="N1751" s="268"/>
      <c r="O1751" s="268"/>
      <c r="P1751" s="269"/>
      <c r="Q1751" s="137" t="str">
        <f>IF($Q1749&lt;&gt;"",IF($Q1749="W","L","W"),"")</f>
        <v/>
      </c>
      <c r="R1751" s="43"/>
      <c r="S1751" s="43"/>
      <c r="T1751" s="43"/>
      <c r="U1751" s="43"/>
      <c r="V1751" s="43"/>
      <c r="W1751" s="43"/>
      <c r="X1751" s="43"/>
      <c r="Y1751" s="43"/>
      <c r="Z1751" s="43"/>
      <c r="AA1751" s="43"/>
      <c r="AB1751" s="43"/>
      <c r="AC1751" s="43"/>
      <c r="AD1751" s="43"/>
      <c r="AE1751" s="43"/>
      <c r="AF1751" s="43"/>
    </row>
    <row r="1752" spans="1:32" ht="12.75" customHeight="1">
      <c r="A1752" s="301"/>
      <c r="B1752" s="295"/>
      <c r="C1752" s="296"/>
      <c r="D1752" s="296"/>
      <c r="E1752" s="296"/>
      <c r="F1752" s="296"/>
      <c r="G1752" s="296"/>
      <c r="H1752" s="270"/>
      <c r="I1752" s="270"/>
      <c r="J1752" s="266"/>
      <c r="K1752" s="266"/>
      <c r="L1752" s="266"/>
      <c r="M1752" s="267"/>
      <c r="N1752" s="268"/>
      <c r="O1752" s="268"/>
      <c r="P1752" s="269"/>
      <c r="Q1752" s="139" t="str">
        <f>IF($Q1751&lt;&gt;"",IF($Q1751="W",IF(SUM(IF($H1751&gt;$H1749,1,0),IF($I1751&gt;$I1749,1,0),IF($J1751&gt;$J1749,1,0),IF($K1751&gt;$K1749,1,0),IF($L1751&gt;$L1749,1,0))&lt;&gt;3,"Error",""),""),"")</f>
        <v/>
      </c>
      <c r="R1752" s="43" t="str">
        <f>$A1754</f>
        <v>2nd Singles</v>
      </c>
      <c r="S1752" s="43"/>
      <c r="T1752" s="43"/>
      <c r="U1752" s="43"/>
      <c r="V1752" s="43"/>
      <c r="W1752" s="43"/>
      <c r="X1752" s="43"/>
      <c r="Y1752" s="43"/>
      <c r="Z1752" s="43"/>
      <c r="AA1752" s="43"/>
      <c r="AB1752" s="43"/>
      <c r="AC1752" s="43"/>
      <c r="AD1752" s="43"/>
      <c r="AE1752" s="43"/>
      <c r="AF1752" s="43"/>
    </row>
    <row r="1753" spans="1:32" ht="12.75" customHeight="1">
      <c r="Q1753" s="7"/>
      <c r="R1753" s="60" t="s">
        <v>1228</v>
      </c>
      <c r="S1753" s="339" t="s">
        <v>1126</v>
      </c>
      <c r="T1753" s="340"/>
      <c r="U1753" s="340"/>
      <c r="V1753" s="340"/>
      <c r="W1753" s="340"/>
      <c r="X1753" s="341"/>
      <c r="Y1753" s="60">
        <v>1</v>
      </c>
      <c r="Z1753" s="60">
        <v>2</v>
      </c>
      <c r="AA1753" s="60">
        <v>3</v>
      </c>
      <c r="AB1753" s="60">
        <v>4</v>
      </c>
      <c r="AC1753" s="60">
        <v>5</v>
      </c>
      <c r="AD1753" s="342"/>
      <c r="AE1753" s="343"/>
      <c r="AF1753" s="344"/>
    </row>
    <row r="1754" spans="1:32" ht="12.75" customHeight="1">
      <c r="A1754" s="21" t="s">
        <v>1234</v>
      </c>
      <c r="H1754" s="136" t="str">
        <f>IF($Q1756&lt;&gt;"",IF(AND(AND($H1756&gt;-1,$H1758&gt;-1),OR($H1756&gt;10,$H1758&gt;10),ABS($H1756-$H1758)&gt;1,IF(OR($H1756&gt;11,$H1758&gt;11),ABS($H1756-$H1758)=2,TRUE),$H1756=INT($H1756),$H1758=INT($H1758)),"","Error"),"")</f>
        <v/>
      </c>
      <c r="I1754" s="136" t="str">
        <f>IF($Q1756&lt;&gt;"",IF(AND(AND($I1756&gt;-1,$I1758&gt;-1),OR($I1756&gt;10,$I1758&gt;10),ABS($I1756-$I1758)&gt;1,IF(OR($I1756&gt;11,$I1758&gt;11),ABS($I1756-$I1758)=2,TRUE),$I1756=INT($I1756),$I1758=INT($I1758)),"","Error"),"")</f>
        <v/>
      </c>
      <c r="J1754" s="136" t="str">
        <f>IF($Q1756&lt;&gt;"",IF(AND(AND($J1756&gt;-1,$J1758&gt;-1),OR($J1756&gt;10,$J1758&gt;10),ABS($J1756-$J1758)&gt;1,IF(OR($J1756&gt;11,$J1758&gt;11),ABS($J1756-$J1758)=2,TRUE),$J1756=INT($J1756),$J1758=INT($J1758)),"","Error"),"")</f>
        <v/>
      </c>
      <c r="K1754" s="136" t="str">
        <f>IF($Q1756&lt;&gt;"",IF(AND($K1756&lt;&gt;"",$K1758&lt;&gt;""), IF(AND(AND($K1756&gt;-1,$K1758&gt;-1),OR($K1756&gt;10,$K1758&gt;10),ABS($K1756-$K1758)&gt;1,IF(OR($K1756&gt;11,$K1758&gt;11),ABS($K1756-$K1758)=2,TRUE),$K1756=INT($K1756),$K1758=INT($K1758)),"","Error"),""),"")</f>
        <v/>
      </c>
      <c r="L1754" s="136" t="str">
        <f>IF($Q1756&lt;&gt;"",IF(AND($L1756&lt;&gt;"",$L1758&lt;&gt;""), IF(AND(AND($L1756&gt;-1,$L1758&gt;-1),OR($L1756&gt;10,$L1758&gt;10),ABS($L1756-$L1758)&gt;1,IF(OR($L1756&gt;11,$L1758&gt;11),ABS($L1756-$L1758)=2,TRUE),$L1756=INT($L1756),$L1758=INT($L1758)),"","Error"),""),"")</f>
        <v/>
      </c>
      <c r="Q1754" s="7"/>
      <c r="R1754" s="300" t="str">
        <f>$B1743</f>
        <v>C</v>
      </c>
      <c r="S1754" s="331" t="str">
        <f ca="1">IF($B1756&lt;&gt;"",$B1756,"")</f>
        <v/>
      </c>
      <c r="T1754" s="332"/>
      <c r="U1754" s="332"/>
      <c r="V1754" s="332"/>
      <c r="W1754" s="332"/>
      <c r="X1754" s="333"/>
      <c r="Y1754" s="329"/>
      <c r="Z1754" s="329"/>
      <c r="AA1754" s="329"/>
      <c r="AB1754" s="329"/>
      <c r="AC1754" s="329"/>
      <c r="AD1754" s="345"/>
      <c r="AE1754" s="358"/>
      <c r="AF1754" s="359"/>
    </row>
    <row r="1755" spans="1:32" ht="12.75" customHeight="1">
      <c r="A1755" s="5" t="s">
        <v>1228</v>
      </c>
      <c r="B1755" s="290" t="s">
        <v>1126</v>
      </c>
      <c r="C1755" s="291"/>
      <c r="D1755" s="291"/>
      <c r="E1755" s="291"/>
      <c r="F1755" s="291"/>
      <c r="G1755" s="292"/>
      <c r="H1755" s="5">
        <v>1</v>
      </c>
      <c r="I1755" s="5">
        <v>2</v>
      </c>
      <c r="J1755" s="5">
        <v>3</v>
      </c>
      <c r="K1755" s="5">
        <v>4</v>
      </c>
      <c r="L1755" s="5">
        <v>5</v>
      </c>
      <c r="M1755" s="271"/>
      <c r="N1755" s="272"/>
      <c r="O1755" s="272"/>
      <c r="P1755" s="273"/>
      <c r="Q1755" s="7"/>
      <c r="R1755" s="330"/>
      <c r="S1755" s="334"/>
      <c r="T1755" s="335"/>
      <c r="U1755" s="335"/>
      <c r="V1755" s="335"/>
      <c r="W1755" s="335"/>
      <c r="X1755" s="336"/>
      <c r="Y1755" s="330"/>
      <c r="Z1755" s="330"/>
      <c r="AA1755" s="330"/>
      <c r="AB1755" s="330"/>
      <c r="AC1755" s="330"/>
      <c r="AD1755" s="360"/>
      <c r="AE1755" s="361"/>
      <c r="AF1755" s="362"/>
    </row>
    <row r="1756" spans="1:32" ht="12.75" customHeight="1">
      <c r="A1756" s="300" t="str">
        <f>B1743</f>
        <v>C</v>
      </c>
      <c r="B1756" s="293" t="str">
        <f ca="1">IF(AND(OFFSET($AO$1,$C1743-1,8,1,1),$A1744&lt;&gt;"",$J1744&lt;&gt;""),CHOOSE($C1743,$AP$1,$AP$2,$AP$3,$AP$4,$AP$5,$AP$6,$AP$7,$AP$8,$AP$9,$AP$10,$AP$11,$AP$12),"")</f>
        <v/>
      </c>
      <c r="C1756" s="294"/>
      <c r="D1756" s="294"/>
      <c r="E1756" s="294"/>
      <c r="F1756" s="294"/>
      <c r="G1756" s="294"/>
      <c r="H1756" s="265"/>
      <c r="I1756" s="265"/>
      <c r="J1756" s="265"/>
      <c r="K1756" s="265"/>
      <c r="L1756" s="265"/>
      <c r="M1756" s="262" t="str">
        <f ca="1">IF(OR(AND($B1749&lt;&gt;"",$B1756&lt;&gt;"",$C1774&lt;=$B1774),AND($B1751&lt;&gt;"",$B1758&lt;&gt;"",$G1774&lt;=$F1774)),"Invalid Lineup","")</f>
        <v/>
      </c>
      <c r="N1756" s="263"/>
      <c r="O1756" s="263"/>
      <c r="P1756" s="264"/>
      <c r="Q1756" s="137" t="str">
        <f>IF($L1756=$L1758,IF($K1756=$K1758,IF($J1756&lt;&gt;"",IF($J1756&gt;$J1758,"W","L"),""),IF($K1756&gt;$K1758,"W","L")),IF($L1756&gt;$L1758,"W","L"))</f>
        <v/>
      </c>
      <c r="R1756" s="300" t="str">
        <f>$K1743</f>
        <v>E</v>
      </c>
      <c r="S1756" s="331" t="str">
        <f ca="1">IF($B1758&lt;&gt;"",$B1758,"")</f>
        <v/>
      </c>
      <c r="T1756" s="332"/>
      <c r="U1756" s="332"/>
      <c r="V1756" s="332"/>
      <c r="W1756" s="332"/>
      <c r="X1756" s="333"/>
      <c r="Y1756" s="329"/>
      <c r="Z1756" s="329"/>
      <c r="AA1756" s="329"/>
      <c r="AB1756" s="329"/>
      <c r="AC1756" s="351"/>
      <c r="AD1756" s="363" t="s">
        <v>1237</v>
      </c>
      <c r="AE1756" s="358"/>
      <c r="AF1756" s="359"/>
    </row>
    <row r="1757" spans="1:32" ht="12.75" customHeight="1">
      <c r="A1757" s="301"/>
      <c r="B1757" s="295"/>
      <c r="C1757" s="296"/>
      <c r="D1757" s="296"/>
      <c r="E1757" s="296"/>
      <c r="F1757" s="296"/>
      <c r="G1757" s="296"/>
      <c r="H1757" s="270"/>
      <c r="I1757" s="270"/>
      <c r="J1757" s="270"/>
      <c r="K1757" s="270"/>
      <c r="L1757" s="270"/>
      <c r="M1757" s="262"/>
      <c r="N1757" s="263"/>
      <c r="O1757" s="263"/>
      <c r="P1757" s="264"/>
      <c r="Q1757" s="139" t="str">
        <f>IF($Q1756&lt;&gt;"",IF($Q1756="W",IF(SUM(IF($H1756&gt;$H1758,1,0),IF($I1756&gt;$I1758,1,0),IF($J1756&gt;$J1758,1,0),IF($K1756&gt;$K1758,1,0),IF($L1756&gt;$L1758,1,0))&lt;&gt;3,"Error",""),""),"")</f>
        <v/>
      </c>
      <c r="R1757" s="330"/>
      <c r="S1757" s="334"/>
      <c r="T1757" s="335"/>
      <c r="U1757" s="335"/>
      <c r="V1757" s="335"/>
      <c r="W1757" s="335"/>
      <c r="X1757" s="336"/>
      <c r="Y1757" s="330"/>
      <c r="Z1757" s="330"/>
      <c r="AA1757" s="330"/>
      <c r="AB1757" s="330"/>
      <c r="AC1757" s="330"/>
      <c r="AD1757" s="360"/>
      <c r="AE1757" s="361"/>
      <c r="AF1757" s="362"/>
    </row>
    <row r="1758" spans="1:32" ht="12.75" customHeight="1">
      <c r="A1758" s="300" t="str">
        <f>K1743</f>
        <v>E</v>
      </c>
      <c r="B1758" s="293" t="str">
        <f ca="1">IF(AND(OFFSET($AO$1,$L1743-1,8,1,1),$A1744&lt;&gt;"",$J1744&lt;&gt;""),CHOOSE($L1743,$AP$1,$AP$2,$AP$3,$AP$4,$AP$5,$AP$6,$AP$7,$AP$8,$AP$9,$AP$10,$AP$11,$AP$12),"")</f>
        <v/>
      </c>
      <c r="C1758" s="294"/>
      <c r="D1758" s="294"/>
      <c r="E1758" s="294"/>
      <c r="F1758" s="294"/>
      <c r="G1758" s="294"/>
      <c r="H1758" s="265"/>
      <c r="I1758" s="265"/>
      <c r="J1758" s="265"/>
      <c r="K1758" s="265"/>
      <c r="L1758" s="265"/>
      <c r="M1758" s="267" t="s">
        <v>1237</v>
      </c>
      <c r="N1758" s="268"/>
      <c r="O1758" s="268"/>
      <c r="P1758" s="269"/>
      <c r="Q1758" s="137" t="str">
        <f>IF($Q1756&lt;&gt;"",IF($Q1756="W","L","W"),"")</f>
        <v/>
      </c>
      <c r="R1758" s="20"/>
      <c r="S1758" s="20"/>
      <c r="T1758" s="20"/>
      <c r="U1758" s="20"/>
      <c r="V1758" s="20"/>
      <c r="W1758" s="20"/>
      <c r="X1758" s="26"/>
      <c r="Y1758" s="26"/>
      <c r="Z1758" s="20"/>
      <c r="AA1758" s="20"/>
      <c r="AB1758" s="20"/>
      <c r="AC1758" s="20"/>
      <c r="AD1758" s="20"/>
      <c r="AE1758" s="20"/>
      <c r="AF1758" s="27"/>
    </row>
    <row r="1759" spans="1:32" ht="12.75" customHeight="1">
      <c r="A1759" s="301"/>
      <c r="B1759" s="295"/>
      <c r="C1759" s="296"/>
      <c r="D1759" s="296"/>
      <c r="E1759" s="296"/>
      <c r="F1759" s="296"/>
      <c r="G1759" s="296"/>
      <c r="H1759" s="270"/>
      <c r="I1759" s="270"/>
      <c r="J1759" s="266"/>
      <c r="K1759" s="266"/>
      <c r="L1759" s="266"/>
      <c r="M1759" s="267"/>
      <c r="N1759" s="268"/>
      <c r="O1759" s="268"/>
      <c r="P1759" s="269"/>
      <c r="Q1759" s="139" t="str">
        <f>IF($Q1758&lt;&gt;"",IF($Q1758="W",IF(SUM(IF($H1758&gt;$H1756,1,0),IF($I1758&gt;$I1756,1,0),IF($J1758&gt;$J1756,1,0),IF($K1758&gt;$K1756,1,0),IF($L1758&gt;$L1756,1,0))&lt;&gt;3,"Error",""),""),"")</f>
        <v/>
      </c>
      <c r="R1759" s="20"/>
      <c r="S1759" s="20"/>
      <c r="T1759" s="20"/>
      <c r="U1759" s="20"/>
      <c r="V1759" s="20"/>
      <c r="W1759" s="20"/>
      <c r="X1759" s="26"/>
      <c r="Y1759" s="26"/>
      <c r="Z1759" s="20"/>
      <c r="AA1759" s="20"/>
      <c r="AB1759" s="20"/>
      <c r="AC1759" s="20"/>
      <c r="AD1759" s="20"/>
      <c r="AE1759" s="20"/>
      <c r="AF1759" s="27"/>
    </row>
    <row r="1760" spans="1:32" ht="12.75" customHeight="1">
      <c r="Q1760" s="7"/>
      <c r="R1760" s="20"/>
      <c r="S1760" s="20"/>
      <c r="T1760" s="20"/>
      <c r="U1760" s="20"/>
      <c r="V1760" s="20"/>
      <c r="W1760" s="20"/>
      <c r="X1760" s="26"/>
      <c r="Y1760" s="26"/>
      <c r="Z1760" s="20"/>
      <c r="AA1760" s="20"/>
      <c r="AB1760" s="20"/>
      <c r="AC1760" s="20"/>
      <c r="AD1760" s="20"/>
      <c r="AE1760" s="20"/>
      <c r="AF1760" s="27"/>
    </row>
    <row r="1761" spans="1:32" ht="12.75" customHeight="1">
      <c r="A1761" s="21" t="s">
        <v>1235</v>
      </c>
      <c r="H1761" s="136" t="str">
        <f>IF($Q1763&lt;&gt;"",IF(AND(AND($H1763&gt;-1,$H1765&gt;-1),OR($H1763&gt;10,$H1765&gt;10),ABS($H1763-$H1765)&gt;1,IF(OR($H1763&gt;11,$H1765&gt;11),ABS($H1763-$H1765)=2,TRUE),$H1763=INT($H1763),$H1765=INT($H1765)),"","Error"),"")</f>
        <v/>
      </c>
      <c r="I1761" s="136" t="str">
        <f>IF($Q1763&lt;&gt;"",IF(AND(AND($I1763&gt;-1,$I1765&gt;-1),OR($I1763&gt;10,$I1765&gt;10),ABS($I1763-$I1765)&gt;1,IF(OR($I1763&gt;11,$I1765&gt;11),ABS($I1763-$I1765)=2,TRUE),$I1763=INT($I1763),$I1765=INT($I1765)),"","Error"),"")</f>
        <v/>
      </c>
      <c r="J1761" s="136" t="str">
        <f>IF($Q1763&lt;&gt;"",IF(AND(AND($J1763&gt;-1,$J1765&gt;-1),OR($J1763&gt;10,$J1765&gt;10),ABS($J1763-$J1765)&gt;1,IF(OR($J1763&gt;11,$J1765&gt;11),ABS($J1763-$J1765)=2,TRUE),$J1763=INT($J1763),$J1765=INT($J1765)),"","Error"),"")</f>
        <v/>
      </c>
      <c r="K1761" s="136" t="str">
        <f>IF($Q1763&lt;&gt;"",IF(AND($K1763&lt;&gt;"",$K1765&lt;&gt;""), IF(AND(AND($K1763&gt;-1,$K1765&gt;-1),OR($K1763&gt;10,$K1765&gt;10),ABS($K1763-$K1765)&gt;1,IF(OR($K1763&gt;11,$K1765&gt;11),ABS($K1763-$K1765)=2,TRUE),$K1763=INT($K1763),$K1765=INT($K1765)),"","Error"),""),"")</f>
        <v/>
      </c>
      <c r="L1761" s="136" t="str">
        <f>IF($Q1763&lt;&gt;"",IF(AND($L1763&lt;&gt;"",$L1765&lt;&gt;""), IF(AND(AND($L1763&gt;-1,$L1765&gt;-1),OR($L1763&gt;10,$L1765&gt;10),ABS($L1763-$L1765)&gt;1,IF(OR($L1763&gt;11,$L1765&gt;11),ABS($L1763-$L1765)=2,TRUE),$L1763=INT($L1763),$L1765=INT($L1765)),"","Error"),""),"")</f>
        <v/>
      </c>
      <c r="Q1761" s="7"/>
      <c r="R1761" s="20"/>
      <c r="S1761" s="20"/>
      <c r="T1761" s="20"/>
      <c r="U1761" s="20"/>
      <c r="V1761" s="20"/>
      <c r="W1761" s="20"/>
      <c r="X1761" s="26"/>
      <c r="Y1761" s="26"/>
      <c r="Z1761" s="20"/>
      <c r="AA1761" s="20"/>
      <c r="AB1761" s="20"/>
      <c r="AC1761" s="20"/>
      <c r="AD1761" s="20"/>
      <c r="AE1761" s="20"/>
      <c r="AF1761" s="27"/>
    </row>
    <row r="1762" spans="1:32" ht="12.75" customHeight="1">
      <c r="A1762" s="5" t="s">
        <v>1228</v>
      </c>
      <c r="B1762" s="290" t="s">
        <v>1126</v>
      </c>
      <c r="C1762" s="291"/>
      <c r="D1762" s="291"/>
      <c r="E1762" s="291"/>
      <c r="F1762" s="291"/>
      <c r="G1762" s="292"/>
      <c r="H1762" s="5">
        <v>1</v>
      </c>
      <c r="I1762" s="5">
        <v>2</v>
      </c>
      <c r="J1762" s="5">
        <v>3</v>
      </c>
      <c r="K1762" s="5">
        <v>4</v>
      </c>
      <c r="L1762" s="5">
        <v>5</v>
      </c>
      <c r="M1762" s="271"/>
      <c r="N1762" s="272"/>
      <c r="O1762" s="272"/>
      <c r="P1762" s="273"/>
      <c r="Q1762" s="7"/>
      <c r="R1762" s="20"/>
      <c r="S1762" s="20"/>
      <c r="T1762" s="20"/>
      <c r="U1762" s="20"/>
      <c r="V1762" s="20"/>
      <c r="W1762" s="20"/>
      <c r="X1762" s="26"/>
      <c r="Y1762" s="26"/>
      <c r="Z1762" s="20"/>
      <c r="AA1762" s="20"/>
      <c r="AB1762" s="20"/>
      <c r="AC1762" s="20"/>
      <c r="AD1762" s="20"/>
      <c r="AE1762" s="20"/>
      <c r="AF1762" s="27"/>
    </row>
    <row r="1763" spans="1:32" ht="12.75" customHeight="1">
      <c r="A1763" s="300" t="str">
        <f>B1743</f>
        <v>C</v>
      </c>
      <c r="B1763" s="293" t="str">
        <f ca="1">IF(AND(OFFSET($AO$1,$C1743-1,8,1,1),$A1744&lt;&gt;"",$J1744&lt;&gt;""),CHOOSE($C1743,$AQ$1,$AQ$2,$AQ$3,$AQ$4,$AQ$5,$AQ$6,$AQ$7,$AQ$8,$AQ$9,$AQ$10,$AQ$11,$AQ$12),"")</f>
        <v/>
      </c>
      <c r="C1763" s="294"/>
      <c r="D1763" s="294"/>
      <c r="E1763" s="294"/>
      <c r="F1763" s="294"/>
      <c r="G1763" s="294"/>
      <c r="H1763" s="265"/>
      <c r="I1763" s="265"/>
      <c r="J1763" s="265"/>
      <c r="K1763" s="265"/>
      <c r="L1763" s="265"/>
      <c r="M1763" s="262" t="str">
        <f ca="1">IF(OR(AND($B1756&lt;&gt;"",$B1763&lt;&gt;"",$D1774&lt;=$C1774),AND($B1758&lt;&gt;"",$B1765&lt;&gt;"",$H1774&lt;=$G1774)),"Invalid Lineup","")</f>
        <v/>
      </c>
      <c r="N1763" s="263"/>
      <c r="O1763" s="263"/>
      <c r="P1763" s="264"/>
      <c r="Q1763" s="137" t="str">
        <f>IF($L1763=$L1765,IF($K1763=$K1765,IF($J1763&lt;&gt;"",IF($J1763&gt;$J1765,"W","L"),""),IF($K1763&gt;$K1765,"W","L")),IF($L1763&gt;$L1765,"W","L"))</f>
        <v/>
      </c>
      <c r="R1763" s="20"/>
      <c r="S1763" s="20"/>
      <c r="T1763" s="20"/>
      <c r="U1763" s="20"/>
      <c r="V1763" s="20"/>
      <c r="W1763" s="20"/>
      <c r="X1763" s="26"/>
      <c r="Y1763" s="26"/>
      <c r="Z1763" s="20"/>
      <c r="AA1763" s="20"/>
      <c r="AB1763" s="20"/>
      <c r="AC1763" s="20"/>
      <c r="AD1763" s="20"/>
      <c r="AE1763" s="20"/>
      <c r="AF1763" s="27"/>
    </row>
    <row r="1764" spans="1:32" ht="12.75" customHeight="1">
      <c r="A1764" s="301"/>
      <c r="B1764" s="295"/>
      <c r="C1764" s="296"/>
      <c r="D1764" s="296"/>
      <c r="E1764" s="296"/>
      <c r="F1764" s="296"/>
      <c r="G1764" s="296"/>
      <c r="H1764" s="270"/>
      <c r="I1764" s="270"/>
      <c r="J1764" s="270"/>
      <c r="K1764" s="270"/>
      <c r="L1764" s="270"/>
      <c r="M1764" s="262"/>
      <c r="N1764" s="263"/>
      <c r="O1764" s="263"/>
      <c r="P1764" s="264"/>
      <c r="Q1764" s="139" t="str">
        <f>IF($Q1763&lt;&gt;"",IF($Q1763="W",IF(SUM(IF($H1763&gt;$H1765,1,0),IF($I1763&gt;$I1765,1,0),IF($J1763&gt;$J1765,1,0),IF($K1763&gt;$K1765,1,0),IF($L1763&gt;$L1765,1,0))&lt;&gt;3,"Error",""),""),"")</f>
        <v/>
      </c>
      <c r="R1764" s="328" t="str">
        <f>$A1744</f>
        <v/>
      </c>
      <c r="S1764" s="328"/>
      <c r="T1764" s="328"/>
      <c r="U1764" s="328"/>
      <c r="V1764" s="328"/>
      <c r="W1764" s="328"/>
      <c r="X1764" s="256" t="str">
        <f>CONCATENATE("(",$B1743," vs ",$K1743,")")</f>
        <v>(C vs E)</v>
      </c>
      <c r="Y1764" s="256"/>
      <c r="Z1764" s="328" t="str">
        <f>$J1744</f>
        <v/>
      </c>
      <c r="AA1764" s="328"/>
      <c r="AB1764" s="328"/>
      <c r="AC1764" s="328"/>
      <c r="AD1764" s="328"/>
      <c r="AE1764" s="328"/>
      <c r="AF1764" s="100"/>
    </row>
    <row r="1765" spans="1:32" ht="12.75" customHeight="1">
      <c r="A1765" s="300" t="str">
        <f>K1743</f>
        <v>E</v>
      </c>
      <c r="B1765" s="293" t="str">
        <f ca="1">IF(AND(OFFSET($AO$1,$L1743-1,8,1,1),$A1744&lt;&gt;"",$J1744&lt;&gt;""),CHOOSE($L1743,$AQ$1,$AQ$2,$AQ$3,$AQ$4,$AQ$5,$AQ$6,$AQ$7,$AQ$8,$AQ$9,$AQ$10,$AQ$11,$AQ$12),"")</f>
        <v/>
      </c>
      <c r="C1765" s="294"/>
      <c r="D1765" s="294"/>
      <c r="E1765" s="294"/>
      <c r="F1765" s="294"/>
      <c r="G1765" s="294"/>
      <c r="H1765" s="265"/>
      <c r="I1765" s="265"/>
      <c r="J1765" s="265"/>
      <c r="K1765" s="265"/>
      <c r="L1765" s="265"/>
      <c r="M1765" s="267" t="s">
        <v>1237</v>
      </c>
      <c r="N1765" s="268"/>
      <c r="O1765" s="268"/>
      <c r="P1765" s="269"/>
      <c r="Q1765" s="137" t="str">
        <f>IF($Q1763&lt;&gt;"",IF($Q1763="W","L","W"),"")</f>
        <v/>
      </c>
      <c r="R1765" s="100"/>
      <c r="S1765" s="100"/>
      <c r="T1765" s="100"/>
      <c r="U1765" s="100"/>
      <c r="V1765" s="100"/>
      <c r="W1765" s="100"/>
      <c r="X1765" s="100"/>
      <c r="Y1765" s="100"/>
      <c r="Z1765" s="100"/>
      <c r="AA1765" s="100"/>
      <c r="AB1765" s="100"/>
      <c r="AC1765" s="100"/>
      <c r="AD1765" s="100"/>
      <c r="AE1765" s="100"/>
      <c r="AF1765" s="100"/>
    </row>
    <row r="1766" spans="1:32" ht="12.75" customHeight="1">
      <c r="A1766" s="301"/>
      <c r="B1766" s="295"/>
      <c r="C1766" s="296"/>
      <c r="D1766" s="296"/>
      <c r="E1766" s="296"/>
      <c r="F1766" s="296"/>
      <c r="G1766" s="296"/>
      <c r="H1766" s="270"/>
      <c r="I1766" s="270"/>
      <c r="J1766" s="266"/>
      <c r="K1766" s="266"/>
      <c r="L1766" s="266"/>
      <c r="M1766" s="267"/>
      <c r="N1766" s="268"/>
      <c r="O1766" s="268"/>
      <c r="P1766" s="269"/>
      <c r="Q1766" s="139" t="str">
        <f>IF($Q1765&lt;&gt;"",IF($Q1765="W",IF(SUM(IF($H1765&gt;$H1763,1,0),IF($I1765&gt;$I1763,1,0),IF($J1765&gt;$J1763,1,0),IF($K1765&gt;$K1763,1,0),IF($L1765&gt;$L1763,1,0))&lt;&gt;3,"Error",""),""),"")</f>
        <v/>
      </c>
      <c r="R1766" s="43" t="str">
        <f>$A1761</f>
        <v>3rd Singles</v>
      </c>
      <c r="S1766" s="43"/>
      <c r="T1766" s="43"/>
      <c r="U1766" s="43"/>
      <c r="V1766" s="43"/>
      <c r="W1766" s="43"/>
      <c r="X1766" s="43"/>
      <c r="Y1766" s="43"/>
      <c r="Z1766" s="43"/>
      <c r="AA1766" s="43"/>
      <c r="AB1766" s="43"/>
      <c r="AC1766" s="43"/>
      <c r="AD1766" s="43"/>
      <c r="AE1766" s="43"/>
      <c r="AF1766" s="43"/>
    </row>
    <row r="1767" spans="1:32" ht="12.75" customHeight="1">
      <c r="Q1767" s="7"/>
      <c r="R1767" s="60" t="s">
        <v>1228</v>
      </c>
      <c r="S1767" s="101" t="s">
        <v>1126</v>
      </c>
      <c r="T1767" s="102"/>
      <c r="U1767" s="102"/>
      <c r="V1767" s="102"/>
      <c r="W1767" s="102"/>
      <c r="X1767" s="103"/>
      <c r="Y1767" s="60">
        <v>1</v>
      </c>
      <c r="Z1767" s="60">
        <v>2</v>
      </c>
      <c r="AA1767" s="60">
        <v>3</v>
      </c>
      <c r="AB1767" s="60">
        <v>4</v>
      </c>
      <c r="AC1767" s="60">
        <v>5</v>
      </c>
      <c r="AD1767" s="104"/>
      <c r="AE1767" s="105"/>
      <c r="AF1767" s="106"/>
    </row>
    <row r="1768" spans="1:32" ht="12.75" customHeight="1">
      <c r="A1768" s="21" t="s">
        <v>1236</v>
      </c>
      <c r="H1768" s="136" t="str">
        <f ca="1">IF($Q1770&lt;&gt;"",IF(AND($B1770&lt;&gt;"Missing Player",$B1772&lt;&gt;"Missing Player"),IF(AND(AND($H1770&gt;-1,$H1772&gt;-1),OR($H1770&gt;10,$H1772&gt;10),ABS($H1770-$H1772)&gt;1,IF(OR($H1770&gt;11,$H1772&gt;11),ABS($H1770-$H1772)=2,TRUE),$H1770=INT($H1770),$H1772=INT($H1772)),"","Error"),""),"")</f>
        <v/>
      </c>
      <c r="I1768" s="136" t="str">
        <f ca="1">IF($Q1770&lt;&gt;"",IF(AND($B1770&lt;&gt;"Missing Player",$B1772&lt;&gt;"Missing Player"),IF(AND(AND($I1770&gt;-1,$I1772&gt;-1),OR($I1770&gt;10,$I1772&gt;10),ABS($I1770-$I1772)&gt;1,IF(OR($I1770&gt;11,$I1772&gt;11),ABS($I1770-$I1772)=2,TRUE),$I1770=INT($I1770),$I1772=INT($I1772)),"","Error"),""),"")</f>
        <v/>
      </c>
      <c r="J1768" s="136" t="str">
        <f ca="1">IF($Q1770&lt;&gt;"",IF(AND($B1770&lt;&gt;"Missing Player",$B1772&lt;&gt;"Missing Player"),IF(AND(AND($J1770&gt;-1,$J1772&gt;-1),OR($J1770&gt;10,$J1772&gt;10),ABS($J1770-$J1772)&gt;1,IF(OR($J1770&gt;11,$J1772&gt;11),ABS($J1770-$J1772)=2,TRUE),$J1770=INT($J1770),$J1772=INT($J1772)),"","Error"),""),"")</f>
        <v/>
      </c>
      <c r="K1768" s="136" t="str">
        <f ca="1">IF($Q1770&lt;&gt;"",IF(AND($K1770&lt;&gt;"",$K1772&lt;&gt;""), IF(AND(AND($K1770&gt;-1,$K1772&gt;-1),OR($K1770&gt;10,$K1772&gt;10),ABS($K1770-$K1772)&gt;1,IF(OR($K1770&gt;11,$K1772&gt;11),ABS($K1770-$K1772)=2,TRUE),$K1770=INT($K1770),$K1772=INT($K1772)),"","Error"),""),"")</f>
        <v/>
      </c>
      <c r="L1768" s="136" t="str">
        <f ca="1">IF($Q1770&lt;&gt;"",IF(AND($L1770&lt;&gt;"",$L1772&lt;&gt;""), IF(AND(AND($L1770&gt;-1,$L1772&gt;-1),OR($L1770&gt;10,$L1772&gt;10),ABS($L1770-$L1772)&gt;1,IF(OR($L1770&gt;11,$L1772&gt;11),ABS($L1770-$L1772)=2,TRUE),$L1770=INT($L1770),$L1772=INT($L1772)),"","Error"),""),"")</f>
        <v/>
      </c>
      <c r="Q1768" s="7"/>
      <c r="R1768" s="300" t="str">
        <f>$B1743</f>
        <v>C</v>
      </c>
      <c r="S1768" s="331" t="str">
        <f ca="1">IF($B1763&lt;&gt;"",$B1763,"")</f>
        <v/>
      </c>
      <c r="T1768" s="332"/>
      <c r="U1768" s="332"/>
      <c r="V1768" s="332"/>
      <c r="W1768" s="332"/>
      <c r="X1768" s="333"/>
      <c r="Y1768" s="329"/>
      <c r="Z1768" s="329"/>
      <c r="AA1768" s="329"/>
      <c r="AB1768" s="329"/>
      <c r="AC1768" s="329"/>
      <c r="AD1768" s="345"/>
      <c r="AE1768" s="358"/>
      <c r="AF1768" s="359"/>
    </row>
    <row r="1769" spans="1:32" ht="12.75" customHeight="1">
      <c r="A1769" s="5" t="s">
        <v>1228</v>
      </c>
      <c r="B1769" s="290" t="s">
        <v>1126</v>
      </c>
      <c r="C1769" s="291"/>
      <c r="D1769" s="291"/>
      <c r="E1769" s="291"/>
      <c r="F1769" s="291"/>
      <c r="G1769" s="292"/>
      <c r="H1769" s="5">
        <v>1</v>
      </c>
      <c r="I1769" s="5">
        <v>2</v>
      </c>
      <c r="J1769" s="5">
        <v>3</v>
      </c>
      <c r="K1769" s="5">
        <v>4</v>
      </c>
      <c r="L1769" s="5">
        <v>5</v>
      </c>
      <c r="M1769" s="271"/>
      <c r="N1769" s="272"/>
      <c r="O1769" s="272"/>
      <c r="P1769" s="273"/>
      <c r="Q1769" s="7"/>
      <c r="R1769" s="330"/>
      <c r="S1769" s="334"/>
      <c r="T1769" s="335"/>
      <c r="U1769" s="335"/>
      <c r="V1769" s="335"/>
      <c r="W1769" s="335"/>
      <c r="X1769" s="336"/>
      <c r="Y1769" s="330"/>
      <c r="Z1769" s="330"/>
      <c r="AA1769" s="330"/>
      <c r="AB1769" s="330"/>
      <c r="AC1769" s="330"/>
      <c r="AD1769" s="360"/>
      <c r="AE1769" s="361"/>
      <c r="AF1769" s="362"/>
    </row>
    <row r="1770" spans="1:32" ht="12.75" customHeight="1">
      <c r="A1770" s="300" t="str">
        <f>B1743</f>
        <v>C</v>
      </c>
      <c r="B1770" s="293" t="str">
        <f ca="1">IF(AND(OFFSET($AO$1,$C1743-1,8,1,1),$A1744&lt;&gt;"",$J1744&lt;&gt;""),CHOOSE($C1743,$AR$1,$AR$2,$AR$3,$AR$4,$AR$5,$AR$6,$AR$7,$AR$8,$AR$9,$AR$10,$AR$11,$AR$12),"")</f>
        <v/>
      </c>
      <c r="C1770" s="294"/>
      <c r="D1770" s="294"/>
      <c r="E1770" s="294"/>
      <c r="F1770" s="294"/>
      <c r="G1770" s="294"/>
      <c r="H1770" s="265"/>
      <c r="I1770" s="265"/>
      <c r="J1770" s="265"/>
      <c r="K1770" s="265"/>
      <c r="L1770" s="265" t="str">
        <f ca="1">IF(AND($B1770&lt;&gt;"",$Q1749&lt;&gt;""),IF($B1770="Missing Player",0,IF($B1772="Missing Player",11,"")),"")</f>
        <v/>
      </c>
      <c r="M1770" s="262" t="str">
        <f ca="1">IF(OR(AND($B1763&lt;&gt;"",$B1770&lt;&gt;"",$E1774&lt;=$D1774),AND($B1765&lt;&gt;"",$B1772&lt;&gt;"",$I1774&lt;=$H1774)),"Invalid Lineup","")</f>
        <v/>
      </c>
      <c r="N1770" s="263"/>
      <c r="O1770" s="263"/>
      <c r="P1770" s="264"/>
      <c r="Q1770" s="137" t="str">
        <f ca="1">IF($L1770=$L1772,IF($K1770=$K1772,IF($J1770&lt;&gt;"",IF($J1770&gt;$J1772,"W","L"),""),IF($K1770&gt;$K1772,"W","L")),IF($L1770&gt;$L1772,"W","L"))</f>
        <v/>
      </c>
      <c r="R1770" s="300" t="str">
        <f>$K1743</f>
        <v>E</v>
      </c>
      <c r="S1770" s="331" t="str">
        <f ca="1">IF($B1765&lt;&gt;"",$B1765,"")</f>
        <v/>
      </c>
      <c r="T1770" s="332"/>
      <c r="U1770" s="332"/>
      <c r="V1770" s="332"/>
      <c r="W1770" s="332"/>
      <c r="X1770" s="333"/>
      <c r="Y1770" s="329"/>
      <c r="Z1770" s="329"/>
      <c r="AA1770" s="329"/>
      <c r="AB1770" s="329"/>
      <c r="AC1770" s="351"/>
      <c r="AD1770" s="363" t="s">
        <v>1237</v>
      </c>
      <c r="AE1770" s="358"/>
      <c r="AF1770" s="359"/>
    </row>
    <row r="1771" spans="1:32" ht="12.75" customHeight="1">
      <c r="A1771" s="301"/>
      <c r="B1771" s="295"/>
      <c r="C1771" s="296"/>
      <c r="D1771" s="296"/>
      <c r="E1771" s="296"/>
      <c r="F1771" s="296"/>
      <c r="G1771" s="296"/>
      <c r="H1771" s="270"/>
      <c r="I1771" s="270"/>
      <c r="J1771" s="270"/>
      <c r="K1771" s="270"/>
      <c r="L1771" s="270"/>
      <c r="M1771" s="262"/>
      <c r="N1771" s="263"/>
      <c r="O1771" s="263"/>
      <c r="P1771" s="264"/>
      <c r="Q1771" s="139" t="str">
        <f ca="1">IF($Q1770&lt;&gt;"",IF($B1772&lt;&gt;"Missing Player",IF($Q1770="W",IF(SUM(IF($H1770&gt;$H1772,1,0),IF($I1770&gt;$I1772,1,0),IF($J1770&gt;$J1772,1,0),IF($K1770&gt;$K1772,1,0),IF($L1770&gt;$L1772,1,0))&lt;&gt;3,"Error",""),""),""),"")</f>
        <v/>
      </c>
      <c r="R1771" s="330"/>
      <c r="S1771" s="334"/>
      <c r="T1771" s="335"/>
      <c r="U1771" s="335"/>
      <c r="V1771" s="335"/>
      <c r="W1771" s="335"/>
      <c r="X1771" s="336"/>
      <c r="Y1771" s="330"/>
      <c r="Z1771" s="330"/>
      <c r="AA1771" s="330"/>
      <c r="AB1771" s="330"/>
      <c r="AC1771" s="330"/>
      <c r="AD1771" s="360"/>
      <c r="AE1771" s="361"/>
      <c r="AF1771" s="362"/>
    </row>
    <row r="1772" spans="1:32" ht="12.75" customHeight="1">
      <c r="A1772" s="300" t="str">
        <f>K1743</f>
        <v>E</v>
      </c>
      <c r="B1772" s="293" t="str">
        <f ca="1">IF(AND(OFFSET($AO$1,$L1743-1,8,1,1),$A1744&lt;&gt;"",$J1744&lt;&gt;""),CHOOSE($L1743,$AR$1,$AR$2,$AR$3,$AR$4,$AR$5,$AR$6,$AR$7,$AR$8,$AR$9,$AR$10,$AR$11,$AR$12),"")</f>
        <v/>
      </c>
      <c r="C1772" s="294"/>
      <c r="D1772" s="294"/>
      <c r="E1772" s="294"/>
      <c r="F1772" s="294"/>
      <c r="G1772" s="294"/>
      <c r="H1772" s="265"/>
      <c r="I1772" s="265"/>
      <c r="J1772" s="265"/>
      <c r="K1772" s="265"/>
      <c r="L1772" s="265" t="str">
        <f ca="1">IF(AND($B1772&lt;&gt;"",$Q1749&lt;&gt;""),IF($B1772="Missing Player",0,IF($B1770="Missing Player",11,"")),"")</f>
        <v/>
      </c>
      <c r="M1772" s="267" t="s">
        <v>1237</v>
      </c>
      <c r="N1772" s="268"/>
      <c r="O1772" s="268"/>
      <c r="P1772" s="269"/>
      <c r="Q1772" s="137" t="str">
        <f ca="1">IF($Q1770&lt;&gt;"",IF($Q1770="W","L","W"),"")</f>
        <v/>
      </c>
      <c r="R1772" s="112"/>
      <c r="S1772" s="98"/>
      <c r="T1772" s="108"/>
      <c r="U1772" s="108"/>
      <c r="V1772" s="108"/>
      <c r="W1772" s="108"/>
      <c r="X1772" s="108"/>
      <c r="Y1772" s="113"/>
      <c r="Z1772" s="113"/>
      <c r="AA1772" s="113"/>
      <c r="AB1772" s="113"/>
      <c r="AC1772" s="113"/>
      <c r="AD1772" s="107"/>
      <c r="AE1772" s="109"/>
      <c r="AF1772" s="109"/>
    </row>
    <row r="1773" spans="1:32" ht="12.75" customHeight="1">
      <c r="A1773" s="301"/>
      <c r="B1773" s="295"/>
      <c r="C1773" s="296"/>
      <c r="D1773" s="296"/>
      <c r="E1773" s="296"/>
      <c r="F1773" s="296"/>
      <c r="G1773" s="296"/>
      <c r="H1773" s="270"/>
      <c r="I1773" s="270"/>
      <c r="J1773" s="266"/>
      <c r="K1773" s="266"/>
      <c r="L1773" s="266"/>
      <c r="M1773" s="267"/>
      <c r="N1773" s="268"/>
      <c r="O1773" s="268"/>
      <c r="P1773" s="269"/>
      <c r="Q1773" s="139" t="str">
        <f ca="1">IF($Q1772&lt;&gt;"",IF($B1770&lt;&gt;"Missing Player",IF($Q1772="W",IF(SUM(IF($H1772&gt;$H1770,1,0),IF($I1772&gt;$I1770,1,0),IF($J1772&gt;$J1770,1,0),IF($K1772&gt;$K1770,1,0),IF($L1772&gt;$L1770,1,0))&lt;&gt;3,"Error",""),""),""),"")</f>
        <v/>
      </c>
      <c r="R1773" s="114"/>
      <c r="S1773" s="115"/>
      <c r="T1773" s="115"/>
      <c r="U1773" s="115"/>
      <c r="V1773" s="115"/>
      <c r="W1773" s="115"/>
      <c r="X1773" s="115"/>
      <c r="Y1773" s="114"/>
      <c r="Z1773" s="114"/>
      <c r="AA1773" s="114"/>
      <c r="AB1773" s="114"/>
      <c r="AC1773" s="114"/>
      <c r="AD1773" s="114"/>
      <c r="AE1773" s="114"/>
      <c r="AF1773" s="114"/>
    </row>
    <row r="1774" spans="1:32" ht="12.75" customHeight="1">
      <c r="B1774" s="140" t="str">
        <f ca="1">IF(ISERROR(VLOOKUP($B1749&amp;"("&amp;$B1743&amp;")",Players!$S$4:$T$132,2,FALSE)),"",VLOOKUP($B1749&amp;"("&amp;$B1743&amp;")",Players!$S$4:$T$132,2,FALSE))</f>
        <v>C1</v>
      </c>
      <c r="C1774" s="140" t="str">
        <f ca="1">IF(ISERROR(VLOOKUP($B1756&amp;"("&amp;$B1743&amp;")",Players!$S$4:$T$132,2,FALSE)),"",VLOOKUP($B1756&amp;"("&amp;$B1743&amp;")",Players!$S$4:$T$132,2,FALSE))</f>
        <v>C1</v>
      </c>
      <c r="D1774" s="141" t="str">
        <f ca="1">IF(ISERROR(VLOOKUP($B1763&amp;"("&amp;$B1743&amp;")",Players!$S$4:$T$132,2,FALSE)),"",VLOOKUP($B1763&amp;"("&amp;$B1743&amp;")",Players!$S$4:$T$132,2,FALSE))</f>
        <v>C1</v>
      </c>
      <c r="E1774" s="141" t="str">
        <f ca="1">IF(ISERROR(VLOOKUP($B1770&amp;"("&amp;$B1743&amp;")",Players!$S$4:$T$132,2,FALSE)),"",VLOOKUP($B1770&amp;"("&amp;$B1743&amp;")",Players!$S$4:$T$132,2,FALSE))</f>
        <v>C1</v>
      </c>
      <c r="F1774" s="141" t="str">
        <f ca="1">IF(ISERROR(VLOOKUP($B1751&amp;"("&amp;$K1743&amp;")",Players!$S$4:$T$132,2,FALSE)),"",VLOOKUP($B1751&amp;"("&amp;$K1743&amp;")",Players!$S$4:$T$132,2,FALSE))</f>
        <v>E1</v>
      </c>
      <c r="G1774" s="141" t="str">
        <f ca="1">IF(ISERROR(VLOOKUP($B1758&amp;"("&amp;$K1743&amp;")",Players!$S$4:$T$132,2,FALSE)),"",VLOOKUP($B1758&amp;"("&amp;$K1743&amp;")",Players!$S$4:$T$132,2,FALSE))</f>
        <v>E1</v>
      </c>
      <c r="H1774" s="141" t="str">
        <f ca="1">IF(ISERROR(VLOOKUP($B1765&amp;"("&amp;$K1743&amp;")",Players!$S$4:$T$132,2,FALSE)),"",VLOOKUP($B1765&amp;"("&amp;$K1743&amp;")",Players!$S$4:$T$132,2,FALSE))</f>
        <v>E1</v>
      </c>
      <c r="I1774" s="141" t="str">
        <f ca="1">IF(ISERROR(VLOOKUP($B1772&amp;"("&amp;$K1743&amp;")",Players!$S$4:$T$132,2,FALSE)),"",VLOOKUP($B1772&amp;"("&amp;$K1743&amp;")",Players!$S$4:$T$132,2,FALSE))</f>
        <v>E1</v>
      </c>
      <c r="Q1774" s="7"/>
      <c r="R1774" s="50"/>
      <c r="S1774" s="116"/>
      <c r="T1774" s="115"/>
      <c r="U1774" s="115"/>
      <c r="V1774" s="115"/>
      <c r="W1774" s="115"/>
      <c r="X1774" s="115"/>
      <c r="Y1774" s="99"/>
      <c r="Z1774" s="99"/>
      <c r="AA1774" s="99"/>
      <c r="AB1774" s="99"/>
      <c r="AC1774" s="117"/>
      <c r="AD1774" s="118"/>
      <c r="AE1774" s="114"/>
      <c r="AF1774" s="114"/>
    </row>
    <row r="1775" spans="1:32" ht="12.75" customHeight="1">
      <c r="A1775" s="21" t="s">
        <v>1225</v>
      </c>
      <c r="H1775" s="136" t="str">
        <f ca="1">IF($Q1777&lt;&gt;"",IF(AND($B1778&lt;&gt;"Missing Player",$B1780&lt;&gt;"Missing Player"),IF(AND(AND($H1777&gt;-1,$H1779&gt;-1),OR($H1777&gt;10,$H1779&gt;10),ABS($H1777-$H1779)&gt;1,IF(OR($H1777&gt;11,$H1779&gt;11),ABS($H1777-$H1779)=2,TRUE),$H1777=INT($H1777),$H1779=INT($H1779)),"","Error"),""),"")</f>
        <v/>
      </c>
      <c r="I1775" s="136" t="str">
        <f ca="1">IF($Q1777&lt;&gt;"",IF(AND($B1778&lt;&gt;"Missing Player",$B1780&lt;&gt;"Missing Player"),IF(AND(AND($I1777&gt;-1,$I1779&gt;-1),OR($I1777&gt;10,$I1779&gt;10),ABS($I1777-$I1779)&gt;1,IF(OR($I1777&gt;11,$I1779&gt;11),ABS($I1777-$I1779)=2,TRUE),$I1777=INT($I1777),$I1779=INT($I1779)),"","Error"),""),"")</f>
        <v/>
      </c>
      <c r="J1775" s="136" t="str">
        <f ca="1">IF($Q1777&lt;&gt;"",IF(AND($B1778&lt;&gt;"Missing Player",$B1780&lt;&gt;"Missing Player"),IF(AND(AND($J1777&gt;-1,$J1779&gt;-1),OR($J1777&gt;10,$J1779&gt;10),ABS($J1777-$J1779)&gt;1,IF(OR($J1777&gt;11,$J1779&gt;11),ABS($J1777-$J1779)=2,TRUE),$J1777=INT($J1777),$J1779=INT($J1779)),"","Error"),""),"")</f>
        <v/>
      </c>
      <c r="K1775" s="136" t="str">
        <f ca="1">IF($Q1777&lt;&gt;"",IF(AND($K1777&lt;&gt;"",$K1779&lt;&gt;""), IF(AND(AND($K1777&gt;-1,$K1779&gt;-1),OR($K1777&gt;10,$K1779&gt;10),ABS($K1777-$K1779)&gt;1,IF(OR($K1777&gt;11,$K1779&gt;11),ABS($K1777-$K1779)=2,TRUE),$K1777=INT($K1777),$K1779=INT($K1779)),"","Error"),""),"")</f>
        <v/>
      </c>
      <c r="L1775" s="136" t="str">
        <f ca="1">IF($Q1777&lt;&gt;"",IF(AND($L1777&lt;&gt;"",$L1779&lt;&gt;""), IF(AND(AND($L1777&gt;-1,$L1779&gt;-1),OR($L1777&gt;10,$L1779&gt;10),ABS($L1777-$L1779)&gt;1,IF(OR($L1777&gt;11,$L1779&gt;11),ABS($L1777-$L1779)=2,TRUE),$L1777=INT($L1777),$L1779=INT($L1779)),"","Error"),""),"")</f>
        <v/>
      </c>
      <c r="Q1775" s="7"/>
      <c r="R1775" s="114"/>
      <c r="S1775" s="115"/>
      <c r="T1775" s="115"/>
      <c r="U1775" s="115"/>
      <c r="V1775" s="115"/>
      <c r="W1775" s="115"/>
      <c r="X1775" s="115"/>
      <c r="Y1775" s="114"/>
      <c r="Z1775" s="114"/>
      <c r="AA1775" s="114"/>
      <c r="AB1775" s="114"/>
      <c r="AC1775" s="114"/>
      <c r="AD1775" s="114"/>
      <c r="AE1775" s="114"/>
      <c r="AF1775" s="114"/>
    </row>
    <row r="1776" spans="1:32" ht="12.75" customHeight="1">
      <c r="A1776" s="5" t="s">
        <v>1228</v>
      </c>
      <c r="B1776" s="290" t="s">
        <v>1126</v>
      </c>
      <c r="C1776" s="291"/>
      <c r="D1776" s="291"/>
      <c r="E1776" s="291"/>
      <c r="F1776" s="291"/>
      <c r="G1776" s="292"/>
      <c r="H1776" s="5">
        <v>1</v>
      </c>
      <c r="I1776" s="5">
        <v>2</v>
      </c>
      <c r="J1776" s="5">
        <v>3</v>
      </c>
      <c r="K1776" s="5">
        <v>4</v>
      </c>
      <c r="L1776" s="5">
        <v>5</v>
      </c>
      <c r="M1776" s="271"/>
      <c r="N1776" s="272"/>
      <c r="O1776" s="272"/>
      <c r="P1776" s="273"/>
      <c r="Q1776" s="8"/>
      <c r="S1776" s="24"/>
      <c r="T1776" s="26"/>
    </row>
    <row r="1777" spans="1:32" ht="12.75" customHeight="1">
      <c r="A1777" s="300" t="str">
        <f>B1743</f>
        <v>C</v>
      </c>
      <c r="B1777" s="311" t="str">
        <f ca="1">IF($B1749&lt;&gt;"",$B1749,"")</f>
        <v/>
      </c>
      <c r="C1777" s="312"/>
      <c r="D1777" s="312"/>
      <c r="E1777" s="312"/>
      <c r="F1777" s="312"/>
      <c r="G1777" s="313"/>
      <c r="H1777" s="265"/>
      <c r="I1777" s="265"/>
      <c r="J1777" s="265"/>
      <c r="K1777" s="265"/>
      <c r="L1777" s="265" t="str">
        <f ca="1">IF($B1770&lt;&gt;"",IF(AND($B1770="Missing Player",$G1781=2,$J1781=2),0,IF(AND($B1772="Missing Player",$G1781=2,$J1781=2),11,"")),"")</f>
        <v/>
      </c>
      <c r="M1777" s="262" t="str">
        <f ca="1">IF(OR(AND($B1777&lt;&gt;"",$B1778&lt;&gt;"",$B1777=$B1778),AND($B1779&lt;&gt;"",$B1780&lt;&gt;"",$B1779=$B1780)),"Invalid Partner","")</f>
        <v/>
      </c>
      <c r="N1777" s="263"/>
      <c r="O1777" s="263"/>
      <c r="P1777" s="264"/>
      <c r="Q1777" s="138" t="str">
        <f ca="1">IF(L1777=L1779,IF(K1777=K1779,IF(J1777&lt;&gt;"",IF(J1777&gt;J1779,"W","L"),""),IF(K1777&gt;K1779,"W","L")),IF(L1777&gt;L1779,"W","L"))</f>
        <v/>
      </c>
      <c r="S1777" s="24"/>
      <c r="T1777" s="26"/>
    </row>
    <row r="1778" spans="1:32" ht="12.75" customHeight="1">
      <c r="A1778" s="324"/>
      <c r="B1778" s="308" t="str">
        <f ca="1">IF($B1770="Missing Player",$B1770,"")</f>
        <v/>
      </c>
      <c r="C1778" s="309"/>
      <c r="D1778" s="309"/>
      <c r="E1778" s="309"/>
      <c r="F1778" s="309"/>
      <c r="G1778" s="310"/>
      <c r="H1778" s="270"/>
      <c r="I1778" s="270"/>
      <c r="J1778" s="270"/>
      <c r="K1778" s="270"/>
      <c r="L1778" s="270"/>
      <c r="M1778" s="262"/>
      <c r="N1778" s="263"/>
      <c r="O1778" s="263"/>
      <c r="P1778" s="264"/>
      <c r="Q1778" s="139" t="str">
        <f ca="1">IF($Q1777&lt;&gt;"",IF($B1780&lt;&gt;"Missing Player",IF($Q1777="W",IF(SUM(IF($H1777&gt;$H1779,1,0),IF($I1777&gt;$I1779,1,0),IF($J1777&gt;$J1779,1,0),IF($K1777&gt;$K1779,1,0),IF($L1777&gt;$L1779,1,0))&lt;&gt;3,"Error",""),""),""),"")</f>
        <v/>
      </c>
      <c r="R1778" s="328" t="str">
        <f>$A1744</f>
        <v/>
      </c>
      <c r="S1778" s="328"/>
      <c r="T1778" s="328"/>
      <c r="U1778" s="328"/>
      <c r="V1778" s="328"/>
      <c r="W1778" s="328"/>
      <c r="X1778" s="256" t="str">
        <f>CONCATENATE("(",$B1743," vs ",$K1743,")")</f>
        <v>(C vs E)</v>
      </c>
      <c r="Y1778" s="256"/>
      <c r="Z1778" s="328" t="str">
        <f>$J1744</f>
        <v/>
      </c>
      <c r="AA1778" s="328"/>
      <c r="AB1778" s="328"/>
      <c r="AC1778" s="328"/>
      <c r="AD1778" s="328"/>
      <c r="AE1778" s="328"/>
      <c r="AF1778" s="43"/>
    </row>
    <row r="1779" spans="1:32" ht="12.75" customHeight="1">
      <c r="A1779" s="325" t="str">
        <f>K1743</f>
        <v>E</v>
      </c>
      <c r="B1779" s="311" t="str">
        <f ca="1">IF($B1751&lt;&gt;"",$B1751,"")</f>
        <v/>
      </c>
      <c r="C1779" s="312"/>
      <c r="D1779" s="312"/>
      <c r="E1779" s="312"/>
      <c r="F1779" s="312"/>
      <c r="G1779" s="313"/>
      <c r="H1779" s="265"/>
      <c r="I1779" s="265"/>
      <c r="J1779" s="265"/>
      <c r="K1779" s="265"/>
      <c r="L1779" s="265" t="str">
        <f ca="1">IF($B1772&lt;&gt;"",IF(AND($B1772="Missing Player",$G1781=2,$J1781=2),0,IF(AND($B1770="Missing Player",$G1781=2,$J1781=2),11,"")),"")</f>
        <v/>
      </c>
      <c r="M1779" s="267" t="s">
        <v>1237</v>
      </c>
      <c r="N1779" s="268"/>
      <c r="O1779" s="268"/>
      <c r="P1779" s="269"/>
      <c r="Q1779" s="138" t="str">
        <f ca="1">IF(Q1777&lt;&gt;"",IF(Q1777="W","L","W"),"")</f>
        <v/>
      </c>
      <c r="R1779" s="43"/>
      <c r="S1779" s="43"/>
      <c r="T1779" s="43"/>
      <c r="U1779" s="43"/>
      <c r="V1779" s="43"/>
      <c r="W1779" s="43"/>
      <c r="X1779" s="43"/>
      <c r="Y1779" s="43"/>
      <c r="Z1779" s="43"/>
      <c r="AA1779" s="43"/>
      <c r="AB1779" s="43"/>
      <c r="AC1779" s="43"/>
      <c r="AD1779" s="43"/>
      <c r="AE1779" s="43"/>
      <c r="AF1779" s="43"/>
    </row>
    <row r="1780" spans="1:32" ht="12.75" customHeight="1">
      <c r="A1780" s="324"/>
      <c r="B1780" s="308" t="str">
        <f ca="1">IF($B1772="Missing Player",$B1772,"")</f>
        <v/>
      </c>
      <c r="C1780" s="309"/>
      <c r="D1780" s="309"/>
      <c r="E1780" s="309"/>
      <c r="F1780" s="309"/>
      <c r="G1780" s="310"/>
      <c r="H1780" s="270"/>
      <c r="I1780" s="270"/>
      <c r="J1780" s="266"/>
      <c r="K1780" s="266"/>
      <c r="L1780" s="266"/>
      <c r="M1780" s="267"/>
      <c r="N1780" s="268"/>
      <c r="O1780" s="268"/>
      <c r="P1780" s="269"/>
      <c r="Q1780" s="139" t="str">
        <f ca="1">IF($Q1779&lt;&gt;"",IF($B1778&lt;&gt;"Missing Player",IF($Q1779="W",IF(SUM(IF($H1779&gt;$H1777,1,0),IF($I1779&gt;$I1777,1,0),IF($J1779&gt;$J1777,1,0),IF($K1779&gt;$K1777,1,0),IF($L1779&gt;$L1777,1,0))&lt;&gt;3,"Error",""),""),""),"")</f>
        <v/>
      </c>
      <c r="R1780" s="43" t="str">
        <f>A1768</f>
        <v>4th Singles</v>
      </c>
      <c r="S1780" s="43"/>
      <c r="T1780" s="43"/>
      <c r="U1780" s="43"/>
      <c r="V1780" s="43"/>
      <c r="W1780" s="43"/>
      <c r="X1780" s="43"/>
      <c r="Y1780" s="43"/>
      <c r="Z1780" s="43"/>
      <c r="AA1780" s="43"/>
      <c r="AB1780" s="43"/>
      <c r="AC1780" s="43"/>
      <c r="AD1780" s="43"/>
      <c r="AE1780" s="43"/>
      <c r="AF1780" s="43"/>
    </row>
    <row r="1781" spans="1:32" ht="12.75" customHeight="1">
      <c r="G1781" s="66">
        <f ca="1">COUNTIF($Q1749:$Q1749,"W")+COUNTIF($Q1756:$Q1756,"W")+COUNTIF($Q1763:$Q1763,"W")+COUNTIF($Q1770:$Q1770,"W")</f>
        <v>0</v>
      </c>
      <c r="J1781" s="66">
        <f ca="1">COUNTIF($Q1751:$Q1751,"W")+COUNTIF($Q1758:$Q1758,"W")+COUNTIF($Q1765:$Q1765,"W")+COUNTIF($Q1772:$Q1772,"W")</f>
        <v>0</v>
      </c>
      <c r="R1781" s="60" t="s">
        <v>1228</v>
      </c>
      <c r="S1781" s="339" t="s">
        <v>1126</v>
      </c>
      <c r="T1781" s="340"/>
      <c r="U1781" s="340"/>
      <c r="V1781" s="340"/>
      <c r="W1781" s="340"/>
      <c r="X1781" s="341"/>
      <c r="Y1781" s="60">
        <v>1</v>
      </c>
      <c r="Z1781" s="60">
        <v>2</v>
      </c>
      <c r="AA1781" s="60">
        <v>3</v>
      </c>
      <c r="AB1781" s="60">
        <v>4</v>
      </c>
      <c r="AC1781" s="60">
        <v>5</v>
      </c>
      <c r="AD1781" s="342"/>
      <c r="AE1781" s="343"/>
      <c r="AF1781" s="344"/>
    </row>
    <row r="1782" spans="1:32" ht="12.75" customHeight="1" thickBot="1">
      <c r="F1782" s="246" t="s">
        <v>1238</v>
      </c>
      <c r="G1782" s="246"/>
      <c r="H1782" s="246"/>
      <c r="I1782" s="246"/>
      <c r="J1782" s="246"/>
      <c r="K1782" s="246"/>
      <c r="R1782" s="300" t="str">
        <f>B1743</f>
        <v>C</v>
      </c>
      <c r="S1782" s="331" t="str">
        <f ca="1">IF($B1770&lt;&gt;"",$B1770,"")</f>
        <v/>
      </c>
      <c r="T1782" s="353"/>
      <c r="U1782" s="353"/>
      <c r="V1782" s="353"/>
      <c r="W1782" s="353"/>
      <c r="X1782" s="354"/>
      <c r="Y1782" s="329"/>
      <c r="Z1782" s="329"/>
      <c r="AA1782" s="351"/>
      <c r="AB1782" s="351"/>
      <c r="AC1782" s="351"/>
      <c r="AD1782" s="345"/>
      <c r="AE1782" s="346"/>
      <c r="AF1782" s="347"/>
    </row>
    <row r="1783" spans="1:32" ht="12.75" customHeight="1">
      <c r="A1783" s="22"/>
      <c r="B1783" s="22"/>
      <c r="C1783" s="22"/>
      <c r="D1783" s="22"/>
      <c r="E1783" s="22"/>
      <c r="G1783" s="304" t="str">
        <f>B1743</f>
        <v>C</v>
      </c>
      <c r="H1783" s="305"/>
      <c r="I1783" s="302" t="str">
        <f>K1743</f>
        <v>E</v>
      </c>
      <c r="J1783" s="303"/>
      <c r="L1783" s="22"/>
      <c r="M1783" s="22"/>
      <c r="N1783" s="22"/>
      <c r="O1783" s="22"/>
      <c r="P1783" s="22"/>
      <c r="R1783" s="301"/>
      <c r="S1783" s="355"/>
      <c r="T1783" s="356"/>
      <c r="U1783" s="356"/>
      <c r="V1783" s="356"/>
      <c r="W1783" s="356"/>
      <c r="X1783" s="357"/>
      <c r="Y1783" s="338"/>
      <c r="Z1783" s="338"/>
      <c r="AA1783" s="352"/>
      <c r="AB1783" s="352"/>
      <c r="AC1783" s="352"/>
      <c r="AD1783" s="348"/>
      <c r="AE1783" s="349"/>
      <c r="AF1783" s="350"/>
    </row>
    <row r="1784" spans="1:32" ht="12.75" customHeight="1" thickBot="1">
      <c r="A1784" s="2" t="s">
        <v>1228</v>
      </c>
      <c r="B1784" s="53" t="str">
        <f>B1743</f>
        <v>C</v>
      </c>
      <c r="C1784" s="3" t="s">
        <v>1226</v>
      </c>
      <c r="F1784" s="66" t="str">
        <f>CONCATENATE($B1743,"-",$K1743)</f>
        <v>C-E</v>
      </c>
      <c r="G1784" s="320" t="str">
        <f ca="1">IF(OR(Q1749&lt;&gt;"",Q1756&lt;&gt;"",Q1763&lt;&gt;"",Q1770&lt;&gt;"",Q1777&lt;&gt;""),COUNTIF(Q1749:Q1749,"W")+COUNTIF(Q1756:Q1756,"W")+COUNTIF(Q1763:Q1763,"W")+COUNTIF(Q1770:Q1770,"W")+COUNTIF(Q1777:Q1777,"W"),"")</f>
        <v/>
      </c>
      <c r="H1784" s="321"/>
      <c r="I1784" s="322" t="str">
        <f ca="1">IF(OR(Q1751&lt;&gt;"",Q1758&lt;&gt;"",Q1765&lt;&gt;"",Q1772&lt;&gt;"",Q1779&lt;&gt;""),COUNTIF(Q1751:Q1751,"W")+COUNTIF(Q1758:Q1758,"W")+COUNTIF(Q1765:Q1765,"W")+COUNTIF(Q1772:Q1772,"W")+COUNTIF(Q1779:Q1779,"W"),"")</f>
        <v/>
      </c>
      <c r="J1784" s="323"/>
      <c r="L1784" s="2" t="s">
        <v>1228</v>
      </c>
      <c r="M1784" s="53" t="str">
        <f>K1743</f>
        <v>E</v>
      </c>
      <c r="N1784" s="3" t="s">
        <v>1226</v>
      </c>
      <c r="R1784" s="300" t="str">
        <f>K1743</f>
        <v>E</v>
      </c>
      <c r="S1784" s="331" t="str">
        <f ca="1">IF($B1772&lt;&gt;"",$B1772,"")</f>
        <v/>
      </c>
      <c r="T1784" s="332"/>
      <c r="U1784" s="332"/>
      <c r="V1784" s="332"/>
      <c r="W1784" s="332"/>
      <c r="X1784" s="333"/>
      <c r="Y1784" s="329"/>
      <c r="Z1784" s="329"/>
      <c r="AA1784" s="351"/>
      <c r="AB1784" s="351"/>
      <c r="AC1784" s="351"/>
      <c r="AD1784" s="363" t="s">
        <v>1237</v>
      </c>
      <c r="AE1784" s="358"/>
      <c r="AF1784" s="359"/>
    </row>
    <row r="1785" spans="1:32" ht="12.75" customHeight="1">
      <c r="F1785" s="25" t="s">
        <v>3996</v>
      </c>
      <c r="G1785" s="23"/>
      <c r="H1785" s="23"/>
      <c r="I1785" s="23"/>
      <c r="J1785" s="23"/>
      <c r="K1785" s="24"/>
      <c r="R1785" s="330"/>
      <c r="S1785" s="334"/>
      <c r="T1785" s="335"/>
      <c r="U1785" s="335"/>
      <c r="V1785" s="335"/>
      <c r="W1785" s="335"/>
      <c r="X1785" s="336"/>
      <c r="Y1785" s="330"/>
      <c r="Z1785" s="330"/>
      <c r="AA1785" s="330"/>
      <c r="AB1785" s="330"/>
      <c r="AC1785" s="330"/>
      <c r="AD1785" s="360"/>
      <c r="AE1785" s="361"/>
      <c r="AF1785" s="362"/>
    </row>
    <row r="1786" spans="1:32" ht="12.75" customHeight="1">
      <c r="R1786" s="1"/>
      <c r="S1786" s="110"/>
      <c r="T1786" s="110"/>
      <c r="U1786" s="110"/>
      <c r="V1786" s="110"/>
      <c r="W1786" s="110"/>
      <c r="X1786" s="111"/>
      <c r="Y1786" s="111"/>
      <c r="Z1786" s="111"/>
      <c r="AA1786" s="111"/>
    </row>
    <row r="1787" spans="1:32" ht="12.75" customHeight="1">
      <c r="F1787" s="246" t="s">
        <v>4929</v>
      </c>
      <c r="G1787" s="246"/>
      <c r="H1787" s="246"/>
      <c r="I1787" s="246"/>
      <c r="R1787" s="1"/>
      <c r="S1787" s="110"/>
      <c r="T1787" s="110"/>
      <c r="U1787" s="110"/>
      <c r="V1787" s="110"/>
      <c r="W1787" s="110"/>
      <c r="X1787" s="111"/>
      <c r="Y1787" s="111"/>
      <c r="Z1787" s="111"/>
      <c r="AA1787" s="111"/>
    </row>
    <row r="1788" spans="1:32" ht="12.75" customHeight="1">
      <c r="F1788" s="246" t="s">
        <v>4930</v>
      </c>
      <c r="G1788" s="246"/>
      <c r="H1788" s="246"/>
      <c r="I1788" s="246"/>
      <c r="R1788" s="1"/>
      <c r="S1788" s="110"/>
      <c r="T1788" s="110"/>
      <c r="U1788" s="110"/>
      <c r="V1788" s="110"/>
      <c r="W1788" s="110"/>
      <c r="X1788" s="111"/>
      <c r="Y1788" s="111"/>
      <c r="Z1788" s="111"/>
      <c r="AA1788" s="111"/>
    </row>
    <row r="1789" spans="1:32" ht="12.75" customHeight="1">
      <c r="K1789" s="281" t="s">
        <v>1244</v>
      </c>
      <c r="L1789" s="281"/>
      <c r="M1789" s="281"/>
      <c r="N1789" s="281"/>
      <c r="O1789" s="281"/>
      <c r="P1789" s="281"/>
      <c r="R1789" s="1"/>
      <c r="S1789" s="110"/>
      <c r="T1789" s="110"/>
      <c r="U1789" s="110"/>
      <c r="V1789" s="110"/>
      <c r="W1789" s="110"/>
      <c r="X1789" s="111"/>
      <c r="Y1789" s="111"/>
      <c r="Z1789" s="111"/>
      <c r="AA1789" s="111"/>
    </row>
    <row r="1790" spans="1:32" ht="12.75" customHeight="1">
      <c r="A1790" s="12" t="s">
        <v>1229</v>
      </c>
      <c r="B1790" s="11"/>
      <c r="C1790" s="11"/>
      <c r="D1790" s="11" t="str">
        <f>Draw!$B$1</f>
        <v>Enter Division Name</v>
      </c>
      <c r="E1790" s="11"/>
      <c r="F1790" s="7"/>
      <c r="G1790" s="6"/>
      <c r="H1790" s="7"/>
      <c r="I1790" s="11"/>
      <c r="J1790" s="11"/>
      <c r="K1790" s="11"/>
      <c r="L1790" s="11"/>
      <c r="M1790" s="281"/>
      <c r="N1790" s="281"/>
      <c r="O1790" s="281"/>
      <c r="P1790" s="281"/>
      <c r="R1790" s="1"/>
      <c r="S1790" s="110"/>
      <c r="T1790" s="110"/>
      <c r="U1790" s="110"/>
      <c r="V1790" s="110"/>
      <c r="W1790" s="110"/>
      <c r="X1790" s="111"/>
      <c r="Y1790" s="111"/>
      <c r="Z1790" s="111"/>
      <c r="AA1790" s="111"/>
    </row>
    <row r="1791" spans="1:32" ht="12.75" customHeight="1">
      <c r="A1791" s="2" t="s">
        <v>1230</v>
      </c>
      <c r="D1791" s="43" t="str">
        <f>Draw!$D$1</f>
        <v>Enter Hosting Location (City, ST)</v>
      </c>
      <c r="J1791" s="43" t="str">
        <f ca="1">$J$6</f>
        <v>[NCTTA Teams Template (v2.06).xlsx]</v>
      </c>
      <c r="R1791" s="1"/>
      <c r="S1791" s="110"/>
      <c r="T1791" s="110"/>
      <c r="U1791" s="110"/>
      <c r="V1791" s="110"/>
      <c r="W1791" s="110"/>
      <c r="X1791" s="111"/>
      <c r="Y1791" s="111"/>
      <c r="Z1791" s="111"/>
      <c r="AA1791" s="111"/>
    </row>
    <row r="1792" spans="1:32" ht="12.75" customHeight="1">
      <c r="A1792" s="2" t="s">
        <v>1231</v>
      </c>
      <c r="D1792" s="337" t="str">
        <f>Draw!$P$1</f>
        <v>Enter Date</v>
      </c>
      <c r="E1792" s="337"/>
      <c r="F1792" s="337"/>
      <c r="G1792" s="337"/>
      <c r="J1792" s="280" t="str">
        <f>CHOOSE(Draw!$T$1,"Round 6, Match 6","","","","","","","","Round 9, Match 4","Round 8, Match 1","Round 8, Match 1")</f>
        <v/>
      </c>
      <c r="K1792" s="280"/>
      <c r="L1792" s="280"/>
      <c r="M1792" s="276" t="str">
        <f>IF(AND($J1792&lt;&gt;"",Draw!$AC$10&lt;&gt;"",Draw!$AC$13&lt;&gt;""),Draw!$AC$10+TIME(0,VALUE(MID($J1792,7,FIND(",",$J1792)-FIND(" ",$J1792)-1)-1)*Draw!$AC$13,0),"")</f>
        <v/>
      </c>
      <c r="N1792" s="276"/>
      <c r="O1792" s="157" t="str">
        <f>$F1835</f>
        <v>C-F</v>
      </c>
      <c r="R1792" s="1"/>
      <c r="S1792" s="110"/>
      <c r="T1792" s="110"/>
      <c r="U1792" s="110"/>
      <c r="V1792" s="110"/>
      <c r="W1792" s="110"/>
      <c r="X1792" s="111"/>
      <c r="Y1792" s="111"/>
      <c r="Z1792" s="111"/>
      <c r="AA1792" s="111"/>
    </row>
    <row r="1793" spans="1:32" ht="12.75" customHeight="1">
      <c r="A1793" s="14"/>
      <c r="B1793" s="15"/>
      <c r="C1793" s="15"/>
      <c r="D1793" s="15"/>
      <c r="E1793" s="15"/>
      <c r="F1793" s="14"/>
      <c r="G1793" s="14"/>
      <c r="H1793" s="16"/>
      <c r="I1793" s="14"/>
      <c r="J1793" s="15"/>
      <c r="K1793" s="15"/>
      <c r="L1793" s="15"/>
      <c r="M1793" s="15"/>
      <c r="N1793" s="15"/>
      <c r="O1793" s="364" t="str">
        <f>IF(OR(AND(VLOOKUP($B1794,$AM$1:$AX$12,12,FALSE)="C",VLOOKUP($K1794,$AM$1:$AX$12,12,FALSE)="C"),AND(VLOOKUP($B1794,$AM$1:$AX$12,12,FALSE)="W",VLOOKUP($K1794,$AM$1:$AX$12,12,FALSE)="W")),"Official",IF(AND($A1795="",$J1795=""),"","Scrimmage"))</f>
        <v/>
      </c>
      <c r="P1793" s="364"/>
      <c r="R1793" s="1"/>
      <c r="S1793" s="110"/>
      <c r="T1793" s="110"/>
      <c r="U1793" s="110"/>
      <c r="V1793" s="110"/>
      <c r="W1793" s="110"/>
      <c r="X1793" s="111"/>
      <c r="Y1793" s="111"/>
      <c r="Z1793" s="111"/>
      <c r="AA1793" s="111"/>
    </row>
    <row r="1794" spans="1:32" ht="12.75" customHeight="1">
      <c r="A1794" s="17" t="s">
        <v>1228</v>
      </c>
      <c r="B1794" s="119" t="str">
        <f>CHOOSE(Draw!$T$1,"B","A","C","C","D","D","C","B","B","A","A")</f>
        <v>C</v>
      </c>
      <c r="C1794" s="135">
        <f>VLOOKUP($B1794,$AM$1:$AN$12,2)</f>
        <v>3</v>
      </c>
      <c r="D1794" s="13"/>
      <c r="E1794" s="13"/>
      <c r="F1794" s="10"/>
      <c r="H1794" s="19" t="s">
        <v>1232</v>
      </c>
      <c r="J1794" s="17" t="s">
        <v>1228</v>
      </c>
      <c r="K1794" s="119" t="str">
        <f>CHOOSE(Draw!$T$1,"L","L","F","I","J","I","L","L","C","B","E")</f>
        <v>F</v>
      </c>
      <c r="L1794" s="135">
        <f>VLOOKUP($K1794,$AM$1:$AN$12,2)</f>
        <v>6</v>
      </c>
      <c r="M1794" s="13"/>
      <c r="N1794" s="13"/>
      <c r="O1794" s="18"/>
      <c r="P1794" s="274"/>
      <c r="Q1794" s="275"/>
      <c r="R1794" s="1"/>
      <c r="S1794" s="110"/>
      <c r="T1794" s="110"/>
      <c r="U1794" s="110"/>
      <c r="V1794" s="110"/>
      <c r="W1794" s="110"/>
      <c r="X1794" s="111"/>
      <c r="Y1794" s="111"/>
      <c r="Z1794" s="111"/>
      <c r="AA1794" s="111"/>
    </row>
    <row r="1795" spans="1:32" ht="12.75" customHeight="1">
      <c r="A1795" s="277" t="str">
        <f>IF(VLOOKUP($B1794,Draw!$A$4:$B$27,2)&lt;&gt;0,VLOOKUP($B1794,Draw!$A$4:$B$27,2),"")</f>
        <v/>
      </c>
      <c r="B1795" s="278"/>
      <c r="C1795" s="278"/>
      <c r="D1795" s="278"/>
      <c r="E1795" s="278"/>
      <c r="F1795" s="279"/>
      <c r="G1795" s="306" t="s">
        <v>4187</v>
      </c>
      <c r="H1795" s="289"/>
      <c r="I1795" s="307"/>
      <c r="J1795" s="277" t="str">
        <f>IF(VLOOKUP($K1794,Draw!$A$4:$B$27,2)&lt;&gt;0,VLOOKUP($K1794,Draw!$A$4:$B$27,2),"")</f>
        <v/>
      </c>
      <c r="K1795" s="278"/>
      <c r="L1795" s="278"/>
      <c r="M1795" s="278"/>
      <c r="N1795" s="278"/>
      <c r="O1795" s="279"/>
      <c r="P1795" s="15"/>
      <c r="R1795" s="1"/>
      <c r="S1795" s="110"/>
      <c r="T1795" s="110"/>
      <c r="U1795" s="110"/>
      <c r="V1795" s="110"/>
      <c r="W1795" s="110"/>
      <c r="X1795" s="111"/>
      <c r="Y1795" s="111"/>
      <c r="Z1795" s="111"/>
      <c r="AA1795" s="111"/>
    </row>
    <row r="1796" spans="1:32" ht="12.75" customHeight="1">
      <c r="A1796" s="14"/>
      <c r="B1796" s="15"/>
      <c r="C1796" s="15"/>
      <c r="D1796" s="15"/>
      <c r="E1796" s="15"/>
      <c r="F1796" s="14"/>
      <c r="G1796" s="288" t="str">
        <f>"Page "&amp;VALUE(RIGHT($G1795,LEN($G1795)-SEARCH("-",$G1795)))/2</f>
        <v>Page 36</v>
      </c>
      <c r="H1796" s="289"/>
      <c r="I1796" s="289"/>
      <c r="J1796" s="15"/>
      <c r="K1796" s="15"/>
      <c r="L1796" s="15"/>
      <c r="M1796" s="15"/>
      <c r="N1796" s="15"/>
      <c r="O1796" s="15"/>
      <c r="P1796" s="15"/>
      <c r="R1796" s="1"/>
      <c r="S1796" s="110"/>
      <c r="T1796" s="110"/>
      <c r="U1796" s="110"/>
      <c r="V1796" s="110"/>
      <c r="W1796" s="110"/>
      <c r="X1796" s="111"/>
      <c r="Y1796" s="111"/>
      <c r="Z1796" s="111"/>
      <c r="AA1796" s="111"/>
      <c r="AF1796" s="27"/>
    </row>
    <row r="1797" spans="1:32" ht="12.75" customHeight="1">
      <c r="A1797" s="327" t="s">
        <v>1245</v>
      </c>
      <c r="B1797" s="327"/>
      <c r="C1797" s="327"/>
      <c r="D1797" s="327"/>
      <c r="E1797" s="327"/>
      <c r="F1797" s="327"/>
      <c r="G1797" s="327"/>
      <c r="H1797" s="327"/>
      <c r="I1797" s="327"/>
      <c r="J1797" s="327"/>
      <c r="K1797" s="327"/>
      <c r="L1797" s="327"/>
      <c r="M1797" s="327"/>
      <c r="N1797" s="327"/>
      <c r="O1797" s="327"/>
      <c r="P1797" s="327"/>
      <c r="Q1797" s="7"/>
      <c r="R1797" s="1"/>
      <c r="S1797" s="110"/>
      <c r="T1797" s="110"/>
      <c r="U1797" s="110"/>
      <c r="V1797" s="110"/>
      <c r="W1797" s="110"/>
      <c r="X1797" s="111"/>
      <c r="Y1797" s="111"/>
      <c r="Z1797" s="111"/>
      <c r="AA1797" s="111"/>
      <c r="AF1797" s="20"/>
    </row>
    <row r="1798" spans="1:32" ht="12.75" customHeight="1">
      <c r="A1798" s="21" t="s">
        <v>1233</v>
      </c>
      <c r="H1798" s="136" t="str">
        <f>IF($Q1800&lt;&gt;"",IF(AND(AND($H1800&gt;-1,$H1802&gt;-1),OR($H1800&gt;10,$H1802&gt;10),ABS($H1800-$H1802)&gt;1,IF(OR($H1800&gt;11,$H1802&gt;11),ABS($H1800-$H1802)=2,TRUE),$H1800=INT($H1800),$H1802=INT($H1802)),"","Error"),"")</f>
        <v/>
      </c>
      <c r="I1798" s="136" t="str">
        <f>IF($Q1800&lt;&gt;"",IF(AND(AND($I1800&gt;-1,$I1802&gt;-1),OR($I1800&gt;10,$I1802&gt;10),ABS($I1800-$I1802)&gt;1,IF(OR($I1800&gt;11,$I1802&gt;11),ABS($I1800-$I1802)=2,TRUE),$I1800=INT($I1800),$I1802=INT($I1802)),"","Error"),"")</f>
        <v/>
      </c>
      <c r="J1798" s="136" t="str">
        <f>IF($Q1800&lt;&gt;"",IF(AND(AND($J1800&gt;-1,$J1802&gt;-1),OR($J1800&gt;10,$J1802&gt;10),ABS($J1800-$J1802)&gt;1,IF(OR($J1800&gt;11,$J1802&gt;11),ABS($J1800-$J1802)=2,TRUE),$J1800=INT($J1800),$J1802=INT($J1802)),"","Error"),"")</f>
        <v/>
      </c>
      <c r="K1798" s="136" t="str">
        <f>IF($Q1800&lt;&gt;"",IF(AND($K1800&lt;&gt;"",$K1802&lt;&gt;""), IF(AND(AND($K1800&gt;-1,$K1802&gt;-1),OR($K1800&gt;10,$K1802&gt;10),ABS($K1800-$K1802)&gt;1,IF(OR($K1800&gt;11,$K1802&gt;11),ABS($K1800-$K1802)=2,TRUE),$K1800=INT($K1800),$K1802=INT($K1802)),"","Error"),""),"")</f>
        <v/>
      </c>
      <c r="L1798" s="136" t="str">
        <f>IF($Q1800&lt;&gt;"",IF(AND($L1800&lt;&gt;"",$L1802&lt;&gt;""), IF(AND(AND($L1800&gt;-1,$L1802&gt;-1),OR($L1800&gt;10,$L1802&gt;10),ABS($L1800-$L1802)&gt;1,IF(OR($L1800&gt;11,$L1802&gt;11),ABS($L1800-$L1802)=2,TRUE),$L1800=INT($L1800),$L1802=INT($L1802)),"","Error"),""),"")</f>
        <v/>
      </c>
      <c r="R1798" s="1"/>
      <c r="S1798" s="110"/>
      <c r="T1798" s="110"/>
      <c r="U1798" s="110"/>
      <c r="V1798" s="110"/>
      <c r="W1798" s="110"/>
      <c r="X1798" s="111"/>
      <c r="Y1798" s="111"/>
      <c r="Z1798" s="111"/>
      <c r="AA1798" s="111"/>
    </row>
    <row r="1799" spans="1:32" ht="12.75" customHeight="1">
      <c r="A1799" s="5" t="s">
        <v>1228</v>
      </c>
      <c r="B1799" s="290" t="s">
        <v>1126</v>
      </c>
      <c r="C1799" s="291"/>
      <c r="D1799" s="291"/>
      <c r="E1799" s="291"/>
      <c r="F1799" s="291"/>
      <c r="G1799" s="292"/>
      <c r="H1799" s="5">
        <v>1</v>
      </c>
      <c r="I1799" s="5">
        <v>2</v>
      </c>
      <c r="J1799" s="5">
        <v>3</v>
      </c>
      <c r="K1799" s="5">
        <v>4</v>
      </c>
      <c r="L1799" s="5">
        <v>5</v>
      </c>
      <c r="M1799" s="271"/>
      <c r="N1799" s="272"/>
      <c r="O1799" s="272"/>
      <c r="P1799" s="273"/>
      <c r="R1799" s="1"/>
      <c r="S1799" s="110"/>
      <c r="T1799" s="110"/>
      <c r="U1799" s="110"/>
      <c r="V1799" s="110"/>
      <c r="W1799" s="110"/>
      <c r="X1799" s="111"/>
      <c r="Y1799" s="111"/>
      <c r="Z1799" s="111"/>
      <c r="AA1799" s="111"/>
    </row>
    <row r="1800" spans="1:32" ht="12.75" customHeight="1">
      <c r="A1800" s="300" t="str">
        <f>B1794</f>
        <v>C</v>
      </c>
      <c r="B1800" s="293" t="str">
        <f ca="1">IF(AND(OFFSET($AO$1,$C1794-1,8,1,1),$A1795&lt;&gt;"",$J1795&lt;&gt;""),CHOOSE($C1794,$AO$1,$AO$2,$AO$3,$AO$4,$AO$5,$AO$6,$AO$7,$AO$8,$AO$9,$AO$10,$AO$11,$AO$12),"")</f>
        <v/>
      </c>
      <c r="C1800" s="294"/>
      <c r="D1800" s="294"/>
      <c r="E1800" s="294"/>
      <c r="F1800" s="294"/>
      <c r="G1800" s="294"/>
      <c r="H1800" s="265"/>
      <c r="I1800" s="265"/>
      <c r="J1800" s="265"/>
      <c r="K1800" s="265"/>
      <c r="L1800" s="265"/>
      <c r="M1800" s="297"/>
      <c r="N1800" s="298"/>
      <c r="O1800" s="298"/>
      <c r="P1800" s="299"/>
      <c r="Q1800" s="137" t="str">
        <f>IF($L1800=$L1802,IF($K1800=$K1802,IF($J1800&lt;&gt;"",IF($J1800&gt;$J1802,"W","L"),""),IF($K1800&gt;$K1802,"W","L")),IF($L1800&gt;$L1802,"W","L"))</f>
        <v/>
      </c>
      <c r="R1800" s="1"/>
      <c r="S1800" s="110"/>
      <c r="T1800" s="110"/>
      <c r="U1800" s="110"/>
      <c r="V1800" s="110"/>
      <c r="W1800" s="110"/>
      <c r="X1800" s="111"/>
      <c r="Y1800" s="111"/>
      <c r="Z1800" s="111"/>
      <c r="AA1800" s="111"/>
    </row>
    <row r="1801" spans="1:32" ht="12.75" customHeight="1">
      <c r="A1801" s="301"/>
      <c r="B1801" s="295"/>
      <c r="C1801" s="296"/>
      <c r="D1801" s="296"/>
      <c r="E1801" s="296"/>
      <c r="F1801" s="296"/>
      <c r="G1801" s="296"/>
      <c r="H1801" s="270"/>
      <c r="I1801" s="270"/>
      <c r="J1801" s="270"/>
      <c r="K1801" s="270"/>
      <c r="L1801" s="270"/>
      <c r="M1801" s="297"/>
      <c r="N1801" s="298"/>
      <c r="O1801" s="298"/>
      <c r="P1801" s="299"/>
      <c r="Q1801" s="139" t="str">
        <f>IF($Q1800&lt;&gt;"",IF($Q1800="W",IF(SUM(IF($H1800&gt;$H1802,1,0),IF($I1800&gt;$I1802,1,0),IF($J1800&gt;$J1802,1,0),IF($K1800&gt;$K1802,1,0),IF($L1800&gt;$L1802,1,0))&lt;&gt;3,"Error",""),""),"")</f>
        <v/>
      </c>
      <c r="R1801" s="328" t="str">
        <f>$A1795</f>
        <v/>
      </c>
      <c r="S1801" s="328"/>
      <c r="T1801" s="328"/>
      <c r="U1801" s="328"/>
      <c r="V1801" s="328"/>
      <c r="W1801" s="328"/>
      <c r="X1801" s="256" t="str">
        <f>CONCATENATE("(",$B1794," vs ",$K1794,")")</f>
        <v>(C vs F)</v>
      </c>
      <c r="Y1801" s="256"/>
      <c r="Z1801" s="328" t="str">
        <f>$J1795</f>
        <v/>
      </c>
      <c r="AA1801" s="328"/>
      <c r="AB1801" s="328"/>
      <c r="AC1801" s="328"/>
      <c r="AD1801" s="328"/>
      <c r="AE1801" s="328"/>
      <c r="AF1801" s="43"/>
    </row>
    <row r="1802" spans="1:32" ht="12.75" customHeight="1">
      <c r="A1802" s="300" t="str">
        <f>K1794</f>
        <v>F</v>
      </c>
      <c r="B1802" s="293" t="str">
        <f ca="1">IF(AND(OFFSET($AO$1,$L1794-1,8,1,1),$A1795&lt;&gt;"",$J1795&lt;&gt;""),CHOOSE($L1794,$AO$1,$AO$2,$AO$3,$AO$4,$AO$5,$AO$6,$AO$7,$AO$8,$AO$9,$AO$10,$AO$11,$AO$12),"")</f>
        <v/>
      </c>
      <c r="C1802" s="294"/>
      <c r="D1802" s="294"/>
      <c r="E1802" s="294"/>
      <c r="F1802" s="294"/>
      <c r="G1802" s="294"/>
      <c r="H1802" s="265"/>
      <c r="I1802" s="265"/>
      <c r="J1802" s="265"/>
      <c r="K1802" s="265"/>
      <c r="L1802" s="265"/>
      <c r="M1802" s="267" t="s">
        <v>1237</v>
      </c>
      <c r="N1802" s="268"/>
      <c r="O1802" s="268"/>
      <c r="P1802" s="269"/>
      <c r="Q1802" s="137" t="str">
        <f>IF($Q1800&lt;&gt;"",IF($Q1800="W","L","W"),"")</f>
        <v/>
      </c>
      <c r="R1802" s="43"/>
      <c r="S1802" s="43"/>
      <c r="T1802" s="43"/>
      <c r="U1802" s="43"/>
      <c r="V1802" s="43"/>
      <c r="W1802" s="43"/>
      <c r="X1802" s="43"/>
      <c r="Y1802" s="43"/>
      <c r="Z1802" s="43"/>
      <c r="AA1802" s="43"/>
      <c r="AB1802" s="43"/>
      <c r="AC1802" s="43"/>
      <c r="AD1802" s="43"/>
      <c r="AE1802" s="43"/>
      <c r="AF1802" s="43"/>
    </row>
    <row r="1803" spans="1:32" ht="12.75" customHeight="1">
      <c r="A1803" s="301"/>
      <c r="B1803" s="295"/>
      <c r="C1803" s="296"/>
      <c r="D1803" s="296"/>
      <c r="E1803" s="296"/>
      <c r="F1803" s="296"/>
      <c r="G1803" s="296"/>
      <c r="H1803" s="270"/>
      <c r="I1803" s="270"/>
      <c r="J1803" s="266"/>
      <c r="K1803" s="266"/>
      <c r="L1803" s="266"/>
      <c r="M1803" s="267"/>
      <c r="N1803" s="268"/>
      <c r="O1803" s="268"/>
      <c r="P1803" s="269"/>
      <c r="Q1803" s="139" t="str">
        <f>IF($Q1802&lt;&gt;"",IF($Q1802="W",IF(SUM(IF($H1802&gt;$H1800,1,0),IF($I1802&gt;$I1800,1,0),IF($J1802&gt;$J1800,1,0),IF($K1802&gt;$K1800,1,0),IF($L1802&gt;$L1800,1,0))&lt;&gt;3,"Error",""),""),"")</f>
        <v/>
      </c>
      <c r="R1803" s="43" t="str">
        <f>$A1805</f>
        <v>2nd Singles</v>
      </c>
      <c r="S1803" s="43"/>
      <c r="T1803" s="43"/>
      <c r="U1803" s="43"/>
      <c r="V1803" s="43"/>
      <c r="W1803" s="43"/>
      <c r="X1803" s="43"/>
      <c r="Y1803" s="43"/>
      <c r="Z1803" s="43"/>
      <c r="AA1803" s="43"/>
      <c r="AB1803" s="43"/>
      <c r="AC1803" s="43"/>
      <c r="AD1803" s="43"/>
      <c r="AE1803" s="43"/>
      <c r="AF1803" s="43"/>
    </row>
    <row r="1804" spans="1:32" ht="12.75" customHeight="1">
      <c r="Q1804" s="7"/>
      <c r="R1804" s="60" t="s">
        <v>1228</v>
      </c>
      <c r="S1804" s="339" t="s">
        <v>1126</v>
      </c>
      <c r="T1804" s="340"/>
      <c r="U1804" s="340"/>
      <c r="V1804" s="340"/>
      <c r="W1804" s="340"/>
      <c r="X1804" s="341"/>
      <c r="Y1804" s="60">
        <v>1</v>
      </c>
      <c r="Z1804" s="60">
        <v>2</v>
      </c>
      <c r="AA1804" s="60">
        <v>3</v>
      </c>
      <c r="AB1804" s="60">
        <v>4</v>
      </c>
      <c r="AC1804" s="60">
        <v>5</v>
      </c>
      <c r="AD1804" s="342"/>
      <c r="AE1804" s="343"/>
      <c r="AF1804" s="344"/>
    </row>
    <row r="1805" spans="1:32" ht="12.75" customHeight="1">
      <c r="A1805" s="21" t="s">
        <v>1234</v>
      </c>
      <c r="H1805" s="136" t="str">
        <f>IF($Q1807&lt;&gt;"",IF(AND(AND($H1807&gt;-1,$H1809&gt;-1),OR($H1807&gt;10,$H1809&gt;10),ABS($H1807-$H1809)&gt;1,IF(OR($H1807&gt;11,$H1809&gt;11),ABS($H1807-$H1809)=2,TRUE),$H1807=INT($H1807),$H1809=INT($H1809)),"","Error"),"")</f>
        <v/>
      </c>
      <c r="I1805" s="136" t="str">
        <f>IF($Q1807&lt;&gt;"",IF(AND(AND($I1807&gt;-1,$I1809&gt;-1),OR($I1807&gt;10,$I1809&gt;10),ABS($I1807-$I1809)&gt;1,IF(OR($I1807&gt;11,$I1809&gt;11),ABS($I1807-$I1809)=2,TRUE),$I1807=INT($I1807),$I1809=INT($I1809)),"","Error"),"")</f>
        <v/>
      </c>
      <c r="J1805" s="136" t="str">
        <f>IF($Q1807&lt;&gt;"",IF(AND(AND($J1807&gt;-1,$J1809&gt;-1),OR($J1807&gt;10,$J1809&gt;10),ABS($J1807-$J1809)&gt;1,IF(OR($J1807&gt;11,$J1809&gt;11),ABS($J1807-$J1809)=2,TRUE),$J1807=INT($J1807),$J1809=INT($J1809)),"","Error"),"")</f>
        <v/>
      </c>
      <c r="K1805" s="136" t="str">
        <f>IF($Q1807&lt;&gt;"",IF(AND($K1807&lt;&gt;"",$K1809&lt;&gt;""), IF(AND(AND($K1807&gt;-1,$K1809&gt;-1),OR($K1807&gt;10,$K1809&gt;10),ABS($K1807-$K1809)&gt;1,IF(OR($K1807&gt;11,$K1809&gt;11),ABS($K1807-$K1809)=2,TRUE),$K1807=INT($K1807),$K1809=INT($K1809)),"","Error"),""),"")</f>
        <v/>
      </c>
      <c r="L1805" s="136" t="str">
        <f>IF($Q1807&lt;&gt;"",IF(AND($L1807&lt;&gt;"",$L1809&lt;&gt;""), IF(AND(AND($L1807&gt;-1,$L1809&gt;-1),OR($L1807&gt;10,$L1809&gt;10),ABS($L1807-$L1809)&gt;1,IF(OR($L1807&gt;11,$L1809&gt;11),ABS($L1807-$L1809)=2,TRUE),$L1807=INT($L1807),$L1809=INT($L1809)),"","Error"),""),"")</f>
        <v/>
      </c>
      <c r="Q1805" s="7"/>
      <c r="R1805" s="300" t="str">
        <f>$B1794</f>
        <v>C</v>
      </c>
      <c r="S1805" s="331" t="str">
        <f ca="1">IF($B1807&lt;&gt;"",$B1807,"")</f>
        <v/>
      </c>
      <c r="T1805" s="332"/>
      <c r="U1805" s="332"/>
      <c r="V1805" s="332"/>
      <c r="W1805" s="332"/>
      <c r="X1805" s="333"/>
      <c r="Y1805" s="329"/>
      <c r="Z1805" s="329"/>
      <c r="AA1805" s="329"/>
      <c r="AB1805" s="329"/>
      <c r="AC1805" s="329"/>
      <c r="AD1805" s="345"/>
      <c r="AE1805" s="358"/>
      <c r="AF1805" s="359"/>
    </row>
    <row r="1806" spans="1:32" ht="12.75" customHeight="1">
      <c r="A1806" s="5" t="s">
        <v>1228</v>
      </c>
      <c r="B1806" s="290" t="s">
        <v>1126</v>
      </c>
      <c r="C1806" s="291"/>
      <c r="D1806" s="291"/>
      <c r="E1806" s="291"/>
      <c r="F1806" s="291"/>
      <c r="G1806" s="292"/>
      <c r="H1806" s="5">
        <v>1</v>
      </c>
      <c r="I1806" s="5">
        <v>2</v>
      </c>
      <c r="J1806" s="5">
        <v>3</v>
      </c>
      <c r="K1806" s="5">
        <v>4</v>
      </c>
      <c r="L1806" s="5">
        <v>5</v>
      </c>
      <c r="M1806" s="271"/>
      <c r="N1806" s="272"/>
      <c r="O1806" s="272"/>
      <c r="P1806" s="273"/>
      <c r="Q1806" s="7"/>
      <c r="R1806" s="330"/>
      <c r="S1806" s="334"/>
      <c r="T1806" s="335"/>
      <c r="U1806" s="335"/>
      <c r="V1806" s="335"/>
      <c r="W1806" s="335"/>
      <c r="X1806" s="336"/>
      <c r="Y1806" s="330"/>
      <c r="Z1806" s="330"/>
      <c r="AA1806" s="330"/>
      <c r="AB1806" s="330"/>
      <c r="AC1806" s="330"/>
      <c r="AD1806" s="360"/>
      <c r="AE1806" s="361"/>
      <c r="AF1806" s="362"/>
    </row>
    <row r="1807" spans="1:32" ht="12.75" customHeight="1">
      <c r="A1807" s="300" t="str">
        <f>B1794</f>
        <v>C</v>
      </c>
      <c r="B1807" s="293" t="str">
        <f ca="1">IF(AND(OFFSET($AO$1,$C1794-1,8,1,1),$A1795&lt;&gt;"",$J1795&lt;&gt;""),CHOOSE($C1794,$AP$1,$AP$2,$AP$3,$AP$4,$AP$5,$AP$6,$AP$7,$AP$8,$AP$9,$AP$10,$AP$11,$AP$12),"")</f>
        <v/>
      </c>
      <c r="C1807" s="294"/>
      <c r="D1807" s="294"/>
      <c r="E1807" s="294"/>
      <c r="F1807" s="294"/>
      <c r="G1807" s="294"/>
      <c r="H1807" s="265"/>
      <c r="I1807" s="265"/>
      <c r="J1807" s="265"/>
      <c r="K1807" s="265"/>
      <c r="L1807" s="265"/>
      <c r="M1807" s="262" t="str">
        <f ca="1">IF(OR(AND($B1800&lt;&gt;"",$B1807&lt;&gt;"",$C1825&lt;=$B1825),AND($B1802&lt;&gt;"",$B1809&lt;&gt;"",$G1825&lt;=$F1825)),"Invalid Lineup","")</f>
        <v/>
      </c>
      <c r="N1807" s="263"/>
      <c r="O1807" s="263"/>
      <c r="P1807" s="264"/>
      <c r="Q1807" s="137" t="str">
        <f>IF($L1807=$L1809,IF($K1807=$K1809,IF($J1807&lt;&gt;"",IF($J1807&gt;$J1809,"W","L"),""),IF($K1807&gt;$K1809,"W","L")),IF($L1807&gt;$L1809,"W","L"))</f>
        <v/>
      </c>
      <c r="R1807" s="300" t="str">
        <f>$K1794</f>
        <v>F</v>
      </c>
      <c r="S1807" s="331" t="str">
        <f ca="1">IF($B1809&lt;&gt;"",$B1809,"")</f>
        <v/>
      </c>
      <c r="T1807" s="332"/>
      <c r="U1807" s="332"/>
      <c r="V1807" s="332"/>
      <c r="W1807" s="332"/>
      <c r="X1807" s="333"/>
      <c r="Y1807" s="329"/>
      <c r="Z1807" s="329"/>
      <c r="AA1807" s="329"/>
      <c r="AB1807" s="329"/>
      <c r="AC1807" s="351"/>
      <c r="AD1807" s="363" t="s">
        <v>1237</v>
      </c>
      <c r="AE1807" s="358"/>
      <c r="AF1807" s="359"/>
    </row>
    <row r="1808" spans="1:32" ht="12.75" customHeight="1">
      <c r="A1808" s="301"/>
      <c r="B1808" s="295"/>
      <c r="C1808" s="296"/>
      <c r="D1808" s="296"/>
      <c r="E1808" s="296"/>
      <c r="F1808" s="296"/>
      <c r="G1808" s="296"/>
      <c r="H1808" s="270"/>
      <c r="I1808" s="270"/>
      <c r="J1808" s="270"/>
      <c r="K1808" s="270"/>
      <c r="L1808" s="270"/>
      <c r="M1808" s="262"/>
      <c r="N1808" s="263"/>
      <c r="O1808" s="263"/>
      <c r="P1808" s="264"/>
      <c r="Q1808" s="139" t="str">
        <f>IF($Q1807&lt;&gt;"",IF($Q1807="W",IF(SUM(IF($H1807&gt;$H1809,1,0),IF($I1807&gt;$I1809,1,0),IF($J1807&gt;$J1809,1,0),IF($K1807&gt;$K1809,1,0),IF($L1807&gt;$L1809,1,0))&lt;&gt;3,"Error",""),""),"")</f>
        <v/>
      </c>
      <c r="R1808" s="330"/>
      <c r="S1808" s="334"/>
      <c r="T1808" s="335"/>
      <c r="U1808" s="335"/>
      <c r="V1808" s="335"/>
      <c r="W1808" s="335"/>
      <c r="X1808" s="336"/>
      <c r="Y1808" s="330"/>
      <c r="Z1808" s="330"/>
      <c r="AA1808" s="330"/>
      <c r="AB1808" s="330"/>
      <c r="AC1808" s="330"/>
      <c r="AD1808" s="360"/>
      <c r="AE1808" s="361"/>
      <c r="AF1808" s="362"/>
    </row>
    <row r="1809" spans="1:32" ht="12.75" customHeight="1">
      <c r="A1809" s="300" t="str">
        <f>K1794</f>
        <v>F</v>
      </c>
      <c r="B1809" s="293" t="str">
        <f ca="1">IF(AND(OFFSET($AO$1,$L1794-1,8,1,1),$A1795&lt;&gt;"",$J1795&lt;&gt;""),CHOOSE($L1794,$AP$1,$AP$2,$AP$3,$AP$4,$AP$5,$AP$6,$AP$7,$AP$8,$AP$9,$AP$10,$AP$11,$AP$12),"")</f>
        <v/>
      </c>
      <c r="C1809" s="294"/>
      <c r="D1809" s="294"/>
      <c r="E1809" s="294"/>
      <c r="F1809" s="294"/>
      <c r="G1809" s="294"/>
      <c r="H1809" s="265"/>
      <c r="I1809" s="265"/>
      <c r="J1809" s="265"/>
      <c r="K1809" s="265"/>
      <c r="L1809" s="265"/>
      <c r="M1809" s="267" t="s">
        <v>1237</v>
      </c>
      <c r="N1809" s="268"/>
      <c r="O1809" s="268"/>
      <c r="P1809" s="269"/>
      <c r="Q1809" s="137" t="str">
        <f>IF($Q1807&lt;&gt;"",IF($Q1807="W","L","W"),"")</f>
        <v/>
      </c>
      <c r="R1809" s="20"/>
      <c r="S1809" s="20"/>
      <c r="T1809" s="20"/>
      <c r="U1809" s="20"/>
      <c r="V1809" s="20"/>
      <c r="W1809" s="20"/>
      <c r="X1809" s="26"/>
      <c r="Y1809" s="26"/>
      <c r="Z1809" s="20"/>
      <c r="AA1809" s="20"/>
      <c r="AB1809" s="20"/>
      <c r="AC1809" s="20"/>
      <c r="AD1809" s="20"/>
      <c r="AE1809" s="20"/>
      <c r="AF1809" s="27"/>
    </row>
    <row r="1810" spans="1:32" ht="12.75" customHeight="1">
      <c r="A1810" s="301"/>
      <c r="B1810" s="295"/>
      <c r="C1810" s="296"/>
      <c r="D1810" s="296"/>
      <c r="E1810" s="296"/>
      <c r="F1810" s="296"/>
      <c r="G1810" s="296"/>
      <c r="H1810" s="270"/>
      <c r="I1810" s="270"/>
      <c r="J1810" s="266"/>
      <c r="K1810" s="266"/>
      <c r="L1810" s="266"/>
      <c r="M1810" s="267"/>
      <c r="N1810" s="268"/>
      <c r="O1810" s="268"/>
      <c r="P1810" s="269"/>
      <c r="Q1810" s="139" t="str">
        <f>IF($Q1809&lt;&gt;"",IF($Q1809="W",IF(SUM(IF($H1809&gt;$H1807,1,0),IF($I1809&gt;$I1807,1,0),IF($J1809&gt;$J1807,1,0),IF($K1809&gt;$K1807,1,0),IF($L1809&gt;$L1807,1,0))&lt;&gt;3,"Error",""),""),"")</f>
        <v/>
      </c>
      <c r="R1810" s="20"/>
      <c r="S1810" s="20"/>
      <c r="T1810" s="20"/>
      <c r="U1810" s="20"/>
      <c r="V1810" s="20"/>
      <c r="W1810" s="20"/>
      <c r="X1810" s="26"/>
      <c r="Y1810" s="26"/>
      <c r="Z1810" s="20"/>
      <c r="AA1810" s="20"/>
      <c r="AB1810" s="20"/>
      <c r="AC1810" s="20"/>
      <c r="AD1810" s="20"/>
      <c r="AE1810" s="20"/>
      <c r="AF1810" s="27"/>
    </row>
    <row r="1811" spans="1:32" ht="12.75" customHeight="1">
      <c r="Q1811" s="7"/>
      <c r="R1811" s="20"/>
      <c r="S1811" s="20"/>
      <c r="T1811" s="20"/>
      <c r="U1811" s="20"/>
      <c r="V1811" s="20"/>
      <c r="W1811" s="20"/>
      <c r="X1811" s="26"/>
      <c r="Y1811" s="26"/>
      <c r="Z1811" s="20"/>
      <c r="AA1811" s="20"/>
      <c r="AB1811" s="20"/>
      <c r="AC1811" s="20"/>
      <c r="AD1811" s="20"/>
      <c r="AE1811" s="20"/>
      <c r="AF1811" s="27"/>
    </row>
    <row r="1812" spans="1:32" ht="12.75" customHeight="1">
      <c r="A1812" s="21" t="s">
        <v>1235</v>
      </c>
      <c r="H1812" s="136" t="str">
        <f>IF($Q1814&lt;&gt;"",IF(AND(AND($H1814&gt;-1,$H1816&gt;-1),OR($H1814&gt;10,$H1816&gt;10),ABS($H1814-$H1816)&gt;1,IF(OR($H1814&gt;11,$H1816&gt;11),ABS($H1814-$H1816)=2,TRUE),$H1814=INT($H1814),$H1816=INT($H1816)),"","Error"),"")</f>
        <v/>
      </c>
      <c r="I1812" s="136" t="str">
        <f>IF($Q1814&lt;&gt;"",IF(AND(AND($I1814&gt;-1,$I1816&gt;-1),OR($I1814&gt;10,$I1816&gt;10),ABS($I1814-$I1816)&gt;1,IF(OR($I1814&gt;11,$I1816&gt;11),ABS($I1814-$I1816)=2,TRUE),$I1814=INT($I1814),$I1816=INT($I1816)),"","Error"),"")</f>
        <v/>
      </c>
      <c r="J1812" s="136" t="str">
        <f>IF($Q1814&lt;&gt;"",IF(AND(AND($J1814&gt;-1,$J1816&gt;-1),OR($J1814&gt;10,$J1816&gt;10),ABS($J1814-$J1816)&gt;1,IF(OR($J1814&gt;11,$J1816&gt;11),ABS($J1814-$J1816)=2,TRUE),$J1814=INT($J1814),$J1816=INT($J1816)),"","Error"),"")</f>
        <v/>
      </c>
      <c r="K1812" s="136" t="str">
        <f>IF($Q1814&lt;&gt;"",IF(AND($K1814&lt;&gt;"",$K1816&lt;&gt;""), IF(AND(AND($K1814&gt;-1,$K1816&gt;-1),OR($K1814&gt;10,$K1816&gt;10),ABS($K1814-$K1816)&gt;1,IF(OR($K1814&gt;11,$K1816&gt;11),ABS($K1814-$K1816)=2,TRUE),$K1814=INT($K1814),$K1816=INT($K1816)),"","Error"),""),"")</f>
        <v/>
      </c>
      <c r="L1812" s="136" t="str">
        <f>IF($Q1814&lt;&gt;"",IF(AND($L1814&lt;&gt;"",$L1816&lt;&gt;""), IF(AND(AND($L1814&gt;-1,$L1816&gt;-1),OR($L1814&gt;10,$L1816&gt;10),ABS($L1814-$L1816)&gt;1,IF(OR($L1814&gt;11,$L1816&gt;11),ABS($L1814-$L1816)=2,TRUE),$L1814=INT($L1814),$L1816=INT($L1816)),"","Error"),""),"")</f>
        <v/>
      </c>
      <c r="Q1812" s="7"/>
      <c r="R1812" s="20"/>
      <c r="S1812" s="20"/>
      <c r="T1812" s="20"/>
      <c r="U1812" s="20"/>
      <c r="V1812" s="20"/>
      <c r="W1812" s="20"/>
      <c r="X1812" s="26"/>
      <c r="Y1812" s="26"/>
      <c r="Z1812" s="20"/>
      <c r="AA1812" s="20"/>
      <c r="AB1812" s="20"/>
      <c r="AC1812" s="20"/>
      <c r="AD1812" s="20"/>
      <c r="AE1812" s="20"/>
      <c r="AF1812" s="27"/>
    </row>
    <row r="1813" spans="1:32" ht="12.75" customHeight="1">
      <c r="A1813" s="5" t="s">
        <v>1228</v>
      </c>
      <c r="B1813" s="290" t="s">
        <v>1126</v>
      </c>
      <c r="C1813" s="291"/>
      <c r="D1813" s="291"/>
      <c r="E1813" s="291"/>
      <c r="F1813" s="291"/>
      <c r="G1813" s="292"/>
      <c r="H1813" s="5">
        <v>1</v>
      </c>
      <c r="I1813" s="5">
        <v>2</v>
      </c>
      <c r="J1813" s="5">
        <v>3</v>
      </c>
      <c r="K1813" s="5">
        <v>4</v>
      </c>
      <c r="L1813" s="5">
        <v>5</v>
      </c>
      <c r="M1813" s="271"/>
      <c r="N1813" s="272"/>
      <c r="O1813" s="272"/>
      <c r="P1813" s="273"/>
      <c r="Q1813" s="7"/>
      <c r="R1813" s="20"/>
      <c r="S1813" s="20"/>
      <c r="T1813" s="20"/>
      <c r="U1813" s="20"/>
      <c r="V1813" s="20"/>
      <c r="W1813" s="20"/>
      <c r="X1813" s="26"/>
      <c r="Y1813" s="26"/>
      <c r="Z1813" s="20"/>
      <c r="AA1813" s="20"/>
      <c r="AB1813" s="20"/>
      <c r="AC1813" s="20"/>
      <c r="AD1813" s="20"/>
      <c r="AE1813" s="20"/>
      <c r="AF1813" s="27"/>
    </row>
    <row r="1814" spans="1:32" ht="12.75" customHeight="1">
      <c r="A1814" s="300" t="str">
        <f>B1794</f>
        <v>C</v>
      </c>
      <c r="B1814" s="293" t="str">
        <f ca="1">IF(AND(OFFSET($AO$1,$C1794-1,8,1,1),$A1795&lt;&gt;"",$J1795&lt;&gt;""),CHOOSE($C1794,$AQ$1,$AQ$2,$AQ$3,$AQ$4,$AQ$5,$AQ$6,$AQ$7,$AQ$8,$AQ$9,$AQ$10,$AQ$11,$AQ$12),"")</f>
        <v/>
      </c>
      <c r="C1814" s="294"/>
      <c r="D1814" s="294"/>
      <c r="E1814" s="294"/>
      <c r="F1814" s="294"/>
      <c r="G1814" s="294"/>
      <c r="H1814" s="265"/>
      <c r="I1814" s="265"/>
      <c r="J1814" s="265"/>
      <c r="K1814" s="265"/>
      <c r="L1814" s="265"/>
      <c r="M1814" s="262" t="str">
        <f ca="1">IF(OR(AND($B1807&lt;&gt;"",$B1814&lt;&gt;"",$D1825&lt;=$C1825),AND($B1809&lt;&gt;"",$B1816&lt;&gt;"",$H1825&lt;=$G1825)),"Invalid Lineup","")</f>
        <v/>
      </c>
      <c r="N1814" s="263"/>
      <c r="O1814" s="263"/>
      <c r="P1814" s="264"/>
      <c r="Q1814" s="137" t="str">
        <f>IF($L1814=$L1816,IF($K1814=$K1816,IF($J1814&lt;&gt;"",IF($J1814&gt;$J1816,"W","L"),""),IF($K1814&gt;$K1816,"W","L")),IF($L1814&gt;$L1816,"W","L"))</f>
        <v/>
      </c>
      <c r="R1814" s="20"/>
      <c r="S1814" s="20"/>
      <c r="T1814" s="20"/>
      <c r="U1814" s="20"/>
      <c r="V1814" s="20"/>
      <c r="W1814" s="20"/>
      <c r="X1814" s="26"/>
      <c r="Y1814" s="26"/>
      <c r="Z1814" s="20"/>
      <c r="AA1814" s="20"/>
      <c r="AB1814" s="20"/>
      <c r="AC1814" s="20"/>
      <c r="AD1814" s="20"/>
      <c r="AE1814" s="20"/>
      <c r="AF1814" s="27"/>
    </row>
    <row r="1815" spans="1:32" ht="12.75" customHeight="1">
      <c r="A1815" s="301"/>
      <c r="B1815" s="295"/>
      <c r="C1815" s="296"/>
      <c r="D1815" s="296"/>
      <c r="E1815" s="296"/>
      <c r="F1815" s="296"/>
      <c r="G1815" s="296"/>
      <c r="H1815" s="270"/>
      <c r="I1815" s="270"/>
      <c r="J1815" s="270"/>
      <c r="K1815" s="270"/>
      <c r="L1815" s="270"/>
      <c r="M1815" s="262"/>
      <c r="N1815" s="263"/>
      <c r="O1815" s="263"/>
      <c r="P1815" s="264"/>
      <c r="Q1815" s="139" t="str">
        <f>IF($Q1814&lt;&gt;"",IF($Q1814="W",IF(SUM(IF($H1814&gt;$H1816,1,0),IF($I1814&gt;$I1816,1,0),IF($J1814&gt;$J1816,1,0),IF($K1814&gt;$K1816,1,0),IF($L1814&gt;$L1816,1,0))&lt;&gt;3,"Error",""),""),"")</f>
        <v/>
      </c>
      <c r="R1815" s="328" t="str">
        <f>$A1795</f>
        <v/>
      </c>
      <c r="S1815" s="328"/>
      <c r="T1815" s="328"/>
      <c r="U1815" s="328"/>
      <c r="V1815" s="328"/>
      <c r="W1815" s="328"/>
      <c r="X1815" s="256" t="str">
        <f>CONCATENATE("(",$B1794," vs ",$K1794,")")</f>
        <v>(C vs F)</v>
      </c>
      <c r="Y1815" s="256"/>
      <c r="Z1815" s="328" t="str">
        <f>$J1795</f>
        <v/>
      </c>
      <c r="AA1815" s="328"/>
      <c r="AB1815" s="328"/>
      <c r="AC1815" s="328"/>
      <c r="AD1815" s="328"/>
      <c r="AE1815" s="328"/>
      <c r="AF1815" s="100"/>
    </row>
    <row r="1816" spans="1:32" ht="12.75" customHeight="1">
      <c r="A1816" s="300" t="str">
        <f>K1794</f>
        <v>F</v>
      </c>
      <c r="B1816" s="293" t="str">
        <f ca="1">IF(AND(OFFSET($AO$1,$L1794-1,8,1,1),$A1795&lt;&gt;"",$J1795&lt;&gt;""),CHOOSE($L1794,$AQ$1,$AQ$2,$AQ$3,$AQ$4,$AQ$5,$AQ$6,$AQ$7,$AQ$8,$AQ$9,$AQ$10,$AQ$11,$AQ$12),"")</f>
        <v/>
      </c>
      <c r="C1816" s="294"/>
      <c r="D1816" s="294"/>
      <c r="E1816" s="294"/>
      <c r="F1816" s="294"/>
      <c r="G1816" s="294"/>
      <c r="H1816" s="265"/>
      <c r="I1816" s="265"/>
      <c r="J1816" s="265"/>
      <c r="K1816" s="265"/>
      <c r="L1816" s="265"/>
      <c r="M1816" s="267" t="s">
        <v>1237</v>
      </c>
      <c r="N1816" s="268"/>
      <c r="O1816" s="268"/>
      <c r="P1816" s="269"/>
      <c r="Q1816" s="137" t="str">
        <f>IF($Q1814&lt;&gt;"",IF($Q1814="W","L","W"),"")</f>
        <v/>
      </c>
      <c r="R1816" s="100"/>
      <c r="S1816" s="100"/>
      <c r="T1816" s="100"/>
      <c r="U1816" s="100"/>
      <c r="V1816" s="100"/>
      <c r="W1816" s="100"/>
      <c r="X1816" s="100"/>
      <c r="Y1816" s="100"/>
      <c r="Z1816" s="100"/>
      <c r="AA1816" s="100"/>
      <c r="AB1816" s="100"/>
      <c r="AC1816" s="100"/>
      <c r="AD1816" s="100"/>
      <c r="AE1816" s="100"/>
      <c r="AF1816" s="100"/>
    </row>
    <row r="1817" spans="1:32" ht="12.75" customHeight="1">
      <c r="A1817" s="301"/>
      <c r="B1817" s="295"/>
      <c r="C1817" s="296"/>
      <c r="D1817" s="296"/>
      <c r="E1817" s="296"/>
      <c r="F1817" s="296"/>
      <c r="G1817" s="296"/>
      <c r="H1817" s="270"/>
      <c r="I1817" s="270"/>
      <c r="J1817" s="266"/>
      <c r="K1817" s="266"/>
      <c r="L1817" s="266"/>
      <c r="M1817" s="267"/>
      <c r="N1817" s="268"/>
      <c r="O1817" s="268"/>
      <c r="P1817" s="269"/>
      <c r="Q1817" s="139" t="str">
        <f>IF($Q1816&lt;&gt;"",IF($Q1816="W",IF(SUM(IF($H1816&gt;$H1814,1,0),IF($I1816&gt;$I1814,1,0),IF($J1816&gt;$J1814,1,0),IF($K1816&gt;$K1814,1,0),IF($L1816&gt;$L1814,1,0))&lt;&gt;3,"Error",""),""),"")</f>
        <v/>
      </c>
      <c r="R1817" s="43" t="str">
        <f>$A1812</f>
        <v>3rd Singles</v>
      </c>
      <c r="S1817" s="43"/>
      <c r="T1817" s="43"/>
      <c r="U1817" s="43"/>
      <c r="V1817" s="43"/>
      <c r="W1817" s="43"/>
      <c r="X1817" s="43"/>
      <c r="Y1817" s="43"/>
      <c r="Z1817" s="43"/>
      <c r="AA1817" s="43"/>
      <c r="AB1817" s="43"/>
      <c r="AC1817" s="43"/>
      <c r="AD1817" s="43"/>
      <c r="AE1817" s="43"/>
      <c r="AF1817" s="43"/>
    </row>
    <row r="1818" spans="1:32" ht="12.75" customHeight="1">
      <c r="Q1818" s="7"/>
      <c r="R1818" s="60" t="s">
        <v>1228</v>
      </c>
      <c r="S1818" s="101" t="s">
        <v>1126</v>
      </c>
      <c r="T1818" s="102"/>
      <c r="U1818" s="102"/>
      <c r="V1818" s="102"/>
      <c r="W1818" s="102"/>
      <c r="X1818" s="103"/>
      <c r="Y1818" s="60">
        <v>1</v>
      </c>
      <c r="Z1818" s="60">
        <v>2</v>
      </c>
      <c r="AA1818" s="60">
        <v>3</v>
      </c>
      <c r="AB1818" s="60">
        <v>4</v>
      </c>
      <c r="AC1818" s="60">
        <v>5</v>
      </c>
      <c r="AD1818" s="104"/>
      <c r="AE1818" s="105"/>
      <c r="AF1818" s="106"/>
    </row>
    <row r="1819" spans="1:32" ht="12.75" customHeight="1">
      <c r="A1819" s="21" t="s">
        <v>1236</v>
      </c>
      <c r="H1819" s="136" t="str">
        <f ca="1">IF($Q1821&lt;&gt;"",IF(AND($B1821&lt;&gt;"Missing Player",$B1823&lt;&gt;"Missing Player"),IF(AND(AND($H1821&gt;-1,$H1823&gt;-1),OR($H1821&gt;10,$H1823&gt;10),ABS($H1821-$H1823)&gt;1,IF(OR($H1821&gt;11,$H1823&gt;11),ABS($H1821-$H1823)=2,TRUE),$H1821=INT($H1821),$H1823=INT($H1823)),"","Error"),""),"")</f>
        <v/>
      </c>
      <c r="I1819" s="136" t="str">
        <f ca="1">IF($Q1821&lt;&gt;"",IF(AND($B1821&lt;&gt;"Missing Player",$B1823&lt;&gt;"Missing Player"),IF(AND(AND($I1821&gt;-1,$I1823&gt;-1),OR($I1821&gt;10,$I1823&gt;10),ABS($I1821-$I1823)&gt;1,IF(OR($I1821&gt;11,$I1823&gt;11),ABS($I1821-$I1823)=2,TRUE),$I1821=INT($I1821),$I1823=INT($I1823)),"","Error"),""),"")</f>
        <v/>
      </c>
      <c r="J1819" s="136" t="str">
        <f ca="1">IF($Q1821&lt;&gt;"",IF(AND($B1821&lt;&gt;"Missing Player",$B1823&lt;&gt;"Missing Player"),IF(AND(AND($J1821&gt;-1,$J1823&gt;-1),OR($J1821&gt;10,$J1823&gt;10),ABS($J1821-$J1823)&gt;1,IF(OR($J1821&gt;11,$J1823&gt;11),ABS($J1821-$J1823)=2,TRUE),$J1821=INT($J1821),$J1823=INT($J1823)),"","Error"),""),"")</f>
        <v/>
      </c>
      <c r="K1819" s="136" t="str">
        <f ca="1">IF($Q1821&lt;&gt;"",IF(AND($K1821&lt;&gt;"",$K1823&lt;&gt;""), IF(AND(AND($K1821&gt;-1,$K1823&gt;-1),OR($K1821&gt;10,$K1823&gt;10),ABS($K1821-$K1823)&gt;1,IF(OR($K1821&gt;11,$K1823&gt;11),ABS($K1821-$K1823)=2,TRUE),$K1821=INT($K1821),$K1823=INT($K1823)),"","Error"),""),"")</f>
        <v/>
      </c>
      <c r="L1819" s="136" t="str">
        <f ca="1">IF($Q1821&lt;&gt;"",IF(AND($L1821&lt;&gt;"",$L1823&lt;&gt;""), IF(AND(AND($L1821&gt;-1,$L1823&gt;-1),OR($L1821&gt;10,$L1823&gt;10),ABS($L1821-$L1823)&gt;1,IF(OR($L1821&gt;11,$L1823&gt;11),ABS($L1821-$L1823)=2,TRUE),$L1821=INT($L1821),$L1823=INT($L1823)),"","Error"),""),"")</f>
        <v/>
      </c>
      <c r="Q1819" s="7"/>
      <c r="R1819" s="300" t="str">
        <f>$B1794</f>
        <v>C</v>
      </c>
      <c r="S1819" s="331" t="str">
        <f ca="1">IF($B1814&lt;&gt;"",$B1814,"")</f>
        <v/>
      </c>
      <c r="T1819" s="332"/>
      <c r="U1819" s="332"/>
      <c r="V1819" s="332"/>
      <c r="W1819" s="332"/>
      <c r="X1819" s="333"/>
      <c r="Y1819" s="329"/>
      <c r="Z1819" s="329"/>
      <c r="AA1819" s="329"/>
      <c r="AB1819" s="329"/>
      <c r="AC1819" s="329"/>
      <c r="AD1819" s="345"/>
      <c r="AE1819" s="358"/>
      <c r="AF1819" s="359"/>
    </row>
    <row r="1820" spans="1:32" ht="12.75" customHeight="1">
      <c r="A1820" s="5" t="s">
        <v>1228</v>
      </c>
      <c r="B1820" s="290" t="s">
        <v>1126</v>
      </c>
      <c r="C1820" s="291"/>
      <c r="D1820" s="291"/>
      <c r="E1820" s="291"/>
      <c r="F1820" s="291"/>
      <c r="G1820" s="292"/>
      <c r="H1820" s="5">
        <v>1</v>
      </c>
      <c r="I1820" s="5">
        <v>2</v>
      </c>
      <c r="J1820" s="5">
        <v>3</v>
      </c>
      <c r="K1820" s="5">
        <v>4</v>
      </c>
      <c r="L1820" s="5">
        <v>5</v>
      </c>
      <c r="M1820" s="271"/>
      <c r="N1820" s="272"/>
      <c r="O1820" s="272"/>
      <c r="P1820" s="273"/>
      <c r="Q1820" s="7"/>
      <c r="R1820" s="330"/>
      <c r="S1820" s="334"/>
      <c r="T1820" s="335"/>
      <c r="U1820" s="335"/>
      <c r="V1820" s="335"/>
      <c r="W1820" s="335"/>
      <c r="X1820" s="336"/>
      <c r="Y1820" s="330"/>
      <c r="Z1820" s="330"/>
      <c r="AA1820" s="330"/>
      <c r="AB1820" s="330"/>
      <c r="AC1820" s="330"/>
      <c r="AD1820" s="360"/>
      <c r="AE1820" s="361"/>
      <c r="AF1820" s="362"/>
    </row>
    <row r="1821" spans="1:32" ht="12.75" customHeight="1">
      <c r="A1821" s="300" t="str">
        <f>B1794</f>
        <v>C</v>
      </c>
      <c r="B1821" s="293" t="str">
        <f ca="1">IF(AND(OFFSET($AO$1,$C1794-1,8,1,1),$A1795&lt;&gt;"",$J1795&lt;&gt;""),CHOOSE($C1794,$AR$1,$AR$2,$AR$3,$AR$4,$AR$5,$AR$6,$AR$7,$AR$8,$AR$9,$AR$10,$AR$11,$AR$12),"")</f>
        <v/>
      </c>
      <c r="C1821" s="294"/>
      <c r="D1821" s="294"/>
      <c r="E1821" s="294"/>
      <c r="F1821" s="294"/>
      <c r="G1821" s="294"/>
      <c r="H1821" s="265"/>
      <c r="I1821" s="265"/>
      <c r="J1821" s="265"/>
      <c r="K1821" s="265"/>
      <c r="L1821" s="265" t="str">
        <f ca="1">IF(AND($B1821&lt;&gt;"",$Q1800&lt;&gt;""),IF($B1821="Missing Player",0,IF($B1823="Missing Player",11,"")),"")</f>
        <v/>
      </c>
      <c r="M1821" s="262" t="str">
        <f ca="1">IF(OR(AND($B1814&lt;&gt;"",$B1821&lt;&gt;"",$E1825&lt;=$D1825),AND($B1816&lt;&gt;"",$B1823&lt;&gt;"",$I1825&lt;=$H1825)),"Invalid Lineup","")</f>
        <v/>
      </c>
      <c r="N1821" s="263"/>
      <c r="O1821" s="263"/>
      <c r="P1821" s="264"/>
      <c r="Q1821" s="137" t="str">
        <f ca="1">IF($L1821=$L1823,IF($K1821=$K1823,IF($J1821&lt;&gt;"",IF($J1821&gt;$J1823,"W","L"),""),IF($K1821&gt;$K1823,"W","L")),IF($L1821&gt;$L1823,"W","L"))</f>
        <v/>
      </c>
      <c r="R1821" s="300" t="str">
        <f>$K1794</f>
        <v>F</v>
      </c>
      <c r="S1821" s="331" t="str">
        <f ca="1">IF($B1816&lt;&gt;"",$B1816,"")</f>
        <v/>
      </c>
      <c r="T1821" s="332"/>
      <c r="U1821" s="332"/>
      <c r="V1821" s="332"/>
      <c r="W1821" s="332"/>
      <c r="X1821" s="333"/>
      <c r="Y1821" s="329"/>
      <c r="Z1821" s="329"/>
      <c r="AA1821" s="329"/>
      <c r="AB1821" s="329"/>
      <c r="AC1821" s="351"/>
      <c r="AD1821" s="363" t="s">
        <v>1237</v>
      </c>
      <c r="AE1821" s="358"/>
      <c r="AF1821" s="359"/>
    </row>
    <row r="1822" spans="1:32" ht="12.75" customHeight="1">
      <c r="A1822" s="301"/>
      <c r="B1822" s="295"/>
      <c r="C1822" s="296"/>
      <c r="D1822" s="296"/>
      <c r="E1822" s="296"/>
      <c r="F1822" s="296"/>
      <c r="G1822" s="296"/>
      <c r="H1822" s="270"/>
      <c r="I1822" s="270"/>
      <c r="J1822" s="270"/>
      <c r="K1822" s="270"/>
      <c r="L1822" s="270"/>
      <c r="M1822" s="262"/>
      <c r="N1822" s="263"/>
      <c r="O1822" s="263"/>
      <c r="P1822" s="264"/>
      <c r="Q1822" s="139" t="str">
        <f ca="1">IF($Q1821&lt;&gt;"",IF($B1823&lt;&gt;"Missing Player",IF($Q1821="W",IF(SUM(IF($H1821&gt;$H1823,1,0),IF($I1821&gt;$I1823,1,0),IF($J1821&gt;$J1823,1,0),IF($K1821&gt;$K1823,1,0),IF($L1821&gt;$L1823,1,0))&lt;&gt;3,"Error",""),""),""),"")</f>
        <v/>
      </c>
      <c r="R1822" s="330"/>
      <c r="S1822" s="334"/>
      <c r="T1822" s="335"/>
      <c r="U1822" s="335"/>
      <c r="V1822" s="335"/>
      <c r="W1822" s="335"/>
      <c r="X1822" s="336"/>
      <c r="Y1822" s="330"/>
      <c r="Z1822" s="330"/>
      <c r="AA1822" s="330"/>
      <c r="AB1822" s="330"/>
      <c r="AC1822" s="330"/>
      <c r="AD1822" s="360"/>
      <c r="AE1822" s="361"/>
      <c r="AF1822" s="362"/>
    </row>
    <row r="1823" spans="1:32" ht="12.75" customHeight="1">
      <c r="A1823" s="300" t="str">
        <f>K1794</f>
        <v>F</v>
      </c>
      <c r="B1823" s="293" t="str">
        <f ca="1">IF(AND(OFFSET($AO$1,$L1794-1,8,1,1),$A1795&lt;&gt;"",$J1795&lt;&gt;""),CHOOSE($L1794,$AR$1,$AR$2,$AR$3,$AR$4,$AR$5,$AR$6,$AR$7,$AR$8,$AR$9,$AR$10,$AR$11,$AR$12),"")</f>
        <v/>
      </c>
      <c r="C1823" s="294"/>
      <c r="D1823" s="294"/>
      <c r="E1823" s="294"/>
      <c r="F1823" s="294"/>
      <c r="G1823" s="294"/>
      <c r="H1823" s="265"/>
      <c r="I1823" s="265"/>
      <c r="J1823" s="265"/>
      <c r="K1823" s="265"/>
      <c r="L1823" s="265" t="str">
        <f ca="1">IF(AND($B1823&lt;&gt;"",$Q1800&lt;&gt;""),IF($B1823="Missing Player",0,IF($B1821="Missing Player",11,"")),"")</f>
        <v/>
      </c>
      <c r="M1823" s="267" t="s">
        <v>1237</v>
      </c>
      <c r="N1823" s="268"/>
      <c r="O1823" s="268"/>
      <c r="P1823" s="269"/>
      <c r="Q1823" s="137" t="str">
        <f ca="1">IF($Q1821&lt;&gt;"",IF($Q1821="W","L","W"),"")</f>
        <v/>
      </c>
      <c r="R1823" s="112"/>
      <c r="S1823" s="98"/>
      <c r="T1823" s="108"/>
      <c r="U1823" s="108"/>
      <c r="V1823" s="108"/>
      <c r="W1823" s="108"/>
      <c r="X1823" s="108"/>
      <c r="Y1823" s="113"/>
      <c r="Z1823" s="113"/>
      <c r="AA1823" s="113"/>
      <c r="AB1823" s="113"/>
      <c r="AC1823" s="113"/>
      <c r="AD1823" s="107"/>
      <c r="AE1823" s="109"/>
      <c r="AF1823" s="109"/>
    </row>
    <row r="1824" spans="1:32" ht="12.75" customHeight="1">
      <c r="A1824" s="301"/>
      <c r="B1824" s="295"/>
      <c r="C1824" s="296"/>
      <c r="D1824" s="296"/>
      <c r="E1824" s="296"/>
      <c r="F1824" s="296"/>
      <c r="G1824" s="296"/>
      <c r="H1824" s="270"/>
      <c r="I1824" s="270"/>
      <c r="J1824" s="266"/>
      <c r="K1824" s="266"/>
      <c r="L1824" s="266"/>
      <c r="M1824" s="267"/>
      <c r="N1824" s="268"/>
      <c r="O1824" s="268"/>
      <c r="P1824" s="269"/>
      <c r="Q1824" s="139" t="str">
        <f ca="1">IF($Q1823&lt;&gt;"",IF($B1821&lt;&gt;"Missing Player",IF($Q1823="W",IF(SUM(IF($H1823&gt;$H1821,1,0),IF($I1823&gt;$I1821,1,0),IF($J1823&gt;$J1821,1,0),IF($K1823&gt;$K1821,1,0),IF($L1823&gt;$L1821,1,0))&lt;&gt;3,"Error",""),""),""),"")</f>
        <v/>
      </c>
      <c r="R1824" s="114"/>
      <c r="S1824" s="115"/>
      <c r="T1824" s="115"/>
      <c r="U1824" s="115"/>
      <c r="V1824" s="115"/>
      <c r="W1824" s="115"/>
      <c r="X1824" s="115"/>
      <c r="Y1824" s="114"/>
      <c r="Z1824" s="114"/>
      <c r="AA1824" s="114"/>
      <c r="AB1824" s="114"/>
      <c r="AC1824" s="114"/>
      <c r="AD1824" s="114"/>
      <c r="AE1824" s="114"/>
      <c r="AF1824" s="114"/>
    </row>
    <row r="1825" spans="1:32" ht="12.75" customHeight="1">
      <c r="B1825" s="140" t="str">
        <f ca="1">IF(ISERROR(VLOOKUP($B1800&amp;"("&amp;$B1794&amp;")",Players!$S$4:$T$132,2,FALSE)),"",VLOOKUP($B1800&amp;"("&amp;$B1794&amp;")",Players!$S$4:$T$132,2,FALSE))</f>
        <v>C1</v>
      </c>
      <c r="C1825" s="140" t="str">
        <f ca="1">IF(ISERROR(VLOOKUP($B1807&amp;"("&amp;$B1794&amp;")",Players!$S$4:$T$132,2,FALSE)),"",VLOOKUP($B1807&amp;"("&amp;$B1794&amp;")",Players!$S$4:$T$132,2,FALSE))</f>
        <v>C1</v>
      </c>
      <c r="D1825" s="141" t="str">
        <f ca="1">IF(ISERROR(VLOOKUP($B1814&amp;"("&amp;$B1794&amp;")",Players!$S$4:$T$132,2,FALSE)),"",VLOOKUP($B1814&amp;"("&amp;$B1794&amp;")",Players!$S$4:$T$132,2,FALSE))</f>
        <v>C1</v>
      </c>
      <c r="E1825" s="141" t="str">
        <f ca="1">IF(ISERROR(VLOOKUP($B1821&amp;"("&amp;$B1794&amp;")",Players!$S$4:$T$132,2,FALSE)),"",VLOOKUP($B1821&amp;"("&amp;$B1794&amp;")",Players!$S$4:$T$132,2,FALSE))</f>
        <v>C1</v>
      </c>
      <c r="F1825" s="141" t="str">
        <f ca="1">IF(ISERROR(VLOOKUP($B1802&amp;"("&amp;$K1794&amp;")",Players!$S$4:$T$132,2,FALSE)),"",VLOOKUP($B1802&amp;"("&amp;$K1794&amp;")",Players!$S$4:$T$132,2,FALSE))</f>
        <v>F1</v>
      </c>
      <c r="G1825" s="141" t="str">
        <f ca="1">IF(ISERROR(VLOOKUP($B1809&amp;"("&amp;$K1794&amp;")",Players!$S$4:$T$132,2,FALSE)),"",VLOOKUP($B1809&amp;"("&amp;$K1794&amp;")",Players!$S$4:$T$132,2,FALSE))</f>
        <v>F1</v>
      </c>
      <c r="H1825" s="141" t="str">
        <f ca="1">IF(ISERROR(VLOOKUP($B1816&amp;"("&amp;$K1794&amp;")",Players!$S$4:$T$132,2,FALSE)),"",VLOOKUP($B1816&amp;"("&amp;$K1794&amp;")",Players!$S$4:$T$132,2,FALSE))</f>
        <v>F1</v>
      </c>
      <c r="I1825" s="141" t="str">
        <f ca="1">IF(ISERROR(VLOOKUP($B1823&amp;"("&amp;$K1794&amp;")",Players!$S$4:$T$132,2,FALSE)),"",VLOOKUP($B1823&amp;"("&amp;$K1794&amp;")",Players!$S$4:$T$132,2,FALSE))</f>
        <v>F1</v>
      </c>
      <c r="Q1825" s="7"/>
      <c r="R1825" s="50"/>
      <c r="S1825" s="116"/>
      <c r="T1825" s="115"/>
      <c r="U1825" s="115"/>
      <c r="V1825" s="115"/>
      <c r="W1825" s="115"/>
      <c r="X1825" s="115"/>
      <c r="Y1825" s="99"/>
      <c r="Z1825" s="99"/>
      <c r="AA1825" s="99"/>
      <c r="AB1825" s="99"/>
      <c r="AC1825" s="117"/>
      <c r="AD1825" s="118"/>
      <c r="AE1825" s="114"/>
      <c r="AF1825" s="114"/>
    </row>
    <row r="1826" spans="1:32" ht="12.75" customHeight="1">
      <c r="A1826" s="21" t="s">
        <v>1225</v>
      </c>
      <c r="H1826" s="136" t="str">
        <f ca="1">IF($Q1828&lt;&gt;"",IF(AND($B1829&lt;&gt;"Missing Player",$B1831&lt;&gt;"Missing Player"),IF(AND(AND($H1828&gt;-1,$H1830&gt;-1),OR($H1828&gt;10,$H1830&gt;10),ABS($H1828-$H1830)&gt;1,IF(OR($H1828&gt;11,$H1830&gt;11),ABS($H1828-$H1830)=2,TRUE),$H1828=INT($H1828),$H1830=INT($H1830)),"","Error"),""),"")</f>
        <v/>
      </c>
      <c r="I1826" s="136" t="str">
        <f ca="1">IF($Q1828&lt;&gt;"",IF(AND($B1829&lt;&gt;"Missing Player",$B1831&lt;&gt;"Missing Player"),IF(AND(AND($I1828&gt;-1,$I1830&gt;-1),OR($I1828&gt;10,$I1830&gt;10),ABS($I1828-$I1830)&gt;1,IF(OR($I1828&gt;11,$I1830&gt;11),ABS($I1828-$I1830)=2,TRUE),$I1828=INT($I1828),$I1830=INT($I1830)),"","Error"),""),"")</f>
        <v/>
      </c>
      <c r="J1826" s="136" t="str">
        <f ca="1">IF($Q1828&lt;&gt;"",IF(AND($B1829&lt;&gt;"Missing Player",$B1831&lt;&gt;"Missing Player"),IF(AND(AND($J1828&gt;-1,$J1830&gt;-1),OR($J1828&gt;10,$J1830&gt;10),ABS($J1828-$J1830)&gt;1,IF(OR($J1828&gt;11,$J1830&gt;11),ABS($J1828-$J1830)=2,TRUE),$J1828=INT($J1828),$J1830=INT($J1830)),"","Error"),""),"")</f>
        <v/>
      </c>
      <c r="K1826" s="136" t="str">
        <f ca="1">IF($Q1828&lt;&gt;"",IF(AND($K1828&lt;&gt;"",$K1830&lt;&gt;""), IF(AND(AND($K1828&gt;-1,$K1830&gt;-1),OR($K1828&gt;10,$K1830&gt;10),ABS($K1828-$K1830)&gt;1,IF(OR($K1828&gt;11,$K1830&gt;11),ABS($K1828-$K1830)=2,TRUE),$K1828=INT($K1828),$K1830=INT($K1830)),"","Error"),""),"")</f>
        <v/>
      </c>
      <c r="L1826" s="136" t="str">
        <f ca="1">IF($Q1828&lt;&gt;"",IF(AND($L1828&lt;&gt;"",$L1830&lt;&gt;""), IF(AND(AND($L1828&gt;-1,$L1830&gt;-1),OR($L1828&gt;10,$L1830&gt;10),ABS($L1828-$L1830)&gt;1,IF(OR($L1828&gt;11,$L1830&gt;11),ABS($L1828-$L1830)=2,TRUE),$L1828=INT($L1828),$L1830=INT($L1830)),"","Error"),""),"")</f>
        <v/>
      </c>
      <c r="Q1826" s="7"/>
      <c r="R1826" s="114"/>
      <c r="S1826" s="115"/>
      <c r="T1826" s="115"/>
      <c r="U1826" s="115"/>
      <c r="V1826" s="115"/>
      <c r="W1826" s="115"/>
      <c r="X1826" s="115"/>
      <c r="Y1826" s="114"/>
      <c r="Z1826" s="114"/>
      <c r="AA1826" s="114"/>
      <c r="AB1826" s="114"/>
      <c r="AC1826" s="114"/>
      <c r="AD1826" s="114"/>
      <c r="AE1826" s="114"/>
      <c r="AF1826" s="114"/>
    </row>
    <row r="1827" spans="1:32" ht="12.75" customHeight="1">
      <c r="A1827" s="5" t="s">
        <v>1228</v>
      </c>
      <c r="B1827" s="290" t="s">
        <v>1126</v>
      </c>
      <c r="C1827" s="291"/>
      <c r="D1827" s="291"/>
      <c r="E1827" s="291"/>
      <c r="F1827" s="291"/>
      <c r="G1827" s="292"/>
      <c r="H1827" s="5">
        <v>1</v>
      </c>
      <c r="I1827" s="5">
        <v>2</v>
      </c>
      <c r="J1827" s="5">
        <v>3</v>
      </c>
      <c r="K1827" s="5">
        <v>4</v>
      </c>
      <c r="L1827" s="5">
        <v>5</v>
      </c>
      <c r="M1827" s="271"/>
      <c r="N1827" s="272"/>
      <c r="O1827" s="272"/>
      <c r="P1827" s="273"/>
      <c r="Q1827" s="8"/>
      <c r="S1827" s="24"/>
      <c r="T1827" s="26"/>
    </row>
    <row r="1828" spans="1:32" ht="12.75" customHeight="1">
      <c r="A1828" s="300" t="str">
        <f>B1794</f>
        <v>C</v>
      </c>
      <c r="B1828" s="311" t="str">
        <f ca="1">IF($B1800&lt;&gt;"",$B1800,"")</f>
        <v/>
      </c>
      <c r="C1828" s="312"/>
      <c r="D1828" s="312"/>
      <c r="E1828" s="312"/>
      <c r="F1828" s="312"/>
      <c r="G1828" s="313"/>
      <c r="H1828" s="265"/>
      <c r="I1828" s="265"/>
      <c r="J1828" s="265"/>
      <c r="K1828" s="265"/>
      <c r="L1828" s="265" t="str">
        <f ca="1">IF($B1821&lt;&gt;"",IF(AND($B1821="Missing Player",$G1832=2,$J1832=2),0,IF(AND($B1823="Missing Player",$G1832=2,$J1832=2),11,"")),"")</f>
        <v/>
      </c>
      <c r="M1828" s="262" t="str">
        <f ca="1">IF(OR(AND($B1828&lt;&gt;"",$B1829&lt;&gt;"",$B1828=$B1829),AND($B1830&lt;&gt;"",$B1831&lt;&gt;"",$B1830=$B1831)),"Invalid Partner","")</f>
        <v/>
      </c>
      <c r="N1828" s="263"/>
      <c r="O1828" s="263"/>
      <c r="P1828" s="264"/>
      <c r="Q1828" s="138" t="str">
        <f ca="1">IF(L1828=L1830,IF(K1828=K1830,IF(J1828&lt;&gt;"",IF(J1828&gt;J1830,"W","L"),""),IF(K1828&gt;K1830,"W","L")),IF(L1828&gt;L1830,"W","L"))</f>
        <v/>
      </c>
      <c r="S1828" s="24"/>
      <c r="T1828" s="26"/>
    </row>
    <row r="1829" spans="1:32" ht="12.75" customHeight="1">
      <c r="A1829" s="324"/>
      <c r="B1829" s="308" t="str">
        <f ca="1">IF($B1821="Missing Player",$B1821,"")</f>
        <v/>
      </c>
      <c r="C1829" s="309"/>
      <c r="D1829" s="309"/>
      <c r="E1829" s="309"/>
      <c r="F1829" s="309"/>
      <c r="G1829" s="310"/>
      <c r="H1829" s="270"/>
      <c r="I1829" s="270"/>
      <c r="J1829" s="270"/>
      <c r="K1829" s="270"/>
      <c r="L1829" s="270"/>
      <c r="M1829" s="262"/>
      <c r="N1829" s="263"/>
      <c r="O1829" s="263"/>
      <c r="P1829" s="264"/>
      <c r="Q1829" s="139" t="str">
        <f ca="1">IF($Q1828&lt;&gt;"",IF($B1831&lt;&gt;"Missing Player",IF($Q1828="W",IF(SUM(IF($H1828&gt;$H1830,1,0),IF($I1828&gt;$I1830,1,0),IF($J1828&gt;$J1830,1,0),IF($K1828&gt;$K1830,1,0),IF($L1828&gt;$L1830,1,0))&lt;&gt;3,"Error",""),""),""),"")</f>
        <v/>
      </c>
      <c r="R1829" s="328" t="str">
        <f>$A1795</f>
        <v/>
      </c>
      <c r="S1829" s="328"/>
      <c r="T1829" s="328"/>
      <c r="U1829" s="328"/>
      <c r="V1829" s="328"/>
      <c r="W1829" s="328"/>
      <c r="X1829" s="256" t="str">
        <f>CONCATENATE("(",$B1794," vs ",$K1794,")")</f>
        <v>(C vs F)</v>
      </c>
      <c r="Y1829" s="256"/>
      <c r="Z1829" s="328" t="str">
        <f>$J1795</f>
        <v/>
      </c>
      <c r="AA1829" s="328"/>
      <c r="AB1829" s="328"/>
      <c r="AC1829" s="328"/>
      <c r="AD1829" s="328"/>
      <c r="AE1829" s="328"/>
      <c r="AF1829" s="43"/>
    </row>
    <row r="1830" spans="1:32" ht="12.75" customHeight="1">
      <c r="A1830" s="325" t="str">
        <f>K1794</f>
        <v>F</v>
      </c>
      <c r="B1830" s="311" t="str">
        <f ca="1">IF($B1802&lt;&gt;"",$B1802,"")</f>
        <v/>
      </c>
      <c r="C1830" s="312"/>
      <c r="D1830" s="312"/>
      <c r="E1830" s="312"/>
      <c r="F1830" s="312"/>
      <c r="G1830" s="313"/>
      <c r="H1830" s="265"/>
      <c r="I1830" s="265"/>
      <c r="J1830" s="265"/>
      <c r="K1830" s="265"/>
      <c r="L1830" s="265" t="str">
        <f ca="1">IF($B1823&lt;&gt;"",IF(AND($B1823="Missing Player",$G1832=2,$J1832=2),0,IF(AND($B1821="Missing Player",$G1832=2,$J1832=2),11,"")),"")</f>
        <v/>
      </c>
      <c r="M1830" s="267" t="s">
        <v>1237</v>
      </c>
      <c r="N1830" s="268"/>
      <c r="O1830" s="268"/>
      <c r="P1830" s="269"/>
      <c r="Q1830" s="138" t="str">
        <f ca="1">IF(Q1828&lt;&gt;"",IF(Q1828="W","L","W"),"")</f>
        <v/>
      </c>
      <c r="R1830" s="43"/>
      <c r="S1830" s="43"/>
      <c r="T1830" s="43"/>
      <c r="U1830" s="43"/>
      <c r="V1830" s="43"/>
      <c r="W1830" s="43"/>
      <c r="X1830" s="43"/>
      <c r="Y1830" s="43"/>
      <c r="Z1830" s="43"/>
      <c r="AA1830" s="43"/>
      <c r="AB1830" s="43"/>
      <c r="AC1830" s="43"/>
      <c r="AD1830" s="43"/>
      <c r="AE1830" s="43"/>
      <c r="AF1830" s="43"/>
    </row>
    <row r="1831" spans="1:32" ht="12.75" customHeight="1">
      <c r="A1831" s="324"/>
      <c r="B1831" s="308" t="str">
        <f ca="1">IF($B1823="Missing Player",$B1823,"")</f>
        <v/>
      </c>
      <c r="C1831" s="309"/>
      <c r="D1831" s="309"/>
      <c r="E1831" s="309"/>
      <c r="F1831" s="309"/>
      <c r="G1831" s="310"/>
      <c r="H1831" s="270"/>
      <c r="I1831" s="270"/>
      <c r="J1831" s="266"/>
      <c r="K1831" s="266"/>
      <c r="L1831" s="266"/>
      <c r="M1831" s="267"/>
      <c r="N1831" s="268"/>
      <c r="O1831" s="268"/>
      <c r="P1831" s="269"/>
      <c r="Q1831" s="139" t="str">
        <f ca="1">IF($Q1830&lt;&gt;"",IF($B1829&lt;&gt;"Missing Player",IF($Q1830="W",IF(SUM(IF($H1830&gt;$H1828,1,0),IF($I1830&gt;$I1828,1,0),IF($J1830&gt;$J1828,1,0),IF($K1830&gt;$K1828,1,0),IF($L1830&gt;$L1828,1,0))&lt;&gt;3,"Error",""),""),""),"")</f>
        <v/>
      </c>
      <c r="R1831" s="43" t="str">
        <f>A1819</f>
        <v>4th Singles</v>
      </c>
      <c r="S1831" s="43"/>
      <c r="T1831" s="43"/>
      <c r="U1831" s="43"/>
      <c r="V1831" s="43"/>
      <c r="W1831" s="43"/>
      <c r="X1831" s="43"/>
      <c r="Y1831" s="43"/>
      <c r="Z1831" s="43"/>
      <c r="AA1831" s="43"/>
      <c r="AB1831" s="43"/>
      <c r="AC1831" s="43"/>
      <c r="AD1831" s="43"/>
      <c r="AE1831" s="43"/>
      <c r="AF1831" s="43"/>
    </row>
    <row r="1832" spans="1:32" ht="12.75" customHeight="1">
      <c r="G1832" s="66">
        <f ca="1">COUNTIF($Q1800:$Q1800,"W")+COUNTIF($Q1807:$Q1807,"W")+COUNTIF($Q1814:$Q1814,"W")+COUNTIF($Q1821:$Q1821,"W")</f>
        <v>0</v>
      </c>
      <c r="J1832" s="66">
        <f ca="1">COUNTIF($Q1802:$Q1802,"W")+COUNTIF($Q1809:$Q1809,"W")+COUNTIF($Q1816:$Q1816,"W")+COUNTIF($Q1823:$Q1823,"W")</f>
        <v>0</v>
      </c>
      <c r="R1832" s="60" t="s">
        <v>1228</v>
      </c>
      <c r="S1832" s="339" t="s">
        <v>1126</v>
      </c>
      <c r="T1832" s="340"/>
      <c r="U1832" s="340"/>
      <c r="V1832" s="340"/>
      <c r="W1832" s="340"/>
      <c r="X1832" s="341"/>
      <c r="Y1832" s="60">
        <v>1</v>
      </c>
      <c r="Z1832" s="60">
        <v>2</v>
      </c>
      <c r="AA1832" s="60">
        <v>3</v>
      </c>
      <c r="AB1832" s="60">
        <v>4</v>
      </c>
      <c r="AC1832" s="60">
        <v>5</v>
      </c>
      <c r="AD1832" s="342"/>
      <c r="AE1832" s="343"/>
      <c r="AF1832" s="344"/>
    </row>
    <row r="1833" spans="1:32" ht="12.75" customHeight="1" thickBot="1">
      <c r="F1833" s="246" t="s">
        <v>1238</v>
      </c>
      <c r="G1833" s="246"/>
      <c r="H1833" s="246"/>
      <c r="I1833" s="246"/>
      <c r="J1833" s="246"/>
      <c r="K1833" s="246"/>
      <c r="R1833" s="300" t="str">
        <f>B1794</f>
        <v>C</v>
      </c>
      <c r="S1833" s="331" t="str">
        <f ca="1">IF($B1821&lt;&gt;"",$B1821,"")</f>
        <v/>
      </c>
      <c r="T1833" s="353"/>
      <c r="U1833" s="353"/>
      <c r="V1833" s="353"/>
      <c r="W1833" s="353"/>
      <c r="X1833" s="354"/>
      <c r="Y1833" s="329"/>
      <c r="Z1833" s="329"/>
      <c r="AA1833" s="351"/>
      <c r="AB1833" s="351"/>
      <c r="AC1833" s="351"/>
      <c r="AD1833" s="345"/>
      <c r="AE1833" s="346"/>
      <c r="AF1833" s="347"/>
    </row>
    <row r="1834" spans="1:32" ht="12.75" customHeight="1">
      <c r="A1834" s="22"/>
      <c r="B1834" s="22"/>
      <c r="C1834" s="22"/>
      <c r="D1834" s="22"/>
      <c r="E1834" s="22"/>
      <c r="G1834" s="304" t="str">
        <f>B1794</f>
        <v>C</v>
      </c>
      <c r="H1834" s="305"/>
      <c r="I1834" s="302" t="str">
        <f>K1794</f>
        <v>F</v>
      </c>
      <c r="J1834" s="303"/>
      <c r="L1834" s="22"/>
      <c r="M1834" s="22"/>
      <c r="N1834" s="22"/>
      <c r="O1834" s="22"/>
      <c r="P1834" s="22"/>
      <c r="R1834" s="301"/>
      <c r="S1834" s="355"/>
      <c r="T1834" s="356"/>
      <c r="U1834" s="356"/>
      <c r="V1834" s="356"/>
      <c r="W1834" s="356"/>
      <c r="X1834" s="357"/>
      <c r="Y1834" s="338"/>
      <c r="Z1834" s="338"/>
      <c r="AA1834" s="352"/>
      <c r="AB1834" s="352"/>
      <c r="AC1834" s="352"/>
      <c r="AD1834" s="348"/>
      <c r="AE1834" s="349"/>
      <c r="AF1834" s="350"/>
    </row>
    <row r="1835" spans="1:32" ht="12.75" customHeight="1" thickBot="1">
      <c r="A1835" s="2" t="s">
        <v>1228</v>
      </c>
      <c r="B1835" s="53" t="str">
        <f>B1794</f>
        <v>C</v>
      </c>
      <c r="C1835" s="3" t="s">
        <v>1226</v>
      </c>
      <c r="F1835" s="66" t="str">
        <f>CONCATENATE($B1794,"-",$K1794)</f>
        <v>C-F</v>
      </c>
      <c r="G1835" s="320" t="str">
        <f ca="1">IF(OR(Q1800&lt;&gt;"",Q1807&lt;&gt;"",Q1814&lt;&gt;"",Q1821&lt;&gt;"",Q1828&lt;&gt;""),COUNTIF(Q1800:Q1800,"W")+COUNTIF(Q1807:Q1807,"W")+COUNTIF(Q1814:Q1814,"W")+COUNTIF(Q1821:Q1821,"W")+COUNTIF(Q1828:Q1828,"W"),"")</f>
        <v/>
      </c>
      <c r="H1835" s="321"/>
      <c r="I1835" s="322" t="str">
        <f ca="1">IF(OR(Q1802&lt;&gt;"",Q1809&lt;&gt;"",Q1816&lt;&gt;"",Q1823&lt;&gt;"",Q1830&lt;&gt;""),COUNTIF(Q1802:Q1802,"W")+COUNTIF(Q1809:Q1809,"W")+COUNTIF(Q1816:Q1816,"W")+COUNTIF(Q1823:Q1823,"W")+COUNTIF(Q1830:Q1830,"W"),"")</f>
        <v/>
      </c>
      <c r="J1835" s="323"/>
      <c r="L1835" s="2" t="s">
        <v>1228</v>
      </c>
      <c r="M1835" s="53" t="str">
        <f>K1794</f>
        <v>F</v>
      </c>
      <c r="N1835" s="3" t="s">
        <v>1226</v>
      </c>
      <c r="R1835" s="300" t="str">
        <f>K1794</f>
        <v>F</v>
      </c>
      <c r="S1835" s="331" t="str">
        <f ca="1">IF($B1823&lt;&gt;"",$B1823,"")</f>
        <v/>
      </c>
      <c r="T1835" s="332"/>
      <c r="U1835" s="332"/>
      <c r="V1835" s="332"/>
      <c r="W1835" s="332"/>
      <c r="X1835" s="333"/>
      <c r="Y1835" s="329"/>
      <c r="Z1835" s="329"/>
      <c r="AA1835" s="351"/>
      <c r="AB1835" s="351"/>
      <c r="AC1835" s="351"/>
      <c r="AD1835" s="363" t="s">
        <v>1237</v>
      </c>
      <c r="AE1835" s="358"/>
      <c r="AF1835" s="359"/>
    </row>
    <row r="1836" spans="1:32" ht="12.75" customHeight="1">
      <c r="F1836" s="25" t="s">
        <v>3996</v>
      </c>
      <c r="G1836" s="23"/>
      <c r="H1836" s="23"/>
      <c r="I1836" s="23"/>
      <c r="J1836" s="23"/>
      <c r="K1836" s="24"/>
      <c r="R1836" s="330"/>
      <c r="S1836" s="334"/>
      <c r="T1836" s="335"/>
      <c r="U1836" s="335"/>
      <c r="V1836" s="335"/>
      <c r="W1836" s="335"/>
      <c r="X1836" s="336"/>
      <c r="Y1836" s="330"/>
      <c r="Z1836" s="330"/>
      <c r="AA1836" s="330"/>
      <c r="AB1836" s="330"/>
      <c r="AC1836" s="330"/>
      <c r="AD1836" s="360"/>
      <c r="AE1836" s="361"/>
      <c r="AF1836" s="362"/>
    </row>
    <row r="1837" spans="1:32" ht="12.75" customHeight="1">
      <c r="R1837" s="1"/>
      <c r="S1837" s="110"/>
      <c r="T1837" s="110"/>
      <c r="U1837" s="110"/>
      <c r="V1837" s="110"/>
      <c r="W1837" s="110"/>
      <c r="X1837" s="111"/>
      <c r="Y1837" s="111"/>
      <c r="Z1837" s="111"/>
      <c r="AA1837" s="111"/>
    </row>
    <row r="1838" spans="1:32" ht="12.75" customHeight="1">
      <c r="F1838" s="246" t="s">
        <v>4929</v>
      </c>
      <c r="G1838" s="246"/>
      <c r="H1838" s="246"/>
      <c r="I1838" s="246"/>
      <c r="R1838" s="1"/>
      <c r="S1838" s="110"/>
      <c r="T1838" s="110"/>
      <c r="U1838" s="110"/>
      <c r="V1838" s="110"/>
      <c r="W1838" s="110"/>
      <c r="X1838" s="111"/>
      <c r="Y1838" s="111"/>
      <c r="Z1838" s="111"/>
      <c r="AA1838" s="111"/>
    </row>
    <row r="1839" spans="1:32" ht="12.75" customHeight="1">
      <c r="F1839" s="246" t="s">
        <v>4930</v>
      </c>
      <c r="G1839" s="246"/>
      <c r="H1839" s="246"/>
      <c r="I1839" s="246"/>
      <c r="R1839" s="1"/>
      <c r="S1839" s="110"/>
      <c r="T1839" s="110"/>
      <c r="U1839" s="110"/>
      <c r="V1839" s="110"/>
      <c r="W1839" s="110"/>
      <c r="X1839" s="111"/>
      <c r="Y1839" s="111"/>
      <c r="Z1839" s="111"/>
      <c r="AA1839" s="111"/>
    </row>
    <row r="1840" spans="1:32" ht="12.75" customHeight="1">
      <c r="K1840" s="281" t="s">
        <v>1244</v>
      </c>
      <c r="L1840" s="281"/>
      <c r="M1840" s="281"/>
      <c r="N1840" s="281"/>
      <c r="O1840" s="281"/>
      <c r="P1840" s="281"/>
      <c r="R1840" s="1"/>
      <c r="S1840" s="110"/>
      <c r="T1840" s="110"/>
      <c r="U1840" s="110"/>
      <c r="V1840" s="110"/>
      <c r="W1840" s="110"/>
      <c r="X1840" s="111"/>
      <c r="Y1840" s="111"/>
      <c r="Z1840" s="111"/>
      <c r="AA1840" s="111"/>
    </row>
    <row r="1841" spans="1:32" ht="12.75" customHeight="1">
      <c r="A1841" s="12" t="s">
        <v>1229</v>
      </c>
      <c r="B1841" s="11"/>
      <c r="C1841" s="11"/>
      <c r="D1841" s="11" t="str">
        <f>Draw!$B$1</f>
        <v>Enter Division Name</v>
      </c>
      <c r="E1841" s="11"/>
      <c r="F1841" s="7"/>
      <c r="G1841" s="6"/>
      <c r="H1841" s="7"/>
      <c r="I1841" s="11"/>
      <c r="J1841" s="11"/>
      <c r="K1841" s="11"/>
      <c r="L1841" s="11"/>
      <c r="M1841" s="281"/>
      <c r="N1841" s="281"/>
      <c r="O1841" s="281"/>
      <c r="P1841" s="281"/>
      <c r="R1841" s="1"/>
      <c r="S1841" s="110"/>
      <c r="T1841" s="110"/>
      <c r="U1841" s="110"/>
      <c r="V1841" s="110"/>
      <c r="W1841" s="110"/>
      <c r="X1841" s="111"/>
      <c r="Y1841" s="111"/>
      <c r="Z1841" s="111"/>
      <c r="AA1841" s="111"/>
    </row>
    <row r="1842" spans="1:32" ht="12.75" customHeight="1">
      <c r="A1842" s="2" t="s">
        <v>1230</v>
      </c>
      <c r="D1842" s="43" t="str">
        <f>Draw!$D$1</f>
        <v>Enter Hosting Location (City, ST)</v>
      </c>
      <c r="J1842" s="43" t="str">
        <f ca="1">$J$6</f>
        <v>[NCTTA Teams Template (v2.06).xlsx]</v>
      </c>
      <c r="R1842" s="1"/>
      <c r="S1842" s="110"/>
      <c r="T1842" s="110"/>
      <c r="U1842" s="110"/>
      <c r="V1842" s="110"/>
      <c r="W1842" s="110"/>
      <c r="X1842" s="111"/>
      <c r="Y1842" s="111"/>
      <c r="Z1842" s="111"/>
      <c r="AA1842" s="111"/>
    </row>
    <row r="1843" spans="1:32" ht="12.75" customHeight="1">
      <c r="A1843" s="2" t="s">
        <v>1231</v>
      </c>
      <c r="D1843" s="337" t="str">
        <f>Draw!$P$1</f>
        <v>Enter Date</v>
      </c>
      <c r="E1843" s="337"/>
      <c r="F1843" s="337"/>
      <c r="G1843" s="337"/>
      <c r="J1843" s="280" t="str">
        <f>CHOOSE(Draw!$T$1,"Round 7, Match 1","","","","","","","","","Round 8, Match 2","Round 8, Match 2")</f>
        <v/>
      </c>
      <c r="K1843" s="280"/>
      <c r="L1843" s="280"/>
      <c r="M1843" s="276" t="str">
        <f>IF(AND($J1843&lt;&gt;"",Draw!$AC$10&lt;&gt;"",Draw!$AC$13&lt;&gt;""),Draw!$AC$10+TIME(0,VALUE(MID($J1843,7,FIND(",",$J1843)-FIND(" ",$J1843)-1)-1)*Draw!$AC$13,0),"")</f>
        <v/>
      </c>
      <c r="N1843" s="276"/>
      <c r="O1843" s="157" t="str">
        <f>$F1886</f>
        <v>C-G</v>
      </c>
      <c r="R1843" s="1"/>
      <c r="S1843" s="110"/>
      <c r="T1843" s="110"/>
      <c r="U1843" s="110"/>
      <c r="V1843" s="110"/>
      <c r="W1843" s="110"/>
      <c r="X1843" s="111"/>
      <c r="Y1843" s="111"/>
      <c r="Z1843" s="111"/>
      <c r="AA1843" s="111"/>
    </row>
    <row r="1844" spans="1:32" ht="12.75" customHeight="1">
      <c r="A1844" s="14"/>
      <c r="B1844" s="15"/>
      <c r="C1844" s="15"/>
      <c r="D1844" s="15"/>
      <c r="E1844" s="15"/>
      <c r="F1844" s="14"/>
      <c r="G1844" s="14"/>
      <c r="H1844" s="16"/>
      <c r="I1844" s="14"/>
      <c r="J1844" s="15"/>
      <c r="K1844" s="15"/>
      <c r="L1844" s="15"/>
      <c r="M1844" s="15"/>
      <c r="N1844" s="15"/>
      <c r="O1844" s="364" t="str">
        <f>IF(OR(AND(VLOOKUP($B1845,$AM$1:$AX$12,12,FALSE)="C",VLOOKUP($K1845,$AM$1:$AX$12,12,FALSE)="C"),AND(VLOOKUP($B1845,$AM$1:$AX$12,12,FALSE)="W",VLOOKUP($K1845,$AM$1:$AX$12,12,FALSE)="W")),"Official",IF(AND($A1846="",$J1846=""),"","Scrimmage"))</f>
        <v/>
      </c>
      <c r="P1844" s="364"/>
      <c r="R1844" s="1"/>
      <c r="S1844" s="110"/>
      <c r="T1844" s="110"/>
      <c r="U1844" s="110"/>
      <c r="V1844" s="110"/>
      <c r="W1844" s="110"/>
      <c r="X1844" s="111"/>
      <c r="Y1844" s="111"/>
      <c r="Z1844" s="111"/>
      <c r="AA1844" s="111"/>
    </row>
    <row r="1845" spans="1:32" ht="12.75" customHeight="1">
      <c r="A1845" s="17" t="s">
        <v>1228</v>
      </c>
      <c r="B1845" s="119" t="str">
        <f>CHOOSE(Draw!$T$1,"A","B","C","C","D","D","D","C","A","C","D")</f>
        <v>C</v>
      </c>
      <c r="C1845" s="135">
        <f>VLOOKUP($B1845,$AM$1:$AN$12,2)</f>
        <v>3</v>
      </c>
      <c r="D1845" s="13"/>
      <c r="E1845" s="13"/>
      <c r="F1845" s="10"/>
      <c r="H1845" s="19" t="s">
        <v>1232</v>
      </c>
      <c r="J1845" s="17" t="s">
        <v>1228</v>
      </c>
      <c r="K1845" s="119" t="str">
        <f>CHOOSE(Draw!$T$1,"F","G","G","J","K","J","H","I","J","J","F")</f>
        <v>G</v>
      </c>
      <c r="L1845" s="135">
        <f>VLOOKUP($K1845,$AM$1:$AN$12,2)</f>
        <v>7</v>
      </c>
      <c r="M1845" s="13"/>
      <c r="N1845" s="13"/>
      <c r="O1845" s="18"/>
      <c r="P1845" s="274"/>
      <c r="Q1845" s="275"/>
      <c r="R1845" s="1"/>
      <c r="S1845" s="110"/>
      <c r="T1845" s="110"/>
      <c r="U1845" s="110"/>
      <c r="V1845" s="110"/>
      <c r="W1845" s="110"/>
      <c r="X1845" s="111"/>
      <c r="Y1845" s="111"/>
      <c r="Z1845" s="111"/>
      <c r="AA1845" s="111"/>
    </row>
    <row r="1846" spans="1:32" ht="12.75" customHeight="1">
      <c r="A1846" s="277" t="str">
        <f>IF(VLOOKUP($B1845,Draw!$A$4:$B$27,2)&lt;&gt;0,VLOOKUP($B1845,Draw!$A$4:$B$27,2),"")</f>
        <v/>
      </c>
      <c r="B1846" s="278"/>
      <c r="C1846" s="278"/>
      <c r="D1846" s="278"/>
      <c r="E1846" s="278"/>
      <c r="F1846" s="279"/>
      <c r="G1846" s="306" t="s">
        <v>4188</v>
      </c>
      <c r="H1846" s="289"/>
      <c r="I1846" s="307"/>
      <c r="J1846" s="277" t="str">
        <f>IF(VLOOKUP($K1845,Draw!$A$4:$B$27,2)&lt;&gt;0,VLOOKUP($K1845,Draw!$A$4:$B$27,2),"")</f>
        <v/>
      </c>
      <c r="K1846" s="278"/>
      <c r="L1846" s="278"/>
      <c r="M1846" s="278"/>
      <c r="N1846" s="278"/>
      <c r="O1846" s="279"/>
      <c r="P1846" s="15"/>
      <c r="R1846" s="1"/>
      <c r="S1846" s="110"/>
      <c r="T1846" s="110"/>
      <c r="U1846" s="110"/>
      <c r="V1846" s="110"/>
      <c r="W1846" s="110"/>
      <c r="X1846" s="111"/>
      <c r="Y1846" s="111"/>
      <c r="Z1846" s="111"/>
      <c r="AA1846" s="111"/>
    </row>
    <row r="1847" spans="1:32" ht="12.75" customHeight="1">
      <c r="A1847" s="14"/>
      <c r="B1847" s="15"/>
      <c r="C1847" s="15"/>
      <c r="D1847" s="15"/>
      <c r="E1847" s="15"/>
      <c r="F1847" s="14"/>
      <c r="G1847" s="288" t="str">
        <f>"Page "&amp;VALUE(RIGHT($G1846,LEN($G1846)-SEARCH("-",$G1846)))/2</f>
        <v>Page 37</v>
      </c>
      <c r="H1847" s="289"/>
      <c r="I1847" s="289"/>
      <c r="J1847" s="15"/>
      <c r="K1847" s="15"/>
      <c r="L1847" s="15"/>
      <c r="M1847" s="15"/>
      <c r="N1847" s="15"/>
      <c r="O1847" s="15"/>
      <c r="P1847" s="15"/>
      <c r="R1847" s="1"/>
      <c r="S1847" s="110"/>
      <c r="T1847" s="110"/>
      <c r="U1847" s="110"/>
      <c r="V1847" s="110"/>
      <c r="W1847" s="110"/>
      <c r="X1847" s="111"/>
      <c r="Y1847" s="111"/>
      <c r="Z1847" s="111"/>
      <c r="AA1847" s="111"/>
      <c r="AF1847" s="27"/>
    </row>
    <row r="1848" spans="1:32" ht="12.75" customHeight="1">
      <c r="A1848" s="327" t="s">
        <v>1245</v>
      </c>
      <c r="B1848" s="327"/>
      <c r="C1848" s="327"/>
      <c r="D1848" s="327"/>
      <c r="E1848" s="327"/>
      <c r="F1848" s="327"/>
      <c r="G1848" s="327"/>
      <c r="H1848" s="327"/>
      <c r="I1848" s="327"/>
      <c r="J1848" s="327"/>
      <c r="K1848" s="327"/>
      <c r="L1848" s="327"/>
      <c r="M1848" s="327"/>
      <c r="N1848" s="327"/>
      <c r="O1848" s="327"/>
      <c r="P1848" s="327"/>
      <c r="Q1848" s="7"/>
      <c r="R1848" s="1"/>
      <c r="S1848" s="110"/>
      <c r="T1848" s="110"/>
      <c r="U1848" s="110"/>
      <c r="V1848" s="110"/>
      <c r="W1848" s="110"/>
      <c r="X1848" s="111"/>
      <c r="Y1848" s="111"/>
      <c r="Z1848" s="111"/>
      <c r="AA1848" s="111"/>
      <c r="AF1848" s="20"/>
    </row>
    <row r="1849" spans="1:32" ht="12.75" customHeight="1">
      <c r="A1849" s="21" t="s">
        <v>1233</v>
      </c>
      <c r="H1849" s="136" t="str">
        <f>IF($Q1851&lt;&gt;"",IF(AND(AND($H1851&gt;-1,$H1853&gt;-1),OR($H1851&gt;10,$H1853&gt;10),ABS($H1851-$H1853)&gt;1,IF(OR($H1851&gt;11,$H1853&gt;11),ABS($H1851-$H1853)=2,TRUE),$H1851=INT($H1851),$H1853=INT($H1853)),"","Error"),"")</f>
        <v/>
      </c>
      <c r="I1849" s="136" t="str">
        <f>IF($Q1851&lt;&gt;"",IF(AND(AND($I1851&gt;-1,$I1853&gt;-1),OR($I1851&gt;10,$I1853&gt;10),ABS($I1851-$I1853)&gt;1,IF(OR($I1851&gt;11,$I1853&gt;11),ABS($I1851-$I1853)=2,TRUE),$I1851=INT($I1851),$I1853=INT($I1853)),"","Error"),"")</f>
        <v/>
      </c>
      <c r="J1849" s="136" t="str">
        <f>IF($Q1851&lt;&gt;"",IF(AND(AND($J1851&gt;-1,$J1853&gt;-1),OR($J1851&gt;10,$J1853&gt;10),ABS($J1851-$J1853)&gt;1,IF(OR($J1851&gt;11,$J1853&gt;11),ABS($J1851-$J1853)=2,TRUE),$J1851=INT($J1851),$J1853=INT($J1853)),"","Error"),"")</f>
        <v/>
      </c>
      <c r="K1849" s="136" t="str">
        <f>IF($Q1851&lt;&gt;"",IF(AND($K1851&lt;&gt;"",$K1853&lt;&gt;""), IF(AND(AND($K1851&gt;-1,$K1853&gt;-1),OR($K1851&gt;10,$K1853&gt;10),ABS($K1851-$K1853)&gt;1,IF(OR($K1851&gt;11,$K1853&gt;11),ABS($K1851-$K1853)=2,TRUE),$K1851=INT($K1851),$K1853=INT($K1853)),"","Error"),""),"")</f>
        <v/>
      </c>
      <c r="L1849" s="136" t="str">
        <f>IF($Q1851&lt;&gt;"",IF(AND($L1851&lt;&gt;"",$L1853&lt;&gt;""), IF(AND(AND($L1851&gt;-1,$L1853&gt;-1),OR($L1851&gt;10,$L1853&gt;10),ABS($L1851-$L1853)&gt;1,IF(OR($L1851&gt;11,$L1853&gt;11),ABS($L1851-$L1853)=2,TRUE),$L1851=INT($L1851),$L1853=INT($L1853)),"","Error"),""),"")</f>
        <v/>
      </c>
      <c r="R1849" s="1"/>
      <c r="S1849" s="110"/>
      <c r="T1849" s="110"/>
      <c r="U1849" s="110"/>
      <c r="V1849" s="110"/>
      <c r="W1849" s="110"/>
      <c r="X1849" s="111"/>
      <c r="Y1849" s="111"/>
      <c r="Z1849" s="111"/>
      <c r="AA1849" s="111"/>
    </row>
    <row r="1850" spans="1:32" ht="12.75" customHeight="1">
      <c r="A1850" s="5" t="s">
        <v>1228</v>
      </c>
      <c r="B1850" s="290" t="s">
        <v>1126</v>
      </c>
      <c r="C1850" s="291"/>
      <c r="D1850" s="291"/>
      <c r="E1850" s="291"/>
      <c r="F1850" s="291"/>
      <c r="G1850" s="292"/>
      <c r="H1850" s="5">
        <v>1</v>
      </c>
      <c r="I1850" s="5">
        <v>2</v>
      </c>
      <c r="J1850" s="5">
        <v>3</v>
      </c>
      <c r="K1850" s="5">
        <v>4</v>
      </c>
      <c r="L1850" s="5">
        <v>5</v>
      </c>
      <c r="M1850" s="271"/>
      <c r="N1850" s="272"/>
      <c r="O1850" s="272"/>
      <c r="P1850" s="273"/>
      <c r="R1850" s="1"/>
      <c r="S1850" s="110"/>
      <c r="T1850" s="110"/>
      <c r="U1850" s="110"/>
      <c r="V1850" s="110"/>
      <c r="W1850" s="110"/>
      <c r="X1850" s="111"/>
      <c r="Y1850" s="111"/>
      <c r="Z1850" s="111"/>
      <c r="AA1850" s="111"/>
    </row>
    <row r="1851" spans="1:32" ht="12.75" customHeight="1">
      <c r="A1851" s="300" t="str">
        <f>B1845</f>
        <v>C</v>
      </c>
      <c r="B1851" s="293" t="str">
        <f ca="1">IF(AND(OFFSET($AO$1,$C1845-1,8,1,1),$A1846&lt;&gt;"",$J1846&lt;&gt;""),CHOOSE($C1845,$AO$1,$AO$2,$AO$3,$AO$4,$AO$5,$AO$6,$AO$7,$AO$8,$AO$9,$AO$10,$AO$11,$AO$12),"")</f>
        <v/>
      </c>
      <c r="C1851" s="294"/>
      <c r="D1851" s="294"/>
      <c r="E1851" s="294"/>
      <c r="F1851" s="294"/>
      <c r="G1851" s="294"/>
      <c r="H1851" s="265"/>
      <c r="I1851" s="265"/>
      <c r="J1851" s="265"/>
      <c r="K1851" s="265"/>
      <c r="L1851" s="265"/>
      <c r="M1851" s="297"/>
      <c r="N1851" s="298"/>
      <c r="O1851" s="298"/>
      <c r="P1851" s="299"/>
      <c r="Q1851" s="137" t="str">
        <f>IF($L1851=$L1853,IF($K1851=$K1853,IF($J1851&lt;&gt;"",IF($J1851&gt;$J1853,"W","L"),""),IF($K1851&gt;$K1853,"W","L")),IF($L1851&gt;$L1853,"W","L"))</f>
        <v/>
      </c>
      <c r="R1851" s="1"/>
      <c r="S1851" s="110"/>
      <c r="T1851" s="110"/>
      <c r="U1851" s="110"/>
      <c r="V1851" s="110"/>
      <c r="W1851" s="110"/>
      <c r="X1851" s="111"/>
      <c r="Y1851" s="111"/>
      <c r="Z1851" s="111"/>
      <c r="AA1851" s="111"/>
    </row>
    <row r="1852" spans="1:32" ht="12.75" customHeight="1">
      <c r="A1852" s="301"/>
      <c r="B1852" s="295"/>
      <c r="C1852" s="296"/>
      <c r="D1852" s="296"/>
      <c r="E1852" s="296"/>
      <c r="F1852" s="296"/>
      <c r="G1852" s="296"/>
      <c r="H1852" s="270"/>
      <c r="I1852" s="270"/>
      <c r="J1852" s="270"/>
      <c r="K1852" s="270"/>
      <c r="L1852" s="270"/>
      <c r="M1852" s="297"/>
      <c r="N1852" s="298"/>
      <c r="O1852" s="298"/>
      <c r="P1852" s="299"/>
      <c r="Q1852" s="139" t="str">
        <f>IF($Q1851&lt;&gt;"",IF($Q1851="W",IF(SUM(IF($H1851&gt;$H1853,1,0),IF($I1851&gt;$I1853,1,0),IF($J1851&gt;$J1853,1,0),IF($K1851&gt;$K1853,1,0),IF($L1851&gt;$L1853,1,0))&lt;&gt;3,"Error",""),""),"")</f>
        <v/>
      </c>
      <c r="R1852" s="328" t="str">
        <f>$A1846</f>
        <v/>
      </c>
      <c r="S1852" s="328"/>
      <c r="T1852" s="328"/>
      <c r="U1852" s="328"/>
      <c r="V1852" s="328"/>
      <c r="W1852" s="328"/>
      <c r="X1852" s="256" t="str">
        <f>CONCATENATE("(",$B1845," vs ",$K1845,")")</f>
        <v>(C vs G)</v>
      </c>
      <c r="Y1852" s="256"/>
      <c r="Z1852" s="328" t="str">
        <f>$J1846</f>
        <v/>
      </c>
      <c r="AA1852" s="328"/>
      <c r="AB1852" s="328"/>
      <c r="AC1852" s="328"/>
      <c r="AD1852" s="328"/>
      <c r="AE1852" s="328"/>
      <c r="AF1852" s="43"/>
    </row>
    <row r="1853" spans="1:32" ht="12.75" customHeight="1">
      <c r="A1853" s="300" t="str">
        <f>K1845</f>
        <v>G</v>
      </c>
      <c r="B1853" s="293" t="str">
        <f ca="1">IF(AND(OFFSET($AO$1,$L1845-1,8,1,1),$A1846&lt;&gt;"",$J1846&lt;&gt;""),CHOOSE($L1845,$AO$1,$AO$2,$AO$3,$AO$4,$AO$5,$AO$6,$AO$7,$AO$8,$AO$9,$AO$10,$AO$11,$AO$12),"")</f>
        <v/>
      </c>
      <c r="C1853" s="294"/>
      <c r="D1853" s="294"/>
      <c r="E1853" s="294"/>
      <c r="F1853" s="294"/>
      <c r="G1853" s="294"/>
      <c r="H1853" s="265"/>
      <c r="I1853" s="265"/>
      <c r="J1853" s="265"/>
      <c r="K1853" s="265"/>
      <c r="L1853" s="265"/>
      <c r="M1853" s="267" t="s">
        <v>1237</v>
      </c>
      <c r="N1853" s="268"/>
      <c r="O1853" s="268"/>
      <c r="P1853" s="269"/>
      <c r="Q1853" s="137" t="str">
        <f>IF($Q1851&lt;&gt;"",IF($Q1851="W","L","W"),"")</f>
        <v/>
      </c>
      <c r="R1853" s="43"/>
      <c r="S1853" s="43"/>
      <c r="T1853" s="43"/>
      <c r="U1853" s="43"/>
      <c r="V1853" s="43"/>
      <c r="W1853" s="43"/>
      <c r="X1853" s="43"/>
      <c r="Y1853" s="43"/>
      <c r="Z1853" s="43"/>
      <c r="AA1853" s="43"/>
      <c r="AB1853" s="43"/>
      <c r="AC1853" s="43"/>
      <c r="AD1853" s="43"/>
      <c r="AE1853" s="43"/>
      <c r="AF1853" s="43"/>
    </row>
    <row r="1854" spans="1:32" ht="12.75" customHeight="1">
      <c r="A1854" s="301"/>
      <c r="B1854" s="295"/>
      <c r="C1854" s="296"/>
      <c r="D1854" s="296"/>
      <c r="E1854" s="296"/>
      <c r="F1854" s="296"/>
      <c r="G1854" s="296"/>
      <c r="H1854" s="270"/>
      <c r="I1854" s="270"/>
      <c r="J1854" s="266"/>
      <c r="K1854" s="266"/>
      <c r="L1854" s="266"/>
      <c r="M1854" s="267"/>
      <c r="N1854" s="268"/>
      <c r="O1854" s="268"/>
      <c r="P1854" s="269"/>
      <c r="Q1854" s="139" t="str">
        <f>IF($Q1853&lt;&gt;"",IF($Q1853="W",IF(SUM(IF($H1853&gt;$H1851,1,0),IF($I1853&gt;$I1851,1,0),IF($J1853&gt;$J1851,1,0),IF($K1853&gt;$K1851,1,0),IF($L1853&gt;$L1851,1,0))&lt;&gt;3,"Error",""),""),"")</f>
        <v/>
      </c>
      <c r="R1854" s="43" t="str">
        <f>$A1856</f>
        <v>2nd Singles</v>
      </c>
      <c r="S1854" s="43"/>
      <c r="T1854" s="43"/>
      <c r="U1854" s="43"/>
      <c r="V1854" s="43"/>
      <c r="W1854" s="43"/>
      <c r="X1854" s="43"/>
      <c r="Y1854" s="43"/>
      <c r="Z1854" s="43"/>
      <c r="AA1854" s="43"/>
      <c r="AB1854" s="43"/>
      <c r="AC1854" s="43"/>
      <c r="AD1854" s="43"/>
      <c r="AE1854" s="43"/>
      <c r="AF1854" s="43"/>
    </row>
    <row r="1855" spans="1:32" ht="12.75" customHeight="1">
      <c r="Q1855" s="7"/>
      <c r="R1855" s="60" t="s">
        <v>1228</v>
      </c>
      <c r="S1855" s="339" t="s">
        <v>1126</v>
      </c>
      <c r="T1855" s="340"/>
      <c r="U1855" s="340"/>
      <c r="V1855" s="340"/>
      <c r="W1855" s="340"/>
      <c r="X1855" s="341"/>
      <c r="Y1855" s="60">
        <v>1</v>
      </c>
      <c r="Z1855" s="60">
        <v>2</v>
      </c>
      <c r="AA1855" s="60">
        <v>3</v>
      </c>
      <c r="AB1855" s="60">
        <v>4</v>
      </c>
      <c r="AC1855" s="60">
        <v>5</v>
      </c>
      <c r="AD1855" s="342"/>
      <c r="AE1855" s="343"/>
      <c r="AF1855" s="344"/>
    </row>
    <row r="1856" spans="1:32" ht="12.75" customHeight="1">
      <c r="A1856" s="21" t="s">
        <v>1234</v>
      </c>
      <c r="H1856" s="136" t="str">
        <f>IF($Q1858&lt;&gt;"",IF(AND(AND($H1858&gt;-1,$H1860&gt;-1),OR($H1858&gt;10,$H1860&gt;10),ABS($H1858-$H1860)&gt;1,IF(OR($H1858&gt;11,$H1860&gt;11),ABS($H1858-$H1860)=2,TRUE),$H1858=INT($H1858),$H1860=INT($H1860)),"","Error"),"")</f>
        <v/>
      </c>
      <c r="I1856" s="136" t="str">
        <f>IF($Q1858&lt;&gt;"",IF(AND(AND($I1858&gt;-1,$I1860&gt;-1),OR($I1858&gt;10,$I1860&gt;10),ABS($I1858-$I1860)&gt;1,IF(OR($I1858&gt;11,$I1860&gt;11),ABS($I1858-$I1860)=2,TRUE),$I1858=INT($I1858),$I1860=INT($I1860)),"","Error"),"")</f>
        <v/>
      </c>
      <c r="J1856" s="136" t="str">
        <f>IF($Q1858&lt;&gt;"",IF(AND(AND($J1858&gt;-1,$J1860&gt;-1),OR($J1858&gt;10,$J1860&gt;10),ABS($J1858-$J1860)&gt;1,IF(OR($J1858&gt;11,$J1860&gt;11),ABS($J1858-$J1860)=2,TRUE),$J1858=INT($J1858),$J1860=INT($J1860)),"","Error"),"")</f>
        <v/>
      </c>
      <c r="K1856" s="136" t="str">
        <f>IF($Q1858&lt;&gt;"",IF(AND($K1858&lt;&gt;"",$K1860&lt;&gt;""), IF(AND(AND($K1858&gt;-1,$K1860&gt;-1),OR($K1858&gt;10,$K1860&gt;10),ABS($K1858-$K1860)&gt;1,IF(OR($K1858&gt;11,$K1860&gt;11),ABS($K1858-$K1860)=2,TRUE),$K1858=INT($K1858),$K1860=INT($K1860)),"","Error"),""),"")</f>
        <v/>
      </c>
      <c r="L1856" s="136" t="str">
        <f>IF($Q1858&lt;&gt;"",IF(AND($L1858&lt;&gt;"",$L1860&lt;&gt;""), IF(AND(AND($L1858&gt;-1,$L1860&gt;-1),OR($L1858&gt;10,$L1860&gt;10),ABS($L1858-$L1860)&gt;1,IF(OR($L1858&gt;11,$L1860&gt;11),ABS($L1858-$L1860)=2,TRUE),$L1858=INT($L1858),$L1860=INT($L1860)),"","Error"),""),"")</f>
        <v/>
      </c>
      <c r="Q1856" s="7"/>
      <c r="R1856" s="300" t="str">
        <f>$B1845</f>
        <v>C</v>
      </c>
      <c r="S1856" s="331" t="str">
        <f ca="1">IF($B1858&lt;&gt;"",$B1858,"")</f>
        <v/>
      </c>
      <c r="T1856" s="332"/>
      <c r="U1856" s="332"/>
      <c r="V1856" s="332"/>
      <c r="W1856" s="332"/>
      <c r="X1856" s="333"/>
      <c r="Y1856" s="329"/>
      <c r="Z1856" s="329"/>
      <c r="AA1856" s="329"/>
      <c r="AB1856" s="329"/>
      <c r="AC1856" s="329"/>
      <c r="AD1856" s="345"/>
      <c r="AE1856" s="358"/>
      <c r="AF1856" s="359"/>
    </row>
    <row r="1857" spans="1:32" ht="12.75" customHeight="1">
      <c r="A1857" s="5" t="s">
        <v>1228</v>
      </c>
      <c r="B1857" s="290" t="s">
        <v>1126</v>
      </c>
      <c r="C1857" s="291"/>
      <c r="D1857" s="291"/>
      <c r="E1857" s="291"/>
      <c r="F1857" s="291"/>
      <c r="G1857" s="292"/>
      <c r="H1857" s="5">
        <v>1</v>
      </c>
      <c r="I1857" s="5">
        <v>2</v>
      </c>
      <c r="J1857" s="5">
        <v>3</v>
      </c>
      <c r="K1857" s="5">
        <v>4</v>
      </c>
      <c r="L1857" s="5">
        <v>5</v>
      </c>
      <c r="M1857" s="271"/>
      <c r="N1857" s="272"/>
      <c r="O1857" s="272"/>
      <c r="P1857" s="273"/>
      <c r="Q1857" s="7"/>
      <c r="R1857" s="330"/>
      <c r="S1857" s="334"/>
      <c r="T1857" s="335"/>
      <c r="U1857" s="335"/>
      <c r="V1857" s="335"/>
      <c r="W1857" s="335"/>
      <c r="X1857" s="336"/>
      <c r="Y1857" s="330"/>
      <c r="Z1857" s="330"/>
      <c r="AA1857" s="330"/>
      <c r="AB1857" s="330"/>
      <c r="AC1857" s="330"/>
      <c r="AD1857" s="360"/>
      <c r="AE1857" s="361"/>
      <c r="AF1857" s="362"/>
    </row>
    <row r="1858" spans="1:32" ht="12.75" customHeight="1">
      <c r="A1858" s="300" t="str">
        <f>B1845</f>
        <v>C</v>
      </c>
      <c r="B1858" s="293" t="str">
        <f ca="1">IF(AND(OFFSET($AO$1,$C1845-1,8,1,1),$A1846&lt;&gt;"",$J1846&lt;&gt;""),CHOOSE($C1845,$AP$1,$AP$2,$AP$3,$AP$4,$AP$5,$AP$6,$AP$7,$AP$8,$AP$9,$AP$10,$AP$11,$AP$12),"")</f>
        <v/>
      </c>
      <c r="C1858" s="294"/>
      <c r="D1858" s="294"/>
      <c r="E1858" s="294"/>
      <c r="F1858" s="294"/>
      <c r="G1858" s="294"/>
      <c r="H1858" s="265"/>
      <c r="I1858" s="265"/>
      <c r="J1858" s="265"/>
      <c r="K1858" s="265"/>
      <c r="L1858" s="265"/>
      <c r="M1858" s="262" t="str">
        <f ca="1">IF(OR(AND($B1851&lt;&gt;"",$B1858&lt;&gt;"",$C1876&lt;=$B1876),AND($B1853&lt;&gt;"",$B1860&lt;&gt;"",$G1876&lt;=$F1876)),"Invalid Lineup","")</f>
        <v/>
      </c>
      <c r="N1858" s="263"/>
      <c r="O1858" s="263"/>
      <c r="P1858" s="264"/>
      <c r="Q1858" s="137" t="str">
        <f>IF($L1858=$L1860,IF($K1858=$K1860,IF($J1858&lt;&gt;"",IF($J1858&gt;$J1860,"W","L"),""),IF($K1858&gt;$K1860,"W","L")),IF($L1858&gt;$L1860,"W","L"))</f>
        <v/>
      </c>
      <c r="R1858" s="300" t="str">
        <f>$K1845</f>
        <v>G</v>
      </c>
      <c r="S1858" s="331" t="str">
        <f ca="1">IF($B1860&lt;&gt;"",$B1860,"")</f>
        <v/>
      </c>
      <c r="T1858" s="332"/>
      <c r="U1858" s="332"/>
      <c r="V1858" s="332"/>
      <c r="W1858" s="332"/>
      <c r="X1858" s="333"/>
      <c r="Y1858" s="329"/>
      <c r="Z1858" s="329"/>
      <c r="AA1858" s="329"/>
      <c r="AB1858" s="329"/>
      <c r="AC1858" s="351"/>
      <c r="AD1858" s="363" t="s">
        <v>1237</v>
      </c>
      <c r="AE1858" s="358"/>
      <c r="AF1858" s="359"/>
    </row>
    <row r="1859" spans="1:32" ht="12.75" customHeight="1">
      <c r="A1859" s="301"/>
      <c r="B1859" s="295"/>
      <c r="C1859" s="296"/>
      <c r="D1859" s="296"/>
      <c r="E1859" s="296"/>
      <c r="F1859" s="296"/>
      <c r="G1859" s="296"/>
      <c r="H1859" s="270"/>
      <c r="I1859" s="270"/>
      <c r="J1859" s="270"/>
      <c r="K1859" s="270"/>
      <c r="L1859" s="270"/>
      <c r="M1859" s="262"/>
      <c r="N1859" s="263"/>
      <c r="O1859" s="263"/>
      <c r="P1859" s="264"/>
      <c r="Q1859" s="139" t="str">
        <f>IF($Q1858&lt;&gt;"",IF($Q1858="W",IF(SUM(IF($H1858&gt;$H1860,1,0),IF($I1858&gt;$I1860,1,0),IF($J1858&gt;$J1860,1,0),IF($K1858&gt;$K1860,1,0),IF($L1858&gt;$L1860,1,0))&lt;&gt;3,"Error",""),""),"")</f>
        <v/>
      </c>
      <c r="R1859" s="330"/>
      <c r="S1859" s="334"/>
      <c r="T1859" s="335"/>
      <c r="U1859" s="335"/>
      <c r="V1859" s="335"/>
      <c r="W1859" s="335"/>
      <c r="X1859" s="336"/>
      <c r="Y1859" s="330"/>
      <c r="Z1859" s="330"/>
      <c r="AA1859" s="330"/>
      <c r="AB1859" s="330"/>
      <c r="AC1859" s="330"/>
      <c r="AD1859" s="360"/>
      <c r="AE1859" s="361"/>
      <c r="AF1859" s="362"/>
    </row>
    <row r="1860" spans="1:32" ht="12.75" customHeight="1">
      <c r="A1860" s="300" t="str">
        <f>K1845</f>
        <v>G</v>
      </c>
      <c r="B1860" s="293" t="str">
        <f ca="1">IF(AND(OFFSET($AO$1,$L1845-1,8,1,1),$A1846&lt;&gt;"",$J1846&lt;&gt;""),CHOOSE($L1845,$AP$1,$AP$2,$AP$3,$AP$4,$AP$5,$AP$6,$AP$7,$AP$8,$AP$9,$AP$10,$AP$11,$AP$12),"")</f>
        <v/>
      </c>
      <c r="C1860" s="294"/>
      <c r="D1860" s="294"/>
      <c r="E1860" s="294"/>
      <c r="F1860" s="294"/>
      <c r="G1860" s="294"/>
      <c r="H1860" s="265"/>
      <c r="I1860" s="265"/>
      <c r="J1860" s="265"/>
      <c r="K1860" s="265"/>
      <c r="L1860" s="265"/>
      <c r="M1860" s="267" t="s">
        <v>1237</v>
      </c>
      <c r="N1860" s="268"/>
      <c r="O1860" s="268"/>
      <c r="P1860" s="269"/>
      <c r="Q1860" s="137" t="str">
        <f>IF($Q1858&lt;&gt;"",IF($Q1858="W","L","W"),"")</f>
        <v/>
      </c>
      <c r="R1860" s="20"/>
      <c r="S1860" s="20"/>
      <c r="T1860" s="20"/>
      <c r="U1860" s="20"/>
      <c r="V1860" s="20"/>
      <c r="W1860" s="20"/>
      <c r="X1860" s="26"/>
      <c r="Y1860" s="26"/>
      <c r="Z1860" s="20"/>
      <c r="AA1860" s="20"/>
      <c r="AB1860" s="20"/>
      <c r="AC1860" s="20"/>
      <c r="AD1860" s="20"/>
      <c r="AE1860" s="20"/>
      <c r="AF1860" s="27"/>
    </row>
    <row r="1861" spans="1:32" ht="12.75" customHeight="1">
      <c r="A1861" s="301"/>
      <c r="B1861" s="295"/>
      <c r="C1861" s="296"/>
      <c r="D1861" s="296"/>
      <c r="E1861" s="296"/>
      <c r="F1861" s="296"/>
      <c r="G1861" s="296"/>
      <c r="H1861" s="270"/>
      <c r="I1861" s="270"/>
      <c r="J1861" s="266"/>
      <c r="K1861" s="266"/>
      <c r="L1861" s="266"/>
      <c r="M1861" s="267"/>
      <c r="N1861" s="268"/>
      <c r="O1861" s="268"/>
      <c r="P1861" s="269"/>
      <c r="Q1861" s="139" t="str">
        <f>IF($Q1860&lt;&gt;"",IF($Q1860="W",IF(SUM(IF($H1860&gt;$H1858,1,0),IF($I1860&gt;$I1858,1,0),IF($J1860&gt;$J1858,1,0),IF($K1860&gt;$K1858,1,0),IF($L1860&gt;$L1858,1,0))&lt;&gt;3,"Error",""),""),"")</f>
        <v/>
      </c>
      <c r="R1861" s="20"/>
      <c r="S1861" s="20"/>
      <c r="T1861" s="20"/>
      <c r="U1861" s="20"/>
      <c r="V1861" s="20"/>
      <c r="W1861" s="20"/>
      <c r="X1861" s="26"/>
      <c r="Y1861" s="26"/>
      <c r="Z1861" s="20"/>
      <c r="AA1861" s="20"/>
      <c r="AB1861" s="20"/>
      <c r="AC1861" s="20"/>
      <c r="AD1861" s="20"/>
      <c r="AE1861" s="20"/>
      <c r="AF1861" s="27"/>
    </row>
    <row r="1862" spans="1:32" ht="12.75" customHeight="1">
      <c r="Q1862" s="7"/>
      <c r="R1862" s="20"/>
      <c r="S1862" s="20"/>
      <c r="T1862" s="20"/>
      <c r="U1862" s="20"/>
      <c r="V1862" s="20"/>
      <c r="W1862" s="20"/>
      <c r="X1862" s="26"/>
      <c r="Y1862" s="26"/>
      <c r="Z1862" s="20"/>
      <c r="AA1862" s="20"/>
      <c r="AB1862" s="20"/>
      <c r="AC1862" s="20"/>
      <c r="AD1862" s="20"/>
      <c r="AE1862" s="20"/>
      <c r="AF1862" s="27"/>
    </row>
    <row r="1863" spans="1:32" ht="12.75" customHeight="1">
      <c r="A1863" s="21" t="s">
        <v>1235</v>
      </c>
      <c r="H1863" s="136" t="str">
        <f>IF($Q1865&lt;&gt;"",IF(AND(AND($H1865&gt;-1,$H1867&gt;-1),OR($H1865&gt;10,$H1867&gt;10),ABS($H1865-$H1867)&gt;1,IF(OR($H1865&gt;11,$H1867&gt;11),ABS($H1865-$H1867)=2,TRUE),$H1865=INT($H1865),$H1867=INT($H1867)),"","Error"),"")</f>
        <v/>
      </c>
      <c r="I1863" s="136" t="str">
        <f>IF($Q1865&lt;&gt;"",IF(AND(AND($I1865&gt;-1,$I1867&gt;-1),OR($I1865&gt;10,$I1867&gt;10),ABS($I1865-$I1867)&gt;1,IF(OR($I1865&gt;11,$I1867&gt;11),ABS($I1865-$I1867)=2,TRUE),$I1865=INT($I1865),$I1867=INT($I1867)),"","Error"),"")</f>
        <v/>
      </c>
      <c r="J1863" s="136" t="str">
        <f>IF($Q1865&lt;&gt;"",IF(AND(AND($J1865&gt;-1,$J1867&gt;-1),OR($J1865&gt;10,$J1867&gt;10),ABS($J1865-$J1867)&gt;1,IF(OR($J1865&gt;11,$J1867&gt;11),ABS($J1865-$J1867)=2,TRUE),$J1865=INT($J1865),$J1867=INT($J1867)),"","Error"),"")</f>
        <v/>
      </c>
      <c r="K1863" s="136" t="str">
        <f>IF($Q1865&lt;&gt;"",IF(AND($K1865&lt;&gt;"",$K1867&lt;&gt;""), IF(AND(AND($K1865&gt;-1,$K1867&gt;-1),OR($K1865&gt;10,$K1867&gt;10),ABS($K1865-$K1867)&gt;1,IF(OR($K1865&gt;11,$K1867&gt;11),ABS($K1865-$K1867)=2,TRUE),$K1865=INT($K1865),$K1867=INT($K1867)),"","Error"),""),"")</f>
        <v/>
      </c>
      <c r="L1863" s="136" t="str">
        <f>IF($Q1865&lt;&gt;"",IF(AND($L1865&lt;&gt;"",$L1867&lt;&gt;""), IF(AND(AND($L1865&gt;-1,$L1867&gt;-1),OR($L1865&gt;10,$L1867&gt;10),ABS($L1865-$L1867)&gt;1,IF(OR($L1865&gt;11,$L1867&gt;11),ABS($L1865-$L1867)=2,TRUE),$L1865=INT($L1865),$L1867=INT($L1867)),"","Error"),""),"")</f>
        <v/>
      </c>
      <c r="Q1863" s="7"/>
      <c r="R1863" s="20"/>
      <c r="S1863" s="20"/>
      <c r="T1863" s="20"/>
      <c r="U1863" s="20"/>
      <c r="V1863" s="20"/>
      <c r="W1863" s="20"/>
      <c r="X1863" s="26"/>
      <c r="Y1863" s="26"/>
      <c r="Z1863" s="20"/>
      <c r="AA1863" s="20"/>
      <c r="AB1863" s="20"/>
      <c r="AC1863" s="20"/>
      <c r="AD1863" s="20"/>
      <c r="AE1863" s="20"/>
      <c r="AF1863" s="27"/>
    </row>
    <row r="1864" spans="1:32" ht="12.75" customHeight="1">
      <c r="A1864" s="5" t="s">
        <v>1228</v>
      </c>
      <c r="B1864" s="290" t="s">
        <v>1126</v>
      </c>
      <c r="C1864" s="291"/>
      <c r="D1864" s="291"/>
      <c r="E1864" s="291"/>
      <c r="F1864" s="291"/>
      <c r="G1864" s="292"/>
      <c r="H1864" s="5">
        <v>1</v>
      </c>
      <c r="I1864" s="5">
        <v>2</v>
      </c>
      <c r="J1864" s="5">
        <v>3</v>
      </c>
      <c r="K1864" s="5">
        <v>4</v>
      </c>
      <c r="L1864" s="5">
        <v>5</v>
      </c>
      <c r="M1864" s="271"/>
      <c r="N1864" s="272"/>
      <c r="O1864" s="272"/>
      <c r="P1864" s="273"/>
      <c r="Q1864" s="7"/>
      <c r="R1864" s="20"/>
      <c r="S1864" s="20"/>
      <c r="T1864" s="20"/>
      <c r="U1864" s="20"/>
      <c r="V1864" s="20"/>
      <c r="W1864" s="20"/>
      <c r="X1864" s="26"/>
      <c r="Y1864" s="26"/>
      <c r="Z1864" s="20"/>
      <c r="AA1864" s="20"/>
      <c r="AB1864" s="20"/>
      <c r="AC1864" s="20"/>
      <c r="AD1864" s="20"/>
      <c r="AE1864" s="20"/>
      <c r="AF1864" s="27"/>
    </row>
    <row r="1865" spans="1:32" ht="12.75" customHeight="1">
      <c r="A1865" s="300" t="str">
        <f>B1845</f>
        <v>C</v>
      </c>
      <c r="B1865" s="293" t="str">
        <f ca="1">IF(AND(OFFSET($AO$1,$C1845-1,8,1,1),$A1846&lt;&gt;"",$J1846&lt;&gt;""),CHOOSE($C1845,$AQ$1,$AQ$2,$AQ$3,$AQ$4,$AQ$5,$AQ$6,$AQ$7,$AQ$8,$AQ$9,$AQ$10,$AQ$11,$AQ$12),"")</f>
        <v/>
      </c>
      <c r="C1865" s="294"/>
      <c r="D1865" s="294"/>
      <c r="E1865" s="294"/>
      <c r="F1865" s="294"/>
      <c r="G1865" s="294"/>
      <c r="H1865" s="265"/>
      <c r="I1865" s="265"/>
      <c r="J1865" s="265"/>
      <c r="K1865" s="265"/>
      <c r="L1865" s="265"/>
      <c r="M1865" s="262" t="str">
        <f ca="1">IF(OR(AND($B1858&lt;&gt;"",$B1865&lt;&gt;"",$D1876&lt;=$C1876),AND($B1860&lt;&gt;"",$B1867&lt;&gt;"",$H1876&lt;=$G1876)),"Invalid Lineup","")</f>
        <v/>
      </c>
      <c r="N1865" s="263"/>
      <c r="O1865" s="263"/>
      <c r="P1865" s="264"/>
      <c r="Q1865" s="137" t="str">
        <f>IF($L1865=$L1867,IF($K1865=$K1867,IF($J1865&lt;&gt;"",IF($J1865&gt;$J1867,"W","L"),""),IF($K1865&gt;$K1867,"W","L")),IF($L1865&gt;$L1867,"W","L"))</f>
        <v/>
      </c>
      <c r="R1865" s="20"/>
      <c r="S1865" s="20"/>
      <c r="T1865" s="20"/>
      <c r="U1865" s="20"/>
      <c r="V1865" s="20"/>
      <c r="W1865" s="20"/>
      <c r="X1865" s="26"/>
      <c r="Y1865" s="26"/>
      <c r="Z1865" s="20"/>
      <c r="AA1865" s="20"/>
      <c r="AB1865" s="20"/>
      <c r="AC1865" s="20"/>
      <c r="AD1865" s="20"/>
      <c r="AE1865" s="20"/>
      <c r="AF1865" s="27"/>
    </row>
    <row r="1866" spans="1:32" ht="12.75" customHeight="1">
      <c r="A1866" s="301"/>
      <c r="B1866" s="295"/>
      <c r="C1866" s="296"/>
      <c r="D1866" s="296"/>
      <c r="E1866" s="296"/>
      <c r="F1866" s="296"/>
      <c r="G1866" s="296"/>
      <c r="H1866" s="270"/>
      <c r="I1866" s="270"/>
      <c r="J1866" s="270"/>
      <c r="K1866" s="270"/>
      <c r="L1866" s="270"/>
      <c r="M1866" s="262"/>
      <c r="N1866" s="263"/>
      <c r="O1866" s="263"/>
      <c r="P1866" s="264"/>
      <c r="Q1866" s="139" t="str">
        <f>IF($Q1865&lt;&gt;"",IF($Q1865="W",IF(SUM(IF($H1865&gt;$H1867,1,0),IF($I1865&gt;$I1867,1,0),IF($J1865&gt;$J1867,1,0),IF($K1865&gt;$K1867,1,0),IF($L1865&gt;$L1867,1,0))&lt;&gt;3,"Error",""),""),"")</f>
        <v/>
      </c>
      <c r="R1866" s="328" t="str">
        <f>$A1846</f>
        <v/>
      </c>
      <c r="S1866" s="328"/>
      <c r="T1866" s="328"/>
      <c r="U1866" s="328"/>
      <c r="V1866" s="328"/>
      <c r="W1866" s="328"/>
      <c r="X1866" s="256" t="str">
        <f>CONCATENATE("(",$B1845," vs ",$K1845,")")</f>
        <v>(C vs G)</v>
      </c>
      <c r="Y1866" s="256"/>
      <c r="Z1866" s="328" t="str">
        <f>$J1846</f>
        <v/>
      </c>
      <c r="AA1866" s="328"/>
      <c r="AB1866" s="328"/>
      <c r="AC1866" s="328"/>
      <c r="AD1866" s="328"/>
      <c r="AE1866" s="328"/>
      <c r="AF1866" s="100"/>
    </row>
    <row r="1867" spans="1:32" ht="12.75" customHeight="1">
      <c r="A1867" s="300" t="str">
        <f>K1845</f>
        <v>G</v>
      </c>
      <c r="B1867" s="293" t="str">
        <f ca="1">IF(AND(OFFSET($AO$1,$L1845-1,8,1,1),$A1846&lt;&gt;"",$J1846&lt;&gt;""),CHOOSE($L1845,$AQ$1,$AQ$2,$AQ$3,$AQ$4,$AQ$5,$AQ$6,$AQ$7,$AQ$8,$AQ$9,$AQ$10,$AQ$11,$AQ$12),"")</f>
        <v/>
      </c>
      <c r="C1867" s="294"/>
      <c r="D1867" s="294"/>
      <c r="E1867" s="294"/>
      <c r="F1867" s="294"/>
      <c r="G1867" s="294"/>
      <c r="H1867" s="265"/>
      <c r="I1867" s="265"/>
      <c r="J1867" s="265"/>
      <c r="K1867" s="265"/>
      <c r="L1867" s="265"/>
      <c r="M1867" s="267" t="s">
        <v>1237</v>
      </c>
      <c r="N1867" s="268"/>
      <c r="O1867" s="268"/>
      <c r="P1867" s="269"/>
      <c r="Q1867" s="137" t="str">
        <f>IF($Q1865&lt;&gt;"",IF($Q1865="W","L","W"),"")</f>
        <v/>
      </c>
      <c r="R1867" s="100"/>
      <c r="S1867" s="100"/>
      <c r="T1867" s="100"/>
      <c r="U1867" s="100"/>
      <c r="V1867" s="100"/>
      <c r="W1867" s="100"/>
      <c r="X1867" s="100"/>
      <c r="Y1867" s="100"/>
      <c r="Z1867" s="100"/>
      <c r="AA1867" s="100"/>
      <c r="AB1867" s="100"/>
      <c r="AC1867" s="100"/>
      <c r="AD1867" s="100"/>
      <c r="AE1867" s="100"/>
      <c r="AF1867" s="100"/>
    </row>
    <row r="1868" spans="1:32" ht="12.75" customHeight="1">
      <c r="A1868" s="301"/>
      <c r="B1868" s="295"/>
      <c r="C1868" s="296"/>
      <c r="D1868" s="296"/>
      <c r="E1868" s="296"/>
      <c r="F1868" s="296"/>
      <c r="G1868" s="296"/>
      <c r="H1868" s="270"/>
      <c r="I1868" s="270"/>
      <c r="J1868" s="266"/>
      <c r="K1868" s="266"/>
      <c r="L1868" s="266"/>
      <c r="M1868" s="267"/>
      <c r="N1868" s="268"/>
      <c r="O1868" s="268"/>
      <c r="P1868" s="269"/>
      <c r="Q1868" s="139" t="str">
        <f>IF($Q1867&lt;&gt;"",IF($Q1867="W",IF(SUM(IF($H1867&gt;$H1865,1,0),IF($I1867&gt;$I1865,1,0),IF($J1867&gt;$J1865,1,0),IF($K1867&gt;$K1865,1,0),IF($L1867&gt;$L1865,1,0))&lt;&gt;3,"Error",""),""),"")</f>
        <v/>
      </c>
      <c r="R1868" s="43" t="str">
        <f>$A1863</f>
        <v>3rd Singles</v>
      </c>
      <c r="S1868" s="43"/>
      <c r="T1868" s="43"/>
      <c r="U1868" s="43"/>
      <c r="V1868" s="43"/>
      <c r="W1868" s="43"/>
      <c r="X1868" s="43"/>
      <c r="Y1868" s="43"/>
      <c r="Z1868" s="43"/>
      <c r="AA1868" s="43"/>
      <c r="AB1868" s="43"/>
      <c r="AC1868" s="43"/>
      <c r="AD1868" s="43"/>
      <c r="AE1868" s="43"/>
      <c r="AF1868" s="43"/>
    </row>
    <row r="1869" spans="1:32" ht="12.75" customHeight="1">
      <c r="Q1869" s="7"/>
      <c r="R1869" s="60" t="s">
        <v>1228</v>
      </c>
      <c r="S1869" s="101" t="s">
        <v>1126</v>
      </c>
      <c r="T1869" s="102"/>
      <c r="U1869" s="102"/>
      <c r="V1869" s="102"/>
      <c r="W1869" s="102"/>
      <c r="X1869" s="103"/>
      <c r="Y1869" s="60">
        <v>1</v>
      </c>
      <c r="Z1869" s="60">
        <v>2</v>
      </c>
      <c r="AA1869" s="60">
        <v>3</v>
      </c>
      <c r="AB1869" s="60">
        <v>4</v>
      </c>
      <c r="AC1869" s="60">
        <v>5</v>
      </c>
      <c r="AD1869" s="104"/>
      <c r="AE1869" s="105"/>
      <c r="AF1869" s="106"/>
    </row>
    <row r="1870" spans="1:32" ht="12.75" customHeight="1">
      <c r="A1870" s="21" t="s">
        <v>1236</v>
      </c>
      <c r="H1870" s="136" t="str">
        <f ca="1">IF($Q1872&lt;&gt;"",IF(AND($B1872&lt;&gt;"Missing Player",$B1874&lt;&gt;"Missing Player"),IF(AND(AND($H1872&gt;-1,$H1874&gt;-1),OR($H1872&gt;10,$H1874&gt;10),ABS($H1872-$H1874)&gt;1,IF(OR($H1872&gt;11,$H1874&gt;11),ABS($H1872-$H1874)=2,TRUE),$H1872=INT($H1872),$H1874=INT($H1874)),"","Error"),""),"")</f>
        <v/>
      </c>
      <c r="I1870" s="136" t="str">
        <f ca="1">IF($Q1872&lt;&gt;"",IF(AND($B1872&lt;&gt;"Missing Player",$B1874&lt;&gt;"Missing Player"),IF(AND(AND($I1872&gt;-1,$I1874&gt;-1),OR($I1872&gt;10,$I1874&gt;10),ABS($I1872-$I1874)&gt;1,IF(OR($I1872&gt;11,$I1874&gt;11),ABS($I1872-$I1874)=2,TRUE),$I1872=INT($I1872),$I1874=INT($I1874)),"","Error"),""),"")</f>
        <v/>
      </c>
      <c r="J1870" s="136" t="str">
        <f ca="1">IF($Q1872&lt;&gt;"",IF(AND($B1872&lt;&gt;"Missing Player",$B1874&lt;&gt;"Missing Player"),IF(AND(AND($J1872&gt;-1,$J1874&gt;-1),OR($J1872&gt;10,$J1874&gt;10),ABS($J1872-$J1874)&gt;1,IF(OR($J1872&gt;11,$J1874&gt;11),ABS($J1872-$J1874)=2,TRUE),$J1872=INT($J1872),$J1874=INT($J1874)),"","Error"),""),"")</f>
        <v/>
      </c>
      <c r="K1870" s="136" t="str">
        <f ca="1">IF($Q1872&lt;&gt;"",IF(AND($K1872&lt;&gt;"",$K1874&lt;&gt;""), IF(AND(AND($K1872&gt;-1,$K1874&gt;-1),OR($K1872&gt;10,$K1874&gt;10),ABS($K1872-$K1874)&gt;1,IF(OR($K1872&gt;11,$K1874&gt;11),ABS($K1872-$K1874)=2,TRUE),$K1872=INT($K1872),$K1874=INT($K1874)),"","Error"),""),"")</f>
        <v/>
      </c>
      <c r="L1870" s="136" t="str">
        <f ca="1">IF($Q1872&lt;&gt;"",IF(AND($L1872&lt;&gt;"",$L1874&lt;&gt;""), IF(AND(AND($L1872&gt;-1,$L1874&gt;-1),OR($L1872&gt;10,$L1874&gt;10),ABS($L1872-$L1874)&gt;1,IF(OR($L1872&gt;11,$L1874&gt;11),ABS($L1872-$L1874)=2,TRUE),$L1872=INT($L1872),$L1874=INT($L1874)),"","Error"),""),"")</f>
        <v/>
      </c>
      <c r="Q1870" s="7"/>
      <c r="R1870" s="300" t="str">
        <f>$B1845</f>
        <v>C</v>
      </c>
      <c r="S1870" s="331" t="str">
        <f ca="1">IF($B1865&lt;&gt;"",$B1865,"")</f>
        <v/>
      </c>
      <c r="T1870" s="332"/>
      <c r="U1870" s="332"/>
      <c r="V1870" s="332"/>
      <c r="W1870" s="332"/>
      <c r="X1870" s="333"/>
      <c r="Y1870" s="329"/>
      <c r="Z1870" s="329"/>
      <c r="AA1870" s="329"/>
      <c r="AB1870" s="329"/>
      <c r="AC1870" s="329"/>
      <c r="AD1870" s="345"/>
      <c r="AE1870" s="358"/>
      <c r="AF1870" s="359"/>
    </row>
    <row r="1871" spans="1:32" ht="12.75" customHeight="1">
      <c r="A1871" s="5" t="s">
        <v>1228</v>
      </c>
      <c r="B1871" s="290" t="s">
        <v>1126</v>
      </c>
      <c r="C1871" s="291"/>
      <c r="D1871" s="291"/>
      <c r="E1871" s="291"/>
      <c r="F1871" s="291"/>
      <c r="G1871" s="292"/>
      <c r="H1871" s="5">
        <v>1</v>
      </c>
      <c r="I1871" s="5">
        <v>2</v>
      </c>
      <c r="J1871" s="5">
        <v>3</v>
      </c>
      <c r="K1871" s="5">
        <v>4</v>
      </c>
      <c r="L1871" s="5">
        <v>5</v>
      </c>
      <c r="M1871" s="271"/>
      <c r="N1871" s="272"/>
      <c r="O1871" s="272"/>
      <c r="P1871" s="273"/>
      <c r="Q1871" s="7"/>
      <c r="R1871" s="330"/>
      <c r="S1871" s="334"/>
      <c r="T1871" s="335"/>
      <c r="U1871" s="335"/>
      <c r="V1871" s="335"/>
      <c r="W1871" s="335"/>
      <c r="X1871" s="336"/>
      <c r="Y1871" s="330"/>
      <c r="Z1871" s="330"/>
      <c r="AA1871" s="330"/>
      <c r="AB1871" s="330"/>
      <c r="AC1871" s="330"/>
      <c r="AD1871" s="360"/>
      <c r="AE1871" s="361"/>
      <c r="AF1871" s="362"/>
    </row>
    <row r="1872" spans="1:32" ht="12.75" customHeight="1">
      <c r="A1872" s="300" t="str">
        <f>B1845</f>
        <v>C</v>
      </c>
      <c r="B1872" s="293" t="str">
        <f ca="1">IF(AND(OFFSET($AO$1,$C1845-1,8,1,1),$A1846&lt;&gt;"",$J1846&lt;&gt;""),CHOOSE($C1845,$AR$1,$AR$2,$AR$3,$AR$4,$AR$5,$AR$6,$AR$7,$AR$8,$AR$9,$AR$10,$AR$11,$AR$12),"")</f>
        <v/>
      </c>
      <c r="C1872" s="294"/>
      <c r="D1872" s="294"/>
      <c r="E1872" s="294"/>
      <c r="F1872" s="294"/>
      <c r="G1872" s="294"/>
      <c r="H1872" s="265"/>
      <c r="I1872" s="265"/>
      <c r="J1872" s="265"/>
      <c r="K1872" s="265"/>
      <c r="L1872" s="265" t="str">
        <f ca="1">IF(AND($B1872&lt;&gt;"",$Q1851&lt;&gt;""),IF($B1872="Missing Player",0,IF($B1874="Missing Player",11,"")),"")</f>
        <v/>
      </c>
      <c r="M1872" s="262" t="str">
        <f ca="1">IF(OR(AND($B1865&lt;&gt;"",$B1872&lt;&gt;"",$E1876&lt;=$D1876),AND($B1867&lt;&gt;"",$B1874&lt;&gt;"",$I1876&lt;=$H1876)),"Invalid Lineup","")</f>
        <v/>
      </c>
      <c r="N1872" s="263"/>
      <c r="O1872" s="263"/>
      <c r="P1872" s="264"/>
      <c r="Q1872" s="137" t="str">
        <f ca="1">IF($L1872=$L1874,IF($K1872=$K1874,IF($J1872&lt;&gt;"",IF($J1872&gt;$J1874,"W","L"),""),IF($K1872&gt;$K1874,"W","L")),IF($L1872&gt;$L1874,"W","L"))</f>
        <v/>
      </c>
      <c r="R1872" s="300" t="str">
        <f>$K1845</f>
        <v>G</v>
      </c>
      <c r="S1872" s="331" t="str">
        <f ca="1">IF($B1867&lt;&gt;"",$B1867,"")</f>
        <v/>
      </c>
      <c r="T1872" s="332"/>
      <c r="U1872" s="332"/>
      <c r="V1872" s="332"/>
      <c r="W1872" s="332"/>
      <c r="X1872" s="333"/>
      <c r="Y1872" s="329"/>
      <c r="Z1872" s="329"/>
      <c r="AA1872" s="329"/>
      <c r="AB1872" s="329"/>
      <c r="AC1872" s="351"/>
      <c r="AD1872" s="363" t="s">
        <v>1237</v>
      </c>
      <c r="AE1872" s="358"/>
      <c r="AF1872" s="359"/>
    </row>
    <row r="1873" spans="1:32" ht="12.75" customHeight="1">
      <c r="A1873" s="301"/>
      <c r="B1873" s="295"/>
      <c r="C1873" s="296"/>
      <c r="D1873" s="296"/>
      <c r="E1873" s="296"/>
      <c r="F1873" s="296"/>
      <c r="G1873" s="296"/>
      <c r="H1873" s="270"/>
      <c r="I1873" s="270"/>
      <c r="J1873" s="270"/>
      <c r="K1873" s="270"/>
      <c r="L1873" s="270"/>
      <c r="M1873" s="262"/>
      <c r="N1873" s="263"/>
      <c r="O1873" s="263"/>
      <c r="P1873" s="264"/>
      <c r="Q1873" s="139" t="str">
        <f ca="1">IF($Q1872&lt;&gt;"",IF($B1874&lt;&gt;"Missing Player",IF($Q1872="W",IF(SUM(IF($H1872&gt;$H1874,1,0),IF($I1872&gt;$I1874,1,0),IF($J1872&gt;$J1874,1,0),IF($K1872&gt;$K1874,1,0),IF($L1872&gt;$L1874,1,0))&lt;&gt;3,"Error",""),""),""),"")</f>
        <v/>
      </c>
      <c r="R1873" s="330"/>
      <c r="S1873" s="334"/>
      <c r="T1873" s="335"/>
      <c r="U1873" s="335"/>
      <c r="V1873" s="335"/>
      <c r="W1873" s="335"/>
      <c r="X1873" s="336"/>
      <c r="Y1873" s="330"/>
      <c r="Z1873" s="330"/>
      <c r="AA1873" s="330"/>
      <c r="AB1873" s="330"/>
      <c r="AC1873" s="330"/>
      <c r="AD1873" s="360"/>
      <c r="AE1873" s="361"/>
      <c r="AF1873" s="362"/>
    </row>
    <row r="1874" spans="1:32" ht="12.75" customHeight="1">
      <c r="A1874" s="300" t="str">
        <f>K1845</f>
        <v>G</v>
      </c>
      <c r="B1874" s="293" t="str">
        <f ca="1">IF(AND(OFFSET($AO$1,$L1845-1,8,1,1),$A1846&lt;&gt;"",$J1846&lt;&gt;""),CHOOSE($L1845,$AR$1,$AR$2,$AR$3,$AR$4,$AR$5,$AR$6,$AR$7,$AR$8,$AR$9,$AR$10,$AR$11,$AR$12),"")</f>
        <v/>
      </c>
      <c r="C1874" s="294"/>
      <c r="D1874" s="294"/>
      <c r="E1874" s="294"/>
      <c r="F1874" s="294"/>
      <c r="G1874" s="294"/>
      <c r="H1874" s="265"/>
      <c r="I1874" s="265"/>
      <c r="J1874" s="265"/>
      <c r="K1874" s="265"/>
      <c r="L1874" s="265" t="str">
        <f ca="1">IF(AND($B1874&lt;&gt;"",$Q1851&lt;&gt;""),IF($B1874="Missing Player",0,IF($B1872="Missing Player",11,"")),"")</f>
        <v/>
      </c>
      <c r="M1874" s="267" t="s">
        <v>1237</v>
      </c>
      <c r="N1874" s="268"/>
      <c r="O1874" s="268"/>
      <c r="P1874" s="269"/>
      <c r="Q1874" s="137" t="str">
        <f ca="1">IF($Q1872&lt;&gt;"",IF($Q1872="W","L","W"),"")</f>
        <v/>
      </c>
      <c r="R1874" s="112"/>
      <c r="S1874" s="98"/>
      <c r="T1874" s="108"/>
      <c r="U1874" s="108"/>
      <c r="V1874" s="108"/>
      <c r="W1874" s="108"/>
      <c r="X1874" s="108"/>
      <c r="Y1874" s="113"/>
      <c r="Z1874" s="113"/>
      <c r="AA1874" s="113"/>
      <c r="AB1874" s="113"/>
      <c r="AC1874" s="113"/>
      <c r="AD1874" s="107"/>
      <c r="AE1874" s="109"/>
      <c r="AF1874" s="109"/>
    </row>
    <row r="1875" spans="1:32" ht="12.75" customHeight="1">
      <c r="A1875" s="301"/>
      <c r="B1875" s="295"/>
      <c r="C1875" s="296"/>
      <c r="D1875" s="296"/>
      <c r="E1875" s="296"/>
      <c r="F1875" s="296"/>
      <c r="G1875" s="296"/>
      <c r="H1875" s="270"/>
      <c r="I1875" s="270"/>
      <c r="J1875" s="266"/>
      <c r="K1875" s="266"/>
      <c r="L1875" s="266"/>
      <c r="M1875" s="267"/>
      <c r="N1875" s="268"/>
      <c r="O1875" s="268"/>
      <c r="P1875" s="269"/>
      <c r="Q1875" s="139" t="str">
        <f ca="1">IF($Q1874&lt;&gt;"",IF($B1872&lt;&gt;"Missing Player",IF($Q1874="W",IF(SUM(IF($H1874&gt;$H1872,1,0),IF($I1874&gt;$I1872,1,0),IF($J1874&gt;$J1872,1,0),IF($K1874&gt;$K1872,1,0),IF($L1874&gt;$L1872,1,0))&lt;&gt;3,"Error",""),""),""),"")</f>
        <v/>
      </c>
      <c r="R1875" s="114"/>
      <c r="S1875" s="115"/>
      <c r="T1875" s="115"/>
      <c r="U1875" s="115"/>
      <c r="V1875" s="115"/>
      <c r="W1875" s="115"/>
      <c r="X1875" s="115"/>
      <c r="Y1875" s="114"/>
      <c r="Z1875" s="114"/>
      <c r="AA1875" s="114"/>
      <c r="AB1875" s="114"/>
      <c r="AC1875" s="114"/>
      <c r="AD1875" s="114"/>
      <c r="AE1875" s="114"/>
      <c r="AF1875" s="114"/>
    </row>
    <row r="1876" spans="1:32" ht="12.75" customHeight="1">
      <c r="B1876" s="140" t="str">
        <f ca="1">IF(ISERROR(VLOOKUP($B1851&amp;"("&amp;$B1845&amp;")",Players!$S$4:$T$132,2,FALSE)),"",VLOOKUP($B1851&amp;"("&amp;$B1845&amp;")",Players!$S$4:$T$132,2,FALSE))</f>
        <v>C1</v>
      </c>
      <c r="C1876" s="140" t="str">
        <f ca="1">IF(ISERROR(VLOOKUP($B1858&amp;"("&amp;$B1845&amp;")",Players!$S$4:$T$132,2,FALSE)),"",VLOOKUP($B1858&amp;"("&amp;$B1845&amp;")",Players!$S$4:$T$132,2,FALSE))</f>
        <v>C1</v>
      </c>
      <c r="D1876" s="141" t="str">
        <f ca="1">IF(ISERROR(VLOOKUP($B1865&amp;"("&amp;$B1845&amp;")",Players!$S$4:$T$132,2,FALSE)),"",VLOOKUP($B1865&amp;"("&amp;$B1845&amp;")",Players!$S$4:$T$132,2,FALSE))</f>
        <v>C1</v>
      </c>
      <c r="E1876" s="141" t="str">
        <f ca="1">IF(ISERROR(VLOOKUP($B1872&amp;"("&amp;$B1845&amp;")",Players!$S$4:$T$132,2,FALSE)),"",VLOOKUP($B1872&amp;"("&amp;$B1845&amp;")",Players!$S$4:$T$132,2,FALSE))</f>
        <v>C1</v>
      </c>
      <c r="F1876" s="141" t="str">
        <f ca="1">IF(ISERROR(VLOOKUP($B1853&amp;"("&amp;$K1845&amp;")",Players!$S$4:$T$132,2,FALSE)),"",VLOOKUP($B1853&amp;"("&amp;$K1845&amp;")",Players!$S$4:$T$132,2,FALSE))</f>
        <v>G1</v>
      </c>
      <c r="G1876" s="141" t="str">
        <f ca="1">IF(ISERROR(VLOOKUP($B1860&amp;"("&amp;$K1845&amp;")",Players!$S$4:$T$132,2,FALSE)),"",VLOOKUP($B1860&amp;"("&amp;$K1845&amp;")",Players!$S$4:$T$132,2,FALSE))</f>
        <v>G1</v>
      </c>
      <c r="H1876" s="141" t="str">
        <f ca="1">IF(ISERROR(VLOOKUP($B1867&amp;"("&amp;$K1845&amp;")",Players!$S$4:$T$132,2,FALSE)),"",VLOOKUP($B1867&amp;"("&amp;$K1845&amp;")",Players!$S$4:$T$132,2,FALSE))</f>
        <v>G1</v>
      </c>
      <c r="I1876" s="141" t="str">
        <f ca="1">IF(ISERROR(VLOOKUP($B1874&amp;"("&amp;$K1845&amp;")",Players!$S$4:$T$132,2,FALSE)),"",VLOOKUP($B1874&amp;"("&amp;$K1845&amp;")",Players!$S$4:$T$132,2,FALSE))</f>
        <v>G1</v>
      </c>
      <c r="Q1876" s="7"/>
      <c r="R1876" s="50"/>
      <c r="S1876" s="116"/>
      <c r="T1876" s="115"/>
      <c r="U1876" s="115"/>
      <c r="V1876" s="115"/>
      <c r="W1876" s="115"/>
      <c r="X1876" s="115"/>
      <c r="Y1876" s="99"/>
      <c r="Z1876" s="99"/>
      <c r="AA1876" s="99"/>
      <c r="AB1876" s="99"/>
      <c r="AC1876" s="117"/>
      <c r="AD1876" s="118"/>
      <c r="AE1876" s="114"/>
      <c r="AF1876" s="114"/>
    </row>
    <row r="1877" spans="1:32" ht="12.75" customHeight="1">
      <c r="A1877" s="21" t="s">
        <v>1225</v>
      </c>
      <c r="H1877" s="136" t="str">
        <f ca="1">IF($Q1879&lt;&gt;"",IF(AND($B1880&lt;&gt;"Missing Player",$B1882&lt;&gt;"Missing Player"),IF(AND(AND($H1879&gt;-1,$H1881&gt;-1),OR($H1879&gt;10,$H1881&gt;10),ABS($H1879-$H1881)&gt;1,IF(OR($H1879&gt;11,$H1881&gt;11),ABS($H1879-$H1881)=2,TRUE),$H1879=INT($H1879),$H1881=INT($H1881)),"","Error"),""),"")</f>
        <v/>
      </c>
      <c r="I1877" s="136" t="str">
        <f ca="1">IF($Q1879&lt;&gt;"",IF(AND($B1880&lt;&gt;"Missing Player",$B1882&lt;&gt;"Missing Player"),IF(AND(AND($I1879&gt;-1,$I1881&gt;-1),OR($I1879&gt;10,$I1881&gt;10),ABS($I1879-$I1881)&gt;1,IF(OR($I1879&gt;11,$I1881&gt;11),ABS($I1879-$I1881)=2,TRUE),$I1879=INT($I1879),$I1881=INT($I1881)),"","Error"),""),"")</f>
        <v/>
      </c>
      <c r="J1877" s="136" t="str">
        <f ca="1">IF($Q1879&lt;&gt;"",IF(AND($B1880&lt;&gt;"Missing Player",$B1882&lt;&gt;"Missing Player"),IF(AND(AND($J1879&gt;-1,$J1881&gt;-1),OR($J1879&gt;10,$J1881&gt;10),ABS($J1879-$J1881)&gt;1,IF(OR($J1879&gt;11,$J1881&gt;11),ABS($J1879-$J1881)=2,TRUE),$J1879=INT($J1879),$J1881=INT($J1881)),"","Error"),""),"")</f>
        <v/>
      </c>
      <c r="K1877" s="136" t="str">
        <f ca="1">IF($Q1879&lt;&gt;"",IF(AND($K1879&lt;&gt;"",$K1881&lt;&gt;""), IF(AND(AND($K1879&gt;-1,$K1881&gt;-1),OR($K1879&gt;10,$K1881&gt;10),ABS($K1879-$K1881)&gt;1,IF(OR($K1879&gt;11,$K1881&gt;11),ABS($K1879-$K1881)=2,TRUE),$K1879=INT($K1879),$K1881=INT($K1881)),"","Error"),""),"")</f>
        <v/>
      </c>
      <c r="L1877" s="136" t="str">
        <f ca="1">IF($Q1879&lt;&gt;"",IF(AND($L1879&lt;&gt;"",$L1881&lt;&gt;""), IF(AND(AND($L1879&gt;-1,$L1881&gt;-1),OR($L1879&gt;10,$L1881&gt;10),ABS($L1879-$L1881)&gt;1,IF(OR($L1879&gt;11,$L1881&gt;11),ABS($L1879-$L1881)=2,TRUE),$L1879=INT($L1879),$L1881=INT($L1881)),"","Error"),""),"")</f>
        <v/>
      </c>
      <c r="Q1877" s="7"/>
      <c r="R1877" s="114"/>
      <c r="S1877" s="115"/>
      <c r="T1877" s="115"/>
      <c r="U1877" s="115"/>
      <c r="V1877" s="115"/>
      <c r="W1877" s="115"/>
      <c r="X1877" s="115"/>
      <c r="Y1877" s="114"/>
      <c r="Z1877" s="114"/>
      <c r="AA1877" s="114"/>
      <c r="AB1877" s="114"/>
      <c r="AC1877" s="114"/>
      <c r="AD1877" s="114"/>
      <c r="AE1877" s="114"/>
      <c r="AF1877" s="114"/>
    </row>
    <row r="1878" spans="1:32" ht="12.75" customHeight="1">
      <c r="A1878" s="5" t="s">
        <v>1228</v>
      </c>
      <c r="B1878" s="290" t="s">
        <v>1126</v>
      </c>
      <c r="C1878" s="291"/>
      <c r="D1878" s="291"/>
      <c r="E1878" s="291"/>
      <c r="F1878" s="291"/>
      <c r="G1878" s="292"/>
      <c r="H1878" s="5">
        <v>1</v>
      </c>
      <c r="I1878" s="5">
        <v>2</v>
      </c>
      <c r="J1878" s="5">
        <v>3</v>
      </c>
      <c r="K1878" s="5">
        <v>4</v>
      </c>
      <c r="L1878" s="5">
        <v>5</v>
      </c>
      <c r="M1878" s="271"/>
      <c r="N1878" s="272"/>
      <c r="O1878" s="272"/>
      <c r="P1878" s="273"/>
      <c r="Q1878" s="8"/>
      <c r="S1878" s="24"/>
      <c r="T1878" s="26"/>
    </row>
    <row r="1879" spans="1:32" ht="12.75" customHeight="1">
      <c r="A1879" s="300" t="str">
        <f>B1845</f>
        <v>C</v>
      </c>
      <c r="B1879" s="311" t="str">
        <f ca="1">IF($B1851&lt;&gt;"",$B1851,"")</f>
        <v/>
      </c>
      <c r="C1879" s="312"/>
      <c r="D1879" s="312"/>
      <c r="E1879" s="312"/>
      <c r="F1879" s="312"/>
      <c r="G1879" s="313"/>
      <c r="H1879" s="265"/>
      <c r="I1879" s="265"/>
      <c r="J1879" s="265"/>
      <c r="K1879" s="265"/>
      <c r="L1879" s="265" t="str">
        <f ca="1">IF($B1872&lt;&gt;"",IF(AND($B1872="Missing Player",$G1883=2,$J1883=2),0,IF(AND($B1874="Missing Player",$G1883=2,$J1883=2),11,"")),"")</f>
        <v/>
      </c>
      <c r="M1879" s="262" t="str">
        <f ca="1">IF(OR(AND($B1879&lt;&gt;"",$B1880&lt;&gt;"",$B1879=$B1880),AND($B1881&lt;&gt;"",$B1882&lt;&gt;"",$B1881=$B1882)),"Invalid Partner","")</f>
        <v/>
      </c>
      <c r="N1879" s="263"/>
      <c r="O1879" s="263"/>
      <c r="P1879" s="264"/>
      <c r="Q1879" s="138" t="str">
        <f ca="1">IF(L1879=L1881,IF(K1879=K1881,IF(J1879&lt;&gt;"",IF(J1879&gt;J1881,"W","L"),""),IF(K1879&gt;K1881,"W","L")),IF(L1879&gt;L1881,"W","L"))</f>
        <v/>
      </c>
      <c r="S1879" s="24"/>
      <c r="T1879" s="26"/>
    </row>
    <row r="1880" spans="1:32" ht="12.75" customHeight="1">
      <c r="A1880" s="324"/>
      <c r="B1880" s="308" t="str">
        <f ca="1">IF($B1872="Missing Player",$B1872,"")</f>
        <v/>
      </c>
      <c r="C1880" s="309"/>
      <c r="D1880" s="309"/>
      <c r="E1880" s="309"/>
      <c r="F1880" s="309"/>
      <c r="G1880" s="310"/>
      <c r="H1880" s="270"/>
      <c r="I1880" s="270"/>
      <c r="J1880" s="270"/>
      <c r="K1880" s="270"/>
      <c r="L1880" s="270"/>
      <c r="M1880" s="262"/>
      <c r="N1880" s="263"/>
      <c r="O1880" s="263"/>
      <c r="P1880" s="264"/>
      <c r="Q1880" s="139" t="str">
        <f ca="1">IF($Q1879&lt;&gt;"",IF($B1882&lt;&gt;"Missing Player",IF($Q1879="W",IF(SUM(IF($H1879&gt;$H1881,1,0),IF($I1879&gt;$I1881,1,0),IF($J1879&gt;$J1881,1,0),IF($K1879&gt;$K1881,1,0),IF($L1879&gt;$L1881,1,0))&lt;&gt;3,"Error",""),""),""),"")</f>
        <v/>
      </c>
      <c r="R1880" s="328" t="str">
        <f>$A1846</f>
        <v/>
      </c>
      <c r="S1880" s="328"/>
      <c r="T1880" s="328"/>
      <c r="U1880" s="328"/>
      <c r="V1880" s="328"/>
      <c r="W1880" s="328"/>
      <c r="X1880" s="256" t="str">
        <f>CONCATENATE("(",$B1845," vs ",$K1845,")")</f>
        <v>(C vs G)</v>
      </c>
      <c r="Y1880" s="256"/>
      <c r="Z1880" s="328" t="str">
        <f>$J1846</f>
        <v/>
      </c>
      <c r="AA1880" s="328"/>
      <c r="AB1880" s="328"/>
      <c r="AC1880" s="328"/>
      <c r="AD1880" s="328"/>
      <c r="AE1880" s="328"/>
      <c r="AF1880" s="43"/>
    </row>
    <row r="1881" spans="1:32" ht="12.75" customHeight="1">
      <c r="A1881" s="325" t="str">
        <f>K1845</f>
        <v>G</v>
      </c>
      <c r="B1881" s="311" t="str">
        <f ca="1">IF($B1853&lt;&gt;"",$B1853,"")</f>
        <v/>
      </c>
      <c r="C1881" s="312"/>
      <c r="D1881" s="312"/>
      <c r="E1881" s="312"/>
      <c r="F1881" s="312"/>
      <c r="G1881" s="313"/>
      <c r="H1881" s="265"/>
      <c r="I1881" s="265"/>
      <c r="J1881" s="265"/>
      <c r="K1881" s="265"/>
      <c r="L1881" s="265" t="str">
        <f ca="1">IF($B1874&lt;&gt;"",IF(AND($B1874="Missing Player",$G1883=2,$J1883=2),0,IF(AND($B1872="Missing Player",$G1883=2,$J1883=2),11,"")),"")</f>
        <v/>
      </c>
      <c r="M1881" s="267" t="s">
        <v>1237</v>
      </c>
      <c r="N1881" s="268"/>
      <c r="O1881" s="268"/>
      <c r="P1881" s="269"/>
      <c r="Q1881" s="138" t="str">
        <f ca="1">IF(Q1879&lt;&gt;"",IF(Q1879="W","L","W"),"")</f>
        <v/>
      </c>
      <c r="R1881" s="43"/>
      <c r="S1881" s="43"/>
      <c r="T1881" s="43"/>
      <c r="U1881" s="43"/>
      <c r="V1881" s="43"/>
      <c r="W1881" s="43"/>
      <c r="X1881" s="43"/>
      <c r="Y1881" s="43"/>
      <c r="Z1881" s="43"/>
      <c r="AA1881" s="43"/>
      <c r="AB1881" s="43"/>
      <c r="AC1881" s="43"/>
      <c r="AD1881" s="43"/>
      <c r="AE1881" s="43"/>
      <c r="AF1881" s="43"/>
    </row>
    <row r="1882" spans="1:32" ht="12.75" customHeight="1">
      <c r="A1882" s="324"/>
      <c r="B1882" s="308" t="str">
        <f ca="1">IF($B1874="Missing Player",$B1874,"")</f>
        <v/>
      </c>
      <c r="C1882" s="309"/>
      <c r="D1882" s="309"/>
      <c r="E1882" s="309"/>
      <c r="F1882" s="309"/>
      <c r="G1882" s="310"/>
      <c r="H1882" s="270"/>
      <c r="I1882" s="270"/>
      <c r="J1882" s="266"/>
      <c r="K1882" s="266"/>
      <c r="L1882" s="266"/>
      <c r="M1882" s="267"/>
      <c r="N1882" s="268"/>
      <c r="O1882" s="268"/>
      <c r="P1882" s="269"/>
      <c r="Q1882" s="139" t="str">
        <f ca="1">IF($Q1881&lt;&gt;"",IF($B1880&lt;&gt;"Missing Player",IF($Q1881="W",IF(SUM(IF($H1881&gt;$H1879,1,0),IF($I1881&gt;$I1879,1,0),IF($J1881&gt;$J1879,1,0),IF($K1881&gt;$K1879,1,0),IF($L1881&gt;$L1879,1,0))&lt;&gt;3,"Error",""),""),""),"")</f>
        <v/>
      </c>
      <c r="R1882" s="43" t="str">
        <f>A1870</f>
        <v>4th Singles</v>
      </c>
      <c r="S1882" s="43"/>
      <c r="T1882" s="43"/>
      <c r="U1882" s="43"/>
      <c r="V1882" s="43"/>
      <c r="W1882" s="43"/>
      <c r="X1882" s="43"/>
      <c r="Y1882" s="43"/>
      <c r="Z1882" s="43"/>
      <c r="AA1882" s="43"/>
      <c r="AB1882" s="43"/>
      <c r="AC1882" s="43"/>
      <c r="AD1882" s="43"/>
      <c r="AE1882" s="43"/>
      <c r="AF1882" s="43"/>
    </row>
    <row r="1883" spans="1:32" ht="12.75" customHeight="1">
      <c r="G1883" s="66">
        <f ca="1">COUNTIF($Q1851:$Q1851,"W")+COUNTIF($Q1858:$Q1858,"W")+COUNTIF($Q1865:$Q1865,"W")+COUNTIF($Q1872:$Q1872,"W")</f>
        <v>0</v>
      </c>
      <c r="J1883" s="66">
        <f ca="1">COUNTIF($Q1853:$Q1853,"W")+COUNTIF($Q1860:$Q1860,"W")+COUNTIF($Q1867:$Q1867,"W")+COUNTIF($Q1874:$Q1874,"W")</f>
        <v>0</v>
      </c>
      <c r="R1883" s="60" t="s">
        <v>1228</v>
      </c>
      <c r="S1883" s="339" t="s">
        <v>1126</v>
      </c>
      <c r="T1883" s="340"/>
      <c r="U1883" s="340"/>
      <c r="V1883" s="340"/>
      <c r="W1883" s="340"/>
      <c r="X1883" s="341"/>
      <c r="Y1883" s="60">
        <v>1</v>
      </c>
      <c r="Z1883" s="60">
        <v>2</v>
      </c>
      <c r="AA1883" s="60">
        <v>3</v>
      </c>
      <c r="AB1883" s="60">
        <v>4</v>
      </c>
      <c r="AC1883" s="60">
        <v>5</v>
      </c>
      <c r="AD1883" s="342"/>
      <c r="AE1883" s="343"/>
      <c r="AF1883" s="344"/>
    </row>
    <row r="1884" spans="1:32" ht="12.75" customHeight="1" thickBot="1">
      <c r="F1884" s="246" t="s">
        <v>1238</v>
      </c>
      <c r="G1884" s="246"/>
      <c r="H1884" s="246"/>
      <c r="I1884" s="246"/>
      <c r="J1884" s="246"/>
      <c r="K1884" s="246"/>
      <c r="R1884" s="300" t="str">
        <f>B1845</f>
        <v>C</v>
      </c>
      <c r="S1884" s="331" t="str">
        <f ca="1">IF($B1872&lt;&gt;"",$B1872,"")</f>
        <v/>
      </c>
      <c r="T1884" s="353"/>
      <c r="U1884" s="353"/>
      <c r="V1884" s="353"/>
      <c r="W1884" s="353"/>
      <c r="X1884" s="354"/>
      <c r="Y1884" s="329"/>
      <c r="Z1884" s="329"/>
      <c r="AA1884" s="351"/>
      <c r="AB1884" s="351"/>
      <c r="AC1884" s="351"/>
      <c r="AD1884" s="345"/>
      <c r="AE1884" s="346"/>
      <c r="AF1884" s="347"/>
    </row>
    <row r="1885" spans="1:32" ht="12.75" customHeight="1">
      <c r="A1885" s="22"/>
      <c r="B1885" s="22"/>
      <c r="C1885" s="22"/>
      <c r="D1885" s="22"/>
      <c r="E1885" s="22"/>
      <c r="G1885" s="304" t="str">
        <f>B1845</f>
        <v>C</v>
      </c>
      <c r="H1885" s="305"/>
      <c r="I1885" s="302" t="str">
        <f>K1845</f>
        <v>G</v>
      </c>
      <c r="J1885" s="303"/>
      <c r="L1885" s="22"/>
      <c r="M1885" s="22"/>
      <c r="N1885" s="22"/>
      <c r="O1885" s="22"/>
      <c r="P1885" s="22"/>
      <c r="R1885" s="301"/>
      <c r="S1885" s="355"/>
      <c r="T1885" s="356"/>
      <c r="U1885" s="356"/>
      <c r="V1885" s="356"/>
      <c r="W1885" s="356"/>
      <c r="X1885" s="357"/>
      <c r="Y1885" s="338"/>
      <c r="Z1885" s="338"/>
      <c r="AA1885" s="352"/>
      <c r="AB1885" s="352"/>
      <c r="AC1885" s="352"/>
      <c r="AD1885" s="348"/>
      <c r="AE1885" s="349"/>
      <c r="AF1885" s="350"/>
    </row>
    <row r="1886" spans="1:32" ht="12.75" customHeight="1" thickBot="1">
      <c r="A1886" s="2" t="s">
        <v>1228</v>
      </c>
      <c r="B1886" s="53" t="str">
        <f>B1845</f>
        <v>C</v>
      </c>
      <c r="C1886" s="3" t="s">
        <v>1226</v>
      </c>
      <c r="F1886" s="66" t="str">
        <f>CONCATENATE($B1845,"-",$K1845)</f>
        <v>C-G</v>
      </c>
      <c r="G1886" s="320" t="str">
        <f ca="1">IF(OR(Q1851&lt;&gt;"",Q1858&lt;&gt;"",Q1865&lt;&gt;"",Q1872&lt;&gt;"",Q1879&lt;&gt;""),COUNTIF(Q1851:Q1851,"W")+COUNTIF(Q1858:Q1858,"W")+COUNTIF(Q1865:Q1865,"W")+COUNTIF(Q1872:Q1872,"W")+COUNTIF(Q1879:Q1879,"W"),"")</f>
        <v/>
      </c>
      <c r="H1886" s="321"/>
      <c r="I1886" s="322" t="str">
        <f ca="1">IF(OR(Q1853&lt;&gt;"",Q1860&lt;&gt;"",Q1867&lt;&gt;"",Q1874&lt;&gt;"",Q1881&lt;&gt;""),COUNTIF(Q1853:Q1853,"W")+COUNTIF(Q1860:Q1860,"W")+COUNTIF(Q1867:Q1867,"W")+COUNTIF(Q1874:Q1874,"W")+COUNTIF(Q1881:Q1881,"W"),"")</f>
        <v/>
      </c>
      <c r="J1886" s="323"/>
      <c r="L1886" s="2" t="s">
        <v>1228</v>
      </c>
      <c r="M1886" s="53" t="str">
        <f>K1845</f>
        <v>G</v>
      </c>
      <c r="N1886" s="3" t="s">
        <v>1226</v>
      </c>
      <c r="R1886" s="300" t="str">
        <f>K1845</f>
        <v>G</v>
      </c>
      <c r="S1886" s="331" t="str">
        <f ca="1">IF($B1874&lt;&gt;"",$B1874,"")</f>
        <v/>
      </c>
      <c r="T1886" s="332"/>
      <c r="U1886" s="332"/>
      <c r="V1886" s="332"/>
      <c r="W1886" s="332"/>
      <c r="X1886" s="333"/>
      <c r="Y1886" s="329"/>
      <c r="Z1886" s="329"/>
      <c r="AA1886" s="351"/>
      <c r="AB1886" s="351"/>
      <c r="AC1886" s="351"/>
      <c r="AD1886" s="363" t="s">
        <v>1237</v>
      </c>
      <c r="AE1886" s="358"/>
      <c r="AF1886" s="359"/>
    </row>
    <row r="1887" spans="1:32" ht="12.75" customHeight="1">
      <c r="F1887" s="25" t="s">
        <v>3996</v>
      </c>
      <c r="G1887" s="23"/>
      <c r="H1887" s="23"/>
      <c r="I1887" s="23"/>
      <c r="J1887" s="23"/>
      <c r="K1887" s="24"/>
      <c r="R1887" s="330"/>
      <c r="S1887" s="334"/>
      <c r="T1887" s="335"/>
      <c r="U1887" s="335"/>
      <c r="V1887" s="335"/>
      <c r="W1887" s="335"/>
      <c r="X1887" s="336"/>
      <c r="Y1887" s="330"/>
      <c r="Z1887" s="330"/>
      <c r="AA1887" s="330"/>
      <c r="AB1887" s="330"/>
      <c r="AC1887" s="330"/>
      <c r="AD1887" s="360"/>
      <c r="AE1887" s="361"/>
      <c r="AF1887" s="362"/>
    </row>
    <row r="1888" spans="1:32" ht="12.75" customHeight="1">
      <c r="R1888" s="1"/>
      <c r="S1888" s="110"/>
      <c r="T1888" s="110"/>
      <c r="U1888" s="110"/>
      <c r="V1888" s="110"/>
      <c r="W1888" s="110"/>
      <c r="X1888" s="111"/>
      <c r="Y1888" s="111"/>
      <c r="Z1888" s="111"/>
      <c r="AA1888" s="111"/>
    </row>
    <row r="1889" spans="1:32" ht="12.75" customHeight="1">
      <c r="F1889" s="246" t="s">
        <v>4929</v>
      </c>
      <c r="G1889" s="246"/>
      <c r="H1889" s="246"/>
      <c r="I1889" s="246"/>
      <c r="R1889" s="1"/>
      <c r="S1889" s="110"/>
      <c r="T1889" s="110"/>
      <c r="U1889" s="110"/>
      <c r="V1889" s="110"/>
      <c r="W1889" s="110"/>
      <c r="X1889" s="111"/>
      <c r="Y1889" s="111"/>
      <c r="Z1889" s="111"/>
      <c r="AA1889" s="111"/>
    </row>
    <row r="1890" spans="1:32" ht="12.75" customHeight="1">
      <c r="F1890" s="246" t="s">
        <v>4930</v>
      </c>
      <c r="G1890" s="246"/>
      <c r="H1890" s="246"/>
      <c r="I1890" s="246"/>
      <c r="R1890" s="1"/>
      <c r="S1890" s="110"/>
      <c r="T1890" s="110"/>
      <c r="U1890" s="110"/>
      <c r="V1890" s="110"/>
      <c r="W1890" s="110"/>
      <c r="X1890" s="111"/>
      <c r="Y1890" s="111"/>
      <c r="Z1890" s="111"/>
      <c r="AA1890" s="111"/>
    </row>
    <row r="1891" spans="1:32" ht="12.75" customHeight="1">
      <c r="K1891" s="281" t="s">
        <v>1244</v>
      </c>
      <c r="L1891" s="281"/>
      <c r="M1891" s="281"/>
      <c r="N1891" s="281"/>
      <c r="O1891" s="281"/>
      <c r="P1891" s="281"/>
      <c r="R1891" s="1"/>
      <c r="S1891" s="110"/>
      <c r="T1891" s="110"/>
      <c r="U1891" s="110"/>
      <c r="V1891" s="110"/>
      <c r="W1891" s="110"/>
      <c r="X1891" s="111"/>
      <c r="Y1891" s="111"/>
      <c r="Z1891" s="111"/>
      <c r="AA1891" s="111"/>
    </row>
    <row r="1892" spans="1:32" ht="12.75" customHeight="1">
      <c r="A1892" s="12" t="s">
        <v>1229</v>
      </c>
      <c r="B1892" s="11"/>
      <c r="C1892" s="11"/>
      <c r="D1892" s="11" t="str">
        <f>Draw!$B$1</f>
        <v>Enter Division Name</v>
      </c>
      <c r="E1892" s="11"/>
      <c r="F1892" s="7"/>
      <c r="G1892" s="6"/>
      <c r="H1892" s="7"/>
      <c r="I1892" s="11"/>
      <c r="J1892" s="11"/>
      <c r="K1892" s="11"/>
      <c r="L1892" s="11"/>
      <c r="M1892" s="281"/>
      <c r="N1892" s="281"/>
      <c r="O1892" s="281"/>
      <c r="P1892" s="281"/>
      <c r="R1892" s="1"/>
      <c r="S1892" s="110"/>
      <c r="T1892" s="110"/>
      <c r="U1892" s="110"/>
      <c r="V1892" s="110"/>
      <c r="W1892" s="110"/>
      <c r="X1892" s="111"/>
      <c r="Y1892" s="111"/>
      <c r="Z1892" s="111"/>
      <c r="AA1892" s="111"/>
    </row>
    <row r="1893" spans="1:32" ht="12.75" customHeight="1">
      <c r="A1893" s="2" t="s">
        <v>1230</v>
      </c>
      <c r="D1893" s="43" t="str">
        <f>Draw!$D$1</f>
        <v>Enter Hosting Location (City, ST)</v>
      </c>
      <c r="J1893" s="43" t="str">
        <f ca="1">$J$6</f>
        <v>[NCTTA Teams Template (v2.06).xlsx]</v>
      </c>
      <c r="R1893" s="1"/>
      <c r="S1893" s="110"/>
      <c r="T1893" s="110"/>
      <c r="U1893" s="110"/>
      <c r="V1893" s="110"/>
      <c r="W1893" s="110"/>
      <c r="X1893" s="111"/>
      <c r="Y1893" s="111"/>
      <c r="Z1893" s="111"/>
      <c r="AA1893" s="111"/>
    </row>
    <row r="1894" spans="1:32" ht="12.75" customHeight="1">
      <c r="A1894" s="2" t="s">
        <v>1231</v>
      </c>
      <c r="D1894" s="337" t="str">
        <f>Draw!$P$1</f>
        <v>Enter Date</v>
      </c>
      <c r="E1894" s="337"/>
      <c r="F1894" s="337"/>
      <c r="G1894" s="337"/>
      <c r="J1894" s="280" t="str">
        <f>CHOOSE(Draw!$T$1,"Round 7, Match 2","","","","","","","","","Round 8, Match 3","Round 8, Match 3")</f>
        <v/>
      </c>
      <c r="K1894" s="280"/>
      <c r="L1894" s="280"/>
      <c r="M1894" s="276" t="str">
        <f>IF(AND($J1894&lt;&gt;"",Draw!$AC$10&lt;&gt;"",Draw!$AC$13&lt;&gt;""),Draw!$AC$10+TIME(0,VALUE(MID($J1894,7,FIND(",",$J1894)-FIND(" ",$J1894)-1)-1)*Draw!$AC$13,0),"")</f>
        <v/>
      </c>
      <c r="N1894" s="276"/>
      <c r="O1894" s="157" t="str">
        <f>$F1937</f>
        <v>C-H</v>
      </c>
      <c r="R1894" s="1"/>
      <c r="S1894" s="110"/>
      <c r="T1894" s="110"/>
      <c r="U1894" s="110"/>
      <c r="V1894" s="110"/>
      <c r="W1894" s="110"/>
      <c r="X1894" s="111"/>
      <c r="Y1894" s="111"/>
      <c r="Z1894" s="111"/>
      <c r="AA1894" s="111"/>
    </row>
    <row r="1895" spans="1:32" ht="12.75" customHeight="1">
      <c r="A1895" s="14"/>
      <c r="B1895" s="15"/>
      <c r="C1895" s="15"/>
      <c r="D1895" s="15"/>
      <c r="E1895" s="15"/>
      <c r="F1895" s="14"/>
      <c r="G1895" s="14"/>
      <c r="H1895" s="16"/>
      <c r="I1895" s="14"/>
      <c r="J1895" s="15"/>
      <c r="K1895" s="15"/>
      <c r="L1895" s="15"/>
      <c r="M1895" s="15"/>
      <c r="N1895" s="15"/>
      <c r="O1895" s="364" t="str">
        <f>IF(OR(AND(VLOOKUP($B1896,$AM$1:$AX$12,12,FALSE)="C",VLOOKUP($K1896,$AM$1:$AX$12,12,FALSE)="C"),AND(VLOOKUP($B1896,$AM$1:$AX$12,12,FALSE)="W",VLOOKUP($K1896,$AM$1:$AX$12,12,FALSE)="W")),"Official",IF(AND($A1897="",$J1897=""),"","Scrimmage"))</f>
        <v/>
      </c>
      <c r="P1895" s="364"/>
      <c r="R1895" s="1"/>
      <c r="S1895" s="110"/>
      <c r="T1895" s="110"/>
      <c r="U1895" s="110"/>
      <c r="V1895" s="110"/>
      <c r="W1895" s="110"/>
      <c r="X1895" s="111"/>
      <c r="Y1895" s="111"/>
      <c r="Z1895" s="111"/>
      <c r="AA1895" s="111"/>
    </row>
    <row r="1896" spans="1:32" ht="12.75" customHeight="1">
      <c r="A1896" s="17" t="s">
        <v>1228</v>
      </c>
      <c r="B1896" s="119" t="str">
        <f>CHOOSE(Draw!$T$1,"E","B","C","C","D","D","D","C","A","D","C")</f>
        <v>C</v>
      </c>
      <c r="C1896" s="135">
        <f>VLOOKUP($B1896,$AM$1:$AN$12,2)</f>
        <v>3</v>
      </c>
      <c r="D1896" s="13"/>
      <c r="E1896" s="13"/>
      <c r="F1896" s="10"/>
      <c r="H1896" s="19" t="s">
        <v>1232</v>
      </c>
      <c r="J1896" s="17" t="s">
        <v>1228</v>
      </c>
      <c r="K1896" s="119" t="str">
        <f>CHOOSE(Draw!$T$1,"G","H","H","K","L","K","I","J","K","I","G")</f>
        <v>H</v>
      </c>
      <c r="L1896" s="135">
        <f>VLOOKUP($K1896,$AM$1:$AN$12,2)</f>
        <v>8</v>
      </c>
      <c r="M1896" s="13"/>
      <c r="N1896" s="13"/>
      <c r="O1896" s="18"/>
      <c r="P1896" s="274"/>
      <c r="Q1896" s="275"/>
      <c r="R1896" s="1"/>
      <c r="S1896" s="110"/>
      <c r="T1896" s="110"/>
      <c r="U1896" s="110"/>
      <c r="V1896" s="110"/>
      <c r="W1896" s="110"/>
      <c r="X1896" s="111"/>
      <c r="Y1896" s="111"/>
      <c r="Z1896" s="111"/>
      <c r="AA1896" s="111"/>
    </row>
    <row r="1897" spans="1:32" ht="12.75" customHeight="1">
      <c r="A1897" s="277" t="str">
        <f>IF(VLOOKUP($B1896,Draw!$A$4:$B$27,2)&lt;&gt;0,VLOOKUP($B1896,Draw!$A$4:$B$27,2),"")</f>
        <v/>
      </c>
      <c r="B1897" s="278"/>
      <c r="C1897" s="278"/>
      <c r="D1897" s="278"/>
      <c r="E1897" s="278"/>
      <c r="F1897" s="279"/>
      <c r="G1897" s="306" t="s">
        <v>4189</v>
      </c>
      <c r="H1897" s="289"/>
      <c r="I1897" s="307"/>
      <c r="J1897" s="277" t="str">
        <f>IF(VLOOKUP($K1896,Draw!$A$4:$B$27,2)&lt;&gt;0,VLOOKUP($K1896,Draw!$A$4:$B$27,2),"")</f>
        <v/>
      </c>
      <c r="K1897" s="278"/>
      <c r="L1897" s="278"/>
      <c r="M1897" s="278"/>
      <c r="N1897" s="278"/>
      <c r="O1897" s="279"/>
      <c r="P1897" s="15"/>
      <c r="R1897" s="1"/>
      <c r="S1897" s="110"/>
      <c r="T1897" s="110"/>
      <c r="U1897" s="110"/>
      <c r="V1897" s="110"/>
      <c r="W1897" s="110"/>
      <c r="X1897" s="111"/>
      <c r="Y1897" s="111"/>
      <c r="Z1897" s="111"/>
      <c r="AA1897" s="111"/>
    </row>
    <row r="1898" spans="1:32" ht="12.75" customHeight="1">
      <c r="A1898" s="14"/>
      <c r="B1898" s="15"/>
      <c r="C1898" s="15"/>
      <c r="D1898" s="15"/>
      <c r="E1898" s="15"/>
      <c r="F1898" s="14"/>
      <c r="G1898" s="288" t="str">
        <f>"Page "&amp;VALUE(RIGHT($G1897,LEN($G1897)-SEARCH("-",$G1897)))/2</f>
        <v>Page 38</v>
      </c>
      <c r="H1898" s="289"/>
      <c r="I1898" s="289"/>
      <c r="J1898" s="15"/>
      <c r="K1898" s="15"/>
      <c r="L1898" s="15"/>
      <c r="M1898" s="15"/>
      <c r="N1898" s="15"/>
      <c r="O1898" s="15"/>
      <c r="P1898" s="15"/>
      <c r="R1898" s="1"/>
      <c r="S1898" s="110"/>
      <c r="T1898" s="110"/>
      <c r="U1898" s="110"/>
      <c r="V1898" s="110"/>
      <c r="W1898" s="110"/>
      <c r="X1898" s="111"/>
      <c r="Y1898" s="111"/>
      <c r="Z1898" s="111"/>
      <c r="AA1898" s="111"/>
      <c r="AF1898" s="27"/>
    </row>
    <row r="1899" spans="1:32" ht="12.75" customHeight="1">
      <c r="A1899" s="327" t="s">
        <v>1245</v>
      </c>
      <c r="B1899" s="327"/>
      <c r="C1899" s="327"/>
      <c r="D1899" s="327"/>
      <c r="E1899" s="327"/>
      <c r="F1899" s="327"/>
      <c r="G1899" s="327"/>
      <c r="H1899" s="327"/>
      <c r="I1899" s="327"/>
      <c r="J1899" s="327"/>
      <c r="K1899" s="327"/>
      <c r="L1899" s="327"/>
      <c r="M1899" s="327"/>
      <c r="N1899" s="327"/>
      <c r="O1899" s="327"/>
      <c r="P1899" s="327"/>
      <c r="Q1899" s="7"/>
      <c r="R1899" s="1"/>
      <c r="S1899" s="110"/>
      <c r="T1899" s="110"/>
      <c r="U1899" s="110"/>
      <c r="V1899" s="110"/>
      <c r="W1899" s="110"/>
      <c r="X1899" s="111"/>
      <c r="Y1899" s="111"/>
      <c r="Z1899" s="111"/>
      <c r="AA1899" s="111"/>
      <c r="AF1899" s="20"/>
    </row>
    <row r="1900" spans="1:32" ht="12.75" customHeight="1">
      <c r="A1900" s="21" t="s">
        <v>1233</v>
      </c>
      <c r="H1900" s="136" t="str">
        <f>IF($Q1902&lt;&gt;"",IF(AND(AND($H1902&gt;-1,$H1904&gt;-1),OR($H1902&gt;10,$H1904&gt;10),ABS($H1902-$H1904)&gt;1,IF(OR($H1902&gt;11,$H1904&gt;11),ABS($H1902-$H1904)=2,TRUE),$H1902=INT($H1902),$H1904=INT($H1904)),"","Error"),"")</f>
        <v/>
      </c>
      <c r="I1900" s="136" t="str">
        <f>IF($Q1902&lt;&gt;"",IF(AND(AND($I1902&gt;-1,$I1904&gt;-1),OR($I1902&gt;10,$I1904&gt;10),ABS($I1902-$I1904)&gt;1,IF(OR($I1902&gt;11,$I1904&gt;11),ABS($I1902-$I1904)=2,TRUE),$I1902=INT($I1902),$I1904=INT($I1904)),"","Error"),"")</f>
        <v/>
      </c>
      <c r="J1900" s="136" t="str">
        <f>IF($Q1902&lt;&gt;"",IF(AND(AND($J1902&gt;-1,$J1904&gt;-1),OR($J1902&gt;10,$J1904&gt;10),ABS($J1902-$J1904)&gt;1,IF(OR($J1902&gt;11,$J1904&gt;11),ABS($J1902-$J1904)=2,TRUE),$J1902=INT($J1902),$J1904=INT($J1904)),"","Error"),"")</f>
        <v/>
      </c>
      <c r="K1900" s="136" t="str">
        <f>IF($Q1902&lt;&gt;"",IF(AND($K1902&lt;&gt;"",$K1904&lt;&gt;""), IF(AND(AND($K1902&gt;-1,$K1904&gt;-1),OR($K1902&gt;10,$K1904&gt;10),ABS($K1902-$K1904)&gt;1,IF(OR($K1902&gt;11,$K1904&gt;11),ABS($K1902-$K1904)=2,TRUE),$K1902=INT($K1902),$K1904=INT($K1904)),"","Error"),""),"")</f>
        <v/>
      </c>
      <c r="L1900" s="136" t="str">
        <f>IF($Q1902&lt;&gt;"",IF(AND($L1902&lt;&gt;"",$L1904&lt;&gt;""), IF(AND(AND($L1902&gt;-1,$L1904&gt;-1),OR($L1902&gt;10,$L1904&gt;10),ABS($L1902-$L1904)&gt;1,IF(OR($L1902&gt;11,$L1904&gt;11),ABS($L1902-$L1904)=2,TRUE),$L1902=INT($L1902),$L1904=INT($L1904)),"","Error"),""),"")</f>
        <v/>
      </c>
      <c r="R1900" s="1"/>
      <c r="S1900" s="110"/>
      <c r="T1900" s="110"/>
      <c r="U1900" s="110"/>
      <c r="V1900" s="110"/>
      <c r="W1900" s="110"/>
      <c r="X1900" s="111"/>
      <c r="Y1900" s="111"/>
      <c r="Z1900" s="111"/>
      <c r="AA1900" s="111"/>
    </row>
    <row r="1901" spans="1:32" ht="12.75" customHeight="1">
      <c r="A1901" s="5" t="s">
        <v>1228</v>
      </c>
      <c r="B1901" s="290" t="s">
        <v>1126</v>
      </c>
      <c r="C1901" s="291"/>
      <c r="D1901" s="291"/>
      <c r="E1901" s="291"/>
      <c r="F1901" s="291"/>
      <c r="G1901" s="292"/>
      <c r="H1901" s="5">
        <v>1</v>
      </c>
      <c r="I1901" s="5">
        <v>2</v>
      </c>
      <c r="J1901" s="5">
        <v>3</v>
      </c>
      <c r="K1901" s="5">
        <v>4</v>
      </c>
      <c r="L1901" s="5">
        <v>5</v>
      </c>
      <c r="M1901" s="271"/>
      <c r="N1901" s="272"/>
      <c r="O1901" s="272"/>
      <c r="P1901" s="273"/>
      <c r="R1901" s="1"/>
      <c r="S1901" s="110"/>
      <c r="T1901" s="110"/>
      <c r="U1901" s="110"/>
      <c r="V1901" s="110"/>
      <c r="W1901" s="110"/>
      <c r="X1901" s="111"/>
      <c r="Y1901" s="111"/>
      <c r="Z1901" s="111"/>
      <c r="AA1901" s="111"/>
    </row>
    <row r="1902" spans="1:32" ht="12.75" customHeight="1">
      <c r="A1902" s="300" t="str">
        <f>B1896</f>
        <v>C</v>
      </c>
      <c r="B1902" s="293" t="str">
        <f ca="1">IF(AND(OFFSET($AO$1,$C1896-1,8,1,1),$A1897&lt;&gt;"",$J1897&lt;&gt;""),CHOOSE($C1896,$AO$1,$AO$2,$AO$3,$AO$4,$AO$5,$AO$6,$AO$7,$AO$8,$AO$9,$AO$10,$AO$11,$AO$12),"")</f>
        <v/>
      </c>
      <c r="C1902" s="294"/>
      <c r="D1902" s="294"/>
      <c r="E1902" s="294"/>
      <c r="F1902" s="294"/>
      <c r="G1902" s="294"/>
      <c r="H1902" s="265"/>
      <c r="I1902" s="265"/>
      <c r="J1902" s="265"/>
      <c r="K1902" s="265"/>
      <c r="L1902" s="265"/>
      <c r="M1902" s="297"/>
      <c r="N1902" s="298"/>
      <c r="O1902" s="298"/>
      <c r="P1902" s="299"/>
      <c r="Q1902" s="137" t="str">
        <f>IF($L1902=$L1904,IF($K1902=$K1904,IF($J1902&lt;&gt;"",IF($J1902&gt;$J1904,"W","L"),""),IF($K1902&gt;$K1904,"W","L")),IF($L1902&gt;$L1904,"W","L"))</f>
        <v/>
      </c>
      <c r="R1902" s="1"/>
      <c r="S1902" s="110"/>
      <c r="T1902" s="110"/>
      <c r="U1902" s="110"/>
      <c r="V1902" s="110"/>
      <c r="W1902" s="110"/>
      <c r="X1902" s="111"/>
      <c r="Y1902" s="111"/>
      <c r="Z1902" s="111"/>
      <c r="AA1902" s="111"/>
    </row>
    <row r="1903" spans="1:32" ht="12.75" customHeight="1">
      <c r="A1903" s="301"/>
      <c r="B1903" s="295"/>
      <c r="C1903" s="296"/>
      <c r="D1903" s="296"/>
      <c r="E1903" s="296"/>
      <c r="F1903" s="296"/>
      <c r="G1903" s="296"/>
      <c r="H1903" s="270"/>
      <c r="I1903" s="270"/>
      <c r="J1903" s="270"/>
      <c r="K1903" s="270"/>
      <c r="L1903" s="270"/>
      <c r="M1903" s="297"/>
      <c r="N1903" s="298"/>
      <c r="O1903" s="298"/>
      <c r="P1903" s="299"/>
      <c r="Q1903" s="139" t="str">
        <f>IF($Q1902&lt;&gt;"",IF($Q1902="W",IF(SUM(IF($H1902&gt;$H1904,1,0),IF($I1902&gt;$I1904,1,0),IF($J1902&gt;$J1904,1,0),IF($K1902&gt;$K1904,1,0),IF($L1902&gt;$L1904,1,0))&lt;&gt;3,"Error",""),""),"")</f>
        <v/>
      </c>
      <c r="R1903" s="328" t="str">
        <f>$A1897</f>
        <v/>
      </c>
      <c r="S1903" s="328"/>
      <c r="T1903" s="328"/>
      <c r="U1903" s="328"/>
      <c r="V1903" s="328"/>
      <c r="W1903" s="328"/>
      <c r="X1903" s="256" t="str">
        <f>CONCATENATE("(",$B1896," vs ",$K1896,")")</f>
        <v>(C vs H)</v>
      </c>
      <c r="Y1903" s="256"/>
      <c r="Z1903" s="328" t="str">
        <f>$J1897</f>
        <v/>
      </c>
      <c r="AA1903" s="328"/>
      <c r="AB1903" s="328"/>
      <c r="AC1903" s="328"/>
      <c r="AD1903" s="328"/>
      <c r="AE1903" s="328"/>
      <c r="AF1903" s="43"/>
    </row>
    <row r="1904" spans="1:32" ht="12.75" customHeight="1">
      <c r="A1904" s="300" t="str">
        <f>K1896</f>
        <v>H</v>
      </c>
      <c r="B1904" s="293" t="str">
        <f ca="1">IF(AND(OFFSET($AO$1,$L1896-1,8,1,1),$A1897&lt;&gt;"",$J1897&lt;&gt;""),CHOOSE($L1896,$AO$1,$AO$2,$AO$3,$AO$4,$AO$5,$AO$6,$AO$7,$AO$8,$AO$9,$AO$10,$AO$11,$AO$12),"")</f>
        <v/>
      </c>
      <c r="C1904" s="294"/>
      <c r="D1904" s="294"/>
      <c r="E1904" s="294"/>
      <c r="F1904" s="294"/>
      <c r="G1904" s="294"/>
      <c r="H1904" s="265"/>
      <c r="I1904" s="265"/>
      <c r="J1904" s="265"/>
      <c r="K1904" s="265"/>
      <c r="L1904" s="265"/>
      <c r="M1904" s="267" t="s">
        <v>1237</v>
      </c>
      <c r="N1904" s="268"/>
      <c r="O1904" s="268"/>
      <c r="P1904" s="269"/>
      <c r="Q1904" s="137" t="str">
        <f>IF($Q1902&lt;&gt;"",IF($Q1902="W","L","W"),"")</f>
        <v/>
      </c>
      <c r="R1904" s="43"/>
      <c r="S1904" s="43"/>
      <c r="T1904" s="43"/>
      <c r="U1904" s="43"/>
      <c r="V1904" s="43"/>
      <c r="W1904" s="43"/>
      <c r="X1904" s="43"/>
      <c r="Y1904" s="43"/>
      <c r="Z1904" s="43"/>
      <c r="AA1904" s="43"/>
      <c r="AB1904" s="43"/>
      <c r="AC1904" s="43"/>
      <c r="AD1904" s="43"/>
      <c r="AE1904" s="43"/>
      <c r="AF1904" s="43"/>
    </row>
    <row r="1905" spans="1:32" ht="12.75" customHeight="1">
      <c r="A1905" s="301"/>
      <c r="B1905" s="295"/>
      <c r="C1905" s="296"/>
      <c r="D1905" s="296"/>
      <c r="E1905" s="296"/>
      <c r="F1905" s="296"/>
      <c r="G1905" s="296"/>
      <c r="H1905" s="270"/>
      <c r="I1905" s="270"/>
      <c r="J1905" s="266"/>
      <c r="K1905" s="266"/>
      <c r="L1905" s="266"/>
      <c r="M1905" s="267"/>
      <c r="N1905" s="268"/>
      <c r="O1905" s="268"/>
      <c r="P1905" s="269"/>
      <c r="Q1905" s="139" t="str">
        <f>IF($Q1904&lt;&gt;"",IF($Q1904="W",IF(SUM(IF($H1904&gt;$H1902,1,0),IF($I1904&gt;$I1902,1,0),IF($J1904&gt;$J1902,1,0),IF($K1904&gt;$K1902,1,0),IF($L1904&gt;$L1902,1,0))&lt;&gt;3,"Error",""),""),"")</f>
        <v/>
      </c>
      <c r="R1905" s="43" t="str">
        <f>$A1907</f>
        <v>2nd Singles</v>
      </c>
      <c r="S1905" s="43"/>
      <c r="T1905" s="43"/>
      <c r="U1905" s="43"/>
      <c r="V1905" s="43"/>
      <c r="W1905" s="43"/>
      <c r="X1905" s="43"/>
      <c r="Y1905" s="43"/>
      <c r="Z1905" s="43"/>
      <c r="AA1905" s="43"/>
      <c r="AB1905" s="43"/>
      <c r="AC1905" s="43"/>
      <c r="AD1905" s="43"/>
      <c r="AE1905" s="43"/>
      <c r="AF1905" s="43"/>
    </row>
    <row r="1906" spans="1:32" ht="12.75" customHeight="1">
      <c r="Q1906" s="7"/>
      <c r="R1906" s="60" t="s">
        <v>1228</v>
      </c>
      <c r="S1906" s="339" t="s">
        <v>1126</v>
      </c>
      <c r="T1906" s="340"/>
      <c r="U1906" s="340"/>
      <c r="V1906" s="340"/>
      <c r="W1906" s="340"/>
      <c r="X1906" s="341"/>
      <c r="Y1906" s="60">
        <v>1</v>
      </c>
      <c r="Z1906" s="60">
        <v>2</v>
      </c>
      <c r="AA1906" s="60">
        <v>3</v>
      </c>
      <c r="AB1906" s="60">
        <v>4</v>
      </c>
      <c r="AC1906" s="60">
        <v>5</v>
      </c>
      <c r="AD1906" s="342"/>
      <c r="AE1906" s="343"/>
      <c r="AF1906" s="344"/>
    </row>
    <row r="1907" spans="1:32" ht="12.75" customHeight="1">
      <c r="A1907" s="21" t="s">
        <v>1234</v>
      </c>
      <c r="H1907" s="136" t="str">
        <f>IF($Q1909&lt;&gt;"",IF(AND(AND($H1909&gt;-1,$H1911&gt;-1),OR($H1909&gt;10,$H1911&gt;10),ABS($H1909-$H1911)&gt;1,IF(OR($H1909&gt;11,$H1911&gt;11),ABS($H1909-$H1911)=2,TRUE),$H1909=INT($H1909),$H1911=INT($H1911)),"","Error"),"")</f>
        <v/>
      </c>
      <c r="I1907" s="136" t="str">
        <f>IF($Q1909&lt;&gt;"",IF(AND(AND($I1909&gt;-1,$I1911&gt;-1),OR($I1909&gt;10,$I1911&gt;10),ABS($I1909-$I1911)&gt;1,IF(OR($I1909&gt;11,$I1911&gt;11),ABS($I1909-$I1911)=2,TRUE),$I1909=INT($I1909),$I1911=INT($I1911)),"","Error"),"")</f>
        <v/>
      </c>
      <c r="J1907" s="136" t="str">
        <f>IF($Q1909&lt;&gt;"",IF(AND(AND($J1909&gt;-1,$J1911&gt;-1),OR($J1909&gt;10,$J1911&gt;10),ABS($J1909-$J1911)&gt;1,IF(OR($J1909&gt;11,$J1911&gt;11),ABS($J1909-$J1911)=2,TRUE),$J1909=INT($J1909),$J1911=INT($J1911)),"","Error"),"")</f>
        <v/>
      </c>
      <c r="K1907" s="136" t="str">
        <f>IF($Q1909&lt;&gt;"",IF(AND($K1909&lt;&gt;"",$K1911&lt;&gt;""), IF(AND(AND($K1909&gt;-1,$K1911&gt;-1),OR($K1909&gt;10,$K1911&gt;10),ABS($K1909-$K1911)&gt;1,IF(OR($K1909&gt;11,$K1911&gt;11),ABS($K1909-$K1911)=2,TRUE),$K1909=INT($K1909),$K1911=INT($K1911)),"","Error"),""),"")</f>
        <v/>
      </c>
      <c r="L1907" s="136" t="str">
        <f>IF($Q1909&lt;&gt;"",IF(AND($L1909&lt;&gt;"",$L1911&lt;&gt;""), IF(AND(AND($L1909&gt;-1,$L1911&gt;-1),OR($L1909&gt;10,$L1911&gt;10),ABS($L1909-$L1911)&gt;1,IF(OR($L1909&gt;11,$L1911&gt;11),ABS($L1909-$L1911)=2,TRUE),$L1909=INT($L1909),$L1911=INT($L1911)),"","Error"),""),"")</f>
        <v/>
      </c>
      <c r="Q1907" s="7"/>
      <c r="R1907" s="300" t="str">
        <f>$B1896</f>
        <v>C</v>
      </c>
      <c r="S1907" s="331" t="str">
        <f ca="1">IF($B1909&lt;&gt;"",$B1909,"")</f>
        <v/>
      </c>
      <c r="T1907" s="332"/>
      <c r="U1907" s="332"/>
      <c r="V1907" s="332"/>
      <c r="W1907" s="332"/>
      <c r="X1907" s="333"/>
      <c r="Y1907" s="329"/>
      <c r="Z1907" s="329"/>
      <c r="AA1907" s="329"/>
      <c r="AB1907" s="329"/>
      <c r="AC1907" s="329"/>
      <c r="AD1907" s="345"/>
      <c r="AE1907" s="358"/>
      <c r="AF1907" s="359"/>
    </row>
    <row r="1908" spans="1:32" ht="12.75" customHeight="1">
      <c r="A1908" s="5" t="s">
        <v>1228</v>
      </c>
      <c r="B1908" s="290" t="s">
        <v>1126</v>
      </c>
      <c r="C1908" s="291"/>
      <c r="D1908" s="291"/>
      <c r="E1908" s="291"/>
      <c r="F1908" s="291"/>
      <c r="G1908" s="292"/>
      <c r="H1908" s="5">
        <v>1</v>
      </c>
      <c r="I1908" s="5">
        <v>2</v>
      </c>
      <c r="J1908" s="5">
        <v>3</v>
      </c>
      <c r="K1908" s="5">
        <v>4</v>
      </c>
      <c r="L1908" s="5">
        <v>5</v>
      </c>
      <c r="M1908" s="271"/>
      <c r="N1908" s="272"/>
      <c r="O1908" s="272"/>
      <c r="P1908" s="273"/>
      <c r="Q1908" s="7"/>
      <c r="R1908" s="330"/>
      <c r="S1908" s="334"/>
      <c r="T1908" s="335"/>
      <c r="U1908" s="335"/>
      <c r="V1908" s="335"/>
      <c r="W1908" s="335"/>
      <c r="X1908" s="336"/>
      <c r="Y1908" s="330"/>
      <c r="Z1908" s="330"/>
      <c r="AA1908" s="330"/>
      <c r="AB1908" s="330"/>
      <c r="AC1908" s="330"/>
      <c r="AD1908" s="360"/>
      <c r="AE1908" s="361"/>
      <c r="AF1908" s="362"/>
    </row>
    <row r="1909" spans="1:32" ht="12.75" customHeight="1">
      <c r="A1909" s="300" t="str">
        <f>B1896</f>
        <v>C</v>
      </c>
      <c r="B1909" s="293" t="str">
        <f ca="1">IF(AND(OFFSET($AO$1,$C1896-1,8,1,1),$A1897&lt;&gt;"",$J1897&lt;&gt;""),CHOOSE($C1896,$AP$1,$AP$2,$AP$3,$AP$4,$AP$5,$AP$6,$AP$7,$AP$8,$AP$9,$AP$10,$AP$11,$AP$12),"")</f>
        <v/>
      </c>
      <c r="C1909" s="294"/>
      <c r="D1909" s="294"/>
      <c r="E1909" s="294"/>
      <c r="F1909" s="294"/>
      <c r="G1909" s="294"/>
      <c r="H1909" s="265"/>
      <c r="I1909" s="265"/>
      <c r="J1909" s="265"/>
      <c r="K1909" s="265"/>
      <c r="L1909" s="265"/>
      <c r="M1909" s="262" t="str">
        <f ca="1">IF(OR(AND($B1902&lt;&gt;"",$B1909&lt;&gt;"",$C1927&lt;=$B1927),AND($B1904&lt;&gt;"",$B1911&lt;&gt;"",$G1927&lt;=$F1927)),"Invalid Lineup","")</f>
        <v/>
      </c>
      <c r="N1909" s="263"/>
      <c r="O1909" s="263"/>
      <c r="P1909" s="264"/>
      <c r="Q1909" s="137" t="str">
        <f>IF($L1909=$L1911,IF($K1909=$K1911,IF($J1909&lt;&gt;"",IF($J1909&gt;$J1911,"W","L"),""),IF($K1909&gt;$K1911,"W","L")),IF($L1909&gt;$L1911,"W","L"))</f>
        <v/>
      </c>
      <c r="R1909" s="300" t="str">
        <f>$K1896</f>
        <v>H</v>
      </c>
      <c r="S1909" s="331" t="str">
        <f ca="1">IF($B1911&lt;&gt;"",$B1911,"")</f>
        <v/>
      </c>
      <c r="T1909" s="332"/>
      <c r="U1909" s="332"/>
      <c r="V1909" s="332"/>
      <c r="W1909" s="332"/>
      <c r="X1909" s="333"/>
      <c r="Y1909" s="329"/>
      <c r="Z1909" s="329"/>
      <c r="AA1909" s="329"/>
      <c r="AB1909" s="329"/>
      <c r="AC1909" s="351"/>
      <c r="AD1909" s="363" t="s">
        <v>1237</v>
      </c>
      <c r="AE1909" s="358"/>
      <c r="AF1909" s="359"/>
    </row>
    <row r="1910" spans="1:32" ht="12.75" customHeight="1">
      <c r="A1910" s="301"/>
      <c r="B1910" s="295"/>
      <c r="C1910" s="296"/>
      <c r="D1910" s="296"/>
      <c r="E1910" s="296"/>
      <c r="F1910" s="296"/>
      <c r="G1910" s="296"/>
      <c r="H1910" s="270"/>
      <c r="I1910" s="270"/>
      <c r="J1910" s="270"/>
      <c r="K1910" s="270"/>
      <c r="L1910" s="270"/>
      <c r="M1910" s="262"/>
      <c r="N1910" s="263"/>
      <c r="O1910" s="263"/>
      <c r="P1910" s="264"/>
      <c r="Q1910" s="139" t="str">
        <f>IF($Q1909&lt;&gt;"",IF($Q1909="W",IF(SUM(IF($H1909&gt;$H1911,1,0),IF($I1909&gt;$I1911,1,0),IF($J1909&gt;$J1911,1,0),IF($K1909&gt;$K1911,1,0),IF($L1909&gt;$L1911,1,0))&lt;&gt;3,"Error",""),""),"")</f>
        <v/>
      </c>
      <c r="R1910" s="330"/>
      <c r="S1910" s="334"/>
      <c r="T1910" s="335"/>
      <c r="U1910" s="335"/>
      <c r="V1910" s="335"/>
      <c r="W1910" s="335"/>
      <c r="X1910" s="336"/>
      <c r="Y1910" s="330"/>
      <c r="Z1910" s="330"/>
      <c r="AA1910" s="330"/>
      <c r="AB1910" s="330"/>
      <c r="AC1910" s="330"/>
      <c r="AD1910" s="360"/>
      <c r="AE1910" s="361"/>
      <c r="AF1910" s="362"/>
    </row>
    <row r="1911" spans="1:32" ht="12.75" customHeight="1">
      <c r="A1911" s="300" t="str">
        <f>K1896</f>
        <v>H</v>
      </c>
      <c r="B1911" s="293" t="str">
        <f ca="1">IF(AND(OFFSET($AO$1,$L1896-1,8,1,1),$A1897&lt;&gt;"",$J1897&lt;&gt;""),CHOOSE($L1896,$AP$1,$AP$2,$AP$3,$AP$4,$AP$5,$AP$6,$AP$7,$AP$8,$AP$9,$AP$10,$AP$11,$AP$12),"")</f>
        <v/>
      </c>
      <c r="C1911" s="294"/>
      <c r="D1911" s="294"/>
      <c r="E1911" s="294"/>
      <c r="F1911" s="294"/>
      <c r="G1911" s="294"/>
      <c r="H1911" s="265"/>
      <c r="I1911" s="265"/>
      <c r="J1911" s="265"/>
      <c r="K1911" s="265"/>
      <c r="L1911" s="265"/>
      <c r="M1911" s="267" t="s">
        <v>1237</v>
      </c>
      <c r="N1911" s="268"/>
      <c r="O1911" s="268"/>
      <c r="P1911" s="269"/>
      <c r="Q1911" s="137" t="str">
        <f>IF($Q1909&lt;&gt;"",IF($Q1909="W","L","W"),"")</f>
        <v/>
      </c>
      <c r="R1911" s="20"/>
      <c r="S1911" s="20"/>
      <c r="T1911" s="20"/>
      <c r="U1911" s="20"/>
      <c r="V1911" s="20"/>
      <c r="W1911" s="20"/>
      <c r="X1911" s="26"/>
      <c r="Y1911" s="26"/>
      <c r="Z1911" s="20"/>
      <c r="AA1911" s="20"/>
      <c r="AB1911" s="20"/>
      <c r="AC1911" s="20"/>
      <c r="AD1911" s="20"/>
      <c r="AE1911" s="20"/>
      <c r="AF1911" s="27"/>
    </row>
    <row r="1912" spans="1:32" ht="12.75" customHeight="1">
      <c r="A1912" s="301"/>
      <c r="B1912" s="295"/>
      <c r="C1912" s="296"/>
      <c r="D1912" s="296"/>
      <c r="E1912" s="296"/>
      <c r="F1912" s="296"/>
      <c r="G1912" s="296"/>
      <c r="H1912" s="270"/>
      <c r="I1912" s="270"/>
      <c r="J1912" s="266"/>
      <c r="K1912" s="266"/>
      <c r="L1912" s="266"/>
      <c r="M1912" s="267"/>
      <c r="N1912" s="268"/>
      <c r="O1912" s="268"/>
      <c r="P1912" s="269"/>
      <c r="Q1912" s="139" t="str">
        <f>IF($Q1911&lt;&gt;"",IF($Q1911="W",IF(SUM(IF($H1911&gt;$H1909,1,0),IF($I1911&gt;$I1909,1,0),IF($J1911&gt;$J1909,1,0),IF($K1911&gt;$K1909,1,0),IF($L1911&gt;$L1909,1,0))&lt;&gt;3,"Error",""),""),"")</f>
        <v/>
      </c>
      <c r="R1912" s="20"/>
      <c r="S1912" s="20"/>
      <c r="T1912" s="20"/>
      <c r="U1912" s="20"/>
      <c r="V1912" s="20"/>
      <c r="W1912" s="20"/>
      <c r="X1912" s="26"/>
      <c r="Y1912" s="26"/>
      <c r="Z1912" s="20"/>
      <c r="AA1912" s="20"/>
      <c r="AB1912" s="20"/>
      <c r="AC1912" s="20"/>
      <c r="AD1912" s="20"/>
      <c r="AE1912" s="20"/>
      <c r="AF1912" s="27"/>
    </row>
    <row r="1913" spans="1:32" ht="12.75" customHeight="1">
      <c r="Q1913" s="7"/>
      <c r="R1913" s="20"/>
      <c r="S1913" s="20"/>
      <c r="T1913" s="20"/>
      <c r="U1913" s="20"/>
      <c r="V1913" s="20"/>
      <c r="W1913" s="20"/>
      <c r="X1913" s="26"/>
      <c r="Y1913" s="26"/>
      <c r="Z1913" s="20"/>
      <c r="AA1913" s="20"/>
      <c r="AB1913" s="20"/>
      <c r="AC1913" s="20"/>
      <c r="AD1913" s="20"/>
      <c r="AE1913" s="20"/>
      <c r="AF1913" s="27"/>
    </row>
    <row r="1914" spans="1:32" ht="12.75" customHeight="1">
      <c r="A1914" s="21" t="s">
        <v>1235</v>
      </c>
      <c r="H1914" s="136" t="str">
        <f>IF($Q1916&lt;&gt;"",IF(AND(AND($H1916&gt;-1,$H1918&gt;-1),OR($H1916&gt;10,$H1918&gt;10),ABS($H1916-$H1918)&gt;1,IF(OR($H1916&gt;11,$H1918&gt;11),ABS($H1916-$H1918)=2,TRUE),$H1916=INT($H1916),$H1918=INT($H1918)),"","Error"),"")</f>
        <v/>
      </c>
      <c r="I1914" s="136" t="str">
        <f>IF($Q1916&lt;&gt;"",IF(AND(AND($I1916&gt;-1,$I1918&gt;-1),OR($I1916&gt;10,$I1918&gt;10),ABS($I1916-$I1918)&gt;1,IF(OR($I1916&gt;11,$I1918&gt;11),ABS($I1916-$I1918)=2,TRUE),$I1916=INT($I1916),$I1918=INT($I1918)),"","Error"),"")</f>
        <v/>
      </c>
      <c r="J1914" s="136" t="str">
        <f>IF($Q1916&lt;&gt;"",IF(AND(AND($J1916&gt;-1,$J1918&gt;-1),OR($J1916&gt;10,$J1918&gt;10),ABS($J1916-$J1918)&gt;1,IF(OR($J1916&gt;11,$J1918&gt;11),ABS($J1916-$J1918)=2,TRUE),$J1916=INT($J1916),$J1918=INT($J1918)),"","Error"),"")</f>
        <v/>
      </c>
      <c r="K1914" s="136" t="str">
        <f>IF($Q1916&lt;&gt;"",IF(AND($K1916&lt;&gt;"",$K1918&lt;&gt;""), IF(AND(AND($K1916&gt;-1,$K1918&gt;-1),OR($K1916&gt;10,$K1918&gt;10),ABS($K1916-$K1918)&gt;1,IF(OR($K1916&gt;11,$K1918&gt;11),ABS($K1916-$K1918)=2,TRUE),$K1916=INT($K1916),$K1918=INT($K1918)),"","Error"),""),"")</f>
        <v/>
      </c>
      <c r="L1914" s="136" t="str">
        <f>IF($Q1916&lt;&gt;"",IF(AND($L1916&lt;&gt;"",$L1918&lt;&gt;""), IF(AND(AND($L1916&gt;-1,$L1918&gt;-1),OR($L1916&gt;10,$L1918&gt;10),ABS($L1916-$L1918)&gt;1,IF(OR($L1916&gt;11,$L1918&gt;11),ABS($L1916-$L1918)=2,TRUE),$L1916=INT($L1916),$L1918=INT($L1918)),"","Error"),""),"")</f>
        <v/>
      </c>
      <c r="Q1914" s="7"/>
      <c r="R1914" s="20"/>
      <c r="S1914" s="20"/>
      <c r="T1914" s="20"/>
      <c r="U1914" s="20"/>
      <c r="V1914" s="20"/>
      <c r="W1914" s="20"/>
      <c r="X1914" s="26"/>
      <c r="Y1914" s="26"/>
      <c r="Z1914" s="20"/>
      <c r="AA1914" s="20"/>
      <c r="AB1914" s="20"/>
      <c r="AC1914" s="20"/>
      <c r="AD1914" s="20"/>
      <c r="AE1914" s="20"/>
      <c r="AF1914" s="27"/>
    </row>
    <row r="1915" spans="1:32" ht="12.75" customHeight="1">
      <c r="A1915" s="5" t="s">
        <v>1228</v>
      </c>
      <c r="B1915" s="290" t="s">
        <v>1126</v>
      </c>
      <c r="C1915" s="291"/>
      <c r="D1915" s="291"/>
      <c r="E1915" s="291"/>
      <c r="F1915" s="291"/>
      <c r="G1915" s="292"/>
      <c r="H1915" s="5">
        <v>1</v>
      </c>
      <c r="I1915" s="5">
        <v>2</v>
      </c>
      <c r="J1915" s="5">
        <v>3</v>
      </c>
      <c r="K1915" s="5">
        <v>4</v>
      </c>
      <c r="L1915" s="5">
        <v>5</v>
      </c>
      <c r="M1915" s="271"/>
      <c r="N1915" s="272"/>
      <c r="O1915" s="272"/>
      <c r="P1915" s="273"/>
      <c r="Q1915" s="7"/>
      <c r="R1915" s="20"/>
      <c r="S1915" s="20"/>
      <c r="T1915" s="20"/>
      <c r="U1915" s="20"/>
      <c r="V1915" s="20"/>
      <c r="W1915" s="20"/>
      <c r="X1915" s="26"/>
      <c r="Y1915" s="26"/>
      <c r="Z1915" s="20"/>
      <c r="AA1915" s="20"/>
      <c r="AB1915" s="20"/>
      <c r="AC1915" s="20"/>
      <c r="AD1915" s="20"/>
      <c r="AE1915" s="20"/>
      <c r="AF1915" s="27"/>
    </row>
    <row r="1916" spans="1:32" ht="12.75" customHeight="1">
      <c r="A1916" s="300" t="str">
        <f>B1896</f>
        <v>C</v>
      </c>
      <c r="B1916" s="293" t="str">
        <f ca="1">IF(AND(OFFSET($AO$1,$C1896-1,8,1,1),$A1897&lt;&gt;"",$J1897&lt;&gt;""),CHOOSE($C1896,$AQ$1,$AQ$2,$AQ$3,$AQ$4,$AQ$5,$AQ$6,$AQ$7,$AQ$8,$AQ$9,$AQ$10,$AQ$11,$AQ$12),"")</f>
        <v/>
      </c>
      <c r="C1916" s="294"/>
      <c r="D1916" s="294"/>
      <c r="E1916" s="294"/>
      <c r="F1916" s="294"/>
      <c r="G1916" s="294"/>
      <c r="H1916" s="265"/>
      <c r="I1916" s="265"/>
      <c r="J1916" s="265"/>
      <c r="K1916" s="265"/>
      <c r="L1916" s="265"/>
      <c r="M1916" s="262" t="str">
        <f ca="1">IF(OR(AND($B1909&lt;&gt;"",$B1916&lt;&gt;"",$D1927&lt;=$C1927),AND($B1911&lt;&gt;"",$B1918&lt;&gt;"",$H1927&lt;=$G1927)),"Invalid Lineup","")</f>
        <v/>
      </c>
      <c r="N1916" s="263"/>
      <c r="O1916" s="263"/>
      <c r="P1916" s="264"/>
      <c r="Q1916" s="137" t="str">
        <f>IF($L1916=$L1918,IF($K1916=$K1918,IF($J1916&lt;&gt;"",IF($J1916&gt;$J1918,"W","L"),""),IF($K1916&gt;$K1918,"W","L")),IF($L1916&gt;$L1918,"W","L"))</f>
        <v/>
      </c>
      <c r="R1916" s="20"/>
      <c r="S1916" s="20"/>
      <c r="T1916" s="20"/>
      <c r="U1916" s="20"/>
      <c r="V1916" s="20"/>
      <c r="W1916" s="20"/>
      <c r="X1916" s="26"/>
      <c r="Y1916" s="26"/>
      <c r="Z1916" s="20"/>
      <c r="AA1916" s="20"/>
      <c r="AB1916" s="20"/>
      <c r="AC1916" s="20"/>
      <c r="AD1916" s="20"/>
      <c r="AE1916" s="20"/>
      <c r="AF1916" s="27"/>
    </row>
    <row r="1917" spans="1:32" ht="12.75" customHeight="1">
      <c r="A1917" s="301"/>
      <c r="B1917" s="295"/>
      <c r="C1917" s="296"/>
      <c r="D1917" s="296"/>
      <c r="E1917" s="296"/>
      <c r="F1917" s="296"/>
      <c r="G1917" s="296"/>
      <c r="H1917" s="270"/>
      <c r="I1917" s="270"/>
      <c r="J1917" s="270"/>
      <c r="K1917" s="270"/>
      <c r="L1917" s="270"/>
      <c r="M1917" s="262"/>
      <c r="N1917" s="263"/>
      <c r="O1917" s="263"/>
      <c r="P1917" s="264"/>
      <c r="Q1917" s="139" t="str">
        <f>IF($Q1916&lt;&gt;"",IF($Q1916="W",IF(SUM(IF($H1916&gt;$H1918,1,0),IF($I1916&gt;$I1918,1,0),IF($J1916&gt;$J1918,1,0),IF($K1916&gt;$K1918,1,0),IF($L1916&gt;$L1918,1,0))&lt;&gt;3,"Error",""),""),"")</f>
        <v/>
      </c>
      <c r="R1917" s="328" t="str">
        <f>$A1897</f>
        <v/>
      </c>
      <c r="S1917" s="328"/>
      <c r="T1917" s="328"/>
      <c r="U1917" s="328"/>
      <c r="V1917" s="328"/>
      <c r="W1917" s="328"/>
      <c r="X1917" s="256" t="str">
        <f>CONCATENATE("(",$B1896," vs ",$K1896,")")</f>
        <v>(C vs H)</v>
      </c>
      <c r="Y1917" s="256"/>
      <c r="Z1917" s="328" t="str">
        <f>$J1897</f>
        <v/>
      </c>
      <c r="AA1917" s="328"/>
      <c r="AB1917" s="328"/>
      <c r="AC1917" s="328"/>
      <c r="AD1917" s="328"/>
      <c r="AE1917" s="328"/>
      <c r="AF1917" s="100"/>
    </row>
    <row r="1918" spans="1:32" ht="12.75" customHeight="1">
      <c r="A1918" s="300" t="str">
        <f>K1896</f>
        <v>H</v>
      </c>
      <c r="B1918" s="293" t="str">
        <f ca="1">IF(AND(OFFSET($AO$1,$L1896-1,8,1,1),$A1897&lt;&gt;"",$J1897&lt;&gt;""),CHOOSE($L1896,$AQ$1,$AQ$2,$AQ$3,$AQ$4,$AQ$5,$AQ$6,$AQ$7,$AQ$8,$AQ$9,$AQ$10,$AQ$11,$AQ$12),"")</f>
        <v/>
      </c>
      <c r="C1918" s="294"/>
      <c r="D1918" s="294"/>
      <c r="E1918" s="294"/>
      <c r="F1918" s="294"/>
      <c r="G1918" s="294"/>
      <c r="H1918" s="265"/>
      <c r="I1918" s="265"/>
      <c r="J1918" s="265"/>
      <c r="K1918" s="265"/>
      <c r="L1918" s="265"/>
      <c r="M1918" s="267" t="s">
        <v>1237</v>
      </c>
      <c r="N1918" s="268"/>
      <c r="O1918" s="268"/>
      <c r="P1918" s="269"/>
      <c r="Q1918" s="137" t="str">
        <f>IF($Q1916&lt;&gt;"",IF($Q1916="W","L","W"),"")</f>
        <v/>
      </c>
      <c r="R1918" s="100"/>
      <c r="S1918" s="100"/>
      <c r="T1918" s="100"/>
      <c r="U1918" s="100"/>
      <c r="V1918" s="100"/>
      <c r="W1918" s="100"/>
      <c r="X1918" s="100"/>
      <c r="Y1918" s="100"/>
      <c r="Z1918" s="100"/>
      <c r="AA1918" s="100"/>
      <c r="AB1918" s="100"/>
      <c r="AC1918" s="100"/>
      <c r="AD1918" s="100"/>
      <c r="AE1918" s="100"/>
      <c r="AF1918" s="100"/>
    </row>
    <row r="1919" spans="1:32" ht="12.75" customHeight="1">
      <c r="A1919" s="301"/>
      <c r="B1919" s="295"/>
      <c r="C1919" s="296"/>
      <c r="D1919" s="296"/>
      <c r="E1919" s="296"/>
      <c r="F1919" s="296"/>
      <c r="G1919" s="296"/>
      <c r="H1919" s="270"/>
      <c r="I1919" s="270"/>
      <c r="J1919" s="266"/>
      <c r="K1919" s="266"/>
      <c r="L1919" s="266"/>
      <c r="M1919" s="267"/>
      <c r="N1919" s="268"/>
      <c r="O1919" s="268"/>
      <c r="P1919" s="269"/>
      <c r="Q1919" s="139" t="str">
        <f>IF($Q1918&lt;&gt;"",IF($Q1918="W",IF(SUM(IF($H1918&gt;$H1916,1,0),IF($I1918&gt;$I1916,1,0),IF($J1918&gt;$J1916,1,0),IF($K1918&gt;$K1916,1,0),IF($L1918&gt;$L1916,1,0))&lt;&gt;3,"Error",""),""),"")</f>
        <v/>
      </c>
      <c r="R1919" s="43" t="str">
        <f>$A1914</f>
        <v>3rd Singles</v>
      </c>
      <c r="S1919" s="43"/>
      <c r="T1919" s="43"/>
      <c r="U1919" s="43"/>
      <c r="V1919" s="43"/>
      <c r="W1919" s="43"/>
      <c r="X1919" s="43"/>
      <c r="Y1919" s="43"/>
      <c r="Z1919" s="43"/>
      <c r="AA1919" s="43"/>
      <c r="AB1919" s="43"/>
      <c r="AC1919" s="43"/>
      <c r="AD1919" s="43"/>
      <c r="AE1919" s="43"/>
      <c r="AF1919" s="43"/>
    </row>
    <row r="1920" spans="1:32" ht="12.75" customHeight="1">
      <c r="Q1920" s="7"/>
      <c r="R1920" s="60" t="s">
        <v>1228</v>
      </c>
      <c r="S1920" s="101" t="s">
        <v>1126</v>
      </c>
      <c r="T1920" s="102"/>
      <c r="U1920" s="102"/>
      <c r="V1920" s="102"/>
      <c r="W1920" s="102"/>
      <c r="X1920" s="103"/>
      <c r="Y1920" s="60">
        <v>1</v>
      </c>
      <c r="Z1920" s="60">
        <v>2</v>
      </c>
      <c r="AA1920" s="60">
        <v>3</v>
      </c>
      <c r="AB1920" s="60">
        <v>4</v>
      </c>
      <c r="AC1920" s="60">
        <v>5</v>
      </c>
      <c r="AD1920" s="104"/>
      <c r="AE1920" s="105"/>
      <c r="AF1920" s="106"/>
    </row>
    <row r="1921" spans="1:32" ht="12.75" customHeight="1">
      <c r="A1921" s="21" t="s">
        <v>1236</v>
      </c>
      <c r="H1921" s="136" t="str">
        <f ca="1">IF($Q1923&lt;&gt;"",IF(AND($B1923&lt;&gt;"Missing Player",$B1925&lt;&gt;"Missing Player"),IF(AND(AND($H1923&gt;-1,$H1925&gt;-1),OR($H1923&gt;10,$H1925&gt;10),ABS($H1923-$H1925)&gt;1,IF(OR($H1923&gt;11,$H1925&gt;11),ABS($H1923-$H1925)=2,TRUE),$H1923=INT($H1923),$H1925=INT($H1925)),"","Error"),""),"")</f>
        <v/>
      </c>
      <c r="I1921" s="136" t="str">
        <f ca="1">IF($Q1923&lt;&gt;"",IF(AND($B1923&lt;&gt;"Missing Player",$B1925&lt;&gt;"Missing Player"),IF(AND(AND($I1923&gt;-1,$I1925&gt;-1),OR($I1923&gt;10,$I1925&gt;10),ABS($I1923-$I1925)&gt;1,IF(OR($I1923&gt;11,$I1925&gt;11),ABS($I1923-$I1925)=2,TRUE),$I1923=INT($I1923),$I1925=INT($I1925)),"","Error"),""),"")</f>
        <v/>
      </c>
      <c r="J1921" s="136" t="str">
        <f ca="1">IF($Q1923&lt;&gt;"",IF(AND($B1923&lt;&gt;"Missing Player",$B1925&lt;&gt;"Missing Player"),IF(AND(AND($J1923&gt;-1,$J1925&gt;-1),OR($J1923&gt;10,$J1925&gt;10),ABS($J1923-$J1925)&gt;1,IF(OR($J1923&gt;11,$J1925&gt;11),ABS($J1923-$J1925)=2,TRUE),$J1923=INT($J1923),$J1925=INT($J1925)),"","Error"),""),"")</f>
        <v/>
      </c>
      <c r="K1921" s="136" t="str">
        <f ca="1">IF($Q1923&lt;&gt;"",IF(AND($K1923&lt;&gt;"",$K1925&lt;&gt;""), IF(AND(AND($K1923&gt;-1,$K1925&gt;-1),OR($K1923&gt;10,$K1925&gt;10),ABS($K1923-$K1925)&gt;1,IF(OR($K1923&gt;11,$K1925&gt;11),ABS($K1923-$K1925)=2,TRUE),$K1923=INT($K1923),$K1925=INT($K1925)),"","Error"),""),"")</f>
        <v/>
      </c>
      <c r="L1921" s="136" t="str">
        <f ca="1">IF($Q1923&lt;&gt;"",IF(AND($L1923&lt;&gt;"",$L1925&lt;&gt;""), IF(AND(AND($L1923&gt;-1,$L1925&gt;-1),OR($L1923&gt;10,$L1925&gt;10),ABS($L1923-$L1925)&gt;1,IF(OR($L1923&gt;11,$L1925&gt;11),ABS($L1923-$L1925)=2,TRUE),$L1923=INT($L1923),$L1925=INT($L1925)),"","Error"),""),"")</f>
        <v/>
      </c>
      <c r="Q1921" s="7"/>
      <c r="R1921" s="300" t="str">
        <f>$B1896</f>
        <v>C</v>
      </c>
      <c r="S1921" s="331" t="str">
        <f ca="1">IF($B1916&lt;&gt;"",$B1916,"")</f>
        <v/>
      </c>
      <c r="T1921" s="332"/>
      <c r="U1921" s="332"/>
      <c r="V1921" s="332"/>
      <c r="W1921" s="332"/>
      <c r="X1921" s="333"/>
      <c r="Y1921" s="329"/>
      <c r="Z1921" s="329"/>
      <c r="AA1921" s="329"/>
      <c r="AB1921" s="329"/>
      <c r="AC1921" s="329"/>
      <c r="AD1921" s="345"/>
      <c r="AE1921" s="358"/>
      <c r="AF1921" s="359"/>
    </row>
    <row r="1922" spans="1:32" ht="12.75" customHeight="1">
      <c r="A1922" s="5" t="s">
        <v>1228</v>
      </c>
      <c r="B1922" s="290" t="s">
        <v>1126</v>
      </c>
      <c r="C1922" s="291"/>
      <c r="D1922" s="291"/>
      <c r="E1922" s="291"/>
      <c r="F1922" s="291"/>
      <c r="G1922" s="292"/>
      <c r="H1922" s="5">
        <v>1</v>
      </c>
      <c r="I1922" s="5">
        <v>2</v>
      </c>
      <c r="J1922" s="5">
        <v>3</v>
      </c>
      <c r="K1922" s="5">
        <v>4</v>
      </c>
      <c r="L1922" s="5">
        <v>5</v>
      </c>
      <c r="M1922" s="271"/>
      <c r="N1922" s="272"/>
      <c r="O1922" s="272"/>
      <c r="P1922" s="273"/>
      <c r="Q1922" s="7"/>
      <c r="R1922" s="330"/>
      <c r="S1922" s="334"/>
      <c r="T1922" s="335"/>
      <c r="U1922" s="335"/>
      <c r="V1922" s="335"/>
      <c r="W1922" s="335"/>
      <c r="X1922" s="336"/>
      <c r="Y1922" s="330"/>
      <c r="Z1922" s="330"/>
      <c r="AA1922" s="330"/>
      <c r="AB1922" s="330"/>
      <c r="AC1922" s="330"/>
      <c r="AD1922" s="360"/>
      <c r="AE1922" s="361"/>
      <c r="AF1922" s="362"/>
    </row>
    <row r="1923" spans="1:32" ht="12.75" customHeight="1">
      <c r="A1923" s="300" t="str">
        <f>B1896</f>
        <v>C</v>
      </c>
      <c r="B1923" s="293" t="str">
        <f ca="1">IF(AND(OFFSET($AO$1,$C1896-1,8,1,1),$A1897&lt;&gt;"",$J1897&lt;&gt;""),CHOOSE($C1896,$AR$1,$AR$2,$AR$3,$AR$4,$AR$5,$AR$6,$AR$7,$AR$8,$AR$9,$AR$10,$AR$11,$AR$12),"")</f>
        <v/>
      </c>
      <c r="C1923" s="294"/>
      <c r="D1923" s="294"/>
      <c r="E1923" s="294"/>
      <c r="F1923" s="294"/>
      <c r="G1923" s="294"/>
      <c r="H1923" s="265"/>
      <c r="I1923" s="265"/>
      <c r="J1923" s="265"/>
      <c r="K1923" s="265"/>
      <c r="L1923" s="265" t="str">
        <f ca="1">IF(AND($B1923&lt;&gt;"",$Q1902&lt;&gt;""),IF($B1923="Missing Player",0,IF($B1925="Missing Player",11,"")),"")</f>
        <v/>
      </c>
      <c r="M1923" s="262" t="str">
        <f ca="1">IF(OR(AND($B1916&lt;&gt;"",$B1923&lt;&gt;"",$E1927&lt;=$D1927),AND($B1918&lt;&gt;"",$B1925&lt;&gt;"",$I1927&lt;=$H1927)),"Invalid Lineup","")</f>
        <v/>
      </c>
      <c r="N1923" s="263"/>
      <c r="O1923" s="263"/>
      <c r="P1923" s="264"/>
      <c r="Q1923" s="137" t="str">
        <f ca="1">IF($L1923=$L1925,IF($K1923=$K1925,IF($J1923&lt;&gt;"",IF($J1923&gt;$J1925,"W","L"),""),IF($K1923&gt;$K1925,"W","L")),IF($L1923&gt;$L1925,"W","L"))</f>
        <v/>
      </c>
      <c r="R1923" s="300" t="str">
        <f>$K1896</f>
        <v>H</v>
      </c>
      <c r="S1923" s="331" t="str">
        <f ca="1">IF($B1918&lt;&gt;"",$B1918,"")</f>
        <v/>
      </c>
      <c r="T1923" s="332"/>
      <c r="U1923" s="332"/>
      <c r="V1923" s="332"/>
      <c r="W1923" s="332"/>
      <c r="X1923" s="333"/>
      <c r="Y1923" s="329"/>
      <c r="Z1923" s="329"/>
      <c r="AA1923" s="329"/>
      <c r="AB1923" s="329"/>
      <c r="AC1923" s="351"/>
      <c r="AD1923" s="363" t="s">
        <v>1237</v>
      </c>
      <c r="AE1923" s="358"/>
      <c r="AF1923" s="359"/>
    </row>
    <row r="1924" spans="1:32" ht="12.75" customHeight="1">
      <c r="A1924" s="301"/>
      <c r="B1924" s="295"/>
      <c r="C1924" s="296"/>
      <c r="D1924" s="296"/>
      <c r="E1924" s="296"/>
      <c r="F1924" s="296"/>
      <c r="G1924" s="296"/>
      <c r="H1924" s="270"/>
      <c r="I1924" s="270"/>
      <c r="J1924" s="270"/>
      <c r="K1924" s="270"/>
      <c r="L1924" s="270"/>
      <c r="M1924" s="262"/>
      <c r="N1924" s="263"/>
      <c r="O1924" s="263"/>
      <c r="P1924" s="264"/>
      <c r="Q1924" s="139" t="str">
        <f ca="1">IF($Q1923&lt;&gt;"",IF($B1925&lt;&gt;"Missing Player",IF($Q1923="W",IF(SUM(IF($H1923&gt;$H1925,1,0),IF($I1923&gt;$I1925,1,0),IF($J1923&gt;$J1925,1,0),IF($K1923&gt;$K1925,1,0),IF($L1923&gt;$L1925,1,0))&lt;&gt;3,"Error",""),""),""),"")</f>
        <v/>
      </c>
      <c r="R1924" s="330"/>
      <c r="S1924" s="334"/>
      <c r="T1924" s="335"/>
      <c r="U1924" s="335"/>
      <c r="V1924" s="335"/>
      <c r="W1924" s="335"/>
      <c r="X1924" s="336"/>
      <c r="Y1924" s="330"/>
      <c r="Z1924" s="330"/>
      <c r="AA1924" s="330"/>
      <c r="AB1924" s="330"/>
      <c r="AC1924" s="330"/>
      <c r="AD1924" s="360"/>
      <c r="AE1924" s="361"/>
      <c r="AF1924" s="362"/>
    </row>
    <row r="1925" spans="1:32" ht="12.75" customHeight="1">
      <c r="A1925" s="300" t="str">
        <f>K1896</f>
        <v>H</v>
      </c>
      <c r="B1925" s="293" t="str">
        <f ca="1">IF(AND(OFFSET($AO$1,$L1896-1,8,1,1),$A1897&lt;&gt;"",$J1897&lt;&gt;""),CHOOSE($L1896,$AR$1,$AR$2,$AR$3,$AR$4,$AR$5,$AR$6,$AR$7,$AR$8,$AR$9,$AR$10,$AR$11,$AR$12),"")</f>
        <v/>
      </c>
      <c r="C1925" s="294"/>
      <c r="D1925" s="294"/>
      <c r="E1925" s="294"/>
      <c r="F1925" s="294"/>
      <c r="G1925" s="294"/>
      <c r="H1925" s="265"/>
      <c r="I1925" s="265"/>
      <c r="J1925" s="265"/>
      <c r="K1925" s="265"/>
      <c r="L1925" s="265" t="str">
        <f ca="1">IF(AND($B1925&lt;&gt;"",$Q1902&lt;&gt;""),IF($B1925="Missing Player",0,IF($B1923="Missing Player",11,"")),"")</f>
        <v/>
      </c>
      <c r="M1925" s="267" t="s">
        <v>1237</v>
      </c>
      <c r="N1925" s="268"/>
      <c r="O1925" s="268"/>
      <c r="P1925" s="269"/>
      <c r="Q1925" s="137" t="str">
        <f ca="1">IF($Q1923&lt;&gt;"",IF($Q1923="W","L","W"),"")</f>
        <v/>
      </c>
      <c r="R1925" s="112"/>
      <c r="S1925" s="98"/>
      <c r="T1925" s="108"/>
      <c r="U1925" s="108"/>
      <c r="V1925" s="108"/>
      <c r="W1925" s="108"/>
      <c r="X1925" s="108"/>
      <c r="Y1925" s="113"/>
      <c r="Z1925" s="113"/>
      <c r="AA1925" s="113"/>
      <c r="AB1925" s="113"/>
      <c r="AC1925" s="113"/>
      <c r="AD1925" s="107"/>
      <c r="AE1925" s="109"/>
      <c r="AF1925" s="109"/>
    </row>
    <row r="1926" spans="1:32" ht="12.75" customHeight="1">
      <c r="A1926" s="301"/>
      <c r="B1926" s="295"/>
      <c r="C1926" s="296"/>
      <c r="D1926" s="296"/>
      <c r="E1926" s="296"/>
      <c r="F1926" s="296"/>
      <c r="G1926" s="296"/>
      <c r="H1926" s="270"/>
      <c r="I1926" s="270"/>
      <c r="J1926" s="266"/>
      <c r="K1926" s="266"/>
      <c r="L1926" s="266"/>
      <c r="M1926" s="267"/>
      <c r="N1926" s="268"/>
      <c r="O1926" s="268"/>
      <c r="P1926" s="269"/>
      <c r="Q1926" s="139" t="str">
        <f ca="1">IF($Q1925&lt;&gt;"",IF($B1923&lt;&gt;"Missing Player",IF($Q1925="W",IF(SUM(IF($H1925&gt;$H1923,1,0),IF($I1925&gt;$I1923,1,0),IF($J1925&gt;$J1923,1,0),IF($K1925&gt;$K1923,1,0),IF($L1925&gt;$L1923,1,0))&lt;&gt;3,"Error",""),""),""),"")</f>
        <v/>
      </c>
      <c r="R1926" s="114"/>
      <c r="S1926" s="115"/>
      <c r="T1926" s="115"/>
      <c r="U1926" s="115"/>
      <c r="V1926" s="115"/>
      <c r="W1926" s="115"/>
      <c r="X1926" s="115"/>
      <c r="Y1926" s="114"/>
      <c r="Z1926" s="114"/>
      <c r="AA1926" s="114"/>
      <c r="AB1926" s="114"/>
      <c r="AC1926" s="114"/>
      <c r="AD1926" s="114"/>
      <c r="AE1926" s="114"/>
      <c r="AF1926" s="114"/>
    </row>
    <row r="1927" spans="1:32" ht="12.75" customHeight="1">
      <c r="B1927" s="140" t="str">
        <f ca="1">IF(ISERROR(VLOOKUP($B1902&amp;"("&amp;$B1896&amp;")",Players!$S$4:$T$132,2,FALSE)),"",VLOOKUP($B1902&amp;"("&amp;$B1896&amp;")",Players!$S$4:$T$132,2,FALSE))</f>
        <v>C1</v>
      </c>
      <c r="C1927" s="140" t="str">
        <f ca="1">IF(ISERROR(VLOOKUP($B1909&amp;"("&amp;$B1896&amp;")",Players!$S$4:$T$132,2,FALSE)),"",VLOOKUP($B1909&amp;"("&amp;$B1896&amp;")",Players!$S$4:$T$132,2,FALSE))</f>
        <v>C1</v>
      </c>
      <c r="D1927" s="141" t="str">
        <f ca="1">IF(ISERROR(VLOOKUP($B1916&amp;"("&amp;$B1896&amp;")",Players!$S$4:$T$132,2,FALSE)),"",VLOOKUP($B1916&amp;"("&amp;$B1896&amp;")",Players!$S$4:$T$132,2,FALSE))</f>
        <v>C1</v>
      </c>
      <c r="E1927" s="141" t="str">
        <f ca="1">IF(ISERROR(VLOOKUP($B1923&amp;"("&amp;$B1896&amp;")",Players!$S$4:$T$132,2,FALSE)),"",VLOOKUP($B1923&amp;"("&amp;$B1896&amp;")",Players!$S$4:$T$132,2,FALSE))</f>
        <v>C1</v>
      </c>
      <c r="F1927" s="141" t="str">
        <f ca="1">IF(ISERROR(VLOOKUP($B1904&amp;"("&amp;$K1896&amp;")",Players!$S$4:$T$132,2,FALSE)),"",VLOOKUP($B1904&amp;"("&amp;$K1896&amp;")",Players!$S$4:$T$132,2,FALSE))</f>
        <v>H1</v>
      </c>
      <c r="G1927" s="141" t="str">
        <f ca="1">IF(ISERROR(VLOOKUP($B1911&amp;"("&amp;$K1896&amp;")",Players!$S$4:$T$132,2,FALSE)),"",VLOOKUP($B1911&amp;"("&amp;$K1896&amp;")",Players!$S$4:$T$132,2,FALSE))</f>
        <v>H1</v>
      </c>
      <c r="H1927" s="141" t="str">
        <f ca="1">IF(ISERROR(VLOOKUP($B1918&amp;"("&amp;$K1896&amp;")",Players!$S$4:$T$132,2,FALSE)),"",VLOOKUP($B1918&amp;"("&amp;$K1896&amp;")",Players!$S$4:$T$132,2,FALSE))</f>
        <v>H1</v>
      </c>
      <c r="I1927" s="141" t="str">
        <f ca="1">IF(ISERROR(VLOOKUP($B1925&amp;"("&amp;$K1896&amp;")",Players!$S$4:$T$132,2,FALSE)),"",VLOOKUP($B1925&amp;"("&amp;$K1896&amp;")",Players!$S$4:$T$132,2,FALSE))</f>
        <v>H1</v>
      </c>
      <c r="Q1927" s="7"/>
      <c r="R1927" s="50"/>
      <c r="S1927" s="116"/>
      <c r="T1927" s="115"/>
      <c r="U1927" s="115"/>
      <c r="V1927" s="115"/>
      <c r="W1927" s="115"/>
      <c r="X1927" s="115"/>
      <c r="Y1927" s="99"/>
      <c r="Z1927" s="99"/>
      <c r="AA1927" s="99"/>
      <c r="AB1927" s="99"/>
      <c r="AC1927" s="117"/>
      <c r="AD1927" s="118"/>
      <c r="AE1927" s="114"/>
      <c r="AF1927" s="114"/>
    </row>
    <row r="1928" spans="1:32" ht="12.75" customHeight="1">
      <c r="A1928" s="21" t="s">
        <v>1225</v>
      </c>
      <c r="H1928" s="136" t="str">
        <f ca="1">IF($Q1930&lt;&gt;"",IF(AND($B1931&lt;&gt;"Missing Player",$B1933&lt;&gt;"Missing Player"),IF(AND(AND($H1930&gt;-1,$H1932&gt;-1),OR($H1930&gt;10,$H1932&gt;10),ABS($H1930-$H1932)&gt;1,IF(OR($H1930&gt;11,$H1932&gt;11),ABS($H1930-$H1932)=2,TRUE),$H1930=INT($H1930),$H1932=INT($H1932)),"","Error"),""),"")</f>
        <v/>
      </c>
      <c r="I1928" s="136" t="str">
        <f ca="1">IF($Q1930&lt;&gt;"",IF(AND($B1931&lt;&gt;"Missing Player",$B1933&lt;&gt;"Missing Player"),IF(AND(AND($I1930&gt;-1,$I1932&gt;-1),OR($I1930&gt;10,$I1932&gt;10),ABS($I1930-$I1932)&gt;1,IF(OR($I1930&gt;11,$I1932&gt;11),ABS($I1930-$I1932)=2,TRUE),$I1930=INT($I1930),$I1932=INT($I1932)),"","Error"),""),"")</f>
        <v/>
      </c>
      <c r="J1928" s="136" t="str">
        <f ca="1">IF($Q1930&lt;&gt;"",IF(AND($B1931&lt;&gt;"Missing Player",$B1933&lt;&gt;"Missing Player"),IF(AND(AND($J1930&gt;-1,$J1932&gt;-1),OR($J1930&gt;10,$J1932&gt;10),ABS($J1930-$J1932)&gt;1,IF(OR($J1930&gt;11,$J1932&gt;11),ABS($J1930-$J1932)=2,TRUE),$J1930=INT($J1930),$J1932=INT($J1932)),"","Error"),""),"")</f>
        <v/>
      </c>
      <c r="K1928" s="136" t="str">
        <f ca="1">IF($Q1930&lt;&gt;"",IF(AND($K1930&lt;&gt;"",$K1932&lt;&gt;""), IF(AND(AND($K1930&gt;-1,$K1932&gt;-1),OR($K1930&gt;10,$K1932&gt;10),ABS($K1930-$K1932)&gt;1,IF(OR($K1930&gt;11,$K1932&gt;11),ABS($K1930-$K1932)=2,TRUE),$K1930=INT($K1930),$K1932=INT($K1932)),"","Error"),""),"")</f>
        <v/>
      </c>
      <c r="L1928" s="136" t="str">
        <f ca="1">IF($Q1930&lt;&gt;"",IF(AND($L1930&lt;&gt;"",$L1932&lt;&gt;""), IF(AND(AND($L1930&gt;-1,$L1932&gt;-1),OR($L1930&gt;10,$L1932&gt;10),ABS($L1930-$L1932)&gt;1,IF(OR($L1930&gt;11,$L1932&gt;11),ABS($L1930-$L1932)=2,TRUE),$L1930=INT($L1930),$L1932=INT($L1932)),"","Error"),""),"")</f>
        <v/>
      </c>
      <c r="Q1928" s="7"/>
      <c r="R1928" s="114"/>
      <c r="S1928" s="115"/>
      <c r="T1928" s="115"/>
      <c r="U1928" s="115"/>
      <c r="V1928" s="115"/>
      <c r="W1928" s="115"/>
      <c r="X1928" s="115"/>
      <c r="Y1928" s="114"/>
      <c r="Z1928" s="114"/>
      <c r="AA1928" s="114"/>
      <c r="AB1928" s="114"/>
      <c r="AC1928" s="114"/>
      <c r="AD1928" s="114"/>
      <c r="AE1928" s="114"/>
      <c r="AF1928" s="114"/>
    </row>
    <row r="1929" spans="1:32" ht="12.75" customHeight="1">
      <c r="A1929" s="5" t="s">
        <v>1228</v>
      </c>
      <c r="B1929" s="290" t="s">
        <v>1126</v>
      </c>
      <c r="C1929" s="291"/>
      <c r="D1929" s="291"/>
      <c r="E1929" s="291"/>
      <c r="F1929" s="291"/>
      <c r="G1929" s="292"/>
      <c r="H1929" s="5">
        <v>1</v>
      </c>
      <c r="I1929" s="5">
        <v>2</v>
      </c>
      <c r="J1929" s="5">
        <v>3</v>
      </c>
      <c r="K1929" s="5">
        <v>4</v>
      </c>
      <c r="L1929" s="5">
        <v>5</v>
      </c>
      <c r="M1929" s="271"/>
      <c r="N1929" s="272"/>
      <c r="O1929" s="272"/>
      <c r="P1929" s="273"/>
      <c r="Q1929" s="8"/>
      <c r="S1929" s="24"/>
      <c r="T1929" s="26"/>
    </row>
    <row r="1930" spans="1:32" ht="12.75" customHeight="1">
      <c r="A1930" s="300" t="str">
        <f>B1896</f>
        <v>C</v>
      </c>
      <c r="B1930" s="311" t="str">
        <f ca="1">IF($B1902&lt;&gt;"",$B1902,"")</f>
        <v/>
      </c>
      <c r="C1930" s="312"/>
      <c r="D1930" s="312"/>
      <c r="E1930" s="312"/>
      <c r="F1930" s="312"/>
      <c r="G1930" s="313"/>
      <c r="H1930" s="265"/>
      <c r="I1930" s="265"/>
      <c r="J1930" s="265"/>
      <c r="K1930" s="265"/>
      <c r="L1930" s="265" t="str">
        <f ca="1">IF($B1923&lt;&gt;"",IF(AND($B1923="Missing Player",$G1934=2,$J1934=2),0,IF(AND($B1925="Missing Player",$G1934=2,$J1934=2),11,"")),"")</f>
        <v/>
      </c>
      <c r="M1930" s="262" t="str">
        <f ca="1">IF(OR(AND($B1930&lt;&gt;"",$B1931&lt;&gt;"",$B1930=$B1931),AND($B1932&lt;&gt;"",$B1933&lt;&gt;"",$B1932=$B1933)),"Invalid Partner","")</f>
        <v/>
      </c>
      <c r="N1930" s="263"/>
      <c r="O1930" s="263"/>
      <c r="P1930" s="264"/>
      <c r="Q1930" s="138" t="str">
        <f ca="1">IF(L1930=L1932,IF(K1930=K1932,IF(J1930&lt;&gt;"",IF(J1930&gt;J1932,"W","L"),""),IF(K1930&gt;K1932,"W","L")),IF(L1930&gt;L1932,"W","L"))</f>
        <v/>
      </c>
      <c r="S1930" s="24"/>
      <c r="T1930" s="26"/>
    </row>
    <row r="1931" spans="1:32" ht="12.75" customHeight="1">
      <c r="A1931" s="324"/>
      <c r="B1931" s="308" t="str">
        <f ca="1">IF($B1923="Missing Player",$B1923,"")</f>
        <v/>
      </c>
      <c r="C1931" s="309"/>
      <c r="D1931" s="309"/>
      <c r="E1931" s="309"/>
      <c r="F1931" s="309"/>
      <c r="G1931" s="310"/>
      <c r="H1931" s="270"/>
      <c r="I1931" s="270"/>
      <c r="J1931" s="270"/>
      <c r="K1931" s="270"/>
      <c r="L1931" s="270"/>
      <c r="M1931" s="262"/>
      <c r="N1931" s="263"/>
      <c r="O1931" s="263"/>
      <c r="P1931" s="264"/>
      <c r="Q1931" s="139" t="str">
        <f ca="1">IF($Q1930&lt;&gt;"",IF($B1933&lt;&gt;"Missing Player",IF($Q1930="W",IF(SUM(IF($H1930&gt;$H1932,1,0),IF($I1930&gt;$I1932,1,0),IF($J1930&gt;$J1932,1,0),IF($K1930&gt;$K1932,1,0),IF($L1930&gt;$L1932,1,0))&lt;&gt;3,"Error",""),""),""),"")</f>
        <v/>
      </c>
      <c r="R1931" s="328" t="str">
        <f>$A1897</f>
        <v/>
      </c>
      <c r="S1931" s="328"/>
      <c r="T1931" s="328"/>
      <c r="U1931" s="328"/>
      <c r="V1931" s="328"/>
      <c r="W1931" s="328"/>
      <c r="X1931" s="256" t="str">
        <f>CONCATENATE("(",$B1896," vs ",$K1896,")")</f>
        <v>(C vs H)</v>
      </c>
      <c r="Y1931" s="256"/>
      <c r="Z1931" s="328" t="str">
        <f>$J1897</f>
        <v/>
      </c>
      <c r="AA1931" s="328"/>
      <c r="AB1931" s="328"/>
      <c r="AC1931" s="328"/>
      <c r="AD1931" s="328"/>
      <c r="AE1931" s="328"/>
      <c r="AF1931" s="43"/>
    </row>
    <row r="1932" spans="1:32" ht="12.75" customHeight="1">
      <c r="A1932" s="325" t="str">
        <f>K1896</f>
        <v>H</v>
      </c>
      <c r="B1932" s="311" t="str">
        <f ca="1">IF($B1904&lt;&gt;"",$B1904,"")</f>
        <v/>
      </c>
      <c r="C1932" s="312"/>
      <c r="D1932" s="312"/>
      <c r="E1932" s="312"/>
      <c r="F1932" s="312"/>
      <c r="G1932" s="313"/>
      <c r="H1932" s="265"/>
      <c r="I1932" s="265"/>
      <c r="J1932" s="265"/>
      <c r="K1932" s="265"/>
      <c r="L1932" s="265" t="str">
        <f ca="1">IF($B1925&lt;&gt;"",IF(AND($B1925="Missing Player",$G1934=2,$J1934=2),0,IF(AND($B1923="Missing Player",$G1934=2,$J1934=2),11,"")),"")</f>
        <v/>
      </c>
      <c r="M1932" s="267" t="s">
        <v>1237</v>
      </c>
      <c r="N1932" s="268"/>
      <c r="O1932" s="268"/>
      <c r="P1932" s="269"/>
      <c r="Q1932" s="138" t="str">
        <f ca="1">IF(Q1930&lt;&gt;"",IF(Q1930="W","L","W"),"")</f>
        <v/>
      </c>
      <c r="R1932" s="43"/>
      <c r="S1932" s="43"/>
      <c r="T1932" s="43"/>
      <c r="U1932" s="43"/>
      <c r="V1932" s="43"/>
      <c r="W1932" s="43"/>
      <c r="X1932" s="43"/>
      <c r="Y1932" s="43"/>
      <c r="Z1932" s="43"/>
      <c r="AA1932" s="43"/>
      <c r="AB1932" s="43"/>
      <c r="AC1932" s="43"/>
      <c r="AD1932" s="43"/>
      <c r="AE1932" s="43"/>
      <c r="AF1932" s="43"/>
    </row>
    <row r="1933" spans="1:32" ht="12.75" customHeight="1">
      <c r="A1933" s="324"/>
      <c r="B1933" s="308" t="str">
        <f ca="1">IF($B1925="Missing Player",$B1925,"")</f>
        <v/>
      </c>
      <c r="C1933" s="309"/>
      <c r="D1933" s="309"/>
      <c r="E1933" s="309"/>
      <c r="F1933" s="309"/>
      <c r="G1933" s="310"/>
      <c r="H1933" s="270"/>
      <c r="I1933" s="270"/>
      <c r="J1933" s="266"/>
      <c r="K1933" s="266"/>
      <c r="L1933" s="266"/>
      <c r="M1933" s="267"/>
      <c r="N1933" s="268"/>
      <c r="O1933" s="268"/>
      <c r="P1933" s="269"/>
      <c r="Q1933" s="139" t="str">
        <f ca="1">IF($Q1932&lt;&gt;"",IF($B1931&lt;&gt;"Missing Player",IF($Q1932="W",IF(SUM(IF($H1932&gt;$H1930,1,0),IF($I1932&gt;$I1930,1,0),IF($J1932&gt;$J1930,1,0),IF($K1932&gt;$K1930,1,0),IF($L1932&gt;$L1930,1,0))&lt;&gt;3,"Error",""),""),""),"")</f>
        <v/>
      </c>
      <c r="R1933" s="43" t="str">
        <f>A1921</f>
        <v>4th Singles</v>
      </c>
      <c r="S1933" s="43"/>
      <c r="T1933" s="43"/>
      <c r="U1933" s="43"/>
      <c r="V1933" s="43"/>
      <c r="W1933" s="43"/>
      <c r="X1933" s="43"/>
      <c r="Y1933" s="43"/>
      <c r="Z1933" s="43"/>
      <c r="AA1933" s="43"/>
      <c r="AB1933" s="43"/>
      <c r="AC1933" s="43"/>
      <c r="AD1933" s="43"/>
      <c r="AE1933" s="43"/>
      <c r="AF1933" s="43"/>
    </row>
    <row r="1934" spans="1:32" ht="12.75" customHeight="1">
      <c r="G1934" s="66">
        <f ca="1">COUNTIF($Q1902:$Q1902,"W")+COUNTIF($Q1909:$Q1909,"W")+COUNTIF($Q1916:$Q1916,"W")+COUNTIF($Q1923:$Q1923,"W")</f>
        <v>0</v>
      </c>
      <c r="J1934" s="66">
        <f ca="1">COUNTIF($Q1904:$Q1904,"W")+COUNTIF($Q1911:$Q1911,"W")+COUNTIF($Q1918:$Q1918,"W")+COUNTIF($Q1925:$Q1925,"W")</f>
        <v>0</v>
      </c>
      <c r="R1934" s="60" t="s">
        <v>1228</v>
      </c>
      <c r="S1934" s="339" t="s">
        <v>1126</v>
      </c>
      <c r="T1934" s="340"/>
      <c r="U1934" s="340"/>
      <c r="V1934" s="340"/>
      <c r="W1934" s="340"/>
      <c r="X1934" s="341"/>
      <c r="Y1934" s="60">
        <v>1</v>
      </c>
      <c r="Z1934" s="60">
        <v>2</v>
      </c>
      <c r="AA1934" s="60">
        <v>3</v>
      </c>
      <c r="AB1934" s="60">
        <v>4</v>
      </c>
      <c r="AC1934" s="60">
        <v>5</v>
      </c>
      <c r="AD1934" s="342"/>
      <c r="AE1934" s="343"/>
      <c r="AF1934" s="344"/>
    </row>
    <row r="1935" spans="1:32" ht="12.75" customHeight="1" thickBot="1">
      <c r="F1935" s="246" t="s">
        <v>1238</v>
      </c>
      <c r="G1935" s="246"/>
      <c r="H1935" s="246"/>
      <c r="I1935" s="246"/>
      <c r="J1935" s="246"/>
      <c r="K1935" s="246"/>
      <c r="R1935" s="300" t="str">
        <f>B1896</f>
        <v>C</v>
      </c>
      <c r="S1935" s="331" t="str">
        <f ca="1">IF($B1923&lt;&gt;"",$B1923,"")</f>
        <v/>
      </c>
      <c r="T1935" s="353"/>
      <c r="U1935" s="353"/>
      <c r="V1935" s="353"/>
      <c r="W1935" s="353"/>
      <c r="X1935" s="354"/>
      <c r="Y1935" s="329"/>
      <c r="Z1935" s="329"/>
      <c r="AA1935" s="351"/>
      <c r="AB1935" s="351"/>
      <c r="AC1935" s="351"/>
      <c r="AD1935" s="345"/>
      <c r="AE1935" s="346"/>
      <c r="AF1935" s="347"/>
    </row>
    <row r="1936" spans="1:32" ht="12.75" customHeight="1">
      <c r="A1936" s="22"/>
      <c r="B1936" s="22"/>
      <c r="C1936" s="22"/>
      <c r="D1936" s="22"/>
      <c r="E1936" s="22"/>
      <c r="G1936" s="304" t="str">
        <f>B1896</f>
        <v>C</v>
      </c>
      <c r="H1936" s="305"/>
      <c r="I1936" s="302" t="str">
        <f>K1896</f>
        <v>H</v>
      </c>
      <c r="J1936" s="303"/>
      <c r="L1936" s="22"/>
      <c r="M1936" s="22"/>
      <c r="N1936" s="22"/>
      <c r="O1936" s="22"/>
      <c r="P1936" s="22"/>
      <c r="R1936" s="301"/>
      <c r="S1936" s="355"/>
      <c r="T1936" s="356"/>
      <c r="U1936" s="356"/>
      <c r="V1936" s="356"/>
      <c r="W1936" s="356"/>
      <c r="X1936" s="357"/>
      <c r="Y1936" s="338"/>
      <c r="Z1936" s="338"/>
      <c r="AA1936" s="352"/>
      <c r="AB1936" s="352"/>
      <c r="AC1936" s="352"/>
      <c r="AD1936" s="348"/>
      <c r="AE1936" s="349"/>
      <c r="AF1936" s="350"/>
    </row>
    <row r="1937" spans="1:32" ht="12.75" customHeight="1" thickBot="1">
      <c r="A1937" s="2" t="s">
        <v>1228</v>
      </c>
      <c r="B1937" s="53" t="str">
        <f>B1896</f>
        <v>C</v>
      </c>
      <c r="C1937" s="3" t="s">
        <v>1226</v>
      </c>
      <c r="F1937" s="66" t="str">
        <f>CONCATENATE($B1896,"-",$K1896)</f>
        <v>C-H</v>
      </c>
      <c r="G1937" s="320" t="str">
        <f ca="1">IF(OR(Q1902&lt;&gt;"",Q1909&lt;&gt;"",Q1916&lt;&gt;"",Q1923&lt;&gt;"",Q1930&lt;&gt;""),COUNTIF(Q1902:Q1902,"W")+COUNTIF(Q1909:Q1909,"W")+COUNTIF(Q1916:Q1916,"W")+COUNTIF(Q1923:Q1923,"W")+COUNTIF(Q1930:Q1930,"W"),"")</f>
        <v/>
      </c>
      <c r="H1937" s="321"/>
      <c r="I1937" s="322" t="str">
        <f ca="1">IF(OR(Q1904&lt;&gt;"",Q1911&lt;&gt;"",Q1918&lt;&gt;"",Q1925&lt;&gt;"",Q1932&lt;&gt;""),COUNTIF(Q1904:Q1904,"W")+COUNTIF(Q1911:Q1911,"W")+COUNTIF(Q1918:Q1918,"W")+COUNTIF(Q1925:Q1925,"W")+COUNTIF(Q1932:Q1932,"W"),"")</f>
        <v/>
      </c>
      <c r="J1937" s="323"/>
      <c r="L1937" s="2" t="s">
        <v>1228</v>
      </c>
      <c r="M1937" s="53" t="str">
        <f>K1896</f>
        <v>H</v>
      </c>
      <c r="N1937" s="3" t="s">
        <v>1226</v>
      </c>
      <c r="R1937" s="300" t="str">
        <f>K1896</f>
        <v>H</v>
      </c>
      <c r="S1937" s="331" t="str">
        <f ca="1">IF($B1925&lt;&gt;"",$B1925,"")</f>
        <v/>
      </c>
      <c r="T1937" s="332"/>
      <c r="U1937" s="332"/>
      <c r="V1937" s="332"/>
      <c r="W1937" s="332"/>
      <c r="X1937" s="333"/>
      <c r="Y1937" s="329"/>
      <c r="Z1937" s="329"/>
      <c r="AA1937" s="351"/>
      <c r="AB1937" s="351"/>
      <c r="AC1937" s="351"/>
      <c r="AD1937" s="363" t="s">
        <v>1237</v>
      </c>
      <c r="AE1937" s="358"/>
      <c r="AF1937" s="359"/>
    </row>
    <row r="1938" spans="1:32" ht="12.75" customHeight="1">
      <c r="F1938" s="25" t="s">
        <v>3996</v>
      </c>
      <c r="G1938" s="23"/>
      <c r="H1938" s="23"/>
      <c r="I1938" s="23"/>
      <c r="J1938" s="23"/>
      <c r="K1938" s="24"/>
      <c r="R1938" s="330"/>
      <c r="S1938" s="334"/>
      <c r="T1938" s="335"/>
      <c r="U1938" s="335"/>
      <c r="V1938" s="335"/>
      <c r="W1938" s="335"/>
      <c r="X1938" s="336"/>
      <c r="Y1938" s="330"/>
      <c r="Z1938" s="330"/>
      <c r="AA1938" s="330"/>
      <c r="AB1938" s="330"/>
      <c r="AC1938" s="330"/>
      <c r="AD1938" s="360"/>
      <c r="AE1938" s="361"/>
      <c r="AF1938" s="362"/>
    </row>
    <row r="1939" spans="1:32" ht="12.75" customHeight="1">
      <c r="R1939" s="1"/>
      <c r="S1939" s="110"/>
      <c r="T1939" s="110"/>
      <c r="U1939" s="110"/>
      <c r="V1939" s="110"/>
      <c r="W1939" s="110"/>
      <c r="X1939" s="111"/>
      <c r="Y1939" s="111"/>
      <c r="Z1939" s="111"/>
      <c r="AA1939" s="111"/>
    </row>
    <row r="1940" spans="1:32" ht="12.75" customHeight="1">
      <c r="F1940" s="246" t="s">
        <v>4929</v>
      </c>
      <c r="G1940" s="246"/>
      <c r="H1940" s="246"/>
      <c r="I1940" s="246"/>
      <c r="R1940" s="1"/>
      <c r="S1940" s="110"/>
      <c r="T1940" s="110"/>
      <c r="U1940" s="110"/>
      <c r="V1940" s="110"/>
      <c r="W1940" s="110"/>
      <c r="X1940" s="111"/>
      <c r="Y1940" s="111"/>
      <c r="Z1940" s="111"/>
      <c r="AA1940" s="111"/>
    </row>
    <row r="1941" spans="1:32" ht="12.75" customHeight="1">
      <c r="F1941" s="246" t="s">
        <v>4930</v>
      </c>
      <c r="G1941" s="246"/>
      <c r="H1941" s="246"/>
      <c r="I1941" s="246"/>
      <c r="R1941" s="1"/>
      <c r="S1941" s="110"/>
      <c r="T1941" s="110"/>
      <c r="U1941" s="110"/>
      <c r="V1941" s="110"/>
      <c r="W1941" s="110"/>
      <c r="X1941" s="111"/>
      <c r="Y1941" s="111"/>
      <c r="Z1941" s="111"/>
      <c r="AA1941" s="111"/>
    </row>
    <row r="1942" spans="1:32" ht="12.75" customHeight="1">
      <c r="K1942" s="281" t="s">
        <v>1244</v>
      </c>
      <c r="L1942" s="281"/>
      <c r="M1942" s="281"/>
      <c r="N1942" s="281"/>
      <c r="O1942" s="281"/>
      <c r="P1942" s="281"/>
      <c r="R1942" s="1"/>
      <c r="S1942" s="110"/>
      <c r="T1942" s="110"/>
      <c r="U1942" s="110"/>
      <c r="V1942" s="110"/>
      <c r="W1942" s="110"/>
      <c r="X1942" s="111"/>
      <c r="Y1942" s="111"/>
      <c r="Z1942" s="111"/>
      <c r="AA1942" s="111"/>
    </row>
    <row r="1943" spans="1:32" ht="12.75" customHeight="1">
      <c r="A1943" s="12" t="s">
        <v>1229</v>
      </c>
      <c r="B1943" s="11"/>
      <c r="C1943" s="11"/>
      <c r="D1943" s="11" t="str">
        <f>Draw!$B$1</f>
        <v>Enter Division Name</v>
      </c>
      <c r="E1943" s="11"/>
      <c r="F1943" s="7"/>
      <c r="G1943" s="6"/>
      <c r="H1943" s="7"/>
      <c r="I1943" s="11"/>
      <c r="J1943" s="11"/>
      <c r="K1943" s="11"/>
      <c r="L1943" s="11"/>
      <c r="M1943" s="281"/>
      <c r="N1943" s="281"/>
      <c r="O1943" s="281"/>
      <c r="P1943" s="281"/>
      <c r="R1943" s="1"/>
      <c r="S1943" s="110"/>
      <c r="T1943" s="110"/>
      <c r="U1943" s="110"/>
      <c r="V1943" s="110"/>
      <c r="W1943" s="110"/>
      <c r="X1943" s="111"/>
      <c r="Y1943" s="111"/>
      <c r="Z1943" s="111"/>
      <c r="AA1943" s="111"/>
    </row>
    <row r="1944" spans="1:32" ht="12.75" customHeight="1">
      <c r="A1944" s="2" t="s">
        <v>1230</v>
      </c>
      <c r="D1944" s="43" t="str">
        <f>Draw!$D$1</f>
        <v>Enter Hosting Location (City, ST)</v>
      </c>
      <c r="J1944" s="43" t="str">
        <f ca="1">$J$6</f>
        <v>[NCTTA Teams Template (v2.06).xlsx]</v>
      </c>
      <c r="R1944" s="1"/>
      <c r="S1944" s="110"/>
      <c r="T1944" s="110"/>
      <c r="U1944" s="110"/>
      <c r="V1944" s="110"/>
      <c r="W1944" s="110"/>
      <c r="X1944" s="111"/>
      <c r="Y1944" s="111"/>
      <c r="Z1944" s="111"/>
      <c r="AA1944" s="111"/>
    </row>
    <row r="1945" spans="1:32" ht="12.75" customHeight="1">
      <c r="A1945" s="2" t="s">
        <v>1231</v>
      </c>
      <c r="D1945" s="337" t="str">
        <f>Draw!$P$1</f>
        <v>Enter Date</v>
      </c>
      <c r="E1945" s="337"/>
      <c r="F1945" s="337"/>
      <c r="G1945" s="337"/>
      <c r="J1945" s="280" t="str">
        <f>CHOOSE(Draw!$T$1,"Round 7, Match 3","","","","","","","","","Round 8, Match 4","Round 8, Match 4")</f>
        <v/>
      </c>
      <c r="K1945" s="280"/>
      <c r="L1945" s="280"/>
      <c r="M1945" s="276" t="str">
        <f>IF(AND($J1945&lt;&gt;"",Draw!$AC$10&lt;&gt;"",Draw!$AC$13&lt;&gt;""),Draw!$AC$10+TIME(0,VALUE(MID($J1945,7,FIND(",",$J1945)-FIND(" ",$J1945)-1)-1)*Draw!$AC$13,0),"")</f>
        <v/>
      </c>
      <c r="N1945" s="276"/>
      <c r="O1945" s="157" t="str">
        <f>$F1988</f>
        <v>C-I</v>
      </c>
      <c r="R1945" s="1"/>
      <c r="S1945" s="110"/>
      <c r="T1945" s="110"/>
      <c r="U1945" s="110"/>
      <c r="V1945" s="110"/>
      <c r="W1945" s="110"/>
      <c r="X1945" s="111"/>
      <c r="Y1945" s="111"/>
      <c r="Z1945" s="111"/>
      <c r="AA1945" s="111"/>
    </row>
    <row r="1946" spans="1:32" ht="12.75" customHeight="1">
      <c r="A1946" s="14"/>
      <c r="B1946" s="15"/>
      <c r="C1946" s="15"/>
      <c r="D1946" s="15"/>
      <c r="E1946" s="15"/>
      <c r="F1946" s="14"/>
      <c r="G1946" s="14"/>
      <c r="H1946" s="16"/>
      <c r="I1946" s="14"/>
      <c r="J1946" s="15"/>
      <c r="K1946" s="15"/>
      <c r="L1946" s="15"/>
      <c r="M1946" s="15"/>
      <c r="N1946" s="15"/>
      <c r="O1946" s="364" t="str">
        <f>IF(OR(AND(VLOOKUP($B1947,$AM$1:$AX$12,12,FALSE)="C",VLOOKUP($K1947,$AM$1:$AX$12,12,FALSE)="C"),AND(VLOOKUP($B1947,$AM$1:$AX$12,12,FALSE)="W",VLOOKUP($K1947,$AM$1:$AX$12,12,FALSE)="W")),"Official",IF(AND($A1948="",$J1948=""),"","Scrimmage"))</f>
        <v/>
      </c>
      <c r="P1946" s="364"/>
      <c r="R1946" s="1"/>
      <c r="S1946" s="110"/>
      <c r="T1946" s="110"/>
      <c r="U1946" s="110"/>
      <c r="V1946" s="110"/>
      <c r="W1946" s="110"/>
      <c r="X1946" s="111"/>
      <c r="Y1946" s="111"/>
      <c r="Z1946" s="111"/>
      <c r="AA1946" s="111"/>
    </row>
    <row r="1947" spans="1:32" ht="12.75" customHeight="1">
      <c r="A1947" s="17" t="s">
        <v>1228</v>
      </c>
      <c r="B1947" s="119" t="str">
        <f>CHOOSE(Draw!$T$1,"D","B","C","C","E","D","D","C","A","E","B")</f>
        <v>C</v>
      </c>
      <c r="C1947" s="135">
        <f>VLOOKUP($B1947,$AM$1:$AN$12,2)</f>
        <v>3</v>
      </c>
      <c r="D1947" s="13"/>
      <c r="E1947" s="13"/>
      <c r="F1947" s="10"/>
      <c r="H1947" s="19" t="s">
        <v>1232</v>
      </c>
      <c r="J1947" s="17" t="s">
        <v>1228</v>
      </c>
      <c r="K1947" s="119" t="str">
        <f>CHOOSE(Draw!$T$1,"H","I","I","L","F","L","J","K","L","H","H")</f>
        <v>I</v>
      </c>
      <c r="L1947" s="135">
        <f>VLOOKUP($K1947,$AM$1:$AN$12,2)</f>
        <v>9</v>
      </c>
      <c r="M1947" s="13"/>
      <c r="N1947" s="13"/>
      <c r="O1947" s="18"/>
      <c r="P1947" s="274"/>
      <c r="Q1947" s="275"/>
      <c r="R1947" s="1"/>
      <c r="S1947" s="110"/>
      <c r="T1947" s="110"/>
      <c r="U1947" s="110"/>
      <c r="V1947" s="110"/>
      <c r="W1947" s="110"/>
      <c r="X1947" s="111"/>
      <c r="Y1947" s="111"/>
      <c r="Z1947" s="111"/>
      <c r="AA1947" s="111"/>
    </row>
    <row r="1948" spans="1:32" ht="12.75" customHeight="1">
      <c r="A1948" s="277" t="str">
        <f>IF(VLOOKUP($B1947,Draw!$A$4:$B$27,2)&lt;&gt;0,VLOOKUP($B1947,Draw!$A$4:$B$27,2),"")</f>
        <v/>
      </c>
      <c r="B1948" s="278"/>
      <c r="C1948" s="278"/>
      <c r="D1948" s="278"/>
      <c r="E1948" s="278"/>
      <c r="F1948" s="279"/>
      <c r="G1948" s="306" t="s">
        <v>4190</v>
      </c>
      <c r="H1948" s="289"/>
      <c r="I1948" s="307"/>
      <c r="J1948" s="277" t="str">
        <f>IF(VLOOKUP($K1947,Draw!$A$4:$B$27,2)&lt;&gt;0,VLOOKUP($K1947,Draw!$A$4:$B$27,2),"")</f>
        <v/>
      </c>
      <c r="K1948" s="278"/>
      <c r="L1948" s="278"/>
      <c r="M1948" s="278"/>
      <c r="N1948" s="278"/>
      <c r="O1948" s="279"/>
      <c r="P1948" s="15"/>
      <c r="R1948" s="1"/>
      <c r="S1948" s="110"/>
      <c r="T1948" s="110"/>
      <c r="U1948" s="110"/>
      <c r="V1948" s="110"/>
      <c r="W1948" s="110"/>
      <c r="X1948" s="111"/>
      <c r="Y1948" s="111"/>
      <c r="Z1948" s="111"/>
      <c r="AA1948" s="111"/>
    </row>
    <row r="1949" spans="1:32" ht="12.75" customHeight="1">
      <c r="A1949" s="14"/>
      <c r="B1949" s="15"/>
      <c r="C1949" s="15"/>
      <c r="D1949" s="15"/>
      <c r="E1949" s="15"/>
      <c r="F1949" s="14"/>
      <c r="G1949" s="288" t="str">
        <f>"Page "&amp;VALUE(RIGHT($G1948,LEN($G1948)-SEARCH("-",$G1948)))/2</f>
        <v>Page 39</v>
      </c>
      <c r="H1949" s="289"/>
      <c r="I1949" s="289"/>
      <c r="J1949" s="15"/>
      <c r="K1949" s="15"/>
      <c r="L1949" s="15"/>
      <c r="M1949" s="15"/>
      <c r="N1949" s="15"/>
      <c r="O1949" s="15"/>
      <c r="P1949" s="15"/>
      <c r="R1949" s="1"/>
      <c r="S1949" s="110"/>
      <c r="T1949" s="110"/>
      <c r="U1949" s="110"/>
      <c r="V1949" s="110"/>
      <c r="W1949" s="110"/>
      <c r="X1949" s="111"/>
      <c r="Y1949" s="111"/>
      <c r="Z1949" s="111"/>
      <c r="AA1949" s="111"/>
      <c r="AF1949" s="27"/>
    </row>
    <row r="1950" spans="1:32" ht="12.75" customHeight="1">
      <c r="A1950" s="327" t="s">
        <v>1245</v>
      </c>
      <c r="B1950" s="327"/>
      <c r="C1950" s="327"/>
      <c r="D1950" s="327"/>
      <c r="E1950" s="327"/>
      <c r="F1950" s="327"/>
      <c r="G1950" s="327"/>
      <c r="H1950" s="327"/>
      <c r="I1950" s="327"/>
      <c r="J1950" s="327"/>
      <c r="K1950" s="327"/>
      <c r="L1950" s="327"/>
      <c r="M1950" s="327"/>
      <c r="N1950" s="327"/>
      <c r="O1950" s="327"/>
      <c r="P1950" s="327"/>
      <c r="Q1950" s="7"/>
      <c r="R1950" s="1"/>
      <c r="S1950" s="110"/>
      <c r="T1950" s="110"/>
      <c r="U1950" s="110"/>
      <c r="V1950" s="110"/>
      <c r="W1950" s="110"/>
      <c r="X1950" s="111"/>
      <c r="Y1950" s="111"/>
      <c r="Z1950" s="111"/>
      <c r="AA1950" s="111"/>
      <c r="AF1950" s="20"/>
    </row>
    <row r="1951" spans="1:32" ht="12.75" customHeight="1">
      <c r="A1951" s="21" t="s">
        <v>1233</v>
      </c>
      <c r="H1951" s="136" t="str">
        <f>IF($Q1953&lt;&gt;"",IF(AND(AND($H1953&gt;-1,$H1955&gt;-1),OR($H1953&gt;10,$H1955&gt;10),ABS($H1953-$H1955)&gt;1,IF(OR($H1953&gt;11,$H1955&gt;11),ABS($H1953-$H1955)=2,TRUE),$H1953=INT($H1953),$H1955=INT($H1955)),"","Error"),"")</f>
        <v/>
      </c>
      <c r="I1951" s="136" t="str">
        <f>IF($Q1953&lt;&gt;"",IF(AND(AND($I1953&gt;-1,$I1955&gt;-1),OR($I1953&gt;10,$I1955&gt;10),ABS($I1953-$I1955)&gt;1,IF(OR($I1953&gt;11,$I1955&gt;11),ABS($I1953-$I1955)=2,TRUE),$I1953=INT($I1953),$I1955=INT($I1955)),"","Error"),"")</f>
        <v/>
      </c>
      <c r="J1951" s="136" t="str">
        <f>IF($Q1953&lt;&gt;"",IF(AND(AND($J1953&gt;-1,$J1955&gt;-1),OR($J1953&gt;10,$J1955&gt;10),ABS($J1953-$J1955)&gt;1,IF(OR($J1953&gt;11,$J1955&gt;11),ABS($J1953-$J1955)=2,TRUE),$J1953=INT($J1953),$J1955=INT($J1955)),"","Error"),"")</f>
        <v/>
      </c>
      <c r="K1951" s="136" t="str">
        <f>IF($Q1953&lt;&gt;"",IF(AND($K1953&lt;&gt;"",$K1955&lt;&gt;""), IF(AND(AND($K1953&gt;-1,$K1955&gt;-1),OR($K1953&gt;10,$K1955&gt;10),ABS($K1953-$K1955)&gt;1,IF(OR($K1953&gt;11,$K1955&gt;11),ABS($K1953-$K1955)=2,TRUE),$K1953=INT($K1953),$K1955=INT($K1955)),"","Error"),""),"")</f>
        <v/>
      </c>
      <c r="L1951" s="136" t="str">
        <f>IF($Q1953&lt;&gt;"",IF(AND($L1953&lt;&gt;"",$L1955&lt;&gt;""), IF(AND(AND($L1953&gt;-1,$L1955&gt;-1),OR($L1953&gt;10,$L1955&gt;10),ABS($L1953-$L1955)&gt;1,IF(OR($L1953&gt;11,$L1955&gt;11),ABS($L1953-$L1955)=2,TRUE),$L1953=INT($L1953),$L1955=INT($L1955)),"","Error"),""),"")</f>
        <v/>
      </c>
      <c r="R1951" s="1"/>
      <c r="S1951" s="110"/>
      <c r="T1951" s="110"/>
      <c r="U1951" s="110"/>
      <c r="V1951" s="110"/>
      <c r="W1951" s="110"/>
      <c r="X1951" s="111"/>
      <c r="Y1951" s="111"/>
      <c r="Z1951" s="111"/>
      <c r="AA1951" s="111"/>
    </row>
    <row r="1952" spans="1:32" ht="12.75" customHeight="1">
      <c r="A1952" s="5" t="s">
        <v>1228</v>
      </c>
      <c r="B1952" s="290" t="s">
        <v>1126</v>
      </c>
      <c r="C1952" s="291"/>
      <c r="D1952" s="291"/>
      <c r="E1952" s="291"/>
      <c r="F1952" s="291"/>
      <c r="G1952" s="292"/>
      <c r="H1952" s="5">
        <v>1</v>
      </c>
      <c r="I1952" s="5">
        <v>2</v>
      </c>
      <c r="J1952" s="5">
        <v>3</v>
      </c>
      <c r="K1952" s="5">
        <v>4</v>
      </c>
      <c r="L1952" s="5">
        <v>5</v>
      </c>
      <c r="M1952" s="271"/>
      <c r="N1952" s="272"/>
      <c r="O1952" s="272"/>
      <c r="P1952" s="273"/>
      <c r="R1952" s="1"/>
      <c r="S1952" s="110"/>
      <c r="T1952" s="110"/>
      <c r="U1952" s="110"/>
      <c r="V1952" s="110"/>
      <c r="W1952" s="110"/>
      <c r="X1952" s="111"/>
      <c r="Y1952" s="111"/>
      <c r="Z1952" s="111"/>
      <c r="AA1952" s="111"/>
    </row>
    <row r="1953" spans="1:32" ht="12.75" customHeight="1">
      <c r="A1953" s="300" t="str">
        <f>B1947</f>
        <v>C</v>
      </c>
      <c r="B1953" s="293" t="str">
        <f ca="1">IF(AND(OFFSET($AO$1,$C1947-1,8,1,1),$A1948&lt;&gt;"",$J1948&lt;&gt;""),CHOOSE($C1947,$AO$1,$AO$2,$AO$3,$AO$4,$AO$5,$AO$6,$AO$7,$AO$8,$AO$9,$AO$10,$AO$11,$AO$12),"")</f>
        <v/>
      </c>
      <c r="C1953" s="294"/>
      <c r="D1953" s="294"/>
      <c r="E1953" s="294"/>
      <c r="F1953" s="294"/>
      <c r="G1953" s="294"/>
      <c r="H1953" s="265"/>
      <c r="I1953" s="265"/>
      <c r="J1953" s="265"/>
      <c r="K1953" s="265"/>
      <c r="L1953" s="265"/>
      <c r="M1953" s="297"/>
      <c r="N1953" s="298"/>
      <c r="O1953" s="298"/>
      <c r="P1953" s="299"/>
      <c r="Q1953" s="137" t="str">
        <f>IF($L1953=$L1955,IF($K1953=$K1955,IF($J1953&lt;&gt;"",IF($J1953&gt;$J1955,"W","L"),""),IF($K1953&gt;$K1955,"W","L")),IF($L1953&gt;$L1955,"W","L"))</f>
        <v/>
      </c>
      <c r="R1953" s="1"/>
      <c r="S1953" s="110"/>
      <c r="T1953" s="110"/>
      <c r="U1953" s="110"/>
      <c r="V1953" s="110"/>
      <c r="W1953" s="110"/>
      <c r="X1953" s="111"/>
      <c r="Y1953" s="111"/>
      <c r="Z1953" s="111"/>
      <c r="AA1953" s="111"/>
    </row>
    <row r="1954" spans="1:32" ht="12.75" customHeight="1">
      <c r="A1954" s="301"/>
      <c r="B1954" s="295"/>
      <c r="C1954" s="296"/>
      <c r="D1954" s="296"/>
      <c r="E1954" s="296"/>
      <c r="F1954" s="296"/>
      <c r="G1954" s="296"/>
      <c r="H1954" s="270"/>
      <c r="I1954" s="270"/>
      <c r="J1954" s="270"/>
      <c r="K1954" s="270"/>
      <c r="L1954" s="270"/>
      <c r="M1954" s="297"/>
      <c r="N1954" s="298"/>
      <c r="O1954" s="298"/>
      <c r="P1954" s="299"/>
      <c r="Q1954" s="139" t="str">
        <f>IF($Q1953&lt;&gt;"",IF($Q1953="W",IF(SUM(IF($H1953&gt;$H1955,1,0),IF($I1953&gt;$I1955,1,0),IF($J1953&gt;$J1955,1,0),IF($K1953&gt;$K1955,1,0),IF($L1953&gt;$L1955,1,0))&lt;&gt;3,"Error",""),""),"")</f>
        <v/>
      </c>
      <c r="R1954" s="328" t="str">
        <f>$A1948</f>
        <v/>
      </c>
      <c r="S1954" s="328"/>
      <c r="T1954" s="328"/>
      <c r="U1954" s="328"/>
      <c r="V1954" s="328"/>
      <c r="W1954" s="328"/>
      <c r="X1954" s="256" t="str">
        <f>CONCATENATE("(",$B1947," vs ",$K1947,")")</f>
        <v>(C vs I)</v>
      </c>
      <c r="Y1954" s="256"/>
      <c r="Z1954" s="328" t="str">
        <f>$J1948</f>
        <v/>
      </c>
      <c r="AA1954" s="328"/>
      <c r="AB1954" s="328"/>
      <c r="AC1954" s="328"/>
      <c r="AD1954" s="328"/>
      <c r="AE1954" s="328"/>
      <c r="AF1954" s="43"/>
    </row>
    <row r="1955" spans="1:32" ht="12.75" customHeight="1">
      <c r="A1955" s="300" t="str">
        <f>K1947</f>
        <v>I</v>
      </c>
      <c r="B1955" s="293" t="str">
        <f ca="1">IF(AND(OFFSET($AO$1,$L1947-1,8,1,1),$A1948&lt;&gt;"",$J1948&lt;&gt;""),CHOOSE($L1947,$AO$1,$AO$2,$AO$3,$AO$4,$AO$5,$AO$6,$AO$7,$AO$8,$AO$9,$AO$10,$AO$11,$AO$12),"")</f>
        <v/>
      </c>
      <c r="C1955" s="294"/>
      <c r="D1955" s="294"/>
      <c r="E1955" s="294"/>
      <c r="F1955" s="294"/>
      <c r="G1955" s="294"/>
      <c r="H1955" s="265"/>
      <c r="I1955" s="265"/>
      <c r="J1955" s="265"/>
      <c r="K1955" s="265"/>
      <c r="L1955" s="265"/>
      <c r="M1955" s="267" t="s">
        <v>1237</v>
      </c>
      <c r="N1955" s="268"/>
      <c r="O1955" s="268"/>
      <c r="P1955" s="269"/>
      <c r="Q1955" s="137" t="str">
        <f>IF($Q1953&lt;&gt;"",IF($Q1953="W","L","W"),"")</f>
        <v/>
      </c>
      <c r="R1955" s="43"/>
      <c r="S1955" s="43"/>
      <c r="T1955" s="43"/>
      <c r="U1955" s="43"/>
      <c r="V1955" s="43"/>
      <c r="W1955" s="43"/>
      <c r="X1955" s="43"/>
      <c r="Y1955" s="43"/>
      <c r="Z1955" s="43"/>
      <c r="AA1955" s="43"/>
      <c r="AB1955" s="43"/>
      <c r="AC1955" s="43"/>
      <c r="AD1955" s="43"/>
      <c r="AE1955" s="43"/>
      <c r="AF1955" s="43"/>
    </row>
    <row r="1956" spans="1:32" ht="12.75" customHeight="1">
      <c r="A1956" s="301"/>
      <c r="B1956" s="295"/>
      <c r="C1956" s="296"/>
      <c r="D1956" s="296"/>
      <c r="E1956" s="296"/>
      <c r="F1956" s="296"/>
      <c r="G1956" s="296"/>
      <c r="H1956" s="270"/>
      <c r="I1956" s="270"/>
      <c r="J1956" s="266"/>
      <c r="K1956" s="266"/>
      <c r="L1956" s="266"/>
      <c r="M1956" s="267"/>
      <c r="N1956" s="268"/>
      <c r="O1956" s="268"/>
      <c r="P1956" s="269"/>
      <c r="Q1956" s="139" t="str">
        <f>IF($Q1955&lt;&gt;"",IF($Q1955="W",IF(SUM(IF($H1955&gt;$H1953,1,0),IF($I1955&gt;$I1953,1,0),IF($J1955&gt;$J1953,1,0),IF($K1955&gt;$K1953,1,0),IF($L1955&gt;$L1953,1,0))&lt;&gt;3,"Error",""),""),"")</f>
        <v/>
      </c>
      <c r="R1956" s="43" t="str">
        <f>$A1958</f>
        <v>2nd Singles</v>
      </c>
      <c r="S1956" s="43"/>
      <c r="T1956" s="43"/>
      <c r="U1956" s="43"/>
      <c r="V1956" s="43"/>
      <c r="W1956" s="43"/>
      <c r="X1956" s="43"/>
      <c r="Y1956" s="43"/>
      <c r="Z1956" s="43"/>
      <c r="AA1956" s="43"/>
      <c r="AB1956" s="43"/>
      <c r="AC1956" s="43"/>
      <c r="AD1956" s="43"/>
      <c r="AE1956" s="43"/>
      <c r="AF1956" s="43"/>
    </row>
    <row r="1957" spans="1:32" ht="12.75" customHeight="1">
      <c r="Q1957" s="7"/>
      <c r="R1957" s="60" t="s">
        <v>1228</v>
      </c>
      <c r="S1957" s="339" t="s">
        <v>1126</v>
      </c>
      <c r="T1957" s="340"/>
      <c r="U1957" s="340"/>
      <c r="V1957" s="340"/>
      <c r="W1957" s="340"/>
      <c r="X1957" s="341"/>
      <c r="Y1957" s="60">
        <v>1</v>
      </c>
      <c r="Z1957" s="60">
        <v>2</v>
      </c>
      <c r="AA1957" s="60">
        <v>3</v>
      </c>
      <c r="AB1957" s="60">
        <v>4</v>
      </c>
      <c r="AC1957" s="60">
        <v>5</v>
      </c>
      <c r="AD1957" s="342"/>
      <c r="AE1957" s="343"/>
      <c r="AF1957" s="344"/>
    </row>
    <row r="1958" spans="1:32" ht="12.75" customHeight="1">
      <c r="A1958" s="21" t="s">
        <v>1234</v>
      </c>
      <c r="H1958" s="136" t="str">
        <f>IF($Q1960&lt;&gt;"",IF(AND(AND($H1960&gt;-1,$H1962&gt;-1),OR($H1960&gt;10,$H1962&gt;10),ABS($H1960-$H1962)&gt;1,IF(OR($H1960&gt;11,$H1962&gt;11),ABS($H1960-$H1962)=2,TRUE),$H1960=INT($H1960),$H1962=INT($H1962)),"","Error"),"")</f>
        <v/>
      </c>
      <c r="I1958" s="136" t="str">
        <f>IF($Q1960&lt;&gt;"",IF(AND(AND($I1960&gt;-1,$I1962&gt;-1),OR($I1960&gt;10,$I1962&gt;10),ABS($I1960-$I1962)&gt;1,IF(OR($I1960&gt;11,$I1962&gt;11),ABS($I1960-$I1962)=2,TRUE),$I1960=INT($I1960),$I1962=INT($I1962)),"","Error"),"")</f>
        <v/>
      </c>
      <c r="J1958" s="136" t="str">
        <f>IF($Q1960&lt;&gt;"",IF(AND(AND($J1960&gt;-1,$J1962&gt;-1),OR($J1960&gt;10,$J1962&gt;10),ABS($J1960-$J1962)&gt;1,IF(OR($J1960&gt;11,$J1962&gt;11),ABS($J1960-$J1962)=2,TRUE),$J1960=INT($J1960),$J1962=INT($J1962)),"","Error"),"")</f>
        <v/>
      </c>
      <c r="K1958" s="136" t="str">
        <f>IF($Q1960&lt;&gt;"",IF(AND($K1960&lt;&gt;"",$K1962&lt;&gt;""), IF(AND(AND($K1960&gt;-1,$K1962&gt;-1),OR($K1960&gt;10,$K1962&gt;10),ABS($K1960-$K1962)&gt;1,IF(OR($K1960&gt;11,$K1962&gt;11),ABS($K1960-$K1962)=2,TRUE),$K1960=INT($K1960),$K1962=INT($K1962)),"","Error"),""),"")</f>
        <v/>
      </c>
      <c r="L1958" s="136" t="str">
        <f>IF($Q1960&lt;&gt;"",IF(AND($L1960&lt;&gt;"",$L1962&lt;&gt;""), IF(AND(AND($L1960&gt;-1,$L1962&gt;-1),OR($L1960&gt;10,$L1962&gt;10),ABS($L1960-$L1962)&gt;1,IF(OR($L1960&gt;11,$L1962&gt;11),ABS($L1960-$L1962)=2,TRUE),$L1960=INT($L1960),$L1962=INT($L1962)),"","Error"),""),"")</f>
        <v/>
      </c>
      <c r="Q1958" s="7"/>
      <c r="R1958" s="300" t="str">
        <f>$B1947</f>
        <v>C</v>
      </c>
      <c r="S1958" s="331" t="str">
        <f ca="1">IF($B1960&lt;&gt;"",$B1960,"")</f>
        <v/>
      </c>
      <c r="T1958" s="332"/>
      <c r="U1958" s="332"/>
      <c r="V1958" s="332"/>
      <c r="W1958" s="332"/>
      <c r="X1958" s="333"/>
      <c r="Y1958" s="329"/>
      <c r="Z1958" s="329"/>
      <c r="AA1958" s="329"/>
      <c r="AB1958" s="329"/>
      <c r="AC1958" s="329"/>
      <c r="AD1958" s="345"/>
      <c r="AE1958" s="358"/>
      <c r="AF1958" s="359"/>
    </row>
    <row r="1959" spans="1:32" ht="12.75" customHeight="1">
      <c r="A1959" s="5" t="s">
        <v>1228</v>
      </c>
      <c r="B1959" s="290" t="s">
        <v>1126</v>
      </c>
      <c r="C1959" s="291"/>
      <c r="D1959" s="291"/>
      <c r="E1959" s="291"/>
      <c r="F1959" s="291"/>
      <c r="G1959" s="292"/>
      <c r="H1959" s="5">
        <v>1</v>
      </c>
      <c r="I1959" s="5">
        <v>2</v>
      </c>
      <c r="J1959" s="5">
        <v>3</v>
      </c>
      <c r="K1959" s="5">
        <v>4</v>
      </c>
      <c r="L1959" s="5">
        <v>5</v>
      </c>
      <c r="M1959" s="271"/>
      <c r="N1959" s="272"/>
      <c r="O1959" s="272"/>
      <c r="P1959" s="273"/>
      <c r="Q1959" s="7"/>
      <c r="R1959" s="330"/>
      <c r="S1959" s="334"/>
      <c r="T1959" s="335"/>
      <c r="U1959" s="335"/>
      <c r="V1959" s="335"/>
      <c r="W1959" s="335"/>
      <c r="X1959" s="336"/>
      <c r="Y1959" s="330"/>
      <c r="Z1959" s="330"/>
      <c r="AA1959" s="330"/>
      <c r="AB1959" s="330"/>
      <c r="AC1959" s="330"/>
      <c r="AD1959" s="360"/>
      <c r="AE1959" s="361"/>
      <c r="AF1959" s="362"/>
    </row>
    <row r="1960" spans="1:32" ht="12.75" customHeight="1">
      <c r="A1960" s="300" t="str">
        <f>B1947</f>
        <v>C</v>
      </c>
      <c r="B1960" s="293" t="str">
        <f ca="1">IF(AND(OFFSET($AO$1,$C1947-1,8,1,1),$A1948&lt;&gt;"",$J1948&lt;&gt;""),CHOOSE($C1947,$AP$1,$AP$2,$AP$3,$AP$4,$AP$5,$AP$6,$AP$7,$AP$8,$AP$9,$AP$10,$AP$11,$AP$12),"")</f>
        <v/>
      </c>
      <c r="C1960" s="294"/>
      <c r="D1960" s="294"/>
      <c r="E1960" s="294"/>
      <c r="F1960" s="294"/>
      <c r="G1960" s="294"/>
      <c r="H1960" s="265"/>
      <c r="I1960" s="265"/>
      <c r="J1960" s="265"/>
      <c r="K1960" s="265"/>
      <c r="L1960" s="265"/>
      <c r="M1960" s="262" t="str">
        <f ca="1">IF(OR(AND($B1953&lt;&gt;"",$B1960&lt;&gt;"",$C1978&lt;=$B1978),AND($B1955&lt;&gt;"",$B1962&lt;&gt;"",$G1978&lt;=$F1978)),"Invalid Lineup","")</f>
        <v/>
      </c>
      <c r="N1960" s="263"/>
      <c r="O1960" s="263"/>
      <c r="P1960" s="264"/>
      <c r="Q1960" s="137" t="str">
        <f>IF($L1960=$L1962,IF($K1960=$K1962,IF($J1960&lt;&gt;"",IF($J1960&gt;$J1962,"W","L"),""),IF($K1960&gt;$K1962,"W","L")),IF($L1960&gt;$L1962,"W","L"))</f>
        <v/>
      </c>
      <c r="R1960" s="300" t="str">
        <f>$K1947</f>
        <v>I</v>
      </c>
      <c r="S1960" s="331" t="str">
        <f ca="1">IF($B1962&lt;&gt;"",$B1962,"")</f>
        <v/>
      </c>
      <c r="T1960" s="332"/>
      <c r="U1960" s="332"/>
      <c r="V1960" s="332"/>
      <c r="W1960" s="332"/>
      <c r="X1960" s="333"/>
      <c r="Y1960" s="329"/>
      <c r="Z1960" s="329"/>
      <c r="AA1960" s="329"/>
      <c r="AB1960" s="329"/>
      <c r="AC1960" s="351"/>
      <c r="AD1960" s="363" t="s">
        <v>1237</v>
      </c>
      <c r="AE1960" s="358"/>
      <c r="AF1960" s="359"/>
    </row>
    <row r="1961" spans="1:32" ht="12.75" customHeight="1">
      <c r="A1961" s="301"/>
      <c r="B1961" s="295"/>
      <c r="C1961" s="296"/>
      <c r="D1961" s="296"/>
      <c r="E1961" s="296"/>
      <c r="F1961" s="296"/>
      <c r="G1961" s="296"/>
      <c r="H1961" s="270"/>
      <c r="I1961" s="270"/>
      <c r="J1961" s="270"/>
      <c r="K1961" s="270"/>
      <c r="L1961" s="270"/>
      <c r="M1961" s="262"/>
      <c r="N1961" s="263"/>
      <c r="O1961" s="263"/>
      <c r="P1961" s="264"/>
      <c r="Q1961" s="139" t="str">
        <f>IF($Q1960&lt;&gt;"",IF($Q1960="W",IF(SUM(IF($H1960&gt;$H1962,1,0),IF($I1960&gt;$I1962,1,0),IF($J1960&gt;$J1962,1,0),IF($K1960&gt;$K1962,1,0),IF($L1960&gt;$L1962,1,0))&lt;&gt;3,"Error",""),""),"")</f>
        <v/>
      </c>
      <c r="R1961" s="330"/>
      <c r="S1961" s="334"/>
      <c r="T1961" s="335"/>
      <c r="U1961" s="335"/>
      <c r="V1961" s="335"/>
      <c r="W1961" s="335"/>
      <c r="X1961" s="336"/>
      <c r="Y1961" s="330"/>
      <c r="Z1961" s="330"/>
      <c r="AA1961" s="330"/>
      <c r="AB1961" s="330"/>
      <c r="AC1961" s="330"/>
      <c r="AD1961" s="360"/>
      <c r="AE1961" s="361"/>
      <c r="AF1961" s="362"/>
    </row>
    <row r="1962" spans="1:32" ht="12.75" customHeight="1">
      <c r="A1962" s="300" t="str">
        <f>K1947</f>
        <v>I</v>
      </c>
      <c r="B1962" s="293" t="str">
        <f ca="1">IF(AND(OFFSET($AO$1,$L1947-1,8,1,1),$A1948&lt;&gt;"",$J1948&lt;&gt;""),CHOOSE($L1947,$AP$1,$AP$2,$AP$3,$AP$4,$AP$5,$AP$6,$AP$7,$AP$8,$AP$9,$AP$10,$AP$11,$AP$12),"")</f>
        <v/>
      </c>
      <c r="C1962" s="294"/>
      <c r="D1962" s="294"/>
      <c r="E1962" s="294"/>
      <c r="F1962" s="294"/>
      <c r="G1962" s="294"/>
      <c r="H1962" s="265"/>
      <c r="I1962" s="265"/>
      <c r="J1962" s="265"/>
      <c r="K1962" s="265"/>
      <c r="L1962" s="265"/>
      <c r="M1962" s="267" t="s">
        <v>1237</v>
      </c>
      <c r="N1962" s="268"/>
      <c r="O1962" s="268"/>
      <c r="P1962" s="269"/>
      <c r="Q1962" s="137" t="str">
        <f>IF($Q1960&lt;&gt;"",IF($Q1960="W","L","W"),"")</f>
        <v/>
      </c>
      <c r="R1962" s="20"/>
      <c r="S1962" s="20"/>
      <c r="T1962" s="20"/>
      <c r="U1962" s="20"/>
      <c r="V1962" s="20"/>
      <c r="W1962" s="20"/>
      <c r="X1962" s="26"/>
      <c r="Y1962" s="26"/>
      <c r="Z1962" s="20"/>
      <c r="AA1962" s="20"/>
      <c r="AB1962" s="20"/>
      <c r="AC1962" s="20"/>
      <c r="AD1962" s="20"/>
      <c r="AE1962" s="20"/>
      <c r="AF1962" s="27"/>
    </row>
    <row r="1963" spans="1:32" ht="12.75" customHeight="1">
      <c r="A1963" s="301"/>
      <c r="B1963" s="295"/>
      <c r="C1963" s="296"/>
      <c r="D1963" s="296"/>
      <c r="E1963" s="296"/>
      <c r="F1963" s="296"/>
      <c r="G1963" s="296"/>
      <c r="H1963" s="270"/>
      <c r="I1963" s="270"/>
      <c r="J1963" s="266"/>
      <c r="K1963" s="266"/>
      <c r="L1963" s="266"/>
      <c r="M1963" s="267"/>
      <c r="N1963" s="268"/>
      <c r="O1963" s="268"/>
      <c r="P1963" s="269"/>
      <c r="Q1963" s="139" t="str">
        <f>IF($Q1962&lt;&gt;"",IF($Q1962="W",IF(SUM(IF($H1962&gt;$H1960,1,0),IF($I1962&gt;$I1960,1,0),IF($J1962&gt;$J1960,1,0),IF($K1962&gt;$K1960,1,0),IF($L1962&gt;$L1960,1,0))&lt;&gt;3,"Error",""),""),"")</f>
        <v/>
      </c>
      <c r="R1963" s="20"/>
      <c r="S1963" s="20"/>
      <c r="T1963" s="20"/>
      <c r="U1963" s="20"/>
      <c r="V1963" s="20"/>
      <c r="W1963" s="20"/>
      <c r="X1963" s="26"/>
      <c r="Y1963" s="26"/>
      <c r="Z1963" s="20"/>
      <c r="AA1963" s="20"/>
      <c r="AB1963" s="20"/>
      <c r="AC1963" s="20"/>
      <c r="AD1963" s="20"/>
      <c r="AE1963" s="20"/>
      <c r="AF1963" s="27"/>
    </row>
    <row r="1964" spans="1:32" ht="12.75" customHeight="1">
      <c r="Q1964" s="7"/>
      <c r="R1964" s="20"/>
      <c r="S1964" s="20"/>
      <c r="T1964" s="20"/>
      <c r="U1964" s="20"/>
      <c r="V1964" s="20"/>
      <c r="W1964" s="20"/>
      <c r="X1964" s="26"/>
      <c r="Y1964" s="26"/>
      <c r="Z1964" s="20"/>
      <c r="AA1964" s="20"/>
      <c r="AB1964" s="20"/>
      <c r="AC1964" s="20"/>
      <c r="AD1964" s="20"/>
      <c r="AE1964" s="20"/>
      <c r="AF1964" s="27"/>
    </row>
    <row r="1965" spans="1:32" ht="12.75" customHeight="1">
      <c r="A1965" s="21" t="s">
        <v>1235</v>
      </c>
      <c r="H1965" s="136" t="str">
        <f>IF($Q1967&lt;&gt;"",IF(AND(AND($H1967&gt;-1,$H1969&gt;-1),OR($H1967&gt;10,$H1969&gt;10),ABS($H1967-$H1969)&gt;1,IF(OR($H1967&gt;11,$H1969&gt;11),ABS($H1967-$H1969)=2,TRUE),$H1967=INT($H1967),$H1969=INT($H1969)),"","Error"),"")</f>
        <v/>
      </c>
      <c r="I1965" s="136" t="str">
        <f>IF($Q1967&lt;&gt;"",IF(AND(AND($I1967&gt;-1,$I1969&gt;-1),OR($I1967&gt;10,$I1969&gt;10),ABS($I1967-$I1969)&gt;1,IF(OR($I1967&gt;11,$I1969&gt;11),ABS($I1967-$I1969)=2,TRUE),$I1967=INT($I1967),$I1969=INT($I1969)),"","Error"),"")</f>
        <v/>
      </c>
      <c r="J1965" s="136" t="str">
        <f>IF($Q1967&lt;&gt;"",IF(AND(AND($J1967&gt;-1,$J1969&gt;-1),OR($J1967&gt;10,$J1969&gt;10),ABS($J1967-$J1969)&gt;1,IF(OR($J1967&gt;11,$J1969&gt;11),ABS($J1967-$J1969)=2,TRUE),$J1967=INT($J1967),$J1969=INT($J1969)),"","Error"),"")</f>
        <v/>
      </c>
      <c r="K1965" s="136" t="str">
        <f>IF($Q1967&lt;&gt;"",IF(AND($K1967&lt;&gt;"",$K1969&lt;&gt;""), IF(AND(AND($K1967&gt;-1,$K1969&gt;-1),OR($K1967&gt;10,$K1969&gt;10),ABS($K1967-$K1969)&gt;1,IF(OR($K1967&gt;11,$K1969&gt;11),ABS($K1967-$K1969)=2,TRUE),$K1967=INT($K1967),$K1969=INT($K1969)),"","Error"),""),"")</f>
        <v/>
      </c>
      <c r="L1965" s="136" t="str">
        <f>IF($Q1967&lt;&gt;"",IF(AND($L1967&lt;&gt;"",$L1969&lt;&gt;""), IF(AND(AND($L1967&gt;-1,$L1969&gt;-1),OR($L1967&gt;10,$L1969&gt;10),ABS($L1967-$L1969)&gt;1,IF(OR($L1967&gt;11,$L1969&gt;11),ABS($L1967-$L1969)=2,TRUE),$L1967=INT($L1967),$L1969=INT($L1969)),"","Error"),""),"")</f>
        <v/>
      </c>
      <c r="Q1965" s="7"/>
      <c r="R1965" s="20"/>
      <c r="S1965" s="20"/>
      <c r="T1965" s="20"/>
      <c r="U1965" s="20"/>
      <c r="V1965" s="20"/>
      <c r="W1965" s="20"/>
      <c r="X1965" s="26"/>
      <c r="Y1965" s="26"/>
      <c r="Z1965" s="20"/>
      <c r="AA1965" s="20"/>
      <c r="AB1965" s="20"/>
      <c r="AC1965" s="20"/>
      <c r="AD1965" s="20"/>
      <c r="AE1965" s="20"/>
      <c r="AF1965" s="27"/>
    </row>
    <row r="1966" spans="1:32" ht="12.75" customHeight="1">
      <c r="A1966" s="5" t="s">
        <v>1228</v>
      </c>
      <c r="B1966" s="290" t="s">
        <v>1126</v>
      </c>
      <c r="C1966" s="291"/>
      <c r="D1966" s="291"/>
      <c r="E1966" s="291"/>
      <c r="F1966" s="291"/>
      <c r="G1966" s="292"/>
      <c r="H1966" s="5">
        <v>1</v>
      </c>
      <c r="I1966" s="5">
        <v>2</v>
      </c>
      <c r="J1966" s="5">
        <v>3</v>
      </c>
      <c r="K1966" s="5">
        <v>4</v>
      </c>
      <c r="L1966" s="5">
        <v>5</v>
      </c>
      <c r="M1966" s="271"/>
      <c r="N1966" s="272"/>
      <c r="O1966" s="272"/>
      <c r="P1966" s="273"/>
      <c r="Q1966" s="7"/>
      <c r="R1966" s="20"/>
      <c r="S1966" s="20"/>
      <c r="T1966" s="20"/>
      <c r="U1966" s="20"/>
      <c r="V1966" s="20"/>
      <c r="W1966" s="20"/>
      <c r="X1966" s="26"/>
      <c r="Y1966" s="26"/>
      <c r="Z1966" s="20"/>
      <c r="AA1966" s="20"/>
      <c r="AB1966" s="20"/>
      <c r="AC1966" s="20"/>
      <c r="AD1966" s="20"/>
      <c r="AE1966" s="20"/>
      <c r="AF1966" s="27"/>
    </row>
    <row r="1967" spans="1:32" ht="12.75" customHeight="1">
      <c r="A1967" s="300" t="str">
        <f>B1947</f>
        <v>C</v>
      </c>
      <c r="B1967" s="293" t="str">
        <f ca="1">IF(AND(OFFSET($AO$1,$C1947-1,8,1,1),$A1948&lt;&gt;"",$J1948&lt;&gt;""),CHOOSE($C1947,$AQ$1,$AQ$2,$AQ$3,$AQ$4,$AQ$5,$AQ$6,$AQ$7,$AQ$8,$AQ$9,$AQ$10,$AQ$11,$AQ$12),"")</f>
        <v/>
      </c>
      <c r="C1967" s="294"/>
      <c r="D1967" s="294"/>
      <c r="E1967" s="294"/>
      <c r="F1967" s="294"/>
      <c r="G1967" s="294"/>
      <c r="H1967" s="265"/>
      <c r="I1967" s="265"/>
      <c r="J1967" s="265"/>
      <c r="K1967" s="265"/>
      <c r="L1967" s="265"/>
      <c r="M1967" s="262" t="str">
        <f ca="1">IF(OR(AND($B1960&lt;&gt;"",$B1967&lt;&gt;"",$D1978&lt;=$C1978),AND($B1962&lt;&gt;"",$B1969&lt;&gt;"",$H1978&lt;=$G1978)),"Invalid Lineup","")</f>
        <v/>
      </c>
      <c r="N1967" s="263"/>
      <c r="O1967" s="263"/>
      <c r="P1967" s="264"/>
      <c r="Q1967" s="137" t="str">
        <f>IF($L1967=$L1969,IF($K1967=$K1969,IF($J1967&lt;&gt;"",IF($J1967&gt;$J1969,"W","L"),""),IF($K1967&gt;$K1969,"W","L")),IF($L1967&gt;$L1969,"W","L"))</f>
        <v/>
      </c>
      <c r="R1967" s="20"/>
      <c r="S1967" s="20"/>
      <c r="T1967" s="20"/>
      <c r="U1967" s="20"/>
      <c r="V1967" s="20"/>
      <c r="W1967" s="20"/>
      <c r="X1967" s="26"/>
      <c r="Y1967" s="26"/>
      <c r="Z1967" s="20"/>
      <c r="AA1967" s="20"/>
      <c r="AB1967" s="20"/>
      <c r="AC1967" s="20"/>
      <c r="AD1967" s="20"/>
      <c r="AE1967" s="20"/>
      <c r="AF1967" s="27"/>
    </row>
    <row r="1968" spans="1:32" ht="12.75" customHeight="1">
      <c r="A1968" s="301"/>
      <c r="B1968" s="295"/>
      <c r="C1968" s="296"/>
      <c r="D1968" s="296"/>
      <c r="E1968" s="296"/>
      <c r="F1968" s="296"/>
      <c r="G1968" s="296"/>
      <c r="H1968" s="270"/>
      <c r="I1968" s="270"/>
      <c r="J1968" s="270"/>
      <c r="K1968" s="270"/>
      <c r="L1968" s="270"/>
      <c r="M1968" s="262"/>
      <c r="N1968" s="263"/>
      <c r="O1968" s="263"/>
      <c r="P1968" s="264"/>
      <c r="Q1968" s="139" t="str">
        <f>IF($Q1967&lt;&gt;"",IF($Q1967="W",IF(SUM(IF($H1967&gt;$H1969,1,0),IF($I1967&gt;$I1969,1,0),IF($J1967&gt;$J1969,1,0),IF($K1967&gt;$K1969,1,0),IF($L1967&gt;$L1969,1,0))&lt;&gt;3,"Error",""),""),"")</f>
        <v/>
      </c>
      <c r="R1968" s="328" t="str">
        <f>$A1948</f>
        <v/>
      </c>
      <c r="S1968" s="328"/>
      <c r="T1968" s="328"/>
      <c r="U1968" s="328"/>
      <c r="V1968" s="328"/>
      <c r="W1968" s="328"/>
      <c r="X1968" s="256" t="str">
        <f>CONCATENATE("(",$B1947," vs ",$K1947,")")</f>
        <v>(C vs I)</v>
      </c>
      <c r="Y1968" s="256"/>
      <c r="Z1968" s="328" t="str">
        <f>$J1948</f>
        <v/>
      </c>
      <c r="AA1968" s="328"/>
      <c r="AB1968" s="328"/>
      <c r="AC1968" s="328"/>
      <c r="AD1968" s="328"/>
      <c r="AE1968" s="328"/>
      <c r="AF1968" s="100"/>
    </row>
    <row r="1969" spans="1:32" ht="12.75" customHeight="1">
      <c r="A1969" s="300" t="str">
        <f>K1947</f>
        <v>I</v>
      </c>
      <c r="B1969" s="293" t="str">
        <f ca="1">IF(AND(OFFSET($AO$1,$L1947-1,8,1,1),$A1948&lt;&gt;"",$J1948&lt;&gt;""),CHOOSE($L1947,$AQ$1,$AQ$2,$AQ$3,$AQ$4,$AQ$5,$AQ$6,$AQ$7,$AQ$8,$AQ$9,$AQ$10,$AQ$11,$AQ$12),"")</f>
        <v/>
      </c>
      <c r="C1969" s="294"/>
      <c r="D1969" s="294"/>
      <c r="E1969" s="294"/>
      <c r="F1969" s="294"/>
      <c r="G1969" s="294"/>
      <c r="H1969" s="265"/>
      <c r="I1969" s="265"/>
      <c r="J1969" s="265"/>
      <c r="K1969" s="265"/>
      <c r="L1969" s="265"/>
      <c r="M1969" s="267" t="s">
        <v>1237</v>
      </c>
      <c r="N1969" s="268"/>
      <c r="O1969" s="268"/>
      <c r="P1969" s="269"/>
      <c r="Q1969" s="137" t="str">
        <f>IF($Q1967&lt;&gt;"",IF($Q1967="W","L","W"),"")</f>
        <v/>
      </c>
      <c r="R1969" s="100"/>
      <c r="S1969" s="100"/>
      <c r="T1969" s="100"/>
      <c r="U1969" s="100"/>
      <c r="V1969" s="100"/>
      <c r="W1969" s="100"/>
      <c r="X1969" s="100"/>
      <c r="Y1969" s="100"/>
      <c r="Z1969" s="100"/>
      <c r="AA1969" s="100"/>
      <c r="AB1969" s="100"/>
      <c r="AC1969" s="100"/>
      <c r="AD1969" s="100"/>
      <c r="AE1969" s="100"/>
      <c r="AF1969" s="100"/>
    </row>
    <row r="1970" spans="1:32" ht="12.75" customHeight="1">
      <c r="A1970" s="301"/>
      <c r="B1970" s="295"/>
      <c r="C1970" s="296"/>
      <c r="D1970" s="296"/>
      <c r="E1970" s="296"/>
      <c r="F1970" s="296"/>
      <c r="G1970" s="296"/>
      <c r="H1970" s="270"/>
      <c r="I1970" s="270"/>
      <c r="J1970" s="266"/>
      <c r="K1970" s="266"/>
      <c r="L1970" s="266"/>
      <c r="M1970" s="267"/>
      <c r="N1970" s="268"/>
      <c r="O1970" s="268"/>
      <c r="P1970" s="269"/>
      <c r="Q1970" s="139" t="str">
        <f>IF($Q1969&lt;&gt;"",IF($Q1969="W",IF(SUM(IF($H1969&gt;$H1967,1,0),IF($I1969&gt;$I1967,1,0),IF($J1969&gt;$J1967,1,0),IF($K1969&gt;$K1967,1,0),IF($L1969&gt;$L1967,1,0))&lt;&gt;3,"Error",""),""),"")</f>
        <v/>
      </c>
      <c r="R1970" s="43" t="str">
        <f>$A1965</f>
        <v>3rd Singles</v>
      </c>
      <c r="S1970" s="43"/>
      <c r="T1970" s="43"/>
      <c r="U1970" s="43"/>
      <c r="V1970" s="43"/>
      <c r="W1970" s="43"/>
      <c r="X1970" s="43"/>
      <c r="Y1970" s="43"/>
      <c r="Z1970" s="43"/>
      <c r="AA1970" s="43"/>
      <c r="AB1970" s="43"/>
      <c r="AC1970" s="43"/>
      <c r="AD1970" s="43"/>
      <c r="AE1970" s="43"/>
      <c r="AF1970" s="43"/>
    </row>
    <row r="1971" spans="1:32" ht="12.75" customHeight="1">
      <c r="Q1971" s="7"/>
      <c r="R1971" s="60" t="s">
        <v>1228</v>
      </c>
      <c r="S1971" s="101" t="s">
        <v>1126</v>
      </c>
      <c r="T1971" s="102"/>
      <c r="U1971" s="102"/>
      <c r="V1971" s="102"/>
      <c r="W1971" s="102"/>
      <c r="X1971" s="103"/>
      <c r="Y1971" s="60">
        <v>1</v>
      </c>
      <c r="Z1971" s="60">
        <v>2</v>
      </c>
      <c r="AA1971" s="60">
        <v>3</v>
      </c>
      <c r="AB1971" s="60">
        <v>4</v>
      </c>
      <c r="AC1971" s="60">
        <v>5</v>
      </c>
      <c r="AD1971" s="104"/>
      <c r="AE1971" s="105"/>
      <c r="AF1971" s="106"/>
    </row>
    <row r="1972" spans="1:32" ht="12.75" customHeight="1">
      <c r="A1972" s="21" t="s">
        <v>1236</v>
      </c>
      <c r="H1972" s="136" t="str">
        <f ca="1">IF($Q1974&lt;&gt;"",IF(AND($B1974&lt;&gt;"Missing Player",$B1976&lt;&gt;"Missing Player"),IF(AND(AND($H1974&gt;-1,$H1976&gt;-1),OR($H1974&gt;10,$H1976&gt;10),ABS($H1974-$H1976)&gt;1,IF(OR($H1974&gt;11,$H1976&gt;11),ABS($H1974-$H1976)=2,TRUE),$H1974=INT($H1974),$H1976=INT($H1976)),"","Error"),""),"")</f>
        <v/>
      </c>
      <c r="I1972" s="136" t="str">
        <f ca="1">IF($Q1974&lt;&gt;"",IF(AND($B1974&lt;&gt;"Missing Player",$B1976&lt;&gt;"Missing Player"),IF(AND(AND($I1974&gt;-1,$I1976&gt;-1),OR($I1974&gt;10,$I1976&gt;10),ABS($I1974-$I1976)&gt;1,IF(OR($I1974&gt;11,$I1976&gt;11),ABS($I1974-$I1976)=2,TRUE),$I1974=INT($I1974),$I1976=INT($I1976)),"","Error"),""),"")</f>
        <v/>
      </c>
      <c r="J1972" s="136" t="str">
        <f ca="1">IF($Q1974&lt;&gt;"",IF(AND($B1974&lt;&gt;"Missing Player",$B1976&lt;&gt;"Missing Player"),IF(AND(AND($J1974&gt;-1,$J1976&gt;-1),OR($J1974&gt;10,$J1976&gt;10),ABS($J1974-$J1976)&gt;1,IF(OR($J1974&gt;11,$J1976&gt;11),ABS($J1974-$J1976)=2,TRUE),$J1974=INT($J1974),$J1976=INT($J1976)),"","Error"),""),"")</f>
        <v/>
      </c>
      <c r="K1972" s="136" t="str">
        <f ca="1">IF($Q1974&lt;&gt;"",IF(AND($K1974&lt;&gt;"",$K1976&lt;&gt;""), IF(AND(AND($K1974&gt;-1,$K1976&gt;-1),OR($K1974&gt;10,$K1976&gt;10),ABS($K1974-$K1976)&gt;1,IF(OR($K1974&gt;11,$K1976&gt;11),ABS($K1974-$K1976)=2,TRUE),$K1974=INT($K1974),$K1976=INT($K1976)),"","Error"),""),"")</f>
        <v/>
      </c>
      <c r="L1972" s="136" t="str">
        <f ca="1">IF($Q1974&lt;&gt;"",IF(AND($L1974&lt;&gt;"",$L1976&lt;&gt;""), IF(AND(AND($L1974&gt;-1,$L1976&gt;-1),OR($L1974&gt;10,$L1976&gt;10),ABS($L1974-$L1976)&gt;1,IF(OR($L1974&gt;11,$L1976&gt;11),ABS($L1974-$L1976)=2,TRUE),$L1974=INT($L1974),$L1976=INT($L1976)),"","Error"),""),"")</f>
        <v/>
      </c>
      <c r="Q1972" s="7"/>
      <c r="R1972" s="300" t="str">
        <f>$B1947</f>
        <v>C</v>
      </c>
      <c r="S1972" s="331" t="str">
        <f ca="1">IF($B1967&lt;&gt;"",$B1967,"")</f>
        <v/>
      </c>
      <c r="T1972" s="332"/>
      <c r="U1972" s="332"/>
      <c r="V1972" s="332"/>
      <c r="W1972" s="332"/>
      <c r="X1972" s="333"/>
      <c r="Y1972" s="329"/>
      <c r="Z1972" s="329"/>
      <c r="AA1972" s="329"/>
      <c r="AB1972" s="329"/>
      <c r="AC1972" s="329"/>
      <c r="AD1972" s="345"/>
      <c r="AE1972" s="358"/>
      <c r="AF1972" s="359"/>
    </row>
    <row r="1973" spans="1:32" ht="12.75" customHeight="1">
      <c r="A1973" s="5" t="s">
        <v>1228</v>
      </c>
      <c r="B1973" s="290" t="s">
        <v>1126</v>
      </c>
      <c r="C1973" s="291"/>
      <c r="D1973" s="291"/>
      <c r="E1973" s="291"/>
      <c r="F1973" s="291"/>
      <c r="G1973" s="292"/>
      <c r="H1973" s="5">
        <v>1</v>
      </c>
      <c r="I1973" s="5">
        <v>2</v>
      </c>
      <c r="J1973" s="5">
        <v>3</v>
      </c>
      <c r="K1973" s="5">
        <v>4</v>
      </c>
      <c r="L1973" s="5">
        <v>5</v>
      </c>
      <c r="M1973" s="271"/>
      <c r="N1973" s="272"/>
      <c r="O1973" s="272"/>
      <c r="P1973" s="273"/>
      <c r="Q1973" s="7"/>
      <c r="R1973" s="330"/>
      <c r="S1973" s="334"/>
      <c r="T1973" s="335"/>
      <c r="U1973" s="335"/>
      <c r="V1973" s="335"/>
      <c r="W1973" s="335"/>
      <c r="X1973" s="336"/>
      <c r="Y1973" s="330"/>
      <c r="Z1973" s="330"/>
      <c r="AA1973" s="330"/>
      <c r="AB1973" s="330"/>
      <c r="AC1973" s="330"/>
      <c r="AD1973" s="360"/>
      <c r="AE1973" s="361"/>
      <c r="AF1973" s="362"/>
    </row>
    <row r="1974" spans="1:32" ht="12.75" customHeight="1">
      <c r="A1974" s="300" t="str">
        <f>B1947</f>
        <v>C</v>
      </c>
      <c r="B1974" s="293" t="str">
        <f ca="1">IF(AND(OFFSET($AO$1,$C1947-1,8,1,1),$A1948&lt;&gt;"",$J1948&lt;&gt;""),CHOOSE($C1947,$AR$1,$AR$2,$AR$3,$AR$4,$AR$5,$AR$6,$AR$7,$AR$8,$AR$9,$AR$10,$AR$11,$AR$12),"")</f>
        <v/>
      </c>
      <c r="C1974" s="294"/>
      <c r="D1974" s="294"/>
      <c r="E1974" s="294"/>
      <c r="F1974" s="294"/>
      <c r="G1974" s="294"/>
      <c r="H1974" s="265"/>
      <c r="I1974" s="265"/>
      <c r="J1974" s="265"/>
      <c r="K1974" s="265"/>
      <c r="L1974" s="265" t="str">
        <f ca="1">IF(AND($B1974&lt;&gt;"",$Q1953&lt;&gt;""),IF($B1974="Missing Player",0,IF($B1976="Missing Player",11,"")),"")</f>
        <v/>
      </c>
      <c r="M1974" s="262" t="str">
        <f ca="1">IF(OR(AND($B1967&lt;&gt;"",$B1974&lt;&gt;"",$E1978&lt;=$D1978),AND($B1969&lt;&gt;"",$B1976&lt;&gt;"",$I1978&lt;=$H1978)),"Invalid Lineup","")</f>
        <v/>
      </c>
      <c r="N1974" s="263"/>
      <c r="O1974" s="263"/>
      <c r="P1974" s="264"/>
      <c r="Q1974" s="137" t="str">
        <f ca="1">IF($L1974=$L1976,IF($K1974=$K1976,IF($J1974&lt;&gt;"",IF($J1974&gt;$J1976,"W","L"),""),IF($K1974&gt;$K1976,"W","L")),IF($L1974&gt;$L1976,"W","L"))</f>
        <v/>
      </c>
      <c r="R1974" s="300" t="str">
        <f>$K1947</f>
        <v>I</v>
      </c>
      <c r="S1974" s="331" t="str">
        <f ca="1">IF($B1969&lt;&gt;"",$B1969,"")</f>
        <v/>
      </c>
      <c r="T1974" s="332"/>
      <c r="U1974" s="332"/>
      <c r="V1974" s="332"/>
      <c r="W1974" s="332"/>
      <c r="X1974" s="333"/>
      <c r="Y1974" s="329"/>
      <c r="Z1974" s="329"/>
      <c r="AA1974" s="329"/>
      <c r="AB1974" s="329"/>
      <c r="AC1974" s="351"/>
      <c r="AD1974" s="363" t="s">
        <v>1237</v>
      </c>
      <c r="AE1974" s="358"/>
      <c r="AF1974" s="359"/>
    </row>
    <row r="1975" spans="1:32" ht="12.75" customHeight="1">
      <c r="A1975" s="301"/>
      <c r="B1975" s="295"/>
      <c r="C1975" s="296"/>
      <c r="D1975" s="296"/>
      <c r="E1975" s="296"/>
      <c r="F1975" s="296"/>
      <c r="G1975" s="296"/>
      <c r="H1975" s="270"/>
      <c r="I1975" s="270"/>
      <c r="J1975" s="270"/>
      <c r="K1975" s="270"/>
      <c r="L1975" s="270"/>
      <c r="M1975" s="262"/>
      <c r="N1975" s="263"/>
      <c r="O1975" s="263"/>
      <c r="P1975" s="264"/>
      <c r="Q1975" s="139" t="str">
        <f ca="1">IF($Q1974&lt;&gt;"",IF($B1976&lt;&gt;"Missing Player",IF($Q1974="W",IF(SUM(IF($H1974&gt;$H1976,1,0),IF($I1974&gt;$I1976,1,0),IF($J1974&gt;$J1976,1,0),IF($K1974&gt;$K1976,1,0),IF($L1974&gt;$L1976,1,0))&lt;&gt;3,"Error",""),""),""),"")</f>
        <v/>
      </c>
      <c r="R1975" s="330"/>
      <c r="S1975" s="334"/>
      <c r="T1975" s="335"/>
      <c r="U1975" s="335"/>
      <c r="V1975" s="335"/>
      <c r="W1975" s="335"/>
      <c r="X1975" s="336"/>
      <c r="Y1975" s="330"/>
      <c r="Z1975" s="330"/>
      <c r="AA1975" s="330"/>
      <c r="AB1975" s="330"/>
      <c r="AC1975" s="330"/>
      <c r="AD1975" s="360"/>
      <c r="AE1975" s="361"/>
      <c r="AF1975" s="362"/>
    </row>
    <row r="1976" spans="1:32" ht="12.75" customHeight="1">
      <c r="A1976" s="300" t="str">
        <f>K1947</f>
        <v>I</v>
      </c>
      <c r="B1976" s="293" t="str">
        <f ca="1">IF(AND(OFFSET($AO$1,$L1947-1,8,1,1),$A1948&lt;&gt;"",$J1948&lt;&gt;""),CHOOSE($L1947,$AR$1,$AR$2,$AR$3,$AR$4,$AR$5,$AR$6,$AR$7,$AR$8,$AR$9,$AR$10,$AR$11,$AR$12),"")</f>
        <v/>
      </c>
      <c r="C1976" s="294"/>
      <c r="D1976" s="294"/>
      <c r="E1976" s="294"/>
      <c r="F1976" s="294"/>
      <c r="G1976" s="294"/>
      <c r="H1976" s="265"/>
      <c r="I1976" s="265"/>
      <c r="J1976" s="265"/>
      <c r="K1976" s="265"/>
      <c r="L1976" s="265" t="str">
        <f ca="1">IF(AND($B1976&lt;&gt;"",$Q1953&lt;&gt;""),IF($B1976="Missing Player",0,IF($B1974="Missing Player",11,"")),"")</f>
        <v/>
      </c>
      <c r="M1976" s="267" t="s">
        <v>1237</v>
      </c>
      <c r="N1976" s="268"/>
      <c r="O1976" s="268"/>
      <c r="P1976" s="269"/>
      <c r="Q1976" s="137" t="str">
        <f ca="1">IF($Q1974&lt;&gt;"",IF($Q1974="W","L","W"),"")</f>
        <v/>
      </c>
      <c r="R1976" s="112"/>
      <c r="S1976" s="98"/>
      <c r="T1976" s="108"/>
      <c r="U1976" s="108"/>
      <c r="V1976" s="108"/>
      <c r="W1976" s="108"/>
      <c r="X1976" s="108"/>
      <c r="Y1976" s="113"/>
      <c r="Z1976" s="113"/>
      <c r="AA1976" s="113"/>
      <c r="AB1976" s="113"/>
      <c r="AC1976" s="113"/>
      <c r="AD1976" s="107"/>
      <c r="AE1976" s="109"/>
      <c r="AF1976" s="109"/>
    </row>
    <row r="1977" spans="1:32" ht="12.75" customHeight="1">
      <c r="A1977" s="301"/>
      <c r="B1977" s="295"/>
      <c r="C1977" s="296"/>
      <c r="D1977" s="296"/>
      <c r="E1977" s="296"/>
      <c r="F1977" s="296"/>
      <c r="G1977" s="296"/>
      <c r="H1977" s="270"/>
      <c r="I1977" s="270"/>
      <c r="J1977" s="266"/>
      <c r="K1977" s="266"/>
      <c r="L1977" s="266"/>
      <c r="M1977" s="267"/>
      <c r="N1977" s="268"/>
      <c r="O1977" s="268"/>
      <c r="P1977" s="269"/>
      <c r="Q1977" s="139" t="str">
        <f ca="1">IF($Q1976&lt;&gt;"",IF($B1974&lt;&gt;"Missing Player",IF($Q1976="W",IF(SUM(IF($H1976&gt;$H1974,1,0),IF($I1976&gt;$I1974,1,0),IF($J1976&gt;$J1974,1,0),IF($K1976&gt;$K1974,1,0),IF($L1976&gt;$L1974,1,0))&lt;&gt;3,"Error",""),""),""),"")</f>
        <v/>
      </c>
      <c r="R1977" s="114"/>
      <c r="S1977" s="115"/>
      <c r="T1977" s="115"/>
      <c r="U1977" s="115"/>
      <c r="V1977" s="115"/>
      <c r="W1977" s="115"/>
      <c r="X1977" s="115"/>
      <c r="Y1977" s="114"/>
      <c r="Z1977" s="114"/>
      <c r="AA1977" s="114"/>
      <c r="AB1977" s="114"/>
      <c r="AC1977" s="114"/>
      <c r="AD1977" s="114"/>
      <c r="AE1977" s="114"/>
      <c r="AF1977" s="114"/>
    </row>
    <row r="1978" spans="1:32" ht="12.75" customHeight="1">
      <c r="B1978" s="140" t="str">
        <f ca="1">IF(ISERROR(VLOOKUP($B1953&amp;"("&amp;$B1947&amp;")",Players!$S$4:$T$132,2,FALSE)),"",VLOOKUP($B1953&amp;"("&amp;$B1947&amp;")",Players!$S$4:$T$132,2,FALSE))</f>
        <v>C1</v>
      </c>
      <c r="C1978" s="140" t="str">
        <f ca="1">IF(ISERROR(VLOOKUP($B1960&amp;"("&amp;$B1947&amp;")",Players!$S$4:$T$132,2,FALSE)),"",VLOOKUP($B1960&amp;"("&amp;$B1947&amp;")",Players!$S$4:$T$132,2,FALSE))</f>
        <v>C1</v>
      </c>
      <c r="D1978" s="141" t="str">
        <f ca="1">IF(ISERROR(VLOOKUP($B1967&amp;"("&amp;$B1947&amp;")",Players!$S$4:$T$132,2,FALSE)),"",VLOOKUP($B1967&amp;"("&amp;$B1947&amp;")",Players!$S$4:$T$132,2,FALSE))</f>
        <v>C1</v>
      </c>
      <c r="E1978" s="141" t="str">
        <f ca="1">IF(ISERROR(VLOOKUP($B1974&amp;"("&amp;$B1947&amp;")",Players!$S$4:$T$132,2,FALSE)),"",VLOOKUP($B1974&amp;"("&amp;$B1947&amp;")",Players!$S$4:$T$132,2,FALSE))</f>
        <v>C1</v>
      </c>
      <c r="F1978" s="141" t="str">
        <f ca="1">IF(ISERROR(VLOOKUP($B1955&amp;"("&amp;$K1947&amp;")",Players!$S$4:$T$132,2,FALSE)),"",VLOOKUP($B1955&amp;"("&amp;$K1947&amp;")",Players!$S$4:$T$132,2,FALSE))</f>
        <v>I1</v>
      </c>
      <c r="G1978" s="141" t="str">
        <f ca="1">IF(ISERROR(VLOOKUP($B1962&amp;"("&amp;$K1947&amp;")",Players!$S$4:$T$132,2,FALSE)),"",VLOOKUP($B1962&amp;"("&amp;$K1947&amp;")",Players!$S$4:$T$132,2,FALSE))</f>
        <v>I1</v>
      </c>
      <c r="H1978" s="141" t="str">
        <f ca="1">IF(ISERROR(VLOOKUP($B1969&amp;"("&amp;$K1947&amp;")",Players!$S$4:$T$132,2,FALSE)),"",VLOOKUP($B1969&amp;"("&amp;$K1947&amp;")",Players!$S$4:$T$132,2,FALSE))</f>
        <v>I1</v>
      </c>
      <c r="I1978" s="141" t="str">
        <f ca="1">IF(ISERROR(VLOOKUP($B1976&amp;"("&amp;$K1947&amp;")",Players!$S$4:$T$132,2,FALSE)),"",VLOOKUP($B1976&amp;"("&amp;$K1947&amp;")",Players!$S$4:$T$132,2,FALSE))</f>
        <v>I1</v>
      </c>
      <c r="Q1978" s="7"/>
      <c r="R1978" s="50"/>
      <c r="S1978" s="116"/>
      <c r="T1978" s="115"/>
      <c r="U1978" s="115"/>
      <c r="V1978" s="115"/>
      <c r="W1978" s="115"/>
      <c r="X1978" s="115"/>
      <c r="Y1978" s="99"/>
      <c r="Z1978" s="99"/>
      <c r="AA1978" s="99"/>
      <c r="AB1978" s="99"/>
      <c r="AC1978" s="117"/>
      <c r="AD1978" s="118"/>
      <c r="AE1978" s="114"/>
      <c r="AF1978" s="114"/>
    </row>
    <row r="1979" spans="1:32" ht="12.75" customHeight="1">
      <c r="A1979" s="21" t="s">
        <v>1225</v>
      </c>
      <c r="H1979" s="136" t="str">
        <f ca="1">IF($Q1981&lt;&gt;"",IF(AND($B1982&lt;&gt;"Missing Player",$B1984&lt;&gt;"Missing Player"),IF(AND(AND($H1981&gt;-1,$H1983&gt;-1),OR($H1981&gt;10,$H1983&gt;10),ABS($H1981-$H1983)&gt;1,IF(OR($H1981&gt;11,$H1983&gt;11),ABS($H1981-$H1983)=2,TRUE),$H1981=INT($H1981),$H1983=INT($H1983)),"","Error"),""),"")</f>
        <v/>
      </c>
      <c r="I1979" s="136" t="str">
        <f ca="1">IF($Q1981&lt;&gt;"",IF(AND($B1982&lt;&gt;"Missing Player",$B1984&lt;&gt;"Missing Player"),IF(AND(AND($I1981&gt;-1,$I1983&gt;-1),OR($I1981&gt;10,$I1983&gt;10),ABS($I1981-$I1983)&gt;1,IF(OR($I1981&gt;11,$I1983&gt;11),ABS($I1981-$I1983)=2,TRUE),$I1981=INT($I1981),$I1983=INT($I1983)),"","Error"),""),"")</f>
        <v/>
      </c>
      <c r="J1979" s="136" t="str">
        <f ca="1">IF($Q1981&lt;&gt;"",IF(AND($B1982&lt;&gt;"Missing Player",$B1984&lt;&gt;"Missing Player"),IF(AND(AND($J1981&gt;-1,$J1983&gt;-1),OR($J1981&gt;10,$J1983&gt;10),ABS($J1981-$J1983)&gt;1,IF(OR($J1981&gt;11,$J1983&gt;11),ABS($J1981-$J1983)=2,TRUE),$J1981=INT($J1981),$J1983=INT($J1983)),"","Error"),""),"")</f>
        <v/>
      </c>
      <c r="K1979" s="136" t="str">
        <f ca="1">IF($Q1981&lt;&gt;"",IF(AND($K1981&lt;&gt;"",$K1983&lt;&gt;""), IF(AND(AND($K1981&gt;-1,$K1983&gt;-1),OR($K1981&gt;10,$K1983&gt;10),ABS($K1981-$K1983)&gt;1,IF(OR($K1981&gt;11,$K1983&gt;11),ABS($K1981-$K1983)=2,TRUE),$K1981=INT($K1981),$K1983=INT($K1983)),"","Error"),""),"")</f>
        <v/>
      </c>
      <c r="L1979" s="136" t="str">
        <f ca="1">IF($Q1981&lt;&gt;"",IF(AND($L1981&lt;&gt;"",$L1983&lt;&gt;""), IF(AND(AND($L1981&gt;-1,$L1983&gt;-1),OR($L1981&gt;10,$L1983&gt;10),ABS($L1981-$L1983)&gt;1,IF(OR($L1981&gt;11,$L1983&gt;11),ABS($L1981-$L1983)=2,TRUE),$L1981=INT($L1981),$L1983=INT($L1983)),"","Error"),""),"")</f>
        <v/>
      </c>
      <c r="Q1979" s="7"/>
      <c r="R1979" s="114"/>
      <c r="S1979" s="115"/>
      <c r="T1979" s="115"/>
      <c r="U1979" s="115"/>
      <c r="V1979" s="115"/>
      <c r="W1979" s="115"/>
      <c r="X1979" s="115"/>
      <c r="Y1979" s="114"/>
      <c r="Z1979" s="114"/>
      <c r="AA1979" s="114"/>
      <c r="AB1979" s="114"/>
      <c r="AC1979" s="114"/>
      <c r="AD1979" s="114"/>
      <c r="AE1979" s="114"/>
      <c r="AF1979" s="114"/>
    </row>
    <row r="1980" spans="1:32" ht="12.75" customHeight="1">
      <c r="A1980" s="5" t="s">
        <v>1228</v>
      </c>
      <c r="B1980" s="290" t="s">
        <v>1126</v>
      </c>
      <c r="C1980" s="291"/>
      <c r="D1980" s="291"/>
      <c r="E1980" s="291"/>
      <c r="F1980" s="291"/>
      <c r="G1980" s="292"/>
      <c r="H1980" s="5">
        <v>1</v>
      </c>
      <c r="I1980" s="5">
        <v>2</v>
      </c>
      <c r="J1980" s="5">
        <v>3</v>
      </c>
      <c r="K1980" s="5">
        <v>4</v>
      </c>
      <c r="L1980" s="5">
        <v>5</v>
      </c>
      <c r="M1980" s="271"/>
      <c r="N1980" s="272"/>
      <c r="O1980" s="272"/>
      <c r="P1980" s="273"/>
      <c r="Q1980" s="8"/>
      <c r="S1980" s="24"/>
      <c r="T1980" s="26"/>
    </row>
    <row r="1981" spans="1:32" ht="12.75" customHeight="1">
      <c r="A1981" s="300" t="str">
        <f>B1947</f>
        <v>C</v>
      </c>
      <c r="B1981" s="311" t="str">
        <f ca="1">IF($B1953&lt;&gt;"",$B1953,"")</f>
        <v/>
      </c>
      <c r="C1981" s="312"/>
      <c r="D1981" s="312"/>
      <c r="E1981" s="312"/>
      <c r="F1981" s="312"/>
      <c r="G1981" s="313"/>
      <c r="H1981" s="265"/>
      <c r="I1981" s="265"/>
      <c r="J1981" s="265"/>
      <c r="K1981" s="265"/>
      <c r="L1981" s="265" t="str">
        <f ca="1">IF($B1974&lt;&gt;"",IF(AND($B1974="Missing Player",$G1985=2,$J1985=2),0,IF(AND($B1976="Missing Player",$G1985=2,$J1985=2),11,"")),"")</f>
        <v/>
      </c>
      <c r="M1981" s="262" t="str">
        <f ca="1">IF(OR(AND($B1981&lt;&gt;"",$B1982&lt;&gt;"",$B1981=$B1982),AND($B1983&lt;&gt;"",$B1984&lt;&gt;"",$B1983=$B1984)),"Invalid Partner","")</f>
        <v/>
      </c>
      <c r="N1981" s="263"/>
      <c r="O1981" s="263"/>
      <c r="P1981" s="264"/>
      <c r="Q1981" s="138" t="str">
        <f ca="1">IF(L1981=L1983,IF(K1981=K1983,IF(J1981&lt;&gt;"",IF(J1981&gt;J1983,"W","L"),""),IF(K1981&gt;K1983,"W","L")),IF(L1981&gt;L1983,"W","L"))</f>
        <v/>
      </c>
      <c r="S1981" s="24"/>
      <c r="T1981" s="26"/>
    </row>
    <row r="1982" spans="1:32" ht="12.75" customHeight="1">
      <c r="A1982" s="324"/>
      <c r="B1982" s="308" t="str">
        <f ca="1">IF($B1974="Missing Player",$B1974,"")</f>
        <v/>
      </c>
      <c r="C1982" s="309"/>
      <c r="D1982" s="309"/>
      <c r="E1982" s="309"/>
      <c r="F1982" s="309"/>
      <c r="G1982" s="310"/>
      <c r="H1982" s="270"/>
      <c r="I1982" s="270"/>
      <c r="J1982" s="270"/>
      <c r="K1982" s="270"/>
      <c r="L1982" s="270"/>
      <c r="M1982" s="262"/>
      <c r="N1982" s="263"/>
      <c r="O1982" s="263"/>
      <c r="P1982" s="264"/>
      <c r="Q1982" s="139" t="str">
        <f ca="1">IF($Q1981&lt;&gt;"",IF($B1984&lt;&gt;"Missing Player",IF($Q1981="W",IF(SUM(IF($H1981&gt;$H1983,1,0),IF($I1981&gt;$I1983,1,0),IF($J1981&gt;$J1983,1,0),IF($K1981&gt;$K1983,1,0),IF($L1981&gt;$L1983,1,0))&lt;&gt;3,"Error",""),""),""),"")</f>
        <v/>
      </c>
      <c r="R1982" s="328" t="str">
        <f>$A1948</f>
        <v/>
      </c>
      <c r="S1982" s="328"/>
      <c r="T1982" s="328"/>
      <c r="U1982" s="328"/>
      <c r="V1982" s="328"/>
      <c r="W1982" s="328"/>
      <c r="X1982" s="256" t="str">
        <f>CONCATENATE("(",$B1947," vs ",$K1947,")")</f>
        <v>(C vs I)</v>
      </c>
      <c r="Y1982" s="256"/>
      <c r="Z1982" s="328" t="str">
        <f>$J1948</f>
        <v/>
      </c>
      <c r="AA1982" s="328"/>
      <c r="AB1982" s="328"/>
      <c r="AC1982" s="328"/>
      <c r="AD1982" s="328"/>
      <c r="AE1982" s="328"/>
      <c r="AF1982" s="43"/>
    </row>
    <row r="1983" spans="1:32" ht="12.75" customHeight="1">
      <c r="A1983" s="325" t="str">
        <f>K1947</f>
        <v>I</v>
      </c>
      <c r="B1983" s="311" t="str">
        <f ca="1">IF($B1955&lt;&gt;"",$B1955,"")</f>
        <v/>
      </c>
      <c r="C1983" s="312"/>
      <c r="D1983" s="312"/>
      <c r="E1983" s="312"/>
      <c r="F1983" s="312"/>
      <c r="G1983" s="313"/>
      <c r="H1983" s="265"/>
      <c r="I1983" s="265"/>
      <c r="J1983" s="265"/>
      <c r="K1983" s="265"/>
      <c r="L1983" s="265" t="str">
        <f ca="1">IF($B1976&lt;&gt;"",IF(AND($B1976="Missing Player",$G1985=2,$J1985=2),0,IF(AND($B1974="Missing Player",$G1985=2,$J1985=2),11,"")),"")</f>
        <v/>
      </c>
      <c r="M1983" s="267" t="s">
        <v>1237</v>
      </c>
      <c r="N1983" s="268"/>
      <c r="O1983" s="268"/>
      <c r="P1983" s="269"/>
      <c r="Q1983" s="138" t="str">
        <f ca="1">IF(Q1981&lt;&gt;"",IF(Q1981="W","L","W"),"")</f>
        <v/>
      </c>
      <c r="R1983" s="43"/>
      <c r="S1983" s="43"/>
      <c r="T1983" s="43"/>
      <c r="U1983" s="43"/>
      <c r="V1983" s="43"/>
      <c r="W1983" s="43"/>
      <c r="X1983" s="43"/>
      <c r="Y1983" s="43"/>
      <c r="Z1983" s="43"/>
      <c r="AA1983" s="43"/>
      <c r="AB1983" s="43"/>
      <c r="AC1983" s="43"/>
      <c r="AD1983" s="43"/>
      <c r="AE1983" s="43"/>
      <c r="AF1983" s="43"/>
    </row>
    <row r="1984" spans="1:32" ht="12.75" customHeight="1">
      <c r="A1984" s="324"/>
      <c r="B1984" s="308" t="str">
        <f ca="1">IF($B1976="Missing Player",$B1976,"")</f>
        <v/>
      </c>
      <c r="C1984" s="309"/>
      <c r="D1984" s="309"/>
      <c r="E1984" s="309"/>
      <c r="F1984" s="309"/>
      <c r="G1984" s="310"/>
      <c r="H1984" s="270"/>
      <c r="I1984" s="270"/>
      <c r="J1984" s="266"/>
      <c r="K1984" s="266"/>
      <c r="L1984" s="266"/>
      <c r="M1984" s="267"/>
      <c r="N1984" s="268"/>
      <c r="O1984" s="268"/>
      <c r="P1984" s="269"/>
      <c r="Q1984" s="139" t="str">
        <f ca="1">IF($Q1983&lt;&gt;"",IF($B1982&lt;&gt;"Missing Player",IF($Q1983="W",IF(SUM(IF($H1983&gt;$H1981,1,0),IF($I1983&gt;$I1981,1,0),IF($J1983&gt;$J1981,1,0),IF($K1983&gt;$K1981,1,0),IF($L1983&gt;$L1981,1,0))&lt;&gt;3,"Error",""),""),""),"")</f>
        <v/>
      </c>
      <c r="R1984" s="43" t="str">
        <f>A1972</f>
        <v>4th Singles</v>
      </c>
      <c r="S1984" s="43"/>
      <c r="T1984" s="43"/>
      <c r="U1984" s="43"/>
      <c r="V1984" s="43"/>
      <c r="W1984" s="43"/>
      <c r="X1984" s="43"/>
      <c r="Y1984" s="43"/>
      <c r="Z1984" s="43"/>
      <c r="AA1984" s="43"/>
      <c r="AB1984" s="43"/>
      <c r="AC1984" s="43"/>
      <c r="AD1984" s="43"/>
      <c r="AE1984" s="43"/>
      <c r="AF1984" s="43"/>
    </row>
    <row r="1985" spans="1:32" ht="12.75" customHeight="1">
      <c r="G1985" s="66">
        <f ca="1">COUNTIF($Q1953:$Q1953,"W")+COUNTIF($Q1960:$Q1960,"W")+COUNTIF($Q1967:$Q1967,"W")+COUNTIF($Q1974:$Q1974,"W")</f>
        <v>0</v>
      </c>
      <c r="J1985" s="66">
        <f ca="1">COUNTIF($Q1955:$Q1955,"W")+COUNTIF($Q1962:$Q1962,"W")+COUNTIF($Q1969:$Q1969,"W")+COUNTIF($Q1976:$Q1976,"W")</f>
        <v>0</v>
      </c>
      <c r="R1985" s="60" t="s">
        <v>1228</v>
      </c>
      <c r="S1985" s="339" t="s">
        <v>1126</v>
      </c>
      <c r="T1985" s="340"/>
      <c r="U1985" s="340"/>
      <c r="V1985" s="340"/>
      <c r="W1985" s="340"/>
      <c r="X1985" s="341"/>
      <c r="Y1985" s="60">
        <v>1</v>
      </c>
      <c r="Z1985" s="60">
        <v>2</v>
      </c>
      <c r="AA1985" s="60">
        <v>3</v>
      </c>
      <c r="AB1985" s="60">
        <v>4</v>
      </c>
      <c r="AC1985" s="60">
        <v>5</v>
      </c>
      <c r="AD1985" s="342"/>
      <c r="AE1985" s="343"/>
      <c r="AF1985" s="344"/>
    </row>
    <row r="1986" spans="1:32" ht="12.75" customHeight="1" thickBot="1">
      <c r="F1986" s="246" t="s">
        <v>1238</v>
      </c>
      <c r="G1986" s="246"/>
      <c r="H1986" s="246"/>
      <c r="I1986" s="246"/>
      <c r="J1986" s="246"/>
      <c r="K1986" s="246"/>
      <c r="R1986" s="300" t="str">
        <f>B1947</f>
        <v>C</v>
      </c>
      <c r="S1986" s="331" t="str">
        <f ca="1">IF($B1974&lt;&gt;"",$B1974,"")</f>
        <v/>
      </c>
      <c r="T1986" s="353"/>
      <c r="U1986" s="353"/>
      <c r="V1986" s="353"/>
      <c r="W1986" s="353"/>
      <c r="X1986" s="354"/>
      <c r="Y1986" s="329"/>
      <c r="Z1986" s="329"/>
      <c r="AA1986" s="351"/>
      <c r="AB1986" s="351"/>
      <c r="AC1986" s="351"/>
      <c r="AD1986" s="345"/>
      <c r="AE1986" s="346"/>
      <c r="AF1986" s="347"/>
    </row>
    <row r="1987" spans="1:32" ht="12.75" customHeight="1">
      <c r="A1987" s="22"/>
      <c r="B1987" s="22"/>
      <c r="C1987" s="22"/>
      <c r="D1987" s="22"/>
      <c r="E1987" s="22"/>
      <c r="G1987" s="304" t="str">
        <f>B1947</f>
        <v>C</v>
      </c>
      <c r="H1987" s="305"/>
      <c r="I1987" s="302" t="str">
        <f>K1947</f>
        <v>I</v>
      </c>
      <c r="J1987" s="303"/>
      <c r="L1987" s="22"/>
      <c r="M1987" s="22"/>
      <c r="N1987" s="22"/>
      <c r="O1987" s="22"/>
      <c r="P1987" s="22"/>
      <c r="R1987" s="301"/>
      <c r="S1987" s="355"/>
      <c r="T1987" s="356"/>
      <c r="U1987" s="356"/>
      <c r="V1987" s="356"/>
      <c r="W1987" s="356"/>
      <c r="X1987" s="357"/>
      <c r="Y1987" s="338"/>
      <c r="Z1987" s="338"/>
      <c r="AA1987" s="352"/>
      <c r="AB1987" s="352"/>
      <c r="AC1987" s="352"/>
      <c r="AD1987" s="348"/>
      <c r="AE1987" s="349"/>
      <c r="AF1987" s="350"/>
    </row>
    <row r="1988" spans="1:32" ht="12.75" customHeight="1" thickBot="1">
      <c r="A1988" s="2" t="s">
        <v>1228</v>
      </c>
      <c r="B1988" s="53" t="str">
        <f>B1947</f>
        <v>C</v>
      </c>
      <c r="C1988" s="3" t="s">
        <v>1226</v>
      </c>
      <c r="F1988" s="66" t="str">
        <f>CONCATENATE($B1947,"-",$K1947)</f>
        <v>C-I</v>
      </c>
      <c r="G1988" s="320" t="str">
        <f ca="1">IF(OR(Q1953&lt;&gt;"",Q1960&lt;&gt;"",Q1967&lt;&gt;"",Q1974&lt;&gt;"",Q1981&lt;&gt;""),COUNTIF(Q1953:Q1953,"W")+COUNTIF(Q1960:Q1960,"W")+COUNTIF(Q1967:Q1967,"W")+COUNTIF(Q1974:Q1974,"W")+COUNTIF(Q1981:Q1981,"W"),"")</f>
        <v/>
      </c>
      <c r="H1988" s="321"/>
      <c r="I1988" s="322" t="str">
        <f ca="1">IF(OR(Q1955&lt;&gt;"",Q1962&lt;&gt;"",Q1969&lt;&gt;"",Q1976&lt;&gt;"",Q1983&lt;&gt;""),COUNTIF(Q1955:Q1955,"W")+COUNTIF(Q1962:Q1962,"W")+COUNTIF(Q1969:Q1969,"W")+COUNTIF(Q1976:Q1976,"W")+COUNTIF(Q1983:Q1983,"W"),"")</f>
        <v/>
      </c>
      <c r="J1988" s="323"/>
      <c r="L1988" s="2" t="s">
        <v>1228</v>
      </c>
      <c r="M1988" s="53" t="str">
        <f>K1947</f>
        <v>I</v>
      </c>
      <c r="N1988" s="3" t="s">
        <v>1226</v>
      </c>
      <c r="R1988" s="300" t="str">
        <f>K1947</f>
        <v>I</v>
      </c>
      <c r="S1988" s="331" t="str">
        <f ca="1">IF($B1976&lt;&gt;"",$B1976,"")</f>
        <v/>
      </c>
      <c r="T1988" s="332"/>
      <c r="U1988" s="332"/>
      <c r="V1988" s="332"/>
      <c r="W1988" s="332"/>
      <c r="X1988" s="333"/>
      <c r="Y1988" s="329"/>
      <c r="Z1988" s="329"/>
      <c r="AA1988" s="351"/>
      <c r="AB1988" s="351"/>
      <c r="AC1988" s="351"/>
      <c r="AD1988" s="363" t="s">
        <v>1237</v>
      </c>
      <c r="AE1988" s="358"/>
      <c r="AF1988" s="359"/>
    </row>
    <row r="1989" spans="1:32" ht="12.75" customHeight="1">
      <c r="F1989" s="25" t="s">
        <v>3996</v>
      </c>
      <c r="G1989" s="23"/>
      <c r="H1989" s="23"/>
      <c r="I1989" s="23"/>
      <c r="J1989" s="23"/>
      <c r="K1989" s="24"/>
      <c r="R1989" s="330"/>
      <c r="S1989" s="334"/>
      <c r="T1989" s="335"/>
      <c r="U1989" s="335"/>
      <c r="V1989" s="335"/>
      <c r="W1989" s="335"/>
      <c r="X1989" s="336"/>
      <c r="Y1989" s="330"/>
      <c r="Z1989" s="330"/>
      <c r="AA1989" s="330"/>
      <c r="AB1989" s="330"/>
      <c r="AC1989" s="330"/>
      <c r="AD1989" s="360"/>
      <c r="AE1989" s="361"/>
      <c r="AF1989" s="362"/>
    </row>
    <row r="1990" spans="1:32" ht="12.75" customHeight="1">
      <c r="R1990" s="1"/>
      <c r="S1990" s="110"/>
      <c r="T1990" s="110"/>
      <c r="U1990" s="110"/>
      <c r="V1990" s="110"/>
      <c r="W1990" s="110"/>
      <c r="X1990" s="111"/>
      <c r="Y1990" s="111"/>
      <c r="Z1990" s="111"/>
      <c r="AA1990" s="111"/>
    </row>
    <row r="1991" spans="1:32" ht="12.75" customHeight="1">
      <c r="F1991" s="246" t="s">
        <v>4929</v>
      </c>
      <c r="G1991" s="246"/>
      <c r="H1991" s="246"/>
      <c r="I1991" s="246"/>
      <c r="R1991" s="1"/>
      <c r="S1991" s="110"/>
      <c r="T1991" s="110"/>
      <c r="U1991" s="110"/>
      <c r="V1991" s="110"/>
      <c r="W1991" s="110"/>
      <c r="X1991" s="111"/>
      <c r="Y1991" s="111"/>
      <c r="Z1991" s="111"/>
      <c r="AA1991" s="111"/>
    </row>
    <row r="1992" spans="1:32" ht="12.75" customHeight="1">
      <c r="F1992" s="246" t="s">
        <v>4930</v>
      </c>
      <c r="G1992" s="246"/>
      <c r="H1992" s="246"/>
      <c r="I1992" s="246"/>
      <c r="R1992" s="1"/>
      <c r="S1992" s="110"/>
      <c r="T1992" s="110"/>
      <c r="U1992" s="110"/>
      <c r="V1992" s="110"/>
      <c r="W1992" s="110"/>
      <c r="X1992" s="111"/>
      <c r="Y1992" s="111"/>
      <c r="Z1992" s="111"/>
      <c r="AA1992" s="111"/>
    </row>
    <row r="1993" spans="1:32" ht="12.75" customHeight="1">
      <c r="K1993" s="281" t="s">
        <v>1244</v>
      </c>
      <c r="L1993" s="281"/>
      <c r="M1993" s="281"/>
      <c r="N1993" s="281"/>
      <c r="O1993" s="281"/>
      <c r="P1993" s="281"/>
      <c r="R1993" s="1"/>
      <c r="S1993" s="110"/>
      <c r="T1993" s="110"/>
      <c r="U1993" s="110"/>
      <c r="V1993" s="110"/>
      <c r="W1993" s="110"/>
      <c r="X1993" s="111"/>
      <c r="Y1993" s="111"/>
      <c r="Z1993" s="111"/>
      <c r="AA1993" s="111"/>
    </row>
    <row r="1994" spans="1:32" ht="12.75" customHeight="1">
      <c r="A1994" s="12" t="s">
        <v>1229</v>
      </c>
      <c r="B1994" s="11"/>
      <c r="C1994" s="11"/>
      <c r="D1994" s="11" t="str">
        <f>Draw!$B$1</f>
        <v>Enter Division Name</v>
      </c>
      <c r="E1994" s="11"/>
      <c r="F1994" s="7"/>
      <c r="G1994" s="6"/>
      <c r="H1994" s="7"/>
      <c r="I1994" s="11"/>
      <c r="J1994" s="11"/>
      <c r="K1994" s="11"/>
      <c r="L1994" s="11"/>
      <c r="M1994" s="281"/>
      <c r="N1994" s="281"/>
      <c r="O1994" s="281"/>
      <c r="P1994" s="281"/>
      <c r="R1994" s="1"/>
      <c r="S1994" s="110"/>
      <c r="T1994" s="110"/>
      <c r="U1994" s="110"/>
      <c r="V1994" s="110"/>
      <c r="W1994" s="110"/>
      <c r="X1994" s="111"/>
      <c r="Y1994" s="111"/>
      <c r="Z1994" s="111"/>
      <c r="AA1994" s="111"/>
    </row>
    <row r="1995" spans="1:32" ht="12.75" customHeight="1">
      <c r="A1995" s="2" t="s">
        <v>1230</v>
      </c>
      <c r="D1995" s="43" t="str">
        <f>Draw!$D$1</f>
        <v>Enter Hosting Location (City, ST)</v>
      </c>
      <c r="J1995" s="43" t="str">
        <f ca="1">$J$6</f>
        <v>[NCTTA Teams Template (v2.06).xlsx]</v>
      </c>
      <c r="R1995" s="1"/>
      <c r="S1995" s="110"/>
      <c r="T1995" s="110"/>
      <c r="U1995" s="110"/>
      <c r="V1995" s="110"/>
      <c r="W1995" s="110"/>
      <c r="X1995" s="111"/>
      <c r="Y1995" s="111"/>
      <c r="Z1995" s="111"/>
      <c r="AA1995" s="111"/>
    </row>
    <row r="1996" spans="1:32" ht="12.75" customHeight="1">
      <c r="A1996" s="2" t="s">
        <v>1231</v>
      </c>
      <c r="D1996" s="337" t="str">
        <f>Draw!$P$1</f>
        <v>Enter Date</v>
      </c>
      <c r="E1996" s="337"/>
      <c r="F1996" s="337"/>
      <c r="G1996" s="337"/>
      <c r="J1996" s="280" t="str">
        <f>CHOOSE(Draw!$T$1,"Round 7, Match 4","","","","","","","","","Round 8, Match 5","Round 8, Match 5")</f>
        <v/>
      </c>
      <c r="K1996" s="280"/>
      <c r="L1996" s="280"/>
      <c r="M1996" s="276" t="str">
        <f>IF(AND($J1996&lt;&gt;"",Draw!$AC$10&lt;&gt;"",Draw!$AC$13&lt;&gt;""),Draw!$AC$10+TIME(0,VALUE(MID($J1996,7,FIND(",",$J1996)-FIND(" ",$J1996)-1)-1)*Draw!$AC$13,0),"")</f>
        <v/>
      </c>
      <c r="N1996" s="276"/>
      <c r="O1996" s="157" t="str">
        <f>$F2039</f>
        <v>C-J</v>
      </c>
      <c r="R1996" s="1"/>
      <c r="S1996" s="110"/>
      <c r="T1996" s="110"/>
      <c r="U1996" s="110"/>
      <c r="V1996" s="110"/>
      <c r="W1996" s="110"/>
      <c r="X1996" s="111"/>
      <c r="Y1996" s="111"/>
      <c r="Z1996" s="111"/>
      <c r="AA1996" s="111"/>
    </row>
    <row r="1997" spans="1:32" ht="12.75" customHeight="1">
      <c r="A1997" s="14"/>
      <c r="B1997" s="15"/>
      <c r="C1997" s="15"/>
      <c r="D1997" s="15"/>
      <c r="E1997" s="15"/>
      <c r="F1997" s="14"/>
      <c r="G1997" s="14"/>
      <c r="H1997" s="16"/>
      <c r="I1997" s="14"/>
      <c r="J1997" s="15"/>
      <c r="K1997" s="15"/>
      <c r="L1997" s="15"/>
      <c r="M1997" s="15"/>
      <c r="N1997" s="15"/>
      <c r="O1997" s="364" t="str">
        <f>IF(OR(AND(VLOOKUP($B1998,$AM$1:$AX$12,12,FALSE)="C",VLOOKUP($K1998,$AM$1:$AX$12,12,FALSE)="C"),AND(VLOOKUP($B1998,$AM$1:$AX$12,12,FALSE)="W",VLOOKUP($K1998,$AM$1:$AX$12,12,FALSE)="W")),"Official",IF(AND($A1999="",$J1999=""),"","Scrimmage"))</f>
        <v/>
      </c>
      <c r="P1997" s="364"/>
      <c r="R1997" s="1"/>
      <c r="S1997" s="110"/>
      <c r="T1997" s="110"/>
      <c r="U1997" s="110"/>
      <c r="V1997" s="110"/>
      <c r="W1997" s="110"/>
      <c r="X1997" s="111"/>
      <c r="Y1997" s="111"/>
      <c r="Z1997" s="111"/>
      <c r="AA1997" s="111"/>
    </row>
    <row r="1998" spans="1:32" ht="12.75" customHeight="1">
      <c r="A1998" s="17" t="s">
        <v>1228</v>
      </c>
      <c r="B1998" s="119" t="str">
        <f>CHOOSE(Draw!$T$1,"C","B","C","D","E","E","D","C","B","F","J")</f>
        <v>C</v>
      </c>
      <c r="C1998" s="135">
        <f>VLOOKUP($B1998,$AM$1:$AN$12,2)</f>
        <v>3</v>
      </c>
      <c r="D1998" s="13"/>
      <c r="E1998" s="13"/>
      <c r="F1998" s="10"/>
      <c r="H1998" s="19" t="s">
        <v>1232</v>
      </c>
      <c r="J1998" s="17" t="s">
        <v>1228</v>
      </c>
      <c r="K1998" s="119" t="str">
        <f>CHOOSE(Draw!$T$1,"I","J","J","G","G","G","K","L","J","G","K")</f>
        <v>J</v>
      </c>
      <c r="L1998" s="135">
        <f>VLOOKUP($K1998,$AM$1:$AN$12,2)</f>
        <v>10</v>
      </c>
      <c r="M1998" s="13"/>
      <c r="N1998" s="13"/>
      <c r="O1998" s="18"/>
      <c r="P1998" s="274"/>
      <c r="Q1998" s="275"/>
      <c r="R1998" s="1"/>
      <c r="S1998" s="110"/>
      <c r="T1998" s="110"/>
      <c r="U1998" s="110"/>
      <c r="V1998" s="110"/>
      <c r="W1998" s="110"/>
      <c r="X1998" s="111"/>
      <c r="Y1998" s="111"/>
      <c r="Z1998" s="111"/>
      <c r="AA1998" s="111"/>
    </row>
    <row r="1999" spans="1:32" ht="12.75" customHeight="1">
      <c r="A1999" s="277" t="str">
        <f>IF(VLOOKUP($B1998,Draw!$A$4:$B$27,2)&lt;&gt;0,VLOOKUP($B1998,Draw!$A$4:$B$27,2),"")</f>
        <v/>
      </c>
      <c r="B1999" s="278"/>
      <c r="C1999" s="278"/>
      <c r="D1999" s="278"/>
      <c r="E1999" s="278"/>
      <c r="F1999" s="279"/>
      <c r="G1999" s="306" t="s">
        <v>4191</v>
      </c>
      <c r="H1999" s="289"/>
      <c r="I1999" s="307"/>
      <c r="J1999" s="277" t="str">
        <f>IF(VLOOKUP($K1998,Draw!$A$4:$B$27,2)&lt;&gt;0,VLOOKUP($K1998,Draw!$A$4:$B$27,2),"")</f>
        <v/>
      </c>
      <c r="K1999" s="278"/>
      <c r="L1999" s="278"/>
      <c r="M1999" s="278"/>
      <c r="N1999" s="278"/>
      <c r="O1999" s="279"/>
      <c r="P1999" s="15"/>
      <c r="R1999" s="1"/>
      <c r="S1999" s="110"/>
      <c r="T1999" s="110"/>
      <c r="U1999" s="110"/>
      <c r="V1999" s="110"/>
      <c r="W1999" s="110"/>
      <c r="X1999" s="111"/>
      <c r="Y1999" s="111"/>
      <c r="Z1999" s="111"/>
      <c r="AA1999" s="111"/>
    </row>
    <row r="2000" spans="1:32" ht="12.75" customHeight="1">
      <c r="A2000" s="14"/>
      <c r="B2000" s="15"/>
      <c r="C2000" s="15"/>
      <c r="D2000" s="15"/>
      <c r="E2000" s="15"/>
      <c r="F2000" s="14"/>
      <c r="G2000" s="288" t="str">
        <f>"Page "&amp;VALUE(RIGHT($G1999,LEN($G1999)-SEARCH("-",$G1999)))/2</f>
        <v>Page 40</v>
      </c>
      <c r="H2000" s="289"/>
      <c r="I2000" s="289"/>
      <c r="J2000" s="15"/>
      <c r="K2000" s="15"/>
      <c r="L2000" s="15"/>
      <c r="M2000" s="15"/>
      <c r="N2000" s="15"/>
      <c r="O2000" s="15"/>
      <c r="P2000" s="15"/>
      <c r="R2000" s="1"/>
      <c r="S2000" s="110"/>
      <c r="T2000" s="110"/>
      <c r="U2000" s="110"/>
      <c r="V2000" s="110"/>
      <c r="W2000" s="110"/>
      <c r="X2000" s="111"/>
      <c r="Y2000" s="111"/>
      <c r="Z2000" s="111"/>
      <c r="AA2000" s="111"/>
      <c r="AF2000" s="27"/>
    </row>
    <row r="2001" spans="1:32" ht="12.75" customHeight="1">
      <c r="A2001" s="327" t="s">
        <v>1245</v>
      </c>
      <c r="B2001" s="327"/>
      <c r="C2001" s="327"/>
      <c r="D2001" s="327"/>
      <c r="E2001" s="327"/>
      <c r="F2001" s="327"/>
      <c r="G2001" s="327"/>
      <c r="H2001" s="327"/>
      <c r="I2001" s="327"/>
      <c r="J2001" s="327"/>
      <c r="K2001" s="327"/>
      <c r="L2001" s="327"/>
      <c r="M2001" s="327"/>
      <c r="N2001" s="327"/>
      <c r="O2001" s="327"/>
      <c r="P2001" s="327"/>
      <c r="Q2001" s="7"/>
      <c r="R2001" s="1"/>
      <c r="S2001" s="110"/>
      <c r="T2001" s="110"/>
      <c r="U2001" s="110"/>
      <c r="V2001" s="110"/>
      <c r="W2001" s="110"/>
      <c r="X2001" s="111"/>
      <c r="Y2001" s="111"/>
      <c r="Z2001" s="111"/>
      <c r="AA2001" s="111"/>
      <c r="AF2001" s="20"/>
    </row>
    <row r="2002" spans="1:32" ht="12.75" customHeight="1">
      <c r="A2002" s="21" t="s">
        <v>1233</v>
      </c>
      <c r="H2002" s="136" t="str">
        <f>IF($Q2004&lt;&gt;"",IF(AND(AND($H2004&gt;-1,$H2006&gt;-1),OR($H2004&gt;10,$H2006&gt;10),ABS($H2004-$H2006)&gt;1,IF(OR($H2004&gt;11,$H2006&gt;11),ABS($H2004-$H2006)=2,TRUE),$H2004=INT($H2004),$H2006=INT($H2006)),"","Error"),"")</f>
        <v/>
      </c>
      <c r="I2002" s="136" t="str">
        <f>IF($Q2004&lt;&gt;"",IF(AND(AND($I2004&gt;-1,$I2006&gt;-1),OR($I2004&gt;10,$I2006&gt;10),ABS($I2004-$I2006)&gt;1,IF(OR($I2004&gt;11,$I2006&gt;11),ABS($I2004-$I2006)=2,TRUE),$I2004=INT($I2004),$I2006=INT($I2006)),"","Error"),"")</f>
        <v/>
      </c>
      <c r="J2002" s="136" t="str">
        <f>IF($Q2004&lt;&gt;"",IF(AND(AND($J2004&gt;-1,$J2006&gt;-1),OR($J2004&gt;10,$J2006&gt;10),ABS($J2004-$J2006)&gt;1,IF(OR($J2004&gt;11,$J2006&gt;11),ABS($J2004-$J2006)=2,TRUE),$J2004=INT($J2004),$J2006=INT($J2006)),"","Error"),"")</f>
        <v/>
      </c>
      <c r="K2002" s="136" t="str">
        <f>IF($Q2004&lt;&gt;"",IF(AND($K2004&lt;&gt;"",$K2006&lt;&gt;""), IF(AND(AND($K2004&gt;-1,$K2006&gt;-1),OR($K2004&gt;10,$K2006&gt;10),ABS($K2004-$K2006)&gt;1,IF(OR($K2004&gt;11,$K2006&gt;11),ABS($K2004-$K2006)=2,TRUE),$K2004=INT($K2004),$K2006=INT($K2006)),"","Error"),""),"")</f>
        <v/>
      </c>
      <c r="L2002" s="136" t="str">
        <f>IF($Q2004&lt;&gt;"",IF(AND($L2004&lt;&gt;"",$L2006&lt;&gt;""), IF(AND(AND($L2004&gt;-1,$L2006&gt;-1),OR($L2004&gt;10,$L2006&gt;10),ABS($L2004-$L2006)&gt;1,IF(OR($L2004&gt;11,$L2006&gt;11),ABS($L2004-$L2006)=2,TRUE),$L2004=INT($L2004),$L2006=INT($L2006)),"","Error"),""),"")</f>
        <v/>
      </c>
      <c r="R2002" s="1"/>
      <c r="S2002" s="110"/>
      <c r="T2002" s="110"/>
      <c r="U2002" s="110"/>
      <c r="V2002" s="110"/>
      <c r="W2002" s="110"/>
      <c r="X2002" s="111"/>
      <c r="Y2002" s="111"/>
      <c r="Z2002" s="111"/>
      <c r="AA2002" s="111"/>
    </row>
    <row r="2003" spans="1:32" ht="12.75" customHeight="1">
      <c r="A2003" s="5" t="s">
        <v>1228</v>
      </c>
      <c r="B2003" s="290" t="s">
        <v>1126</v>
      </c>
      <c r="C2003" s="291"/>
      <c r="D2003" s="291"/>
      <c r="E2003" s="291"/>
      <c r="F2003" s="291"/>
      <c r="G2003" s="292"/>
      <c r="H2003" s="5">
        <v>1</v>
      </c>
      <c r="I2003" s="5">
        <v>2</v>
      </c>
      <c r="J2003" s="5">
        <v>3</v>
      </c>
      <c r="K2003" s="5">
        <v>4</v>
      </c>
      <c r="L2003" s="5">
        <v>5</v>
      </c>
      <c r="M2003" s="271"/>
      <c r="N2003" s="272"/>
      <c r="O2003" s="272"/>
      <c r="P2003" s="273"/>
      <c r="R2003" s="1"/>
      <c r="S2003" s="110"/>
      <c r="T2003" s="110"/>
      <c r="U2003" s="110"/>
      <c r="V2003" s="110"/>
      <c r="W2003" s="110"/>
      <c r="X2003" s="111"/>
      <c r="Y2003" s="111"/>
      <c r="Z2003" s="111"/>
      <c r="AA2003" s="111"/>
    </row>
    <row r="2004" spans="1:32" ht="12.75" customHeight="1">
      <c r="A2004" s="300" t="str">
        <f>B1998</f>
        <v>C</v>
      </c>
      <c r="B2004" s="293" t="str">
        <f ca="1">IF(AND(OFFSET($AO$1,$C1998-1,8,1,1),$A1999&lt;&gt;"",$J1999&lt;&gt;""),CHOOSE($C1998,$AO$1,$AO$2,$AO$3,$AO$4,$AO$5,$AO$6,$AO$7,$AO$8,$AO$9,$AO$10,$AO$11,$AO$12),"")</f>
        <v/>
      </c>
      <c r="C2004" s="294"/>
      <c r="D2004" s="294"/>
      <c r="E2004" s="294"/>
      <c r="F2004" s="294"/>
      <c r="G2004" s="294"/>
      <c r="H2004" s="265"/>
      <c r="I2004" s="265"/>
      <c r="J2004" s="265"/>
      <c r="K2004" s="265"/>
      <c r="L2004" s="265"/>
      <c r="M2004" s="297"/>
      <c r="N2004" s="298"/>
      <c r="O2004" s="298"/>
      <c r="P2004" s="299"/>
      <c r="Q2004" s="137" t="str">
        <f>IF($L2004=$L2006,IF($K2004=$K2006,IF($J2004&lt;&gt;"",IF($J2004&gt;$J2006,"W","L"),""),IF($K2004&gt;$K2006,"W","L")),IF($L2004&gt;$L2006,"W","L"))</f>
        <v/>
      </c>
      <c r="R2004" s="1"/>
      <c r="S2004" s="110"/>
      <c r="T2004" s="110"/>
      <c r="U2004" s="110"/>
      <c r="V2004" s="110"/>
      <c r="W2004" s="110"/>
      <c r="X2004" s="111"/>
      <c r="Y2004" s="111"/>
      <c r="Z2004" s="111"/>
      <c r="AA2004" s="111"/>
    </row>
    <row r="2005" spans="1:32" ht="12.75" customHeight="1">
      <c r="A2005" s="301"/>
      <c r="B2005" s="295"/>
      <c r="C2005" s="296"/>
      <c r="D2005" s="296"/>
      <c r="E2005" s="296"/>
      <c r="F2005" s="296"/>
      <c r="G2005" s="296"/>
      <c r="H2005" s="270"/>
      <c r="I2005" s="270"/>
      <c r="J2005" s="270"/>
      <c r="K2005" s="270"/>
      <c r="L2005" s="270"/>
      <c r="M2005" s="297"/>
      <c r="N2005" s="298"/>
      <c r="O2005" s="298"/>
      <c r="P2005" s="299"/>
      <c r="Q2005" s="139" t="str">
        <f>IF($Q2004&lt;&gt;"",IF($Q2004="W",IF(SUM(IF($H2004&gt;$H2006,1,0),IF($I2004&gt;$I2006,1,0),IF($J2004&gt;$J2006,1,0),IF($K2004&gt;$K2006,1,0),IF($L2004&gt;$L2006,1,0))&lt;&gt;3,"Error",""),""),"")</f>
        <v/>
      </c>
      <c r="R2005" s="328" t="str">
        <f>$A1999</f>
        <v/>
      </c>
      <c r="S2005" s="328"/>
      <c r="T2005" s="328"/>
      <c r="U2005" s="328"/>
      <c r="V2005" s="328"/>
      <c r="W2005" s="328"/>
      <c r="X2005" s="256" t="str">
        <f>CONCATENATE("(",$B1998," vs ",$K1998,")")</f>
        <v>(C vs J)</v>
      </c>
      <c r="Y2005" s="256"/>
      <c r="Z2005" s="328" t="str">
        <f>$J1999</f>
        <v/>
      </c>
      <c r="AA2005" s="328"/>
      <c r="AB2005" s="328"/>
      <c r="AC2005" s="328"/>
      <c r="AD2005" s="328"/>
      <c r="AE2005" s="328"/>
      <c r="AF2005" s="43"/>
    </row>
    <row r="2006" spans="1:32" ht="12.75" customHeight="1">
      <c r="A2006" s="300" t="str">
        <f>K1998</f>
        <v>J</v>
      </c>
      <c r="B2006" s="293" t="str">
        <f ca="1">IF(AND(OFFSET($AO$1,$L1998-1,8,1,1),$A1999&lt;&gt;"",$J1999&lt;&gt;""),CHOOSE($L1998,$AO$1,$AO$2,$AO$3,$AO$4,$AO$5,$AO$6,$AO$7,$AO$8,$AO$9,$AO$10,$AO$11,$AO$12),"")</f>
        <v/>
      </c>
      <c r="C2006" s="294"/>
      <c r="D2006" s="294"/>
      <c r="E2006" s="294"/>
      <c r="F2006" s="294"/>
      <c r="G2006" s="294"/>
      <c r="H2006" s="265"/>
      <c r="I2006" s="265"/>
      <c r="J2006" s="265"/>
      <c r="K2006" s="265"/>
      <c r="L2006" s="265"/>
      <c r="M2006" s="267" t="s">
        <v>1237</v>
      </c>
      <c r="N2006" s="268"/>
      <c r="O2006" s="268"/>
      <c r="P2006" s="269"/>
      <c r="Q2006" s="137" t="str">
        <f>IF($Q2004&lt;&gt;"",IF($Q2004="W","L","W"),"")</f>
        <v/>
      </c>
      <c r="R2006" s="43"/>
      <c r="S2006" s="43"/>
      <c r="T2006" s="43"/>
      <c r="U2006" s="43"/>
      <c r="V2006" s="43"/>
      <c r="W2006" s="43"/>
      <c r="X2006" s="43"/>
      <c r="Y2006" s="43"/>
      <c r="Z2006" s="43"/>
      <c r="AA2006" s="43"/>
      <c r="AB2006" s="43"/>
      <c r="AC2006" s="43"/>
      <c r="AD2006" s="43"/>
      <c r="AE2006" s="43"/>
      <c r="AF2006" s="43"/>
    </row>
    <row r="2007" spans="1:32" ht="12.75" customHeight="1">
      <c r="A2007" s="301"/>
      <c r="B2007" s="295"/>
      <c r="C2007" s="296"/>
      <c r="D2007" s="296"/>
      <c r="E2007" s="296"/>
      <c r="F2007" s="296"/>
      <c r="G2007" s="296"/>
      <c r="H2007" s="270"/>
      <c r="I2007" s="270"/>
      <c r="J2007" s="266"/>
      <c r="K2007" s="266"/>
      <c r="L2007" s="266"/>
      <c r="M2007" s="267"/>
      <c r="N2007" s="268"/>
      <c r="O2007" s="268"/>
      <c r="P2007" s="269"/>
      <c r="Q2007" s="139" t="str">
        <f>IF($Q2006&lt;&gt;"",IF($Q2006="W",IF(SUM(IF($H2006&gt;$H2004,1,0),IF($I2006&gt;$I2004,1,0),IF($J2006&gt;$J2004,1,0),IF($K2006&gt;$K2004,1,0),IF($L2006&gt;$L2004,1,0))&lt;&gt;3,"Error",""),""),"")</f>
        <v/>
      </c>
      <c r="R2007" s="43" t="str">
        <f>$A2009</f>
        <v>2nd Singles</v>
      </c>
      <c r="S2007" s="43"/>
      <c r="T2007" s="43"/>
      <c r="U2007" s="43"/>
      <c r="V2007" s="43"/>
      <c r="W2007" s="43"/>
      <c r="X2007" s="43"/>
      <c r="Y2007" s="43"/>
      <c r="Z2007" s="43"/>
      <c r="AA2007" s="43"/>
      <c r="AB2007" s="43"/>
      <c r="AC2007" s="43"/>
      <c r="AD2007" s="43"/>
      <c r="AE2007" s="43"/>
      <c r="AF2007" s="43"/>
    </row>
    <row r="2008" spans="1:32" ht="12.75" customHeight="1">
      <c r="Q2008" s="7"/>
      <c r="R2008" s="60" t="s">
        <v>1228</v>
      </c>
      <c r="S2008" s="339" t="s">
        <v>1126</v>
      </c>
      <c r="T2008" s="340"/>
      <c r="U2008" s="340"/>
      <c r="V2008" s="340"/>
      <c r="W2008" s="340"/>
      <c r="X2008" s="341"/>
      <c r="Y2008" s="60">
        <v>1</v>
      </c>
      <c r="Z2008" s="60">
        <v>2</v>
      </c>
      <c r="AA2008" s="60">
        <v>3</v>
      </c>
      <c r="AB2008" s="60">
        <v>4</v>
      </c>
      <c r="AC2008" s="60">
        <v>5</v>
      </c>
      <c r="AD2008" s="342"/>
      <c r="AE2008" s="343"/>
      <c r="AF2008" s="344"/>
    </row>
    <row r="2009" spans="1:32" ht="12.75" customHeight="1">
      <c r="A2009" s="21" t="s">
        <v>1234</v>
      </c>
      <c r="H2009" s="136" t="str">
        <f>IF($Q2011&lt;&gt;"",IF(AND(AND($H2011&gt;-1,$H2013&gt;-1),OR($H2011&gt;10,$H2013&gt;10),ABS($H2011-$H2013)&gt;1,IF(OR($H2011&gt;11,$H2013&gt;11),ABS($H2011-$H2013)=2,TRUE),$H2011=INT($H2011),$H2013=INT($H2013)),"","Error"),"")</f>
        <v/>
      </c>
      <c r="I2009" s="136" t="str">
        <f>IF($Q2011&lt;&gt;"",IF(AND(AND($I2011&gt;-1,$I2013&gt;-1),OR($I2011&gt;10,$I2013&gt;10),ABS($I2011-$I2013)&gt;1,IF(OR($I2011&gt;11,$I2013&gt;11),ABS($I2011-$I2013)=2,TRUE),$I2011=INT($I2011),$I2013=INT($I2013)),"","Error"),"")</f>
        <v/>
      </c>
      <c r="J2009" s="136" t="str">
        <f>IF($Q2011&lt;&gt;"",IF(AND(AND($J2011&gt;-1,$J2013&gt;-1),OR($J2011&gt;10,$J2013&gt;10),ABS($J2011-$J2013)&gt;1,IF(OR($J2011&gt;11,$J2013&gt;11),ABS($J2011-$J2013)=2,TRUE),$J2011=INT($J2011),$J2013=INT($J2013)),"","Error"),"")</f>
        <v/>
      </c>
      <c r="K2009" s="136" t="str">
        <f>IF($Q2011&lt;&gt;"",IF(AND($K2011&lt;&gt;"",$K2013&lt;&gt;""), IF(AND(AND($K2011&gt;-1,$K2013&gt;-1),OR($K2011&gt;10,$K2013&gt;10),ABS($K2011-$K2013)&gt;1,IF(OR($K2011&gt;11,$K2013&gt;11),ABS($K2011-$K2013)=2,TRUE),$K2011=INT($K2011),$K2013=INT($K2013)),"","Error"),""),"")</f>
        <v/>
      </c>
      <c r="L2009" s="136" t="str">
        <f>IF($Q2011&lt;&gt;"",IF(AND($L2011&lt;&gt;"",$L2013&lt;&gt;""), IF(AND(AND($L2011&gt;-1,$L2013&gt;-1),OR($L2011&gt;10,$L2013&gt;10),ABS($L2011-$L2013)&gt;1,IF(OR($L2011&gt;11,$L2013&gt;11),ABS($L2011-$L2013)=2,TRUE),$L2011=INT($L2011),$L2013=INT($L2013)),"","Error"),""),"")</f>
        <v/>
      </c>
      <c r="Q2009" s="7"/>
      <c r="R2009" s="300" t="str">
        <f>$B1998</f>
        <v>C</v>
      </c>
      <c r="S2009" s="331" t="str">
        <f ca="1">IF($B2011&lt;&gt;"",$B2011,"")</f>
        <v/>
      </c>
      <c r="T2009" s="332"/>
      <c r="U2009" s="332"/>
      <c r="V2009" s="332"/>
      <c r="W2009" s="332"/>
      <c r="X2009" s="333"/>
      <c r="Y2009" s="329"/>
      <c r="Z2009" s="329"/>
      <c r="AA2009" s="329"/>
      <c r="AB2009" s="329"/>
      <c r="AC2009" s="329"/>
      <c r="AD2009" s="345"/>
      <c r="AE2009" s="358"/>
      <c r="AF2009" s="359"/>
    </row>
    <row r="2010" spans="1:32" ht="12.75" customHeight="1">
      <c r="A2010" s="5" t="s">
        <v>1228</v>
      </c>
      <c r="B2010" s="290" t="s">
        <v>1126</v>
      </c>
      <c r="C2010" s="291"/>
      <c r="D2010" s="291"/>
      <c r="E2010" s="291"/>
      <c r="F2010" s="291"/>
      <c r="G2010" s="292"/>
      <c r="H2010" s="5">
        <v>1</v>
      </c>
      <c r="I2010" s="5">
        <v>2</v>
      </c>
      <c r="J2010" s="5">
        <v>3</v>
      </c>
      <c r="K2010" s="5">
        <v>4</v>
      </c>
      <c r="L2010" s="5">
        <v>5</v>
      </c>
      <c r="M2010" s="271"/>
      <c r="N2010" s="272"/>
      <c r="O2010" s="272"/>
      <c r="P2010" s="273"/>
      <c r="Q2010" s="7"/>
      <c r="R2010" s="330"/>
      <c r="S2010" s="334"/>
      <c r="T2010" s="335"/>
      <c r="U2010" s="335"/>
      <c r="V2010" s="335"/>
      <c r="W2010" s="335"/>
      <c r="X2010" s="336"/>
      <c r="Y2010" s="330"/>
      <c r="Z2010" s="330"/>
      <c r="AA2010" s="330"/>
      <c r="AB2010" s="330"/>
      <c r="AC2010" s="330"/>
      <c r="AD2010" s="360"/>
      <c r="AE2010" s="361"/>
      <c r="AF2010" s="362"/>
    </row>
    <row r="2011" spans="1:32" ht="12.75" customHeight="1">
      <c r="A2011" s="300" t="str">
        <f>B1998</f>
        <v>C</v>
      </c>
      <c r="B2011" s="293" t="str">
        <f ca="1">IF(AND(OFFSET($AO$1,$C1998-1,8,1,1),$A1999&lt;&gt;"",$J1999&lt;&gt;""),CHOOSE($C1998,$AP$1,$AP$2,$AP$3,$AP$4,$AP$5,$AP$6,$AP$7,$AP$8,$AP$9,$AP$10,$AP$11,$AP$12),"")</f>
        <v/>
      </c>
      <c r="C2011" s="294"/>
      <c r="D2011" s="294"/>
      <c r="E2011" s="294"/>
      <c r="F2011" s="294"/>
      <c r="G2011" s="294"/>
      <c r="H2011" s="265"/>
      <c r="I2011" s="265"/>
      <c r="J2011" s="265"/>
      <c r="K2011" s="265"/>
      <c r="L2011" s="265"/>
      <c r="M2011" s="262" t="str">
        <f ca="1">IF(OR(AND($B2004&lt;&gt;"",$B2011&lt;&gt;"",$C2029&lt;=$B2029),AND($B2006&lt;&gt;"",$B2013&lt;&gt;"",$G2029&lt;=$F2029)),"Invalid Lineup","")</f>
        <v/>
      </c>
      <c r="N2011" s="263"/>
      <c r="O2011" s="263"/>
      <c r="P2011" s="264"/>
      <c r="Q2011" s="137" t="str">
        <f>IF($L2011=$L2013,IF($K2011=$K2013,IF($J2011&lt;&gt;"",IF($J2011&gt;$J2013,"W","L"),""),IF($K2011&gt;$K2013,"W","L")),IF($L2011&gt;$L2013,"W","L"))</f>
        <v/>
      </c>
      <c r="R2011" s="300" t="str">
        <f>$K1998</f>
        <v>J</v>
      </c>
      <c r="S2011" s="331" t="str">
        <f ca="1">IF($B2013&lt;&gt;"",$B2013,"")</f>
        <v/>
      </c>
      <c r="T2011" s="332"/>
      <c r="U2011" s="332"/>
      <c r="V2011" s="332"/>
      <c r="W2011" s="332"/>
      <c r="X2011" s="333"/>
      <c r="Y2011" s="329"/>
      <c r="Z2011" s="329"/>
      <c r="AA2011" s="329"/>
      <c r="AB2011" s="329"/>
      <c r="AC2011" s="351"/>
      <c r="AD2011" s="363" t="s">
        <v>1237</v>
      </c>
      <c r="AE2011" s="358"/>
      <c r="AF2011" s="359"/>
    </row>
    <row r="2012" spans="1:32" ht="12.75" customHeight="1">
      <c r="A2012" s="301"/>
      <c r="B2012" s="295"/>
      <c r="C2012" s="296"/>
      <c r="D2012" s="296"/>
      <c r="E2012" s="296"/>
      <c r="F2012" s="296"/>
      <c r="G2012" s="296"/>
      <c r="H2012" s="270"/>
      <c r="I2012" s="270"/>
      <c r="J2012" s="270"/>
      <c r="K2012" s="270"/>
      <c r="L2012" s="270"/>
      <c r="M2012" s="262"/>
      <c r="N2012" s="263"/>
      <c r="O2012" s="263"/>
      <c r="P2012" s="264"/>
      <c r="Q2012" s="139" t="str">
        <f>IF($Q2011&lt;&gt;"",IF($Q2011="W",IF(SUM(IF($H2011&gt;$H2013,1,0),IF($I2011&gt;$I2013,1,0),IF($J2011&gt;$J2013,1,0),IF($K2011&gt;$K2013,1,0),IF($L2011&gt;$L2013,1,0))&lt;&gt;3,"Error",""),""),"")</f>
        <v/>
      </c>
      <c r="R2012" s="330"/>
      <c r="S2012" s="334"/>
      <c r="T2012" s="335"/>
      <c r="U2012" s="335"/>
      <c r="V2012" s="335"/>
      <c r="W2012" s="335"/>
      <c r="X2012" s="336"/>
      <c r="Y2012" s="330"/>
      <c r="Z2012" s="330"/>
      <c r="AA2012" s="330"/>
      <c r="AB2012" s="330"/>
      <c r="AC2012" s="330"/>
      <c r="AD2012" s="360"/>
      <c r="AE2012" s="361"/>
      <c r="AF2012" s="362"/>
    </row>
    <row r="2013" spans="1:32" ht="12.75" customHeight="1">
      <c r="A2013" s="300" t="str">
        <f>K1998</f>
        <v>J</v>
      </c>
      <c r="B2013" s="293" t="str">
        <f ca="1">IF(AND(OFFSET($AO$1,$L1998-1,8,1,1),$A1999&lt;&gt;"",$J1999&lt;&gt;""),CHOOSE($L1998,$AP$1,$AP$2,$AP$3,$AP$4,$AP$5,$AP$6,$AP$7,$AP$8,$AP$9,$AP$10,$AP$11,$AP$12),"")</f>
        <v/>
      </c>
      <c r="C2013" s="294"/>
      <c r="D2013" s="294"/>
      <c r="E2013" s="294"/>
      <c r="F2013" s="294"/>
      <c r="G2013" s="294"/>
      <c r="H2013" s="265"/>
      <c r="I2013" s="265"/>
      <c r="J2013" s="265"/>
      <c r="K2013" s="265"/>
      <c r="L2013" s="265"/>
      <c r="M2013" s="267" t="s">
        <v>1237</v>
      </c>
      <c r="N2013" s="268"/>
      <c r="O2013" s="268"/>
      <c r="P2013" s="269"/>
      <c r="Q2013" s="137" t="str">
        <f>IF($Q2011&lt;&gt;"",IF($Q2011="W","L","W"),"")</f>
        <v/>
      </c>
      <c r="R2013" s="20"/>
      <c r="S2013" s="20"/>
      <c r="T2013" s="20"/>
      <c r="U2013" s="20"/>
      <c r="V2013" s="20"/>
      <c r="W2013" s="20"/>
      <c r="X2013" s="26"/>
      <c r="Y2013" s="26"/>
      <c r="Z2013" s="20"/>
      <c r="AA2013" s="20"/>
      <c r="AB2013" s="20"/>
      <c r="AC2013" s="20"/>
      <c r="AD2013" s="20"/>
      <c r="AE2013" s="20"/>
      <c r="AF2013" s="27"/>
    </row>
    <row r="2014" spans="1:32" ht="12.75" customHeight="1">
      <c r="A2014" s="301"/>
      <c r="B2014" s="295"/>
      <c r="C2014" s="296"/>
      <c r="D2014" s="296"/>
      <c r="E2014" s="296"/>
      <c r="F2014" s="296"/>
      <c r="G2014" s="296"/>
      <c r="H2014" s="270"/>
      <c r="I2014" s="270"/>
      <c r="J2014" s="266"/>
      <c r="K2014" s="266"/>
      <c r="L2014" s="266"/>
      <c r="M2014" s="267"/>
      <c r="N2014" s="268"/>
      <c r="O2014" s="268"/>
      <c r="P2014" s="269"/>
      <c r="Q2014" s="139" t="str">
        <f>IF($Q2013&lt;&gt;"",IF($Q2013="W",IF(SUM(IF($H2013&gt;$H2011,1,0),IF($I2013&gt;$I2011,1,0),IF($J2013&gt;$J2011,1,0),IF($K2013&gt;$K2011,1,0),IF($L2013&gt;$L2011,1,0))&lt;&gt;3,"Error",""),""),"")</f>
        <v/>
      </c>
      <c r="R2014" s="20"/>
      <c r="S2014" s="20"/>
      <c r="T2014" s="20"/>
      <c r="U2014" s="20"/>
      <c r="V2014" s="20"/>
      <c r="W2014" s="20"/>
      <c r="X2014" s="26"/>
      <c r="Y2014" s="26"/>
      <c r="Z2014" s="20"/>
      <c r="AA2014" s="20"/>
      <c r="AB2014" s="20"/>
      <c r="AC2014" s="20"/>
      <c r="AD2014" s="20"/>
      <c r="AE2014" s="20"/>
      <c r="AF2014" s="27"/>
    </row>
    <row r="2015" spans="1:32" ht="12.75" customHeight="1">
      <c r="Q2015" s="7"/>
      <c r="R2015" s="20"/>
      <c r="S2015" s="20"/>
      <c r="T2015" s="20"/>
      <c r="U2015" s="20"/>
      <c r="V2015" s="20"/>
      <c r="W2015" s="20"/>
      <c r="X2015" s="26"/>
      <c r="Y2015" s="26"/>
      <c r="Z2015" s="20"/>
      <c r="AA2015" s="20"/>
      <c r="AB2015" s="20"/>
      <c r="AC2015" s="20"/>
      <c r="AD2015" s="20"/>
      <c r="AE2015" s="20"/>
      <c r="AF2015" s="27"/>
    </row>
    <row r="2016" spans="1:32" ht="12.75" customHeight="1">
      <c r="A2016" s="21" t="s">
        <v>1235</v>
      </c>
      <c r="H2016" s="136" t="str">
        <f>IF($Q2018&lt;&gt;"",IF(AND(AND($H2018&gt;-1,$H2020&gt;-1),OR($H2018&gt;10,$H2020&gt;10),ABS($H2018-$H2020)&gt;1,IF(OR($H2018&gt;11,$H2020&gt;11),ABS($H2018-$H2020)=2,TRUE),$H2018=INT($H2018),$H2020=INT($H2020)),"","Error"),"")</f>
        <v/>
      </c>
      <c r="I2016" s="136" t="str">
        <f>IF($Q2018&lt;&gt;"",IF(AND(AND($I2018&gt;-1,$I2020&gt;-1),OR($I2018&gt;10,$I2020&gt;10),ABS($I2018-$I2020)&gt;1,IF(OR($I2018&gt;11,$I2020&gt;11),ABS($I2018-$I2020)=2,TRUE),$I2018=INT($I2018),$I2020=INT($I2020)),"","Error"),"")</f>
        <v/>
      </c>
      <c r="J2016" s="136" t="str">
        <f>IF($Q2018&lt;&gt;"",IF(AND(AND($J2018&gt;-1,$J2020&gt;-1),OR($J2018&gt;10,$J2020&gt;10),ABS($J2018-$J2020)&gt;1,IF(OR($J2018&gt;11,$J2020&gt;11),ABS($J2018-$J2020)=2,TRUE),$J2018=INT($J2018),$J2020=INT($J2020)),"","Error"),"")</f>
        <v/>
      </c>
      <c r="K2016" s="136" t="str">
        <f>IF($Q2018&lt;&gt;"",IF(AND($K2018&lt;&gt;"",$K2020&lt;&gt;""), IF(AND(AND($K2018&gt;-1,$K2020&gt;-1),OR($K2018&gt;10,$K2020&gt;10),ABS($K2018-$K2020)&gt;1,IF(OR($K2018&gt;11,$K2020&gt;11),ABS($K2018-$K2020)=2,TRUE),$K2018=INT($K2018),$K2020=INT($K2020)),"","Error"),""),"")</f>
        <v/>
      </c>
      <c r="L2016" s="136" t="str">
        <f>IF($Q2018&lt;&gt;"",IF(AND($L2018&lt;&gt;"",$L2020&lt;&gt;""), IF(AND(AND($L2018&gt;-1,$L2020&gt;-1),OR($L2018&gt;10,$L2020&gt;10),ABS($L2018-$L2020)&gt;1,IF(OR($L2018&gt;11,$L2020&gt;11),ABS($L2018-$L2020)=2,TRUE),$L2018=INT($L2018),$L2020=INT($L2020)),"","Error"),""),"")</f>
        <v/>
      </c>
      <c r="Q2016" s="7"/>
      <c r="R2016" s="20"/>
      <c r="S2016" s="20"/>
      <c r="T2016" s="20"/>
      <c r="U2016" s="20"/>
      <c r="V2016" s="20"/>
      <c r="W2016" s="20"/>
      <c r="X2016" s="26"/>
      <c r="Y2016" s="26"/>
      <c r="Z2016" s="20"/>
      <c r="AA2016" s="20"/>
      <c r="AB2016" s="20"/>
      <c r="AC2016" s="20"/>
      <c r="AD2016" s="20"/>
      <c r="AE2016" s="20"/>
      <c r="AF2016" s="27"/>
    </row>
    <row r="2017" spans="1:32" ht="12.75" customHeight="1">
      <c r="A2017" s="5" t="s">
        <v>1228</v>
      </c>
      <c r="B2017" s="290" t="s">
        <v>1126</v>
      </c>
      <c r="C2017" s="291"/>
      <c r="D2017" s="291"/>
      <c r="E2017" s="291"/>
      <c r="F2017" s="291"/>
      <c r="G2017" s="292"/>
      <c r="H2017" s="5">
        <v>1</v>
      </c>
      <c r="I2017" s="5">
        <v>2</v>
      </c>
      <c r="J2017" s="5">
        <v>3</v>
      </c>
      <c r="K2017" s="5">
        <v>4</v>
      </c>
      <c r="L2017" s="5">
        <v>5</v>
      </c>
      <c r="M2017" s="271"/>
      <c r="N2017" s="272"/>
      <c r="O2017" s="272"/>
      <c r="P2017" s="273"/>
      <c r="Q2017" s="7"/>
      <c r="R2017" s="20"/>
      <c r="S2017" s="20"/>
      <c r="T2017" s="20"/>
      <c r="U2017" s="20"/>
      <c r="V2017" s="20"/>
      <c r="W2017" s="20"/>
      <c r="X2017" s="26"/>
      <c r="Y2017" s="26"/>
      <c r="Z2017" s="20"/>
      <c r="AA2017" s="20"/>
      <c r="AB2017" s="20"/>
      <c r="AC2017" s="20"/>
      <c r="AD2017" s="20"/>
      <c r="AE2017" s="20"/>
      <c r="AF2017" s="27"/>
    </row>
    <row r="2018" spans="1:32" ht="12.75" customHeight="1">
      <c r="A2018" s="300" t="str">
        <f>B1998</f>
        <v>C</v>
      </c>
      <c r="B2018" s="293" t="str">
        <f ca="1">IF(AND(OFFSET($AO$1,$C1998-1,8,1,1),$A1999&lt;&gt;"",$J1999&lt;&gt;""),CHOOSE($C1998,$AQ$1,$AQ$2,$AQ$3,$AQ$4,$AQ$5,$AQ$6,$AQ$7,$AQ$8,$AQ$9,$AQ$10,$AQ$11,$AQ$12),"")</f>
        <v/>
      </c>
      <c r="C2018" s="294"/>
      <c r="D2018" s="294"/>
      <c r="E2018" s="294"/>
      <c r="F2018" s="294"/>
      <c r="G2018" s="294"/>
      <c r="H2018" s="265"/>
      <c r="I2018" s="265"/>
      <c r="J2018" s="265"/>
      <c r="K2018" s="265"/>
      <c r="L2018" s="265"/>
      <c r="M2018" s="262" t="str">
        <f ca="1">IF(OR(AND($B2011&lt;&gt;"",$B2018&lt;&gt;"",$D2029&lt;=$C2029),AND($B2013&lt;&gt;"",$B2020&lt;&gt;"",$H2029&lt;=$G2029)),"Invalid Lineup","")</f>
        <v/>
      </c>
      <c r="N2018" s="263"/>
      <c r="O2018" s="263"/>
      <c r="P2018" s="264"/>
      <c r="Q2018" s="137" t="str">
        <f>IF($L2018=$L2020,IF($K2018=$K2020,IF($J2018&lt;&gt;"",IF($J2018&gt;$J2020,"W","L"),""),IF($K2018&gt;$K2020,"W","L")),IF($L2018&gt;$L2020,"W","L"))</f>
        <v/>
      </c>
      <c r="R2018" s="20"/>
      <c r="S2018" s="20"/>
      <c r="T2018" s="20"/>
      <c r="U2018" s="20"/>
      <c r="V2018" s="20"/>
      <c r="W2018" s="20"/>
      <c r="X2018" s="26"/>
      <c r="Y2018" s="26"/>
      <c r="Z2018" s="20"/>
      <c r="AA2018" s="20"/>
      <c r="AB2018" s="20"/>
      <c r="AC2018" s="20"/>
      <c r="AD2018" s="20"/>
      <c r="AE2018" s="20"/>
      <c r="AF2018" s="27"/>
    </row>
    <row r="2019" spans="1:32" ht="12.75" customHeight="1">
      <c r="A2019" s="301"/>
      <c r="B2019" s="295"/>
      <c r="C2019" s="296"/>
      <c r="D2019" s="296"/>
      <c r="E2019" s="296"/>
      <c r="F2019" s="296"/>
      <c r="G2019" s="296"/>
      <c r="H2019" s="270"/>
      <c r="I2019" s="270"/>
      <c r="J2019" s="270"/>
      <c r="K2019" s="270"/>
      <c r="L2019" s="270"/>
      <c r="M2019" s="262"/>
      <c r="N2019" s="263"/>
      <c r="O2019" s="263"/>
      <c r="P2019" s="264"/>
      <c r="Q2019" s="139" t="str">
        <f>IF($Q2018&lt;&gt;"",IF($Q2018="W",IF(SUM(IF($H2018&gt;$H2020,1,0),IF($I2018&gt;$I2020,1,0),IF($J2018&gt;$J2020,1,0),IF($K2018&gt;$K2020,1,0),IF($L2018&gt;$L2020,1,0))&lt;&gt;3,"Error",""),""),"")</f>
        <v/>
      </c>
      <c r="R2019" s="328" t="str">
        <f>$A1999</f>
        <v/>
      </c>
      <c r="S2019" s="328"/>
      <c r="T2019" s="328"/>
      <c r="U2019" s="328"/>
      <c r="V2019" s="328"/>
      <c r="W2019" s="328"/>
      <c r="X2019" s="256" t="str">
        <f>CONCATENATE("(",$B1998," vs ",$K1998,")")</f>
        <v>(C vs J)</v>
      </c>
      <c r="Y2019" s="256"/>
      <c r="Z2019" s="328" t="str">
        <f>$J1999</f>
        <v/>
      </c>
      <c r="AA2019" s="328"/>
      <c r="AB2019" s="328"/>
      <c r="AC2019" s="328"/>
      <c r="AD2019" s="328"/>
      <c r="AE2019" s="328"/>
      <c r="AF2019" s="100"/>
    </row>
    <row r="2020" spans="1:32" ht="12.75" customHeight="1">
      <c r="A2020" s="300" t="str">
        <f>K1998</f>
        <v>J</v>
      </c>
      <c r="B2020" s="293" t="str">
        <f ca="1">IF(AND(OFFSET($AO$1,$L1998-1,8,1,1),$A1999&lt;&gt;"",$J1999&lt;&gt;""),CHOOSE($L1998,$AQ$1,$AQ$2,$AQ$3,$AQ$4,$AQ$5,$AQ$6,$AQ$7,$AQ$8,$AQ$9,$AQ$10,$AQ$11,$AQ$12),"")</f>
        <v/>
      </c>
      <c r="C2020" s="294"/>
      <c r="D2020" s="294"/>
      <c r="E2020" s="294"/>
      <c r="F2020" s="294"/>
      <c r="G2020" s="294"/>
      <c r="H2020" s="265"/>
      <c r="I2020" s="265"/>
      <c r="J2020" s="265"/>
      <c r="K2020" s="265"/>
      <c r="L2020" s="265"/>
      <c r="M2020" s="267" t="s">
        <v>1237</v>
      </c>
      <c r="N2020" s="268"/>
      <c r="O2020" s="268"/>
      <c r="P2020" s="269"/>
      <c r="Q2020" s="137" t="str">
        <f>IF($Q2018&lt;&gt;"",IF($Q2018="W","L","W"),"")</f>
        <v/>
      </c>
      <c r="R2020" s="100"/>
      <c r="S2020" s="100"/>
      <c r="T2020" s="100"/>
      <c r="U2020" s="100"/>
      <c r="V2020" s="100"/>
      <c r="W2020" s="100"/>
      <c r="X2020" s="100"/>
      <c r="Y2020" s="100"/>
      <c r="Z2020" s="100"/>
      <c r="AA2020" s="100"/>
      <c r="AB2020" s="100"/>
      <c r="AC2020" s="100"/>
      <c r="AD2020" s="100"/>
      <c r="AE2020" s="100"/>
      <c r="AF2020" s="100"/>
    </row>
    <row r="2021" spans="1:32" ht="12.75" customHeight="1">
      <c r="A2021" s="301"/>
      <c r="B2021" s="295"/>
      <c r="C2021" s="296"/>
      <c r="D2021" s="296"/>
      <c r="E2021" s="296"/>
      <c r="F2021" s="296"/>
      <c r="G2021" s="296"/>
      <c r="H2021" s="270"/>
      <c r="I2021" s="270"/>
      <c r="J2021" s="266"/>
      <c r="K2021" s="266"/>
      <c r="L2021" s="266"/>
      <c r="M2021" s="267"/>
      <c r="N2021" s="268"/>
      <c r="O2021" s="268"/>
      <c r="P2021" s="269"/>
      <c r="Q2021" s="139" t="str">
        <f>IF($Q2020&lt;&gt;"",IF($Q2020="W",IF(SUM(IF($H2020&gt;$H2018,1,0),IF($I2020&gt;$I2018,1,0),IF($J2020&gt;$J2018,1,0),IF($K2020&gt;$K2018,1,0),IF($L2020&gt;$L2018,1,0))&lt;&gt;3,"Error",""),""),"")</f>
        <v/>
      </c>
      <c r="R2021" s="43" t="str">
        <f>$A2016</f>
        <v>3rd Singles</v>
      </c>
      <c r="S2021" s="43"/>
      <c r="T2021" s="43"/>
      <c r="U2021" s="43"/>
      <c r="V2021" s="43"/>
      <c r="W2021" s="43"/>
      <c r="X2021" s="43"/>
      <c r="Y2021" s="43"/>
      <c r="Z2021" s="43"/>
      <c r="AA2021" s="43"/>
      <c r="AB2021" s="43"/>
      <c r="AC2021" s="43"/>
      <c r="AD2021" s="43"/>
      <c r="AE2021" s="43"/>
      <c r="AF2021" s="43"/>
    </row>
    <row r="2022" spans="1:32" ht="12.75" customHeight="1">
      <c r="Q2022" s="7"/>
      <c r="R2022" s="60" t="s">
        <v>1228</v>
      </c>
      <c r="S2022" s="101" t="s">
        <v>1126</v>
      </c>
      <c r="T2022" s="102"/>
      <c r="U2022" s="102"/>
      <c r="V2022" s="102"/>
      <c r="W2022" s="102"/>
      <c r="X2022" s="103"/>
      <c r="Y2022" s="60">
        <v>1</v>
      </c>
      <c r="Z2022" s="60">
        <v>2</v>
      </c>
      <c r="AA2022" s="60">
        <v>3</v>
      </c>
      <c r="AB2022" s="60">
        <v>4</v>
      </c>
      <c r="AC2022" s="60">
        <v>5</v>
      </c>
      <c r="AD2022" s="104"/>
      <c r="AE2022" s="105"/>
      <c r="AF2022" s="106"/>
    </row>
    <row r="2023" spans="1:32" ht="12.75" customHeight="1">
      <c r="A2023" s="21" t="s">
        <v>1236</v>
      </c>
      <c r="H2023" s="136" t="str">
        <f ca="1">IF($Q2025&lt;&gt;"",IF(AND($B2025&lt;&gt;"Missing Player",$B2027&lt;&gt;"Missing Player"),IF(AND(AND($H2025&gt;-1,$H2027&gt;-1),OR($H2025&gt;10,$H2027&gt;10),ABS($H2025-$H2027)&gt;1,IF(OR($H2025&gt;11,$H2027&gt;11),ABS($H2025-$H2027)=2,TRUE),$H2025=INT($H2025),$H2027=INT($H2027)),"","Error"),""),"")</f>
        <v/>
      </c>
      <c r="I2023" s="136" t="str">
        <f ca="1">IF($Q2025&lt;&gt;"",IF(AND($B2025&lt;&gt;"Missing Player",$B2027&lt;&gt;"Missing Player"),IF(AND(AND($I2025&gt;-1,$I2027&gt;-1),OR($I2025&gt;10,$I2027&gt;10),ABS($I2025-$I2027)&gt;1,IF(OR($I2025&gt;11,$I2027&gt;11),ABS($I2025-$I2027)=2,TRUE),$I2025=INT($I2025),$I2027=INT($I2027)),"","Error"),""),"")</f>
        <v/>
      </c>
      <c r="J2023" s="136" t="str">
        <f ca="1">IF($Q2025&lt;&gt;"",IF(AND($B2025&lt;&gt;"Missing Player",$B2027&lt;&gt;"Missing Player"),IF(AND(AND($J2025&gt;-1,$J2027&gt;-1),OR($J2025&gt;10,$J2027&gt;10),ABS($J2025-$J2027)&gt;1,IF(OR($J2025&gt;11,$J2027&gt;11),ABS($J2025-$J2027)=2,TRUE),$J2025=INT($J2025),$J2027=INT($J2027)),"","Error"),""),"")</f>
        <v/>
      </c>
      <c r="K2023" s="136" t="str">
        <f ca="1">IF($Q2025&lt;&gt;"",IF(AND($K2025&lt;&gt;"",$K2027&lt;&gt;""), IF(AND(AND($K2025&gt;-1,$K2027&gt;-1),OR($K2025&gt;10,$K2027&gt;10),ABS($K2025-$K2027)&gt;1,IF(OR($K2025&gt;11,$K2027&gt;11),ABS($K2025-$K2027)=2,TRUE),$K2025=INT($K2025),$K2027=INT($K2027)),"","Error"),""),"")</f>
        <v/>
      </c>
      <c r="L2023" s="136" t="str">
        <f ca="1">IF($Q2025&lt;&gt;"",IF(AND($L2025&lt;&gt;"",$L2027&lt;&gt;""), IF(AND(AND($L2025&gt;-1,$L2027&gt;-1),OR($L2025&gt;10,$L2027&gt;10),ABS($L2025-$L2027)&gt;1,IF(OR($L2025&gt;11,$L2027&gt;11),ABS($L2025-$L2027)=2,TRUE),$L2025=INT($L2025),$L2027=INT($L2027)),"","Error"),""),"")</f>
        <v/>
      </c>
      <c r="Q2023" s="7"/>
      <c r="R2023" s="300" t="str">
        <f>$B1998</f>
        <v>C</v>
      </c>
      <c r="S2023" s="331" t="str">
        <f ca="1">IF($B2018&lt;&gt;"",$B2018,"")</f>
        <v/>
      </c>
      <c r="T2023" s="332"/>
      <c r="U2023" s="332"/>
      <c r="V2023" s="332"/>
      <c r="W2023" s="332"/>
      <c r="X2023" s="333"/>
      <c r="Y2023" s="329"/>
      <c r="Z2023" s="329"/>
      <c r="AA2023" s="329"/>
      <c r="AB2023" s="329"/>
      <c r="AC2023" s="329"/>
      <c r="AD2023" s="345"/>
      <c r="AE2023" s="358"/>
      <c r="AF2023" s="359"/>
    </row>
    <row r="2024" spans="1:32" ht="12.75" customHeight="1">
      <c r="A2024" s="5" t="s">
        <v>1228</v>
      </c>
      <c r="B2024" s="290" t="s">
        <v>1126</v>
      </c>
      <c r="C2024" s="291"/>
      <c r="D2024" s="291"/>
      <c r="E2024" s="291"/>
      <c r="F2024" s="291"/>
      <c r="G2024" s="292"/>
      <c r="H2024" s="5">
        <v>1</v>
      </c>
      <c r="I2024" s="5">
        <v>2</v>
      </c>
      <c r="J2024" s="5">
        <v>3</v>
      </c>
      <c r="K2024" s="5">
        <v>4</v>
      </c>
      <c r="L2024" s="5">
        <v>5</v>
      </c>
      <c r="M2024" s="271"/>
      <c r="N2024" s="272"/>
      <c r="O2024" s="272"/>
      <c r="P2024" s="273"/>
      <c r="Q2024" s="7"/>
      <c r="R2024" s="330"/>
      <c r="S2024" s="334"/>
      <c r="T2024" s="335"/>
      <c r="U2024" s="335"/>
      <c r="V2024" s="335"/>
      <c r="W2024" s="335"/>
      <c r="X2024" s="336"/>
      <c r="Y2024" s="330"/>
      <c r="Z2024" s="330"/>
      <c r="AA2024" s="330"/>
      <c r="AB2024" s="330"/>
      <c r="AC2024" s="330"/>
      <c r="AD2024" s="360"/>
      <c r="AE2024" s="361"/>
      <c r="AF2024" s="362"/>
    </row>
    <row r="2025" spans="1:32" ht="12.75" customHeight="1">
      <c r="A2025" s="300" t="str">
        <f>B1998</f>
        <v>C</v>
      </c>
      <c r="B2025" s="293" t="str">
        <f ca="1">IF(AND(OFFSET($AO$1,$C1998-1,8,1,1),$A1999&lt;&gt;"",$J1999&lt;&gt;""),CHOOSE($C1998,$AR$1,$AR$2,$AR$3,$AR$4,$AR$5,$AR$6,$AR$7,$AR$8,$AR$9,$AR$10,$AR$11,$AR$12),"")</f>
        <v/>
      </c>
      <c r="C2025" s="294"/>
      <c r="D2025" s="294"/>
      <c r="E2025" s="294"/>
      <c r="F2025" s="294"/>
      <c r="G2025" s="294"/>
      <c r="H2025" s="265"/>
      <c r="I2025" s="265"/>
      <c r="J2025" s="265"/>
      <c r="K2025" s="265"/>
      <c r="L2025" s="265" t="str">
        <f ca="1">IF(AND($B2025&lt;&gt;"",$Q2004&lt;&gt;""),IF($B2025="Missing Player",0,IF($B2027="Missing Player",11,"")),"")</f>
        <v/>
      </c>
      <c r="M2025" s="262" t="str">
        <f ca="1">IF(OR(AND($B2018&lt;&gt;"",$B2025&lt;&gt;"",$E2029&lt;=$D2029),AND($B2020&lt;&gt;"",$B2027&lt;&gt;"",$I2029&lt;=$H2029)),"Invalid Lineup","")</f>
        <v/>
      </c>
      <c r="N2025" s="263"/>
      <c r="O2025" s="263"/>
      <c r="P2025" s="264"/>
      <c r="Q2025" s="137" t="str">
        <f ca="1">IF($L2025=$L2027,IF($K2025=$K2027,IF($J2025&lt;&gt;"",IF($J2025&gt;$J2027,"W","L"),""),IF($K2025&gt;$K2027,"W","L")),IF($L2025&gt;$L2027,"W","L"))</f>
        <v/>
      </c>
      <c r="R2025" s="300" t="str">
        <f>$K1998</f>
        <v>J</v>
      </c>
      <c r="S2025" s="331" t="str">
        <f ca="1">IF($B2020&lt;&gt;"",$B2020,"")</f>
        <v/>
      </c>
      <c r="T2025" s="332"/>
      <c r="U2025" s="332"/>
      <c r="V2025" s="332"/>
      <c r="W2025" s="332"/>
      <c r="X2025" s="333"/>
      <c r="Y2025" s="329"/>
      <c r="Z2025" s="329"/>
      <c r="AA2025" s="329"/>
      <c r="AB2025" s="329"/>
      <c r="AC2025" s="351"/>
      <c r="AD2025" s="363" t="s">
        <v>1237</v>
      </c>
      <c r="AE2025" s="358"/>
      <c r="AF2025" s="359"/>
    </row>
    <row r="2026" spans="1:32" ht="12.75" customHeight="1">
      <c r="A2026" s="301"/>
      <c r="B2026" s="295"/>
      <c r="C2026" s="296"/>
      <c r="D2026" s="296"/>
      <c r="E2026" s="296"/>
      <c r="F2026" s="296"/>
      <c r="G2026" s="296"/>
      <c r="H2026" s="270"/>
      <c r="I2026" s="270"/>
      <c r="J2026" s="270"/>
      <c r="K2026" s="270"/>
      <c r="L2026" s="270"/>
      <c r="M2026" s="262"/>
      <c r="N2026" s="263"/>
      <c r="O2026" s="263"/>
      <c r="P2026" s="264"/>
      <c r="Q2026" s="139" t="str">
        <f ca="1">IF($Q2025&lt;&gt;"",IF($B2027&lt;&gt;"Missing Player",IF($Q2025="W",IF(SUM(IF($H2025&gt;$H2027,1,0),IF($I2025&gt;$I2027,1,0),IF($J2025&gt;$J2027,1,0),IF($K2025&gt;$K2027,1,0),IF($L2025&gt;$L2027,1,0))&lt;&gt;3,"Error",""),""),""),"")</f>
        <v/>
      </c>
      <c r="R2026" s="330"/>
      <c r="S2026" s="334"/>
      <c r="T2026" s="335"/>
      <c r="U2026" s="335"/>
      <c r="V2026" s="335"/>
      <c r="W2026" s="335"/>
      <c r="X2026" s="336"/>
      <c r="Y2026" s="330"/>
      <c r="Z2026" s="330"/>
      <c r="AA2026" s="330"/>
      <c r="AB2026" s="330"/>
      <c r="AC2026" s="330"/>
      <c r="AD2026" s="360"/>
      <c r="AE2026" s="361"/>
      <c r="AF2026" s="362"/>
    </row>
    <row r="2027" spans="1:32" ht="12.75" customHeight="1">
      <c r="A2027" s="300" t="str">
        <f>K1998</f>
        <v>J</v>
      </c>
      <c r="B2027" s="293" t="str">
        <f ca="1">IF(AND(OFFSET($AO$1,$L1998-1,8,1,1),$A1999&lt;&gt;"",$J1999&lt;&gt;""),CHOOSE($L1998,$AR$1,$AR$2,$AR$3,$AR$4,$AR$5,$AR$6,$AR$7,$AR$8,$AR$9,$AR$10,$AR$11,$AR$12),"")</f>
        <v/>
      </c>
      <c r="C2027" s="294"/>
      <c r="D2027" s="294"/>
      <c r="E2027" s="294"/>
      <c r="F2027" s="294"/>
      <c r="G2027" s="294"/>
      <c r="H2027" s="265"/>
      <c r="I2027" s="265"/>
      <c r="J2027" s="265"/>
      <c r="K2027" s="265"/>
      <c r="L2027" s="265" t="str">
        <f ca="1">IF(AND($B2027&lt;&gt;"",$Q2004&lt;&gt;""),IF($B2027="Missing Player",0,IF($B2025="Missing Player",11,"")),"")</f>
        <v/>
      </c>
      <c r="M2027" s="267" t="s">
        <v>1237</v>
      </c>
      <c r="N2027" s="268"/>
      <c r="O2027" s="268"/>
      <c r="P2027" s="269"/>
      <c r="Q2027" s="137" t="str">
        <f ca="1">IF($Q2025&lt;&gt;"",IF($Q2025="W","L","W"),"")</f>
        <v/>
      </c>
      <c r="R2027" s="112"/>
      <c r="S2027" s="98"/>
      <c r="T2027" s="108"/>
      <c r="U2027" s="108"/>
      <c r="V2027" s="108"/>
      <c r="W2027" s="108"/>
      <c r="X2027" s="108"/>
      <c r="Y2027" s="113"/>
      <c r="Z2027" s="113"/>
      <c r="AA2027" s="113"/>
      <c r="AB2027" s="113"/>
      <c r="AC2027" s="113"/>
      <c r="AD2027" s="107"/>
      <c r="AE2027" s="109"/>
      <c r="AF2027" s="109"/>
    </row>
    <row r="2028" spans="1:32" ht="12.75" customHeight="1">
      <c r="A2028" s="301"/>
      <c r="B2028" s="295"/>
      <c r="C2028" s="296"/>
      <c r="D2028" s="296"/>
      <c r="E2028" s="296"/>
      <c r="F2028" s="296"/>
      <c r="G2028" s="296"/>
      <c r="H2028" s="270"/>
      <c r="I2028" s="270"/>
      <c r="J2028" s="266"/>
      <c r="K2028" s="266"/>
      <c r="L2028" s="266"/>
      <c r="M2028" s="267"/>
      <c r="N2028" s="268"/>
      <c r="O2028" s="268"/>
      <c r="P2028" s="269"/>
      <c r="Q2028" s="139" t="str">
        <f ca="1">IF($Q2027&lt;&gt;"",IF($B2025&lt;&gt;"Missing Player",IF($Q2027="W",IF(SUM(IF($H2027&gt;$H2025,1,0),IF($I2027&gt;$I2025,1,0),IF($J2027&gt;$J2025,1,0),IF($K2027&gt;$K2025,1,0),IF($L2027&gt;$L2025,1,0))&lt;&gt;3,"Error",""),""),""),"")</f>
        <v/>
      </c>
      <c r="R2028" s="114"/>
      <c r="S2028" s="115"/>
      <c r="T2028" s="115"/>
      <c r="U2028" s="115"/>
      <c r="V2028" s="115"/>
      <c r="W2028" s="115"/>
      <c r="X2028" s="115"/>
      <c r="Y2028" s="114"/>
      <c r="Z2028" s="114"/>
      <c r="AA2028" s="114"/>
      <c r="AB2028" s="114"/>
      <c r="AC2028" s="114"/>
      <c r="AD2028" s="114"/>
      <c r="AE2028" s="114"/>
      <c r="AF2028" s="114"/>
    </row>
    <row r="2029" spans="1:32" ht="12.75" customHeight="1">
      <c r="B2029" s="140" t="str">
        <f ca="1">IF(ISERROR(VLOOKUP($B2004&amp;"("&amp;$B1998&amp;")",Players!$S$4:$T$132,2,FALSE)),"",VLOOKUP($B2004&amp;"("&amp;$B1998&amp;")",Players!$S$4:$T$132,2,FALSE))</f>
        <v>C1</v>
      </c>
      <c r="C2029" s="140" t="str">
        <f ca="1">IF(ISERROR(VLOOKUP($B2011&amp;"("&amp;$B1998&amp;")",Players!$S$4:$T$132,2,FALSE)),"",VLOOKUP($B2011&amp;"("&amp;$B1998&amp;")",Players!$S$4:$T$132,2,FALSE))</f>
        <v>C1</v>
      </c>
      <c r="D2029" s="141" t="str">
        <f ca="1">IF(ISERROR(VLOOKUP($B2018&amp;"("&amp;$B1998&amp;")",Players!$S$4:$T$132,2,FALSE)),"",VLOOKUP($B2018&amp;"("&amp;$B1998&amp;")",Players!$S$4:$T$132,2,FALSE))</f>
        <v>C1</v>
      </c>
      <c r="E2029" s="141" t="str">
        <f ca="1">IF(ISERROR(VLOOKUP($B2025&amp;"("&amp;$B1998&amp;")",Players!$S$4:$T$132,2,FALSE)),"",VLOOKUP($B2025&amp;"("&amp;$B1998&amp;")",Players!$S$4:$T$132,2,FALSE))</f>
        <v>C1</v>
      </c>
      <c r="F2029" s="141" t="str">
        <f ca="1">IF(ISERROR(VLOOKUP($B2006&amp;"("&amp;$K1998&amp;")",Players!$S$4:$T$132,2,FALSE)),"",VLOOKUP($B2006&amp;"("&amp;$K1998&amp;")",Players!$S$4:$T$132,2,FALSE))</f>
        <v>J1</v>
      </c>
      <c r="G2029" s="141" t="str">
        <f ca="1">IF(ISERROR(VLOOKUP($B2013&amp;"("&amp;$K1998&amp;")",Players!$S$4:$T$132,2,FALSE)),"",VLOOKUP($B2013&amp;"("&amp;$K1998&amp;")",Players!$S$4:$T$132,2,FALSE))</f>
        <v>J1</v>
      </c>
      <c r="H2029" s="141" t="str">
        <f ca="1">IF(ISERROR(VLOOKUP($B2020&amp;"("&amp;$K1998&amp;")",Players!$S$4:$T$132,2,FALSE)),"",VLOOKUP($B2020&amp;"("&amp;$K1998&amp;")",Players!$S$4:$T$132,2,FALSE))</f>
        <v>J1</v>
      </c>
      <c r="I2029" s="141" t="str">
        <f ca="1">IF(ISERROR(VLOOKUP($B2027&amp;"("&amp;$K1998&amp;")",Players!$S$4:$T$132,2,FALSE)),"",VLOOKUP($B2027&amp;"("&amp;$K1998&amp;")",Players!$S$4:$T$132,2,FALSE))</f>
        <v>J1</v>
      </c>
      <c r="Q2029" s="7"/>
      <c r="R2029" s="50"/>
      <c r="S2029" s="116"/>
      <c r="T2029" s="115"/>
      <c r="U2029" s="115"/>
      <c r="V2029" s="115"/>
      <c r="W2029" s="115"/>
      <c r="X2029" s="115"/>
      <c r="Y2029" s="99"/>
      <c r="Z2029" s="99"/>
      <c r="AA2029" s="99"/>
      <c r="AB2029" s="99"/>
      <c r="AC2029" s="117"/>
      <c r="AD2029" s="118"/>
      <c r="AE2029" s="114"/>
      <c r="AF2029" s="114"/>
    </row>
    <row r="2030" spans="1:32" ht="12.75" customHeight="1">
      <c r="A2030" s="21" t="s">
        <v>1225</v>
      </c>
      <c r="H2030" s="136" t="str">
        <f ca="1">IF($Q2032&lt;&gt;"",IF(AND($B2033&lt;&gt;"Missing Player",$B2035&lt;&gt;"Missing Player"),IF(AND(AND($H2032&gt;-1,$H2034&gt;-1),OR($H2032&gt;10,$H2034&gt;10),ABS($H2032-$H2034)&gt;1,IF(OR($H2032&gt;11,$H2034&gt;11),ABS($H2032-$H2034)=2,TRUE),$H2032=INT($H2032),$H2034=INT($H2034)),"","Error"),""),"")</f>
        <v/>
      </c>
      <c r="I2030" s="136" t="str">
        <f ca="1">IF($Q2032&lt;&gt;"",IF(AND($B2033&lt;&gt;"Missing Player",$B2035&lt;&gt;"Missing Player"),IF(AND(AND($I2032&gt;-1,$I2034&gt;-1),OR($I2032&gt;10,$I2034&gt;10),ABS($I2032-$I2034)&gt;1,IF(OR($I2032&gt;11,$I2034&gt;11),ABS($I2032-$I2034)=2,TRUE),$I2032=INT($I2032),$I2034=INT($I2034)),"","Error"),""),"")</f>
        <v/>
      </c>
      <c r="J2030" s="136" t="str">
        <f ca="1">IF($Q2032&lt;&gt;"",IF(AND($B2033&lt;&gt;"Missing Player",$B2035&lt;&gt;"Missing Player"),IF(AND(AND($J2032&gt;-1,$J2034&gt;-1),OR($J2032&gt;10,$J2034&gt;10),ABS($J2032-$J2034)&gt;1,IF(OR($J2032&gt;11,$J2034&gt;11),ABS($J2032-$J2034)=2,TRUE),$J2032=INT($J2032),$J2034=INT($J2034)),"","Error"),""),"")</f>
        <v/>
      </c>
      <c r="K2030" s="136" t="str">
        <f ca="1">IF($Q2032&lt;&gt;"",IF(AND($K2032&lt;&gt;"",$K2034&lt;&gt;""), IF(AND(AND($K2032&gt;-1,$K2034&gt;-1),OR($K2032&gt;10,$K2034&gt;10),ABS($K2032-$K2034)&gt;1,IF(OR($K2032&gt;11,$K2034&gt;11),ABS($K2032-$K2034)=2,TRUE),$K2032=INT($K2032),$K2034=INT($K2034)),"","Error"),""),"")</f>
        <v/>
      </c>
      <c r="L2030" s="136" t="str">
        <f ca="1">IF($Q2032&lt;&gt;"",IF(AND($L2032&lt;&gt;"",$L2034&lt;&gt;""), IF(AND(AND($L2032&gt;-1,$L2034&gt;-1),OR($L2032&gt;10,$L2034&gt;10),ABS($L2032-$L2034)&gt;1,IF(OR($L2032&gt;11,$L2034&gt;11),ABS($L2032-$L2034)=2,TRUE),$L2032=INT($L2032),$L2034=INT($L2034)),"","Error"),""),"")</f>
        <v/>
      </c>
      <c r="Q2030" s="7"/>
      <c r="R2030" s="114"/>
      <c r="S2030" s="115"/>
      <c r="T2030" s="115"/>
      <c r="U2030" s="115"/>
      <c r="V2030" s="115"/>
      <c r="W2030" s="115"/>
      <c r="X2030" s="115"/>
      <c r="Y2030" s="114"/>
      <c r="Z2030" s="114"/>
      <c r="AA2030" s="114"/>
      <c r="AB2030" s="114"/>
      <c r="AC2030" s="114"/>
      <c r="AD2030" s="114"/>
      <c r="AE2030" s="114"/>
      <c r="AF2030" s="114"/>
    </row>
    <row r="2031" spans="1:32" ht="12.75" customHeight="1">
      <c r="A2031" s="5" t="s">
        <v>1228</v>
      </c>
      <c r="B2031" s="290" t="s">
        <v>1126</v>
      </c>
      <c r="C2031" s="291"/>
      <c r="D2031" s="291"/>
      <c r="E2031" s="291"/>
      <c r="F2031" s="291"/>
      <c r="G2031" s="292"/>
      <c r="H2031" s="5">
        <v>1</v>
      </c>
      <c r="I2031" s="5">
        <v>2</v>
      </c>
      <c r="J2031" s="5">
        <v>3</v>
      </c>
      <c r="K2031" s="5">
        <v>4</v>
      </c>
      <c r="L2031" s="5">
        <v>5</v>
      </c>
      <c r="M2031" s="271"/>
      <c r="N2031" s="272"/>
      <c r="O2031" s="272"/>
      <c r="P2031" s="273"/>
      <c r="Q2031" s="8"/>
      <c r="S2031" s="24"/>
      <c r="T2031" s="26"/>
    </row>
    <row r="2032" spans="1:32" ht="12.75" customHeight="1">
      <c r="A2032" s="300" t="str">
        <f>B1998</f>
        <v>C</v>
      </c>
      <c r="B2032" s="311" t="str">
        <f ca="1">IF($B2004&lt;&gt;"",$B2004,"")</f>
        <v/>
      </c>
      <c r="C2032" s="312"/>
      <c r="D2032" s="312"/>
      <c r="E2032" s="312"/>
      <c r="F2032" s="312"/>
      <c r="G2032" s="313"/>
      <c r="H2032" s="265"/>
      <c r="I2032" s="265"/>
      <c r="J2032" s="265"/>
      <c r="K2032" s="265"/>
      <c r="L2032" s="265" t="str">
        <f ca="1">IF($B2025&lt;&gt;"",IF(AND($B2025="Missing Player",$G2036=2,$J2036=2),0,IF(AND($B2027="Missing Player",$G2036=2,$J2036=2),11,"")),"")</f>
        <v/>
      </c>
      <c r="M2032" s="262" t="str">
        <f ca="1">IF(OR(AND($B2032&lt;&gt;"",$B2033&lt;&gt;"",$B2032=$B2033),AND($B2034&lt;&gt;"",$B2035&lt;&gt;"",$B2034=$B2035)),"Invalid Partner","")</f>
        <v/>
      </c>
      <c r="N2032" s="263"/>
      <c r="O2032" s="263"/>
      <c r="P2032" s="264"/>
      <c r="Q2032" s="138" t="str">
        <f ca="1">IF(L2032=L2034,IF(K2032=K2034,IF(J2032&lt;&gt;"",IF(J2032&gt;J2034,"W","L"),""),IF(K2032&gt;K2034,"W","L")),IF(L2032&gt;L2034,"W","L"))</f>
        <v/>
      </c>
      <c r="S2032" s="24"/>
      <c r="T2032" s="26"/>
    </row>
    <row r="2033" spans="1:32" ht="12.75" customHeight="1">
      <c r="A2033" s="324"/>
      <c r="B2033" s="308" t="str">
        <f ca="1">IF($B2025="Missing Player",$B2025,"")</f>
        <v/>
      </c>
      <c r="C2033" s="309"/>
      <c r="D2033" s="309"/>
      <c r="E2033" s="309"/>
      <c r="F2033" s="309"/>
      <c r="G2033" s="310"/>
      <c r="H2033" s="270"/>
      <c r="I2033" s="270"/>
      <c r="J2033" s="270"/>
      <c r="K2033" s="270"/>
      <c r="L2033" s="270"/>
      <c r="M2033" s="262"/>
      <c r="N2033" s="263"/>
      <c r="O2033" s="263"/>
      <c r="P2033" s="264"/>
      <c r="Q2033" s="139" t="str">
        <f ca="1">IF($Q2032&lt;&gt;"",IF($B2035&lt;&gt;"Missing Player",IF($Q2032="W",IF(SUM(IF($H2032&gt;$H2034,1,0),IF($I2032&gt;$I2034,1,0),IF($J2032&gt;$J2034,1,0),IF($K2032&gt;$K2034,1,0),IF($L2032&gt;$L2034,1,0))&lt;&gt;3,"Error",""),""),""),"")</f>
        <v/>
      </c>
      <c r="R2033" s="328" t="str">
        <f>$A1999</f>
        <v/>
      </c>
      <c r="S2033" s="328"/>
      <c r="T2033" s="328"/>
      <c r="U2033" s="328"/>
      <c r="V2033" s="328"/>
      <c r="W2033" s="328"/>
      <c r="X2033" s="256" t="str">
        <f>CONCATENATE("(",$B1998," vs ",$K1998,")")</f>
        <v>(C vs J)</v>
      </c>
      <c r="Y2033" s="256"/>
      <c r="Z2033" s="328" t="str">
        <f>$J1999</f>
        <v/>
      </c>
      <c r="AA2033" s="328"/>
      <c r="AB2033" s="328"/>
      <c r="AC2033" s="328"/>
      <c r="AD2033" s="328"/>
      <c r="AE2033" s="328"/>
      <c r="AF2033" s="43"/>
    </row>
    <row r="2034" spans="1:32" ht="12.75" customHeight="1">
      <c r="A2034" s="325" t="str">
        <f>K1998</f>
        <v>J</v>
      </c>
      <c r="B2034" s="311" t="str">
        <f ca="1">IF($B2006&lt;&gt;"",$B2006,"")</f>
        <v/>
      </c>
      <c r="C2034" s="312"/>
      <c r="D2034" s="312"/>
      <c r="E2034" s="312"/>
      <c r="F2034" s="312"/>
      <c r="G2034" s="313"/>
      <c r="H2034" s="265"/>
      <c r="I2034" s="265"/>
      <c r="J2034" s="265"/>
      <c r="K2034" s="265"/>
      <c r="L2034" s="265" t="str">
        <f ca="1">IF($B2027&lt;&gt;"",IF(AND($B2027="Missing Player",$G2036=2,$J2036=2),0,IF(AND($B2025="Missing Player",$G2036=2,$J2036=2),11,"")),"")</f>
        <v/>
      </c>
      <c r="M2034" s="267" t="s">
        <v>1237</v>
      </c>
      <c r="N2034" s="268"/>
      <c r="O2034" s="268"/>
      <c r="P2034" s="269"/>
      <c r="Q2034" s="138" t="str">
        <f ca="1">IF(Q2032&lt;&gt;"",IF(Q2032="W","L","W"),"")</f>
        <v/>
      </c>
      <c r="R2034" s="43"/>
      <c r="S2034" s="43"/>
      <c r="T2034" s="43"/>
      <c r="U2034" s="43"/>
      <c r="V2034" s="43"/>
      <c r="W2034" s="43"/>
      <c r="X2034" s="43"/>
      <c r="Y2034" s="43"/>
      <c r="Z2034" s="43"/>
      <c r="AA2034" s="43"/>
      <c r="AB2034" s="43"/>
      <c r="AC2034" s="43"/>
      <c r="AD2034" s="43"/>
      <c r="AE2034" s="43"/>
      <c r="AF2034" s="43"/>
    </row>
    <row r="2035" spans="1:32" ht="12.75" customHeight="1">
      <c r="A2035" s="324"/>
      <c r="B2035" s="308" t="str">
        <f ca="1">IF($B2027="Missing Player",$B2027,"")</f>
        <v/>
      </c>
      <c r="C2035" s="309"/>
      <c r="D2035" s="309"/>
      <c r="E2035" s="309"/>
      <c r="F2035" s="309"/>
      <c r="G2035" s="310"/>
      <c r="H2035" s="270"/>
      <c r="I2035" s="270"/>
      <c r="J2035" s="266"/>
      <c r="K2035" s="266"/>
      <c r="L2035" s="266"/>
      <c r="M2035" s="267"/>
      <c r="N2035" s="268"/>
      <c r="O2035" s="268"/>
      <c r="P2035" s="269"/>
      <c r="Q2035" s="139" t="str">
        <f ca="1">IF($Q2034&lt;&gt;"",IF($B2033&lt;&gt;"Missing Player",IF($Q2034="W",IF(SUM(IF($H2034&gt;$H2032,1,0),IF($I2034&gt;$I2032,1,0),IF($J2034&gt;$J2032,1,0),IF($K2034&gt;$K2032,1,0),IF($L2034&gt;$L2032,1,0))&lt;&gt;3,"Error",""),""),""),"")</f>
        <v/>
      </c>
      <c r="R2035" s="43" t="str">
        <f>A2023</f>
        <v>4th Singles</v>
      </c>
      <c r="S2035" s="43"/>
      <c r="T2035" s="43"/>
      <c r="U2035" s="43"/>
      <c r="V2035" s="43"/>
      <c r="W2035" s="43"/>
      <c r="X2035" s="43"/>
      <c r="Y2035" s="43"/>
      <c r="Z2035" s="43"/>
      <c r="AA2035" s="43"/>
      <c r="AB2035" s="43"/>
      <c r="AC2035" s="43"/>
      <c r="AD2035" s="43"/>
      <c r="AE2035" s="43"/>
      <c r="AF2035" s="43"/>
    </row>
    <row r="2036" spans="1:32" ht="12.75" customHeight="1">
      <c r="G2036" s="66">
        <f ca="1">COUNTIF($Q2004:$Q2004,"W")+COUNTIF($Q2011:$Q2011,"W")+COUNTIF($Q2018:$Q2018,"W")+COUNTIF($Q2025:$Q2025,"W")</f>
        <v>0</v>
      </c>
      <c r="J2036" s="66">
        <f ca="1">COUNTIF($Q2006:$Q2006,"W")+COUNTIF($Q2013:$Q2013,"W")+COUNTIF($Q2020:$Q2020,"W")+COUNTIF($Q2027:$Q2027,"W")</f>
        <v>0</v>
      </c>
      <c r="R2036" s="60" t="s">
        <v>1228</v>
      </c>
      <c r="S2036" s="339" t="s">
        <v>1126</v>
      </c>
      <c r="T2036" s="340"/>
      <c r="U2036" s="340"/>
      <c r="V2036" s="340"/>
      <c r="W2036" s="340"/>
      <c r="X2036" s="341"/>
      <c r="Y2036" s="60">
        <v>1</v>
      </c>
      <c r="Z2036" s="60">
        <v>2</v>
      </c>
      <c r="AA2036" s="60">
        <v>3</v>
      </c>
      <c r="AB2036" s="60">
        <v>4</v>
      </c>
      <c r="AC2036" s="60">
        <v>5</v>
      </c>
      <c r="AD2036" s="342"/>
      <c r="AE2036" s="343"/>
      <c r="AF2036" s="344"/>
    </row>
    <row r="2037" spans="1:32" ht="12.75" customHeight="1" thickBot="1">
      <c r="F2037" s="246" t="s">
        <v>1238</v>
      </c>
      <c r="G2037" s="246"/>
      <c r="H2037" s="246"/>
      <c r="I2037" s="246"/>
      <c r="J2037" s="246"/>
      <c r="K2037" s="246"/>
      <c r="R2037" s="300" t="str">
        <f>B1998</f>
        <v>C</v>
      </c>
      <c r="S2037" s="331" t="str">
        <f ca="1">IF($B2025&lt;&gt;"",$B2025,"")</f>
        <v/>
      </c>
      <c r="T2037" s="353"/>
      <c r="U2037" s="353"/>
      <c r="V2037" s="353"/>
      <c r="W2037" s="353"/>
      <c r="X2037" s="354"/>
      <c r="Y2037" s="329"/>
      <c r="Z2037" s="329"/>
      <c r="AA2037" s="351"/>
      <c r="AB2037" s="351"/>
      <c r="AC2037" s="351"/>
      <c r="AD2037" s="345"/>
      <c r="AE2037" s="346"/>
      <c r="AF2037" s="347"/>
    </row>
    <row r="2038" spans="1:32" ht="12.75" customHeight="1">
      <c r="A2038" s="22"/>
      <c r="B2038" s="22"/>
      <c r="C2038" s="22"/>
      <c r="D2038" s="22"/>
      <c r="E2038" s="22"/>
      <c r="G2038" s="304" t="str">
        <f>B1998</f>
        <v>C</v>
      </c>
      <c r="H2038" s="305"/>
      <c r="I2038" s="302" t="str">
        <f>K1998</f>
        <v>J</v>
      </c>
      <c r="J2038" s="303"/>
      <c r="L2038" s="22"/>
      <c r="M2038" s="22"/>
      <c r="N2038" s="22"/>
      <c r="O2038" s="22"/>
      <c r="P2038" s="22"/>
      <c r="R2038" s="301"/>
      <c r="S2038" s="355"/>
      <c r="T2038" s="356"/>
      <c r="U2038" s="356"/>
      <c r="V2038" s="356"/>
      <c r="W2038" s="356"/>
      <c r="X2038" s="357"/>
      <c r="Y2038" s="338"/>
      <c r="Z2038" s="338"/>
      <c r="AA2038" s="352"/>
      <c r="AB2038" s="352"/>
      <c r="AC2038" s="352"/>
      <c r="AD2038" s="348"/>
      <c r="AE2038" s="349"/>
      <c r="AF2038" s="350"/>
    </row>
    <row r="2039" spans="1:32" ht="12.75" customHeight="1" thickBot="1">
      <c r="A2039" s="2" t="s">
        <v>1228</v>
      </c>
      <c r="B2039" s="53" t="str">
        <f>B1998</f>
        <v>C</v>
      </c>
      <c r="C2039" s="3" t="s">
        <v>1226</v>
      </c>
      <c r="F2039" s="66" t="str">
        <f>CONCATENATE($B1998,"-",$K1998)</f>
        <v>C-J</v>
      </c>
      <c r="G2039" s="320" t="str">
        <f ca="1">IF(OR(Q2004&lt;&gt;"",Q2011&lt;&gt;"",Q2018&lt;&gt;"",Q2025&lt;&gt;"",Q2032&lt;&gt;""),COUNTIF(Q2004:Q2004,"W")+COUNTIF(Q2011:Q2011,"W")+COUNTIF(Q2018:Q2018,"W")+COUNTIF(Q2025:Q2025,"W")+COUNTIF(Q2032:Q2032,"W"),"")</f>
        <v/>
      </c>
      <c r="H2039" s="321"/>
      <c r="I2039" s="322" t="str">
        <f ca="1">IF(OR(Q2006&lt;&gt;"",Q2013&lt;&gt;"",Q2020&lt;&gt;"",Q2027&lt;&gt;"",Q2034&lt;&gt;""),COUNTIF(Q2006:Q2006,"W")+COUNTIF(Q2013:Q2013,"W")+COUNTIF(Q2020:Q2020,"W")+COUNTIF(Q2027:Q2027,"W")+COUNTIF(Q2034:Q2034,"W"),"")</f>
        <v/>
      </c>
      <c r="J2039" s="323"/>
      <c r="L2039" s="2" t="s">
        <v>1228</v>
      </c>
      <c r="M2039" s="53" t="str">
        <f>K1998</f>
        <v>J</v>
      </c>
      <c r="N2039" s="3" t="s">
        <v>1226</v>
      </c>
      <c r="R2039" s="300" t="str">
        <f>K1998</f>
        <v>J</v>
      </c>
      <c r="S2039" s="331" t="str">
        <f ca="1">IF($B2027&lt;&gt;"",$B2027,"")</f>
        <v/>
      </c>
      <c r="T2039" s="332"/>
      <c r="U2039" s="332"/>
      <c r="V2039" s="332"/>
      <c r="W2039" s="332"/>
      <c r="X2039" s="333"/>
      <c r="Y2039" s="329"/>
      <c r="Z2039" s="329"/>
      <c r="AA2039" s="351"/>
      <c r="AB2039" s="351"/>
      <c r="AC2039" s="351"/>
      <c r="AD2039" s="363" t="s">
        <v>1237</v>
      </c>
      <c r="AE2039" s="358"/>
      <c r="AF2039" s="359"/>
    </row>
    <row r="2040" spans="1:32" ht="12.75" customHeight="1">
      <c r="F2040" s="25" t="s">
        <v>3996</v>
      </c>
      <c r="G2040" s="23"/>
      <c r="H2040" s="23"/>
      <c r="I2040" s="23"/>
      <c r="J2040" s="23"/>
      <c r="K2040" s="24"/>
      <c r="R2040" s="330"/>
      <c r="S2040" s="334"/>
      <c r="T2040" s="335"/>
      <c r="U2040" s="335"/>
      <c r="V2040" s="335"/>
      <c r="W2040" s="335"/>
      <c r="X2040" s="336"/>
      <c r="Y2040" s="330"/>
      <c r="Z2040" s="330"/>
      <c r="AA2040" s="330"/>
      <c r="AB2040" s="330"/>
      <c r="AC2040" s="330"/>
      <c r="AD2040" s="360"/>
      <c r="AE2040" s="361"/>
      <c r="AF2040" s="362"/>
    </row>
    <row r="2041" spans="1:32" ht="12.75" customHeight="1">
      <c r="R2041" s="1"/>
      <c r="S2041" s="110"/>
      <c r="T2041" s="110"/>
      <c r="U2041" s="110"/>
      <c r="V2041" s="110"/>
      <c r="W2041" s="110"/>
      <c r="X2041" s="111"/>
      <c r="Y2041" s="111"/>
      <c r="Z2041" s="111"/>
      <c r="AA2041" s="111"/>
    </row>
    <row r="2042" spans="1:32" ht="12.75" customHeight="1">
      <c r="F2042" s="246" t="s">
        <v>4929</v>
      </c>
      <c r="G2042" s="246"/>
      <c r="H2042" s="246"/>
      <c r="I2042" s="246"/>
      <c r="R2042" s="1"/>
      <c r="S2042" s="110"/>
      <c r="T2042" s="110"/>
      <c r="U2042" s="110"/>
      <c r="V2042" s="110"/>
      <c r="W2042" s="110"/>
      <c r="X2042" s="111"/>
      <c r="Y2042" s="111"/>
      <c r="Z2042" s="111"/>
      <c r="AA2042" s="111"/>
    </row>
    <row r="2043" spans="1:32" ht="12.75" customHeight="1">
      <c r="F2043" s="246" t="s">
        <v>4930</v>
      </c>
      <c r="G2043" s="246"/>
      <c r="H2043" s="246"/>
      <c r="I2043" s="246"/>
      <c r="R2043" s="1"/>
      <c r="S2043" s="110"/>
      <c r="T2043" s="110"/>
      <c r="U2043" s="110"/>
      <c r="V2043" s="110"/>
      <c r="W2043" s="110"/>
      <c r="X2043" s="111"/>
      <c r="Y2043" s="111"/>
      <c r="Z2043" s="111"/>
      <c r="AA2043" s="111"/>
    </row>
    <row r="2044" spans="1:32" ht="12.75" customHeight="1">
      <c r="K2044" s="281" t="s">
        <v>1244</v>
      </c>
      <c r="L2044" s="281"/>
      <c r="M2044" s="281"/>
      <c r="N2044" s="281"/>
      <c r="O2044" s="281"/>
      <c r="P2044" s="281"/>
      <c r="R2044" s="1"/>
      <c r="S2044" s="110"/>
      <c r="T2044" s="110"/>
      <c r="U2044" s="110"/>
      <c r="V2044" s="110"/>
      <c r="W2044" s="110"/>
      <c r="X2044" s="111"/>
      <c r="Y2044" s="111"/>
      <c r="Z2044" s="111"/>
      <c r="AA2044" s="111"/>
    </row>
    <row r="2045" spans="1:32" ht="12.75" customHeight="1">
      <c r="A2045" s="12" t="s">
        <v>1229</v>
      </c>
      <c r="B2045" s="11"/>
      <c r="C2045" s="11"/>
      <c r="D2045" s="11" t="str">
        <f>Draw!$B$1</f>
        <v>Enter Division Name</v>
      </c>
      <c r="E2045" s="11"/>
      <c r="F2045" s="7"/>
      <c r="G2045" s="6"/>
      <c r="H2045" s="7"/>
      <c r="I2045" s="11"/>
      <c r="J2045" s="11"/>
      <c r="K2045" s="11"/>
      <c r="L2045" s="11"/>
      <c r="M2045" s="281"/>
      <c r="N2045" s="281"/>
      <c r="O2045" s="281"/>
      <c r="P2045" s="281"/>
      <c r="R2045" s="1"/>
      <c r="S2045" s="110"/>
      <c r="T2045" s="110"/>
      <c r="U2045" s="110"/>
      <c r="V2045" s="110"/>
      <c r="W2045" s="110"/>
      <c r="X2045" s="111"/>
      <c r="Y2045" s="111"/>
      <c r="Z2045" s="111"/>
      <c r="AA2045" s="111"/>
    </row>
    <row r="2046" spans="1:32" ht="12.75" customHeight="1">
      <c r="A2046" s="2" t="s">
        <v>1230</v>
      </c>
      <c r="D2046" s="43" t="str">
        <f>Draw!$D$1</f>
        <v>Enter Hosting Location (City, ST)</v>
      </c>
      <c r="J2046" s="43" t="str">
        <f ca="1">$J$6</f>
        <v>[NCTTA Teams Template (v2.06).xlsx]</v>
      </c>
      <c r="R2046" s="1"/>
      <c r="S2046" s="110"/>
      <c r="T2046" s="110"/>
      <c r="U2046" s="110"/>
      <c r="V2046" s="110"/>
      <c r="W2046" s="110"/>
      <c r="X2046" s="111"/>
      <c r="Y2046" s="111"/>
      <c r="Z2046" s="111"/>
      <c r="AA2046" s="111"/>
    </row>
    <row r="2047" spans="1:32" ht="12.75" customHeight="1">
      <c r="A2047" s="2" t="s">
        <v>1231</v>
      </c>
      <c r="D2047" s="337" t="str">
        <f>Draw!$P$1</f>
        <v>Enter Date</v>
      </c>
      <c r="E2047" s="337"/>
      <c r="F2047" s="337"/>
      <c r="G2047" s="337"/>
      <c r="J2047" s="280" t="str">
        <f>CHOOSE(Draw!$T$1,"Round 7, Match 5","","","","","","","","","Round 9, Match 1","Round 9, Match 1")</f>
        <v/>
      </c>
      <c r="K2047" s="280"/>
      <c r="L2047" s="280"/>
      <c r="M2047" s="276" t="str">
        <f>IF(AND($J2047&lt;&gt;"",Draw!$AC$10&lt;&gt;"",Draw!$AC$13&lt;&gt;""),Draw!$AC$10+TIME(0,VALUE(MID($J2047,7,FIND(",",$J2047)-FIND(" ",$J2047)-1)-1)*Draw!$AC$13,0),"")</f>
        <v/>
      </c>
      <c r="N2047" s="276"/>
      <c r="O2047" s="157" t="str">
        <f>$F2090</f>
        <v>C-K</v>
      </c>
      <c r="R2047" s="1"/>
      <c r="S2047" s="110"/>
      <c r="T2047" s="110"/>
      <c r="U2047" s="110"/>
      <c r="V2047" s="110"/>
      <c r="W2047" s="110"/>
      <c r="X2047" s="111"/>
      <c r="Y2047" s="111"/>
      <c r="Z2047" s="111"/>
      <c r="AA2047" s="111"/>
    </row>
    <row r="2048" spans="1:32" ht="12.75" customHeight="1">
      <c r="A2048" s="14"/>
      <c r="B2048" s="15"/>
      <c r="C2048" s="15"/>
      <c r="D2048" s="15"/>
      <c r="E2048" s="15"/>
      <c r="F2048" s="14"/>
      <c r="G2048" s="14"/>
      <c r="H2048" s="16"/>
      <c r="I2048" s="14"/>
      <c r="J2048" s="15"/>
      <c r="K2048" s="15"/>
      <c r="L2048" s="15"/>
      <c r="M2048" s="15"/>
      <c r="N2048" s="15"/>
      <c r="O2048" s="364" t="str">
        <f>IF(OR(AND(VLOOKUP($B2049,$AM$1:$AX$12,12,FALSE)="C",VLOOKUP($K2049,$AM$1:$AX$12,12,FALSE)="C"),AND(VLOOKUP($B2049,$AM$1:$AX$12,12,FALSE)="W",VLOOKUP($K2049,$AM$1:$AX$12,12,FALSE)="W")),"Official",IF(AND($A2050="",$J2050=""),"","Scrimmage"))</f>
        <v/>
      </c>
      <c r="P2048" s="364"/>
      <c r="R2048" s="1"/>
      <c r="S2048" s="110"/>
      <c r="T2048" s="110"/>
      <c r="U2048" s="110"/>
      <c r="V2048" s="110"/>
      <c r="W2048" s="110"/>
      <c r="X2048" s="111"/>
      <c r="Y2048" s="111"/>
      <c r="Z2048" s="111"/>
      <c r="AA2048" s="111"/>
    </row>
    <row r="2049" spans="1:32" ht="12.75" customHeight="1">
      <c r="A2049" s="17" t="s">
        <v>1228</v>
      </c>
      <c r="B2049" s="94" t="str">
        <f>CHOOSE(Draw!$T$1,"B","B","C","D","E","E","D","D","B","A","A")</f>
        <v>C</v>
      </c>
      <c r="C2049" s="135">
        <f>VLOOKUP($B2049,$AM$1:$AN$12,2)</f>
        <v>3</v>
      </c>
      <c r="D2049" s="13"/>
      <c r="E2049" s="13"/>
      <c r="F2049" s="10"/>
      <c r="H2049" s="19" t="s">
        <v>1232</v>
      </c>
      <c r="J2049" s="17" t="s">
        <v>1228</v>
      </c>
      <c r="K2049" s="119" t="str">
        <f>CHOOSE(Draw!$T$1,"J","K","K","H","H","H","L","I","K","G","D")</f>
        <v>K</v>
      </c>
      <c r="L2049" s="135">
        <f>VLOOKUP($K2049,$AM$1:$AN$12,2)</f>
        <v>11</v>
      </c>
      <c r="M2049" s="13"/>
      <c r="N2049" s="13"/>
      <c r="O2049" s="18"/>
      <c r="P2049" s="274"/>
      <c r="Q2049" s="275"/>
      <c r="R2049" s="1"/>
      <c r="S2049" s="110"/>
      <c r="T2049" s="110"/>
      <c r="U2049" s="110"/>
      <c r="V2049" s="110"/>
      <c r="W2049" s="110"/>
      <c r="X2049" s="111"/>
      <c r="Y2049" s="111"/>
      <c r="Z2049" s="111"/>
      <c r="AA2049" s="111"/>
    </row>
    <row r="2050" spans="1:32" ht="12.75" customHeight="1">
      <c r="A2050" s="277" t="str">
        <f>IF(VLOOKUP($B2049,Draw!$A$4:$B$27,2)&lt;&gt;0,VLOOKUP($B2049,Draw!$A$4:$B$27,2),"")</f>
        <v/>
      </c>
      <c r="B2050" s="278"/>
      <c r="C2050" s="278"/>
      <c r="D2050" s="278"/>
      <c r="E2050" s="278"/>
      <c r="F2050" s="279"/>
      <c r="G2050" s="306" t="s">
        <v>4192</v>
      </c>
      <c r="H2050" s="289"/>
      <c r="I2050" s="307"/>
      <c r="J2050" s="277" t="str">
        <f>IF(VLOOKUP($K2049,Draw!$A$4:$B$27,2)&lt;&gt;0,VLOOKUP($K2049,Draw!$A$4:$B$27,2),"")</f>
        <v/>
      </c>
      <c r="K2050" s="278"/>
      <c r="L2050" s="278"/>
      <c r="M2050" s="278"/>
      <c r="N2050" s="278"/>
      <c r="O2050" s="279"/>
      <c r="P2050" s="15"/>
      <c r="R2050" s="1"/>
      <c r="S2050" s="110"/>
      <c r="T2050" s="110"/>
      <c r="U2050" s="110"/>
      <c r="V2050" s="110"/>
      <c r="W2050" s="110"/>
      <c r="X2050" s="111"/>
      <c r="Y2050" s="111"/>
      <c r="Z2050" s="111"/>
      <c r="AA2050" s="111"/>
    </row>
    <row r="2051" spans="1:32" ht="12.75" customHeight="1">
      <c r="A2051" s="14"/>
      <c r="B2051" s="15"/>
      <c r="C2051" s="15"/>
      <c r="D2051" s="15"/>
      <c r="E2051" s="15"/>
      <c r="F2051" s="14"/>
      <c r="G2051" s="288" t="str">
        <f>"Page "&amp;VALUE(RIGHT($G2050,LEN($G2050)-SEARCH("-",$G2050)))/2</f>
        <v>Page 41</v>
      </c>
      <c r="H2051" s="289"/>
      <c r="I2051" s="289"/>
      <c r="J2051" s="15"/>
      <c r="K2051" s="15"/>
      <c r="L2051" s="15"/>
      <c r="M2051" s="15"/>
      <c r="N2051" s="15"/>
      <c r="O2051" s="15"/>
      <c r="P2051" s="15"/>
      <c r="R2051" s="1"/>
      <c r="S2051" s="110"/>
      <c r="T2051" s="110"/>
      <c r="U2051" s="110"/>
      <c r="V2051" s="110"/>
      <c r="W2051" s="110"/>
      <c r="X2051" s="111"/>
      <c r="Y2051" s="111"/>
      <c r="Z2051" s="111"/>
      <c r="AA2051" s="111"/>
      <c r="AF2051" s="27"/>
    </row>
    <row r="2052" spans="1:32" ht="12.75" customHeight="1">
      <c r="A2052" s="327" t="s">
        <v>1245</v>
      </c>
      <c r="B2052" s="327"/>
      <c r="C2052" s="327"/>
      <c r="D2052" s="327"/>
      <c r="E2052" s="327"/>
      <c r="F2052" s="327"/>
      <c r="G2052" s="327"/>
      <c r="H2052" s="327"/>
      <c r="I2052" s="327"/>
      <c r="J2052" s="327"/>
      <c r="K2052" s="327"/>
      <c r="L2052" s="327"/>
      <c r="M2052" s="327"/>
      <c r="N2052" s="327"/>
      <c r="O2052" s="327"/>
      <c r="P2052" s="327"/>
      <c r="Q2052" s="7"/>
      <c r="R2052" s="1"/>
      <c r="S2052" s="110"/>
      <c r="T2052" s="110"/>
      <c r="U2052" s="110"/>
      <c r="V2052" s="110"/>
      <c r="W2052" s="110"/>
      <c r="X2052" s="111"/>
      <c r="Y2052" s="111"/>
      <c r="Z2052" s="111"/>
      <c r="AA2052" s="111"/>
      <c r="AF2052" s="20"/>
    </row>
    <row r="2053" spans="1:32" ht="12.75" customHeight="1">
      <c r="A2053" s="21" t="s">
        <v>1233</v>
      </c>
      <c r="H2053" s="136" t="str">
        <f>IF($Q2055&lt;&gt;"",IF(AND(AND($H2055&gt;-1,$H2057&gt;-1),OR($H2055&gt;10,$H2057&gt;10),ABS($H2055-$H2057)&gt;1,IF(OR($H2055&gt;11,$H2057&gt;11),ABS($H2055-$H2057)=2,TRUE),$H2055=INT($H2055),$H2057=INT($H2057)),"","Error"),"")</f>
        <v/>
      </c>
      <c r="I2053" s="136" t="str">
        <f>IF($Q2055&lt;&gt;"",IF(AND(AND($I2055&gt;-1,$I2057&gt;-1),OR($I2055&gt;10,$I2057&gt;10),ABS($I2055-$I2057)&gt;1,IF(OR($I2055&gt;11,$I2057&gt;11),ABS($I2055-$I2057)=2,TRUE),$I2055=INT($I2055),$I2057=INT($I2057)),"","Error"),"")</f>
        <v/>
      </c>
      <c r="J2053" s="136" t="str">
        <f>IF($Q2055&lt;&gt;"",IF(AND(AND($J2055&gt;-1,$J2057&gt;-1),OR($J2055&gt;10,$J2057&gt;10),ABS($J2055-$J2057)&gt;1,IF(OR($J2055&gt;11,$J2057&gt;11),ABS($J2055-$J2057)=2,TRUE),$J2055=INT($J2055),$J2057=INT($J2057)),"","Error"),"")</f>
        <v/>
      </c>
      <c r="K2053" s="136" t="str">
        <f>IF($Q2055&lt;&gt;"",IF(AND($K2055&lt;&gt;"",$K2057&lt;&gt;""), IF(AND(AND($K2055&gt;-1,$K2057&gt;-1),OR($K2055&gt;10,$K2057&gt;10),ABS($K2055-$K2057)&gt;1,IF(OR($K2055&gt;11,$K2057&gt;11),ABS($K2055-$K2057)=2,TRUE),$K2055=INT($K2055),$K2057=INT($K2057)),"","Error"),""),"")</f>
        <v/>
      </c>
      <c r="L2053" s="136" t="str">
        <f>IF($Q2055&lt;&gt;"",IF(AND($L2055&lt;&gt;"",$L2057&lt;&gt;""), IF(AND(AND($L2055&gt;-1,$L2057&gt;-1),OR($L2055&gt;10,$L2057&gt;10),ABS($L2055-$L2057)&gt;1,IF(OR($L2055&gt;11,$L2057&gt;11),ABS($L2055-$L2057)=2,TRUE),$L2055=INT($L2055),$L2057=INT($L2057)),"","Error"),""),"")</f>
        <v/>
      </c>
      <c r="R2053" s="1"/>
      <c r="S2053" s="110"/>
      <c r="T2053" s="110"/>
      <c r="U2053" s="110"/>
      <c r="V2053" s="110"/>
      <c r="W2053" s="110"/>
      <c r="X2053" s="111"/>
      <c r="Y2053" s="111"/>
      <c r="Z2053" s="111"/>
      <c r="AA2053" s="111"/>
    </row>
    <row r="2054" spans="1:32" ht="12.75" customHeight="1">
      <c r="A2054" s="5" t="s">
        <v>1228</v>
      </c>
      <c r="B2054" s="290" t="s">
        <v>1126</v>
      </c>
      <c r="C2054" s="291"/>
      <c r="D2054" s="291"/>
      <c r="E2054" s="291"/>
      <c r="F2054" s="291"/>
      <c r="G2054" s="292"/>
      <c r="H2054" s="5">
        <v>1</v>
      </c>
      <c r="I2054" s="5">
        <v>2</v>
      </c>
      <c r="J2054" s="5">
        <v>3</v>
      </c>
      <c r="K2054" s="5">
        <v>4</v>
      </c>
      <c r="L2054" s="5">
        <v>5</v>
      </c>
      <c r="M2054" s="271"/>
      <c r="N2054" s="272"/>
      <c r="O2054" s="272"/>
      <c r="P2054" s="273"/>
      <c r="R2054" s="1"/>
      <c r="S2054" s="110"/>
      <c r="T2054" s="110"/>
      <c r="U2054" s="110"/>
      <c r="V2054" s="110"/>
      <c r="W2054" s="110"/>
      <c r="X2054" s="111"/>
      <c r="Y2054" s="111"/>
      <c r="Z2054" s="111"/>
      <c r="AA2054" s="111"/>
    </row>
    <row r="2055" spans="1:32" ht="12.75" customHeight="1">
      <c r="A2055" s="300" t="str">
        <f>B2049</f>
        <v>C</v>
      </c>
      <c r="B2055" s="293" t="str">
        <f ca="1">IF(AND(OFFSET($AO$1,$C2049-1,8,1,1),$A2050&lt;&gt;"",$J2050&lt;&gt;""),CHOOSE($C2049,$AO$1,$AO$2,$AO$3,$AO$4,$AO$5,$AO$6,$AO$7,$AO$8,$AO$9,$AO$10,$AO$11,$AO$12),"")</f>
        <v/>
      </c>
      <c r="C2055" s="294"/>
      <c r="D2055" s="294"/>
      <c r="E2055" s="294"/>
      <c r="F2055" s="294"/>
      <c r="G2055" s="294"/>
      <c r="H2055" s="265"/>
      <c r="I2055" s="265"/>
      <c r="J2055" s="265"/>
      <c r="K2055" s="265"/>
      <c r="L2055" s="265"/>
      <c r="M2055" s="297"/>
      <c r="N2055" s="298"/>
      <c r="O2055" s="298"/>
      <c r="P2055" s="299"/>
      <c r="Q2055" s="137" t="str">
        <f>IF($L2055=$L2057,IF($K2055=$K2057,IF($J2055&lt;&gt;"",IF($J2055&gt;$J2057,"W","L"),""),IF($K2055&gt;$K2057,"W","L")),IF($L2055&gt;$L2057,"W","L"))</f>
        <v/>
      </c>
      <c r="R2055" s="1"/>
      <c r="S2055" s="110"/>
      <c r="T2055" s="110"/>
      <c r="U2055" s="110"/>
      <c r="V2055" s="110"/>
      <c r="W2055" s="110"/>
      <c r="X2055" s="111"/>
      <c r="Y2055" s="111"/>
      <c r="Z2055" s="111"/>
      <c r="AA2055" s="111"/>
    </row>
    <row r="2056" spans="1:32" ht="12.75" customHeight="1">
      <c r="A2056" s="301"/>
      <c r="B2056" s="295"/>
      <c r="C2056" s="296"/>
      <c r="D2056" s="296"/>
      <c r="E2056" s="296"/>
      <c r="F2056" s="296"/>
      <c r="G2056" s="296"/>
      <c r="H2056" s="270"/>
      <c r="I2056" s="270"/>
      <c r="J2056" s="270"/>
      <c r="K2056" s="270"/>
      <c r="L2056" s="270"/>
      <c r="M2056" s="297"/>
      <c r="N2056" s="298"/>
      <c r="O2056" s="298"/>
      <c r="P2056" s="299"/>
      <c r="Q2056" s="139" t="str">
        <f>IF($Q2055&lt;&gt;"",IF($Q2055="W",IF(SUM(IF($H2055&gt;$H2057,1,0),IF($I2055&gt;$I2057,1,0),IF($J2055&gt;$J2057,1,0),IF($K2055&gt;$K2057,1,0),IF($L2055&gt;$L2057,1,0))&lt;&gt;3,"Error",""),""),"")</f>
        <v/>
      </c>
      <c r="R2056" s="328" t="str">
        <f>$A2050</f>
        <v/>
      </c>
      <c r="S2056" s="328"/>
      <c r="T2056" s="328"/>
      <c r="U2056" s="328"/>
      <c r="V2056" s="328"/>
      <c r="W2056" s="328"/>
      <c r="X2056" s="256" t="str">
        <f>CONCATENATE("(",$B2049," vs ",$K2049,")")</f>
        <v>(C vs K)</v>
      </c>
      <c r="Y2056" s="256"/>
      <c r="Z2056" s="328" t="str">
        <f>$J2050</f>
        <v/>
      </c>
      <c r="AA2056" s="328"/>
      <c r="AB2056" s="328"/>
      <c r="AC2056" s="328"/>
      <c r="AD2056" s="328"/>
      <c r="AE2056" s="328"/>
      <c r="AF2056" s="43"/>
    </row>
    <row r="2057" spans="1:32" ht="12.75" customHeight="1">
      <c r="A2057" s="300" t="str">
        <f>K2049</f>
        <v>K</v>
      </c>
      <c r="B2057" s="293" t="str">
        <f ca="1">IF(AND(OFFSET($AO$1,$L2049-1,8,1,1),$A2050&lt;&gt;"",$J2050&lt;&gt;""),CHOOSE($L2049,$AO$1,$AO$2,$AO$3,$AO$4,$AO$5,$AO$6,$AO$7,$AO$8,$AO$9,$AO$10,$AO$11,$AO$12),"")</f>
        <v/>
      </c>
      <c r="C2057" s="294"/>
      <c r="D2057" s="294"/>
      <c r="E2057" s="294"/>
      <c r="F2057" s="294"/>
      <c r="G2057" s="294"/>
      <c r="H2057" s="265"/>
      <c r="I2057" s="265"/>
      <c r="J2057" s="265"/>
      <c r="K2057" s="265"/>
      <c r="L2057" s="265"/>
      <c r="M2057" s="267" t="s">
        <v>1237</v>
      </c>
      <c r="N2057" s="268"/>
      <c r="O2057" s="268"/>
      <c r="P2057" s="269"/>
      <c r="Q2057" s="137" t="str">
        <f>IF($Q2055&lt;&gt;"",IF($Q2055="W","L","W"),"")</f>
        <v/>
      </c>
      <c r="R2057" s="43"/>
      <c r="S2057" s="43"/>
      <c r="T2057" s="43"/>
      <c r="U2057" s="43"/>
      <c r="V2057" s="43"/>
      <c r="W2057" s="43"/>
      <c r="X2057" s="43"/>
      <c r="Y2057" s="43"/>
      <c r="Z2057" s="43"/>
      <c r="AA2057" s="43"/>
      <c r="AB2057" s="43"/>
      <c r="AC2057" s="43"/>
      <c r="AD2057" s="43"/>
      <c r="AE2057" s="43"/>
      <c r="AF2057" s="43"/>
    </row>
    <row r="2058" spans="1:32" ht="12.75" customHeight="1">
      <c r="A2058" s="301"/>
      <c r="B2058" s="295"/>
      <c r="C2058" s="296"/>
      <c r="D2058" s="296"/>
      <c r="E2058" s="296"/>
      <c r="F2058" s="296"/>
      <c r="G2058" s="296"/>
      <c r="H2058" s="270"/>
      <c r="I2058" s="270"/>
      <c r="J2058" s="266"/>
      <c r="K2058" s="266"/>
      <c r="L2058" s="266"/>
      <c r="M2058" s="267"/>
      <c r="N2058" s="268"/>
      <c r="O2058" s="268"/>
      <c r="P2058" s="269"/>
      <c r="Q2058" s="139" t="str">
        <f>IF($Q2057&lt;&gt;"",IF($Q2057="W",IF(SUM(IF($H2057&gt;$H2055,1,0),IF($I2057&gt;$I2055,1,0),IF($J2057&gt;$J2055,1,0),IF($K2057&gt;$K2055,1,0),IF($L2057&gt;$L2055,1,0))&lt;&gt;3,"Error",""),""),"")</f>
        <v/>
      </c>
      <c r="R2058" s="43" t="str">
        <f>$A2060</f>
        <v>2nd Singles</v>
      </c>
      <c r="S2058" s="43"/>
      <c r="T2058" s="43"/>
      <c r="U2058" s="43"/>
      <c r="V2058" s="43"/>
      <c r="W2058" s="43"/>
      <c r="X2058" s="43"/>
      <c r="Y2058" s="43"/>
      <c r="Z2058" s="43"/>
      <c r="AA2058" s="43"/>
      <c r="AB2058" s="43"/>
      <c r="AC2058" s="43"/>
      <c r="AD2058" s="43"/>
      <c r="AE2058" s="43"/>
      <c r="AF2058" s="43"/>
    </row>
    <row r="2059" spans="1:32" ht="12.75" customHeight="1">
      <c r="Q2059" s="7"/>
      <c r="R2059" s="60" t="s">
        <v>1228</v>
      </c>
      <c r="S2059" s="339" t="s">
        <v>1126</v>
      </c>
      <c r="T2059" s="340"/>
      <c r="U2059" s="340"/>
      <c r="V2059" s="340"/>
      <c r="W2059" s="340"/>
      <c r="X2059" s="341"/>
      <c r="Y2059" s="60">
        <v>1</v>
      </c>
      <c r="Z2059" s="60">
        <v>2</v>
      </c>
      <c r="AA2059" s="60">
        <v>3</v>
      </c>
      <c r="AB2059" s="60">
        <v>4</v>
      </c>
      <c r="AC2059" s="60">
        <v>5</v>
      </c>
      <c r="AD2059" s="342"/>
      <c r="AE2059" s="343"/>
      <c r="AF2059" s="344"/>
    </row>
    <row r="2060" spans="1:32" ht="12.75" customHeight="1">
      <c r="A2060" s="21" t="s">
        <v>1234</v>
      </c>
      <c r="H2060" s="136" t="str">
        <f>IF($Q2062&lt;&gt;"",IF(AND(AND($H2062&gt;-1,$H2064&gt;-1),OR($H2062&gt;10,$H2064&gt;10),ABS($H2062-$H2064)&gt;1,IF(OR($H2062&gt;11,$H2064&gt;11),ABS($H2062-$H2064)=2,TRUE),$H2062=INT($H2062),$H2064=INT($H2064)),"","Error"),"")</f>
        <v/>
      </c>
      <c r="I2060" s="136" t="str">
        <f>IF($Q2062&lt;&gt;"",IF(AND(AND($I2062&gt;-1,$I2064&gt;-1),OR($I2062&gt;10,$I2064&gt;10),ABS($I2062-$I2064)&gt;1,IF(OR($I2062&gt;11,$I2064&gt;11),ABS($I2062-$I2064)=2,TRUE),$I2062=INT($I2062),$I2064=INT($I2064)),"","Error"),"")</f>
        <v/>
      </c>
      <c r="J2060" s="136" t="str">
        <f>IF($Q2062&lt;&gt;"",IF(AND(AND($J2062&gt;-1,$J2064&gt;-1),OR($J2062&gt;10,$J2064&gt;10),ABS($J2062-$J2064)&gt;1,IF(OR($J2062&gt;11,$J2064&gt;11),ABS($J2062-$J2064)=2,TRUE),$J2062=INT($J2062),$J2064=INT($J2064)),"","Error"),"")</f>
        <v/>
      </c>
      <c r="K2060" s="136" t="str">
        <f>IF($Q2062&lt;&gt;"",IF(AND($K2062&lt;&gt;"",$K2064&lt;&gt;""), IF(AND(AND($K2062&gt;-1,$K2064&gt;-1),OR($K2062&gt;10,$K2064&gt;10),ABS($K2062-$K2064)&gt;1,IF(OR($K2062&gt;11,$K2064&gt;11),ABS($K2062-$K2064)=2,TRUE),$K2062=INT($K2062),$K2064=INT($K2064)),"","Error"),""),"")</f>
        <v/>
      </c>
      <c r="L2060" s="136" t="str">
        <f>IF($Q2062&lt;&gt;"",IF(AND($L2062&lt;&gt;"",$L2064&lt;&gt;""), IF(AND(AND($L2062&gt;-1,$L2064&gt;-1),OR($L2062&gt;10,$L2064&gt;10),ABS($L2062-$L2064)&gt;1,IF(OR($L2062&gt;11,$L2064&gt;11),ABS($L2062-$L2064)=2,TRUE),$L2062=INT($L2062),$L2064=INT($L2064)),"","Error"),""),"")</f>
        <v/>
      </c>
      <c r="Q2060" s="7"/>
      <c r="R2060" s="300" t="str">
        <f>$B2049</f>
        <v>C</v>
      </c>
      <c r="S2060" s="331" t="str">
        <f ca="1">IF($B2062&lt;&gt;"",$B2062,"")</f>
        <v/>
      </c>
      <c r="T2060" s="332"/>
      <c r="U2060" s="332"/>
      <c r="V2060" s="332"/>
      <c r="W2060" s="332"/>
      <c r="X2060" s="333"/>
      <c r="Y2060" s="329"/>
      <c r="Z2060" s="329"/>
      <c r="AA2060" s="329"/>
      <c r="AB2060" s="329"/>
      <c r="AC2060" s="329"/>
      <c r="AD2060" s="345"/>
      <c r="AE2060" s="358"/>
      <c r="AF2060" s="359"/>
    </row>
    <row r="2061" spans="1:32" ht="12.75" customHeight="1">
      <c r="A2061" s="5" t="s">
        <v>1228</v>
      </c>
      <c r="B2061" s="290" t="s">
        <v>1126</v>
      </c>
      <c r="C2061" s="291"/>
      <c r="D2061" s="291"/>
      <c r="E2061" s="291"/>
      <c r="F2061" s="291"/>
      <c r="G2061" s="292"/>
      <c r="H2061" s="5">
        <v>1</v>
      </c>
      <c r="I2061" s="5">
        <v>2</v>
      </c>
      <c r="J2061" s="5">
        <v>3</v>
      </c>
      <c r="K2061" s="5">
        <v>4</v>
      </c>
      <c r="L2061" s="5">
        <v>5</v>
      </c>
      <c r="M2061" s="271"/>
      <c r="N2061" s="272"/>
      <c r="O2061" s="272"/>
      <c r="P2061" s="273"/>
      <c r="Q2061" s="7"/>
      <c r="R2061" s="330"/>
      <c r="S2061" s="334"/>
      <c r="T2061" s="335"/>
      <c r="U2061" s="335"/>
      <c r="V2061" s="335"/>
      <c r="W2061" s="335"/>
      <c r="X2061" s="336"/>
      <c r="Y2061" s="330"/>
      <c r="Z2061" s="330"/>
      <c r="AA2061" s="330"/>
      <c r="AB2061" s="330"/>
      <c r="AC2061" s="330"/>
      <c r="AD2061" s="360"/>
      <c r="AE2061" s="361"/>
      <c r="AF2061" s="362"/>
    </row>
    <row r="2062" spans="1:32" ht="12.75" customHeight="1">
      <c r="A2062" s="300" t="str">
        <f>B2049</f>
        <v>C</v>
      </c>
      <c r="B2062" s="293" t="str">
        <f ca="1">IF(AND(OFFSET($AO$1,$C2049-1,8,1,1),$A2050&lt;&gt;"",$J2050&lt;&gt;""),CHOOSE($C2049,$AP$1,$AP$2,$AP$3,$AP$4,$AP$5,$AP$6,$AP$7,$AP$8,$AP$9,$AP$10,$AP$11,$AP$12),"")</f>
        <v/>
      </c>
      <c r="C2062" s="294"/>
      <c r="D2062" s="294"/>
      <c r="E2062" s="294"/>
      <c r="F2062" s="294"/>
      <c r="G2062" s="294"/>
      <c r="H2062" s="265"/>
      <c r="I2062" s="265"/>
      <c r="J2062" s="265"/>
      <c r="K2062" s="265"/>
      <c r="L2062" s="265"/>
      <c r="M2062" s="262" t="str">
        <f ca="1">IF(OR(AND($B2055&lt;&gt;"",$B2062&lt;&gt;"",$C2080&lt;=$B2080),AND($B2057&lt;&gt;"",$B2064&lt;&gt;"",$G2080&lt;=$F2080)),"Invalid Lineup","")</f>
        <v/>
      </c>
      <c r="N2062" s="263"/>
      <c r="O2062" s="263"/>
      <c r="P2062" s="264"/>
      <c r="Q2062" s="137" t="str">
        <f>IF($L2062=$L2064,IF($K2062=$K2064,IF($J2062&lt;&gt;"",IF($J2062&gt;$J2064,"W","L"),""),IF($K2062&gt;$K2064,"W","L")),IF($L2062&gt;$L2064,"W","L"))</f>
        <v/>
      </c>
      <c r="R2062" s="300" t="str">
        <f>$K2049</f>
        <v>K</v>
      </c>
      <c r="S2062" s="331" t="str">
        <f ca="1">IF($B2064&lt;&gt;"",$B2064,"")</f>
        <v/>
      </c>
      <c r="T2062" s="332"/>
      <c r="U2062" s="332"/>
      <c r="V2062" s="332"/>
      <c r="W2062" s="332"/>
      <c r="X2062" s="333"/>
      <c r="Y2062" s="329"/>
      <c r="Z2062" s="329"/>
      <c r="AA2062" s="329"/>
      <c r="AB2062" s="329"/>
      <c r="AC2062" s="351"/>
      <c r="AD2062" s="363" t="s">
        <v>1237</v>
      </c>
      <c r="AE2062" s="358"/>
      <c r="AF2062" s="359"/>
    </row>
    <row r="2063" spans="1:32" ht="12.75" customHeight="1">
      <c r="A2063" s="301"/>
      <c r="B2063" s="295"/>
      <c r="C2063" s="296"/>
      <c r="D2063" s="296"/>
      <c r="E2063" s="296"/>
      <c r="F2063" s="296"/>
      <c r="G2063" s="296"/>
      <c r="H2063" s="270"/>
      <c r="I2063" s="270"/>
      <c r="J2063" s="270"/>
      <c r="K2063" s="270"/>
      <c r="L2063" s="270"/>
      <c r="M2063" s="262"/>
      <c r="N2063" s="263"/>
      <c r="O2063" s="263"/>
      <c r="P2063" s="264"/>
      <c r="Q2063" s="139" t="str">
        <f>IF($Q2062&lt;&gt;"",IF($Q2062="W",IF(SUM(IF($H2062&gt;$H2064,1,0),IF($I2062&gt;$I2064,1,0),IF($J2062&gt;$J2064,1,0),IF($K2062&gt;$K2064,1,0),IF($L2062&gt;$L2064,1,0))&lt;&gt;3,"Error",""),""),"")</f>
        <v/>
      </c>
      <c r="R2063" s="330"/>
      <c r="S2063" s="334"/>
      <c r="T2063" s="335"/>
      <c r="U2063" s="335"/>
      <c r="V2063" s="335"/>
      <c r="W2063" s="335"/>
      <c r="X2063" s="336"/>
      <c r="Y2063" s="330"/>
      <c r="Z2063" s="330"/>
      <c r="AA2063" s="330"/>
      <c r="AB2063" s="330"/>
      <c r="AC2063" s="330"/>
      <c r="AD2063" s="360"/>
      <c r="AE2063" s="361"/>
      <c r="AF2063" s="362"/>
    </row>
    <row r="2064" spans="1:32" ht="12.75" customHeight="1">
      <c r="A2064" s="300" t="str">
        <f>K2049</f>
        <v>K</v>
      </c>
      <c r="B2064" s="293" t="str">
        <f ca="1">IF(AND(OFFSET($AO$1,$L2049-1,8,1,1),$A2050&lt;&gt;"",$J2050&lt;&gt;""),CHOOSE($L2049,$AP$1,$AP$2,$AP$3,$AP$4,$AP$5,$AP$6,$AP$7,$AP$8,$AP$9,$AP$10,$AP$11,$AP$12),"")</f>
        <v/>
      </c>
      <c r="C2064" s="294"/>
      <c r="D2064" s="294"/>
      <c r="E2064" s="294"/>
      <c r="F2064" s="294"/>
      <c r="G2064" s="294"/>
      <c r="H2064" s="265"/>
      <c r="I2064" s="265"/>
      <c r="J2064" s="265"/>
      <c r="K2064" s="265"/>
      <c r="L2064" s="265"/>
      <c r="M2064" s="267" t="s">
        <v>1237</v>
      </c>
      <c r="N2064" s="268"/>
      <c r="O2064" s="268"/>
      <c r="P2064" s="269"/>
      <c r="Q2064" s="137" t="str">
        <f>IF($Q2062&lt;&gt;"",IF($Q2062="W","L","W"),"")</f>
        <v/>
      </c>
      <c r="R2064" s="20"/>
      <c r="S2064" s="20"/>
      <c r="T2064" s="20"/>
      <c r="U2064" s="20"/>
      <c r="V2064" s="20"/>
      <c r="W2064" s="20"/>
      <c r="X2064" s="26"/>
      <c r="Y2064" s="26"/>
      <c r="Z2064" s="20"/>
      <c r="AA2064" s="20"/>
      <c r="AB2064" s="20"/>
      <c r="AC2064" s="20"/>
      <c r="AD2064" s="20"/>
      <c r="AE2064" s="20"/>
      <c r="AF2064" s="27"/>
    </row>
    <row r="2065" spans="1:32" ht="12.75" customHeight="1">
      <c r="A2065" s="301"/>
      <c r="B2065" s="295"/>
      <c r="C2065" s="296"/>
      <c r="D2065" s="296"/>
      <c r="E2065" s="296"/>
      <c r="F2065" s="296"/>
      <c r="G2065" s="296"/>
      <c r="H2065" s="270"/>
      <c r="I2065" s="270"/>
      <c r="J2065" s="266"/>
      <c r="K2065" s="266"/>
      <c r="L2065" s="266"/>
      <c r="M2065" s="267"/>
      <c r="N2065" s="268"/>
      <c r="O2065" s="268"/>
      <c r="P2065" s="269"/>
      <c r="Q2065" s="139" t="str">
        <f>IF($Q2064&lt;&gt;"",IF($Q2064="W",IF(SUM(IF($H2064&gt;$H2062,1,0),IF($I2064&gt;$I2062,1,0),IF($J2064&gt;$J2062,1,0),IF($K2064&gt;$K2062,1,0),IF($L2064&gt;$L2062,1,0))&lt;&gt;3,"Error",""),""),"")</f>
        <v/>
      </c>
      <c r="R2065" s="20"/>
      <c r="S2065" s="20"/>
      <c r="T2065" s="20"/>
      <c r="U2065" s="20"/>
      <c r="V2065" s="20"/>
      <c r="W2065" s="20"/>
      <c r="X2065" s="26"/>
      <c r="Y2065" s="26"/>
      <c r="Z2065" s="20"/>
      <c r="AA2065" s="20"/>
      <c r="AB2065" s="20"/>
      <c r="AC2065" s="20"/>
      <c r="AD2065" s="20"/>
      <c r="AE2065" s="20"/>
      <c r="AF2065" s="27"/>
    </row>
    <row r="2066" spans="1:32" ht="12.75" customHeight="1">
      <c r="Q2066" s="7"/>
      <c r="R2066" s="20"/>
      <c r="S2066" s="20"/>
      <c r="T2066" s="20"/>
      <c r="U2066" s="20"/>
      <c r="V2066" s="20"/>
      <c r="W2066" s="20"/>
      <c r="X2066" s="26"/>
      <c r="Y2066" s="26"/>
      <c r="Z2066" s="20"/>
      <c r="AA2066" s="20"/>
      <c r="AB2066" s="20"/>
      <c r="AC2066" s="20"/>
      <c r="AD2066" s="20"/>
      <c r="AE2066" s="20"/>
      <c r="AF2066" s="27"/>
    </row>
    <row r="2067" spans="1:32" ht="12.75" customHeight="1">
      <c r="A2067" s="21" t="s">
        <v>1235</v>
      </c>
      <c r="H2067" s="136" t="str">
        <f>IF($Q2069&lt;&gt;"",IF(AND(AND($H2069&gt;-1,$H2071&gt;-1),OR($H2069&gt;10,$H2071&gt;10),ABS($H2069-$H2071)&gt;1,IF(OR($H2069&gt;11,$H2071&gt;11),ABS($H2069-$H2071)=2,TRUE),$H2069=INT($H2069),$H2071=INT($H2071)),"","Error"),"")</f>
        <v/>
      </c>
      <c r="I2067" s="136" t="str">
        <f>IF($Q2069&lt;&gt;"",IF(AND(AND($I2069&gt;-1,$I2071&gt;-1),OR($I2069&gt;10,$I2071&gt;10),ABS($I2069-$I2071)&gt;1,IF(OR($I2069&gt;11,$I2071&gt;11),ABS($I2069-$I2071)=2,TRUE),$I2069=INT($I2069),$I2071=INT($I2071)),"","Error"),"")</f>
        <v/>
      </c>
      <c r="J2067" s="136" t="str">
        <f>IF($Q2069&lt;&gt;"",IF(AND(AND($J2069&gt;-1,$J2071&gt;-1),OR($J2069&gt;10,$J2071&gt;10),ABS($J2069-$J2071)&gt;1,IF(OR($J2069&gt;11,$J2071&gt;11),ABS($J2069-$J2071)=2,TRUE),$J2069=INT($J2069),$J2071=INT($J2071)),"","Error"),"")</f>
        <v/>
      </c>
      <c r="K2067" s="136" t="str">
        <f>IF($Q2069&lt;&gt;"",IF(AND($K2069&lt;&gt;"",$K2071&lt;&gt;""), IF(AND(AND($K2069&gt;-1,$K2071&gt;-1),OR($K2069&gt;10,$K2071&gt;10),ABS($K2069-$K2071)&gt;1,IF(OR($K2069&gt;11,$K2071&gt;11),ABS($K2069-$K2071)=2,TRUE),$K2069=INT($K2069),$K2071=INT($K2071)),"","Error"),""),"")</f>
        <v/>
      </c>
      <c r="L2067" s="136" t="str">
        <f>IF($Q2069&lt;&gt;"",IF(AND($L2069&lt;&gt;"",$L2071&lt;&gt;""), IF(AND(AND($L2069&gt;-1,$L2071&gt;-1),OR($L2069&gt;10,$L2071&gt;10),ABS($L2069-$L2071)&gt;1,IF(OR($L2069&gt;11,$L2071&gt;11),ABS($L2069-$L2071)=2,TRUE),$L2069=INT($L2069),$L2071=INT($L2071)),"","Error"),""),"")</f>
        <v/>
      </c>
      <c r="Q2067" s="7"/>
      <c r="R2067" s="20"/>
      <c r="S2067" s="20"/>
      <c r="T2067" s="20"/>
      <c r="U2067" s="20"/>
      <c r="V2067" s="20"/>
      <c r="W2067" s="20"/>
      <c r="X2067" s="26"/>
      <c r="Y2067" s="26"/>
      <c r="Z2067" s="20"/>
      <c r="AA2067" s="20"/>
      <c r="AB2067" s="20"/>
      <c r="AC2067" s="20"/>
      <c r="AD2067" s="20"/>
      <c r="AE2067" s="20"/>
      <c r="AF2067" s="27"/>
    </row>
    <row r="2068" spans="1:32" ht="12.75" customHeight="1">
      <c r="A2068" s="5" t="s">
        <v>1228</v>
      </c>
      <c r="B2068" s="290" t="s">
        <v>1126</v>
      </c>
      <c r="C2068" s="291"/>
      <c r="D2068" s="291"/>
      <c r="E2068" s="291"/>
      <c r="F2068" s="291"/>
      <c r="G2068" s="292"/>
      <c r="H2068" s="5">
        <v>1</v>
      </c>
      <c r="I2068" s="5">
        <v>2</v>
      </c>
      <c r="J2068" s="5">
        <v>3</v>
      </c>
      <c r="K2068" s="5">
        <v>4</v>
      </c>
      <c r="L2068" s="5">
        <v>5</v>
      </c>
      <c r="M2068" s="271"/>
      <c r="N2068" s="272"/>
      <c r="O2068" s="272"/>
      <c r="P2068" s="273"/>
      <c r="Q2068" s="7"/>
      <c r="R2068" s="20"/>
      <c r="S2068" s="20"/>
      <c r="T2068" s="20"/>
      <c r="U2068" s="20"/>
      <c r="V2068" s="20"/>
      <c r="W2068" s="20"/>
      <c r="X2068" s="26"/>
      <c r="Y2068" s="26"/>
      <c r="Z2068" s="20"/>
      <c r="AA2068" s="20"/>
      <c r="AB2068" s="20"/>
      <c r="AC2068" s="20"/>
      <c r="AD2068" s="20"/>
      <c r="AE2068" s="20"/>
      <c r="AF2068" s="27"/>
    </row>
    <row r="2069" spans="1:32" ht="12.75" customHeight="1">
      <c r="A2069" s="300" t="str">
        <f>B2049</f>
        <v>C</v>
      </c>
      <c r="B2069" s="293" t="str">
        <f ca="1">IF(AND(OFFSET($AO$1,$C2049-1,8,1,1),$A2050&lt;&gt;"",$J2050&lt;&gt;""),CHOOSE($C2049,$AQ$1,$AQ$2,$AQ$3,$AQ$4,$AQ$5,$AQ$6,$AQ$7,$AQ$8,$AQ$9,$AQ$10,$AQ$11,$AQ$12),"")</f>
        <v/>
      </c>
      <c r="C2069" s="294"/>
      <c r="D2069" s="294"/>
      <c r="E2069" s="294"/>
      <c r="F2069" s="294"/>
      <c r="G2069" s="294"/>
      <c r="H2069" s="265"/>
      <c r="I2069" s="265"/>
      <c r="J2069" s="265"/>
      <c r="K2069" s="265"/>
      <c r="L2069" s="265"/>
      <c r="M2069" s="262" t="str">
        <f ca="1">IF(OR(AND($B2062&lt;&gt;"",$B2069&lt;&gt;"",$D2080&lt;=$C2080),AND($B2064&lt;&gt;"",$B2071&lt;&gt;"",$H2080&lt;=$G2080)),"Invalid Lineup","")</f>
        <v/>
      </c>
      <c r="N2069" s="263"/>
      <c r="O2069" s="263"/>
      <c r="P2069" s="264"/>
      <c r="Q2069" s="137" t="str">
        <f>IF($L2069=$L2071,IF($K2069=$K2071,IF($J2069&lt;&gt;"",IF($J2069&gt;$J2071,"W","L"),""),IF($K2069&gt;$K2071,"W","L")),IF($L2069&gt;$L2071,"W","L"))</f>
        <v/>
      </c>
      <c r="R2069" s="20"/>
      <c r="S2069" s="20"/>
      <c r="T2069" s="20"/>
      <c r="U2069" s="20"/>
      <c r="V2069" s="20"/>
      <c r="W2069" s="20"/>
      <c r="X2069" s="26"/>
      <c r="Y2069" s="26"/>
      <c r="Z2069" s="20"/>
      <c r="AA2069" s="20"/>
      <c r="AB2069" s="20"/>
      <c r="AC2069" s="20"/>
      <c r="AD2069" s="20"/>
      <c r="AE2069" s="20"/>
      <c r="AF2069" s="27"/>
    </row>
    <row r="2070" spans="1:32" ht="12.75" customHeight="1">
      <c r="A2070" s="301"/>
      <c r="B2070" s="295"/>
      <c r="C2070" s="296"/>
      <c r="D2070" s="296"/>
      <c r="E2070" s="296"/>
      <c r="F2070" s="296"/>
      <c r="G2070" s="296"/>
      <c r="H2070" s="270"/>
      <c r="I2070" s="270"/>
      <c r="J2070" s="270"/>
      <c r="K2070" s="270"/>
      <c r="L2070" s="270"/>
      <c r="M2070" s="262"/>
      <c r="N2070" s="263"/>
      <c r="O2070" s="263"/>
      <c r="P2070" s="264"/>
      <c r="Q2070" s="139" t="str">
        <f>IF($Q2069&lt;&gt;"",IF($Q2069="W",IF(SUM(IF($H2069&gt;$H2071,1,0),IF($I2069&gt;$I2071,1,0),IF($J2069&gt;$J2071,1,0),IF($K2069&gt;$K2071,1,0),IF($L2069&gt;$L2071,1,0))&lt;&gt;3,"Error",""),""),"")</f>
        <v/>
      </c>
      <c r="R2070" s="328" t="str">
        <f>$A2050</f>
        <v/>
      </c>
      <c r="S2070" s="328"/>
      <c r="T2070" s="328"/>
      <c r="U2070" s="328"/>
      <c r="V2070" s="328"/>
      <c r="W2070" s="328"/>
      <c r="X2070" s="256" t="str">
        <f>CONCATENATE("(",$B2049," vs ",$K2049,")")</f>
        <v>(C vs K)</v>
      </c>
      <c r="Y2070" s="256"/>
      <c r="Z2070" s="328" t="str">
        <f>$J2050</f>
        <v/>
      </c>
      <c r="AA2070" s="328"/>
      <c r="AB2070" s="328"/>
      <c r="AC2070" s="328"/>
      <c r="AD2070" s="328"/>
      <c r="AE2070" s="328"/>
      <c r="AF2070" s="100"/>
    </row>
    <row r="2071" spans="1:32" ht="12.75" customHeight="1">
      <c r="A2071" s="300" t="str">
        <f>K2049</f>
        <v>K</v>
      </c>
      <c r="B2071" s="293" t="str">
        <f ca="1">IF(AND(OFFSET($AO$1,$L2049-1,8,1,1),$A2050&lt;&gt;"",$J2050&lt;&gt;""),CHOOSE($L2049,$AQ$1,$AQ$2,$AQ$3,$AQ$4,$AQ$5,$AQ$6,$AQ$7,$AQ$8,$AQ$9,$AQ$10,$AQ$11,$AQ$12),"")</f>
        <v/>
      </c>
      <c r="C2071" s="294"/>
      <c r="D2071" s="294"/>
      <c r="E2071" s="294"/>
      <c r="F2071" s="294"/>
      <c r="G2071" s="294"/>
      <c r="H2071" s="265"/>
      <c r="I2071" s="265"/>
      <c r="J2071" s="265"/>
      <c r="K2071" s="265"/>
      <c r="L2071" s="265"/>
      <c r="M2071" s="267" t="s">
        <v>1237</v>
      </c>
      <c r="N2071" s="268"/>
      <c r="O2071" s="268"/>
      <c r="P2071" s="269"/>
      <c r="Q2071" s="137" t="str">
        <f>IF($Q2069&lt;&gt;"",IF($Q2069="W","L","W"),"")</f>
        <v/>
      </c>
      <c r="R2071" s="100"/>
      <c r="S2071" s="100"/>
      <c r="T2071" s="100"/>
      <c r="U2071" s="100"/>
      <c r="V2071" s="100"/>
      <c r="W2071" s="100"/>
      <c r="X2071" s="100"/>
      <c r="Y2071" s="100"/>
      <c r="Z2071" s="100"/>
      <c r="AA2071" s="100"/>
      <c r="AB2071" s="100"/>
      <c r="AC2071" s="100"/>
      <c r="AD2071" s="100"/>
      <c r="AE2071" s="100"/>
      <c r="AF2071" s="100"/>
    </row>
    <row r="2072" spans="1:32" ht="12.75" customHeight="1">
      <c r="A2072" s="301"/>
      <c r="B2072" s="295"/>
      <c r="C2072" s="296"/>
      <c r="D2072" s="296"/>
      <c r="E2072" s="296"/>
      <c r="F2072" s="296"/>
      <c r="G2072" s="296"/>
      <c r="H2072" s="270"/>
      <c r="I2072" s="270"/>
      <c r="J2072" s="266"/>
      <c r="K2072" s="266"/>
      <c r="L2072" s="266"/>
      <c r="M2072" s="267"/>
      <c r="N2072" s="268"/>
      <c r="O2072" s="268"/>
      <c r="P2072" s="269"/>
      <c r="Q2072" s="139" t="str">
        <f>IF($Q2071&lt;&gt;"",IF($Q2071="W",IF(SUM(IF($H2071&gt;$H2069,1,0),IF($I2071&gt;$I2069,1,0),IF($J2071&gt;$J2069,1,0),IF($K2071&gt;$K2069,1,0),IF($L2071&gt;$L2069,1,0))&lt;&gt;3,"Error",""),""),"")</f>
        <v/>
      </c>
      <c r="R2072" s="43" t="str">
        <f>$A2067</f>
        <v>3rd Singles</v>
      </c>
      <c r="S2072" s="43"/>
      <c r="T2072" s="43"/>
      <c r="U2072" s="43"/>
      <c r="V2072" s="43"/>
      <c r="W2072" s="43"/>
      <c r="X2072" s="43"/>
      <c r="Y2072" s="43"/>
      <c r="Z2072" s="43"/>
      <c r="AA2072" s="43"/>
      <c r="AB2072" s="43"/>
      <c r="AC2072" s="43"/>
      <c r="AD2072" s="43"/>
      <c r="AE2072" s="43"/>
      <c r="AF2072" s="43"/>
    </row>
    <row r="2073" spans="1:32" ht="12.75" customHeight="1">
      <c r="Q2073" s="7"/>
      <c r="R2073" s="60" t="s">
        <v>1228</v>
      </c>
      <c r="S2073" s="101" t="s">
        <v>1126</v>
      </c>
      <c r="T2073" s="102"/>
      <c r="U2073" s="102"/>
      <c r="V2073" s="102"/>
      <c r="W2073" s="102"/>
      <c r="X2073" s="103"/>
      <c r="Y2073" s="60">
        <v>1</v>
      </c>
      <c r="Z2073" s="60">
        <v>2</v>
      </c>
      <c r="AA2073" s="60">
        <v>3</v>
      </c>
      <c r="AB2073" s="60">
        <v>4</v>
      </c>
      <c r="AC2073" s="60">
        <v>5</v>
      </c>
      <c r="AD2073" s="104"/>
      <c r="AE2073" s="105"/>
      <c r="AF2073" s="106"/>
    </row>
    <row r="2074" spans="1:32" ht="12.75" customHeight="1">
      <c r="A2074" s="21" t="s">
        <v>1236</v>
      </c>
      <c r="H2074" s="136" t="str">
        <f ca="1">IF($Q2076&lt;&gt;"",IF(AND($B2076&lt;&gt;"Missing Player",$B2078&lt;&gt;"Missing Player"),IF(AND(AND($H2076&gt;-1,$H2078&gt;-1),OR($H2076&gt;10,$H2078&gt;10),ABS($H2076-$H2078)&gt;1,IF(OR($H2076&gt;11,$H2078&gt;11),ABS($H2076-$H2078)=2,TRUE),$H2076=INT($H2076),$H2078=INT($H2078)),"","Error"),""),"")</f>
        <v/>
      </c>
      <c r="I2074" s="136" t="str">
        <f ca="1">IF($Q2076&lt;&gt;"",IF(AND($B2076&lt;&gt;"Missing Player",$B2078&lt;&gt;"Missing Player"),IF(AND(AND($I2076&gt;-1,$I2078&gt;-1),OR($I2076&gt;10,$I2078&gt;10),ABS($I2076-$I2078)&gt;1,IF(OR($I2076&gt;11,$I2078&gt;11),ABS($I2076-$I2078)=2,TRUE),$I2076=INT($I2076),$I2078=INT($I2078)),"","Error"),""),"")</f>
        <v/>
      </c>
      <c r="J2074" s="136" t="str">
        <f ca="1">IF($Q2076&lt;&gt;"",IF(AND($B2076&lt;&gt;"Missing Player",$B2078&lt;&gt;"Missing Player"),IF(AND(AND($J2076&gt;-1,$J2078&gt;-1),OR($J2076&gt;10,$J2078&gt;10),ABS($J2076-$J2078)&gt;1,IF(OR($J2076&gt;11,$J2078&gt;11),ABS($J2076-$J2078)=2,TRUE),$J2076=INT($J2076),$J2078=INT($J2078)),"","Error"),""),"")</f>
        <v/>
      </c>
      <c r="K2074" s="136" t="str">
        <f ca="1">IF($Q2076&lt;&gt;"",IF(AND($K2076&lt;&gt;"",$K2078&lt;&gt;""), IF(AND(AND($K2076&gt;-1,$K2078&gt;-1),OR($K2076&gt;10,$K2078&gt;10),ABS($K2076-$K2078)&gt;1,IF(OR($K2076&gt;11,$K2078&gt;11),ABS($K2076-$K2078)=2,TRUE),$K2076=INT($K2076),$K2078=INT($K2078)),"","Error"),""),"")</f>
        <v/>
      </c>
      <c r="L2074" s="136" t="str">
        <f ca="1">IF($Q2076&lt;&gt;"",IF(AND($L2076&lt;&gt;"",$L2078&lt;&gt;""), IF(AND(AND($L2076&gt;-1,$L2078&gt;-1),OR($L2076&gt;10,$L2078&gt;10),ABS($L2076-$L2078)&gt;1,IF(OR($L2076&gt;11,$L2078&gt;11),ABS($L2076-$L2078)=2,TRUE),$L2076=INT($L2076),$L2078=INT($L2078)),"","Error"),""),"")</f>
        <v/>
      </c>
      <c r="Q2074" s="7"/>
      <c r="R2074" s="300" t="str">
        <f>$B2049</f>
        <v>C</v>
      </c>
      <c r="S2074" s="331" t="str">
        <f ca="1">IF($B2069&lt;&gt;"",$B2069,"")</f>
        <v/>
      </c>
      <c r="T2074" s="332"/>
      <c r="U2074" s="332"/>
      <c r="V2074" s="332"/>
      <c r="W2074" s="332"/>
      <c r="X2074" s="333"/>
      <c r="Y2074" s="329"/>
      <c r="Z2074" s="329"/>
      <c r="AA2074" s="329"/>
      <c r="AB2074" s="329"/>
      <c r="AC2074" s="329"/>
      <c r="AD2074" s="345"/>
      <c r="AE2074" s="358"/>
      <c r="AF2074" s="359"/>
    </row>
    <row r="2075" spans="1:32" ht="12.75" customHeight="1">
      <c r="A2075" s="5" t="s">
        <v>1228</v>
      </c>
      <c r="B2075" s="290" t="s">
        <v>1126</v>
      </c>
      <c r="C2075" s="291"/>
      <c r="D2075" s="291"/>
      <c r="E2075" s="291"/>
      <c r="F2075" s="291"/>
      <c r="G2075" s="292"/>
      <c r="H2075" s="5">
        <v>1</v>
      </c>
      <c r="I2075" s="5">
        <v>2</v>
      </c>
      <c r="J2075" s="5">
        <v>3</v>
      </c>
      <c r="K2075" s="5">
        <v>4</v>
      </c>
      <c r="L2075" s="5">
        <v>5</v>
      </c>
      <c r="M2075" s="271"/>
      <c r="N2075" s="272"/>
      <c r="O2075" s="272"/>
      <c r="P2075" s="273"/>
      <c r="Q2075" s="7"/>
      <c r="R2075" s="330"/>
      <c r="S2075" s="334"/>
      <c r="T2075" s="335"/>
      <c r="U2075" s="335"/>
      <c r="V2075" s="335"/>
      <c r="W2075" s="335"/>
      <c r="X2075" s="336"/>
      <c r="Y2075" s="330"/>
      <c r="Z2075" s="330"/>
      <c r="AA2075" s="330"/>
      <c r="AB2075" s="330"/>
      <c r="AC2075" s="330"/>
      <c r="AD2075" s="360"/>
      <c r="AE2075" s="361"/>
      <c r="AF2075" s="362"/>
    </row>
    <row r="2076" spans="1:32" ht="12.75" customHeight="1">
      <c r="A2076" s="300" t="str">
        <f>B2049</f>
        <v>C</v>
      </c>
      <c r="B2076" s="293" t="str">
        <f ca="1">IF(AND(OFFSET($AO$1,$C2049-1,8,1,1),$A2050&lt;&gt;"",$J2050&lt;&gt;""),CHOOSE($C2049,$AR$1,$AR$2,$AR$3,$AR$4,$AR$5,$AR$6,$AR$7,$AR$8,$AR$9,$AR$10,$AR$11,$AR$12),"")</f>
        <v/>
      </c>
      <c r="C2076" s="294"/>
      <c r="D2076" s="294"/>
      <c r="E2076" s="294"/>
      <c r="F2076" s="294"/>
      <c r="G2076" s="294"/>
      <c r="H2076" s="265"/>
      <c r="I2076" s="265"/>
      <c r="J2076" s="265"/>
      <c r="K2076" s="265"/>
      <c r="L2076" s="265" t="str">
        <f ca="1">IF(AND($B2076&lt;&gt;"",$Q2055&lt;&gt;""),IF($B2076="Missing Player",0,IF($B2078="Missing Player",11,"")),"")</f>
        <v/>
      </c>
      <c r="M2076" s="262" t="str">
        <f ca="1">IF(OR(AND($B2069&lt;&gt;"",$B2076&lt;&gt;"",$E2080&lt;=$D2080),AND($B2071&lt;&gt;"",$B2078&lt;&gt;"",$I2080&lt;=$H2080)),"Invalid Lineup","")</f>
        <v/>
      </c>
      <c r="N2076" s="263"/>
      <c r="O2076" s="263"/>
      <c r="P2076" s="264"/>
      <c r="Q2076" s="137" t="str">
        <f ca="1">IF($L2076=$L2078,IF($K2076=$K2078,IF($J2076&lt;&gt;"",IF($J2076&gt;$J2078,"W","L"),""),IF($K2076&gt;$K2078,"W","L")),IF($L2076&gt;$L2078,"W","L"))</f>
        <v/>
      </c>
      <c r="R2076" s="300" t="str">
        <f>$K2049</f>
        <v>K</v>
      </c>
      <c r="S2076" s="331" t="str">
        <f ca="1">IF($B2071&lt;&gt;"",$B2071,"")</f>
        <v/>
      </c>
      <c r="T2076" s="332"/>
      <c r="U2076" s="332"/>
      <c r="V2076" s="332"/>
      <c r="W2076" s="332"/>
      <c r="X2076" s="333"/>
      <c r="Y2076" s="329"/>
      <c r="Z2076" s="329"/>
      <c r="AA2076" s="329"/>
      <c r="AB2076" s="329"/>
      <c r="AC2076" s="351"/>
      <c r="AD2076" s="363" t="s">
        <v>1237</v>
      </c>
      <c r="AE2076" s="358"/>
      <c r="AF2076" s="359"/>
    </row>
    <row r="2077" spans="1:32" ht="12.75" customHeight="1">
      <c r="A2077" s="301"/>
      <c r="B2077" s="295"/>
      <c r="C2077" s="296"/>
      <c r="D2077" s="296"/>
      <c r="E2077" s="296"/>
      <c r="F2077" s="296"/>
      <c r="G2077" s="296"/>
      <c r="H2077" s="270"/>
      <c r="I2077" s="270"/>
      <c r="J2077" s="270"/>
      <c r="K2077" s="270"/>
      <c r="L2077" s="270"/>
      <c r="M2077" s="262"/>
      <c r="N2077" s="263"/>
      <c r="O2077" s="263"/>
      <c r="P2077" s="264"/>
      <c r="Q2077" s="139" t="str">
        <f ca="1">IF($Q2076&lt;&gt;"",IF($B2078&lt;&gt;"Missing Player",IF($Q2076="W",IF(SUM(IF($H2076&gt;$H2078,1,0),IF($I2076&gt;$I2078,1,0),IF($J2076&gt;$J2078,1,0),IF($K2076&gt;$K2078,1,0),IF($L2076&gt;$L2078,1,0))&lt;&gt;3,"Error",""),""),""),"")</f>
        <v/>
      </c>
      <c r="R2077" s="330"/>
      <c r="S2077" s="334"/>
      <c r="T2077" s="335"/>
      <c r="U2077" s="335"/>
      <c r="V2077" s="335"/>
      <c r="W2077" s="335"/>
      <c r="X2077" s="336"/>
      <c r="Y2077" s="330"/>
      <c r="Z2077" s="330"/>
      <c r="AA2077" s="330"/>
      <c r="AB2077" s="330"/>
      <c r="AC2077" s="330"/>
      <c r="AD2077" s="360"/>
      <c r="AE2077" s="361"/>
      <c r="AF2077" s="362"/>
    </row>
    <row r="2078" spans="1:32" ht="12.75" customHeight="1">
      <c r="A2078" s="300" t="str">
        <f>K2049</f>
        <v>K</v>
      </c>
      <c r="B2078" s="293" t="str">
        <f ca="1">IF(AND(OFFSET($AO$1,$L2049-1,8,1,1),$A2050&lt;&gt;"",$J2050&lt;&gt;""),CHOOSE($L2049,$AR$1,$AR$2,$AR$3,$AR$4,$AR$5,$AR$6,$AR$7,$AR$8,$AR$9,$AR$10,$AR$11,$AR$12),"")</f>
        <v/>
      </c>
      <c r="C2078" s="294"/>
      <c r="D2078" s="294"/>
      <c r="E2078" s="294"/>
      <c r="F2078" s="294"/>
      <c r="G2078" s="294"/>
      <c r="H2078" s="265"/>
      <c r="I2078" s="265"/>
      <c r="J2078" s="265"/>
      <c r="K2078" s="265"/>
      <c r="L2078" s="265" t="str">
        <f ca="1">IF(AND($B2078&lt;&gt;"",$Q2055&lt;&gt;""),IF($B2078="Missing Player",0,IF($B2076="Missing Player",11,"")),"")</f>
        <v/>
      </c>
      <c r="M2078" s="267" t="s">
        <v>1237</v>
      </c>
      <c r="N2078" s="268"/>
      <c r="O2078" s="268"/>
      <c r="P2078" s="269"/>
      <c r="Q2078" s="137" t="str">
        <f ca="1">IF($Q2076&lt;&gt;"",IF($Q2076="W","L","W"),"")</f>
        <v/>
      </c>
      <c r="R2078" s="112"/>
      <c r="S2078" s="98"/>
      <c r="T2078" s="108"/>
      <c r="U2078" s="108"/>
      <c r="V2078" s="108"/>
      <c r="W2078" s="108"/>
      <c r="X2078" s="108"/>
      <c r="Y2078" s="113"/>
      <c r="Z2078" s="113"/>
      <c r="AA2078" s="113"/>
      <c r="AB2078" s="113"/>
      <c r="AC2078" s="113"/>
      <c r="AD2078" s="107"/>
      <c r="AE2078" s="109"/>
      <c r="AF2078" s="109"/>
    </row>
    <row r="2079" spans="1:32" ht="12.75" customHeight="1">
      <c r="A2079" s="301"/>
      <c r="B2079" s="295"/>
      <c r="C2079" s="296"/>
      <c r="D2079" s="296"/>
      <c r="E2079" s="296"/>
      <c r="F2079" s="296"/>
      <c r="G2079" s="296"/>
      <c r="H2079" s="270"/>
      <c r="I2079" s="270"/>
      <c r="J2079" s="266"/>
      <c r="K2079" s="266"/>
      <c r="L2079" s="266"/>
      <c r="M2079" s="267"/>
      <c r="N2079" s="268"/>
      <c r="O2079" s="268"/>
      <c r="P2079" s="269"/>
      <c r="Q2079" s="139" t="str">
        <f ca="1">IF($Q2078&lt;&gt;"",IF($B2076&lt;&gt;"Missing Player",IF($Q2078="W",IF(SUM(IF($H2078&gt;$H2076,1,0),IF($I2078&gt;$I2076,1,0),IF($J2078&gt;$J2076,1,0),IF($K2078&gt;$K2076,1,0),IF($L2078&gt;$L2076,1,0))&lt;&gt;3,"Error",""),""),""),"")</f>
        <v/>
      </c>
      <c r="R2079" s="114"/>
      <c r="S2079" s="115"/>
      <c r="T2079" s="115"/>
      <c r="U2079" s="115"/>
      <c r="V2079" s="115"/>
      <c r="W2079" s="115"/>
      <c r="X2079" s="115"/>
      <c r="Y2079" s="114"/>
      <c r="Z2079" s="114"/>
      <c r="AA2079" s="114"/>
      <c r="AB2079" s="114"/>
      <c r="AC2079" s="114"/>
      <c r="AD2079" s="114"/>
      <c r="AE2079" s="114"/>
      <c r="AF2079" s="114"/>
    </row>
    <row r="2080" spans="1:32" ht="12.75" customHeight="1">
      <c r="B2080" s="140" t="str">
        <f ca="1">IF(ISERROR(VLOOKUP($B2055&amp;"("&amp;$B2049&amp;")",Players!$S$4:$T$132,2,FALSE)),"",VLOOKUP($B2055&amp;"("&amp;$B2049&amp;")",Players!$S$4:$T$132,2,FALSE))</f>
        <v>C1</v>
      </c>
      <c r="C2080" s="140" t="str">
        <f ca="1">IF(ISERROR(VLOOKUP($B2062&amp;"("&amp;$B2049&amp;")",Players!$S$4:$T$132,2,FALSE)),"",VLOOKUP($B2062&amp;"("&amp;$B2049&amp;")",Players!$S$4:$T$132,2,FALSE))</f>
        <v>C1</v>
      </c>
      <c r="D2080" s="141" t="str">
        <f ca="1">IF(ISERROR(VLOOKUP($B2069&amp;"("&amp;$B2049&amp;")",Players!$S$4:$T$132,2,FALSE)),"",VLOOKUP($B2069&amp;"("&amp;$B2049&amp;")",Players!$S$4:$T$132,2,FALSE))</f>
        <v>C1</v>
      </c>
      <c r="E2080" s="141" t="str">
        <f ca="1">IF(ISERROR(VLOOKUP($B2076&amp;"("&amp;$B2049&amp;")",Players!$S$4:$T$132,2,FALSE)),"",VLOOKUP($B2076&amp;"("&amp;$B2049&amp;")",Players!$S$4:$T$132,2,FALSE))</f>
        <v>C1</v>
      </c>
      <c r="F2080" s="141" t="str">
        <f ca="1">IF(ISERROR(VLOOKUP($B2057&amp;"("&amp;$K2049&amp;")",Players!$S$4:$T$132,2,FALSE)),"",VLOOKUP($B2057&amp;"("&amp;$K2049&amp;")",Players!$S$4:$T$132,2,FALSE))</f>
        <v>K1</v>
      </c>
      <c r="G2080" s="141" t="str">
        <f ca="1">IF(ISERROR(VLOOKUP($B2064&amp;"("&amp;$K2049&amp;")",Players!$S$4:$T$132,2,FALSE)),"",VLOOKUP($B2064&amp;"("&amp;$K2049&amp;")",Players!$S$4:$T$132,2,FALSE))</f>
        <v>K1</v>
      </c>
      <c r="H2080" s="141" t="str">
        <f ca="1">IF(ISERROR(VLOOKUP($B2071&amp;"("&amp;$K2049&amp;")",Players!$S$4:$T$132,2,FALSE)),"",VLOOKUP($B2071&amp;"("&amp;$K2049&amp;")",Players!$S$4:$T$132,2,FALSE))</f>
        <v>K1</v>
      </c>
      <c r="I2080" s="141" t="str">
        <f ca="1">IF(ISERROR(VLOOKUP($B2078&amp;"("&amp;$K2049&amp;")",Players!$S$4:$T$132,2,FALSE)),"",VLOOKUP($B2078&amp;"("&amp;$K2049&amp;")",Players!$S$4:$T$132,2,FALSE))</f>
        <v>K1</v>
      </c>
      <c r="Q2080" s="7"/>
      <c r="R2080" s="50"/>
      <c r="S2080" s="116"/>
      <c r="T2080" s="115"/>
      <c r="U2080" s="115"/>
      <c r="V2080" s="115"/>
      <c r="W2080" s="115"/>
      <c r="X2080" s="115"/>
      <c r="Y2080" s="99"/>
      <c r="Z2080" s="99"/>
      <c r="AA2080" s="99"/>
      <c r="AB2080" s="99"/>
      <c r="AC2080" s="117"/>
      <c r="AD2080" s="118"/>
      <c r="AE2080" s="114"/>
      <c r="AF2080" s="114"/>
    </row>
    <row r="2081" spans="1:32" ht="12.75" customHeight="1">
      <c r="A2081" s="21" t="s">
        <v>1225</v>
      </c>
      <c r="H2081" s="136" t="str">
        <f ca="1">IF($Q2083&lt;&gt;"",IF(AND($B2084&lt;&gt;"Missing Player",$B2086&lt;&gt;"Missing Player"),IF(AND(AND($H2083&gt;-1,$H2085&gt;-1),OR($H2083&gt;10,$H2085&gt;10),ABS($H2083-$H2085)&gt;1,IF(OR($H2083&gt;11,$H2085&gt;11),ABS($H2083-$H2085)=2,TRUE),$H2083=INT($H2083),$H2085=INT($H2085)),"","Error"),""),"")</f>
        <v/>
      </c>
      <c r="I2081" s="136" t="str">
        <f ca="1">IF($Q2083&lt;&gt;"",IF(AND($B2084&lt;&gt;"Missing Player",$B2086&lt;&gt;"Missing Player"),IF(AND(AND($I2083&gt;-1,$I2085&gt;-1),OR($I2083&gt;10,$I2085&gt;10),ABS($I2083-$I2085)&gt;1,IF(OR($I2083&gt;11,$I2085&gt;11),ABS($I2083-$I2085)=2,TRUE),$I2083=INT($I2083),$I2085=INT($I2085)),"","Error"),""),"")</f>
        <v/>
      </c>
      <c r="J2081" s="136" t="str">
        <f ca="1">IF($Q2083&lt;&gt;"",IF(AND($B2084&lt;&gt;"Missing Player",$B2086&lt;&gt;"Missing Player"),IF(AND(AND($J2083&gt;-1,$J2085&gt;-1),OR($J2083&gt;10,$J2085&gt;10),ABS($J2083-$J2085)&gt;1,IF(OR($J2083&gt;11,$J2085&gt;11),ABS($J2083-$J2085)=2,TRUE),$J2083=INT($J2083),$J2085=INT($J2085)),"","Error"),""),"")</f>
        <v/>
      </c>
      <c r="K2081" s="136" t="str">
        <f ca="1">IF($Q2083&lt;&gt;"",IF(AND($K2083&lt;&gt;"",$K2085&lt;&gt;""), IF(AND(AND($K2083&gt;-1,$K2085&gt;-1),OR($K2083&gt;10,$K2085&gt;10),ABS($K2083-$K2085)&gt;1,IF(OR($K2083&gt;11,$K2085&gt;11),ABS($K2083-$K2085)=2,TRUE),$K2083=INT($K2083),$K2085=INT($K2085)),"","Error"),""),"")</f>
        <v/>
      </c>
      <c r="L2081" s="136" t="str">
        <f ca="1">IF($Q2083&lt;&gt;"",IF(AND($L2083&lt;&gt;"",$L2085&lt;&gt;""), IF(AND(AND($L2083&gt;-1,$L2085&gt;-1),OR($L2083&gt;10,$L2085&gt;10),ABS($L2083-$L2085)&gt;1,IF(OR($L2083&gt;11,$L2085&gt;11),ABS($L2083-$L2085)=2,TRUE),$L2083=INT($L2083),$L2085=INT($L2085)),"","Error"),""),"")</f>
        <v/>
      </c>
      <c r="Q2081" s="7"/>
      <c r="R2081" s="114"/>
      <c r="S2081" s="115"/>
      <c r="T2081" s="115"/>
      <c r="U2081" s="115"/>
      <c r="V2081" s="115"/>
      <c r="W2081" s="115"/>
      <c r="X2081" s="115"/>
      <c r="Y2081" s="114"/>
      <c r="Z2081" s="114"/>
      <c r="AA2081" s="114"/>
      <c r="AB2081" s="114"/>
      <c r="AC2081" s="114"/>
      <c r="AD2081" s="114"/>
      <c r="AE2081" s="114"/>
      <c r="AF2081" s="114"/>
    </row>
    <row r="2082" spans="1:32" ht="12.75" customHeight="1">
      <c r="A2082" s="5" t="s">
        <v>1228</v>
      </c>
      <c r="B2082" s="290" t="s">
        <v>1126</v>
      </c>
      <c r="C2082" s="291"/>
      <c r="D2082" s="291"/>
      <c r="E2082" s="291"/>
      <c r="F2082" s="291"/>
      <c r="G2082" s="292"/>
      <c r="H2082" s="5">
        <v>1</v>
      </c>
      <c r="I2082" s="5">
        <v>2</v>
      </c>
      <c r="J2082" s="5">
        <v>3</v>
      </c>
      <c r="K2082" s="5">
        <v>4</v>
      </c>
      <c r="L2082" s="5">
        <v>5</v>
      </c>
      <c r="M2082" s="271"/>
      <c r="N2082" s="272"/>
      <c r="O2082" s="272"/>
      <c r="P2082" s="273"/>
      <c r="Q2082" s="8"/>
      <c r="S2082" s="24"/>
      <c r="T2082" s="26"/>
    </row>
    <row r="2083" spans="1:32" ht="12.75" customHeight="1">
      <c r="A2083" s="300" t="str">
        <f>B2049</f>
        <v>C</v>
      </c>
      <c r="B2083" s="311" t="str">
        <f ca="1">IF($B2055&lt;&gt;"",$B2055,"")</f>
        <v/>
      </c>
      <c r="C2083" s="312"/>
      <c r="D2083" s="312"/>
      <c r="E2083" s="312"/>
      <c r="F2083" s="312"/>
      <c r="G2083" s="313"/>
      <c r="H2083" s="265"/>
      <c r="I2083" s="265"/>
      <c r="J2083" s="265"/>
      <c r="K2083" s="265"/>
      <c r="L2083" s="265" t="str">
        <f ca="1">IF($B2076&lt;&gt;"",IF(AND($B2076="Missing Player",$G2087=2,$J2087=2),0,IF(AND($B2078="Missing Player",$G2087=2,$J2087=2),11,"")),"")</f>
        <v/>
      </c>
      <c r="M2083" s="262" t="str">
        <f ca="1">IF(OR(AND($B2083&lt;&gt;"",$B2084&lt;&gt;"",$B2083=$B2084),AND($B2085&lt;&gt;"",$B2086&lt;&gt;"",$B2085=$B2086)),"Invalid Partner","")</f>
        <v/>
      </c>
      <c r="N2083" s="263"/>
      <c r="O2083" s="263"/>
      <c r="P2083" s="264"/>
      <c r="Q2083" s="138" t="str">
        <f ca="1">IF(L2083=L2085,IF(K2083=K2085,IF(J2083&lt;&gt;"",IF(J2083&gt;J2085,"W","L"),""),IF(K2083&gt;K2085,"W","L")),IF(L2083&gt;L2085,"W","L"))</f>
        <v/>
      </c>
      <c r="S2083" s="24"/>
      <c r="T2083" s="26"/>
    </row>
    <row r="2084" spans="1:32" ht="12.75" customHeight="1">
      <c r="A2084" s="324"/>
      <c r="B2084" s="308" t="str">
        <f ca="1">IF($B2076="Missing Player",$B2076,"")</f>
        <v/>
      </c>
      <c r="C2084" s="309"/>
      <c r="D2084" s="309"/>
      <c r="E2084" s="309"/>
      <c r="F2084" s="309"/>
      <c r="G2084" s="310"/>
      <c r="H2084" s="270"/>
      <c r="I2084" s="270"/>
      <c r="J2084" s="270"/>
      <c r="K2084" s="270"/>
      <c r="L2084" s="270"/>
      <c r="M2084" s="262"/>
      <c r="N2084" s="263"/>
      <c r="O2084" s="263"/>
      <c r="P2084" s="264"/>
      <c r="Q2084" s="139" t="str">
        <f ca="1">IF($Q2083&lt;&gt;"",IF($B2086&lt;&gt;"Missing Player",IF($Q2083="W",IF(SUM(IF($H2083&gt;$H2085,1,0),IF($I2083&gt;$I2085,1,0),IF($J2083&gt;$J2085,1,0),IF($K2083&gt;$K2085,1,0),IF($L2083&gt;$L2085,1,0))&lt;&gt;3,"Error",""),""),""),"")</f>
        <v/>
      </c>
      <c r="R2084" s="328" t="str">
        <f>$A2050</f>
        <v/>
      </c>
      <c r="S2084" s="328"/>
      <c r="T2084" s="328"/>
      <c r="U2084" s="328"/>
      <c r="V2084" s="328"/>
      <c r="W2084" s="328"/>
      <c r="X2084" s="256" t="str">
        <f>CONCATENATE("(",$B2049," vs ",$K2049,")")</f>
        <v>(C vs K)</v>
      </c>
      <c r="Y2084" s="256"/>
      <c r="Z2084" s="328" t="str">
        <f>$J2050</f>
        <v/>
      </c>
      <c r="AA2084" s="328"/>
      <c r="AB2084" s="328"/>
      <c r="AC2084" s="328"/>
      <c r="AD2084" s="328"/>
      <c r="AE2084" s="328"/>
      <c r="AF2084" s="43"/>
    </row>
    <row r="2085" spans="1:32" ht="12.75" customHeight="1">
      <c r="A2085" s="325" t="str">
        <f>K2049</f>
        <v>K</v>
      </c>
      <c r="B2085" s="311" t="str">
        <f ca="1">IF($B2057&lt;&gt;"",$B2057,"")</f>
        <v/>
      </c>
      <c r="C2085" s="312"/>
      <c r="D2085" s="312"/>
      <c r="E2085" s="312"/>
      <c r="F2085" s="312"/>
      <c r="G2085" s="313"/>
      <c r="H2085" s="265"/>
      <c r="I2085" s="265"/>
      <c r="J2085" s="265"/>
      <c r="K2085" s="265"/>
      <c r="L2085" s="265" t="str">
        <f ca="1">IF($B2078&lt;&gt;"",IF(AND($B2078="Missing Player",$G2087=2,$J2087=2),0,IF(AND($B2076="Missing Player",$G2087=2,$J2087=2),11,"")),"")</f>
        <v/>
      </c>
      <c r="M2085" s="267" t="s">
        <v>1237</v>
      </c>
      <c r="N2085" s="268"/>
      <c r="O2085" s="268"/>
      <c r="P2085" s="269"/>
      <c r="Q2085" s="138" t="str">
        <f ca="1">IF(Q2083&lt;&gt;"",IF(Q2083="W","L","W"),"")</f>
        <v/>
      </c>
      <c r="R2085" s="43"/>
      <c r="S2085" s="43"/>
      <c r="T2085" s="43"/>
      <c r="U2085" s="43"/>
      <c r="V2085" s="43"/>
      <c r="W2085" s="43"/>
      <c r="X2085" s="43"/>
      <c r="Y2085" s="43"/>
      <c r="Z2085" s="43"/>
      <c r="AA2085" s="43"/>
      <c r="AB2085" s="43"/>
      <c r="AC2085" s="43"/>
      <c r="AD2085" s="43"/>
      <c r="AE2085" s="43"/>
      <c r="AF2085" s="43"/>
    </row>
    <row r="2086" spans="1:32" ht="12.75" customHeight="1">
      <c r="A2086" s="324"/>
      <c r="B2086" s="308" t="str">
        <f ca="1">IF($B2078="Missing Player",$B2078,"")</f>
        <v/>
      </c>
      <c r="C2086" s="309"/>
      <c r="D2086" s="309"/>
      <c r="E2086" s="309"/>
      <c r="F2086" s="309"/>
      <c r="G2086" s="310"/>
      <c r="H2086" s="270"/>
      <c r="I2086" s="270"/>
      <c r="J2086" s="266"/>
      <c r="K2086" s="266"/>
      <c r="L2086" s="266"/>
      <c r="M2086" s="267"/>
      <c r="N2086" s="268"/>
      <c r="O2086" s="268"/>
      <c r="P2086" s="269"/>
      <c r="Q2086" s="139" t="str">
        <f ca="1">IF($Q2085&lt;&gt;"",IF($B2084&lt;&gt;"Missing Player",IF($Q2085="W",IF(SUM(IF($H2085&gt;$H2083,1,0),IF($I2085&gt;$I2083,1,0),IF($J2085&gt;$J2083,1,0),IF($K2085&gt;$K2083,1,0),IF($L2085&gt;$L2083,1,0))&lt;&gt;3,"Error",""),""),""),"")</f>
        <v/>
      </c>
      <c r="R2086" s="43" t="str">
        <f>A2074</f>
        <v>4th Singles</v>
      </c>
      <c r="S2086" s="43"/>
      <c r="T2086" s="43"/>
      <c r="U2086" s="43"/>
      <c r="V2086" s="43"/>
      <c r="W2086" s="43"/>
      <c r="X2086" s="43"/>
      <c r="Y2086" s="43"/>
      <c r="Z2086" s="43"/>
      <c r="AA2086" s="43"/>
      <c r="AB2086" s="43"/>
      <c r="AC2086" s="43"/>
      <c r="AD2086" s="43"/>
      <c r="AE2086" s="43"/>
      <c r="AF2086" s="43"/>
    </row>
    <row r="2087" spans="1:32" ht="12.75" customHeight="1">
      <c r="G2087" s="66">
        <f ca="1">COUNTIF($Q2055:$Q2055,"W")+COUNTIF($Q2062:$Q2062,"W")+COUNTIF($Q2069:$Q2069,"W")+COUNTIF($Q2076:$Q2076,"W")</f>
        <v>0</v>
      </c>
      <c r="J2087" s="66">
        <f ca="1">COUNTIF($Q2057:$Q2057,"W")+COUNTIF($Q2064:$Q2064,"W")+COUNTIF($Q2071:$Q2071,"W")+COUNTIF($Q2078:$Q2078,"W")</f>
        <v>0</v>
      </c>
      <c r="R2087" s="60" t="s">
        <v>1228</v>
      </c>
      <c r="S2087" s="339" t="s">
        <v>1126</v>
      </c>
      <c r="T2087" s="340"/>
      <c r="U2087" s="340"/>
      <c r="V2087" s="340"/>
      <c r="W2087" s="340"/>
      <c r="X2087" s="341"/>
      <c r="Y2087" s="60">
        <v>1</v>
      </c>
      <c r="Z2087" s="60">
        <v>2</v>
      </c>
      <c r="AA2087" s="60">
        <v>3</v>
      </c>
      <c r="AB2087" s="60">
        <v>4</v>
      </c>
      <c r="AC2087" s="60">
        <v>5</v>
      </c>
      <c r="AD2087" s="342"/>
      <c r="AE2087" s="343"/>
      <c r="AF2087" s="344"/>
    </row>
    <row r="2088" spans="1:32" ht="12.75" customHeight="1" thickBot="1">
      <c r="F2088" s="246" t="s">
        <v>1238</v>
      </c>
      <c r="G2088" s="246"/>
      <c r="H2088" s="246"/>
      <c r="I2088" s="246"/>
      <c r="J2088" s="246"/>
      <c r="K2088" s="246"/>
      <c r="R2088" s="300" t="str">
        <f>B2049</f>
        <v>C</v>
      </c>
      <c r="S2088" s="331" t="str">
        <f ca="1">IF($B2076&lt;&gt;"",$B2076,"")</f>
        <v/>
      </c>
      <c r="T2088" s="353"/>
      <c r="U2088" s="353"/>
      <c r="V2088" s="353"/>
      <c r="W2088" s="353"/>
      <c r="X2088" s="354"/>
      <c r="Y2088" s="329"/>
      <c r="Z2088" s="329"/>
      <c r="AA2088" s="351"/>
      <c r="AB2088" s="351"/>
      <c r="AC2088" s="351"/>
      <c r="AD2088" s="345"/>
      <c r="AE2088" s="346"/>
      <c r="AF2088" s="347"/>
    </row>
    <row r="2089" spans="1:32" ht="12.75" customHeight="1">
      <c r="A2089" s="22"/>
      <c r="B2089" s="22"/>
      <c r="C2089" s="22"/>
      <c r="D2089" s="22"/>
      <c r="E2089" s="22"/>
      <c r="G2089" s="304" t="str">
        <f>B2049</f>
        <v>C</v>
      </c>
      <c r="H2089" s="305"/>
      <c r="I2089" s="302" t="str">
        <f>K2049</f>
        <v>K</v>
      </c>
      <c r="J2089" s="303"/>
      <c r="L2089" s="22"/>
      <c r="M2089" s="22"/>
      <c r="N2089" s="22"/>
      <c r="O2089" s="22"/>
      <c r="P2089" s="22"/>
      <c r="R2089" s="301"/>
      <c r="S2089" s="355"/>
      <c r="T2089" s="356"/>
      <c r="U2089" s="356"/>
      <c r="V2089" s="356"/>
      <c r="W2089" s="356"/>
      <c r="X2089" s="357"/>
      <c r="Y2089" s="338"/>
      <c r="Z2089" s="338"/>
      <c r="AA2089" s="352"/>
      <c r="AB2089" s="352"/>
      <c r="AC2089" s="352"/>
      <c r="AD2089" s="348"/>
      <c r="AE2089" s="349"/>
      <c r="AF2089" s="350"/>
    </row>
    <row r="2090" spans="1:32" ht="12.75" customHeight="1" thickBot="1">
      <c r="A2090" s="2" t="s">
        <v>1228</v>
      </c>
      <c r="B2090" s="53" t="str">
        <f>B2049</f>
        <v>C</v>
      </c>
      <c r="C2090" s="3" t="s">
        <v>1226</v>
      </c>
      <c r="F2090" s="66" t="str">
        <f>CONCATENATE($B2049,"-",$K2049)</f>
        <v>C-K</v>
      </c>
      <c r="G2090" s="320" t="str">
        <f ca="1">IF(OR(Q2055&lt;&gt;"",Q2062&lt;&gt;"",Q2069&lt;&gt;"",Q2076&lt;&gt;"",Q2083&lt;&gt;""),COUNTIF(Q2055:Q2055,"W")+COUNTIF(Q2062:Q2062,"W")+COUNTIF(Q2069:Q2069,"W")+COUNTIF(Q2076:Q2076,"W")+COUNTIF(Q2083:Q2083,"W"),"")</f>
        <v/>
      </c>
      <c r="H2090" s="321"/>
      <c r="I2090" s="322" t="str">
        <f ca="1">IF(OR(Q2057&lt;&gt;"",Q2064&lt;&gt;"",Q2071&lt;&gt;"",Q2078&lt;&gt;"",Q2085&lt;&gt;""),COUNTIF(Q2057:Q2057,"W")+COUNTIF(Q2064:Q2064,"W")+COUNTIF(Q2071:Q2071,"W")+COUNTIF(Q2078:Q2078,"W")+COUNTIF(Q2085:Q2085,"W"),"")</f>
        <v/>
      </c>
      <c r="J2090" s="323"/>
      <c r="L2090" s="2" t="s">
        <v>1228</v>
      </c>
      <c r="M2090" s="53" t="str">
        <f>K2049</f>
        <v>K</v>
      </c>
      <c r="N2090" s="3" t="s">
        <v>1226</v>
      </c>
      <c r="R2090" s="300" t="str">
        <f>K2049</f>
        <v>K</v>
      </c>
      <c r="S2090" s="331" t="str">
        <f ca="1">IF($B2078&lt;&gt;"",$B2078,"")</f>
        <v/>
      </c>
      <c r="T2090" s="332"/>
      <c r="U2090" s="332"/>
      <c r="V2090" s="332"/>
      <c r="W2090" s="332"/>
      <c r="X2090" s="333"/>
      <c r="Y2090" s="329"/>
      <c r="Z2090" s="329"/>
      <c r="AA2090" s="351"/>
      <c r="AB2090" s="351"/>
      <c r="AC2090" s="351"/>
      <c r="AD2090" s="363" t="s">
        <v>1237</v>
      </c>
      <c r="AE2090" s="358"/>
      <c r="AF2090" s="359"/>
    </row>
    <row r="2091" spans="1:32" ht="12.75" customHeight="1">
      <c r="F2091" s="25" t="s">
        <v>3996</v>
      </c>
      <c r="G2091" s="23"/>
      <c r="H2091" s="23"/>
      <c r="I2091" s="23"/>
      <c r="J2091" s="23"/>
      <c r="K2091" s="24"/>
      <c r="R2091" s="330"/>
      <c r="S2091" s="334"/>
      <c r="T2091" s="335"/>
      <c r="U2091" s="335"/>
      <c r="V2091" s="335"/>
      <c r="W2091" s="335"/>
      <c r="X2091" s="336"/>
      <c r="Y2091" s="330"/>
      <c r="Z2091" s="330"/>
      <c r="AA2091" s="330"/>
      <c r="AB2091" s="330"/>
      <c r="AC2091" s="330"/>
      <c r="AD2091" s="360"/>
      <c r="AE2091" s="361"/>
      <c r="AF2091" s="362"/>
    </row>
    <row r="2092" spans="1:32" ht="12.75" customHeight="1">
      <c r="R2092" s="1"/>
      <c r="S2092" s="110"/>
      <c r="T2092" s="110"/>
      <c r="U2092" s="110"/>
      <c r="V2092" s="110"/>
      <c r="W2092" s="110"/>
      <c r="X2092" s="111"/>
      <c r="Y2092" s="111"/>
      <c r="Z2092" s="111"/>
      <c r="AA2092" s="111"/>
    </row>
    <row r="2093" spans="1:32" ht="12.75" customHeight="1">
      <c r="F2093" s="246" t="s">
        <v>4929</v>
      </c>
      <c r="G2093" s="246"/>
      <c r="H2093" s="246"/>
      <c r="I2093" s="246"/>
      <c r="R2093" s="1"/>
      <c r="S2093" s="110"/>
      <c r="T2093" s="110"/>
      <c r="U2093" s="110"/>
      <c r="V2093" s="110"/>
      <c r="W2093" s="110"/>
      <c r="X2093" s="111"/>
      <c r="Y2093" s="111"/>
      <c r="Z2093" s="111"/>
      <c r="AA2093" s="111"/>
    </row>
    <row r="2094" spans="1:32" ht="12.75" customHeight="1">
      <c r="F2094" s="246" t="s">
        <v>4930</v>
      </c>
      <c r="G2094" s="246"/>
      <c r="H2094" s="246"/>
      <c r="I2094" s="246"/>
      <c r="R2094" s="1"/>
      <c r="S2094" s="110"/>
      <c r="T2094" s="110"/>
      <c r="U2094" s="110"/>
      <c r="V2094" s="110"/>
      <c r="W2094" s="110"/>
      <c r="X2094" s="111"/>
      <c r="Y2094" s="111"/>
      <c r="Z2094" s="111"/>
      <c r="AA2094" s="111"/>
    </row>
    <row r="2095" spans="1:32" ht="12.75" customHeight="1">
      <c r="K2095" s="281" t="s">
        <v>1244</v>
      </c>
      <c r="L2095" s="281"/>
      <c r="M2095" s="281"/>
      <c r="N2095" s="281"/>
      <c r="O2095" s="281"/>
      <c r="P2095" s="281"/>
      <c r="R2095" s="1"/>
      <c r="S2095" s="110"/>
      <c r="T2095" s="110"/>
      <c r="U2095" s="110"/>
      <c r="V2095" s="110"/>
      <c r="W2095" s="110"/>
      <c r="X2095" s="111"/>
      <c r="Y2095" s="111"/>
      <c r="Z2095" s="111"/>
      <c r="AA2095" s="111"/>
    </row>
    <row r="2096" spans="1:32" ht="12.75" customHeight="1">
      <c r="A2096" s="12" t="s">
        <v>1229</v>
      </c>
      <c r="B2096" s="11"/>
      <c r="C2096" s="11"/>
      <c r="D2096" s="11" t="str">
        <f>Draw!$B$1</f>
        <v>Enter Division Name</v>
      </c>
      <c r="E2096" s="11"/>
      <c r="F2096" s="7"/>
      <c r="G2096" s="6"/>
      <c r="H2096" s="7"/>
      <c r="I2096" s="11"/>
      <c r="J2096" s="11"/>
      <c r="K2096" s="11"/>
      <c r="L2096" s="11"/>
      <c r="M2096" s="281"/>
      <c r="N2096" s="281"/>
      <c r="O2096" s="281"/>
      <c r="P2096" s="281"/>
      <c r="R2096" s="1"/>
      <c r="S2096" s="110"/>
      <c r="T2096" s="110"/>
      <c r="U2096" s="110"/>
      <c r="V2096" s="110"/>
      <c r="W2096" s="110"/>
      <c r="X2096" s="111"/>
      <c r="Y2096" s="111"/>
      <c r="Z2096" s="111"/>
      <c r="AA2096" s="111"/>
    </row>
    <row r="2097" spans="1:32" ht="12.75" customHeight="1">
      <c r="A2097" s="2" t="s">
        <v>1230</v>
      </c>
      <c r="D2097" s="43" t="str">
        <f>Draw!$D$1</f>
        <v>Enter Hosting Location (City, ST)</v>
      </c>
      <c r="J2097" s="43" t="str">
        <f ca="1">$J$6</f>
        <v>[NCTTA Teams Template (v2.06).xlsx]</v>
      </c>
      <c r="R2097" s="1"/>
      <c r="S2097" s="110"/>
      <c r="T2097" s="110"/>
      <c r="U2097" s="110"/>
      <c r="V2097" s="110"/>
      <c r="W2097" s="110"/>
      <c r="X2097" s="111"/>
      <c r="Y2097" s="111"/>
      <c r="Z2097" s="111"/>
      <c r="AA2097" s="111"/>
    </row>
    <row r="2098" spans="1:32" ht="12.75" customHeight="1">
      <c r="A2098" s="2" t="s">
        <v>1231</v>
      </c>
      <c r="D2098" s="337" t="str">
        <f>Draw!$P$1</f>
        <v>Enter Date</v>
      </c>
      <c r="E2098" s="337"/>
      <c r="F2098" s="337"/>
      <c r="G2098" s="337"/>
      <c r="J2098" s="280" t="str">
        <f>CHOOSE(Draw!$T$1,"Round 7, Match 6","","","","","","","","","Round 9, Match 2","Round 9, Match 2")</f>
        <v/>
      </c>
      <c r="K2098" s="280"/>
      <c r="L2098" s="280"/>
      <c r="M2098" s="276" t="str">
        <f>IF(AND($J2098&lt;&gt;"",Draw!$AC$10&lt;&gt;"",Draw!$AC$13&lt;&gt;""),Draw!$AC$10+TIME(0,VALUE(MID($J2098,7,FIND(",",$J2098)-FIND(" ",$J2098)-1)-1)*Draw!$AC$13,0),"")</f>
        <v/>
      </c>
      <c r="N2098" s="276"/>
      <c r="O2098" s="157" t="str">
        <f>$F2141</f>
        <v>C-L</v>
      </c>
      <c r="R2098" s="1"/>
      <c r="S2098" s="110"/>
      <c r="T2098" s="110"/>
      <c r="U2098" s="110"/>
      <c r="V2098" s="110"/>
      <c r="W2098" s="110"/>
      <c r="X2098" s="111"/>
      <c r="Y2098" s="111"/>
      <c r="Z2098" s="111"/>
      <c r="AA2098" s="111"/>
    </row>
    <row r="2099" spans="1:32" ht="12.75" customHeight="1">
      <c r="A2099" s="14"/>
      <c r="B2099" s="15"/>
      <c r="C2099" s="15"/>
      <c r="D2099" s="15"/>
      <c r="E2099" s="15"/>
      <c r="F2099" s="14"/>
      <c r="G2099" s="14"/>
      <c r="H2099" s="16"/>
      <c r="I2099" s="14"/>
      <c r="J2099" s="15"/>
      <c r="K2099" s="15"/>
      <c r="L2099" s="15"/>
      <c r="M2099" s="15"/>
      <c r="N2099" s="15"/>
      <c r="O2099" s="364" t="str">
        <f>IF(OR(AND(VLOOKUP($B2100,$AM$1:$AX$12,12,FALSE)="C",VLOOKUP($K2100,$AM$1:$AX$12,12,FALSE)="C"),AND(VLOOKUP($B2100,$AM$1:$AX$12,12,FALSE)="W",VLOOKUP($K2100,$AM$1:$AX$12,12,FALSE)="W")),"Official",IF(AND($A2101="",$J2101=""),"","Scrimmage"))</f>
        <v/>
      </c>
      <c r="P2099" s="364"/>
      <c r="R2099" s="1"/>
      <c r="S2099" s="110"/>
      <c r="T2099" s="110"/>
      <c r="U2099" s="110"/>
      <c r="V2099" s="110"/>
      <c r="W2099" s="110"/>
      <c r="X2099" s="111"/>
      <c r="Y2099" s="111"/>
      <c r="Z2099" s="111"/>
      <c r="AA2099" s="111"/>
    </row>
    <row r="2100" spans="1:32" ht="12.75" customHeight="1">
      <c r="A2100" s="17" t="s">
        <v>1228</v>
      </c>
      <c r="B2100" s="119" t="str">
        <f>CHOOSE(Draw!$T$1,"K","B","C","D","E","E","E","D","B","F","C")</f>
        <v>C</v>
      </c>
      <c r="C2100" s="135">
        <f>VLOOKUP($B2100,$AM$1:$AN$12,2)</f>
        <v>3</v>
      </c>
      <c r="D2100" s="13"/>
      <c r="E2100" s="13"/>
      <c r="F2100" s="10"/>
      <c r="H2100" s="19" t="s">
        <v>1232</v>
      </c>
      <c r="J2100" s="17" t="s">
        <v>1228</v>
      </c>
      <c r="K2100" s="119" t="str">
        <f>CHOOSE(Draw!$T$1,"L","L","L","I","I","I","H","J","L","H","E")</f>
        <v>L</v>
      </c>
      <c r="L2100" s="135">
        <f>VLOOKUP($K2100,$AM$1:$AN$12,2)</f>
        <v>12</v>
      </c>
      <c r="M2100" s="13"/>
      <c r="N2100" s="13"/>
      <c r="O2100" s="18"/>
      <c r="P2100" s="274"/>
      <c r="Q2100" s="275"/>
      <c r="R2100" s="1"/>
      <c r="S2100" s="110"/>
      <c r="T2100" s="110"/>
      <c r="U2100" s="110"/>
      <c r="V2100" s="110"/>
      <c r="W2100" s="110"/>
      <c r="X2100" s="111"/>
      <c r="Y2100" s="111"/>
      <c r="Z2100" s="111"/>
      <c r="AA2100" s="111"/>
    </row>
    <row r="2101" spans="1:32" ht="12.75" customHeight="1">
      <c r="A2101" s="277" t="str">
        <f>IF(VLOOKUP($B2100,Draw!$A$4:$B$27,2)&lt;&gt;0,VLOOKUP($B2100,Draw!$A$4:$B$27,2),"")</f>
        <v/>
      </c>
      <c r="B2101" s="278"/>
      <c r="C2101" s="278"/>
      <c r="D2101" s="278"/>
      <c r="E2101" s="278"/>
      <c r="F2101" s="279"/>
      <c r="G2101" s="306" t="s">
        <v>4193</v>
      </c>
      <c r="H2101" s="289"/>
      <c r="I2101" s="307"/>
      <c r="J2101" s="277" t="str">
        <f>IF(VLOOKUP($K2100,Draw!$A$4:$B$27,2)&lt;&gt;0,VLOOKUP($K2100,Draw!$A$4:$B$27,2),"")</f>
        <v/>
      </c>
      <c r="K2101" s="278"/>
      <c r="L2101" s="278"/>
      <c r="M2101" s="278"/>
      <c r="N2101" s="278"/>
      <c r="O2101" s="279"/>
      <c r="P2101" s="15"/>
      <c r="R2101" s="1"/>
      <c r="S2101" s="110"/>
      <c r="T2101" s="110"/>
      <c r="U2101" s="110"/>
      <c r="V2101" s="110"/>
      <c r="W2101" s="110"/>
      <c r="X2101" s="111"/>
      <c r="Y2101" s="111"/>
      <c r="Z2101" s="111"/>
      <c r="AA2101" s="111"/>
    </row>
    <row r="2102" spans="1:32" ht="12.75" customHeight="1">
      <c r="A2102" s="14"/>
      <c r="B2102" s="15"/>
      <c r="C2102" s="15"/>
      <c r="D2102" s="15"/>
      <c r="E2102" s="15"/>
      <c r="F2102" s="14"/>
      <c r="G2102" s="288" t="str">
        <f>"Page "&amp;VALUE(RIGHT($G2101,LEN($G2101)-SEARCH("-",$G2101)))/2</f>
        <v>Page 42</v>
      </c>
      <c r="H2102" s="289"/>
      <c r="I2102" s="289"/>
      <c r="J2102" s="15"/>
      <c r="K2102" s="15"/>
      <c r="L2102" s="15"/>
      <c r="M2102" s="15"/>
      <c r="N2102" s="15"/>
      <c r="O2102" s="15"/>
      <c r="P2102" s="15"/>
      <c r="R2102" s="1"/>
      <c r="S2102" s="110"/>
      <c r="T2102" s="110"/>
      <c r="U2102" s="110"/>
      <c r="V2102" s="110"/>
      <c r="W2102" s="110"/>
      <c r="X2102" s="111"/>
      <c r="Y2102" s="111"/>
      <c r="Z2102" s="111"/>
      <c r="AA2102" s="111"/>
      <c r="AF2102" s="27"/>
    </row>
    <row r="2103" spans="1:32" ht="12.75" customHeight="1">
      <c r="A2103" s="327" t="s">
        <v>1245</v>
      </c>
      <c r="B2103" s="327"/>
      <c r="C2103" s="327"/>
      <c r="D2103" s="327"/>
      <c r="E2103" s="327"/>
      <c r="F2103" s="327"/>
      <c r="G2103" s="327"/>
      <c r="H2103" s="327"/>
      <c r="I2103" s="327"/>
      <c r="J2103" s="327"/>
      <c r="K2103" s="327"/>
      <c r="L2103" s="327"/>
      <c r="M2103" s="327"/>
      <c r="N2103" s="327"/>
      <c r="O2103" s="327"/>
      <c r="P2103" s="327"/>
      <c r="Q2103" s="7"/>
      <c r="R2103" s="1"/>
      <c r="S2103" s="110"/>
      <c r="T2103" s="110"/>
      <c r="U2103" s="110"/>
      <c r="V2103" s="110"/>
      <c r="W2103" s="110"/>
      <c r="X2103" s="111"/>
      <c r="Y2103" s="111"/>
      <c r="Z2103" s="111"/>
      <c r="AA2103" s="111"/>
      <c r="AF2103" s="20"/>
    </row>
    <row r="2104" spans="1:32" ht="12.75" customHeight="1">
      <c r="A2104" s="21" t="s">
        <v>1233</v>
      </c>
      <c r="H2104" s="136" t="str">
        <f>IF($Q2106&lt;&gt;"",IF(AND(AND($H2106&gt;-1,$H2108&gt;-1),OR($H2106&gt;10,$H2108&gt;10),ABS($H2106-$H2108)&gt;1,IF(OR($H2106&gt;11,$H2108&gt;11),ABS($H2106-$H2108)=2,TRUE),$H2106=INT($H2106),$H2108=INT($H2108)),"","Error"),"")</f>
        <v/>
      </c>
      <c r="I2104" s="136" t="str">
        <f>IF($Q2106&lt;&gt;"",IF(AND(AND($I2106&gt;-1,$I2108&gt;-1),OR($I2106&gt;10,$I2108&gt;10),ABS($I2106-$I2108)&gt;1,IF(OR($I2106&gt;11,$I2108&gt;11),ABS($I2106-$I2108)=2,TRUE),$I2106=INT($I2106),$I2108=INT($I2108)),"","Error"),"")</f>
        <v/>
      </c>
      <c r="J2104" s="136" t="str">
        <f>IF($Q2106&lt;&gt;"",IF(AND(AND($J2106&gt;-1,$J2108&gt;-1),OR($J2106&gt;10,$J2108&gt;10),ABS($J2106-$J2108)&gt;1,IF(OR($J2106&gt;11,$J2108&gt;11),ABS($J2106-$J2108)=2,TRUE),$J2106=INT($J2106),$J2108=INT($J2108)),"","Error"),"")</f>
        <v/>
      </c>
      <c r="K2104" s="136" t="str">
        <f>IF($Q2106&lt;&gt;"",IF(AND($K2106&lt;&gt;"",$K2108&lt;&gt;""), IF(AND(AND($K2106&gt;-1,$K2108&gt;-1),OR($K2106&gt;10,$K2108&gt;10),ABS($K2106-$K2108)&gt;1,IF(OR($K2106&gt;11,$K2108&gt;11),ABS($K2106-$K2108)=2,TRUE),$K2106=INT($K2106),$K2108=INT($K2108)),"","Error"),""),"")</f>
        <v/>
      </c>
      <c r="L2104" s="136" t="str">
        <f>IF($Q2106&lt;&gt;"",IF(AND($L2106&lt;&gt;"",$L2108&lt;&gt;""), IF(AND(AND($L2106&gt;-1,$L2108&gt;-1),OR($L2106&gt;10,$L2108&gt;10),ABS($L2106-$L2108)&gt;1,IF(OR($L2106&gt;11,$L2108&gt;11),ABS($L2106-$L2108)=2,TRUE),$L2106=INT($L2106),$L2108=INT($L2108)),"","Error"),""),"")</f>
        <v/>
      </c>
      <c r="R2104" s="1"/>
      <c r="S2104" s="110"/>
      <c r="T2104" s="110"/>
      <c r="U2104" s="110"/>
      <c r="V2104" s="110"/>
      <c r="W2104" s="110"/>
      <c r="X2104" s="111"/>
      <c r="Y2104" s="111"/>
      <c r="Z2104" s="111"/>
      <c r="AA2104" s="111"/>
    </row>
    <row r="2105" spans="1:32" ht="12.75" customHeight="1">
      <c r="A2105" s="5" t="s">
        <v>1228</v>
      </c>
      <c r="B2105" s="290" t="s">
        <v>1126</v>
      </c>
      <c r="C2105" s="291"/>
      <c r="D2105" s="291"/>
      <c r="E2105" s="291"/>
      <c r="F2105" s="291"/>
      <c r="G2105" s="292"/>
      <c r="H2105" s="5">
        <v>1</v>
      </c>
      <c r="I2105" s="5">
        <v>2</v>
      </c>
      <c r="J2105" s="5">
        <v>3</v>
      </c>
      <c r="K2105" s="5">
        <v>4</v>
      </c>
      <c r="L2105" s="5">
        <v>5</v>
      </c>
      <c r="M2105" s="271"/>
      <c r="N2105" s="272"/>
      <c r="O2105" s="272"/>
      <c r="P2105" s="273"/>
      <c r="R2105" s="1"/>
      <c r="S2105" s="110"/>
      <c r="T2105" s="110"/>
      <c r="U2105" s="110"/>
      <c r="V2105" s="110"/>
      <c r="W2105" s="110"/>
      <c r="X2105" s="111"/>
      <c r="Y2105" s="111"/>
      <c r="Z2105" s="111"/>
      <c r="AA2105" s="111"/>
    </row>
    <row r="2106" spans="1:32" ht="12.75" customHeight="1">
      <c r="A2106" s="300" t="str">
        <f>B2100</f>
        <v>C</v>
      </c>
      <c r="B2106" s="293" t="str">
        <f ca="1">IF(AND(OFFSET($AO$1,$C2100-1,8,1,1),$A2101&lt;&gt;"",$J2101&lt;&gt;""),CHOOSE($C2100,$AO$1,$AO$2,$AO$3,$AO$4,$AO$5,$AO$6,$AO$7,$AO$8,$AO$9,$AO$10,$AO$11,$AO$12),"")</f>
        <v/>
      </c>
      <c r="C2106" s="294"/>
      <c r="D2106" s="294"/>
      <c r="E2106" s="294"/>
      <c r="F2106" s="294"/>
      <c r="G2106" s="294"/>
      <c r="H2106" s="265"/>
      <c r="I2106" s="265"/>
      <c r="J2106" s="265"/>
      <c r="K2106" s="265"/>
      <c r="L2106" s="265"/>
      <c r="M2106" s="297"/>
      <c r="N2106" s="298"/>
      <c r="O2106" s="298"/>
      <c r="P2106" s="299"/>
      <c r="Q2106" s="137" t="str">
        <f>IF($L2106=$L2108,IF($K2106=$K2108,IF($J2106&lt;&gt;"",IF($J2106&gt;$J2108,"W","L"),""),IF($K2106&gt;$K2108,"W","L")),IF($L2106&gt;$L2108,"W","L"))</f>
        <v/>
      </c>
      <c r="R2106" s="1"/>
      <c r="S2106" s="110"/>
      <c r="T2106" s="110"/>
      <c r="U2106" s="110"/>
      <c r="V2106" s="110"/>
      <c r="W2106" s="110"/>
      <c r="X2106" s="111"/>
      <c r="Y2106" s="111"/>
      <c r="Z2106" s="111"/>
      <c r="AA2106" s="111"/>
    </row>
    <row r="2107" spans="1:32" ht="12.75" customHeight="1">
      <c r="A2107" s="301"/>
      <c r="B2107" s="295"/>
      <c r="C2107" s="296"/>
      <c r="D2107" s="296"/>
      <c r="E2107" s="296"/>
      <c r="F2107" s="296"/>
      <c r="G2107" s="296"/>
      <c r="H2107" s="270"/>
      <c r="I2107" s="270"/>
      <c r="J2107" s="270"/>
      <c r="K2107" s="270"/>
      <c r="L2107" s="270"/>
      <c r="M2107" s="297"/>
      <c r="N2107" s="298"/>
      <c r="O2107" s="298"/>
      <c r="P2107" s="299"/>
      <c r="Q2107" s="139" t="str">
        <f>IF($Q2106&lt;&gt;"",IF($Q2106="W",IF(SUM(IF($H2106&gt;$H2108,1,0),IF($I2106&gt;$I2108,1,0),IF($J2106&gt;$J2108,1,0),IF($K2106&gt;$K2108,1,0),IF($L2106&gt;$L2108,1,0))&lt;&gt;3,"Error",""),""),"")</f>
        <v/>
      </c>
      <c r="R2107" s="328" t="str">
        <f>$A2101</f>
        <v/>
      </c>
      <c r="S2107" s="328"/>
      <c r="T2107" s="328"/>
      <c r="U2107" s="328"/>
      <c r="V2107" s="328"/>
      <c r="W2107" s="328"/>
      <c r="X2107" s="256" t="str">
        <f>CONCATENATE("(",$B2100," vs ",$K2100,")")</f>
        <v>(C vs L)</v>
      </c>
      <c r="Y2107" s="256"/>
      <c r="Z2107" s="328" t="str">
        <f>$J2101</f>
        <v/>
      </c>
      <c r="AA2107" s="328"/>
      <c r="AB2107" s="328"/>
      <c r="AC2107" s="328"/>
      <c r="AD2107" s="328"/>
      <c r="AE2107" s="328"/>
      <c r="AF2107" s="43"/>
    </row>
    <row r="2108" spans="1:32" ht="12.75" customHeight="1">
      <c r="A2108" s="300" t="str">
        <f>K2100</f>
        <v>L</v>
      </c>
      <c r="B2108" s="293" t="str">
        <f ca="1">IF(AND(OFFSET($AO$1,$L2100-1,8,1,1),$A2101&lt;&gt;"",$J2101&lt;&gt;""),CHOOSE($L2100,$AO$1,$AO$2,$AO$3,$AO$4,$AO$5,$AO$6,$AO$7,$AO$8,$AO$9,$AO$10,$AO$11,$AO$12),"")</f>
        <v/>
      </c>
      <c r="C2108" s="294"/>
      <c r="D2108" s="294"/>
      <c r="E2108" s="294"/>
      <c r="F2108" s="294"/>
      <c r="G2108" s="294"/>
      <c r="H2108" s="265"/>
      <c r="I2108" s="265"/>
      <c r="J2108" s="265"/>
      <c r="K2108" s="265"/>
      <c r="L2108" s="265"/>
      <c r="M2108" s="267" t="s">
        <v>1237</v>
      </c>
      <c r="N2108" s="268"/>
      <c r="O2108" s="268"/>
      <c r="P2108" s="269"/>
      <c r="Q2108" s="137" t="str">
        <f>IF($Q2106&lt;&gt;"",IF($Q2106="W","L","W"),"")</f>
        <v/>
      </c>
      <c r="R2108" s="43"/>
      <c r="S2108" s="43"/>
      <c r="T2108" s="43"/>
      <c r="U2108" s="43"/>
      <c r="V2108" s="43"/>
      <c r="W2108" s="43"/>
      <c r="X2108" s="43"/>
      <c r="Y2108" s="43"/>
      <c r="Z2108" s="43"/>
      <c r="AA2108" s="43"/>
      <c r="AB2108" s="43"/>
      <c r="AC2108" s="43"/>
      <c r="AD2108" s="43"/>
      <c r="AE2108" s="43"/>
      <c r="AF2108" s="43"/>
    </row>
    <row r="2109" spans="1:32" ht="12.75" customHeight="1">
      <c r="A2109" s="301"/>
      <c r="B2109" s="295"/>
      <c r="C2109" s="296"/>
      <c r="D2109" s="296"/>
      <c r="E2109" s="296"/>
      <c r="F2109" s="296"/>
      <c r="G2109" s="296"/>
      <c r="H2109" s="270"/>
      <c r="I2109" s="270"/>
      <c r="J2109" s="266"/>
      <c r="K2109" s="266"/>
      <c r="L2109" s="266"/>
      <c r="M2109" s="267"/>
      <c r="N2109" s="268"/>
      <c r="O2109" s="268"/>
      <c r="P2109" s="269"/>
      <c r="Q2109" s="139" t="str">
        <f>IF($Q2108&lt;&gt;"",IF($Q2108="W",IF(SUM(IF($H2108&gt;$H2106,1,0),IF($I2108&gt;$I2106,1,0),IF($J2108&gt;$J2106,1,0),IF($K2108&gt;$K2106,1,0),IF($L2108&gt;$L2106,1,0))&lt;&gt;3,"Error",""),""),"")</f>
        <v/>
      </c>
      <c r="R2109" s="43" t="str">
        <f>$A2111</f>
        <v>2nd Singles</v>
      </c>
      <c r="S2109" s="43"/>
      <c r="T2109" s="43"/>
      <c r="U2109" s="43"/>
      <c r="V2109" s="43"/>
      <c r="W2109" s="43"/>
      <c r="X2109" s="43"/>
      <c r="Y2109" s="43"/>
      <c r="Z2109" s="43"/>
      <c r="AA2109" s="43"/>
      <c r="AB2109" s="43"/>
      <c r="AC2109" s="43"/>
      <c r="AD2109" s="43"/>
      <c r="AE2109" s="43"/>
      <c r="AF2109" s="43"/>
    </row>
    <row r="2110" spans="1:32" ht="12.75" customHeight="1">
      <c r="Q2110" s="7"/>
      <c r="R2110" s="60" t="s">
        <v>1228</v>
      </c>
      <c r="S2110" s="339" t="s">
        <v>1126</v>
      </c>
      <c r="T2110" s="340"/>
      <c r="U2110" s="340"/>
      <c r="V2110" s="340"/>
      <c r="W2110" s="340"/>
      <c r="X2110" s="341"/>
      <c r="Y2110" s="60">
        <v>1</v>
      </c>
      <c r="Z2110" s="60">
        <v>2</v>
      </c>
      <c r="AA2110" s="60">
        <v>3</v>
      </c>
      <c r="AB2110" s="60">
        <v>4</v>
      </c>
      <c r="AC2110" s="60">
        <v>5</v>
      </c>
      <c r="AD2110" s="342"/>
      <c r="AE2110" s="343"/>
      <c r="AF2110" s="344"/>
    </row>
    <row r="2111" spans="1:32" ht="12.75" customHeight="1">
      <c r="A2111" s="21" t="s">
        <v>1234</v>
      </c>
      <c r="H2111" s="136" t="str">
        <f>IF($Q2113&lt;&gt;"",IF(AND(AND($H2113&gt;-1,$H2115&gt;-1),OR($H2113&gt;10,$H2115&gt;10),ABS($H2113-$H2115)&gt;1,IF(OR($H2113&gt;11,$H2115&gt;11),ABS($H2113-$H2115)=2,TRUE),$H2113=INT($H2113),$H2115=INT($H2115)),"","Error"),"")</f>
        <v/>
      </c>
      <c r="I2111" s="136" t="str">
        <f>IF($Q2113&lt;&gt;"",IF(AND(AND($I2113&gt;-1,$I2115&gt;-1),OR($I2113&gt;10,$I2115&gt;10),ABS($I2113-$I2115)&gt;1,IF(OR($I2113&gt;11,$I2115&gt;11),ABS($I2113-$I2115)=2,TRUE),$I2113=INT($I2113),$I2115=INT($I2115)),"","Error"),"")</f>
        <v/>
      </c>
      <c r="J2111" s="136" t="str">
        <f>IF($Q2113&lt;&gt;"",IF(AND(AND($J2113&gt;-1,$J2115&gt;-1),OR($J2113&gt;10,$J2115&gt;10),ABS($J2113-$J2115)&gt;1,IF(OR($J2113&gt;11,$J2115&gt;11),ABS($J2113-$J2115)=2,TRUE),$J2113=INT($J2113),$J2115=INT($J2115)),"","Error"),"")</f>
        <v/>
      </c>
      <c r="K2111" s="136" t="str">
        <f>IF($Q2113&lt;&gt;"",IF(AND($K2113&lt;&gt;"",$K2115&lt;&gt;""), IF(AND(AND($K2113&gt;-1,$K2115&gt;-1),OR($K2113&gt;10,$K2115&gt;10),ABS($K2113-$K2115)&gt;1,IF(OR($K2113&gt;11,$K2115&gt;11),ABS($K2113-$K2115)=2,TRUE),$K2113=INT($K2113),$K2115=INT($K2115)),"","Error"),""),"")</f>
        <v/>
      </c>
      <c r="L2111" s="136" t="str">
        <f>IF($Q2113&lt;&gt;"",IF(AND($L2113&lt;&gt;"",$L2115&lt;&gt;""), IF(AND(AND($L2113&gt;-1,$L2115&gt;-1),OR($L2113&gt;10,$L2115&gt;10),ABS($L2113-$L2115)&gt;1,IF(OR($L2113&gt;11,$L2115&gt;11),ABS($L2113-$L2115)=2,TRUE),$L2113=INT($L2113),$L2115=INT($L2115)),"","Error"),""),"")</f>
        <v/>
      </c>
      <c r="Q2111" s="7"/>
      <c r="R2111" s="300" t="str">
        <f>$B2100</f>
        <v>C</v>
      </c>
      <c r="S2111" s="331" t="str">
        <f ca="1">IF($B2113&lt;&gt;"",$B2113,"")</f>
        <v/>
      </c>
      <c r="T2111" s="332"/>
      <c r="U2111" s="332"/>
      <c r="V2111" s="332"/>
      <c r="W2111" s="332"/>
      <c r="X2111" s="333"/>
      <c r="Y2111" s="329"/>
      <c r="Z2111" s="329"/>
      <c r="AA2111" s="329"/>
      <c r="AB2111" s="329"/>
      <c r="AC2111" s="329"/>
      <c r="AD2111" s="345"/>
      <c r="AE2111" s="358"/>
      <c r="AF2111" s="359"/>
    </row>
    <row r="2112" spans="1:32" ht="12.75" customHeight="1">
      <c r="A2112" s="5" t="s">
        <v>1228</v>
      </c>
      <c r="B2112" s="290" t="s">
        <v>1126</v>
      </c>
      <c r="C2112" s="291"/>
      <c r="D2112" s="291"/>
      <c r="E2112" s="291"/>
      <c r="F2112" s="291"/>
      <c r="G2112" s="292"/>
      <c r="H2112" s="5">
        <v>1</v>
      </c>
      <c r="I2112" s="5">
        <v>2</v>
      </c>
      <c r="J2112" s="5">
        <v>3</v>
      </c>
      <c r="K2112" s="5">
        <v>4</v>
      </c>
      <c r="L2112" s="5">
        <v>5</v>
      </c>
      <c r="M2112" s="271"/>
      <c r="N2112" s="272"/>
      <c r="O2112" s="272"/>
      <c r="P2112" s="273"/>
      <c r="Q2112" s="7"/>
      <c r="R2112" s="330"/>
      <c r="S2112" s="334"/>
      <c r="T2112" s="335"/>
      <c r="U2112" s="335"/>
      <c r="V2112" s="335"/>
      <c r="W2112" s="335"/>
      <c r="X2112" s="336"/>
      <c r="Y2112" s="330"/>
      <c r="Z2112" s="330"/>
      <c r="AA2112" s="330"/>
      <c r="AB2112" s="330"/>
      <c r="AC2112" s="330"/>
      <c r="AD2112" s="360"/>
      <c r="AE2112" s="361"/>
      <c r="AF2112" s="362"/>
    </row>
    <row r="2113" spans="1:32" ht="12.75" customHeight="1">
      <c r="A2113" s="300" t="str">
        <f>B2100</f>
        <v>C</v>
      </c>
      <c r="B2113" s="293" t="str">
        <f ca="1">IF(AND(OFFSET($AO$1,$C2100-1,8,1,1),$A2101&lt;&gt;"",$J2101&lt;&gt;""),CHOOSE($C2100,$AP$1,$AP$2,$AP$3,$AP$4,$AP$5,$AP$6,$AP$7,$AP$8,$AP$9,$AP$10,$AP$11,$AP$12),"")</f>
        <v/>
      </c>
      <c r="C2113" s="294"/>
      <c r="D2113" s="294"/>
      <c r="E2113" s="294"/>
      <c r="F2113" s="294"/>
      <c r="G2113" s="294"/>
      <c r="H2113" s="265"/>
      <c r="I2113" s="265"/>
      <c r="J2113" s="265"/>
      <c r="K2113" s="265"/>
      <c r="L2113" s="265"/>
      <c r="M2113" s="262" t="str">
        <f ca="1">IF(OR(AND($B2106&lt;&gt;"",$B2113&lt;&gt;"",$C2131&lt;=$B2131),AND($B2108&lt;&gt;"",$B2115&lt;&gt;"",$G2131&lt;=$F2131)),"Invalid Lineup","")</f>
        <v/>
      </c>
      <c r="N2113" s="263"/>
      <c r="O2113" s="263"/>
      <c r="P2113" s="264"/>
      <c r="Q2113" s="137" t="str">
        <f>IF($L2113=$L2115,IF($K2113=$K2115,IF($J2113&lt;&gt;"",IF($J2113&gt;$J2115,"W","L"),""),IF($K2113&gt;$K2115,"W","L")),IF($L2113&gt;$L2115,"W","L"))</f>
        <v/>
      </c>
      <c r="R2113" s="300" t="str">
        <f>$K2100</f>
        <v>L</v>
      </c>
      <c r="S2113" s="331" t="str">
        <f ca="1">IF($B2115&lt;&gt;"",$B2115,"")</f>
        <v/>
      </c>
      <c r="T2113" s="332"/>
      <c r="U2113" s="332"/>
      <c r="V2113" s="332"/>
      <c r="W2113" s="332"/>
      <c r="X2113" s="333"/>
      <c r="Y2113" s="329"/>
      <c r="Z2113" s="329"/>
      <c r="AA2113" s="329"/>
      <c r="AB2113" s="329"/>
      <c r="AC2113" s="351"/>
      <c r="AD2113" s="363" t="s">
        <v>1237</v>
      </c>
      <c r="AE2113" s="358"/>
      <c r="AF2113" s="359"/>
    </row>
    <row r="2114" spans="1:32" ht="12.75" customHeight="1">
      <c r="A2114" s="301"/>
      <c r="B2114" s="295"/>
      <c r="C2114" s="296"/>
      <c r="D2114" s="296"/>
      <c r="E2114" s="296"/>
      <c r="F2114" s="296"/>
      <c r="G2114" s="296"/>
      <c r="H2114" s="270"/>
      <c r="I2114" s="270"/>
      <c r="J2114" s="270"/>
      <c r="K2114" s="270"/>
      <c r="L2114" s="270"/>
      <c r="M2114" s="262"/>
      <c r="N2114" s="263"/>
      <c r="O2114" s="263"/>
      <c r="P2114" s="264"/>
      <c r="Q2114" s="139" t="str">
        <f>IF($Q2113&lt;&gt;"",IF($Q2113="W",IF(SUM(IF($H2113&gt;$H2115,1,0),IF($I2113&gt;$I2115,1,0),IF($J2113&gt;$J2115,1,0),IF($K2113&gt;$K2115,1,0),IF($L2113&gt;$L2115,1,0))&lt;&gt;3,"Error",""),""),"")</f>
        <v/>
      </c>
      <c r="R2114" s="330"/>
      <c r="S2114" s="334"/>
      <c r="T2114" s="335"/>
      <c r="U2114" s="335"/>
      <c r="V2114" s="335"/>
      <c r="W2114" s="335"/>
      <c r="X2114" s="336"/>
      <c r="Y2114" s="330"/>
      <c r="Z2114" s="330"/>
      <c r="AA2114" s="330"/>
      <c r="AB2114" s="330"/>
      <c r="AC2114" s="330"/>
      <c r="AD2114" s="360"/>
      <c r="AE2114" s="361"/>
      <c r="AF2114" s="362"/>
    </row>
    <row r="2115" spans="1:32" ht="12.75" customHeight="1">
      <c r="A2115" s="300" t="str">
        <f>K2100</f>
        <v>L</v>
      </c>
      <c r="B2115" s="293" t="str">
        <f ca="1">IF(AND(OFFSET($AO$1,$L2100-1,8,1,1),$A2101&lt;&gt;"",$J2101&lt;&gt;""),CHOOSE($L2100,$AP$1,$AP$2,$AP$3,$AP$4,$AP$5,$AP$6,$AP$7,$AP$8,$AP$9,$AP$10,$AP$11,$AP$12),"")</f>
        <v/>
      </c>
      <c r="C2115" s="294"/>
      <c r="D2115" s="294"/>
      <c r="E2115" s="294"/>
      <c r="F2115" s="294"/>
      <c r="G2115" s="294"/>
      <c r="H2115" s="265"/>
      <c r="I2115" s="265"/>
      <c r="J2115" s="265"/>
      <c r="K2115" s="265"/>
      <c r="L2115" s="265"/>
      <c r="M2115" s="267" t="s">
        <v>1237</v>
      </c>
      <c r="N2115" s="268"/>
      <c r="O2115" s="268"/>
      <c r="P2115" s="269"/>
      <c r="Q2115" s="137" t="str">
        <f>IF($Q2113&lt;&gt;"",IF($Q2113="W","L","W"),"")</f>
        <v/>
      </c>
      <c r="R2115" s="20"/>
      <c r="S2115" s="20"/>
      <c r="T2115" s="20"/>
      <c r="U2115" s="20"/>
      <c r="V2115" s="20"/>
      <c r="W2115" s="20"/>
      <c r="X2115" s="26"/>
      <c r="Y2115" s="26"/>
      <c r="Z2115" s="20"/>
      <c r="AA2115" s="20"/>
      <c r="AB2115" s="20"/>
      <c r="AC2115" s="20"/>
      <c r="AD2115" s="20"/>
      <c r="AE2115" s="20"/>
      <c r="AF2115" s="27"/>
    </row>
    <row r="2116" spans="1:32" ht="12.75" customHeight="1">
      <c r="A2116" s="301"/>
      <c r="B2116" s="295"/>
      <c r="C2116" s="296"/>
      <c r="D2116" s="296"/>
      <c r="E2116" s="296"/>
      <c r="F2116" s="296"/>
      <c r="G2116" s="296"/>
      <c r="H2116" s="270"/>
      <c r="I2116" s="270"/>
      <c r="J2116" s="266"/>
      <c r="K2116" s="266"/>
      <c r="L2116" s="266"/>
      <c r="M2116" s="267"/>
      <c r="N2116" s="268"/>
      <c r="O2116" s="268"/>
      <c r="P2116" s="269"/>
      <c r="Q2116" s="139" t="str">
        <f>IF($Q2115&lt;&gt;"",IF($Q2115="W",IF(SUM(IF($H2115&gt;$H2113,1,0),IF($I2115&gt;$I2113,1,0),IF($J2115&gt;$J2113,1,0),IF($K2115&gt;$K2113,1,0),IF($L2115&gt;$L2113,1,0))&lt;&gt;3,"Error",""),""),"")</f>
        <v/>
      </c>
      <c r="R2116" s="20"/>
      <c r="S2116" s="20"/>
      <c r="T2116" s="20"/>
      <c r="U2116" s="20"/>
      <c r="V2116" s="20"/>
      <c r="W2116" s="20"/>
      <c r="X2116" s="26"/>
      <c r="Y2116" s="26"/>
      <c r="Z2116" s="20"/>
      <c r="AA2116" s="20"/>
      <c r="AB2116" s="20"/>
      <c r="AC2116" s="20"/>
      <c r="AD2116" s="20"/>
      <c r="AE2116" s="20"/>
      <c r="AF2116" s="27"/>
    </row>
    <row r="2117" spans="1:32" ht="12.75" customHeight="1">
      <c r="Q2117" s="7"/>
      <c r="R2117" s="20"/>
      <c r="S2117" s="20"/>
      <c r="T2117" s="20"/>
      <c r="U2117" s="20"/>
      <c r="V2117" s="20"/>
      <c r="W2117" s="20"/>
      <c r="X2117" s="26"/>
      <c r="Y2117" s="26"/>
      <c r="Z2117" s="20"/>
      <c r="AA2117" s="20"/>
      <c r="AB2117" s="20"/>
      <c r="AC2117" s="20"/>
      <c r="AD2117" s="20"/>
      <c r="AE2117" s="20"/>
      <c r="AF2117" s="27"/>
    </row>
    <row r="2118" spans="1:32" ht="12.75" customHeight="1">
      <c r="A2118" s="21" t="s">
        <v>1235</v>
      </c>
      <c r="H2118" s="136" t="str">
        <f>IF($Q2120&lt;&gt;"",IF(AND(AND($H2120&gt;-1,$H2122&gt;-1),OR($H2120&gt;10,$H2122&gt;10),ABS($H2120-$H2122)&gt;1,IF(OR($H2120&gt;11,$H2122&gt;11),ABS($H2120-$H2122)=2,TRUE),$H2120=INT($H2120),$H2122=INT($H2122)),"","Error"),"")</f>
        <v/>
      </c>
      <c r="I2118" s="136" t="str">
        <f>IF($Q2120&lt;&gt;"",IF(AND(AND($I2120&gt;-1,$I2122&gt;-1),OR($I2120&gt;10,$I2122&gt;10),ABS($I2120-$I2122)&gt;1,IF(OR($I2120&gt;11,$I2122&gt;11),ABS($I2120-$I2122)=2,TRUE),$I2120=INT($I2120),$I2122=INT($I2122)),"","Error"),"")</f>
        <v/>
      </c>
      <c r="J2118" s="136" t="str">
        <f>IF($Q2120&lt;&gt;"",IF(AND(AND($J2120&gt;-1,$J2122&gt;-1),OR($J2120&gt;10,$J2122&gt;10),ABS($J2120-$J2122)&gt;1,IF(OR($J2120&gt;11,$J2122&gt;11),ABS($J2120-$J2122)=2,TRUE),$J2120=INT($J2120),$J2122=INT($J2122)),"","Error"),"")</f>
        <v/>
      </c>
      <c r="K2118" s="136" t="str">
        <f>IF($Q2120&lt;&gt;"",IF(AND($K2120&lt;&gt;"",$K2122&lt;&gt;""), IF(AND(AND($K2120&gt;-1,$K2122&gt;-1),OR($K2120&gt;10,$K2122&gt;10),ABS($K2120-$K2122)&gt;1,IF(OR($K2120&gt;11,$K2122&gt;11),ABS($K2120-$K2122)=2,TRUE),$K2120=INT($K2120),$K2122=INT($K2122)),"","Error"),""),"")</f>
        <v/>
      </c>
      <c r="L2118" s="136" t="str">
        <f>IF($Q2120&lt;&gt;"",IF(AND($L2120&lt;&gt;"",$L2122&lt;&gt;""), IF(AND(AND($L2120&gt;-1,$L2122&gt;-1),OR($L2120&gt;10,$L2122&gt;10),ABS($L2120-$L2122)&gt;1,IF(OR($L2120&gt;11,$L2122&gt;11),ABS($L2120-$L2122)=2,TRUE),$L2120=INT($L2120),$L2122=INT($L2122)),"","Error"),""),"")</f>
        <v/>
      </c>
      <c r="Q2118" s="7"/>
      <c r="R2118" s="20"/>
      <c r="S2118" s="20"/>
      <c r="T2118" s="20"/>
      <c r="U2118" s="20"/>
      <c r="V2118" s="20"/>
      <c r="W2118" s="20"/>
      <c r="X2118" s="26"/>
      <c r="Y2118" s="26"/>
      <c r="Z2118" s="20"/>
      <c r="AA2118" s="20"/>
      <c r="AB2118" s="20"/>
      <c r="AC2118" s="20"/>
      <c r="AD2118" s="20"/>
      <c r="AE2118" s="20"/>
      <c r="AF2118" s="27"/>
    </row>
    <row r="2119" spans="1:32" ht="12.75" customHeight="1">
      <c r="A2119" s="5" t="s">
        <v>1228</v>
      </c>
      <c r="B2119" s="290" t="s">
        <v>1126</v>
      </c>
      <c r="C2119" s="291"/>
      <c r="D2119" s="291"/>
      <c r="E2119" s="291"/>
      <c r="F2119" s="291"/>
      <c r="G2119" s="292"/>
      <c r="H2119" s="5">
        <v>1</v>
      </c>
      <c r="I2119" s="5">
        <v>2</v>
      </c>
      <c r="J2119" s="5">
        <v>3</v>
      </c>
      <c r="K2119" s="5">
        <v>4</v>
      </c>
      <c r="L2119" s="5">
        <v>5</v>
      </c>
      <c r="M2119" s="271"/>
      <c r="N2119" s="272"/>
      <c r="O2119" s="272"/>
      <c r="P2119" s="273"/>
      <c r="Q2119" s="7"/>
      <c r="R2119" s="20"/>
      <c r="S2119" s="20"/>
      <c r="T2119" s="20"/>
      <c r="U2119" s="20"/>
      <c r="V2119" s="20"/>
      <c r="W2119" s="20"/>
      <c r="X2119" s="26"/>
      <c r="Y2119" s="26"/>
      <c r="Z2119" s="20"/>
      <c r="AA2119" s="20"/>
      <c r="AB2119" s="20"/>
      <c r="AC2119" s="20"/>
      <c r="AD2119" s="20"/>
      <c r="AE2119" s="20"/>
      <c r="AF2119" s="27"/>
    </row>
    <row r="2120" spans="1:32" ht="12.75" customHeight="1">
      <c r="A2120" s="300" t="str">
        <f>B2100</f>
        <v>C</v>
      </c>
      <c r="B2120" s="293" t="str">
        <f ca="1">IF(AND(OFFSET($AO$1,$C2100-1,8,1,1),$A2101&lt;&gt;"",$J2101&lt;&gt;""),CHOOSE($C2100,$AQ$1,$AQ$2,$AQ$3,$AQ$4,$AQ$5,$AQ$6,$AQ$7,$AQ$8,$AQ$9,$AQ$10,$AQ$11,$AQ$12),"")</f>
        <v/>
      </c>
      <c r="C2120" s="294"/>
      <c r="D2120" s="294"/>
      <c r="E2120" s="294"/>
      <c r="F2120" s="294"/>
      <c r="G2120" s="294"/>
      <c r="H2120" s="265"/>
      <c r="I2120" s="265"/>
      <c r="J2120" s="265"/>
      <c r="K2120" s="265"/>
      <c r="L2120" s="265"/>
      <c r="M2120" s="262" t="str">
        <f ca="1">IF(OR(AND($B2113&lt;&gt;"",$B2120&lt;&gt;"",$D2131&lt;=$C2131),AND($B2115&lt;&gt;"",$B2122&lt;&gt;"",$H2131&lt;=$G2131)),"Invalid Lineup","")</f>
        <v/>
      </c>
      <c r="N2120" s="263"/>
      <c r="O2120" s="263"/>
      <c r="P2120" s="264"/>
      <c r="Q2120" s="137" t="str">
        <f>IF($L2120=$L2122,IF($K2120=$K2122,IF($J2120&lt;&gt;"",IF($J2120&gt;$J2122,"W","L"),""),IF($K2120&gt;$K2122,"W","L")),IF($L2120&gt;$L2122,"W","L"))</f>
        <v/>
      </c>
      <c r="R2120" s="20"/>
      <c r="S2120" s="20"/>
      <c r="T2120" s="20"/>
      <c r="U2120" s="20"/>
      <c r="V2120" s="20"/>
      <c r="W2120" s="20"/>
      <c r="X2120" s="26"/>
      <c r="Y2120" s="26"/>
      <c r="Z2120" s="20"/>
      <c r="AA2120" s="20"/>
      <c r="AB2120" s="20"/>
      <c r="AC2120" s="20"/>
      <c r="AD2120" s="20"/>
      <c r="AE2120" s="20"/>
      <c r="AF2120" s="27"/>
    </row>
    <row r="2121" spans="1:32" ht="12.75" customHeight="1">
      <c r="A2121" s="301"/>
      <c r="B2121" s="295"/>
      <c r="C2121" s="296"/>
      <c r="D2121" s="296"/>
      <c r="E2121" s="296"/>
      <c r="F2121" s="296"/>
      <c r="G2121" s="296"/>
      <c r="H2121" s="270"/>
      <c r="I2121" s="270"/>
      <c r="J2121" s="270"/>
      <c r="K2121" s="270"/>
      <c r="L2121" s="270"/>
      <c r="M2121" s="262"/>
      <c r="N2121" s="263"/>
      <c r="O2121" s="263"/>
      <c r="P2121" s="264"/>
      <c r="Q2121" s="139" t="str">
        <f>IF($Q2120&lt;&gt;"",IF($Q2120="W",IF(SUM(IF($H2120&gt;$H2122,1,0),IF($I2120&gt;$I2122,1,0),IF($J2120&gt;$J2122,1,0),IF($K2120&gt;$K2122,1,0),IF($L2120&gt;$L2122,1,0))&lt;&gt;3,"Error",""),""),"")</f>
        <v/>
      </c>
      <c r="R2121" s="328" t="str">
        <f>$A2101</f>
        <v/>
      </c>
      <c r="S2121" s="328"/>
      <c r="T2121" s="328"/>
      <c r="U2121" s="328"/>
      <c r="V2121" s="328"/>
      <c r="W2121" s="328"/>
      <c r="X2121" s="256" t="str">
        <f>CONCATENATE("(",$B2100," vs ",$K2100,")")</f>
        <v>(C vs L)</v>
      </c>
      <c r="Y2121" s="256"/>
      <c r="Z2121" s="328" t="str">
        <f>$J2101</f>
        <v/>
      </c>
      <c r="AA2121" s="328"/>
      <c r="AB2121" s="328"/>
      <c r="AC2121" s="328"/>
      <c r="AD2121" s="328"/>
      <c r="AE2121" s="328"/>
      <c r="AF2121" s="100"/>
    </row>
    <row r="2122" spans="1:32" ht="12.75" customHeight="1">
      <c r="A2122" s="300" t="str">
        <f>K2100</f>
        <v>L</v>
      </c>
      <c r="B2122" s="293" t="str">
        <f ca="1">IF(AND(OFFSET($AO$1,$L2100-1,8,1,1),$A2101&lt;&gt;"",$J2101&lt;&gt;""),CHOOSE($L2100,$AQ$1,$AQ$2,$AQ$3,$AQ$4,$AQ$5,$AQ$6,$AQ$7,$AQ$8,$AQ$9,$AQ$10,$AQ$11,$AQ$12),"")</f>
        <v/>
      </c>
      <c r="C2122" s="294"/>
      <c r="D2122" s="294"/>
      <c r="E2122" s="294"/>
      <c r="F2122" s="294"/>
      <c r="G2122" s="294"/>
      <c r="H2122" s="265"/>
      <c r="I2122" s="265"/>
      <c r="J2122" s="265"/>
      <c r="K2122" s="265"/>
      <c r="L2122" s="265"/>
      <c r="M2122" s="267" t="s">
        <v>1237</v>
      </c>
      <c r="N2122" s="268"/>
      <c r="O2122" s="268"/>
      <c r="P2122" s="269"/>
      <c r="Q2122" s="137" t="str">
        <f>IF($Q2120&lt;&gt;"",IF($Q2120="W","L","W"),"")</f>
        <v/>
      </c>
      <c r="R2122" s="100"/>
      <c r="S2122" s="100"/>
      <c r="T2122" s="100"/>
      <c r="U2122" s="100"/>
      <c r="V2122" s="100"/>
      <c r="W2122" s="100"/>
      <c r="X2122" s="100"/>
      <c r="Y2122" s="100"/>
      <c r="Z2122" s="100"/>
      <c r="AA2122" s="100"/>
      <c r="AB2122" s="100"/>
      <c r="AC2122" s="100"/>
      <c r="AD2122" s="100"/>
      <c r="AE2122" s="100"/>
      <c r="AF2122" s="100"/>
    </row>
    <row r="2123" spans="1:32" ht="12.75" customHeight="1">
      <c r="A2123" s="301"/>
      <c r="B2123" s="295"/>
      <c r="C2123" s="296"/>
      <c r="D2123" s="296"/>
      <c r="E2123" s="296"/>
      <c r="F2123" s="296"/>
      <c r="G2123" s="296"/>
      <c r="H2123" s="270"/>
      <c r="I2123" s="270"/>
      <c r="J2123" s="266"/>
      <c r="K2123" s="266"/>
      <c r="L2123" s="266"/>
      <c r="M2123" s="267"/>
      <c r="N2123" s="268"/>
      <c r="O2123" s="268"/>
      <c r="P2123" s="269"/>
      <c r="Q2123" s="139" t="str">
        <f>IF($Q2122&lt;&gt;"",IF($Q2122="W",IF(SUM(IF($H2122&gt;$H2120,1,0),IF($I2122&gt;$I2120,1,0),IF($J2122&gt;$J2120,1,0),IF($K2122&gt;$K2120,1,0),IF($L2122&gt;$L2120,1,0))&lt;&gt;3,"Error",""),""),"")</f>
        <v/>
      </c>
      <c r="R2123" s="43" t="str">
        <f>$A2118</f>
        <v>3rd Singles</v>
      </c>
      <c r="S2123" s="43"/>
      <c r="T2123" s="43"/>
      <c r="U2123" s="43"/>
      <c r="V2123" s="43"/>
      <c r="W2123" s="43"/>
      <c r="X2123" s="43"/>
      <c r="Y2123" s="43"/>
      <c r="Z2123" s="43"/>
      <c r="AA2123" s="43"/>
      <c r="AB2123" s="43"/>
      <c r="AC2123" s="43"/>
      <c r="AD2123" s="43"/>
      <c r="AE2123" s="43"/>
      <c r="AF2123" s="43"/>
    </row>
    <row r="2124" spans="1:32" ht="12.75" customHeight="1">
      <c r="Q2124" s="7"/>
      <c r="R2124" s="60" t="s">
        <v>1228</v>
      </c>
      <c r="S2124" s="101" t="s">
        <v>1126</v>
      </c>
      <c r="T2124" s="102"/>
      <c r="U2124" s="102"/>
      <c r="V2124" s="102"/>
      <c r="W2124" s="102"/>
      <c r="X2124" s="103"/>
      <c r="Y2124" s="60">
        <v>1</v>
      </c>
      <c r="Z2124" s="60">
        <v>2</v>
      </c>
      <c r="AA2124" s="60">
        <v>3</v>
      </c>
      <c r="AB2124" s="60">
        <v>4</v>
      </c>
      <c r="AC2124" s="60">
        <v>5</v>
      </c>
      <c r="AD2124" s="104"/>
      <c r="AE2124" s="105"/>
      <c r="AF2124" s="106"/>
    </row>
    <row r="2125" spans="1:32" ht="12.75" customHeight="1">
      <c r="A2125" s="21" t="s">
        <v>1236</v>
      </c>
      <c r="H2125" s="136" t="str">
        <f ca="1">IF($Q2127&lt;&gt;"",IF(AND($B2127&lt;&gt;"Missing Player",$B2129&lt;&gt;"Missing Player"),IF(AND(AND($H2127&gt;-1,$H2129&gt;-1),OR($H2127&gt;10,$H2129&gt;10),ABS($H2127-$H2129)&gt;1,IF(OR($H2127&gt;11,$H2129&gt;11),ABS($H2127-$H2129)=2,TRUE),$H2127=INT($H2127),$H2129=INT($H2129)),"","Error"),""),"")</f>
        <v/>
      </c>
      <c r="I2125" s="136" t="str">
        <f ca="1">IF($Q2127&lt;&gt;"",IF(AND($B2127&lt;&gt;"Missing Player",$B2129&lt;&gt;"Missing Player"),IF(AND(AND($I2127&gt;-1,$I2129&gt;-1),OR($I2127&gt;10,$I2129&gt;10),ABS($I2127-$I2129)&gt;1,IF(OR($I2127&gt;11,$I2129&gt;11),ABS($I2127-$I2129)=2,TRUE),$I2127=INT($I2127),$I2129=INT($I2129)),"","Error"),""),"")</f>
        <v/>
      </c>
      <c r="J2125" s="136" t="str">
        <f ca="1">IF($Q2127&lt;&gt;"",IF(AND($B2127&lt;&gt;"Missing Player",$B2129&lt;&gt;"Missing Player"),IF(AND(AND($J2127&gt;-1,$J2129&gt;-1),OR($J2127&gt;10,$J2129&gt;10),ABS($J2127-$J2129)&gt;1,IF(OR($J2127&gt;11,$J2129&gt;11),ABS($J2127-$J2129)=2,TRUE),$J2127=INT($J2127),$J2129=INT($J2129)),"","Error"),""),"")</f>
        <v/>
      </c>
      <c r="K2125" s="136" t="str">
        <f ca="1">IF($Q2127&lt;&gt;"",IF(AND($K2127&lt;&gt;"",$K2129&lt;&gt;""), IF(AND(AND($K2127&gt;-1,$K2129&gt;-1),OR($K2127&gt;10,$K2129&gt;10),ABS($K2127-$K2129)&gt;1,IF(OR($K2127&gt;11,$K2129&gt;11),ABS($K2127-$K2129)=2,TRUE),$K2127=INT($K2127),$K2129=INT($K2129)),"","Error"),""),"")</f>
        <v/>
      </c>
      <c r="L2125" s="136" t="str">
        <f ca="1">IF($Q2127&lt;&gt;"",IF(AND($L2127&lt;&gt;"",$L2129&lt;&gt;""), IF(AND(AND($L2127&gt;-1,$L2129&gt;-1),OR($L2127&gt;10,$L2129&gt;10),ABS($L2127-$L2129)&gt;1,IF(OR($L2127&gt;11,$L2129&gt;11),ABS($L2127-$L2129)=2,TRUE),$L2127=INT($L2127),$L2129=INT($L2129)),"","Error"),""),"")</f>
        <v/>
      </c>
      <c r="Q2125" s="7"/>
      <c r="R2125" s="300" t="str">
        <f>$B2100</f>
        <v>C</v>
      </c>
      <c r="S2125" s="331" t="str">
        <f ca="1">IF($B2120&lt;&gt;"",$B2120,"")</f>
        <v/>
      </c>
      <c r="T2125" s="332"/>
      <c r="U2125" s="332"/>
      <c r="V2125" s="332"/>
      <c r="W2125" s="332"/>
      <c r="X2125" s="333"/>
      <c r="Y2125" s="329"/>
      <c r="Z2125" s="329"/>
      <c r="AA2125" s="329"/>
      <c r="AB2125" s="329"/>
      <c r="AC2125" s="329"/>
      <c r="AD2125" s="345"/>
      <c r="AE2125" s="358"/>
      <c r="AF2125" s="359"/>
    </row>
    <row r="2126" spans="1:32" ht="12.75" customHeight="1">
      <c r="A2126" s="5" t="s">
        <v>1228</v>
      </c>
      <c r="B2126" s="290" t="s">
        <v>1126</v>
      </c>
      <c r="C2126" s="291"/>
      <c r="D2126" s="291"/>
      <c r="E2126" s="291"/>
      <c r="F2126" s="291"/>
      <c r="G2126" s="292"/>
      <c r="H2126" s="5">
        <v>1</v>
      </c>
      <c r="I2126" s="5">
        <v>2</v>
      </c>
      <c r="J2126" s="5">
        <v>3</v>
      </c>
      <c r="K2126" s="5">
        <v>4</v>
      </c>
      <c r="L2126" s="5">
        <v>5</v>
      </c>
      <c r="M2126" s="271"/>
      <c r="N2126" s="272"/>
      <c r="O2126" s="272"/>
      <c r="P2126" s="273"/>
      <c r="Q2126" s="7"/>
      <c r="R2126" s="330"/>
      <c r="S2126" s="334"/>
      <c r="T2126" s="335"/>
      <c r="U2126" s="335"/>
      <c r="V2126" s="335"/>
      <c r="W2126" s="335"/>
      <c r="X2126" s="336"/>
      <c r="Y2126" s="330"/>
      <c r="Z2126" s="330"/>
      <c r="AA2126" s="330"/>
      <c r="AB2126" s="330"/>
      <c r="AC2126" s="330"/>
      <c r="AD2126" s="360"/>
      <c r="AE2126" s="361"/>
      <c r="AF2126" s="362"/>
    </row>
    <row r="2127" spans="1:32" ht="12.75" customHeight="1">
      <c r="A2127" s="300" t="str">
        <f>B2100</f>
        <v>C</v>
      </c>
      <c r="B2127" s="293" t="str">
        <f ca="1">IF(AND(OFFSET($AO$1,$C2100-1,8,1,1),$A2101&lt;&gt;"",$J2101&lt;&gt;""),CHOOSE($C2100,$AR$1,$AR$2,$AR$3,$AR$4,$AR$5,$AR$6,$AR$7,$AR$8,$AR$9,$AR$10,$AR$11,$AR$12),"")</f>
        <v/>
      </c>
      <c r="C2127" s="294"/>
      <c r="D2127" s="294"/>
      <c r="E2127" s="294"/>
      <c r="F2127" s="294"/>
      <c r="G2127" s="294"/>
      <c r="H2127" s="265"/>
      <c r="I2127" s="265"/>
      <c r="J2127" s="265"/>
      <c r="K2127" s="265"/>
      <c r="L2127" s="265" t="str">
        <f ca="1">IF(AND($B2127&lt;&gt;"",$Q2106&lt;&gt;""),IF($B2127="Missing Player",0,IF($B2129="Missing Player",11,"")),"")</f>
        <v/>
      </c>
      <c r="M2127" s="262" t="str">
        <f ca="1">IF(OR(AND($B2120&lt;&gt;"",$B2127&lt;&gt;"",$E2131&lt;=$D2131),AND($B2122&lt;&gt;"",$B2129&lt;&gt;"",$I2131&lt;=$H2131)),"Invalid Lineup","")</f>
        <v/>
      </c>
      <c r="N2127" s="263"/>
      <c r="O2127" s="263"/>
      <c r="P2127" s="264"/>
      <c r="Q2127" s="137" t="str">
        <f ca="1">IF($L2127=$L2129,IF($K2127=$K2129,IF($J2127&lt;&gt;"",IF($J2127&gt;$J2129,"W","L"),""),IF($K2127&gt;$K2129,"W","L")),IF($L2127&gt;$L2129,"W","L"))</f>
        <v/>
      </c>
      <c r="R2127" s="300" t="str">
        <f>$K2100</f>
        <v>L</v>
      </c>
      <c r="S2127" s="331" t="str">
        <f ca="1">IF($B2122&lt;&gt;"",$B2122,"")</f>
        <v/>
      </c>
      <c r="T2127" s="332"/>
      <c r="U2127" s="332"/>
      <c r="V2127" s="332"/>
      <c r="W2127" s="332"/>
      <c r="X2127" s="333"/>
      <c r="Y2127" s="329"/>
      <c r="Z2127" s="329"/>
      <c r="AA2127" s="329"/>
      <c r="AB2127" s="329"/>
      <c r="AC2127" s="351"/>
      <c r="AD2127" s="363" t="s">
        <v>1237</v>
      </c>
      <c r="AE2127" s="358"/>
      <c r="AF2127" s="359"/>
    </row>
    <row r="2128" spans="1:32" ht="12.75" customHeight="1">
      <c r="A2128" s="301"/>
      <c r="B2128" s="295"/>
      <c r="C2128" s="296"/>
      <c r="D2128" s="296"/>
      <c r="E2128" s="296"/>
      <c r="F2128" s="296"/>
      <c r="G2128" s="296"/>
      <c r="H2128" s="270"/>
      <c r="I2128" s="270"/>
      <c r="J2128" s="270"/>
      <c r="K2128" s="270"/>
      <c r="L2128" s="270"/>
      <c r="M2128" s="262"/>
      <c r="N2128" s="263"/>
      <c r="O2128" s="263"/>
      <c r="P2128" s="264"/>
      <c r="Q2128" s="139" t="str">
        <f ca="1">IF($Q2127&lt;&gt;"",IF($B2129&lt;&gt;"Missing Player",IF($Q2127="W",IF(SUM(IF($H2127&gt;$H2129,1,0),IF($I2127&gt;$I2129,1,0),IF($J2127&gt;$J2129,1,0),IF($K2127&gt;$K2129,1,0),IF($L2127&gt;$L2129,1,0))&lt;&gt;3,"Error",""),""),""),"")</f>
        <v/>
      </c>
      <c r="R2128" s="330"/>
      <c r="S2128" s="334"/>
      <c r="T2128" s="335"/>
      <c r="U2128" s="335"/>
      <c r="V2128" s="335"/>
      <c r="W2128" s="335"/>
      <c r="X2128" s="336"/>
      <c r="Y2128" s="330"/>
      <c r="Z2128" s="330"/>
      <c r="AA2128" s="330"/>
      <c r="AB2128" s="330"/>
      <c r="AC2128" s="330"/>
      <c r="AD2128" s="360"/>
      <c r="AE2128" s="361"/>
      <c r="AF2128" s="362"/>
    </row>
    <row r="2129" spans="1:32" ht="12.75" customHeight="1">
      <c r="A2129" s="300" t="str">
        <f>K2100</f>
        <v>L</v>
      </c>
      <c r="B2129" s="293" t="str">
        <f ca="1">IF(AND(OFFSET($AO$1,$L2100-1,8,1,1),$A2101&lt;&gt;"",$J2101&lt;&gt;""),CHOOSE($L2100,$AR$1,$AR$2,$AR$3,$AR$4,$AR$5,$AR$6,$AR$7,$AR$8,$AR$9,$AR$10,$AR$11,$AR$12),"")</f>
        <v/>
      </c>
      <c r="C2129" s="294"/>
      <c r="D2129" s="294"/>
      <c r="E2129" s="294"/>
      <c r="F2129" s="294"/>
      <c r="G2129" s="294"/>
      <c r="H2129" s="265"/>
      <c r="I2129" s="265"/>
      <c r="J2129" s="265"/>
      <c r="K2129" s="265"/>
      <c r="L2129" s="265" t="str">
        <f ca="1">IF(AND($B2129&lt;&gt;"",$Q2106&lt;&gt;""),IF($B2129="Missing Player",0,IF($B2127="Missing Player",11,"")),"")</f>
        <v/>
      </c>
      <c r="M2129" s="267" t="s">
        <v>1237</v>
      </c>
      <c r="N2129" s="268"/>
      <c r="O2129" s="268"/>
      <c r="P2129" s="269"/>
      <c r="Q2129" s="137" t="str">
        <f ca="1">IF($Q2127&lt;&gt;"",IF($Q2127="W","L","W"),"")</f>
        <v/>
      </c>
      <c r="R2129" s="112"/>
      <c r="S2129" s="98"/>
      <c r="T2129" s="108"/>
      <c r="U2129" s="108"/>
      <c r="V2129" s="108"/>
      <c r="W2129" s="108"/>
      <c r="X2129" s="108"/>
      <c r="Y2129" s="113"/>
      <c r="Z2129" s="113"/>
      <c r="AA2129" s="113"/>
      <c r="AB2129" s="113"/>
      <c r="AC2129" s="113"/>
      <c r="AD2129" s="107"/>
      <c r="AE2129" s="109"/>
      <c r="AF2129" s="109"/>
    </row>
    <row r="2130" spans="1:32" ht="12.75" customHeight="1">
      <c r="A2130" s="301"/>
      <c r="B2130" s="295"/>
      <c r="C2130" s="296"/>
      <c r="D2130" s="296"/>
      <c r="E2130" s="296"/>
      <c r="F2130" s="296"/>
      <c r="G2130" s="296"/>
      <c r="H2130" s="270"/>
      <c r="I2130" s="270"/>
      <c r="J2130" s="266"/>
      <c r="K2130" s="266"/>
      <c r="L2130" s="266"/>
      <c r="M2130" s="267"/>
      <c r="N2130" s="268"/>
      <c r="O2130" s="268"/>
      <c r="P2130" s="269"/>
      <c r="Q2130" s="139" t="str">
        <f ca="1">IF($Q2129&lt;&gt;"",IF($B2127&lt;&gt;"Missing Player",IF($Q2129="W",IF(SUM(IF($H2129&gt;$H2127,1,0),IF($I2129&gt;$I2127,1,0),IF($J2129&gt;$J2127,1,0),IF($K2129&gt;$K2127,1,0),IF($L2129&gt;$L2127,1,0))&lt;&gt;3,"Error",""),""),""),"")</f>
        <v/>
      </c>
      <c r="R2130" s="114"/>
      <c r="S2130" s="115"/>
      <c r="T2130" s="115"/>
      <c r="U2130" s="115"/>
      <c r="V2130" s="115"/>
      <c r="W2130" s="115"/>
      <c r="X2130" s="115"/>
      <c r="Y2130" s="114"/>
      <c r="Z2130" s="114"/>
      <c r="AA2130" s="114"/>
      <c r="AB2130" s="114"/>
      <c r="AC2130" s="114"/>
      <c r="AD2130" s="114"/>
      <c r="AE2130" s="114"/>
      <c r="AF2130" s="114"/>
    </row>
    <row r="2131" spans="1:32" ht="12.75" customHeight="1">
      <c r="B2131" s="140" t="str">
        <f ca="1">IF(ISERROR(VLOOKUP($B2106&amp;"("&amp;$B2100&amp;")",Players!$S$4:$T$132,2,FALSE)),"",VLOOKUP($B2106&amp;"("&amp;$B2100&amp;")",Players!$S$4:$T$132,2,FALSE))</f>
        <v>C1</v>
      </c>
      <c r="C2131" s="140" t="str">
        <f ca="1">IF(ISERROR(VLOOKUP($B2113&amp;"("&amp;$B2100&amp;")",Players!$S$4:$T$132,2,FALSE)),"",VLOOKUP($B2113&amp;"("&amp;$B2100&amp;")",Players!$S$4:$T$132,2,FALSE))</f>
        <v>C1</v>
      </c>
      <c r="D2131" s="141" t="str">
        <f ca="1">IF(ISERROR(VLOOKUP($B2120&amp;"("&amp;$B2100&amp;")",Players!$S$4:$T$132,2,FALSE)),"",VLOOKUP($B2120&amp;"("&amp;$B2100&amp;")",Players!$S$4:$T$132,2,FALSE))</f>
        <v>C1</v>
      </c>
      <c r="E2131" s="141" t="str">
        <f ca="1">IF(ISERROR(VLOOKUP($B2127&amp;"("&amp;$B2100&amp;")",Players!$S$4:$T$132,2,FALSE)),"",VLOOKUP($B2127&amp;"("&amp;$B2100&amp;")",Players!$S$4:$T$132,2,FALSE))</f>
        <v>C1</v>
      </c>
      <c r="F2131" s="141" t="str">
        <f ca="1">IF(ISERROR(VLOOKUP($B2108&amp;"("&amp;$K2100&amp;")",Players!$S$4:$T$132,2,FALSE)),"",VLOOKUP($B2108&amp;"("&amp;$K2100&amp;")",Players!$S$4:$T$132,2,FALSE))</f>
        <v>L1</v>
      </c>
      <c r="G2131" s="141" t="str">
        <f ca="1">IF(ISERROR(VLOOKUP($B2115&amp;"("&amp;$K2100&amp;")",Players!$S$4:$T$132,2,FALSE)),"",VLOOKUP($B2115&amp;"("&amp;$K2100&amp;")",Players!$S$4:$T$132,2,FALSE))</f>
        <v>L1</v>
      </c>
      <c r="H2131" s="141" t="str">
        <f ca="1">IF(ISERROR(VLOOKUP($B2122&amp;"("&amp;$K2100&amp;")",Players!$S$4:$T$132,2,FALSE)),"",VLOOKUP($B2122&amp;"("&amp;$K2100&amp;")",Players!$S$4:$T$132,2,FALSE))</f>
        <v>L1</v>
      </c>
      <c r="I2131" s="141" t="str">
        <f ca="1">IF(ISERROR(VLOOKUP($B2129&amp;"("&amp;$K2100&amp;")",Players!$S$4:$T$132,2,FALSE)),"",VLOOKUP($B2129&amp;"("&amp;$K2100&amp;")",Players!$S$4:$T$132,2,FALSE))</f>
        <v>L1</v>
      </c>
      <c r="Q2131" s="7"/>
      <c r="R2131" s="50"/>
      <c r="S2131" s="116"/>
      <c r="T2131" s="115"/>
      <c r="U2131" s="115"/>
      <c r="V2131" s="115"/>
      <c r="W2131" s="115"/>
      <c r="X2131" s="115"/>
      <c r="Y2131" s="99"/>
      <c r="Z2131" s="99"/>
      <c r="AA2131" s="99"/>
      <c r="AB2131" s="99"/>
      <c r="AC2131" s="117"/>
      <c r="AD2131" s="118"/>
      <c r="AE2131" s="114"/>
      <c r="AF2131" s="114"/>
    </row>
    <row r="2132" spans="1:32" ht="12.75" customHeight="1">
      <c r="A2132" s="21" t="s">
        <v>1225</v>
      </c>
      <c r="H2132" s="136" t="str">
        <f ca="1">IF($Q2134&lt;&gt;"",IF(AND($B2135&lt;&gt;"Missing Player",$B2137&lt;&gt;"Missing Player"),IF(AND(AND($H2134&gt;-1,$H2136&gt;-1),OR($H2134&gt;10,$H2136&gt;10),ABS($H2134-$H2136)&gt;1,IF(OR($H2134&gt;11,$H2136&gt;11),ABS($H2134-$H2136)=2,TRUE),$H2134=INT($H2134),$H2136=INT($H2136)),"","Error"),""),"")</f>
        <v/>
      </c>
      <c r="I2132" s="136" t="str">
        <f ca="1">IF($Q2134&lt;&gt;"",IF(AND($B2135&lt;&gt;"Missing Player",$B2137&lt;&gt;"Missing Player"),IF(AND(AND($I2134&gt;-1,$I2136&gt;-1),OR($I2134&gt;10,$I2136&gt;10),ABS($I2134-$I2136)&gt;1,IF(OR($I2134&gt;11,$I2136&gt;11),ABS($I2134-$I2136)=2,TRUE),$I2134=INT($I2134),$I2136=INT($I2136)),"","Error"),""),"")</f>
        <v/>
      </c>
      <c r="J2132" s="136" t="str">
        <f ca="1">IF($Q2134&lt;&gt;"",IF(AND($B2135&lt;&gt;"Missing Player",$B2137&lt;&gt;"Missing Player"),IF(AND(AND($J2134&gt;-1,$J2136&gt;-1),OR($J2134&gt;10,$J2136&gt;10),ABS($J2134-$J2136)&gt;1,IF(OR($J2134&gt;11,$J2136&gt;11),ABS($J2134-$J2136)=2,TRUE),$J2134=INT($J2134),$J2136=INT($J2136)),"","Error"),""),"")</f>
        <v/>
      </c>
      <c r="K2132" s="136" t="str">
        <f ca="1">IF($Q2134&lt;&gt;"",IF(AND($K2134&lt;&gt;"",$K2136&lt;&gt;""), IF(AND(AND($K2134&gt;-1,$K2136&gt;-1),OR($K2134&gt;10,$K2136&gt;10),ABS($K2134-$K2136)&gt;1,IF(OR($K2134&gt;11,$K2136&gt;11),ABS($K2134-$K2136)=2,TRUE),$K2134=INT($K2134),$K2136=INT($K2136)),"","Error"),""),"")</f>
        <v/>
      </c>
      <c r="L2132" s="136" t="str">
        <f ca="1">IF($Q2134&lt;&gt;"",IF(AND($L2134&lt;&gt;"",$L2136&lt;&gt;""), IF(AND(AND($L2134&gt;-1,$L2136&gt;-1),OR($L2134&gt;10,$L2136&gt;10),ABS($L2134-$L2136)&gt;1,IF(OR($L2134&gt;11,$L2136&gt;11),ABS($L2134-$L2136)=2,TRUE),$L2134=INT($L2134),$L2136=INT($L2136)),"","Error"),""),"")</f>
        <v/>
      </c>
      <c r="Q2132" s="7"/>
      <c r="R2132" s="114"/>
      <c r="S2132" s="115"/>
      <c r="T2132" s="115"/>
      <c r="U2132" s="115"/>
      <c r="V2132" s="115"/>
      <c r="W2132" s="115"/>
      <c r="X2132" s="115"/>
      <c r="Y2132" s="114"/>
      <c r="Z2132" s="114"/>
      <c r="AA2132" s="114"/>
      <c r="AB2132" s="114"/>
      <c r="AC2132" s="114"/>
      <c r="AD2132" s="114"/>
      <c r="AE2132" s="114"/>
      <c r="AF2132" s="114"/>
    </row>
    <row r="2133" spans="1:32" ht="12.75" customHeight="1">
      <c r="A2133" s="5" t="s">
        <v>1228</v>
      </c>
      <c r="B2133" s="290" t="s">
        <v>1126</v>
      </c>
      <c r="C2133" s="291"/>
      <c r="D2133" s="291"/>
      <c r="E2133" s="291"/>
      <c r="F2133" s="291"/>
      <c r="G2133" s="292"/>
      <c r="H2133" s="5">
        <v>1</v>
      </c>
      <c r="I2133" s="5">
        <v>2</v>
      </c>
      <c r="J2133" s="5">
        <v>3</v>
      </c>
      <c r="K2133" s="5">
        <v>4</v>
      </c>
      <c r="L2133" s="5">
        <v>5</v>
      </c>
      <c r="M2133" s="271"/>
      <c r="N2133" s="272"/>
      <c r="O2133" s="272"/>
      <c r="P2133" s="273"/>
      <c r="Q2133" s="8"/>
      <c r="S2133" s="24"/>
      <c r="T2133" s="26"/>
    </row>
    <row r="2134" spans="1:32" ht="12.75" customHeight="1">
      <c r="A2134" s="300" t="str">
        <f>B2100</f>
        <v>C</v>
      </c>
      <c r="B2134" s="311" t="str">
        <f ca="1">IF($B2106&lt;&gt;"",$B2106,"")</f>
        <v/>
      </c>
      <c r="C2134" s="312"/>
      <c r="D2134" s="312"/>
      <c r="E2134" s="312"/>
      <c r="F2134" s="312"/>
      <c r="G2134" s="313"/>
      <c r="H2134" s="265"/>
      <c r="I2134" s="265"/>
      <c r="J2134" s="265"/>
      <c r="K2134" s="265"/>
      <c r="L2134" s="265" t="str">
        <f ca="1">IF($B2127&lt;&gt;"",IF(AND($B2127="Missing Player",$G2138=2,$J2138=2),0,IF(AND($B2129="Missing Player",$G2138=2,$J2138=2),11,"")),"")</f>
        <v/>
      </c>
      <c r="M2134" s="262" t="str">
        <f ca="1">IF(OR(AND($B2134&lt;&gt;"",$B2135&lt;&gt;"",$B2134=$B2135),AND($B2136&lt;&gt;"",$B2137&lt;&gt;"",$B2136=$B2137)),"Invalid Partner","")</f>
        <v/>
      </c>
      <c r="N2134" s="263"/>
      <c r="O2134" s="263"/>
      <c r="P2134" s="264"/>
      <c r="Q2134" s="138" t="str">
        <f ca="1">IF(L2134=L2136,IF(K2134=K2136,IF(J2134&lt;&gt;"",IF(J2134&gt;J2136,"W","L"),""),IF(K2134&gt;K2136,"W","L")),IF(L2134&gt;L2136,"W","L"))</f>
        <v/>
      </c>
      <c r="S2134" s="24"/>
      <c r="T2134" s="26"/>
    </row>
    <row r="2135" spans="1:32" ht="12.75" customHeight="1">
      <c r="A2135" s="324"/>
      <c r="B2135" s="308" t="str">
        <f ca="1">IF($B2127="Missing Player",$B2127,"")</f>
        <v/>
      </c>
      <c r="C2135" s="309"/>
      <c r="D2135" s="309"/>
      <c r="E2135" s="309"/>
      <c r="F2135" s="309"/>
      <c r="G2135" s="310"/>
      <c r="H2135" s="270"/>
      <c r="I2135" s="270"/>
      <c r="J2135" s="270"/>
      <c r="K2135" s="270"/>
      <c r="L2135" s="270"/>
      <c r="M2135" s="262"/>
      <c r="N2135" s="263"/>
      <c r="O2135" s="263"/>
      <c r="P2135" s="264"/>
      <c r="Q2135" s="139" t="str">
        <f ca="1">IF($Q2134&lt;&gt;"",IF($B2137&lt;&gt;"Missing Player",IF($Q2134="W",IF(SUM(IF($H2134&gt;$H2136,1,0),IF($I2134&gt;$I2136,1,0),IF($J2134&gt;$J2136,1,0),IF($K2134&gt;$K2136,1,0),IF($L2134&gt;$L2136,1,0))&lt;&gt;3,"Error",""),""),""),"")</f>
        <v/>
      </c>
      <c r="R2135" s="328" t="str">
        <f>$A2101</f>
        <v/>
      </c>
      <c r="S2135" s="328"/>
      <c r="T2135" s="328"/>
      <c r="U2135" s="328"/>
      <c r="V2135" s="328"/>
      <c r="W2135" s="328"/>
      <c r="X2135" s="256" t="str">
        <f>CONCATENATE("(",$B2100," vs ",$K2100,")")</f>
        <v>(C vs L)</v>
      </c>
      <c r="Y2135" s="256"/>
      <c r="Z2135" s="328" t="str">
        <f>$J2101</f>
        <v/>
      </c>
      <c r="AA2135" s="328"/>
      <c r="AB2135" s="328"/>
      <c r="AC2135" s="328"/>
      <c r="AD2135" s="328"/>
      <c r="AE2135" s="328"/>
      <c r="AF2135" s="43"/>
    </row>
    <row r="2136" spans="1:32" ht="12.75" customHeight="1">
      <c r="A2136" s="325" t="str">
        <f>K2100</f>
        <v>L</v>
      </c>
      <c r="B2136" s="311" t="str">
        <f ca="1">IF($B2108&lt;&gt;"",$B2108,"")</f>
        <v/>
      </c>
      <c r="C2136" s="312"/>
      <c r="D2136" s="312"/>
      <c r="E2136" s="312"/>
      <c r="F2136" s="312"/>
      <c r="G2136" s="313"/>
      <c r="H2136" s="265"/>
      <c r="I2136" s="265"/>
      <c r="J2136" s="265"/>
      <c r="K2136" s="265"/>
      <c r="L2136" s="265" t="str">
        <f ca="1">IF($B2129&lt;&gt;"",IF(AND($B2129="Missing Player",$G2138=2,$J2138=2),0,IF(AND($B2127="Missing Player",$G2138=2,$J2138=2),11,"")),"")</f>
        <v/>
      </c>
      <c r="M2136" s="267" t="s">
        <v>1237</v>
      </c>
      <c r="N2136" s="268"/>
      <c r="O2136" s="268"/>
      <c r="P2136" s="269"/>
      <c r="Q2136" s="138" t="str">
        <f ca="1">IF(Q2134&lt;&gt;"",IF(Q2134="W","L","W"),"")</f>
        <v/>
      </c>
      <c r="R2136" s="43"/>
      <c r="S2136" s="43"/>
      <c r="T2136" s="43"/>
      <c r="U2136" s="43"/>
      <c r="V2136" s="43"/>
      <c r="W2136" s="43"/>
      <c r="X2136" s="43"/>
      <c r="Y2136" s="43"/>
      <c r="Z2136" s="43"/>
      <c r="AA2136" s="43"/>
      <c r="AB2136" s="43"/>
      <c r="AC2136" s="43"/>
      <c r="AD2136" s="43"/>
      <c r="AE2136" s="43"/>
      <c r="AF2136" s="43"/>
    </row>
    <row r="2137" spans="1:32" ht="12.75" customHeight="1">
      <c r="A2137" s="324"/>
      <c r="B2137" s="308" t="str">
        <f ca="1">IF($B2129="Missing Player",$B2129,"")</f>
        <v/>
      </c>
      <c r="C2137" s="309"/>
      <c r="D2137" s="309"/>
      <c r="E2137" s="309"/>
      <c r="F2137" s="309"/>
      <c r="G2137" s="310"/>
      <c r="H2137" s="270"/>
      <c r="I2137" s="270"/>
      <c r="J2137" s="266"/>
      <c r="K2137" s="266"/>
      <c r="L2137" s="266"/>
      <c r="M2137" s="267"/>
      <c r="N2137" s="268"/>
      <c r="O2137" s="268"/>
      <c r="P2137" s="269"/>
      <c r="Q2137" s="139" t="str">
        <f ca="1">IF($Q2136&lt;&gt;"",IF($B2135&lt;&gt;"Missing Player",IF($Q2136="W",IF(SUM(IF($H2136&gt;$H2134,1,0),IF($I2136&gt;$I2134,1,0),IF($J2136&gt;$J2134,1,0),IF($K2136&gt;$K2134,1,0),IF($L2136&gt;$L2134,1,0))&lt;&gt;3,"Error",""),""),""),"")</f>
        <v/>
      </c>
      <c r="R2137" s="43" t="str">
        <f>A2125</f>
        <v>4th Singles</v>
      </c>
      <c r="S2137" s="43"/>
      <c r="T2137" s="43"/>
      <c r="U2137" s="43"/>
      <c r="V2137" s="43"/>
      <c r="W2137" s="43"/>
      <c r="X2137" s="43"/>
      <c r="Y2137" s="43"/>
      <c r="Z2137" s="43"/>
      <c r="AA2137" s="43"/>
      <c r="AB2137" s="43"/>
      <c r="AC2137" s="43"/>
      <c r="AD2137" s="43"/>
      <c r="AE2137" s="43"/>
      <c r="AF2137" s="43"/>
    </row>
    <row r="2138" spans="1:32" ht="12.75" customHeight="1">
      <c r="G2138" s="66">
        <f ca="1">COUNTIF($Q2106:$Q2106,"W")+COUNTIF($Q2113:$Q2113,"W")+COUNTIF($Q2120:$Q2120,"W")+COUNTIF($Q2127:$Q2127,"W")</f>
        <v>0</v>
      </c>
      <c r="J2138" s="66">
        <f ca="1">COUNTIF($Q2108:$Q2108,"W")+COUNTIF($Q2115:$Q2115,"W")+COUNTIF($Q2122:$Q2122,"W")+COUNTIF($Q2129:$Q2129,"W")</f>
        <v>0</v>
      </c>
      <c r="R2138" s="60" t="s">
        <v>1228</v>
      </c>
      <c r="S2138" s="339" t="s">
        <v>1126</v>
      </c>
      <c r="T2138" s="340"/>
      <c r="U2138" s="340"/>
      <c r="V2138" s="340"/>
      <c r="W2138" s="340"/>
      <c r="X2138" s="341"/>
      <c r="Y2138" s="60">
        <v>1</v>
      </c>
      <c r="Z2138" s="60">
        <v>2</v>
      </c>
      <c r="AA2138" s="60">
        <v>3</v>
      </c>
      <c r="AB2138" s="60">
        <v>4</v>
      </c>
      <c r="AC2138" s="60">
        <v>5</v>
      </c>
      <c r="AD2138" s="342"/>
      <c r="AE2138" s="343"/>
      <c r="AF2138" s="344"/>
    </row>
    <row r="2139" spans="1:32" ht="12.75" customHeight="1" thickBot="1">
      <c r="F2139" s="246" t="s">
        <v>1238</v>
      </c>
      <c r="G2139" s="246"/>
      <c r="H2139" s="246"/>
      <c r="I2139" s="246"/>
      <c r="J2139" s="246"/>
      <c r="K2139" s="246"/>
      <c r="R2139" s="300" t="str">
        <f>B2100</f>
        <v>C</v>
      </c>
      <c r="S2139" s="331" t="str">
        <f ca="1">IF($B2127&lt;&gt;"",$B2127,"")</f>
        <v/>
      </c>
      <c r="T2139" s="353"/>
      <c r="U2139" s="353"/>
      <c r="V2139" s="353"/>
      <c r="W2139" s="353"/>
      <c r="X2139" s="354"/>
      <c r="Y2139" s="329"/>
      <c r="Z2139" s="329"/>
      <c r="AA2139" s="351"/>
      <c r="AB2139" s="351"/>
      <c r="AC2139" s="351"/>
      <c r="AD2139" s="345"/>
      <c r="AE2139" s="346"/>
      <c r="AF2139" s="347"/>
    </row>
    <row r="2140" spans="1:32" ht="12.75" customHeight="1">
      <c r="A2140" s="22"/>
      <c r="B2140" s="22"/>
      <c r="C2140" s="22"/>
      <c r="D2140" s="22"/>
      <c r="E2140" s="22"/>
      <c r="G2140" s="304" t="str">
        <f>B2100</f>
        <v>C</v>
      </c>
      <c r="H2140" s="305"/>
      <c r="I2140" s="302" t="str">
        <f>K2100</f>
        <v>L</v>
      </c>
      <c r="J2140" s="303"/>
      <c r="L2140" s="22"/>
      <c r="M2140" s="22"/>
      <c r="N2140" s="22"/>
      <c r="O2140" s="22"/>
      <c r="P2140" s="22"/>
      <c r="R2140" s="301"/>
      <c r="S2140" s="355"/>
      <c r="T2140" s="356"/>
      <c r="U2140" s="356"/>
      <c r="V2140" s="356"/>
      <c r="W2140" s="356"/>
      <c r="X2140" s="357"/>
      <c r="Y2140" s="338"/>
      <c r="Z2140" s="338"/>
      <c r="AA2140" s="352"/>
      <c r="AB2140" s="352"/>
      <c r="AC2140" s="352"/>
      <c r="AD2140" s="348"/>
      <c r="AE2140" s="349"/>
      <c r="AF2140" s="350"/>
    </row>
    <row r="2141" spans="1:32" ht="12.75" customHeight="1" thickBot="1">
      <c r="A2141" s="2" t="s">
        <v>1228</v>
      </c>
      <c r="B2141" s="53" t="str">
        <f>B2100</f>
        <v>C</v>
      </c>
      <c r="C2141" s="3" t="s">
        <v>1226</v>
      </c>
      <c r="F2141" s="66" t="str">
        <f>CONCATENATE($B2100,"-",$K2100)</f>
        <v>C-L</v>
      </c>
      <c r="G2141" s="320" t="str">
        <f ca="1">IF(OR(Q2106&lt;&gt;"",Q2113&lt;&gt;"",Q2120&lt;&gt;"",Q2127&lt;&gt;"",Q2134&lt;&gt;""),COUNTIF(Q2106:Q2106,"W")+COUNTIF(Q2113:Q2113,"W")+COUNTIF(Q2120:Q2120,"W")+COUNTIF(Q2127:Q2127,"W")+COUNTIF(Q2134:Q2134,"W"),"")</f>
        <v/>
      </c>
      <c r="H2141" s="321"/>
      <c r="I2141" s="322" t="str">
        <f ca="1">IF(OR(Q2108&lt;&gt;"",Q2115&lt;&gt;"",Q2122&lt;&gt;"",Q2129&lt;&gt;"",Q2136&lt;&gt;""),COUNTIF(Q2108:Q2108,"W")+COUNTIF(Q2115:Q2115,"W")+COUNTIF(Q2122:Q2122,"W")+COUNTIF(Q2129:Q2129,"W")+COUNTIF(Q2136:Q2136,"W"),"")</f>
        <v/>
      </c>
      <c r="J2141" s="323"/>
      <c r="L2141" s="2" t="s">
        <v>1228</v>
      </c>
      <c r="M2141" s="53" t="str">
        <f>K2100</f>
        <v>L</v>
      </c>
      <c r="N2141" s="3" t="s">
        <v>1226</v>
      </c>
      <c r="R2141" s="300" t="str">
        <f>K2100</f>
        <v>L</v>
      </c>
      <c r="S2141" s="331" t="str">
        <f ca="1">IF($B2129&lt;&gt;"",$B2129,"")</f>
        <v/>
      </c>
      <c r="T2141" s="332"/>
      <c r="U2141" s="332"/>
      <c r="V2141" s="332"/>
      <c r="W2141" s="332"/>
      <c r="X2141" s="333"/>
      <c r="Y2141" s="329"/>
      <c r="Z2141" s="329"/>
      <c r="AA2141" s="351"/>
      <c r="AB2141" s="351"/>
      <c r="AC2141" s="351"/>
      <c r="AD2141" s="363" t="s">
        <v>1237</v>
      </c>
      <c r="AE2141" s="358"/>
      <c r="AF2141" s="359"/>
    </row>
    <row r="2142" spans="1:32" ht="12.75" customHeight="1">
      <c r="F2142" s="25" t="s">
        <v>3996</v>
      </c>
      <c r="G2142" s="23"/>
      <c r="H2142" s="23"/>
      <c r="I2142" s="23"/>
      <c r="J2142" s="23"/>
      <c r="K2142" s="24"/>
      <c r="R2142" s="330"/>
      <c r="S2142" s="334"/>
      <c r="T2142" s="335"/>
      <c r="U2142" s="335"/>
      <c r="V2142" s="335"/>
      <c r="W2142" s="335"/>
      <c r="X2142" s="336"/>
      <c r="Y2142" s="330"/>
      <c r="Z2142" s="330"/>
      <c r="AA2142" s="330"/>
      <c r="AB2142" s="330"/>
      <c r="AC2142" s="330"/>
      <c r="AD2142" s="360"/>
      <c r="AE2142" s="361"/>
      <c r="AF2142" s="362"/>
    </row>
    <row r="2143" spans="1:32" ht="12.75" customHeight="1">
      <c r="R2143" s="1"/>
      <c r="S2143" s="110"/>
      <c r="T2143" s="110"/>
      <c r="U2143" s="110"/>
      <c r="V2143" s="110"/>
      <c r="W2143" s="110"/>
      <c r="X2143" s="111"/>
      <c r="Y2143" s="111"/>
      <c r="Z2143" s="111"/>
      <c r="AA2143" s="111"/>
    </row>
    <row r="2144" spans="1:32" ht="12.75" customHeight="1">
      <c r="F2144" s="246" t="s">
        <v>4929</v>
      </c>
      <c r="G2144" s="246"/>
      <c r="H2144" s="246"/>
      <c r="I2144" s="246"/>
      <c r="R2144" s="1"/>
      <c r="S2144" s="110"/>
      <c r="T2144" s="110"/>
      <c r="U2144" s="110"/>
      <c r="V2144" s="110"/>
      <c r="W2144" s="110"/>
      <c r="X2144" s="111"/>
      <c r="Y2144" s="111"/>
      <c r="Z2144" s="111"/>
      <c r="AA2144" s="111"/>
    </row>
    <row r="2145" spans="1:32" ht="12.75" customHeight="1">
      <c r="F2145" s="246" t="s">
        <v>4930</v>
      </c>
      <c r="G2145" s="246"/>
      <c r="H2145" s="246"/>
      <c r="I2145" s="246"/>
      <c r="R2145" s="1"/>
      <c r="S2145" s="110"/>
      <c r="T2145" s="110"/>
      <c r="U2145" s="110"/>
      <c r="V2145" s="110"/>
      <c r="W2145" s="110"/>
      <c r="X2145" s="111"/>
      <c r="Y2145" s="111"/>
      <c r="Z2145" s="111"/>
      <c r="AA2145" s="111"/>
    </row>
    <row r="2146" spans="1:32" ht="12.75" customHeight="1">
      <c r="K2146" s="281" t="s">
        <v>1244</v>
      </c>
      <c r="L2146" s="281"/>
      <c r="M2146" s="281"/>
      <c r="N2146" s="281"/>
      <c r="O2146" s="281"/>
      <c r="P2146" s="281"/>
      <c r="R2146" s="1"/>
      <c r="S2146" s="110"/>
      <c r="T2146" s="110"/>
      <c r="U2146" s="110"/>
      <c r="V2146" s="110"/>
      <c r="W2146" s="110"/>
      <c r="X2146" s="111"/>
      <c r="Y2146" s="111"/>
      <c r="Z2146" s="111"/>
      <c r="AA2146" s="111"/>
    </row>
    <row r="2147" spans="1:32" ht="12.75" customHeight="1">
      <c r="A2147" s="12" t="s">
        <v>1229</v>
      </c>
      <c r="B2147" s="11"/>
      <c r="C2147" s="11"/>
      <c r="D2147" s="11" t="str">
        <f>Draw!$B$1</f>
        <v>Enter Division Name</v>
      </c>
      <c r="E2147" s="11"/>
      <c r="F2147" s="7"/>
      <c r="G2147" s="6"/>
      <c r="H2147" s="7"/>
      <c r="I2147" s="11"/>
      <c r="J2147" s="11"/>
      <c r="K2147" s="11"/>
      <c r="L2147" s="11"/>
      <c r="M2147" s="281"/>
      <c r="N2147" s="281"/>
      <c r="O2147" s="281"/>
      <c r="P2147" s="281"/>
      <c r="R2147" s="1"/>
      <c r="S2147" s="110"/>
      <c r="T2147" s="110"/>
      <c r="U2147" s="110"/>
      <c r="V2147" s="110"/>
      <c r="W2147" s="110"/>
      <c r="X2147" s="111"/>
      <c r="Y2147" s="111"/>
      <c r="Z2147" s="111"/>
      <c r="AA2147" s="111"/>
    </row>
    <row r="2148" spans="1:32" ht="12.75" customHeight="1">
      <c r="A2148" s="2" t="s">
        <v>1230</v>
      </c>
      <c r="D2148" s="43" t="str">
        <f>Draw!$D$1</f>
        <v>Enter Hosting Location (City, ST)</v>
      </c>
      <c r="J2148" s="43" t="str">
        <f ca="1">$J$6</f>
        <v>[NCTTA Teams Template (v2.06).xlsx]</v>
      </c>
      <c r="R2148" s="1"/>
      <c r="S2148" s="110"/>
      <c r="T2148" s="110"/>
      <c r="U2148" s="110"/>
      <c r="V2148" s="110"/>
      <c r="W2148" s="110"/>
      <c r="X2148" s="111"/>
      <c r="Y2148" s="111"/>
      <c r="Z2148" s="111"/>
      <c r="AA2148" s="111"/>
    </row>
    <row r="2149" spans="1:32" ht="12.75" customHeight="1">
      <c r="A2149" s="2" t="s">
        <v>1231</v>
      </c>
      <c r="D2149" s="337" t="str">
        <f>Draw!$P$1</f>
        <v>Enter Date</v>
      </c>
      <c r="E2149" s="337"/>
      <c r="F2149" s="337"/>
      <c r="G2149" s="337"/>
      <c r="J2149" s="280" t="str">
        <f>CHOOSE(Draw!$T$1,"Round 8, Match 1","","","","","","","","","Round 9, Match 3","Round 9, Match 3")</f>
        <v/>
      </c>
      <c r="K2149" s="280"/>
      <c r="L2149" s="280"/>
      <c r="M2149" s="276" t="str">
        <f>IF(AND($J2149&lt;&gt;"",Draw!$AC$10&lt;&gt;"",Draw!$AC$13&lt;&gt;""),Draw!$AC$10+TIME(0,VALUE(MID($J2149,7,FIND(",",$J2149)-FIND(" ",$J2149)-1)-1)*Draw!$AC$13,0),"")</f>
        <v/>
      </c>
      <c r="N2149" s="276"/>
      <c r="O2149" s="157" t="str">
        <f>$F2192</f>
        <v>D-E</v>
      </c>
      <c r="R2149" s="1"/>
      <c r="S2149" s="110"/>
      <c r="T2149" s="110"/>
      <c r="U2149" s="110"/>
      <c r="V2149" s="110"/>
      <c r="W2149" s="110"/>
      <c r="X2149" s="111"/>
      <c r="Y2149" s="111"/>
      <c r="Z2149" s="111"/>
      <c r="AA2149" s="111"/>
    </row>
    <row r="2150" spans="1:32" ht="12.75" customHeight="1">
      <c r="A2150" s="14"/>
      <c r="B2150" s="15"/>
      <c r="C2150" s="15"/>
      <c r="D2150" s="15"/>
      <c r="E2150" s="15"/>
      <c r="F2150" s="14"/>
      <c r="G2150" s="14"/>
      <c r="H2150" s="16"/>
      <c r="I2150" s="14"/>
      <c r="J2150" s="15"/>
      <c r="K2150" s="15"/>
      <c r="L2150" s="15"/>
      <c r="M2150" s="15"/>
      <c r="N2150" s="15"/>
      <c r="O2150" s="364" t="str">
        <f>IF(OR(AND(VLOOKUP($B2151,$AM$1:$AX$12,12,FALSE)="C",VLOOKUP($K2151,$AM$1:$AX$12,12,FALSE)="C"),AND(VLOOKUP($B2151,$AM$1:$AX$12,12,FALSE)="W",VLOOKUP($K2151,$AM$1:$AX$12,12,FALSE)="W")),"Official",IF(AND($A2152="",$J2152=""),"","Scrimmage"))</f>
        <v/>
      </c>
      <c r="P2150" s="364"/>
      <c r="R2150" s="1"/>
      <c r="S2150" s="110"/>
      <c r="T2150" s="110"/>
      <c r="U2150" s="110"/>
      <c r="V2150" s="110"/>
      <c r="W2150" s="110"/>
      <c r="X2150" s="111"/>
      <c r="Y2150" s="111"/>
      <c r="Z2150" s="111"/>
      <c r="AA2150" s="111"/>
    </row>
    <row r="2151" spans="1:32" ht="12.75" customHeight="1">
      <c r="A2151" s="17" t="s">
        <v>1228</v>
      </c>
      <c r="B2151" s="119" t="str">
        <f>CHOOSE(Draw!$T$1,"A","C","D","D","E","E","E","D","C","E","B")</f>
        <v>D</v>
      </c>
      <c r="C2151" s="135">
        <f>VLOOKUP($B2151,$AM$1:$AN$12,2)</f>
        <v>4</v>
      </c>
      <c r="D2151" s="13"/>
      <c r="E2151" s="13"/>
      <c r="F2151" s="10"/>
      <c r="H2151" s="19" t="s">
        <v>1232</v>
      </c>
      <c r="J2151" s="17" t="s">
        <v>1228</v>
      </c>
      <c r="K2151" s="119" t="str">
        <f>CHOOSE(Draw!$T$1,"E","G","E","J","J","J","I","K","J","I","F")</f>
        <v>E</v>
      </c>
      <c r="L2151" s="135">
        <f>VLOOKUP($K2151,$AM$1:$AN$12,2)</f>
        <v>5</v>
      </c>
      <c r="M2151" s="13"/>
      <c r="N2151" s="13"/>
      <c r="O2151" s="18"/>
      <c r="P2151" s="274"/>
      <c r="Q2151" s="275"/>
      <c r="R2151" s="1"/>
      <c r="S2151" s="110"/>
      <c r="T2151" s="110"/>
      <c r="U2151" s="110"/>
      <c r="V2151" s="110"/>
      <c r="W2151" s="110"/>
      <c r="X2151" s="111"/>
      <c r="Y2151" s="111"/>
      <c r="Z2151" s="111"/>
      <c r="AA2151" s="111"/>
    </row>
    <row r="2152" spans="1:32" ht="12.75" customHeight="1">
      <c r="A2152" s="277" t="str">
        <f>IF(VLOOKUP($B2151,Draw!$A$4:$B$27,2)&lt;&gt;0,VLOOKUP($B2151,Draw!$A$4:$B$27,2),"")</f>
        <v/>
      </c>
      <c r="B2152" s="278"/>
      <c r="C2152" s="278"/>
      <c r="D2152" s="278"/>
      <c r="E2152" s="278"/>
      <c r="F2152" s="279"/>
      <c r="G2152" s="306" t="s">
        <v>4194</v>
      </c>
      <c r="H2152" s="289"/>
      <c r="I2152" s="307"/>
      <c r="J2152" s="277" t="str">
        <f>IF(VLOOKUP($K2151,Draw!$A$4:$B$27,2)&lt;&gt;0,VLOOKUP($K2151,Draw!$A$4:$B$27,2),"")</f>
        <v/>
      </c>
      <c r="K2152" s="278"/>
      <c r="L2152" s="278"/>
      <c r="M2152" s="278"/>
      <c r="N2152" s="278"/>
      <c r="O2152" s="279"/>
      <c r="P2152" s="15"/>
      <c r="R2152" s="1"/>
      <c r="S2152" s="110"/>
      <c r="T2152" s="110"/>
      <c r="U2152" s="110"/>
      <c r="V2152" s="110"/>
      <c r="W2152" s="110"/>
      <c r="X2152" s="111"/>
      <c r="Y2152" s="111"/>
      <c r="Z2152" s="111"/>
      <c r="AA2152" s="111"/>
    </row>
    <row r="2153" spans="1:32" ht="12.75" customHeight="1">
      <c r="A2153" s="14"/>
      <c r="B2153" s="15"/>
      <c r="C2153" s="15"/>
      <c r="D2153" s="15"/>
      <c r="E2153" s="15"/>
      <c r="F2153" s="14"/>
      <c r="G2153" s="288" t="str">
        <f>"Page "&amp;VALUE(RIGHT($G2152,LEN($G2152)-SEARCH("-",$G2152)))/2</f>
        <v>Page 43</v>
      </c>
      <c r="H2153" s="289"/>
      <c r="I2153" s="289"/>
      <c r="J2153" s="15"/>
      <c r="K2153" s="15"/>
      <c r="L2153" s="15"/>
      <c r="M2153" s="15"/>
      <c r="N2153" s="15"/>
      <c r="O2153" s="15"/>
      <c r="P2153" s="15"/>
      <c r="R2153" s="1"/>
      <c r="S2153" s="110"/>
      <c r="T2153" s="110"/>
      <c r="U2153" s="110"/>
      <c r="V2153" s="110"/>
      <c r="W2153" s="110"/>
      <c r="X2153" s="111"/>
      <c r="Y2153" s="111"/>
      <c r="Z2153" s="111"/>
      <c r="AA2153" s="111"/>
      <c r="AF2153" s="27"/>
    </row>
    <row r="2154" spans="1:32" ht="12.75" customHeight="1">
      <c r="A2154" s="327" t="s">
        <v>1245</v>
      </c>
      <c r="B2154" s="327"/>
      <c r="C2154" s="327"/>
      <c r="D2154" s="327"/>
      <c r="E2154" s="327"/>
      <c r="F2154" s="327"/>
      <c r="G2154" s="327"/>
      <c r="H2154" s="327"/>
      <c r="I2154" s="327"/>
      <c r="J2154" s="327"/>
      <c r="K2154" s="327"/>
      <c r="L2154" s="327"/>
      <c r="M2154" s="327"/>
      <c r="N2154" s="327"/>
      <c r="O2154" s="327"/>
      <c r="P2154" s="327"/>
      <c r="Q2154" s="7"/>
      <c r="R2154" s="1"/>
      <c r="S2154" s="110"/>
      <c r="T2154" s="110"/>
      <c r="U2154" s="110"/>
      <c r="V2154" s="110"/>
      <c r="W2154" s="110"/>
      <c r="X2154" s="111"/>
      <c r="Y2154" s="111"/>
      <c r="Z2154" s="111"/>
      <c r="AA2154" s="111"/>
      <c r="AF2154" s="20"/>
    </row>
    <row r="2155" spans="1:32" ht="12.75" customHeight="1">
      <c r="A2155" s="21" t="s">
        <v>1233</v>
      </c>
      <c r="H2155" s="136" t="str">
        <f>IF($Q2157&lt;&gt;"",IF(AND(AND($H2157&gt;-1,$H2159&gt;-1),OR($H2157&gt;10,$H2159&gt;10),ABS($H2157-$H2159)&gt;1,IF(OR($H2157&gt;11,$H2159&gt;11),ABS($H2157-$H2159)=2,TRUE),$H2157=INT($H2157),$H2159=INT($H2159)),"","Error"),"")</f>
        <v/>
      </c>
      <c r="I2155" s="136" t="str">
        <f>IF($Q2157&lt;&gt;"",IF(AND(AND($I2157&gt;-1,$I2159&gt;-1),OR($I2157&gt;10,$I2159&gt;10),ABS($I2157-$I2159)&gt;1,IF(OR($I2157&gt;11,$I2159&gt;11),ABS($I2157-$I2159)=2,TRUE),$I2157=INT($I2157),$I2159=INT($I2159)),"","Error"),"")</f>
        <v/>
      </c>
      <c r="J2155" s="136" t="str">
        <f>IF($Q2157&lt;&gt;"",IF(AND(AND($J2157&gt;-1,$J2159&gt;-1),OR($J2157&gt;10,$J2159&gt;10),ABS($J2157-$J2159)&gt;1,IF(OR($J2157&gt;11,$J2159&gt;11),ABS($J2157-$J2159)=2,TRUE),$J2157=INT($J2157),$J2159=INT($J2159)),"","Error"),"")</f>
        <v/>
      </c>
      <c r="K2155" s="136" t="str">
        <f>IF($Q2157&lt;&gt;"",IF(AND($K2157&lt;&gt;"",$K2159&lt;&gt;""), IF(AND(AND($K2157&gt;-1,$K2159&gt;-1),OR($K2157&gt;10,$K2159&gt;10),ABS($K2157-$K2159)&gt;1,IF(OR($K2157&gt;11,$K2159&gt;11),ABS($K2157-$K2159)=2,TRUE),$K2157=INT($K2157),$K2159=INT($K2159)),"","Error"),""),"")</f>
        <v/>
      </c>
      <c r="L2155" s="136" t="str">
        <f>IF($Q2157&lt;&gt;"",IF(AND($L2157&lt;&gt;"",$L2159&lt;&gt;""), IF(AND(AND($L2157&gt;-1,$L2159&gt;-1),OR($L2157&gt;10,$L2159&gt;10),ABS($L2157-$L2159)&gt;1,IF(OR($L2157&gt;11,$L2159&gt;11),ABS($L2157-$L2159)=2,TRUE),$L2157=INT($L2157),$L2159=INT($L2159)),"","Error"),""),"")</f>
        <v/>
      </c>
      <c r="R2155" s="1"/>
      <c r="S2155" s="110"/>
      <c r="T2155" s="110"/>
      <c r="U2155" s="110"/>
      <c r="V2155" s="110"/>
      <c r="W2155" s="110"/>
      <c r="X2155" s="111"/>
      <c r="Y2155" s="111"/>
      <c r="Z2155" s="111"/>
      <c r="AA2155" s="111"/>
    </row>
    <row r="2156" spans="1:32" ht="12.75" customHeight="1">
      <c r="A2156" s="5" t="s">
        <v>1228</v>
      </c>
      <c r="B2156" s="290" t="s">
        <v>1126</v>
      </c>
      <c r="C2156" s="291"/>
      <c r="D2156" s="291"/>
      <c r="E2156" s="291"/>
      <c r="F2156" s="291"/>
      <c r="G2156" s="292"/>
      <c r="H2156" s="5">
        <v>1</v>
      </c>
      <c r="I2156" s="5">
        <v>2</v>
      </c>
      <c r="J2156" s="5">
        <v>3</v>
      </c>
      <c r="K2156" s="5">
        <v>4</v>
      </c>
      <c r="L2156" s="5">
        <v>5</v>
      </c>
      <c r="M2156" s="271"/>
      <c r="N2156" s="272"/>
      <c r="O2156" s="272"/>
      <c r="P2156" s="273"/>
      <c r="R2156" s="1"/>
      <c r="S2156" s="110"/>
      <c r="T2156" s="110"/>
      <c r="U2156" s="110"/>
      <c r="V2156" s="110"/>
      <c r="W2156" s="110"/>
      <c r="X2156" s="111"/>
      <c r="Y2156" s="111"/>
      <c r="Z2156" s="111"/>
      <c r="AA2156" s="111"/>
    </row>
    <row r="2157" spans="1:32" ht="12.75" customHeight="1">
      <c r="A2157" s="300" t="str">
        <f>B2151</f>
        <v>D</v>
      </c>
      <c r="B2157" s="293" t="str">
        <f ca="1">IF(AND(OFFSET($AO$1,$C2151-1,8,1,1),$A2152&lt;&gt;"",$J2152&lt;&gt;""),CHOOSE($C2151,$AO$1,$AO$2,$AO$3,$AO$4,$AO$5,$AO$6,$AO$7,$AO$8,$AO$9,$AO$10,$AO$11,$AO$12),"")</f>
        <v/>
      </c>
      <c r="C2157" s="294"/>
      <c r="D2157" s="294"/>
      <c r="E2157" s="294"/>
      <c r="F2157" s="294"/>
      <c r="G2157" s="294"/>
      <c r="H2157" s="265"/>
      <c r="I2157" s="265"/>
      <c r="J2157" s="265"/>
      <c r="K2157" s="265"/>
      <c r="L2157" s="265"/>
      <c r="M2157" s="297"/>
      <c r="N2157" s="298"/>
      <c r="O2157" s="298"/>
      <c r="P2157" s="299"/>
      <c r="Q2157" s="137" t="str">
        <f>IF($L2157=$L2159,IF($K2157=$K2159,IF($J2157&lt;&gt;"",IF($J2157&gt;$J2159,"W","L"),""),IF($K2157&gt;$K2159,"W","L")),IF($L2157&gt;$L2159,"W","L"))</f>
        <v/>
      </c>
      <c r="R2157" s="1"/>
      <c r="S2157" s="110"/>
      <c r="T2157" s="110"/>
      <c r="U2157" s="110"/>
      <c r="V2157" s="110"/>
      <c r="W2157" s="110"/>
      <c r="X2157" s="111"/>
      <c r="Y2157" s="111"/>
      <c r="Z2157" s="111"/>
      <c r="AA2157" s="111"/>
    </row>
    <row r="2158" spans="1:32" ht="12.75" customHeight="1">
      <c r="A2158" s="301"/>
      <c r="B2158" s="295"/>
      <c r="C2158" s="296"/>
      <c r="D2158" s="296"/>
      <c r="E2158" s="296"/>
      <c r="F2158" s="296"/>
      <c r="G2158" s="296"/>
      <c r="H2158" s="270"/>
      <c r="I2158" s="270"/>
      <c r="J2158" s="270"/>
      <c r="K2158" s="270"/>
      <c r="L2158" s="270"/>
      <c r="M2158" s="297"/>
      <c r="N2158" s="298"/>
      <c r="O2158" s="298"/>
      <c r="P2158" s="299"/>
      <c r="Q2158" s="139" t="str">
        <f>IF($Q2157&lt;&gt;"",IF($Q2157="W",IF(SUM(IF($H2157&gt;$H2159,1,0),IF($I2157&gt;$I2159,1,0),IF($J2157&gt;$J2159,1,0),IF($K2157&gt;$K2159,1,0),IF($L2157&gt;$L2159,1,0))&lt;&gt;3,"Error",""),""),"")</f>
        <v/>
      </c>
      <c r="R2158" s="328" t="str">
        <f>$A2152</f>
        <v/>
      </c>
      <c r="S2158" s="328"/>
      <c r="T2158" s="328"/>
      <c r="U2158" s="328"/>
      <c r="V2158" s="328"/>
      <c r="W2158" s="328"/>
      <c r="X2158" s="256" t="str">
        <f>CONCATENATE("(",$B2151," vs ",$K2151,")")</f>
        <v>(D vs E)</v>
      </c>
      <c r="Y2158" s="256"/>
      <c r="Z2158" s="328" t="str">
        <f>$J2152</f>
        <v/>
      </c>
      <c r="AA2158" s="328"/>
      <c r="AB2158" s="328"/>
      <c r="AC2158" s="328"/>
      <c r="AD2158" s="328"/>
      <c r="AE2158" s="328"/>
      <c r="AF2158" s="43"/>
    </row>
    <row r="2159" spans="1:32" ht="12.75" customHeight="1">
      <c r="A2159" s="300" t="str">
        <f>K2151</f>
        <v>E</v>
      </c>
      <c r="B2159" s="293" t="str">
        <f ca="1">IF(AND(OFFSET($AO$1,$L2151-1,8,1,1),$A2152&lt;&gt;"",$J2152&lt;&gt;""),CHOOSE($L2151,$AO$1,$AO$2,$AO$3,$AO$4,$AO$5,$AO$6,$AO$7,$AO$8,$AO$9,$AO$10,$AO$11,$AO$12),"")</f>
        <v/>
      </c>
      <c r="C2159" s="294"/>
      <c r="D2159" s="294"/>
      <c r="E2159" s="294"/>
      <c r="F2159" s="294"/>
      <c r="G2159" s="294"/>
      <c r="H2159" s="265"/>
      <c r="I2159" s="265"/>
      <c r="J2159" s="265"/>
      <c r="K2159" s="265"/>
      <c r="L2159" s="265"/>
      <c r="M2159" s="267" t="s">
        <v>1237</v>
      </c>
      <c r="N2159" s="268"/>
      <c r="O2159" s="268"/>
      <c r="P2159" s="269"/>
      <c r="Q2159" s="137" t="str">
        <f>IF($Q2157&lt;&gt;"",IF($Q2157="W","L","W"),"")</f>
        <v/>
      </c>
      <c r="R2159" s="43"/>
      <c r="S2159" s="43"/>
      <c r="T2159" s="43"/>
      <c r="U2159" s="43"/>
      <c r="V2159" s="43"/>
      <c r="W2159" s="43"/>
      <c r="X2159" s="43"/>
      <c r="Y2159" s="43"/>
      <c r="Z2159" s="43"/>
      <c r="AA2159" s="43"/>
      <c r="AB2159" s="43"/>
      <c r="AC2159" s="43"/>
      <c r="AD2159" s="43"/>
      <c r="AE2159" s="43"/>
      <c r="AF2159" s="43"/>
    </row>
    <row r="2160" spans="1:32" ht="12.75" customHeight="1">
      <c r="A2160" s="301"/>
      <c r="B2160" s="295"/>
      <c r="C2160" s="296"/>
      <c r="D2160" s="296"/>
      <c r="E2160" s="296"/>
      <c r="F2160" s="296"/>
      <c r="G2160" s="296"/>
      <c r="H2160" s="270"/>
      <c r="I2160" s="270"/>
      <c r="J2160" s="266"/>
      <c r="K2160" s="266"/>
      <c r="L2160" s="266"/>
      <c r="M2160" s="267"/>
      <c r="N2160" s="268"/>
      <c r="O2160" s="268"/>
      <c r="P2160" s="269"/>
      <c r="Q2160" s="139" t="str">
        <f>IF($Q2159&lt;&gt;"",IF($Q2159="W",IF(SUM(IF($H2159&gt;$H2157,1,0),IF($I2159&gt;$I2157,1,0),IF($J2159&gt;$J2157,1,0),IF($K2159&gt;$K2157,1,0),IF($L2159&gt;$L2157,1,0))&lt;&gt;3,"Error",""),""),"")</f>
        <v/>
      </c>
      <c r="R2160" s="43" t="str">
        <f>$A2162</f>
        <v>2nd Singles</v>
      </c>
      <c r="S2160" s="43"/>
      <c r="T2160" s="43"/>
      <c r="U2160" s="43"/>
      <c r="V2160" s="43"/>
      <c r="W2160" s="43"/>
      <c r="X2160" s="43"/>
      <c r="Y2160" s="43"/>
      <c r="Z2160" s="43"/>
      <c r="AA2160" s="43"/>
      <c r="AB2160" s="43"/>
      <c r="AC2160" s="43"/>
      <c r="AD2160" s="43"/>
      <c r="AE2160" s="43"/>
      <c r="AF2160" s="43"/>
    </row>
    <row r="2161" spans="1:32" ht="12.75" customHeight="1">
      <c r="Q2161" s="7"/>
      <c r="R2161" s="60" t="s">
        <v>1228</v>
      </c>
      <c r="S2161" s="339" t="s">
        <v>1126</v>
      </c>
      <c r="T2161" s="340"/>
      <c r="U2161" s="340"/>
      <c r="V2161" s="340"/>
      <c r="W2161" s="340"/>
      <c r="X2161" s="341"/>
      <c r="Y2161" s="60">
        <v>1</v>
      </c>
      <c r="Z2161" s="60">
        <v>2</v>
      </c>
      <c r="AA2161" s="60">
        <v>3</v>
      </c>
      <c r="AB2161" s="60">
        <v>4</v>
      </c>
      <c r="AC2161" s="60">
        <v>5</v>
      </c>
      <c r="AD2161" s="342"/>
      <c r="AE2161" s="343"/>
      <c r="AF2161" s="344"/>
    </row>
    <row r="2162" spans="1:32" ht="12.75" customHeight="1">
      <c r="A2162" s="21" t="s">
        <v>1234</v>
      </c>
      <c r="H2162" s="136" t="str">
        <f>IF($Q2164&lt;&gt;"",IF(AND(AND($H2164&gt;-1,$H2166&gt;-1),OR($H2164&gt;10,$H2166&gt;10),ABS($H2164-$H2166)&gt;1,IF(OR($H2164&gt;11,$H2166&gt;11),ABS($H2164-$H2166)=2,TRUE),$H2164=INT($H2164),$H2166=INT($H2166)),"","Error"),"")</f>
        <v/>
      </c>
      <c r="I2162" s="136" t="str">
        <f>IF($Q2164&lt;&gt;"",IF(AND(AND($I2164&gt;-1,$I2166&gt;-1),OR($I2164&gt;10,$I2166&gt;10),ABS($I2164-$I2166)&gt;1,IF(OR($I2164&gt;11,$I2166&gt;11),ABS($I2164-$I2166)=2,TRUE),$I2164=INT($I2164),$I2166=INT($I2166)),"","Error"),"")</f>
        <v/>
      </c>
      <c r="J2162" s="136" t="str">
        <f>IF($Q2164&lt;&gt;"",IF(AND(AND($J2164&gt;-1,$J2166&gt;-1),OR($J2164&gt;10,$J2166&gt;10),ABS($J2164-$J2166)&gt;1,IF(OR($J2164&gt;11,$J2166&gt;11),ABS($J2164-$J2166)=2,TRUE),$J2164=INT($J2164),$J2166=INT($J2166)),"","Error"),"")</f>
        <v/>
      </c>
      <c r="K2162" s="136" t="str">
        <f>IF($Q2164&lt;&gt;"",IF(AND($K2164&lt;&gt;"",$K2166&lt;&gt;""), IF(AND(AND($K2164&gt;-1,$K2166&gt;-1),OR($K2164&gt;10,$K2166&gt;10),ABS($K2164-$K2166)&gt;1,IF(OR($K2164&gt;11,$K2166&gt;11),ABS($K2164-$K2166)=2,TRUE),$K2164=INT($K2164),$K2166=INT($K2166)),"","Error"),""),"")</f>
        <v/>
      </c>
      <c r="L2162" s="136" t="str">
        <f>IF($Q2164&lt;&gt;"",IF(AND($L2164&lt;&gt;"",$L2166&lt;&gt;""), IF(AND(AND($L2164&gt;-1,$L2166&gt;-1),OR($L2164&gt;10,$L2166&gt;10),ABS($L2164-$L2166)&gt;1,IF(OR($L2164&gt;11,$L2166&gt;11),ABS($L2164-$L2166)=2,TRUE),$L2164=INT($L2164),$L2166=INT($L2166)),"","Error"),""),"")</f>
        <v/>
      </c>
      <c r="Q2162" s="7"/>
      <c r="R2162" s="300" t="str">
        <f>$B2151</f>
        <v>D</v>
      </c>
      <c r="S2162" s="331" t="str">
        <f ca="1">IF($B2164&lt;&gt;"",$B2164,"")</f>
        <v/>
      </c>
      <c r="T2162" s="332"/>
      <c r="U2162" s="332"/>
      <c r="V2162" s="332"/>
      <c r="W2162" s="332"/>
      <c r="X2162" s="333"/>
      <c r="Y2162" s="329"/>
      <c r="Z2162" s="329"/>
      <c r="AA2162" s="329"/>
      <c r="AB2162" s="329"/>
      <c r="AC2162" s="329"/>
      <c r="AD2162" s="345"/>
      <c r="AE2162" s="358"/>
      <c r="AF2162" s="359"/>
    </row>
    <row r="2163" spans="1:32" ht="12.75" customHeight="1">
      <c r="A2163" s="5" t="s">
        <v>1228</v>
      </c>
      <c r="B2163" s="290" t="s">
        <v>1126</v>
      </c>
      <c r="C2163" s="291"/>
      <c r="D2163" s="291"/>
      <c r="E2163" s="291"/>
      <c r="F2163" s="291"/>
      <c r="G2163" s="292"/>
      <c r="H2163" s="5">
        <v>1</v>
      </c>
      <c r="I2163" s="5">
        <v>2</v>
      </c>
      <c r="J2163" s="5">
        <v>3</v>
      </c>
      <c r="K2163" s="5">
        <v>4</v>
      </c>
      <c r="L2163" s="5">
        <v>5</v>
      </c>
      <c r="M2163" s="271"/>
      <c r="N2163" s="272"/>
      <c r="O2163" s="272"/>
      <c r="P2163" s="273"/>
      <c r="Q2163" s="7"/>
      <c r="R2163" s="330"/>
      <c r="S2163" s="334"/>
      <c r="T2163" s="335"/>
      <c r="U2163" s="335"/>
      <c r="V2163" s="335"/>
      <c r="W2163" s="335"/>
      <c r="X2163" s="336"/>
      <c r="Y2163" s="330"/>
      <c r="Z2163" s="330"/>
      <c r="AA2163" s="330"/>
      <c r="AB2163" s="330"/>
      <c r="AC2163" s="330"/>
      <c r="AD2163" s="360"/>
      <c r="AE2163" s="361"/>
      <c r="AF2163" s="362"/>
    </row>
    <row r="2164" spans="1:32" ht="12.75" customHeight="1">
      <c r="A2164" s="300" t="str">
        <f>B2151</f>
        <v>D</v>
      </c>
      <c r="B2164" s="293" t="str">
        <f ca="1">IF(AND(OFFSET($AO$1,$C2151-1,8,1,1),$A2152&lt;&gt;"",$J2152&lt;&gt;""),CHOOSE($C2151,$AP$1,$AP$2,$AP$3,$AP$4,$AP$5,$AP$6,$AP$7,$AP$8,$AP$9,$AP$10,$AP$11,$AP$12),"")</f>
        <v/>
      </c>
      <c r="C2164" s="294"/>
      <c r="D2164" s="294"/>
      <c r="E2164" s="294"/>
      <c r="F2164" s="294"/>
      <c r="G2164" s="294"/>
      <c r="H2164" s="265"/>
      <c r="I2164" s="265"/>
      <c r="J2164" s="265"/>
      <c r="K2164" s="265"/>
      <c r="L2164" s="265"/>
      <c r="M2164" s="262" t="str">
        <f ca="1">IF(OR(AND($B2157&lt;&gt;"",$B2164&lt;&gt;"",$C2182&lt;=$B2182),AND($B2159&lt;&gt;"",$B2166&lt;&gt;"",$G2182&lt;=$F2182)),"Invalid Lineup","")</f>
        <v/>
      </c>
      <c r="N2164" s="263"/>
      <c r="O2164" s="263"/>
      <c r="P2164" s="264"/>
      <c r="Q2164" s="137" t="str">
        <f>IF($L2164=$L2166,IF($K2164=$K2166,IF($J2164&lt;&gt;"",IF($J2164&gt;$J2166,"W","L"),""),IF($K2164&gt;$K2166,"W","L")),IF($L2164&gt;$L2166,"W","L"))</f>
        <v/>
      </c>
      <c r="R2164" s="300" t="str">
        <f>$K2151</f>
        <v>E</v>
      </c>
      <c r="S2164" s="331" t="str">
        <f ca="1">IF($B2166&lt;&gt;"",$B2166,"")</f>
        <v/>
      </c>
      <c r="T2164" s="332"/>
      <c r="U2164" s="332"/>
      <c r="V2164" s="332"/>
      <c r="W2164" s="332"/>
      <c r="X2164" s="333"/>
      <c r="Y2164" s="329"/>
      <c r="Z2164" s="329"/>
      <c r="AA2164" s="329"/>
      <c r="AB2164" s="329"/>
      <c r="AC2164" s="351"/>
      <c r="AD2164" s="363" t="s">
        <v>1237</v>
      </c>
      <c r="AE2164" s="358"/>
      <c r="AF2164" s="359"/>
    </row>
    <row r="2165" spans="1:32" ht="12.75" customHeight="1">
      <c r="A2165" s="301"/>
      <c r="B2165" s="295"/>
      <c r="C2165" s="296"/>
      <c r="D2165" s="296"/>
      <c r="E2165" s="296"/>
      <c r="F2165" s="296"/>
      <c r="G2165" s="296"/>
      <c r="H2165" s="270"/>
      <c r="I2165" s="270"/>
      <c r="J2165" s="270"/>
      <c r="K2165" s="270"/>
      <c r="L2165" s="270"/>
      <c r="M2165" s="262"/>
      <c r="N2165" s="263"/>
      <c r="O2165" s="263"/>
      <c r="P2165" s="264"/>
      <c r="Q2165" s="139" t="str">
        <f>IF($Q2164&lt;&gt;"",IF($Q2164="W",IF(SUM(IF($H2164&gt;$H2166,1,0),IF($I2164&gt;$I2166,1,0),IF($J2164&gt;$J2166,1,0),IF($K2164&gt;$K2166,1,0),IF($L2164&gt;$L2166,1,0))&lt;&gt;3,"Error",""),""),"")</f>
        <v/>
      </c>
      <c r="R2165" s="330"/>
      <c r="S2165" s="334"/>
      <c r="T2165" s="335"/>
      <c r="U2165" s="335"/>
      <c r="V2165" s="335"/>
      <c r="W2165" s="335"/>
      <c r="X2165" s="336"/>
      <c r="Y2165" s="330"/>
      <c r="Z2165" s="330"/>
      <c r="AA2165" s="330"/>
      <c r="AB2165" s="330"/>
      <c r="AC2165" s="330"/>
      <c r="AD2165" s="360"/>
      <c r="AE2165" s="361"/>
      <c r="AF2165" s="362"/>
    </row>
    <row r="2166" spans="1:32" ht="12.75" customHeight="1">
      <c r="A2166" s="300" t="str">
        <f>K2151</f>
        <v>E</v>
      </c>
      <c r="B2166" s="293" t="str">
        <f ca="1">IF(AND(OFFSET($AO$1,$L2151-1,8,1,1),$A2152&lt;&gt;"",$J2152&lt;&gt;""),CHOOSE($L2151,$AP$1,$AP$2,$AP$3,$AP$4,$AP$5,$AP$6,$AP$7,$AP$8,$AP$9,$AP$10,$AP$11,$AP$12),"")</f>
        <v/>
      </c>
      <c r="C2166" s="294"/>
      <c r="D2166" s="294"/>
      <c r="E2166" s="294"/>
      <c r="F2166" s="294"/>
      <c r="G2166" s="294"/>
      <c r="H2166" s="265"/>
      <c r="I2166" s="265"/>
      <c r="J2166" s="265"/>
      <c r="K2166" s="265"/>
      <c r="L2166" s="265"/>
      <c r="M2166" s="267" t="s">
        <v>1237</v>
      </c>
      <c r="N2166" s="268"/>
      <c r="O2166" s="268"/>
      <c r="P2166" s="269"/>
      <c r="Q2166" s="137" t="str">
        <f>IF($Q2164&lt;&gt;"",IF($Q2164="W","L","W"),"")</f>
        <v/>
      </c>
      <c r="R2166" s="20"/>
      <c r="S2166" s="20"/>
      <c r="T2166" s="20"/>
      <c r="U2166" s="20"/>
      <c r="V2166" s="20"/>
      <c r="W2166" s="20"/>
      <c r="X2166" s="26"/>
      <c r="Y2166" s="26"/>
      <c r="Z2166" s="20"/>
      <c r="AA2166" s="20"/>
      <c r="AB2166" s="20"/>
      <c r="AC2166" s="20"/>
      <c r="AD2166" s="20"/>
      <c r="AE2166" s="20"/>
      <c r="AF2166" s="27"/>
    </row>
    <row r="2167" spans="1:32" ht="12.75" customHeight="1">
      <c r="A2167" s="301"/>
      <c r="B2167" s="295"/>
      <c r="C2167" s="296"/>
      <c r="D2167" s="296"/>
      <c r="E2167" s="296"/>
      <c r="F2167" s="296"/>
      <c r="G2167" s="296"/>
      <c r="H2167" s="270"/>
      <c r="I2167" s="270"/>
      <c r="J2167" s="266"/>
      <c r="K2167" s="266"/>
      <c r="L2167" s="266"/>
      <c r="M2167" s="267"/>
      <c r="N2167" s="268"/>
      <c r="O2167" s="268"/>
      <c r="P2167" s="269"/>
      <c r="Q2167" s="139" t="str">
        <f>IF($Q2166&lt;&gt;"",IF($Q2166="W",IF(SUM(IF($H2166&gt;$H2164,1,0),IF($I2166&gt;$I2164,1,0),IF($J2166&gt;$J2164,1,0),IF($K2166&gt;$K2164,1,0),IF($L2166&gt;$L2164,1,0))&lt;&gt;3,"Error",""),""),"")</f>
        <v/>
      </c>
      <c r="R2167" s="20"/>
      <c r="S2167" s="20"/>
      <c r="T2167" s="20"/>
      <c r="U2167" s="20"/>
      <c r="V2167" s="20"/>
      <c r="W2167" s="20"/>
      <c r="X2167" s="26"/>
      <c r="Y2167" s="26"/>
      <c r="Z2167" s="20"/>
      <c r="AA2167" s="20"/>
      <c r="AB2167" s="20"/>
      <c r="AC2167" s="20"/>
      <c r="AD2167" s="20"/>
      <c r="AE2167" s="20"/>
      <c r="AF2167" s="27"/>
    </row>
    <row r="2168" spans="1:32" ht="12.75" customHeight="1">
      <c r="Q2168" s="7"/>
      <c r="R2168" s="20"/>
      <c r="S2168" s="20"/>
      <c r="T2168" s="20"/>
      <c r="U2168" s="20"/>
      <c r="V2168" s="20"/>
      <c r="W2168" s="20"/>
      <c r="X2168" s="26"/>
      <c r="Y2168" s="26"/>
      <c r="Z2168" s="20"/>
      <c r="AA2168" s="20"/>
      <c r="AB2168" s="20"/>
      <c r="AC2168" s="20"/>
      <c r="AD2168" s="20"/>
      <c r="AE2168" s="20"/>
      <c r="AF2168" s="27"/>
    </row>
    <row r="2169" spans="1:32" ht="12.75" customHeight="1">
      <c r="A2169" s="21" t="s">
        <v>1235</v>
      </c>
      <c r="H2169" s="136" t="str">
        <f>IF($Q2171&lt;&gt;"",IF(AND(AND($H2171&gt;-1,$H2173&gt;-1),OR($H2171&gt;10,$H2173&gt;10),ABS($H2171-$H2173)&gt;1,IF(OR($H2171&gt;11,$H2173&gt;11),ABS($H2171-$H2173)=2,TRUE),$H2171=INT($H2171),$H2173=INT($H2173)),"","Error"),"")</f>
        <v/>
      </c>
      <c r="I2169" s="136" t="str">
        <f>IF($Q2171&lt;&gt;"",IF(AND(AND($I2171&gt;-1,$I2173&gt;-1),OR($I2171&gt;10,$I2173&gt;10),ABS($I2171-$I2173)&gt;1,IF(OR($I2171&gt;11,$I2173&gt;11),ABS($I2171-$I2173)=2,TRUE),$I2171=INT($I2171),$I2173=INT($I2173)),"","Error"),"")</f>
        <v/>
      </c>
      <c r="J2169" s="136" t="str">
        <f>IF($Q2171&lt;&gt;"",IF(AND(AND($J2171&gt;-1,$J2173&gt;-1),OR($J2171&gt;10,$J2173&gt;10),ABS($J2171-$J2173)&gt;1,IF(OR($J2171&gt;11,$J2173&gt;11),ABS($J2171-$J2173)=2,TRUE),$J2171=INT($J2171),$J2173=INT($J2173)),"","Error"),"")</f>
        <v/>
      </c>
      <c r="K2169" s="136" t="str">
        <f>IF($Q2171&lt;&gt;"",IF(AND($K2171&lt;&gt;"",$K2173&lt;&gt;""), IF(AND(AND($K2171&gt;-1,$K2173&gt;-1),OR($K2171&gt;10,$K2173&gt;10),ABS($K2171-$K2173)&gt;1,IF(OR($K2171&gt;11,$K2173&gt;11),ABS($K2171-$K2173)=2,TRUE),$K2171=INT($K2171),$K2173=INT($K2173)),"","Error"),""),"")</f>
        <v/>
      </c>
      <c r="L2169" s="136" t="str">
        <f>IF($Q2171&lt;&gt;"",IF(AND($L2171&lt;&gt;"",$L2173&lt;&gt;""), IF(AND(AND($L2171&gt;-1,$L2173&gt;-1),OR($L2171&gt;10,$L2173&gt;10),ABS($L2171-$L2173)&gt;1,IF(OR($L2171&gt;11,$L2173&gt;11),ABS($L2171-$L2173)=2,TRUE),$L2171=INT($L2171),$L2173=INT($L2173)),"","Error"),""),"")</f>
        <v/>
      </c>
      <c r="Q2169" s="7"/>
      <c r="R2169" s="20"/>
      <c r="S2169" s="20"/>
      <c r="T2169" s="20"/>
      <c r="U2169" s="20"/>
      <c r="V2169" s="20"/>
      <c r="W2169" s="20"/>
      <c r="X2169" s="26"/>
      <c r="Y2169" s="26"/>
      <c r="Z2169" s="20"/>
      <c r="AA2169" s="20"/>
      <c r="AB2169" s="20"/>
      <c r="AC2169" s="20"/>
      <c r="AD2169" s="20"/>
      <c r="AE2169" s="20"/>
      <c r="AF2169" s="27"/>
    </row>
    <row r="2170" spans="1:32" ht="12.75" customHeight="1">
      <c r="A2170" s="5" t="s">
        <v>1228</v>
      </c>
      <c r="B2170" s="290" t="s">
        <v>1126</v>
      </c>
      <c r="C2170" s="291"/>
      <c r="D2170" s="291"/>
      <c r="E2170" s="291"/>
      <c r="F2170" s="291"/>
      <c r="G2170" s="292"/>
      <c r="H2170" s="5">
        <v>1</v>
      </c>
      <c r="I2170" s="5">
        <v>2</v>
      </c>
      <c r="J2170" s="5">
        <v>3</v>
      </c>
      <c r="K2170" s="5">
        <v>4</v>
      </c>
      <c r="L2170" s="5">
        <v>5</v>
      </c>
      <c r="M2170" s="271"/>
      <c r="N2170" s="272"/>
      <c r="O2170" s="272"/>
      <c r="P2170" s="273"/>
      <c r="Q2170" s="7"/>
      <c r="R2170" s="20"/>
      <c r="S2170" s="20"/>
      <c r="T2170" s="20"/>
      <c r="U2170" s="20"/>
      <c r="V2170" s="20"/>
      <c r="W2170" s="20"/>
      <c r="X2170" s="26"/>
      <c r="Y2170" s="26"/>
      <c r="Z2170" s="20"/>
      <c r="AA2170" s="20"/>
      <c r="AB2170" s="20"/>
      <c r="AC2170" s="20"/>
      <c r="AD2170" s="20"/>
      <c r="AE2170" s="20"/>
      <c r="AF2170" s="27"/>
    </row>
    <row r="2171" spans="1:32" ht="12.75" customHeight="1">
      <c r="A2171" s="300" t="str">
        <f>B2151</f>
        <v>D</v>
      </c>
      <c r="B2171" s="293" t="str">
        <f ca="1">IF(AND(OFFSET($AO$1,$C2151-1,8,1,1),$A2152&lt;&gt;"",$J2152&lt;&gt;""),CHOOSE($C2151,$AQ$1,$AQ$2,$AQ$3,$AQ$4,$AQ$5,$AQ$6,$AQ$7,$AQ$8,$AQ$9,$AQ$10,$AQ$11,$AQ$12),"")</f>
        <v/>
      </c>
      <c r="C2171" s="294"/>
      <c r="D2171" s="294"/>
      <c r="E2171" s="294"/>
      <c r="F2171" s="294"/>
      <c r="G2171" s="294"/>
      <c r="H2171" s="265"/>
      <c r="I2171" s="265"/>
      <c r="J2171" s="265"/>
      <c r="K2171" s="265"/>
      <c r="L2171" s="265"/>
      <c r="M2171" s="262" t="str">
        <f ca="1">IF(OR(AND($B2164&lt;&gt;"",$B2171&lt;&gt;"",$D2182&lt;=$C2182),AND($B2166&lt;&gt;"",$B2173&lt;&gt;"",$H2182&lt;=$G2182)),"Invalid Lineup","")</f>
        <v/>
      </c>
      <c r="N2171" s="263"/>
      <c r="O2171" s="263"/>
      <c r="P2171" s="264"/>
      <c r="Q2171" s="137" t="str">
        <f>IF($L2171=$L2173,IF($K2171=$K2173,IF($J2171&lt;&gt;"",IF($J2171&gt;$J2173,"W","L"),""),IF($K2171&gt;$K2173,"W","L")),IF($L2171&gt;$L2173,"W","L"))</f>
        <v/>
      </c>
      <c r="R2171" s="20"/>
      <c r="S2171" s="20"/>
      <c r="T2171" s="20"/>
      <c r="U2171" s="20"/>
      <c r="V2171" s="20"/>
      <c r="W2171" s="20"/>
      <c r="X2171" s="26"/>
      <c r="Y2171" s="26"/>
      <c r="Z2171" s="20"/>
      <c r="AA2171" s="20"/>
      <c r="AB2171" s="20"/>
      <c r="AC2171" s="20"/>
      <c r="AD2171" s="20"/>
      <c r="AE2171" s="20"/>
      <c r="AF2171" s="27"/>
    </row>
    <row r="2172" spans="1:32" ht="12.75" customHeight="1">
      <c r="A2172" s="301"/>
      <c r="B2172" s="295"/>
      <c r="C2172" s="296"/>
      <c r="D2172" s="296"/>
      <c r="E2172" s="296"/>
      <c r="F2172" s="296"/>
      <c r="G2172" s="296"/>
      <c r="H2172" s="270"/>
      <c r="I2172" s="270"/>
      <c r="J2172" s="270"/>
      <c r="K2172" s="270"/>
      <c r="L2172" s="270"/>
      <c r="M2172" s="262"/>
      <c r="N2172" s="263"/>
      <c r="O2172" s="263"/>
      <c r="P2172" s="264"/>
      <c r="Q2172" s="139" t="str">
        <f>IF($Q2171&lt;&gt;"",IF($Q2171="W",IF(SUM(IF($H2171&gt;$H2173,1,0),IF($I2171&gt;$I2173,1,0),IF($J2171&gt;$J2173,1,0),IF($K2171&gt;$K2173,1,0),IF($L2171&gt;$L2173,1,0))&lt;&gt;3,"Error",""),""),"")</f>
        <v/>
      </c>
      <c r="R2172" s="328" t="str">
        <f>$A2152</f>
        <v/>
      </c>
      <c r="S2172" s="328"/>
      <c r="T2172" s="328"/>
      <c r="U2172" s="328"/>
      <c r="V2172" s="328"/>
      <c r="W2172" s="328"/>
      <c r="X2172" s="256" t="str">
        <f>CONCATENATE("(",$B2151," vs ",$K2151,")")</f>
        <v>(D vs E)</v>
      </c>
      <c r="Y2172" s="256"/>
      <c r="Z2172" s="328" t="str">
        <f>$J2152</f>
        <v/>
      </c>
      <c r="AA2172" s="328"/>
      <c r="AB2172" s="328"/>
      <c r="AC2172" s="328"/>
      <c r="AD2172" s="328"/>
      <c r="AE2172" s="328"/>
      <c r="AF2172" s="100"/>
    </row>
    <row r="2173" spans="1:32" ht="12.75" customHeight="1">
      <c r="A2173" s="300" t="str">
        <f>K2151</f>
        <v>E</v>
      </c>
      <c r="B2173" s="293" t="str">
        <f ca="1">IF(AND(OFFSET($AO$1,$L2151-1,8,1,1),$A2152&lt;&gt;"",$J2152&lt;&gt;""),CHOOSE($L2151,$AQ$1,$AQ$2,$AQ$3,$AQ$4,$AQ$5,$AQ$6,$AQ$7,$AQ$8,$AQ$9,$AQ$10,$AQ$11,$AQ$12),"")</f>
        <v/>
      </c>
      <c r="C2173" s="294"/>
      <c r="D2173" s="294"/>
      <c r="E2173" s="294"/>
      <c r="F2173" s="294"/>
      <c r="G2173" s="294"/>
      <c r="H2173" s="265"/>
      <c r="I2173" s="265"/>
      <c r="J2173" s="265"/>
      <c r="K2173" s="265"/>
      <c r="L2173" s="265"/>
      <c r="M2173" s="267" t="s">
        <v>1237</v>
      </c>
      <c r="N2173" s="268"/>
      <c r="O2173" s="268"/>
      <c r="P2173" s="269"/>
      <c r="Q2173" s="137" t="str">
        <f>IF($Q2171&lt;&gt;"",IF($Q2171="W","L","W"),"")</f>
        <v/>
      </c>
      <c r="R2173" s="100"/>
      <c r="S2173" s="100"/>
      <c r="T2173" s="100"/>
      <c r="U2173" s="100"/>
      <c r="V2173" s="100"/>
      <c r="W2173" s="100"/>
      <c r="X2173" s="100"/>
      <c r="Y2173" s="100"/>
      <c r="Z2173" s="100"/>
      <c r="AA2173" s="100"/>
      <c r="AB2173" s="100"/>
      <c r="AC2173" s="100"/>
      <c r="AD2173" s="100"/>
      <c r="AE2173" s="100"/>
      <c r="AF2173" s="100"/>
    </row>
    <row r="2174" spans="1:32" ht="12.75" customHeight="1">
      <c r="A2174" s="301"/>
      <c r="B2174" s="295"/>
      <c r="C2174" s="296"/>
      <c r="D2174" s="296"/>
      <c r="E2174" s="296"/>
      <c r="F2174" s="296"/>
      <c r="G2174" s="296"/>
      <c r="H2174" s="270"/>
      <c r="I2174" s="270"/>
      <c r="J2174" s="266"/>
      <c r="K2174" s="266"/>
      <c r="L2174" s="266"/>
      <c r="M2174" s="267"/>
      <c r="N2174" s="268"/>
      <c r="O2174" s="268"/>
      <c r="P2174" s="269"/>
      <c r="Q2174" s="139" t="str">
        <f>IF($Q2173&lt;&gt;"",IF($Q2173="W",IF(SUM(IF($H2173&gt;$H2171,1,0),IF($I2173&gt;$I2171,1,0),IF($J2173&gt;$J2171,1,0),IF($K2173&gt;$K2171,1,0),IF($L2173&gt;$L2171,1,0))&lt;&gt;3,"Error",""),""),"")</f>
        <v/>
      </c>
      <c r="R2174" s="43" t="str">
        <f>$A2169</f>
        <v>3rd Singles</v>
      </c>
      <c r="S2174" s="43"/>
      <c r="T2174" s="43"/>
      <c r="U2174" s="43"/>
      <c r="V2174" s="43"/>
      <c r="W2174" s="43"/>
      <c r="X2174" s="43"/>
      <c r="Y2174" s="43"/>
      <c r="Z2174" s="43"/>
      <c r="AA2174" s="43"/>
      <c r="AB2174" s="43"/>
      <c r="AC2174" s="43"/>
      <c r="AD2174" s="43"/>
      <c r="AE2174" s="43"/>
      <c r="AF2174" s="43"/>
    </row>
    <row r="2175" spans="1:32" ht="12.75" customHeight="1">
      <c r="Q2175" s="7"/>
      <c r="R2175" s="60" t="s">
        <v>1228</v>
      </c>
      <c r="S2175" s="101" t="s">
        <v>1126</v>
      </c>
      <c r="T2175" s="102"/>
      <c r="U2175" s="102"/>
      <c r="V2175" s="102"/>
      <c r="W2175" s="102"/>
      <c r="X2175" s="103"/>
      <c r="Y2175" s="60">
        <v>1</v>
      </c>
      <c r="Z2175" s="60">
        <v>2</v>
      </c>
      <c r="AA2175" s="60">
        <v>3</v>
      </c>
      <c r="AB2175" s="60">
        <v>4</v>
      </c>
      <c r="AC2175" s="60">
        <v>5</v>
      </c>
      <c r="AD2175" s="104"/>
      <c r="AE2175" s="105"/>
      <c r="AF2175" s="106"/>
    </row>
    <row r="2176" spans="1:32" ht="12.75" customHeight="1">
      <c r="A2176" s="21" t="s">
        <v>1236</v>
      </c>
      <c r="H2176" s="136" t="str">
        <f ca="1">IF($Q2178&lt;&gt;"",IF(AND($B2178&lt;&gt;"Missing Player",$B2180&lt;&gt;"Missing Player"),IF(AND(AND($H2178&gt;-1,$H2180&gt;-1),OR($H2178&gt;10,$H2180&gt;10),ABS($H2178-$H2180)&gt;1,IF(OR($H2178&gt;11,$H2180&gt;11),ABS($H2178-$H2180)=2,TRUE),$H2178=INT($H2178),$H2180=INT($H2180)),"","Error"),""),"")</f>
        <v/>
      </c>
      <c r="I2176" s="136" t="str">
        <f ca="1">IF($Q2178&lt;&gt;"",IF(AND($B2178&lt;&gt;"Missing Player",$B2180&lt;&gt;"Missing Player"),IF(AND(AND($I2178&gt;-1,$I2180&gt;-1),OR($I2178&gt;10,$I2180&gt;10),ABS($I2178-$I2180)&gt;1,IF(OR($I2178&gt;11,$I2180&gt;11),ABS($I2178-$I2180)=2,TRUE),$I2178=INT($I2178),$I2180=INT($I2180)),"","Error"),""),"")</f>
        <v/>
      </c>
      <c r="J2176" s="136" t="str">
        <f ca="1">IF($Q2178&lt;&gt;"",IF(AND($B2178&lt;&gt;"Missing Player",$B2180&lt;&gt;"Missing Player"),IF(AND(AND($J2178&gt;-1,$J2180&gt;-1),OR($J2178&gt;10,$J2180&gt;10),ABS($J2178-$J2180)&gt;1,IF(OR($J2178&gt;11,$J2180&gt;11),ABS($J2178-$J2180)=2,TRUE),$J2178=INT($J2178),$J2180=INT($J2180)),"","Error"),""),"")</f>
        <v/>
      </c>
      <c r="K2176" s="136" t="str">
        <f ca="1">IF($Q2178&lt;&gt;"",IF(AND($K2178&lt;&gt;"",$K2180&lt;&gt;""), IF(AND(AND($K2178&gt;-1,$K2180&gt;-1),OR($K2178&gt;10,$K2180&gt;10),ABS($K2178-$K2180)&gt;1,IF(OR($K2178&gt;11,$K2180&gt;11),ABS($K2178-$K2180)=2,TRUE),$K2178=INT($K2178),$K2180=INT($K2180)),"","Error"),""),"")</f>
        <v/>
      </c>
      <c r="L2176" s="136" t="str">
        <f ca="1">IF($Q2178&lt;&gt;"",IF(AND($L2178&lt;&gt;"",$L2180&lt;&gt;""), IF(AND(AND($L2178&gt;-1,$L2180&gt;-1),OR($L2178&gt;10,$L2180&gt;10),ABS($L2178-$L2180)&gt;1,IF(OR($L2178&gt;11,$L2180&gt;11),ABS($L2178-$L2180)=2,TRUE),$L2178=INT($L2178),$L2180=INT($L2180)),"","Error"),""),"")</f>
        <v/>
      </c>
      <c r="Q2176" s="7"/>
      <c r="R2176" s="300" t="str">
        <f>$B2151</f>
        <v>D</v>
      </c>
      <c r="S2176" s="331" t="str">
        <f ca="1">IF($B2171&lt;&gt;"",$B2171,"")</f>
        <v/>
      </c>
      <c r="T2176" s="332"/>
      <c r="U2176" s="332"/>
      <c r="V2176" s="332"/>
      <c r="W2176" s="332"/>
      <c r="X2176" s="333"/>
      <c r="Y2176" s="329"/>
      <c r="Z2176" s="329"/>
      <c r="AA2176" s="329"/>
      <c r="AB2176" s="329"/>
      <c r="AC2176" s="329"/>
      <c r="AD2176" s="345"/>
      <c r="AE2176" s="358"/>
      <c r="AF2176" s="359"/>
    </row>
    <row r="2177" spans="1:32" ht="12.75" customHeight="1">
      <c r="A2177" s="5" t="s">
        <v>1228</v>
      </c>
      <c r="B2177" s="290" t="s">
        <v>1126</v>
      </c>
      <c r="C2177" s="291"/>
      <c r="D2177" s="291"/>
      <c r="E2177" s="291"/>
      <c r="F2177" s="291"/>
      <c r="G2177" s="292"/>
      <c r="H2177" s="5">
        <v>1</v>
      </c>
      <c r="I2177" s="5">
        <v>2</v>
      </c>
      <c r="J2177" s="5">
        <v>3</v>
      </c>
      <c r="K2177" s="5">
        <v>4</v>
      </c>
      <c r="L2177" s="5">
        <v>5</v>
      </c>
      <c r="M2177" s="271"/>
      <c r="N2177" s="272"/>
      <c r="O2177" s="272"/>
      <c r="P2177" s="273"/>
      <c r="Q2177" s="7"/>
      <c r="R2177" s="330"/>
      <c r="S2177" s="334"/>
      <c r="T2177" s="335"/>
      <c r="U2177" s="335"/>
      <c r="V2177" s="335"/>
      <c r="W2177" s="335"/>
      <c r="X2177" s="336"/>
      <c r="Y2177" s="330"/>
      <c r="Z2177" s="330"/>
      <c r="AA2177" s="330"/>
      <c r="AB2177" s="330"/>
      <c r="AC2177" s="330"/>
      <c r="AD2177" s="360"/>
      <c r="AE2177" s="361"/>
      <c r="AF2177" s="362"/>
    </row>
    <row r="2178" spans="1:32" ht="12.75" customHeight="1">
      <c r="A2178" s="300" t="str">
        <f>B2151</f>
        <v>D</v>
      </c>
      <c r="B2178" s="293" t="str">
        <f ca="1">IF(AND(OFFSET($AO$1,$C2151-1,8,1,1),$A2152&lt;&gt;"",$J2152&lt;&gt;""),CHOOSE($C2151,$AR$1,$AR$2,$AR$3,$AR$4,$AR$5,$AR$6,$AR$7,$AR$8,$AR$9,$AR$10,$AR$11,$AR$12),"")</f>
        <v/>
      </c>
      <c r="C2178" s="294"/>
      <c r="D2178" s="294"/>
      <c r="E2178" s="294"/>
      <c r="F2178" s="294"/>
      <c r="G2178" s="294"/>
      <c r="H2178" s="265"/>
      <c r="I2178" s="265"/>
      <c r="J2178" s="265"/>
      <c r="K2178" s="265"/>
      <c r="L2178" s="265" t="str">
        <f ca="1">IF(AND($B2178&lt;&gt;"",$Q2157&lt;&gt;""),IF($B2178="Missing Player",0,IF($B2180="Missing Player",11,"")),"")</f>
        <v/>
      </c>
      <c r="M2178" s="262" t="str">
        <f ca="1">IF(OR(AND($B2171&lt;&gt;"",$B2178&lt;&gt;"",$E2182&lt;=$D2182),AND($B2173&lt;&gt;"",$B2180&lt;&gt;"",$I2182&lt;=$H2182)),"Invalid Lineup","")</f>
        <v/>
      </c>
      <c r="N2178" s="263"/>
      <c r="O2178" s="263"/>
      <c r="P2178" s="264"/>
      <c r="Q2178" s="137" t="str">
        <f ca="1">IF($L2178=$L2180,IF($K2178=$K2180,IF($J2178&lt;&gt;"",IF($J2178&gt;$J2180,"W","L"),""),IF($K2178&gt;$K2180,"W","L")),IF($L2178&gt;$L2180,"W","L"))</f>
        <v/>
      </c>
      <c r="R2178" s="300" t="str">
        <f>$K2151</f>
        <v>E</v>
      </c>
      <c r="S2178" s="331" t="str">
        <f ca="1">IF($B2173&lt;&gt;"",$B2173,"")</f>
        <v/>
      </c>
      <c r="T2178" s="332"/>
      <c r="U2178" s="332"/>
      <c r="V2178" s="332"/>
      <c r="W2178" s="332"/>
      <c r="X2178" s="333"/>
      <c r="Y2178" s="329"/>
      <c r="Z2178" s="329"/>
      <c r="AA2178" s="329"/>
      <c r="AB2178" s="329"/>
      <c r="AC2178" s="351"/>
      <c r="AD2178" s="363" t="s">
        <v>1237</v>
      </c>
      <c r="AE2178" s="358"/>
      <c r="AF2178" s="359"/>
    </row>
    <row r="2179" spans="1:32" ht="12.75" customHeight="1">
      <c r="A2179" s="301"/>
      <c r="B2179" s="295"/>
      <c r="C2179" s="296"/>
      <c r="D2179" s="296"/>
      <c r="E2179" s="296"/>
      <c r="F2179" s="296"/>
      <c r="G2179" s="296"/>
      <c r="H2179" s="270"/>
      <c r="I2179" s="270"/>
      <c r="J2179" s="270"/>
      <c r="K2179" s="270"/>
      <c r="L2179" s="270"/>
      <c r="M2179" s="262"/>
      <c r="N2179" s="263"/>
      <c r="O2179" s="263"/>
      <c r="P2179" s="264"/>
      <c r="Q2179" s="139" t="str">
        <f ca="1">IF($Q2178&lt;&gt;"",IF($B2180&lt;&gt;"Missing Player",IF($Q2178="W",IF(SUM(IF($H2178&gt;$H2180,1,0),IF($I2178&gt;$I2180,1,0),IF($J2178&gt;$J2180,1,0),IF($K2178&gt;$K2180,1,0),IF($L2178&gt;$L2180,1,0))&lt;&gt;3,"Error",""),""),""),"")</f>
        <v/>
      </c>
      <c r="R2179" s="330"/>
      <c r="S2179" s="334"/>
      <c r="T2179" s="335"/>
      <c r="U2179" s="335"/>
      <c r="V2179" s="335"/>
      <c r="W2179" s="335"/>
      <c r="X2179" s="336"/>
      <c r="Y2179" s="330"/>
      <c r="Z2179" s="330"/>
      <c r="AA2179" s="330"/>
      <c r="AB2179" s="330"/>
      <c r="AC2179" s="330"/>
      <c r="AD2179" s="360"/>
      <c r="AE2179" s="361"/>
      <c r="AF2179" s="362"/>
    </row>
    <row r="2180" spans="1:32" ht="12.75" customHeight="1">
      <c r="A2180" s="300" t="str">
        <f>K2151</f>
        <v>E</v>
      </c>
      <c r="B2180" s="293" t="str">
        <f ca="1">IF(AND(OFFSET($AO$1,$L2151-1,8,1,1),$A2152&lt;&gt;"",$J2152&lt;&gt;""),CHOOSE($L2151,$AR$1,$AR$2,$AR$3,$AR$4,$AR$5,$AR$6,$AR$7,$AR$8,$AR$9,$AR$10,$AR$11,$AR$12),"")</f>
        <v/>
      </c>
      <c r="C2180" s="294"/>
      <c r="D2180" s="294"/>
      <c r="E2180" s="294"/>
      <c r="F2180" s="294"/>
      <c r="G2180" s="294"/>
      <c r="H2180" s="265"/>
      <c r="I2180" s="265"/>
      <c r="J2180" s="265"/>
      <c r="K2180" s="265"/>
      <c r="L2180" s="265" t="str">
        <f ca="1">IF(AND($B2180&lt;&gt;"",$Q2157&lt;&gt;""),IF($B2180="Missing Player",0,IF($B2178="Missing Player",11,"")),"")</f>
        <v/>
      </c>
      <c r="M2180" s="267" t="s">
        <v>1237</v>
      </c>
      <c r="N2180" s="268"/>
      <c r="O2180" s="268"/>
      <c r="P2180" s="269"/>
      <c r="Q2180" s="137" t="str">
        <f ca="1">IF($Q2178&lt;&gt;"",IF($Q2178="W","L","W"),"")</f>
        <v/>
      </c>
      <c r="R2180" s="112"/>
      <c r="S2180" s="98"/>
      <c r="T2180" s="108"/>
      <c r="U2180" s="108"/>
      <c r="V2180" s="108"/>
      <c r="W2180" s="108"/>
      <c r="X2180" s="108"/>
      <c r="Y2180" s="113"/>
      <c r="Z2180" s="113"/>
      <c r="AA2180" s="113"/>
      <c r="AB2180" s="113"/>
      <c r="AC2180" s="113"/>
      <c r="AD2180" s="107"/>
      <c r="AE2180" s="109"/>
      <c r="AF2180" s="109"/>
    </row>
    <row r="2181" spans="1:32" ht="12.75" customHeight="1">
      <c r="A2181" s="301"/>
      <c r="B2181" s="295"/>
      <c r="C2181" s="296"/>
      <c r="D2181" s="296"/>
      <c r="E2181" s="296"/>
      <c r="F2181" s="296"/>
      <c r="G2181" s="296"/>
      <c r="H2181" s="270"/>
      <c r="I2181" s="270"/>
      <c r="J2181" s="266"/>
      <c r="K2181" s="266"/>
      <c r="L2181" s="266"/>
      <c r="M2181" s="267"/>
      <c r="N2181" s="268"/>
      <c r="O2181" s="268"/>
      <c r="P2181" s="269"/>
      <c r="Q2181" s="139" t="str">
        <f ca="1">IF($Q2180&lt;&gt;"",IF($B2178&lt;&gt;"Missing Player",IF($Q2180="W",IF(SUM(IF($H2180&gt;$H2178,1,0),IF($I2180&gt;$I2178,1,0),IF($J2180&gt;$J2178,1,0),IF($K2180&gt;$K2178,1,0),IF($L2180&gt;$L2178,1,0))&lt;&gt;3,"Error",""),""),""),"")</f>
        <v/>
      </c>
      <c r="R2181" s="114"/>
      <c r="S2181" s="115"/>
      <c r="T2181" s="115"/>
      <c r="U2181" s="115"/>
      <c r="V2181" s="115"/>
      <c r="W2181" s="115"/>
      <c r="X2181" s="115"/>
      <c r="Y2181" s="114"/>
      <c r="Z2181" s="114"/>
      <c r="AA2181" s="114"/>
      <c r="AB2181" s="114"/>
      <c r="AC2181" s="114"/>
      <c r="AD2181" s="114"/>
      <c r="AE2181" s="114"/>
      <c r="AF2181" s="114"/>
    </row>
    <row r="2182" spans="1:32" ht="12.75" customHeight="1">
      <c r="B2182" s="140" t="str">
        <f ca="1">IF(ISERROR(VLOOKUP($B2157&amp;"("&amp;$B2151&amp;")",Players!$S$4:$T$132,2,FALSE)),"",VLOOKUP($B2157&amp;"("&amp;$B2151&amp;")",Players!$S$4:$T$132,2,FALSE))</f>
        <v>D1</v>
      </c>
      <c r="C2182" s="140" t="str">
        <f ca="1">IF(ISERROR(VLOOKUP($B2164&amp;"("&amp;$B2151&amp;")",Players!$S$4:$T$132,2,FALSE)),"",VLOOKUP($B2164&amp;"("&amp;$B2151&amp;")",Players!$S$4:$T$132,2,FALSE))</f>
        <v>D1</v>
      </c>
      <c r="D2182" s="141" t="str">
        <f ca="1">IF(ISERROR(VLOOKUP($B2171&amp;"("&amp;$B2151&amp;")",Players!$S$4:$T$132,2,FALSE)),"",VLOOKUP($B2171&amp;"("&amp;$B2151&amp;")",Players!$S$4:$T$132,2,FALSE))</f>
        <v>D1</v>
      </c>
      <c r="E2182" s="141" t="str">
        <f ca="1">IF(ISERROR(VLOOKUP($B2178&amp;"("&amp;$B2151&amp;")",Players!$S$4:$T$132,2,FALSE)),"",VLOOKUP($B2178&amp;"("&amp;$B2151&amp;")",Players!$S$4:$T$132,2,FALSE))</f>
        <v>D1</v>
      </c>
      <c r="F2182" s="141" t="str">
        <f ca="1">IF(ISERROR(VLOOKUP($B2159&amp;"("&amp;$K2151&amp;")",Players!$S$4:$T$132,2,FALSE)),"",VLOOKUP($B2159&amp;"("&amp;$K2151&amp;")",Players!$S$4:$T$132,2,FALSE))</f>
        <v>E1</v>
      </c>
      <c r="G2182" s="141" t="str">
        <f ca="1">IF(ISERROR(VLOOKUP($B2166&amp;"("&amp;$K2151&amp;")",Players!$S$4:$T$132,2,FALSE)),"",VLOOKUP($B2166&amp;"("&amp;$K2151&amp;")",Players!$S$4:$T$132,2,FALSE))</f>
        <v>E1</v>
      </c>
      <c r="H2182" s="141" t="str">
        <f ca="1">IF(ISERROR(VLOOKUP($B2173&amp;"("&amp;$K2151&amp;")",Players!$S$4:$T$132,2,FALSE)),"",VLOOKUP($B2173&amp;"("&amp;$K2151&amp;")",Players!$S$4:$T$132,2,FALSE))</f>
        <v>E1</v>
      </c>
      <c r="I2182" s="141" t="str">
        <f ca="1">IF(ISERROR(VLOOKUP($B2180&amp;"("&amp;$K2151&amp;")",Players!$S$4:$T$132,2,FALSE)),"",VLOOKUP($B2180&amp;"("&amp;$K2151&amp;")",Players!$S$4:$T$132,2,FALSE))</f>
        <v>E1</v>
      </c>
      <c r="Q2182" s="7"/>
      <c r="R2182" s="50"/>
      <c r="S2182" s="116"/>
      <c r="T2182" s="115"/>
      <c r="U2182" s="115"/>
      <c r="V2182" s="115"/>
      <c r="W2182" s="115"/>
      <c r="X2182" s="115"/>
      <c r="Y2182" s="99"/>
      <c r="Z2182" s="99"/>
      <c r="AA2182" s="99"/>
      <c r="AB2182" s="99"/>
      <c r="AC2182" s="117"/>
      <c r="AD2182" s="118"/>
      <c r="AE2182" s="114"/>
      <c r="AF2182" s="114"/>
    </row>
    <row r="2183" spans="1:32" ht="12.75" customHeight="1">
      <c r="A2183" s="21" t="s">
        <v>1225</v>
      </c>
      <c r="H2183" s="136" t="str">
        <f ca="1">IF($Q2185&lt;&gt;"",IF(AND($B2186&lt;&gt;"Missing Player",$B2188&lt;&gt;"Missing Player"),IF(AND(AND($H2185&gt;-1,$H2187&gt;-1),OR($H2185&gt;10,$H2187&gt;10),ABS($H2185-$H2187)&gt;1,IF(OR($H2185&gt;11,$H2187&gt;11),ABS($H2185-$H2187)=2,TRUE),$H2185=INT($H2185),$H2187=INT($H2187)),"","Error"),""),"")</f>
        <v/>
      </c>
      <c r="I2183" s="136" t="str">
        <f ca="1">IF($Q2185&lt;&gt;"",IF(AND($B2186&lt;&gt;"Missing Player",$B2188&lt;&gt;"Missing Player"),IF(AND(AND($I2185&gt;-1,$I2187&gt;-1),OR($I2185&gt;10,$I2187&gt;10),ABS($I2185-$I2187)&gt;1,IF(OR($I2185&gt;11,$I2187&gt;11),ABS($I2185-$I2187)=2,TRUE),$I2185=INT($I2185),$I2187=INT($I2187)),"","Error"),""),"")</f>
        <v/>
      </c>
      <c r="J2183" s="136" t="str">
        <f ca="1">IF($Q2185&lt;&gt;"",IF(AND($B2186&lt;&gt;"Missing Player",$B2188&lt;&gt;"Missing Player"),IF(AND(AND($J2185&gt;-1,$J2187&gt;-1),OR($J2185&gt;10,$J2187&gt;10),ABS($J2185-$J2187)&gt;1,IF(OR($J2185&gt;11,$J2187&gt;11),ABS($J2185-$J2187)=2,TRUE),$J2185=INT($J2185),$J2187=INT($J2187)),"","Error"),""),"")</f>
        <v/>
      </c>
      <c r="K2183" s="136" t="str">
        <f ca="1">IF($Q2185&lt;&gt;"",IF(AND($K2185&lt;&gt;"",$K2187&lt;&gt;""), IF(AND(AND($K2185&gt;-1,$K2187&gt;-1),OR($K2185&gt;10,$K2187&gt;10),ABS($K2185-$K2187)&gt;1,IF(OR($K2185&gt;11,$K2187&gt;11),ABS($K2185-$K2187)=2,TRUE),$K2185=INT($K2185),$K2187=INT($K2187)),"","Error"),""),"")</f>
        <v/>
      </c>
      <c r="L2183" s="136" t="str">
        <f ca="1">IF($Q2185&lt;&gt;"",IF(AND($L2185&lt;&gt;"",$L2187&lt;&gt;""), IF(AND(AND($L2185&gt;-1,$L2187&gt;-1),OR($L2185&gt;10,$L2187&gt;10),ABS($L2185-$L2187)&gt;1,IF(OR($L2185&gt;11,$L2187&gt;11),ABS($L2185-$L2187)=2,TRUE),$L2185=INT($L2185),$L2187=INT($L2187)),"","Error"),""),"")</f>
        <v/>
      </c>
      <c r="Q2183" s="7"/>
      <c r="R2183" s="114"/>
      <c r="S2183" s="115"/>
      <c r="T2183" s="115"/>
      <c r="U2183" s="115"/>
      <c r="V2183" s="115"/>
      <c r="W2183" s="115"/>
      <c r="X2183" s="115"/>
      <c r="Y2183" s="114"/>
      <c r="Z2183" s="114"/>
      <c r="AA2183" s="114"/>
      <c r="AB2183" s="114"/>
      <c r="AC2183" s="114"/>
      <c r="AD2183" s="114"/>
      <c r="AE2183" s="114"/>
      <c r="AF2183" s="114"/>
    </row>
    <row r="2184" spans="1:32" ht="12.75" customHeight="1">
      <c r="A2184" s="5" t="s">
        <v>1228</v>
      </c>
      <c r="B2184" s="290" t="s">
        <v>1126</v>
      </c>
      <c r="C2184" s="291"/>
      <c r="D2184" s="291"/>
      <c r="E2184" s="291"/>
      <c r="F2184" s="291"/>
      <c r="G2184" s="292"/>
      <c r="H2184" s="5">
        <v>1</v>
      </c>
      <c r="I2184" s="5">
        <v>2</v>
      </c>
      <c r="J2184" s="5">
        <v>3</v>
      </c>
      <c r="K2184" s="5">
        <v>4</v>
      </c>
      <c r="L2184" s="5">
        <v>5</v>
      </c>
      <c r="M2184" s="271"/>
      <c r="N2184" s="272"/>
      <c r="O2184" s="272"/>
      <c r="P2184" s="273"/>
      <c r="Q2184" s="8"/>
      <c r="S2184" s="24"/>
      <c r="T2184" s="26"/>
    </row>
    <row r="2185" spans="1:32" ht="12.75" customHeight="1">
      <c r="A2185" s="300" t="str">
        <f>B2151</f>
        <v>D</v>
      </c>
      <c r="B2185" s="311" t="str">
        <f ca="1">IF($B2157&lt;&gt;"",$B2157,"")</f>
        <v/>
      </c>
      <c r="C2185" s="312"/>
      <c r="D2185" s="312"/>
      <c r="E2185" s="312"/>
      <c r="F2185" s="312"/>
      <c r="G2185" s="313"/>
      <c r="H2185" s="265"/>
      <c r="I2185" s="265"/>
      <c r="J2185" s="265"/>
      <c r="K2185" s="265"/>
      <c r="L2185" s="265" t="str">
        <f ca="1">IF($B2178&lt;&gt;"",IF(AND($B2178="Missing Player",$G2189=2,$J2189=2),0,IF(AND($B2180="Missing Player",$G2189=2,$J2189=2),11,"")),"")</f>
        <v/>
      </c>
      <c r="M2185" s="262" t="str">
        <f ca="1">IF(OR(AND($B2185&lt;&gt;"",$B2186&lt;&gt;"",$B2185=$B2186),AND($B2187&lt;&gt;"",$B2188&lt;&gt;"",$B2187=$B2188)),"Invalid Partner","")</f>
        <v/>
      </c>
      <c r="N2185" s="263"/>
      <c r="O2185" s="263"/>
      <c r="P2185" s="264"/>
      <c r="Q2185" s="138" t="str">
        <f ca="1">IF(L2185=L2187,IF(K2185=K2187,IF(J2185&lt;&gt;"",IF(J2185&gt;J2187,"W","L"),""),IF(K2185&gt;K2187,"W","L")),IF(L2185&gt;L2187,"W","L"))</f>
        <v/>
      </c>
      <c r="S2185" s="24"/>
      <c r="T2185" s="26"/>
    </row>
    <row r="2186" spans="1:32" ht="12.75" customHeight="1">
      <c r="A2186" s="324"/>
      <c r="B2186" s="308" t="str">
        <f ca="1">IF($B2178="Missing Player",$B2178,"")</f>
        <v/>
      </c>
      <c r="C2186" s="309"/>
      <c r="D2186" s="309"/>
      <c r="E2186" s="309"/>
      <c r="F2186" s="309"/>
      <c r="G2186" s="310"/>
      <c r="H2186" s="270"/>
      <c r="I2186" s="270"/>
      <c r="J2186" s="270"/>
      <c r="K2186" s="270"/>
      <c r="L2186" s="270"/>
      <c r="M2186" s="262"/>
      <c r="N2186" s="263"/>
      <c r="O2186" s="263"/>
      <c r="P2186" s="264"/>
      <c r="Q2186" s="139" t="str">
        <f ca="1">IF($Q2185&lt;&gt;"",IF($B2188&lt;&gt;"Missing Player",IF($Q2185="W",IF(SUM(IF($H2185&gt;$H2187,1,0),IF($I2185&gt;$I2187,1,0),IF($J2185&gt;$J2187,1,0),IF($K2185&gt;$K2187,1,0),IF($L2185&gt;$L2187,1,0))&lt;&gt;3,"Error",""),""),""),"")</f>
        <v/>
      </c>
      <c r="R2186" s="328" t="str">
        <f>$A2152</f>
        <v/>
      </c>
      <c r="S2186" s="328"/>
      <c r="T2186" s="328"/>
      <c r="U2186" s="328"/>
      <c r="V2186" s="328"/>
      <c r="W2186" s="328"/>
      <c r="X2186" s="256" t="str">
        <f>CONCATENATE("(",$B2151," vs ",$K2151,")")</f>
        <v>(D vs E)</v>
      </c>
      <c r="Y2186" s="256"/>
      <c r="Z2186" s="328" t="str">
        <f>$J2152</f>
        <v/>
      </c>
      <c r="AA2186" s="328"/>
      <c r="AB2186" s="328"/>
      <c r="AC2186" s="328"/>
      <c r="AD2186" s="328"/>
      <c r="AE2186" s="328"/>
      <c r="AF2186" s="43"/>
    </row>
    <row r="2187" spans="1:32" ht="12.75" customHeight="1">
      <c r="A2187" s="325" t="str">
        <f>K2151</f>
        <v>E</v>
      </c>
      <c r="B2187" s="311" t="str">
        <f ca="1">IF($B2159&lt;&gt;"",$B2159,"")</f>
        <v/>
      </c>
      <c r="C2187" s="312"/>
      <c r="D2187" s="312"/>
      <c r="E2187" s="312"/>
      <c r="F2187" s="312"/>
      <c r="G2187" s="313"/>
      <c r="H2187" s="265"/>
      <c r="I2187" s="265"/>
      <c r="J2187" s="265"/>
      <c r="K2187" s="265"/>
      <c r="L2187" s="265" t="str">
        <f ca="1">IF($B2180&lt;&gt;"",IF(AND($B2180="Missing Player",$G2189=2,$J2189=2),0,IF(AND($B2178="Missing Player",$G2189=2,$J2189=2),11,"")),"")</f>
        <v/>
      </c>
      <c r="M2187" s="267" t="s">
        <v>1237</v>
      </c>
      <c r="N2187" s="268"/>
      <c r="O2187" s="268"/>
      <c r="P2187" s="269"/>
      <c r="Q2187" s="138" t="str">
        <f ca="1">IF(Q2185&lt;&gt;"",IF(Q2185="W","L","W"),"")</f>
        <v/>
      </c>
      <c r="R2187" s="43"/>
      <c r="S2187" s="43"/>
      <c r="T2187" s="43"/>
      <c r="U2187" s="43"/>
      <c r="V2187" s="43"/>
      <c r="W2187" s="43"/>
      <c r="X2187" s="43"/>
      <c r="Y2187" s="43"/>
      <c r="Z2187" s="43"/>
      <c r="AA2187" s="43"/>
      <c r="AB2187" s="43"/>
      <c r="AC2187" s="43"/>
      <c r="AD2187" s="43"/>
      <c r="AE2187" s="43"/>
      <c r="AF2187" s="43"/>
    </row>
    <row r="2188" spans="1:32" ht="12.75" customHeight="1">
      <c r="A2188" s="324"/>
      <c r="B2188" s="308" t="str">
        <f ca="1">IF($B2180="Missing Player",$B2180,"")</f>
        <v/>
      </c>
      <c r="C2188" s="309"/>
      <c r="D2188" s="309"/>
      <c r="E2188" s="309"/>
      <c r="F2188" s="309"/>
      <c r="G2188" s="310"/>
      <c r="H2188" s="270"/>
      <c r="I2188" s="270"/>
      <c r="J2188" s="266"/>
      <c r="K2188" s="266"/>
      <c r="L2188" s="266"/>
      <c r="M2188" s="267"/>
      <c r="N2188" s="268"/>
      <c r="O2188" s="268"/>
      <c r="P2188" s="269"/>
      <c r="Q2188" s="139" t="str">
        <f ca="1">IF($Q2187&lt;&gt;"",IF($B2186&lt;&gt;"Missing Player",IF($Q2187="W",IF(SUM(IF($H2187&gt;$H2185,1,0),IF($I2187&gt;$I2185,1,0),IF($J2187&gt;$J2185,1,0),IF($K2187&gt;$K2185,1,0),IF($L2187&gt;$L2185,1,0))&lt;&gt;3,"Error",""),""),""),"")</f>
        <v/>
      </c>
      <c r="R2188" s="43" t="str">
        <f>A2176</f>
        <v>4th Singles</v>
      </c>
      <c r="S2188" s="43"/>
      <c r="T2188" s="43"/>
      <c r="U2188" s="43"/>
      <c r="V2188" s="43"/>
      <c r="W2188" s="43"/>
      <c r="X2188" s="43"/>
      <c r="Y2188" s="43"/>
      <c r="Z2188" s="43"/>
      <c r="AA2188" s="43"/>
      <c r="AB2188" s="43"/>
      <c r="AC2188" s="43"/>
      <c r="AD2188" s="43"/>
      <c r="AE2188" s="43"/>
      <c r="AF2188" s="43"/>
    </row>
    <row r="2189" spans="1:32" ht="12.75" customHeight="1">
      <c r="G2189" s="66">
        <f ca="1">COUNTIF($Q2157:$Q2157,"W")+COUNTIF($Q2164:$Q2164,"W")+COUNTIF($Q2171:$Q2171,"W")+COUNTIF($Q2178:$Q2178,"W")</f>
        <v>0</v>
      </c>
      <c r="J2189" s="66">
        <f ca="1">COUNTIF($Q2159:$Q2159,"W")+COUNTIF($Q2166:$Q2166,"W")+COUNTIF($Q2173:$Q2173,"W")+COUNTIF($Q2180:$Q2180,"W")</f>
        <v>0</v>
      </c>
      <c r="R2189" s="60" t="s">
        <v>1228</v>
      </c>
      <c r="S2189" s="339" t="s">
        <v>1126</v>
      </c>
      <c r="T2189" s="340"/>
      <c r="U2189" s="340"/>
      <c r="V2189" s="340"/>
      <c r="W2189" s="340"/>
      <c r="X2189" s="341"/>
      <c r="Y2189" s="60">
        <v>1</v>
      </c>
      <c r="Z2189" s="60">
        <v>2</v>
      </c>
      <c r="AA2189" s="60">
        <v>3</v>
      </c>
      <c r="AB2189" s="60">
        <v>4</v>
      </c>
      <c r="AC2189" s="60">
        <v>5</v>
      </c>
      <c r="AD2189" s="342"/>
      <c r="AE2189" s="343"/>
      <c r="AF2189" s="344"/>
    </row>
    <row r="2190" spans="1:32" ht="12.75" customHeight="1" thickBot="1">
      <c r="F2190" s="246" t="s">
        <v>1238</v>
      </c>
      <c r="G2190" s="246"/>
      <c r="H2190" s="246"/>
      <c r="I2190" s="246"/>
      <c r="J2190" s="246"/>
      <c r="K2190" s="246"/>
      <c r="R2190" s="300" t="str">
        <f>B2151</f>
        <v>D</v>
      </c>
      <c r="S2190" s="331" t="str">
        <f ca="1">IF($B2178&lt;&gt;"",$B2178,"")</f>
        <v/>
      </c>
      <c r="T2190" s="353"/>
      <c r="U2190" s="353"/>
      <c r="V2190" s="353"/>
      <c r="W2190" s="353"/>
      <c r="X2190" s="354"/>
      <c r="Y2190" s="329"/>
      <c r="Z2190" s="329"/>
      <c r="AA2190" s="351"/>
      <c r="AB2190" s="351"/>
      <c r="AC2190" s="351"/>
      <c r="AD2190" s="345"/>
      <c r="AE2190" s="346"/>
      <c r="AF2190" s="347"/>
    </row>
    <row r="2191" spans="1:32" ht="12.75" customHeight="1">
      <c r="A2191" s="22"/>
      <c r="B2191" s="22"/>
      <c r="C2191" s="22"/>
      <c r="D2191" s="22"/>
      <c r="E2191" s="22"/>
      <c r="G2191" s="304" t="str">
        <f>B2151</f>
        <v>D</v>
      </c>
      <c r="H2191" s="305"/>
      <c r="I2191" s="302" t="str">
        <f>K2151</f>
        <v>E</v>
      </c>
      <c r="J2191" s="303"/>
      <c r="L2191" s="22"/>
      <c r="M2191" s="22"/>
      <c r="N2191" s="22"/>
      <c r="O2191" s="22"/>
      <c r="P2191" s="22"/>
      <c r="R2191" s="301"/>
      <c r="S2191" s="355"/>
      <c r="T2191" s="356"/>
      <c r="U2191" s="356"/>
      <c r="V2191" s="356"/>
      <c r="W2191" s="356"/>
      <c r="X2191" s="357"/>
      <c r="Y2191" s="338"/>
      <c r="Z2191" s="338"/>
      <c r="AA2191" s="352"/>
      <c r="AB2191" s="352"/>
      <c r="AC2191" s="352"/>
      <c r="AD2191" s="348"/>
      <c r="AE2191" s="349"/>
      <c r="AF2191" s="350"/>
    </row>
    <row r="2192" spans="1:32" ht="12.75" customHeight="1" thickBot="1">
      <c r="A2192" s="2" t="s">
        <v>1228</v>
      </c>
      <c r="B2192" s="53" t="str">
        <f>B2151</f>
        <v>D</v>
      </c>
      <c r="C2192" s="3" t="s">
        <v>1226</v>
      </c>
      <c r="F2192" s="66" t="str">
        <f>CONCATENATE($B2151,"-",$K2151)</f>
        <v>D-E</v>
      </c>
      <c r="G2192" s="320" t="str">
        <f ca="1">IF(OR(Q2157&lt;&gt;"",Q2164&lt;&gt;"",Q2171&lt;&gt;"",Q2178&lt;&gt;"",Q2185&lt;&gt;""),COUNTIF(Q2157:Q2157,"W")+COUNTIF(Q2164:Q2164,"W")+COUNTIF(Q2171:Q2171,"W")+COUNTIF(Q2178:Q2178,"W")+COUNTIF(Q2185:Q2185,"W"),"")</f>
        <v/>
      </c>
      <c r="H2192" s="321"/>
      <c r="I2192" s="322" t="str">
        <f ca="1">IF(OR(Q2159&lt;&gt;"",Q2166&lt;&gt;"",Q2173&lt;&gt;"",Q2180&lt;&gt;"",Q2187&lt;&gt;""),COUNTIF(Q2159:Q2159,"W")+COUNTIF(Q2166:Q2166,"W")+COUNTIF(Q2173:Q2173,"W")+COUNTIF(Q2180:Q2180,"W")+COUNTIF(Q2187:Q2187,"W"),"")</f>
        <v/>
      </c>
      <c r="J2192" s="323"/>
      <c r="L2192" s="2" t="s">
        <v>1228</v>
      </c>
      <c r="M2192" s="53" t="str">
        <f>K2151</f>
        <v>E</v>
      </c>
      <c r="N2192" s="3" t="s">
        <v>1226</v>
      </c>
      <c r="R2192" s="300" t="str">
        <f>K2151</f>
        <v>E</v>
      </c>
      <c r="S2192" s="331" t="str">
        <f ca="1">IF($B2180&lt;&gt;"",$B2180,"")</f>
        <v/>
      </c>
      <c r="T2192" s="332"/>
      <c r="U2192" s="332"/>
      <c r="V2192" s="332"/>
      <c r="W2192" s="332"/>
      <c r="X2192" s="333"/>
      <c r="Y2192" s="329"/>
      <c r="Z2192" s="329"/>
      <c r="AA2192" s="351"/>
      <c r="AB2192" s="351"/>
      <c r="AC2192" s="351"/>
      <c r="AD2192" s="363" t="s">
        <v>1237</v>
      </c>
      <c r="AE2192" s="358"/>
      <c r="AF2192" s="359"/>
    </row>
    <row r="2193" spans="1:32" ht="12.75" customHeight="1">
      <c r="F2193" s="25" t="s">
        <v>3996</v>
      </c>
      <c r="G2193" s="23"/>
      <c r="H2193" s="23"/>
      <c r="I2193" s="23"/>
      <c r="J2193" s="23"/>
      <c r="K2193" s="24"/>
      <c r="R2193" s="330"/>
      <c r="S2193" s="334"/>
      <c r="T2193" s="335"/>
      <c r="U2193" s="335"/>
      <c r="V2193" s="335"/>
      <c r="W2193" s="335"/>
      <c r="X2193" s="336"/>
      <c r="Y2193" s="330"/>
      <c r="Z2193" s="330"/>
      <c r="AA2193" s="330"/>
      <c r="AB2193" s="330"/>
      <c r="AC2193" s="330"/>
      <c r="AD2193" s="360"/>
      <c r="AE2193" s="361"/>
      <c r="AF2193" s="362"/>
    </row>
    <row r="2194" spans="1:32" ht="12.75" customHeight="1">
      <c r="R2194" s="1"/>
      <c r="S2194" s="110"/>
      <c r="T2194" s="110"/>
      <c r="U2194" s="110"/>
      <c r="V2194" s="110"/>
      <c r="W2194" s="110"/>
      <c r="X2194" s="111"/>
      <c r="Y2194" s="111"/>
      <c r="Z2194" s="111"/>
      <c r="AA2194" s="111"/>
    </row>
    <row r="2195" spans="1:32" ht="12.75" customHeight="1">
      <c r="F2195" s="246" t="s">
        <v>4929</v>
      </c>
      <c r="G2195" s="246"/>
      <c r="H2195" s="246"/>
      <c r="I2195" s="246"/>
      <c r="R2195" s="1"/>
      <c r="S2195" s="110"/>
      <c r="T2195" s="110"/>
      <c r="U2195" s="110"/>
      <c r="V2195" s="110"/>
      <c r="W2195" s="110"/>
      <c r="X2195" s="111"/>
      <c r="Y2195" s="111"/>
      <c r="Z2195" s="111"/>
      <c r="AA2195" s="111"/>
    </row>
    <row r="2196" spans="1:32" ht="12.75" customHeight="1">
      <c r="F2196" s="246" t="s">
        <v>4930</v>
      </c>
      <c r="G2196" s="246"/>
      <c r="H2196" s="246"/>
      <c r="I2196" s="246"/>
      <c r="R2196" s="1"/>
      <c r="S2196" s="110"/>
      <c r="T2196" s="110"/>
      <c r="U2196" s="110"/>
      <c r="V2196" s="110"/>
      <c r="W2196" s="110"/>
      <c r="X2196" s="111"/>
      <c r="Y2196" s="111"/>
      <c r="Z2196" s="111"/>
      <c r="AA2196" s="111"/>
    </row>
    <row r="2197" spans="1:32" ht="12.75" customHeight="1">
      <c r="K2197" s="281" t="s">
        <v>1244</v>
      </c>
      <c r="L2197" s="281"/>
      <c r="M2197" s="281"/>
      <c r="N2197" s="281"/>
      <c r="O2197" s="281"/>
      <c r="P2197" s="281"/>
      <c r="R2197" s="1"/>
      <c r="S2197" s="110"/>
      <c r="T2197" s="110"/>
      <c r="U2197" s="110"/>
      <c r="V2197" s="110"/>
      <c r="W2197" s="110"/>
      <c r="X2197" s="111"/>
      <c r="Y2197" s="111"/>
      <c r="Z2197" s="111"/>
      <c r="AA2197" s="111"/>
    </row>
    <row r="2198" spans="1:32" ht="12.75" customHeight="1">
      <c r="A2198" s="12" t="s">
        <v>1229</v>
      </c>
      <c r="B2198" s="11"/>
      <c r="C2198" s="11"/>
      <c r="D2198" s="11" t="str">
        <f>Draw!$B$1</f>
        <v>Enter Division Name</v>
      </c>
      <c r="E2198" s="11"/>
      <c r="F2198" s="7"/>
      <c r="G2198" s="6"/>
      <c r="H2198" s="7"/>
      <c r="I2198" s="11"/>
      <c r="J2198" s="11"/>
      <c r="K2198" s="11"/>
      <c r="L2198" s="11"/>
      <c r="M2198" s="281"/>
      <c r="N2198" s="281"/>
      <c r="O2198" s="281"/>
      <c r="P2198" s="281"/>
      <c r="R2198" s="1"/>
      <c r="S2198" s="110"/>
      <c r="T2198" s="110"/>
      <c r="U2198" s="110"/>
      <c r="V2198" s="110"/>
      <c r="W2198" s="110"/>
      <c r="X2198" s="111"/>
      <c r="Y2198" s="111"/>
      <c r="Z2198" s="111"/>
      <c r="AA2198" s="111"/>
    </row>
    <row r="2199" spans="1:32" ht="12.75" customHeight="1">
      <c r="A2199" s="2" t="s">
        <v>1230</v>
      </c>
      <c r="D2199" s="43" t="str">
        <f>Draw!$D$1</f>
        <v>Enter Hosting Location (City, ST)</v>
      </c>
      <c r="J2199" s="43" t="str">
        <f ca="1">$J$6</f>
        <v>[NCTTA Teams Template (v2.06).xlsx]</v>
      </c>
      <c r="R2199" s="1"/>
      <c r="S2199" s="110"/>
      <c r="T2199" s="110"/>
      <c r="U2199" s="110"/>
      <c r="V2199" s="110"/>
      <c r="W2199" s="110"/>
      <c r="X2199" s="111"/>
      <c r="Y2199" s="111"/>
      <c r="Z2199" s="111"/>
      <c r="AA2199" s="111"/>
    </row>
    <row r="2200" spans="1:32" ht="12.75" customHeight="1">
      <c r="A2200" s="2" t="s">
        <v>1231</v>
      </c>
      <c r="D2200" s="337" t="str">
        <f>Draw!$P$1</f>
        <v>Enter Date</v>
      </c>
      <c r="E2200" s="337"/>
      <c r="F2200" s="337"/>
      <c r="G2200" s="337"/>
      <c r="J2200" s="280" t="str">
        <f>CHOOSE(Draw!$T$1,"Round 8, Match 2","","","","","","","","","Round 9, Match 4","Round 9, Match 4")</f>
        <v/>
      </c>
      <c r="K2200" s="280"/>
      <c r="L2200" s="280"/>
      <c r="M2200" s="276" t="str">
        <f>IF(AND($J2200&lt;&gt;"",Draw!$AC$10&lt;&gt;"",Draw!$AC$13&lt;&gt;""),Draw!$AC$10+TIME(0,VALUE(MID($J2200,7,FIND(",",$J2200)-FIND(" ",$J2200)-1)-1)*Draw!$AC$13,0),"")</f>
        <v/>
      </c>
      <c r="N2200" s="276"/>
      <c r="O2200" s="157" t="str">
        <f>$F2243</f>
        <v>D-F</v>
      </c>
      <c r="R2200" s="1"/>
      <c r="S2200" s="110"/>
      <c r="T2200" s="110"/>
      <c r="U2200" s="110"/>
      <c r="V2200" s="110"/>
      <c r="W2200" s="110"/>
      <c r="X2200" s="111"/>
      <c r="Y2200" s="111"/>
      <c r="Z2200" s="111"/>
      <c r="AA2200" s="111"/>
    </row>
    <row r="2201" spans="1:32" ht="12.75" customHeight="1">
      <c r="A2201" s="14"/>
      <c r="B2201" s="15"/>
      <c r="C2201" s="15"/>
      <c r="D2201" s="15"/>
      <c r="E2201" s="15"/>
      <c r="F2201" s="14"/>
      <c r="G2201" s="14"/>
      <c r="H2201" s="16"/>
      <c r="I2201" s="14"/>
      <c r="J2201" s="15"/>
      <c r="K2201" s="15"/>
      <c r="L2201" s="15"/>
      <c r="M2201" s="15"/>
      <c r="N2201" s="15"/>
      <c r="O2201" s="364" t="str">
        <f>IF(OR(AND(VLOOKUP($B2202,$AM$1:$AX$12,12,FALSE)="C",VLOOKUP($K2202,$AM$1:$AX$12,12,FALSE)="C"),AND(VLOOKUP($B2202,$AM$1:$AX$12,12,FALSE)="W",VLOOKUP($K2202,$AM$1:$AX$12,12,FALSE)="W")),"Official",IF(AND($A2203="",$J2203=""),"","Scrimmage"))</f>
        <v/>
      </c>
      <c r="P2201" s="364"/>
      <c r="R2201" s="1"/>
      <c r="S2201" s="110"/>
      <c r="T2201" s="110"/>
      <c r="U2201" s="110"/>
      <c r="V2201" s="110"/>
      <c r="W2201" s="110"/>
      <c r="X2201" s="111"/>
      <c r="Y2201" s="111"/>
      <c r="Z2201" s="111"/>
      <c r="AA2201" s="111"/>
    </row>
    <row r="2202" spans="1:32" ht="12.75" customHeight="1">
      <c r="A2202" s="17" t="s">
        <v>1228</v>
      </c>
      <c r="B2202" s="119" t="str">
        <f>CHOOSE(Draw!$T$1,"D","C","D","D","E","E","E","D","C","D","H")</f>
        <v>D</v>
      </c>
      <c r="C2202" s="135">
        <f>VLOOKUP($B2202,$AM$1:$AN$12,2)</f>
        <v>4</v>
      </c>
      <c r="D2202" s="13"/>
      <c r="E2202" s="13"/>
      <c r="F2202" s="10"/>
      <c r="H2202" s="19" t="s">
        <v>1232</v>
      </c>
      <c r="J2202" s="17" t="s">
        <v>1228</v>
      </c>
      <c r="K2202" s="119" t="str">
        <f>CHOOSE(Draw!$T$1,"F","H","F","K","K","K","J","L","K","J","K")</f>
        <v>F</v>
      </c>
      <c r="L2202" s="135">
        <f>VLOOKUP($K2202,$AM$1:$AN$12,2)</f>
        <v>6</v>
      </c>
      <c r="M2202" s="13"/>
      <c r="N2202" s="13"/>
      <c r="O2202" s="18"/>
      <c r="P2202" s="274"/>
      <c r="Q2202" s="275"/>
      <c r="R2202" s="1"/>
      <c r="S2202" s="110"/>
      <c r="T2202" s="110"/>
      <c r="U2202" s="110"/>
      <c r="V2202" s="110"/>
      <c r="W2202" s="110"/>
      <c r="X2202" s="111"/>
      <c r="Y2202" s="111"/>
      <c r="Z2202" s="111"/>
      <c r="AA2202" s="111"/>
    </row>
    <row r="2203" spans="1:32" ht="12.75" customHeight="1">
      <c r="A2203" s="277" t="str">
        <f>IF(VLOOKUP($B2202,Draw!$A$4:$B$27,2)&lt;&gt;0,VLOOKUP($B2202,Draw!$A$4:$B$27,2),"")</f>
        <v/>
      </c>
      <c r="B2203" s="278"/>
      <c r="C2203" s="278"/>
      <c r="D2203" s="278"/>
      <c r="E2203" s="278"/>
      <c r="F2203" s="279"/>
      <c r="G2203" s="306" t="s">
        <v>4195</v>
      </c>
      <c r="H2203" s="289"/>
      <c r="I2203" s="307"/>
      <c r="J2203" s="277" t="str">
        <f>IF(VLOOKUP($K2202,Draw!$A$4:$B$27,2)&lt;&gt;0,VLOOKUP($K2202,Draw!$A$4:$B$27,2),"")</f>
        <v/>
      </c>
      <c r="K2203" s="278"/>
      <c r="L2203" s="278"/>
      <c r="M2203" s="278"/>
      <c r="N2203" s="278"/>
      <c r="O2203" s="279"/>
      <c r="P2203" s="15"/>
      <c r="R2203" s="1"/>
      <c r="S2203" s="110"/>
      <c r="T2203" s="110"/>
      <c r="U2203" s="110"/>
      <c r="V2203" s="110"/>
      <c r="W2203" s="110"/>
      <c r="X2203" s="111"/>
      <c r="Y2203" s="111"/>
      <c r="Z2203" s="111"/>
      <c r="AA2203" s="111"/>
    </row>
    <row r="2204" spans="1:32" ht="12.75" customHeight="1">
      <c r="A2204" s="14"/>
      <c r="B2204" s="15"/>
      <c r="C2204" s="15"/>
      <c r="D2204" s="15"/>
      <c r="E2204" s="15"/>
      <c r="F2204" s="14"/>
      <c r="G2204" s="288" t="str">
        <f>"Page "&amp;VALUE(RIGHT($G2203,LEN($G2203)-SEARCH("-",$G2203)))/2</f>
        <v>Page 44</v>
      </c>
      <c r="H2204" s="289"/>
      <c r="I2204" s="289"/>
      <c r="J2204" s="15"/>
      <c r="K2204" s="15"/>
      <c r="L2204" s="15"/>
      <c r="M2204" s="15"/>
      <c r="N2204" s="15"/>
      <c r="O2204" s="15"/>
      <c r="P2204" s="15"/>
      <c r="R2204" s="1"/>
      <c r="S2204" s="110"/>
      <c r="T2204" s="110"/>
      <c r="U2204" s="110"/>
      <c r="V2204" s="110"/>
      <c r="W2204" s="110"/>
      <c r="X2204" s="111"/>
      <c r="Y2204" s="111"/>
      <c r="Z2204" s="111"/>
      <c r="AA2204" s="111"/>
      <c r="AF2204" s="27"/>
    </row>
    <row r="2205" spans="1:32" ht="12.75" customHeight="1">
      <c r="A2205" s="327" t="s">
        <v>1245</v>
      </c>
      <c r="B2205" s="327"/>
      <c r="C2205" s="327"/>
      <c r="D2205" s="327"/>
      <c r="E2205" s="327"/>
      <c r="F2205" s="327"/>
      <c r="G2205" s="327"/>
      <c r="H2205" s="327"/>
      <c r="I2205" s="327"/>
      <c r="J2205" s="327"/>
      <c r="K2205" s="327"/>
      <c r="L2205" s="327"/>
      <c r="M2205" s="327"/>
      <c r="N2205" s="327"/>
      <c r="O2205" s="327"/>
      <c r="P2205" s="327"/>
      <c r="Q2205" s="7"/>
      <c r="R2205" s="1"/>
      <c r="S2205" s="110"/>
      <c r="T2205" s="110"/>
      <c r="U2205" s="110"/>
      <c r="V2205" s="110"/>
      <c r="W2205" s="110"/>
      <c r="X2205" s="111"/>
      <c r="Y2205" s="111"/>
      <c r="Z2205" s="111"/>
      <c r="AA2205" s="111"/>
      <c r="AF2205" s="20"/>
    </row>
    <row r="2206" spans="1:32" ht="12.75" customHeight="1">
      <c r="A2206" s="21" t="s">
        <v>1233</v>
      </c>
      <c r="H2206" s="136" t="str">
        <f>IF($Q2208&lt;&gt;"",IF(AND(AND($H2208&gt;-1,$H2210&gt;-1),OR($H2208&gt;10,$H2210&gt;10),ABS($H2208-$H2210)&gt;1,IF(OR($H2208&gt;11,$H2210&gt;11),ABS($H2208-$H2210)=2,TRUE),$H2208=INT($H2208),$H2210=INT($H2210)),"","Error"),"")</f>
        <v/>
      </c>
      <c r="I2206" s="136" t="str">
        <f>IF($Q2208&lt;&gt;"",IF(AND(AND($I2208&gt;-1,$I2210&gt;-1),OR($I2208&gt;10,$I2210&gt;10),ABS($I2208-$I2210)&gt;1,IF(OR($I2208&gt;11,$I2210&gt;11),ABS($I2208-$I2210)=2,TRUE),$I2208=INT($I2208),$I2210=INT($I2210)),"","Error"),"")</f>
        <v/>
      </c>
      <c r="J2206" s="136" t="str">
        <f>IF($Q2208&lt;&gt;"",IF(AND(AND($J2208&gt;-1,$J2210&gt;-1),OR($J2208&gt;10,$J2210&gt;10),ABS($J2208-$J2210)&gt;1,IF(OR($J2208&gt;11,$J2210&gt;11),ABS($J2208-$J2210)=2,TRUE),$J2208=INT($J2208),$J2210=INT($J2210)),"","Error"),"")</f>
        <v/>
      </c>
      <c r="K2206" s="136" t="str">
        <f>IF($Q2208&lt;&gt;"",IF(AND($K2208&lt;&gt;"",$K2210&lt;&gt;""), IF(AND(AND($K2208&gt;-1,$K2210&gt;-1),OR($K2208&gt;10,$K2210&gt;10),ABS($K2208-$K2210)&gt;1,IF(OR($K2208&gt;11,$K2210&gt;11),ABS($K2208-$K2210)=2,TRUE),$K2208=INT($K2208),$K2210=INT($K2210)),"","Error"),""),"")</f>
        <v/>
      </c>
      <c r="L2206" s="136" t="str">
        <f>IF($Q2208&lt;&gt;"",IF(AND($L2208&lt;&gt;"",$L2210&lt;&gt;""), IF(AND(AND($L2208&gt;-1,$L2210&gt;-1),OR($L2208&gt;10,$L2210&gt;10),ABS($L2208-$L2210)&gt;1,IF(OR($L2208&gt;11,$L2210&gt;11),ABS($L2208-$L2210)=2,TRUE),$L2208=INT($L2208),$L2210=INT($L2210)),"","Error"),""),"")</f>
        <v/>
      </c>
      <c r="R2206" s="1"/>
      <c r="S2206" s="110"/>
      <c r="T2206" s="110"/>
      <c r="U2206" s="110"/>
      <c r="V2206" s="110"/>
      <c r="W2206" s="110"/>
      <c r="X2206" s="111"/>
      <c r="Y2206" s="111"/>
      <c r="Z2206" s="111"/>
      <c r="AA2206" s="111"/>
    </row>
    <row r="2207" spans="1:32" ht="12.75" customHeight="1">
      <c r="A2207" s="5" t="s">
        <v>1228</v>
      </c>
      <c r="B2207" s="290" t="s">
        <v>1126</v>
      </c>
      <c r="C2207" s="291"/>
      <c r="D2207" s="291"/>
      <c r="E2207" s="291"/>
      <c r="F2207" s="291"/>
      <c r="G2207" s="292"/>
      <c r="H2207" s="5">
        <v>1</v>
      </c>
      <c r="I2207" s="5">
        <v>2</v>
      </c>
      <c r="J2207" s="5">
        <v>3</v>
      </c>
      <c r="K2207" s="5">
        <v>4</v>
      </c>
      <c r="L2207" s="5">
        <v>5</v>
      </c>
      <c r="M2207" s="271"/>
      <c r="N2207" s="272"/>
      <c r="O2207" s="272"/>
      <c r="P2207" s="273"/>
      <c r="R2207" s="1"/>
      <c r="S2207" s="110"/>
      <c r="T2207" s="110"/>
      <c r="U2207" s="110"/>
      <c r="V2207" s="110"/>
      <c r="W2207" s="110"/>
      <c r="X2207" s="111"/>
      <c r="Y2207" s="111"/>
      <c r="Z2207" s="111"/>
      <c r="AA2207" s="111"/>
    </row>
    <row r="2208" spans="1:32" ht="12.75" customHeight="1">
      <c r="A2208" s="300" t="str">
        <f>B2202</f>
        <v>D</v>
      </c>
      <c r="B2208" s="293" t="str">
        <f ca="1">IF(AND(OFFSET($AO$1,$C2202-1,8,1,1),$A2203&lt;&gt;"",$J2203&lt;&gt;""),CHOOSE($C2202,$AO$1,$AO$2,$AO$3,$AO$4,$AO$5,$AO$6,$AO$7,$AO$8,$AO$9,$AO$10,$AO$11,$AO$12),"")</f>
        <v/>
      </c>
      <c r="C2208" s="294"/>
      <c r="D2208" s="294"/>
      <c r="E2208" s="294"/>
      <c r="F2208" s="294"/>
      <c r="G2208" s="294"/>
      <c r="H2208" s="265"/>
      <c r="I2208" s="265"/>
      <c r="J2208" s="265"/>
      <c r="K2208" s="265"/>
      <c r="L2208" s="265"/>
      <c r="M2208" s="297"/>
      <c r="N2208" s="298"/>
      <c r="O2208" s="298"/>
      <c r="P2208" s="299"/>
      <c r="Q2208" s="137" t="str">
        <f>IF($L2208=$L2210,IF($K2208=$K2210,IF($J2208&lt;&gt;"",IF($J2208&gt;$J2210,"W","L"),""),IF($K2208&gt;$K2210,"W","L")),IF($L2208&gt;$L2210,"W","L"))</f>
        <v/>
      </c>
      <c r="R2208" s="1"/>
      <c r="S2208" s="110"/>
      <c r="T2208" s="110"/>
      <c r="U2208" s="110"/>
      <c r="V2208" s="110"/>
      <c r="W2208" s="110"/>
      <c r="X2208" s="111"/>
      <c r="Y2208" s="111"/>
      <c r="Z2208" s="111"/>
      <c r="AA2208" s="111"/>
    </row>
    <row r="2209" spans="1:32" ht="12.75" customHeight="1">
      <c r="A2209" s="301"/>
      <c r="B2209" s="295"/>
      <c r="C2209" s="296"/>
      <c r="D2209" s="296"/>
      <c r="E2209" s="296"/>
      <c r="F2209" s="296"/>
      <c r="G2209" s="296"/>
      <c r="H2209" s="270"/>
      <c r="I2209" s="270"/>
      <c r="J2209" s="270"/>
      <c r="K2209" s="270"/>
      <c r="L2209" s="270"/>
      <c r="M2209" s="297"/>
      <c r="N2209" s="298"/>
      <c r="O2209" s="298"/>
      <c r="P2209" s="299"/>
      <c r="Q2209" s="139" t="str">
        <f>IF($Q2208&lt;&gt;"",IF($Q2208="W",IF(SUM(IF($H2208&gt;$H2210,1,0),IF($I2208&gt;$I2210,1,0),IF($J2208&gt;$J2210,1,0),IF($K2208&gt;$K2210,1,0),IF($L2208&gt;$L2210,1,0))&lt;&gt;3,"Error",""),""),"")</f>
        <v/>
      </c>
      <c r="R2209" s="328" t="str">
        <f>$A2203</f>
        <v/>
      </c>
      <c r="S2209" s="328"/>
      <c r="T2209" s="328"/>
      <c r="U2209" s="328"/>
      <c r="V2209" s="328"/>
      <c r="W2209" s="328"/>
      <c r="X2209" s="256" t="str">
        <f>CONCATENATE("(",$B2202," vs ",$K2202,")")</f>
        <v>(D vs F)</v>
      </c>
      <c r="Y2209" s="256"/>
      <c r="Z2209" s="328" t="str">
        <f>$J2203</f>
        <v/>
      </c>
      <c r="AA2209" s="328"/>
      <c r="AB2209" s="328"/>
      <c r="AC2209" s="328"/>
      <c r="AD2209" s="328"/>
      <c r="AE2209" s="328"/>
      <c r="AF2209" s="43"/>
    </row>
    <row r="2210" spans="1:32" ht="12.75" customHeight="1">
      <c r="A2210" s="300" t="str">
        <f>K2202</f>
        <v>F</v>
      </c>
      <c r="B2210" s="293" t="str">
        <f ca="1">IF(AND(OFFSET($AO$1,$L2202-1,8,1,1),$A2203&lt;&gt;"",$J2203&lt;&gt;""),CHOOSE($L2202,$AO$1,$AO$2,$AO$3,$AO$4,$AO$5,$AO$6,$AO$7,$AO$8,$AO$9,$AO$10,$AO$11,$AO$12),"")</f>
        <v/>
      </c>
      <c r="C2210" s="294"/>
      <c r="D2210" s="294"/>
      <c r="E2210" s="294"/>
      <c r="F2210" s="294"/>
      <c r="G2210" s="294"/>
      <c r="H2210" s="265"/>
      <c r="I2210" s="265"/>
      <c r="J2210" s="265"/>
      <c r="K2210" s="265"/>
      <c r="L2210" s="265"/>
      <c r="M2210" s="267" t="s">
        <v>1237</v>
      </c>
      <c r="N2210" s="268"/>
      <c r="O2210" s="268"/>
      <c r="P2210" s="269"/>
      <c r="Q2210" s="137" t="str">
        <f>IF($Q2208&lt;&gt;"",IF($Q2208="W","L","W"),"")</f>
        <v/>
      </c>
      <c r="R2210" s="43"/>
      <c r="S2210" s="43"/>
      <c r="T2210" s="43"/>
      <c r="U2210" s="43"/>
      <c r="V2210" s="43"/>
      <c r="W2210" s="43"/>
      <c r="X2210" s="43"/>
      <c r="Y2210" s="43"/>
      <c r="Z2210" s="43"/>
      <c r="AA2210" s="43"/>
      <c r="AB2210" s="43"/>
      <c r="AC2210" s="43"/>
      <c r="AD2210" s="43"/>
      <c r="AE2210" s="43"/>
      <c r="AF2210" s="43"/>
    </row>
    <row r="2211" spans="1:32" ht="12.75" customHeight="1">
      <c r="A2211" s="301"/>
      <c r="B2211" s="295"/>
      <c r="C2211" s="296"/>
      <c r="D2211" s="296"/>
      <c r="E2211" s="296"/>
      <c r="F2211" s="296"/>
      <c r="G2211" s="296"/>
      <c r="H2211" s="270"/>
      <c r="I2211" s="270"/>
      <c r="J2211" s="266"/>
      <c r="K2211" s="266"/>
      <c r="L2211" s="266"/>
      <c r="M2211" s="267"/>
      <c r="N2211" s="268"/>
      <c r="O2211" s="268"/>
      <c r="P2211" s="269"/>
      <c r="Q2211" s="139" t="str">
        <f>IF($Q2210&lt;&gt;"",IF($Q2210="W",IF(SUM(IF($H2210&gt;$H2208,1,0),IF($I2210&gt;$I2208,1,0),IF($J2210&gt;$J2208,1,0),IF($K2210&gt;$K2208,1,0),IF($L2210&gt;$L2208,1,0))&lt;&gt;3,"Error",""),""),"")</f>
        <v/>
      </c>
      <c r="R2211" s="43" t="str">
        <f>$A2213</f>
        <v>2nd Singles</v>
      </c>
      <c r="S2211" s="43"/>
      <c r="T2211" s="43"/>
      <c r="U2211" s="43"/>
      <c r="V2211" s="43"/>
      <c r="W2211" s="43"/>
      <c r="X2211" s="43"/>
      <c r="Y2211" s="43"/>
      <c r="Z2211" s="43"/>
      <c r="AA2211" s="43"/>
      <c r="AB2211" s="43"/>
      <c r="AC2211" s="43"/>
      <c r="AD2211" s="43"/>
      <c r="AE2211" s="43"/>
      <c r="AF2211" s="43"/>
    </row>
    <row r="2212" spans="1:32" ht="12.75" customHeight="1">
      <c r="Q2212" s="7"/>
      <c r="R2212" s="60" t="s">
        <v>1228</v>
      </c>
      <c r="S2212" s="339" t="s">
        <v>1126</v>
      </c>
      <c r="T2212" s="340"/>
      <c r="U2212" s="340"/>
      <c r="V2212" s="340"/>
      <c r="W2212" s="340"/>
      <c r="X2212" s="341"/>
      <c r="Y2212" s="60">
        <v>1</v>
      </c>
      <c r="Z2212" s="60">
        <v>2</v>
      </c>
      <c r="AA2212" s="60">
        <v>3</v>
      </c>
      <c r="AB2212" s="60">
        <v>4</v>
      </c>
      <c r="AC2212" s="60">
        <v>5</v>
      </c>
      <c r="AD2212" s="342"/>
      <c r="AE2212" s="343"/>
      <c r="AF2212" s="344"/>
    </row>
    <row r="2213" spans="1:32" ht="12.75" customHeight="1">
      <c r="A2213" s="21" t="s">
        <v>1234</v>
      </c>
      <c r="H2213" s="136" t="str">
        <f>IF($Q2215&lt;&gt;"",IF(AND(AND($H2215&gt;-1,$H2217&gt;-1),OR($H2215&gt;10,$H2217&gt;10),ABS($H2215-$H2217)&gt;1,IF(OR($H2215&gt;11,$H2217&gt;11),ABS($H2215-$H2217)=2,TRUE),$H2215=INT($H2215),$H2217=INT($H2217)),"","Error"),"")</f>
        <v/>
      </c>
      <c r="I2213" s="136" t="str">
        <f>IF($Q2215&lt;&gt;"",IF(AND(AND($I2215&gt;-1,$I2217&gt;-1),OR($I2215&gt;10,$I2217&gt;10),ABS($I2215-$I2217)&gt;1,IF(OR($I2215&gt;11,$I2217&gt;11),ABS($I2215-$I2217)=2,TRUE),$I2215=INT($I2215),$I2217=INT($I2217)),"","Error"),"")</f>
        <v/>
      </c>
      <c r="J2213" s="136" t="str">
        <f>IF($Q2215&lt;&gt;"",IF(AND(AND($J2215&gt;-1,$J2217&gt;-1),OR($J2215&gt;10,$J2217&gt;10),ABS($J2215-$J2217)&gt;1,IF(OR($J2215&gt;11,$J2217&gt;11),ABS($J2215-$J2217)=2,TRUE),$J2215=INT($J2215),$J2217=INT($J2217)),"","Error"),"")</f>
        <v/>
      </c>
      <c r="K2213" s="136" t="str">
        <f>IF($Q2215&lt;&gt;"",IF(AND($K2215&lt;&gt;"",$K2217&lt;&gt;""), IF(AND(AND($K2215&gt;-1,$K2217&gt;-1),OR($K2215&gt;10,$K2217&gt;10),ABS($K2215-$K2217)&gt;1,IF(OR($K2215&gt;11,$K2217&gt;11),ABS($K2215-$K2217)=2,TRUE),$K2215=INT($K2215),$K2217=INT($K2217)),"","Error"),""),"")</f>
        <v/>
      </c>
      <c r="L2213" s="136" t="str">
        <f>IF($Q2215&lt;&gt;"",IF(AND($L2215&lt;&gt;"",$L2217&lt;&gt;""), IF(AND(AND($L2215&gt;-1,$L2217&gt;-1),OR($L2215&gt;10,$L2217&gt;10),ABS($L2215-$L2217)&gt;1,IF(OR($L2215&gt;11,$L2217&gt;11),ABS($L2215-$L2217)=2,TRUE),$L2215=INT($L2215),$L2217=INT($L2217)),"","Error"),""),"")</f>
        <v/>
      </c>
      <c r="Q2213" s="7"/>
      <c r="R2213" s="300" t="str">
        <f>$B2202</f>
        <v>D</v>
      </c>
      <c r="S2213" s="331" t="str">
        <f ca="1">IF($B2215&lt;&gt;"",$B2215,"")</f>
        <v/>
      </c>
      <c r="T2213" s="332"/>
      <c r="U2213" s="332"/>
      <c r="V2213" s="332"/>
      <c r="W2213" s="332"/>
      <c r="X2213" s="333"/>
      <c r="Y2213" s="329"/>
      <c r="Z2213" s="329"/>
      <c r="AA2213" s="329"/>
      <c r="AB2213" s="329"/>
      <c r="AC2213" s="329"/>
      <c r="AD2213" s="345"/>
      <c r="AE2213" s="358"/>
      <c r="AF2213" s="359"/>
    </row>
    <row r="2214" spans="1:32" ht="12.75" customHeight="1">
      <c r="A2214" s="5" t="s">
        <v>1228</v>
      </c>
      <c r="B2214" s="290" t="s">
        <v>1126</v>
      </c>
      <c r="C2214" s="291"/>
      <c r="D2214" s="291"/>
      <c r="E2214" s="291"/>
      <c r="F2214" s="291"/>
      <c r="G2214" s="292"/>
      <c r="H2214" s="5">
        <v>1</v>
      </c>
      <c r="I2214" s="5">
        <v>2</v>
      </c>
      <c r="J2214" s="5">
        <v>3</v>
      </c>
      <c r="K2214" s="5">
        <v>4</v>
      </c>
      <c r="L2214" s="5">
        <v>5</v>
      </c>
      <c r="M2214" s="271"/>
      <c r="N2214" s="272"/>
      <c r="O2214" s="272"/>
      <c r="P2214" s="273"/>
      <c r="Q2214" s="7"/>
      <c r="R2214" s="330"/>
      <c r="S2214" s="334"/>
      <c r="T2214" s="335"/>
      <c r="U2214" s="335"/>
      <c r="V2214" s="335"/>
      <c r="W2214" s="335"/>
      <c r="X2214" s="336"/>
      <c r="Y2214" s="330"/>
      <c r="Z2214" s="330"/>
      <c r="AA2214" s="330"/>
      <c r="AB2214" s="330"/>
      <c r="AC2214" s="330"/>
      <c r="AD2214" s="360"/>
      <c r="AE2214" s="361"/>
      <c r="AF2214" s="362"/>
    </row>
    <row r="2215" spans="1:32" ht="12.75" customHeight="1">
      <c r="A2215" s="300" t="str">
        <f>B2202</f>
        <v>D</v>
      </c>
      <c r="B2215" s="293" t="str">
        <f ca="1">IF(AND(OFFSET($AO$1,$C2202-1,8,1,1),$A2203&lt;&gt;"",$J2203&lt;&gt;""),CHOOSE($C2202,$AP$1,$AP$2,$AP$3,$AP$4,$AP$5,$AP$6,$AP$7,$AP$8,$AP$9,$AP$10,$AP$11,$AP$12),"")</f>
        <v/>
      </c>
      <c r="C2215" s="294"/>
      <c r="D2215" s="294"/>
      <c r="E2215" s="294"/>
      <c r="F2215" s="294"/>
      <c r="G2215" s="294"/>
      <c r="H2215" s="265"/>
      <c r="I2215" s="265"/>
      <c r="J2215" s="265"/>
      <c r="K2215" s="265"/>
      <c r="L2215" s="265"/>
      <c r="M2215" s="262" t="str">
        <f ca="1">IF(OR(AND($B2208&lt;&gt;"",$B2215&lt;&gt;"",$C2233&lt;=$B2233),AND($B2210&lt;&gt;"",$B2217&lt;&gt;"",$G2233&lt;=$F2233)),"Invalid Lineup","")</f>
        <v/>
      </c>
      <c r="N2215" s="263"/>
      <c r="O2215" s="263"/>
      <c r="P2215" s="264"/>
      <c r="Q2215" s="137" t="str">
        <f>IF($L2215=$L2217,IF($K2215=$K2217,IF($J2215&lt;&gt;"",IF($J2215&gt;$J2217,"W","L"),""),IF($K2215&gt;$K2217,"W","L")),IF($L2215&gt;$L2217,"W","L"))</f>
        <v/>
      </c>
      <c r="R2215" s="300" t="str">
        <f>$K2202</f>
        <v>F</v>
      </c>
      <c r="S2215" s="331" t="str">
        <f ca="1">IF($B2217&lt;&gt;"",$B2217,"")</f>
        <v/>
      </c>
      <c r="T2215" s="332"/>
      <c r="U2215" s="332"/>
      <c r="V2215" s="332"/>
      <c r="W2215" s="332"/>
      <c r="X2215" s="333"/>
      <c r="Y2215" s="329"/>
      <c r="Z2215" s="329"/>
      <c r="AA2215" s="329"/>
      <c r="AB2215" s="329"/>
      <c r="AC2215" s="351"/>
      <c r="AD2215" s="363" t="s">
        <v>1237</v>
      </c>
      <c r="AE2215" s="358"/>
      <c r="AF2215" s="359"/>
    </row>
    <row r="2216" spans="1:32" ht="12.75" customHeight="1">
      <c r="A2216" s="301"/>
      <c r="B2216" s="295"/>
      <c r="C2216" s="296"/>
      <c r="D2216" s="296"/>
      <c r="E2216" s="296"/>
      <c r="F2216" s="296"/>
      <c r="G2216" s="296"/>
      <c r="H2216" s="270"/>
      <c r="I2216" s="270"/>
      <c r="J2216" s="270"/>
      <c r="K2216" s="270"/>
      <c r="L2216" s="270"/>
      <c r="M2216" s="262"/>
      <c r="N2216" s="263"/>
      <c r="O2216" s="263"/>
      <c r="P2216" s="264"/>
      <c r="Q2216" s="139" t="str">
        <f>IF($Q2215&lt;&gt;"",IF($Q2215="W",IF(SUM(IF($H2215&gt;$H2217,1,0),IF($I2215&gt;$I2217,1,0),IF($J2215&gt;$J2217,1,0),IF($K2215&gt;$K2217,1,0),IF($L2215&gt;$L2217,1,0))&lt;&gt;3,"Error",""),""),"")</f>
        <v/>
      </c>
      <c r="R2216" s="330"/>
      <c r="S2216" s="334"/>
      <c r="T2216" s="335"/>
      <c r="U2216" s="335"/>
      <c r="V2216" s="335"/>
      <c r="W2216" s="335"/>
      <c r="X2216" s="336"/>
      <c r="Y2216" s="330"/>
      <c r="Z2216" s="330"/>
      <c r="AA2216" s="330"/>
      <c r="AB2216" s="330"/>
      <c r="AC2216" s="330"/>
      <c r="AD2216" s="360"/>
      <c r="AE2216" s="361"/>
      <c r="AF2216" s="362"/>
    </row>
    <row r="2217" spans="1:32" ht="12.75" customHeight="1">
      <c r="A2217" s="300" t="str">
        <f>K2202</f>
        <v>F</v>
      </c>
      <c r="B2217" s="293" t="str">
        <f ca="1">IF(AND(OFFSET($AO$1,$L2202-1,8,1,1),$A2203&lt;&gt;"",$J2203&lt;&gt;""),CHOOSE($L2202,$AP$1,$AP$2,$AP$3,$AP$4,$AP$5,$AP$6,$AP$7,$AP$8,$AP$9,$AP$10,$AP$11,$AP$12),"")</f>
        <v/>
      </c>
      <c r="C2217" s="294"/>
      <c r="D2217" s="294"/>
      <c r="E2217" s="294"/>
      <c r="F2217" s="294"/>
      <c r="G2217" s="294"/>
      <c r="H2217" s="265"/>
      <c r="I2217" s="265"/>
      <c r="J2217" s="265"/>
      <c r="K2217" s="265"/>
      <c r="L2217" s="265"/>
      <c r="M2217" s="267" t="s">
        <v>1237</v>
      </c>
      <c r="N2217" s="268"/>
      <c r="O2217" s="268"/>
      <c r="P2217" s="269"/>
      <c r="Q2217" s="137" t="str">
        <f>IF($Q2215&lt;&gt;"",IF($Q2215="W","L","W"),"")</f>
        <v/>
      </c>
      <c r="R2217" s="20"/>
      <c r="S2217" s="20"/>
      <c r="T2217" s="20"/>
      <c r="U2217" s="20"/>
      <c r="V2217" s="20"/>
      <c r="W2217" s="20"/>
      <c r="X2217" s="26"/>
      <c r="Y2217" s="26"/>
      <c r="Z2217" s="20"/>
      <c r="AA2217" s="20"/>
      <c r="AB2217" s="20"/>
      <c r="AC2217" s="20"/>
      <c r="AD2217" s="20"/>
      <c r="AE2217" s="20"/>
      <c r="AF2217" s="27"/>
    </row>
    <row r="2218" spans="1:32" ht="12.75" customHeight="1">
      <c r="A2218" s="301"/>
      <c r="B2218" s="295"/>
      <c r="C2218" s="296"/>
      <c r="D2218" s="296"/>
      <c r="E2218" s="296"/>
      <c r="F2218" s="296"/>
      <c r="G2218" s="296"/>
      <c r="H2218" s="270"/>
      <c r="I2218" s="270"/>
      <c r="J2218" s="266"/>
      <c r="K2218" s="266"/>
      <c r="L2218" s="266"/>
      <c r="M2218" s="267"/>
      <c r="N2218" s="268"/>
      <c r="O2218" s="268"/>
      <c r="P2218" s="269"/>
      <c r="Q2218" s="139" t="str">
        <f>IF($Q2217&lt;&gt;"",IF($Q2217="W",IF(SUM(IF($H2217&gt;$H2215,1,0),IF($I2217&gt;$I2215,1,0),IF($J2217&gt;$J2215,1,0),IF($K2217&gt;$K2215,1,0),IF($L2217&gt;$L2215,1,0))&lt;&gt;3,"Error",""),""),"")</f>
        <v/>
      </c>
      <c r="R2218" s="20"/>
      <c r="S2218" s="20"/>
      <c r="T2218" s="20"/>
      <c r="U2218" s="20"/>
      <c r="V2218" s="20"/>
      <c r="W2218" s="20"/>
      <c r="X2218" s="26"/>
      <c r="Y2218" s="26"/>
      <c r="Z2218" s="20"/>
      <c r="AA2218" s="20"/>
      <c r="AB2218" s="20"/>
      <c r="AC2218" s="20"/>
      <c r="AD2218" s="20"/>
      <c r="AE2218" s="20"/>
      <c r="AF2218" s="27"/>
    </row>
    <row r="2219" spans="1:32" ht="12.75" customHeight="1">
      <c r="Q2219" s="7"/>
      <c r="R2219" s="20"/>
      <c r="S2219" s="20"/>
      <c r="T2219" s="20"/>
      <c r="U2219" s="20"/>
      <c r="V2219" s="20"/>
      <c r="W2219" s="20"/>
      <c r="X2219" s="26"/>
      <c r="Y2219" s="26"/>
      <c r="Z2219" s="20"/>
      <c r="AA2219" s="20"/>
      <c r="AB2219" s="20"/>
      <c r="AC2219" s="20"/>
      <c r="AD2219" s="20"/>
      <c r="AE2219" s="20"/>
      <c r="AF2219" s="27"/>
    </row>
    <row r="2220" spans="1:32" ht="12.75" customHeight="1">
      <c r="A2220" s="21" t="s">
        <v>1235</v>
      </c>
      <c r="H2220" s="136" t="str">
        <f>IF($Q2222&lt;&gt;"",IF(AND(AND($H2222&gt;-1,$H2224&gt;-1),OR($H2222&gt;10,$H2224&gt;10),ABS($H2222-$H2224)&gt;1,IF(OR($H2222&gt;11,$H2224&gt;11),ABS($H2222-$H2224)=2,TRUE),$H2222=INT($H2222),$H2224=INT($H2224)),"","Error"),"")</f>
        <v/>
      </c>
      <c r="I2220" s="136" t="str">
        <f>IF($Q2222&lt;&gt;"",IF(AND(AND($I2222&gt;-1,$I2224&gt;-1),OR($I2222&gt;10,$I2224&gt;10),ABS($I2222-$I2224)&gt;1,IF(OR($I2222&gt;11,$I2224&gt;11),ABS($I2222-$I2224)=2,TRUE),$I2222=INT($I2222),$I2224=INT($I2224)),"","Error"),"")</f>
        <v/>
      </c>
      <c r="J2220" s="136" t="str">
        <f>IF($Q2222&lt;&gt;"",IF(AND(AND($J2222&gt;-1,$J2224&gt;-1),OR($J2222&gt;10,$J2224&gt;10),ABS($J2222-$J2224)&gt;1,IF(OR($J2222&gt;11,$J2224&gt;11),ABS($J2222-$J2224)=2,TRUE),$J2222=INT($J2222),$J2224=INT($J2224)),"","Error"),"")</f>
        <v/>
      </c>
      <c r="K2220" s="136" t="str">
        <f>IF($Q2222&lt;&gt;"",IF(AND($K2222&lt;&gt;"",$K2224&lt;&gt;""), IF(AND(AND($K2222&gt;-1,$K2224&gt;-1),OR($K2222&gt;10,$K2224&gt;10),ABS($K2222-$K2224)&gt;1,IF(OR($K2222&gt;11,$K2224&gt;11),ABS($K2222-$K2224)=2,TRUE),$K2222=INT($K2222),$K2224=INT($K2224)),"","Error"),""),"")</f>
        <v/>
      </c>
      <c r="L2220" s="136" t="str">
        <f>IF($Q2222&lt;&gt;"",IF(AND($L2222&lt;&gt;"",$L2224&lt;&gt;""), IF(AND(AND($L2222&gt;-1,$L2224&gt;-1),OR($L2222&gt;10,$L2224&gt;10),ABS($L2222-$L2224)&gt;1,IF(OR($L2222&gt;11,$L2224&gt;11),ABS($L2222-$L2224)=2,TRUE),$L2222=INT($L2222),$L2224=INT($L2224)),"","Error"),""),"")</f>
        <v/>
      </c>
      <c r="Q2220" s="7"/>
      <c r="R2220" s="20"/>
      <c r="S2220" s="20"/>
      <c r="T2220" s="20"/>
      <c r="U2220" s="20"/>
      <c r="V2220" s="20"/>
      <c r="W2220" s="20"/>
      <c r="X2220" s="26"/>
      <c r="Y2220" s="26"/>
      <c r="Z2220" s="20"/>
      <c r="AA2220" s="20"/>
      <c r="AB2220" s="20"/>
      <c r="AC2220" s="20"/>
      <c r="AD2220" s="20"/>
      <c r="AE2220" s="20"/>
      <c r="AF2220" s="27"/>
    </row>
    <row r="2221" spans="1:32" ht="12.75" customHeight="1">
      <c r="A2221" s="5" t="s">
        <v>1228</v>
      </c>
      <c r="B2221" s="290" t="s">
        <v>1126</v>
      </c>
      <c r="C2221" s="291"/>
      <c r="D2221" s="291"/>
      <c r="E2221" s="291"/>
      <c r="F2221" s="291"/>
      <c r="G2221" s="292"/>
      <c r="H2221" s="5">
        <v>1</v>
      </c>
      <c r="I2221" s="5">
        <v>2</v>
      </c>
      <c r="J2221" s="5">
        <v>3</v>
      </c>
      <c r="K2221" s="5">
        <v>4</v>
      </c>
      <c r="L2221" s="5">
        <v>5</v>
      </c>
      <c r="M2221" s="271"/>
      <c r="N2221" s="272"/>
      <c r="O2221" s="272"/>
      <c r="P2221" s="273"/>
      <c r="Q2221" s="7"/>
      <c r="R2221" s="20"/>
      <c r="S2221" s="20"/>
      <c r="T2221" s="20"/>
      <c r="U2221" s="20"/>
      <c r="V2221" s="20"/>
      <c r="W2221" s="20"/>
      <c r="X2221" s="26"/>
      <c r="Y2221" s="26"/>
      <c r="Z2221" s="20"/>
      <c r="AA2221" s="20"/>
      <c r="AB2221" s="20"/>
      <c r="AC2221" s="20"/>
      <c r="AD2221" s="20"/>
      <c r="AE2221" s="20"/>
      <c r="AF2221" s="27"/>
    </row>
    <row r="2222" spans="1:32" ht="12.75" customHeight="1">
      <c r="A2222" s="300" t="str">
        <f>B2202</f>
        <v>D</v>
      </c>
      <c r="B2222" s="293" t="str">
        <f ca="1">IF(AND(OFFSET($AO$1,$C2202-1,8,1,1),$A2203&lt;&gt;"",$J2203&lt;&gt;""),CHOOSE($C2202,$AQ$1,$AQ$2,$AQ$3,$AQ$4,$AQ$5,$AQ$6,$AQ$7,$AQ$8,$AQ$9,$AQ$10,$AQ$11,$AQ$12),"")</f>
        <v/>
      </c>
      <c r="C2222" s="294"/>
      <c r="D2222" s="294"/>
      <c r="E2222" s="294"/>
      <c r="F2222" s="294"/>
      <c r="G2222" s="294"/>
      <c r="H2222" s="265"/>
      <c r="I2222" s="265"/>
      <c r="J2222" s="265"/>
      <c r="K2222" s="265"/>
      <c r="L2222" s="265"/>
      <c r="M2222" s="262" t="str">
        <f ca="1">IF(OR(AND($B2215&lt;&gt;"",$B2222&lt;&gt;"",$D2233&lt;=$C2233),AND($B2217&lt;&gt;"",$B2224&lt;&gt;"",$H2233&lt;=$G2233)),"Invalid Lineup","")</f>
        <v/>
      </c>
      <c r="N2222" s="263"/>
      <c r="O2222" s="263"/>
      <c r="P2222" s="264"/>
      <c r="Q2222" s="137" t="str">
        <f>IF($L2222=$L2224,IF($K2222=$K2224,IF($J2222&lt;&gt;"",IF($J2222&gt;$J2224,"W","L"),""),IF($K2222&gt;$K2224,"W","L")),IF($L2222&gt;$L2224,"W","L"))</f>
        <v/>
      </c>
      <c r="R2222" s="20"/>
      <c r="S2222" s="20"/>
      <c r="T2222" s="20"/>
      <c r="U2222" s="20"/>
      <c r="V2222" s="20"/>
      <c r="W2222" s="20"/>
      <c r="X2222" s="26"/>
      <c r="Y2222" s="26"/>
      <c r="Z2222" s="20"/>
      <c r="AA2222" s="20"/>
      <c r="AB2222" s="20"/>
      <c r="AC2222" s="20"/>
      <c r="AD2222" s="20"/>
      <c r="AE2222" s="20"/>
      <c r="AF2222" s="27"/>
    </row>
    <row r="2223" spans="1:32" ht="12.75" customHeight="1">
      <c r="A2223" s="301"/>
      <c r="B2223" s="295"/>
      <c r="C2223" s="296"/>
      <c r="D2223" s="296"/>
      <c r="E2223" s="296"/>
      <c r="F2223" s="296"/>
      <c r="G2223" s="296"/>
      <c r="H2223" s="270"/>
      <c r="I2223" s="270"/>
      <c r="J2223" s="270"/>
      <c r="K2223" s="270"/>
      <c r="L2223" s="270"/>
      <c r="M2223" s="262"/>
      <c r="N2223" s="263"/>
      <c r="O2223" s="263"/>
      <c r="P2223" s="264"/>
      <c r="Q2223" s="139" t="str">
        <f>IF($Q2222&lt;&gt;"",IF($Q2222="W",IF(SUM(IF($H2222&gt;$H2224,1,0),IF($I2222&gt;$I2224,1,0),IF($J2222&gt;$J2224,1,0),IF($K2222&gt;$K2224,1,0),IF($L2222&gt;$L2224,1,0))&lt;&gt;3,"Error",""),""),"")</f>
        <v/>
      </c>
      <c r="R2223" s="328" t="str">
        <f>$A2203</f>
        <v/>
      </c>
      <c r="S2223" s="328"/>
      <c r="T2223" s="328"/>
      <c r="U2223" s="328"/>
      <c r="V2223" s="328"/>
      <c r="W2223" s="328"/>
      <c r="X2223" s="256" t="str">
        <f>CONCATENATE("(",$B2202," vs ",$K2202,")")</f>
        <v>(D vs F)</v>
      </c>
      <c r="Y2223" s="256"/>
      <c r="Z2223" s="328" t="str">
        <f>$J2203</f>
        <v/>
      </c>
      <c r="AA2223" s="328"/>
      <c r="AB2223" s="328"/>
      <c r="AC2223" s="328"/>
      <c r="AD2223" s="328"/>
      <c r="AE2223" s="328"/>
      <c r="AF2223" s="100"/>
    </row>
    <row r="2224" spans="1:32" ht="12.75" customHeight="1">
      <c r="A2224" s="300" t="str">
        <f>K2202</f>
        <v>F</v>
      </c>
      <c r="B2224" s="293" t="str">
        <f ca="1">IF(AND(OFFSET($AO$1,$L2202-1,8,1,1),$A2203&lt;&gt;"",$J2203&lt;&gt;""),CHOOSE($L2202,$AQ$1,$AQ$2,$AQ$3,$AQ$4,$AQ$5,$AQ$6,$AQ$7,$AQ$8,$AQ$9,$AQ$10,$AQ$11,$AQ$12),"")</f>
        <v/>
      </c>
      <c r="C2224" s="294"/>
      <c r="D2224" s="294"/>
      <c r="E2224" s="294"/>
      <c r="F2224" s="294"/>
      <c r="G2224" s="294"/>
      <c r="H2224" s="265"/>
      <c r="I2224" s="265"/>
      <c r="J2224" s="265"/>
      <c r="K2224" s="265"/>
      <c r="L2224" s="265"/>
      <c r="M2224" s="267" t="s">
        <v>1237</v>
      </c>
      <c r="N2224" s="268"/>
      <c r="O2224" s="268"/>
      <c r="P2224" s="269"/>
      <c r="Q2224" s="137" t="str">
        <f>IF($Q2222&lt;&gt;"",IF($Q2222="W","L","W"),"")</f>
        <v/>
      </c>
      <c r="R2224" s="100"/>
      <c r="S2224" s="100"/>
      <c r="T2224" s="100"/>
      <c r="U2224" s="100"/>
      <c r="V2224" s="100"/>
      <c r="W2224" s="100"/>
      <c r="X2224" s="100"/>
      <c r="Y2224" s="100"/>
      <c r="Z2224" s="100"/>
      <c r="AA2224" s="100"/>
      <c r="AB2224" s="100"/>
      <c r="AC2224" s="100"/>
      <c r="AD2224" s="100"/>
      <c r="AE2224" s="100"/>
      <c r="AF2224" s="100"/>
    </row>
    <row r="2225" spans="1:32" ht="12.75" customHeight="1">
      <c r="A2225" s="301"/>
      <c r="B2225" s="295"/>
      <c r="C2225" s="296"/>
      <c r="D2225" s="296"/>
      <c r="E2225" s="296"/>
      <c r="F2225" s="296"/>
      <c r="G2225" s="296"/>
      <c r="H2225" s="270"/>
      <c r="I2225" s="270"/>
      <c r="J2225" s="266"/>
      <c r="K2225" s="266"/>
      <c r="L2225" s="266"/>
      <c r="M2225" s="267"/>
      <c r="N2225" s="268"/>
      <c r="O2225" s="268"/>
      <c r="P2225" s="269"/>
      <c r="Q2225" s="139" t="str">
        <f>IF($Q2224&lt;&gt;"",IF($Q2224="W",IF(SUM(IF($H2224&gt;$H2222,1,0),IF($I2224&gt;$I2222,1,0),IF($J2224&gt;$J2222,1,0),IF($K2224&gt;$K2222,1,0),IF($L2224&gt;$L2222,1,0))&lt;&gt;3,"Error",""),""),"")</f>
        <v/>
      </c>
      <c r="R2225" s="43" t="str">
        <f>$A2220</f>
        <v>3rd Singles</v>
      </c>
      <c r="S2225" s="43"/>
      <c r="T2225" s="43"/>
      <c r="U2225" s="43"/>
      <c r="V2225" s="43"/>
      <c r="W2225" s="43"/>
      <c r="X2225" s="43"/>
      <c r="Y2225" s="43"/>
      <c r="Z2225" s="43"/>
      <c r="AA2225" s="43"/>
      <c r="AB2225" s="43"/>
      <c r="AC2225" s="43"/>
      <c r="AD2225" s="43"/>
      <c r="AE2225" s="43"/>
      <c r="AF2225" s="43"/>
    </row>
    <row r="2226" spans="1:32" ht="12.75" customHeight="1">
      <c r="Q2226" s="7"/>
      <c r="R2226" s="60" t="s">
        <v>1228</v>
      </c>
      <c r="S2226" s="101" t="s">
        <v>1126</v>
      </c>
      <c r="T2226" s="102"/>
      <c r="U2226" s="102"/>
      <c r="V2226" s="102"/>
      <c r="W2226" s="102"/>
      <c r="X2226" s="103"/>
      <c r="Y2226" s="60">
        <v>1</v>
      </c>
      <c r="Z2226" s="60">
        <v>2</v>
      </c>
      <c r="AA2226" s="60">
        <v>3</v>
      </c>
      <c r="AB2226" s="60">
        <v>4</v>
      </c>
      <c r="AC2226" s="60">
        <v>5</v>
      </c>
      <c r="AD2226" s="104"/>
      <c r="AE2226" s="105"/>
      <c r="AF2226" s="106"/>
    </row>
    <row r="2227" spans="1:32" ht="12.75" customHeight="1">
      <c r="A2227" s="21" t="s">
        <v>1236</v>
      </c>
      <c r="H2227" s="136" t="str">
        <f ca="1">IF($Q2229&lt;&gt;"",IF(AND($B2229&lt;&gt;"Missing Player",$B2231&lt;&gt;"Missing Player"),IF(AND(AND($H2229&gt;-1,$H2231&gt;-1),OR($H2229&gt;10,$H2231&gt;10),ABS($H2229-$H2231)&gt;1,IF(OR($H2229&gt;11,$H2231&gt;11),ABS($H2229-$H2231)=2,TRUE),$H2229=INT($H2229),$H2231=INT($H2231)),"","Error"),""),"")</f>
        <v/>
      </c>
      <c r="I2227" s="136" t="str">
        <f ca="1">IF($Q2229&lt;&gt;"",IF(AND($B2229&lt;&gt;"Missing Player",$B2231&lt;&gt;"Missing Player"),IF(AND(AND($I2229&gt;-1,$I2231&gt;-1),OR($I2229&gt;10,$I2231&gt;10),ABS($I2229-$I2231)&gt;1,IF(OR($I2229&gt;11,$I2231&gt;11),ABS($I2229-$I2231)=2,TRUE),$I2229=INT($I2229),$I2231=INT($I2231)),"","Error"),""),"")</f>
        <v/>
      </c>
      <c r="J2227" s="136" t="str">
        <f ca="1">IF($Q2229&lt;&gt;"",IF(AND($B2229&lt;&gt;"Missing Player",$B2231&lt;&gt;"Missing Player"),IF(AND(AND($J2229&gt;-1,$J2231&gt;-1),OR($J2229&gt;10,$J2231&gt;10),ABS($J2229-$J2231)&gt;1,IF(OR($J2229&gt;11,$J2231&gt;11),ABS($J2229-$J2231)=2,TRUE),$J2229=INT($J2229),$J2231=INT($J2231)),"","Error"),""),"")</f>
        <v/>
      </c>
      <c r="K2227" s="136" t="str">
        <f ca="1">IF($Q2229&lt;&gt;"",IF(AND($K2229&lt;&gt;"",$K2231&lt;&gt;""), IF(AND(AND($K2229&gt;-1,$K2231&gt;-1),OR($K2229&gt;10,$K2231&gt;10),ABS($K2229-$K2231)&gt;1,IF(OR($K2229&gt;11,$K2231&gt;11),ABS($K2229-$K2231)=2,TRUE),$K2229=INT($K2229),$K2231=INT($K2231)),"","Error"),""),"")</f>
        <v/>
      </c>
      <c r="L2227" s="136" t="str">
        <f ca="1">IF($Q2229&lt;&gt;"",IF(AND($L2229&lt;&gt;"",$L2231&lt;&gt;""), IF(AND(AND($L2229&gt;-1,$L2231&gt;-1),OR($L2229&gt;10,$L2231&gt;10),ABS($L2229-$L2231)&gt;1,IF(OR($L2229&gt;11,$L2231&gt;11),ABS($L2229-$L2231)=2,TRUE),$L2229=INT($L2229),$L2231=INT($L2231)),"","Error"),""),"")</f>
        <v/>
      </c>
      <c r="Q2227" s="7"/>
      <c r="R2227" s="300" t="str">
        <f>$B2202</f>
        <v>D</v>
      </c>
      <c r="S2227" s="331" t="str">
        <f ca="1">IF($B2222&lt;&gt;"",$B2222,"")</f>
        <v/>
      </c>
      <c r="T2227" s="332"/>
      <c r="U2227" s="332"/>
      <c r="V2227" s="332"/>
      <c r="W2227" s="332"/>
      <c r="X2227" s="333"/>
      <c r="Y2227" s="329"/>
      <c r="Z2227" s="329"/>
      <c r="AA2227" s="329"/>
      <c r="AB2227" s="329"/>
      <c r="AC2227" s="329"/>
      <c r="AD2227" s="345"/>
      <c r="AE2227" s="358"/>
      <c r="AF2227" s="359"/>
    </row>
    <row r="2228" spans="1:32" ht="12.75" customHeight="1">
      <c r="A2228" s="5" t="s">
        <v>1228</v>
      </c>
      <c r="B2228" s="290" t="s">
        <v>1126</v>
      </c>
      <c r="C2228" s="291"/>
      <c r="D2228" s="291"/>
      <c r="E2228" s="291"/>
      <c r="F2228" s="291"/>
      <c r="G2228" s="292"/>
      <c r="H2228" s="5">
        <v>1</v>
      </c>
      <c r="I2228" s="5">
        <v>2</v>
      </c>
      <c r="J2228" s="5">
        <v>3</v>
      </c>
      <c r="K2228" s="5">
        <v>4</v>
      </c>
      <c r="L2228" s="5">
        <v>5</v>
      </c>
      <c r="M2228" s="271"/>
      <c r="N2228" s="272"/>
      <c r="O2228" s="272"/>
      <c r="P2228" s="273"/>
      <c r="Q2228" s="7"/>
      <c r="R2228" s="330"/>
      <c r="S2228" s="334"/>
      <c r="T2228" s="335"/>
      <c r="U2228" s="335"/>
      <c r="V2228" s="335"/>
      <c r="W2228" s="335"/>
      <c r="X2228" s="336"/>
      <c r="Y2228" s="330"/>
      <c r="Z2228" s="330"/>
      <c r="AA2228" s="330"/>
      <c r="AB2228" s="330"/>
      <c r="AC2228" s="330"/>
      <c r="AD2228" s="360"/>
      <c r="AE2228" s="361"/>
      <c r="AF2228" s="362"/>
    </row>
    <row r="2229" spans="1:32" ht="12.75" customHeight="1">
      <c r="A2229" s="300" t="str">
        <f>B2202</f>
        <v>D</v>
      </c>
      <c r="B2229" s="293" t="str">
        <f ca="1">IF(AND(OFFSET($AO$1,$C2202-1,8,1,1),$A2203&lt;&gt;"",$J2203&lt;&gt;""),CHOOSE($C2202,$AR$1,$AR$2,$AR$3,$AR$4,$AR$5,$AR$6,$AR$7,$AR$8,$AR$9,$AR$10,$AR$11,$AR$12),"")</f>
        <v/>
      </c>
      <c r="C2229" s="294"/>
      <c r="D2229" s="294"/>
      <c r="E2229" s="294"/>
      <c r="F2229" s="294"/>
      <c r="G2229" s="294"/>
      <c r="H2229" s="265"/>
      <c r="I2229" s="265"/>
      <c r="J2229" s="265"/>
      <c r="K2229" s="265"/>
      <c r="L2229" s="265" t="str">
        <f ca="1">IF(AND($B2229&lt;&gt;"",$Q2208&lt;&gt;""),IF($B2229="Missing Player",0,IF($B2231="Missing Player",11,"")),"")</f>
        <v/>
      </c>
      <c r="M2229" s="262" t="str">
        <f ca="1">IF(OR(AND($B2222&lt;&gt;"",$B2229&lt;&gt;"",$E2233&lt;=$D2233),AND($B2224&lt;&gt;"",$B2231&lt;&gt;"",$I2233&lt;=$H2233)),"Invalid Lineup","")</f>
        <v/>
      </c>
      <c r="N2229" s="263"/>
      <c r="O2229" s="263"/>
      <c r="P2229" s="264"/>
      <c r="Q2229" s="137" t="str">
        <f ca="1">IF($L2229=$L2231,IF($K2229=$K2231,IF($J2229&lt;&gt;"",IF($J2229&gt;$J2231,"W","L"),""),IF($K2229&gt;$K2231,"W","L")),IF($L2229&gt;$L2231,"W","L"))</f>
        <v/>
      </c>
      <c r="R2229" s="300" t="str">
        <f>$K2202</f>
        <v>F</v>
      </c>
      <c r="S2229" s="331" t="str">
        <f ca="1">IF($B2224&lt;&gt;"",$B2224,"")</f>
        <v/>
      </c>
      <c r="T2229" s="332"/>
      <c r="U2229" s="332"/>
      <c r="V2229" s="332"/>
      <c r="W2229" s="332"/>
      <c r="X2229" s="333"/>
      <c r="Y2229" s="329"/>
      <c r="Z2229" s="329"/>
      <c r="AA2229" s="329"/>
      <c r="AB2229" s="329"/>
      <c r="AC2229" s="351"/>
      <c r="AD2229" s="363" t="s">
        <v>1237</v>
      </c>
      <c r="AE2229" s="358"/>
      <c r="AF2229" s="359"/>
    </row>
    <row r="2230" spans="1:32" ht="12.75" customHeight="1">
      <c r="A2230" s="301"/>
      <c r="B2230" s="295"/>
      <c r="C2230" s="296"/>
      <c r="D2230" s="296"/>
      <c r="E2230" s="296"/>
      <c r="F2230" s="296"/>
      <c r="G2230" s="296"/>
      <c r="H2230" s="270"/>
      <c r="I2230" s="270"/>
      <c r="J2230" s="270"/>
      <c r="K2230" s="270"/>
      <c r="L2230" s="270"/>
      <c r="M2230" s="262"/>
      <c r="N2230" s="263"/>
      <c r="O2230" s="263"/>
      <c r="P2230" s="264"/>
      <c r="Q2230" s="139" t="str">
        <f ca="1">IF($Q2229&lt;&gt;"",IF($B2231&lt;&gt;"Missing Player",IF($Q2229="W",IF(SUM(IF($H2229&gt;$H2231,1,0),IF($I2229&gt;$I2231,1,0),IF($J2229&gt;$J2231,1,0),IF($K2229&gt;$K2231,1,0),IF($L2229&gt;$L2231,1,0))&lt;&gt;3,"Error",""),""),""),"")</f>
        <v/>
      </c>
      <c r="R2230" s="330"/>
      <c r="S2230" s="334"/>
      <c r="T2230" s="335"/>
      <c r="U2230" s="335"/>
      <c r="V2230" s="335"/>
      <c r="W2230" s="335"/>
      <c r="X2230" s="336"/>
      <c r="Y2230" s="330"/>
      <c r="Z2230" s="330"/>
      <c r="AA2230" s="330"/>
      <c r="AB2230" s="330"/>
      <c r="AC2230" s="330"/>
      <c r="AD2230" s="360"/>
      <c r="AE2230" s="361"/>
      <c r="AF2230" s="362"/>
    </row>
    <row r="2231" spans="1:32" ht="12.75" customHeight="1">
      <c r="A2231" s="300" t="str">
        <f>K2202</f>
        <v>F</v>
      </c>
      <c r="B2231" s="293" t="str">
        <f ca="1">IF(AND(OFFSET($AO$1,$L2202-1,8,1,1),$A2203&lt;&gt;"",$J2203&lt;&gt;""),CHOOSE($L2202,$AR$1,$AR$2,$AR$3,$AR$4,$AR$5,$AR$6,$AR$7,$AR$8,$AR$9,$AR$10,$AR$11,$AR$12),"")</f>
        <v/>
      </c>
      <c r="C2231" s="294"/>
      <c r="D2231" s="294"/>
      <c r="E2231" s="294"/>
      <c r="F2231" s="294"/>
      <c r="G2231" s="294"/>
      <c r="H2231" s="265"/>
      <c r="I2231" s="265"/>
      <c r="J2231" s="265"/>
      <c r="K2231" s="265"/>
      <c r="L2231" s="265" t="str">
        <f ca="1">IF(AND($B2231&lt;&gt;"",$Q2208&lt;&gt;""),IF($B2231="Missing Player",0,IF($B2229="Missing Player",11,"")),"")</f>
        <v/>
      </c>
      <c r="M2231" s="267" t="s">
        <v>1237</v>
      </c>
      <c r="N2231" s="268"/>
      <c r="O2231" s="268"/>
      <c r="P2231" s="269"/>
      <c r="Q2231" s="137" t="str">
        <f ca="1">IF($Q2229&lt;&gt;"",IF($Q2229="W","L","W"),"")</f>
        <v/>
      </c>
      <c r="R2231" s="112"/>
      <c r="S2231" s="98"/>
      <c r="T2231" s="108"/>
      <c r="U2231" s="108"/>
      <c r="V2231" s="108"/>
      <c r="W2231" s="108"/>
      <c r="X2231" s="108"/>
      <c r="Y2231" s="113"/>
      <c r="Z2231" s="113"/>
      <c r="AA2231" s="113"/>
      <c r="AB2231" s="113"/>
      <c r="AC2231" s="113"/>
      <c r="AD2231" s="107"/>
      <c r="AE2231" s="109"/>
      <c r="AF2231" s="109"/>
    </row>
    <row r="2232" spans="1:32" ht="12.75" customHeight="1">
      <c r="A2232" s="301"/>
      <c r="B2232" s="295"/>
      <c r="C2232" s="296"/>
      <c r="D2232" s="296"/>
      <c r="E2232" s="296"/>
      <c r="F2232" s="296"/>
      <c r="G2232" s="296"/>
      <c r="H2232" s="270"/>
      <c r="I2232" s="270"/>
      <c r="J2232" s="266"/>
      <c r="K2232" s="266"/>
      <c r="L2232" s="266"/>
      <c r="M2232" s="267"/>
      <c r="N2232" s="268"/>
      <c r="O2232" s="268"/>
      <c r="P2232" s="269"/>
      <c r="Q2232" s="139" t="str">
        <f ca="1">IF($Q2231&lt;&gt;"",IF($B2229&lt;&gt;"Missing Player",IF($Q2231="W",IF(SUM(IF($H2231&gt;$H2229,1,0),IF($I2231&gt;$I2229,1,0),IF($J2231&gt;$J2229,1,0),IF($K2231&gt;$K2229,1,0),IF($L2231&gt;$L2229,1,0))&lt;&gt;3,"Error",""),""),""),"")</f>
        <v/>
      </c>
      <c r="R2232" s="114"/>
      <c r="S2232" s="115"/>
      <c r="T2232" s="115"/>
      <c r="U2232" s="115"/>
      <c r="V2232" s="115"/>
      <c r="W2232" s="115"/>
      <c r="X2232" s="115"/>
      <c r="Y2232" s="114"/>
      <c r="Z2232" s="114"/>
      <c r="AA2232" s="114"/>
      <c r="AB2232" s="114"/>
      <c r="AC2232" s="114"/>
      <c r="AD2232" s="114"/>
      <c r="AE2232" s="114"/>
      <c r="AF2232" s="114"/>
    </row>
    <row r="2233" spans="1:32" ht="12.75" customHeight="1">
      <c r="B2233" s="140" t="str">
        <f ca="1">IF(ISERROR(VLOOKUP($B2208&amp;"("&amp;$B2202&amp;")",Players!$S$4:$T$132,2,FALSE)),"",VLOOKUP($B2208&amp;"("&amp;$B2202&amp;")",Players!$S$4:$T$132,2,FALSE))</f>
        <v>D1</v>
      </c>
      <c r="C2233" s="140" t="str">
        <f ca="1">IF(ISERROR(VLOOKUP($B2215&amp;"("&amp;$B2202&amp;")",Players!$S$4:$T$132,2,FALSE)),"",VLOOKUP($B2215&amp;"("&amp;$B2202&amp;")",Players!$S$4:$T$132,2,FALSE))</f>
        <v>D1</v>
      </c>
      <c r="D2233" s="141" t="str">
        <f ca="1">IF(ISERROR(VLOOKUP($B2222&amp;"("&amp;$B2202&amp;")",Players!$S$4:$T$132,2,FALSE)),"",VLOOKUP($B2222&amp;"("&amp;$B2202&amp;")",Players!$S$4:$T$132,2,FALSE))</f>
        <v>D1</v>
      </c>
      <c r="E2233" s="141" t="str">
        <f ca="1">IF(ISERROR(VLOOKUP($B2229&amp;"("&amp;$B2202&amp;")",Players!$S$4:$T$132,2,FALSE)),"",VLOOKUP($B2229&amp;"("&amp;$B2202&amp;")",Players!$S$4:$T$132,2,FALSE))</f>
        <v>D1</v>
      </c>
      <c r="F2233" s="141" t="str">
        <f ca="1">IF(ISERROR(VLOOKUP($B2210&amp;"("&amp;$K2202&amp;")",Players!$S$4:$T$132,2,FALSE)),"",VLOOKUP($B2210&amp;"("&amp;$K2202&amp;")",Players!$S$4:$T$132,2,FALSE))</f>
        <v>F1</v>
      </c>
      <c r="G2233" s="141" t="str">
        <f ca="1">IF(ISERROR(VLOOKUP($B2217&amp;"("&amp;$K2202&amp;")",Players!$S$4:$T$132,2,FALSE)),"",VLOOKUP($B2217&amp;"("&amp;$K2202&amp;")",Players!$S$4:$T$132,2,FALSE))</f>
        <v>F1</v>
      </c>
      <c r="H2233" s="141" t="str">
        <f ca="1">IF(ISERROR(VLOOKUP($B2224&amp;"("&amp;$K2202&amp;")",Players!$S$4:$T$132,2,FALSE)),"",VLOOKUP($B2224&amp;"("&amp;$K2202&amp;")",Players!$S$4:$T$132,2,FALSE))</f>
        <v>F1</v>
      </c>
      <c r="I2233" s="141" t="str">
        <f ca="1">IF(ISERROR(VLOOKUP($B2231&amp;"("&amp;$K2202&amp;")",Players!$S$4:$T$132,2,FALSE)),"",VLOOKUP($B2231&amp;"("&amp;$K2202&amp;")",Players!$S$4:$T$132,2,FALSE))</f>
        <v>F1</v>
      </c>
      <c r="Q2233" s="7"/>
      <c r="R2233" s="50"/>
      <c r="S2233" s="116"/>
      <c r="T2233" s="115"/>
      <c r="U2233" s="115"/>
      <c r="V2233" s="115"/>
      <c r="W2233" s="115"/>
      <c r="X2233" s="115"/>
      <c r="Y2233" s="99"/>
      <c r="Z2233" s="99"/>
      <c r="AA2233" s="99"/>
      <c r="AB2233" s="99"/>
      <c r="AC2233" s="117"/>
      <c r="AD2233" s="118"/>
      <c r="AE2233" s="114"/>
      <c r="AF2233" s="114"/>
    </row>
    <row r="2234" spans="1:32" ht="12.75" customHeight="1">
      <c r="A2234" s="21" t="s">
        <v>1225</v>
      </c>
      <c r="H2234" s="136" t="str">
        <f ca="1">IF($Q2236&lt;&gt;"",IF(AND($B2237&lt;&gt;"Missing Player",$B2239&lt;&gt;"Missing Player"),IF(AND(AND($H2236&gt;-1,$H2238&gt;-1),OR($H2236&gt;10,$H2238&gt;10),ABS($H2236-$H2238)&gt;1,IF(OR($H2236&gt;11,$H2238&gt;11),ABS($H2236-$H2238)=2,TRUE),$H2236=INT($H2236),$H2238=INT($H2238)),"","Error"),""),"")</f>
        <v/>
      </c>
      <c r="I2234" s="136" t="str">
        <f ca="1">IF($Q2236&lt;&gt;"",IF(AND($B2237&lt;&gt;"Missing Player",$B2239&lt;&gt;"Missing Player"),IF(AND(AND($I2236&gt;-1,$I2238&gt;-1),OR($I2236&gt;10,$I2238&gt;10),ABS($I2236-$I2238)&gt;1,IF(OR($I2236&gt;11,$I2238&gt;11),ABS($I2236-$I2238)=2,TRUE),$I2236=INT($I2236),$I2238=INT($I2238)),"","Error"),""),"")</f>
        <v/>
      </c>
      <c r="J2234" s="136" t="str">
        <f ca="1">IF($Q2236&lt;&gt;"",IF(AND($B2237&lt;&gt;"Missing Player",$B2239&lt;&gt;"Missing Player"),IF(AND(AND($J2236&gt;-1,$J2238&gt;-1),OR($J2236&gt;10,$J2238&gt;10),ABS($J2236-$J2238)&gt;1,IF(OR($J2236&gt;11,$J2238&gt;11),ABS($J2236-$J2238)=2,TRUE),$J2236=INT($J2236),$J2238=INT($J2238)),"","Error"),""),"")</f>
        <v/>
      </c>
      <c r="K2234" s="136" t="str">
        <f ca="1">IF($Q2236&lt;&gt;"",IF(AND($K2236&lt;&gt;"",$K2238&lt;&gt;""), IF(AND(AND($K2236&gt;-1,$K2238&gt;-1),OR($K2236&gt;10,$K2238&gt;10),ABS($K2236-$K2238)&gt;1,IF(OR($K2236&gt;11,$K2238&gt;11),ABS($K2236-$K2238)=2,TRUE),$K2236=INT($K2236),$K2238=INT($K2238)),"","Error"),""),"")</f>
        <v/>
      </c>
      <c r="L2234" s="136" t="str">
        <f ca="1">IF($Q2236&lt;&gt;"",IF(AND($L2236&lt;&gt;"",$L2238&lt;&gt;""), IF(AND(AND($L2236&gt;-1,$L2238&gt;-1),OR($L2236&gt;10,$L2238&gt;10),ABS($L2236-$L2238)&gt;1,IF(OR($L2236&gt;11,$L2238&gt;11),ABS($L2236-$L2238)=2,TRUE),$L2236=INT($L2236),$L2238=INT($L2238)),"","Error"),""),"")</f>
        <v/>
      </c>
      <c r="Q2234" s="7"/>
      <c r="R2234" s="114"/>
      <c r="S2234" s="115"/>
      <c r="T2234" s="115"/>
      <c r="U2234" s="115"/>
      <c r="V2234" s="115"/>
      <c r="W2234" s="115"/>
      <c r="X2234" s="115"/>
      <c r="Y2234" s="114"/>
      <c r="Z2234" s="114"/>
      <c r="AA2234" s="114"/>
      <c r="AB2234" s="114"/>
      <c r="AC2234" s="114"/>
      <c r="AD2234" s="114"/>
      <c r="AE2234" s="114"/>
      <c r="AF2234" s="114"/>
    </row>
    <row r="2235" spans="1:32" ht="12.75" customHeight="1">
      <c r="A2235" s="5" t="s">
        <v>1228</v>
      </c>
      <c r="B2235" s="290" t="s">
        <v>1126</v>
      </c>
      <c r="C2235" s="291"/>
      <c r="D2235" s="291"/>
      <c r="E2235" s="291"/>
      <c r="F2235" s="291"/>
      <c r="G2235" s="292"/>
      <c r="H2235" s="5">
        <v>1</v>
      </c>
      <c r="I2235" s="5">
        <v>2</v>
      </c>
      <c r="J2235" s="5">
        <v>3</v>
      </c>
      <c r="K2235" s="5">
        <v>4</v>
      </c>
      <c r="L2235" s="5">
        <v>5</v>
      </c>
      <c r="M2235" s="271"/>
      <c r="N2235" s="272"/>
      <c r="O2235" s="272"/>
      <c r="P2235" s="273"/>
      <c r="Q2235" s="8"/>
      <c r="S2235" s="24"/>
      <c r="T2235" s="26"/>
    </row>
    <row r="2236" spans="1:32" ht="12.75" customHeight="1">
      <c r="A2236" s="300" t="str">
        <f>B2202</f>
        <v>D</v>
      </c>
      <c r="B2236" s="311" t="str">
        <f ca="1">IF($B2208&lt;&gt;"",$B2208,"")</f>
        <v/>
      </c>
      <c r="C2236" s="312"/>
      <c r="D2236" s="312"/>
      <c r="E2236" s="312"/>
      <c r="F2236" s="312"/>
      <c r="G2236" s="313"/>
      <c r="H2236" s="265"/>
      <c r="I2236" s="265"/>
      <c r="J2236" s="265"/>
      <c r="K2236" s="265"/>
      <c r="L2236" s="265" t="str">
        <f ca="1">IF($B2229&lt;&gt;"",IF(AND($B2229="Missing Player",$G2240=2,$J2240=2),0,IF(AND($B2231="Missing Player",$G2240=2,$J2240=2),11,"")),"")</f>
        <v/>
      </c>
      <c r="M2236" s="262" t="str">
        <f ca="1">IF(OR(AND($B2236&lt;&gt;"",$B2237&lt;&gt;"",$B2236=$B2237),AND($B2238&lt;&gt;"",$B2239&lt;&gt;"",$B2238=$B2239)),"Invalid Partner","")</f>
        <v/>
      </c>
      <c r="N2236" s="263"/>
      <c r="O2236" s="263"/>
      <c r="P2236" s="264"/>
      <c r="Q2236" s="138" t="str">
        <f ca="1">IF(L2236=L2238,IF(K2236=K2238,IF(J2236&lt;&gt;"",IF(J2236&gt;J2238,"W","L"),""),IF(K2236&gt;K2238,"W","L")),IF(L2236&gt;L2238,"W","L"))</f>
        <v/>
      </c>
      <c r="S2236" s="24"/>
      <c r="T2236" s="26"/>
    </row>
    <row r="2237" spans="1:32" ht="12.75" customHeight="1">
      <c r="A2237" s="324"/>
      <c r="B2237" s="308" t="str">
        <f ca="1">IF($B2229="Missing Player",$B2229,"")</f>
        <v/>
      </c>
      <c r="C2237" s="309"/>
      <c r="D2237" s="309"/>
      <c r="E2237" s="309"/>
      <c r="F2237" s="309"/>
      <c r="G2237" s="310"/>
      <c r="H2237" s="270"/>
      <c r="I2237" s="270"/>
      <c r="J2237" s="270"/>
      <c r="K2237" s="270"/>
      <c r="L2237" s="270"/>
      <c r="M2237" s="262"/>
      <c r="N2237" s="263"/>
      <c r="O2237" s="263"/>
      <c r="P2237" s="264"/>
      <c r="Q2237" s="139" t="str">
        <f ca="1">IF($Q2236&lt;&gt;"",IF($B2239&lt;&gt;"Missing Player",IF($Q2236="W",IF(SUM(IF($H2236&gt;$H2238,1,0),IF($I2236&gt;$I2238,1,0),IF($J2236&gt;$J2238,1,0),IF($K2236&gt;$K2238,1,0),IF($L2236&gt;$L2238,1,0))&lt;&gt;3,"Error",""),""),""),"")</f>
        <v/>
      </c>
      <c r="R2237" s="328" t="str">
        <f>$A2203</f>
        <v/>
      </c>
      <c r="S2237" s="328"/>
      <c r="T2237" s="328"/>
      <c r="U2237" s="328"/>
      <c r="V2237" s="328"/>
      <c r="W2237" s="328"/>
      <c r="X2237" s="256" t="str">
        <f>CONCATENATE("(",$B2202," vs ",$K2202,")")</f>
        <v>(D vs F)</v>
      </c>
      <c r="Y2237" s="256"/>
      <c r="Z2237" s="328" t="str">
        <f>$J2203</f>
        <v/>
      </c>
      <c r="AA2237" s="328"/>
      <c r="AB2237" s="328"/>
      <c r="AC2237" s="328"/>
      <c r="AD2237" s="328"/>
      <c r="AE2237" s="328"/>
      <c r="AF2237" s="43"/>
    </row>
    <row r="2238" spans="1:32" ht="12.75" customHeight="1">
      <c r="A2238" s="325" t="str">
        <f>K2202</f>
        <v>F</v>
      </c>
      <c r="B2238" s="311" t="str">
        <f ca="1">IF($B2210&lt;&gt;"",$B2210,"")</f>
        <v/>
      </c>
      <c r="C2238" s="312"/>
      <c r="D2238" s="312"/>
      <c r="E2238" s="312"/>
      <c r="F2238" s="312"/>
      <c r="G2238" s="313"/>
      <c r="H2238" s="265"/>
      <c r="I2238" s="265"/>
      <c r="J2238" s="265"/>
      <c r="K2238" s="265"/>
      <c r="L2238" s="265" t="str">
        <f ca="1">IF($B2231&lt;&gt;"",IF(AND($B2231="Missing Player",$G2240=2,$J2240=2),0,IF(AND($B2229="Missing Player",$G2240=2,$J2240=2),11,"")),"")</f>
        <v/>
      </c>
      <c r="M2238" s="267" t="s">
        <v>1237</v>
      </c>
      <c r="N2238" s="268"/>
      <c r="O2238" s="268"/>
      <c r="P2238" s="269"/>
      <c r="Q2238" s="138" t="str">
        <f ca="1">IF(Q2236&lt;&gt;"",IF(Q2236="W","L","W"),"")</f>
        <v/>
      </c>
      <c r="R2238" s="43"/>
      <c r="S2238" s="43"/>
      <c r="T2238" s="43"/>
      <c r="U2238" s="43"/>
      <c r="V2238" s="43"/>
      <c r="W2238" s="43"/>
      <c r="X2238" s="43"/>
      <c r="Y2238" s="43"/>
      <c r="Z2238" s="43"/>
      <c r="AA2238" s="43"/>
      <c r="AB2238" s="43"/>
      <c r="AC2238" s="43"/>
      <c r="AD2238" s="43"/>
      <c r="AE2238" s="43"/>
      <c r="AF2238" s="43"/>
    </row>
    <row r="2239" spans="1:32" ht="12.75" customHeight="1">
      <c r="A2239" s="324"/>
      <c r="B2239" s="308" t="str">
        <f ca="1">IF($B2231="Missing Player",$B2231,"")</f>
        <v/>
      </c>
      <c r="C2239" s="309"/>
      <c r="D2239" s="309"/>
      <c r="E2239" s="309"/>
      <c r="F2239" s="309"/>
      <c r="G2239" s="310"/>
      <c r="H2239" s="270"/>
      <c r="I2239" s="270"/>
      <c r="J2239" s="266"/>
      <c r="K2239" s="266"/>
      <c r="L2239" s="266"/>
      <c r="M2239" s="267"/>
      <c r="N2239" s="268"/>
      <c r="O2239" s="268"/>
      <c r="P2239" s="269"/>
      <c r="Q2239" s="139" t="str">
        <f ca="1">IF($Q2238&lt;&gt;"",IF($B2237&lt;&gt;"Missing Player",IF($Q2238="W",IF(SUM(IF($H2238&gt;$H2236,1,0),IF($I2238&gt;$I2236,1,0),IF($J2238&gt;$J2236,1,0),IF($K2238&gt;$K2236,1,0),IF($L2238&gt;$L2236,1,0))&lt;&gt;3,"Error",""),""),""),"")</f>
        <v/>
      </c>
      <c r="R2239" s="43" t="str">
        <f>A2227</f>
        <v>4th Singles</v>
      </c>
      <c r="S2239" s="43"/>
      <c r="T2239" s="43"/>
      <c r="U2239" s="43"/>
      <c r="V2239" s="43"/>
      <c r="W2239" s="43"/>
      <c r="X2239" s="43"/>
      <c r="Y2239" s="43"/>
      <c r="Z2239" s="43"/>
      <c r="AA2239" s="43"/>
      <c r="AB2239" s="43"/>
      <c r="AC2239" s="43"/>
      <c r="AD2239" s="43"/>
      <c r="AE2239" s="43"/>
      <c r="AF2239" s="43"/>
    </row>
    <row r="2240" spans="1:32" ht="12.75" customHeight="1">
      <c r="G2240" s="66">
        <f ca="1">COUNTIF($Q2208:$Q2208,"W")+COUNTIF($Q2215:$Q2215,"W")+COUNTIF($Q2222:$Q2222,"W")+COUNTIF($Q2229:$Q2229,"W")</f>
        <v>0</v>
      </c>
      <c r="J2240" s="66">
        <f ca="1">COUNTIF($Q2210:$Q2210,"W")+COUNTIF($Q2217:$Q2217,"W")+COUNTIF($Q2224:$Q2224,"W")+COUNTIF($Q2231:$Q2231,"W")</f>
        <v>0</v>
      </c>
      <c r="R2240" s="60" t="s">
        <v>1228</v>
      </c>
      <c r="S2240" s="339" t="s">
        <v>1126</v>
      </c>
      <c r="T2240" s="340"/>
      <c r="U2240" s="340"/>
      <c r="V2240" s="340"/>
      <c r="W2240" s="340"/>
      <c r="X2240" s="341"/>
      <c r="Y2240" s="60">
        <v>1</v>
      </c>
      <c r="Z2240" s="60">
        <v>2</v>
      </c>
      <c r="AA2240" s="60">
        <v>3</v>
      </c>
      <c r="AB2240" s="60">
        <v>4</v>
      </c>
      <c r="AC2240" s="60">
        <v>5</v>
      </c>
      <c r="AD2240" s="342"/>
      <c r="AE2240" s="343"/>
      <c r="AF2240" s="344"/>
    </row>
    <row r="2241" spans="1:32" ht="12.75" customHeight="1" thickBot="1">
      <c r="F2241" s="246" t="s">
        <v>1238</v>
      </c>
      <c r="G2241" s="246"/>
      <c r="H2241" s="246"/>
      <c r="I2241" s="246"/>
      <c r="J2241" s="246"/>
      <c r="K2241" s="246"/>
      <c r="R2241" s="300" t="str">
        <f>B2202</f>
        <v>D</v>
      </c>
      <c r="S2241" s="331" t="str">
        <f ca="1">IF($B2229&lt;&gt;"",$B2229,"")</f>
        <v/>
      </c>
      <c r="T2241" s="353"/>
      <c r="U2241" s="353"/>
      <c r="V2241" s="353"/>
      <c r="W2241" s="353"/>
      <c r="X2241" s="354"/>
      <c r="Y2241" s="329"/>
      <c r="Z2241" s="329"/>
      <c r="AA2241" s="351"/>
      <c r="AB2241" s="351"/>
      <c r="AC2241" s="351"/>
      <c r="AD2241" s="345"/>
      <c r="AE2241" s="346"/>
      <c r="AF2241" s="347"/>
    </row>
    <row r="2242" spans="1:32" ht="12.75" customHeight="1">
      <c r="A2242" s="22"/>
      <c r="B2242" s="22"/>
      <c r="C2242" s="22"/>
      <c r="D2242" s="22"/>
      <c r="E2242" s="22"/>
      <c r="G2242" s="304" t="str">
        <f>B2202</f>
        <v>D</v>
      </c>
      <c r="H2242" s="305"/>
      <c r="I2242" s="302" t="str">
        <f>K2202</f>
        <v>F</v>
      </c>
      <c r="J2242" s="303"/>
      <c r="L2242" s="22"/>
      <c r="M2242" s="22"/>
      <c r="N2242" s="22"/>
      <c r="O2242" s="22"/>
      <c r="P2242" s="22"/>
      <c r="R2242" s="301"/>
      <c r="S2242" s="355"/>
      <c r="T2242" s="356"/>
      <c r="U2242" s="356"/>
      <c r="V2242" s="356"/>
      <c r="W2242" s="356"/>
      <c r="X2242" s="357"/>
      <c r="Y2242" s="338"/>
      <c r="Z2242" s="338"/>
      <c r="AA2242" s="352"/>
      <c r="AB2242" s="352"/>
      <c r="AC2242" s="352"/>
      <c r="AD2242" s="348"/>
      <c r="AE2242" s="349"/>
      <c r="AF2242" s="350"/>
    </row>
    <row r="2243" spans="1:32" ht="12.75" customHeight="1" thickBot="1">
      <c r="A2243" s="2" t="s">
        <v>1228</v>
      </c>
      <c r="B2243" s="53" t="str">
        <f>B2202</f>
        <v>D</v>
      </c>
      <c r="C2243" s="3" t="s">
        <v>1226</v>
      </c>
      <c r="F2243" s="66" t="str">
        <f>CONCATENATE($B2202,"-",$K2202)</f>
        <v>D-F</v>
      </c>
      <c r="G2243" s="320" t="str">
        <f ca="1">IF(OR(Q2208&lt;&gt;"",Q2215&lt;&gt;"",Q2222&lt;&gt;"",Q2229&lt;&gt;"",Q2236&lt;&gt;""),COUNTIF(Q2208:Q2208,"W")+COUNTIF(Q2215:Q2215,"W")+COUNTIF(Q2222:Q2222,"W")+COUNTIF(Q2229:Q2229,"W")+COUNTIF(Q2236:Q2236,"W"),"")</f>
        <v/>
      </c>
      <c r="H2243" s="321"/>
      <c r="I2243" s="322" t="str">
        <f ca="1">IF(OR(Q2210&lt;&gt;"",Q2217&lt;&gt;"",Q2224&lt;&gt;"",Q2231&lt;&gt;"",Q2238&lt;&gt;""),COUNTIF(Q2210:Q2210,"W")+COUNTIF(Q2217:Q2217,"W")+COUNTIF(Q2224:Q2224,"W")+COUNTIF(Q2231:Q2231,"W")+COUNTIF(Q2238:Q2238,"W"),"")</f>
        <v/>
      </c>
      <c r="J2243" s="323"/>
      <c r="L2243" s="2" t="s">
        <v>1228</v>
      </c>
      <c r="M2243" s="53" t="str">
        <f>K2202</f>
        <v>F</v>
      </c>
      <c r="N2243" s="3" t="s">
        <v>1226</v>
      </c>
      <c r="R2243" s="300" t="str">
        <f>K2202</f>
        <v>F</v>
      </c>
      <c r="S2243" s="331" t="str">
        <f ca="1">IF($B2231&lt;&gt;"",$B2231,"")</f>
        <v/>
      </c>
      <c r="T2243" s="332"/>
      <c r="U2243" s="332"/>
      <c r="V2243" s="332"/>
      <c r="W2243" s="332"/>
      <c r="X2243" s="333"/>
      <c r="Y2243" s="329"/>
      <c r="Z2243" s="329"/>
      <c r="AA2243" s="351"/>
      <c r="AB2243" s="351"/>
      <c r="AC2243" s="351"/>
      <c r="AD2243" s="363" t="s">
        <v>1237</v>
      </c>
      <c r="AE2243" s="358"/>
      <c r="AF2243" s="359"/>
    </row>
    <row r="2244" spans="1:32" ht="12.75" customHeight="1">
      <c r="F2244" s="25" t="s">
        <v>3996</v>
      </c>
      <c r="G2244" s="23"/>
      <c r="H2244" s="23"/>
      <c r="I2244" s="23"/>
      <c r="J2244" s="23"/>
      <c r="K2244" s="24"/>
      <c r="R2244" s="330"/>
      <c r="S2244" s="334"/>
      <c r="T2244" s="335"/>
      <c r="U2244" s="335"/>
      <c r="V2244" s="335"/>
      <c r="W2244" s="335"/>
      <c r="X2244" s="336"/>
      <c r="Y2244" s="330"/>
      <c r="Z2244" s="330"/>
      <c r="AA2244" s="330"/>
      <c r="AB2244" s="330"/>
      <c r="AC2244" s="330"/>
      <c r="AD2244" s="360"/>
      <c r="AE2244" s="361"/>
      <c r="AF2244" s="362"/>
    </row>
    <row r="2245" spans="1:32" ht="12.75" customHeight="1">
      <c r="R2245" s="1"/>
      <c r="S2245" s="110"/>
      <c r="T2245" s="110"/>
      <c r="U2245" s="110"/>
      <c r="V2245" s="110"/>
      <c r="W2245" s="110"/>
      <c r="X2245" s="111"/>
      <c r="Y2245" s="111"/>
      <c r="Z2245" s="111"/>
      <c r="AA2245" s="111"/>
    </row>
    <row r="2246" spans="1:32" ht="12.75" customHeight="1">
      <c r="F2246" s="246" t="s">
        <v>4929</v>
      </c>
      <c r="G2246" s="246"/>
      <c r="H2246" s="246"/>
      <c r="I2246" s="246"/>
      <c r="R2246" s="1"/>
      <c r="S2246" s="110"/>
      <c r="T2246" s="110"/>
      <c r="U2246" s="110"/>
      <c r="V2246" s="110"/>
      <c r="W2246" s="110"/>
      <c r="X2246" s="111"/>
      <c r="Y2246" s="111"/>
      <c r="Z2246" s="111"/>
      <c r="AA2246" s="111"/>
    </row>
    <row r="2247" spans="1:32" ht="12.75" customHeight="1">
      <c r="F2247" s="246" t="s">
        <v>4930</v>
      </c>
      <c r="G2247" s="246"/>
      <c r="H2247" s="246"/>
      <c r="I2247" s="246"/>
      <c r="R2247" s="1"/>
      <c r="S2247" s="110"/>
      <c r="T2247" s="110"/>
      <c r="U2247" s="110"/>
      <c r="V2247" s="110"/>
      <c r="W2247" s="110"/>
      <c r="X2247" s="111"/>
      <c r="Y2247" s="111"/>
      <c r="Z2247" s="111"/>
      <c r="AA2247" s="111"/>
    </row>
    <row r="2248" spans="1:32" ht="12.75" customHeight="1">
      <c r="K2248" s="281" t="s">
        <v>1244</v>
      </c>
      <c r="L2248" s="281"/>
      <c r="M2248" s="281"/>
      <c r="N2248" s="281"/>
      <c r="O2248" s="281"/>
      <c r="P2248" s="281"/>
      <c r="R2248" s="1"/>
      <c r="S2248" s="110"/>
      <c r="T2248" s="110"/>
      <c r="U2248" s="110"/>
      <c r="V2248" s="110"/>
      <c r="W2248" s="110"/>
      <c r="X2248" s="111"/>
      <c r="Y2248" s="111"/>
      <c r="Z2248" s="111"/>
      <c r="AA2248" s="111"/>
    </row>
    <row r="2249" spans="1:32" ht="12.75" customHeight="1">
      <c r="A2249" s="12" t="s">
        <v>1229</v>
      </c>
      <c r="B2249" s="11"/>
      <c r="C2249" s="11"/>
      <c r="D2249" s="11" t="str">
        <f>Draw!$B$1</f>
        <v>Enter Division Name</v>
      </c>
      <c r="E2249" s="11"/>
      <c r="F2249" s="7"/>
      <c r="G2249" s="6"/>
      <c r="H2249" s="7"/>
      <c r="I2249" s="11"/>
      <c r="J2249" s="11"/>
      <c r="K2249" s="11"/>
      <c r="L2249" s="11"/>
      <c r="M2249" s="281"/>
      <c r="N2249" s="281"/>
      <c r="O2249" s="281"/>
      <c r="P2249" s="281"/>
      <c r="R2249" s="1"/>
      <c r="S2249" s="110"/>
      <c r="T2249" s="110"/>
      <c r="U2249" s="110"/>
      <c r="V2249" s="110"/>
      <c r="W2249" s="110"/>
      <c r="X2249" s="111"/>
      <c r="Y2249" s="111"/>
      <c r="Z2249" s="111"/>
      <c r="AA2249" s="111"/>
    </row>
    <row r="2250" spans="1:32" ht="12.75" customHeight="1">
      <c r="A2250" s="2" t="s">
        <v>1230</v>
      </c>
      <c r="D2250" s="43" t="str">
        <f>Draw!$D$1</f>
        <v>Enter Hosting Location (City, ST)</v>
      </c>
      <c r="J2250" s="43" t="str">
        <f ca="1">$J$6</f>
        <v>[NCTTA Teams Template (v2.06).xlsx]</v>
      </c>
      <c r="R2250" s="1"/>
      <c r="S2250" s="110"/>
      <c r="T2250" s="110"/>
      <c r="U2250" s="110"/>
      <c r="V2250" s="110"/>
      <c r="W2250" s="110"/>
      <c r="X2250" s="111"/>
      <c r="Y2250" s="111"/>
      <c r="Z2250" s="111"/>
      <c r="AA2250" s="111"/>
    </row>
    <row r="2251" spans="1:32" ht="12.75" customHeight="1">
      <c r="A2251" s="2" t="s">
        <v>1231</v>
      </c>
      <c r="D2251" s="337" t="str">
        <f>Draw!$P$1</f>
        <v>Enter Date</v>
      </c>
      <c r="E2251" s="337"/>
      <c r="F2251" s="337"/>
      <c r="G2251" s="337"/>
      <c r="J2251" s="280" t="str">
        <f>CHOOSE(Draw!$T$1,"Round 8, Match 3","","","","","","","","","Round 9, Match 5","Round 9, Match 5")</f>
        <v/>
      </c>
      <c r="K2251" s="280"/>
      <c r="L2251" s="280"/>
      <c r="M2251" s="276" t="str">
        <f>IF(AND($J2251&lt;&gt;"",Draw!$AC$10&lt;&gt;"",Draw!$AC$13&lt;&gt;""),Draw!$AC$10+TIME(0,VALUE(MID($J2251,7,FIND(",",$J2251)-FIND(" ",$J2251)-1)-1)*Draw!$AC$13,0),"")</f>
        <v/>
      </c>
      <c r="N2251" s="276"/>
      <c r="O2251" s="157" t="str">
        <f>$F2294</f>
        <v>D-G</v>
      </c>
      <c r="R2251" s="1"/>
      <c r="S2251" s="110"/>
      <c r="T2251" s="110"/>
      <c r="U2251" s="110"/>
      <c r="V2251" s="110"/>
      <c r="W2251" s="110"/>
      <c r="X2251" s="111"/>
      <c r="Y2251" s="111"/>
      <c r="Z2251" s="111"/>
      <c r="AA2251" s="111"/>
    </row>
    <row r="2252" spans="1:32" ht="12.75" customHeight="1">
      <c r="A2252" s="14"/>
      <c r="B2252" s="15"/>
      <c r="C2252" s="15"/>
      <c r="D2252" s="15"/>
      <c r="E2252" s="15"/>
      <c r="F2252" s="14"/>
      <c r="G2252" s="14"/>
      <c r="H2252" s="16"/>
      <c r="I2252" s="14"/>
      <c r="J2252" s="15"/>
      <c r="K2252" s="15"/>
      <c r="L2252" s="15"/>
      <c r="M2252" s="15"/>
      <c r="N2252" s="15"/>
      <c r="O2252" s="364" t="str">
        <f>IF(OR(AND(VLOOKUP($B2253,$AM$1:$AX$12,12,FALSE)="C",VLOOKUP($K2253,$AM$1:$AX$12,12,FALSE)="C"),AND(VLOOKUP($B2253,$AM$1:$AX$12,12,FALSE)="W",VLOOKUP($K2253,$AM$1:$AX$12,12,FALSE)="W")),"Official",IF(AND($A2254="",$J2254=""),"","Scrimmage"))</f>
        <v/>
      </c>
      <c r="P2252" s="364"/>
      <c r="R2252" s="1"/>
      <c r="S2252" s="110"/>
      <c r="T2252" s="110"/>
      <c r="U2252" s="110"/>
      <c r="V2252" s="110"/>
      <c r="W2252" s="110"/>
      <c r="X2252" s="111"/>
      <c r="Y2252" s="111"/>
      <c r="Z2252" s="111"/>
      <c r="AA2252" s="111"/>
    </row>
    <row r="2253" spans="1:32" ht="12.75" customHeight="1">
      <c r="A2253" s="17" t="s">
        <v>1228</v>
      </c>
      <c r="B2253" s="119" t="str">
        <f>CHOOSE(Draw!$T$1,"C","C","D","D","E","E","E","E","C","B","I")</f>
        <v>D</v>
      </c>
      <c r="C2253" s="135">
        <f>VLOOKUP($B2253,$AM$1:$AN$12,2)</f>
        <v>4</v>
      </c>
      <c r="D2253" s="13"/>
      <c r="E2253" s="13"/>
      <c r="F2253" s="10"/>
      <c r="H2253" s="19" t="s">
        <v>1232</v>
      </c>
      <c r="J2253" s="17" t="s">
        <v>1228</v>
      </c>
      <c r="K2253" s="119" t="str">
        <f>CHOOSE(Draw!$T$1,"G","I","G","L","L","L","K","I","L","C","J")</f>
        <v>G</v>
      </c>
      <c r="L2253" s="135">
        <f>VLOOKUP($K2253,$AM$1:$AN$12,2)</f>
        <v>7</v>
      </c>
      <c r="M2253" s="13"/>
      <c r="N2253" s="13"/>
      <c r="O2253" s="18"/>
      <c r="P2253" s="274"/>
      <c r="Q2253" s="275"/>
      <c r="R2253" s="1"/>
      <c r="S2253" s="110"/>
      <c r="T2253" s="110"/>
      <c r="U2253" s="110"/>
      <c r="V2253" s="110"/>
      <c r="W2253" s="110"/>
      <c r="X2253" s="111"/>
      <c r="Y2253" s="111"/>
      <c r="Z2253" s="111"/>
      <c r="AA2253" s="111"/>
    </row>
    <row r="2254" spans="1:32" ht="12.75" customHeight="1">
      <c r="A2254" s="277" t="str">
        <f>IF(VLOOKUP($B2253,Draw!$A$4:$B$27,2)&lt;&gt;0,VLOOKUP($B2253,Draw!$A$4:$B$27,2),"")</f>
        <v/>
      </c>
      <c r="B2254" s="278"/>
      <c r="C2254" s="278"/>
      <c r="D2254" s="278"/>
      <c r="E2254" s="278"/>
      <c r="F2254" s="279"/>
      <c r="G2254" s="306" t="s">
        <v>4196</v>
      </c>
      <c r="H2254" s="289"/>
      <c r="I2254" s="307"/>
      <c r="J2254" s="277" t="str">
        <f>IF(VLOOKUP($K2253,Draw!$A$4:$B$27,2)&lt;&gt;0,VLOOKUP($K2253,Draw!$A$4:$B$27,2),"")</f>
        <v/>
      </c>
      <c r="K2254" s="278"/>
      <c r="L2254" s="278"/>
      <c r="M2254" s="278"/>
      <c r="N2254" s="278"/>
      <c r="O2254" s="279"/>
      <c r="P2254" s="15"/>
      <c r="R2254" s="1"/>
      <c r="S2254" s="110"/>
      <c r="T2254" s="110"/>
      <c r="U2254" s="110"/>
      <c r="V2254" s="110"/>
      <c r="W2254" s="110"/>
      <c r="X2254" s="111"/>
      <c r="Y2254" s="111"/>
      <c r="Z2254" s="111"/>
      <c r="AA2254" s="111"/>
    </row>
    <row r="2255" spans="1:32" ht="12.75" customHeight="1">
      <c r="A2255" s="14"/>
      <c r="B2255" s="15"/>
      <c r="C2255" s="15"/>
      <c r="D2255" s="15"/>
      <c r="E2255" s="15"/>
      <c r="F2255" s="14"/>
      <c r="G2255" s="288" t="str">
        <f>"Page "&amp;VALUE(RIGHT($G2254,LEN($G2254)-SEARCH("-",$G2254)))/2</f>
        <v>Page 45</v>
      </c>
      <c r="H2255" s="289"/>
      <c r="I2255" s="289"/>
      <c r="J2255" s="15"/>
      <c r="K2255" s="15"/>
      <c r="L2255" s="15"/>
      <c r="M2255" s="15"/>
      <c r="N2255" s="15"/>
      <c r="O2255" s="15"/>
      <c r="P2255" s="15"/>
      <c r="R2255" s="1"/>
      <c r="S2255" s="110"/>
      <c r="T2255" s="110"/>
      <c r="U2255" s="110"/>
      <c r="V2255" s="110"/>
      <c r="W2255" s="110"/>
      <c r="X2255" s="111"/>
      <c r="Y2255" s="111"/>
      <c r="Z2255" s="111"/>
      <c r="AA2255" s="111"/>
      <c r="AF2255" s="27"/>
    </row>
    <row r="2256" spans="1:32" ht="12.75" customHeight="1">
      <c r="A2256" s="327" t="s">
        <v>1245</v>
      </c>
      <c r="B2256" s="327"/>
      <c r="C2256" s="327"/>
      <c r="D2256" s="327"/>
      <c r="E2256" s="327"/>
      <c r="F2256" s="327"/>
      <c r="G2256" s="327"/>
      <c r="H2256" s="327"/>
      <c r="I2256" s="327"/>
      <c r="J2256" s="327"/>
      <c r="K2256" s="327"/>
      <c r="L2256" s="327"/>
      <c r="M2256" s="327"/>
      <c r="N2256" s="327"/>
      <c r="O2256" s="327"/>
      <c r="P2256" s="327"/>
      <c r="Q2256" s="7"/>
      <c r="R2256" s="1"/>
      <c r="S2256" s="110"/>
      <c r="T2256" s="110"/>
      <c r="U2256" s="110"/>
      <c r="V2256" s="110"/>
      <c r="W2256" s="110"/>
      <c r="X2256" s="111"/>
      <c r="Y2256" s="111"/>
      <c r="Z2256" s="111"/>
      <c r="AA2256" s="111"/>
      <c r="AF2256" s="20"/>
    </row>
    <row r="2257" spans="1:32" ht="12.75" customHeight="1">
      <c r="A2257" s="21" t="s">
        <v>1233</v>
      </c>
      <c r="H2257" s="136" t="str">
        <f>IF($Q2259&lt;&gt;"",IF(AND(AND($H2259&gt;-1,$H2261&gt;-1),OR($H2259&gt;10,$H2261&gt;10),ABS($H2259-$H2261)&gt;1,IF(OR($H2259&gt;11,$H2261&gt;11),ABS($H2259-$H2261)=2,TRUE),$H2259=INT($H2259),$H2261=INT($H2261)),"","Error"),"")</f>
        <v/>
      </c>
      <c r="I2257" s="136" t="str">
        <f>IF($Q2259&lt;&gt;"",IF(AND(AND($I2259&gt;-1,$I2261&gt;-1),OR($I2259&gt;10,$I2261&gt;10),ABS($I2259-$I2261)&gt;1,IF(OR($I2259&gt;11,$I2261&gt;11),ABS($I2259-$I2261)=2,TRUE),$I2259=INT($I2259),$I2261=INT($I2261)),"","Error"),"")</f>
        <v/>
      </c>
      <c r="J2257" s="136" t="str">
        <f>IF($Q2259&lt;&gt;"",IF(AND(AND($J2259&gt;-1,$J2261&gt;-1),OR($J2259&gt;10,$J2261&gt;10),ABS($J2259-$J2261)&gt;1,IF(OR($J2259&gt;11,$J2261&gt;11),ABS($J2259-$J2261)=2,TRUE),$J2259=INT($J2259),$J2261=INT($J2261)),"","Error"),"")</f>
        <v/>
      </c>
      <c r="K2257" s="136" t="str">
        <f>IF($Q2259&lt;&gt;"",IF(AND($K2259&lt;&gt;"",$K2261&lt;&gt;""), IF(AND(AND($K2259&gt;-1,$K2261&gt;-1),OR($K2259&gt;10,$K2261&gt;10),ABS($K2259-$K2261)&gt;1,IF(OR($K2259&gt;11,$K2261&gt;11),ABS($K2259-$K2261)=2,TRUE),$K2259=INT($K2259),$K2261=INT($K2261)),"","Error"),""),"")</f>
        <v/>
      </c>
      <c r="L2257" s="136" t="str">
        <f>IF($Q2259&lt;&gt;"",IF(AND($L2259&lt;&gt;"",$L2261&lt;&gt;""), IF(AND(AND($L2259&gt;-1,$L2261&gt;-1),OR($L2259&gt;10,$L2261&gt;10),ABS($L2259-$L2261)&gt;1,IF(OR($L2259&gt;11,$L2261&gt;11),ABS($L2259-$L2261)=2,TRUE),$L2259=INT($L2259),$L2261=INT($L2261)),"","Error"),""),"")</f>
        <v/>
      </c>
      <c r="R2257" s="1"/>
      <c r="S2257" s="110"/>
      <c r="T2257" s="110"/>
      <c r="U2257" s="110"/>
      <c r="V2257" s="110"/>
      <c r="W2257" s="110"/>
      <c r="X2257" s="111"/>
      <c r="Y2257" s="111"/>
      <c r="Z2257" s="111"/>
      <c r="AA2257" s="111"/>
    </row>
    <row r="2258" spans="1:32" ht="12.75" customHeight="1">
      <c r="A2258" s="5" t="s">
        <v>1228</v>
      </c>
      <c r="B2258" s="290" t="s">
        <v>1126</v>
      </c>
      <c r="C2258" s="291"/>
      <c r="D2258" s="291"/>
      <c r="E2258" s="291"/>
      <c r="F2258" s="291"/>
      <c r="G2258" s="292"/>
      <c r="H2258" s="5">
        <v>1</v>
      </c>
      <c r="I2258" s="5">
        <v>2</v>
      </c>
      <c r="J2258" s="5">
        <v>3</v>
      </c>
      <c r="K2258" s="5">
        <v>4</v>
      </c>
      <c r="L2258" s="5">
        <v>5</v>
      </c>
      <c r="M2258" s="271"/>
      <c r="N2258" s="272"/>
      <c r="O2258" s="272"/>
      <c r="P2258" s="273"/>
      <c r="R2258" s="1"/>
      <c r="S2258" s="110"/>
      <c r="T2258" s="110"/>
      <c r="U2258" s="110"/>
      <c r="V2258" s="110"/>
      <c r="W2258" s="110"/>
      <c r="X2258" s="111"/>
      <c r="Y2258" s="111"/>
      <c r="Z2258" s="111"/>
      <c r="AA2258" s="111"/>
    </row>
    <row r="2259" spans="1:32" ht="12.75" customHeight="1">
      <c r="A2259" s="300" t="str">
        <f>B2253</f>
        <v>D</v>
      </c>
      <c r="B2259" s="293" t="str">
        <f ca="1">IF(AND(OFFSET($AO$1,$C2253-1,8,1,1),$A2254&lt;&gt;"",$J2254&lt;&gt;""),CHOOSE($C2253,$AO$1,$AO$2,$AO$3,$AO$4,$AO$5,$AO$6,$AO$7,$AO$8,$AO$9,$AO$10,$AO$11,$AO$12),"")</f>
        <v/>
      </c>
      <c r="C2259" s="294"/>
      <c r="D2259" s="294"/>
      <c r="E2259" s="294"/>
      <c r="F2259" s="294"/>
      <c r="G2259" s="294"/>
      <c r="H2259" s="265"/>
      <c r="I2259" s="265"/>
      <c r="J2259" s="265"/>
      <c r="K2259" s="265"/>
      <c r="L2259" s="265"/>
      <c r="M2259" s="297"/>
      <c r="N2259" s="298"/>
      <c r="O2259" s="298"/>
      <c r="P2259" s="299"/>
      <c r="Q2259" s="137" t="str">
        <f>IF($L2259=$L2261,IF($K2259=$K2261,IF($J2259&lt;&gt;"",IF($J2259&gt;$J2261,"W","L"),""),IF($K2259&gt;$K2261,"W","L")),IF($L2259&gt;$L2261,"W","L"))</f>
        <v/>
      </c>
      <c r="R2259" s="1"/>
      <c r="S2259" s="110"/>
      <c r="T2259" s="110"/>
      <c r="U2259" s="110"/>
      <c r="V2259" s="110"/>
      <c r="W2259" s="110"/>
      <c r="X2259" s="111"/>
      <c r="Y2259" s="111"/>
      <c r="Z2259" s="111"/>
      <c r="AA2259" s="111"/>
    </row>
    <row r="2260" spans="1:32" ht="12.75" customHeight="1">
      <c r="A2260" s="301"/>
      <c r="B2260" s="295"/>
      <c r="C2260" s="296"/>
      <c r="D2260" s="296"/>
      <c r="E2260" s="296"/>
      <c r="F2260" s="296"/>
      <c r="G2260" s="296"/>
      <c r="H2260" s="270"/>
      <c r="I2260" s="270"/>
      <c r="J2260" s="270"/>
      <c r="K2260" s="270"/>
      <c r="L2260" s="270"/>
      <c r="M2260" s="297"/>
      <c r="N2260" s="298"/>
      <c r="O2260" s="298"/>
      <c r="P2260" s="299"/>
      <c r="Q2260" s="139" t="str">
        <f>IF($Q2259&lt;&gt;"",IF($Q2259="W",IF(SUM(IF($H2259&gt;$H2261,1,0),IF($I2259&gt;$I2261,1,0),IF($J2259&gt;$J2261,1,0),IF($K2259&gt;$K2261,1,0),IF($L2259&gt;$L2261,1,0))&lt;&gt;3,"Error",""),""),"")</f>
        <v/>
      </c>
      <c r="R2260" s="328" t="str">
        <f>$A2254</f>
        <v/>
      </c>
      <c r="S2260" s="328"/>
      <c r="T2260" s="328"/>
      <c r="U2260" s="328"/>
      <c r="V2260" s="328"/>
      <c r="W2260" s="328"/>
      <c r="X2260" s="256" t="str">
        <f>CONCATENATE("(",$B2253," vs ",$K2253,")")</f>
        <v>(D vs G)</v>
      </c>
      <c r="Y2260" s="256"/>
      <c r="Z2260" s="328" t="str">
        <f>$J2254</f>
        <v/>
      </c>
      <c r="AA2260" s="328"/>
      <c r="AB2260" s="328"/>
      <c r="AC2260" s="328"/>
      <c r="AD2260" s="328"/>
      <c r="AE2260" s="328"/>
      <c r="AF2260" s="43"/>
    </row>
    <row r="2261" spans="1:32" ht="12.75" customHeight="1">
      <c r="A2261" s="300" t="str">
        <f>K2253</f>
        <v>G</v>
      </c>
      <c r="B2261" s="293" t="str">
        <f ca="1">IF(AND(OFFSET($AO$1,$L2253-1,8,1,1),$A2254&lt;&gt;"",$J2254&lt;&gt;""),CHOOSE($L2253,$AO$1,$AO$2,$AO$3,$AO$4,$AO$5,$AO$6,$AO$7,$AO$8,$AO$9,$AO$10,$AO$11,$AO$12),"")</f>
        <v/>
      </c>
      <c r="C2261" s="294"/>
      <c r="D2261" s="294"/>
      <c r="E2261" s="294"/>
      <c r="F2261" s="294"/>
      <c r="G2261" s="294"/>
      <c r="H2261" s="265"/>
      <c r="I2261" s="265"/>
      <c r="J2261" s="265"/>
      <c r="K2261" s="265"/>
      <c r="L2261" s="265"/>
      <c r="M2261" s="267" t="s">
        <v>1237</v>
      </c>
      <c r="N2261" s="268"/>
      <c r="O2261" s="268"/>
      <c r="P2261" s="269"/>
      <c r="Q2261" s="137" t="str">
        <f>IF($Q2259&lt;&gt;"",IF($Q2259="W","L","W"),"")</f>
        <v/>
      </c>
      <c r="R2261" s="43"/>
      <c r="S2261" s="43"/>
      <c r="T2261" s="43"/>
      <c r="U2261" s="43"/>
      <c r="V2261" s="43"/>
      <c r="W2261" s="43"/>
      <c r="X2261" s="43"/>
      <c r="Y2261" s="43"/>
      <c r="Z2261" s="43"/>
      <c r="AA2261" s="43"/>
      <c r="AB2261" s="43"/>
      <c r="AC2261" s="43"/>
      <c r="AD2261" s="43"/>
      <c r="AE2261" s="43"/>
      <c r="AF2261" s="43"/>
    </row>
    <row r="2262" spans="1:32" ht="12.75" customHeight="1">
      <c r="A2262" s="301"/>
      <c r="B2262" s="295"/>
      <c r="C2262" s="296"/>
      <c r="D2262" s="296"/>
      <c r="E2262" s="296"/>
      <c r="F2262" s="296"/>
      <c r="G2262" s="296"/>
      <c r="H2262" s="270"/>
      <c r="I2262" s="270"/>
      <c r="J2262" s="266"/>
      <c r="K2262" s="266"/>
      <c r="L2262" s="266"/>
      <c r="M2262" s="267"/>
      <c r="N2262" s="268"/>
      <c r="O2262" s="268"/>
      <c r="P2262" s="269"/>
      <c r="Q2262" s="139" t="str">
        <f>IF($Q2261&lt;&gt;"",IF($Q2261="W",IF(SUM(IF($H2261&gt;$H2259,1,0),IF($I2261&gt;$I2259,1,0),IF($J2261&gt;$J2259,1,0),IF($K2261&gt;$K2259,1,0),IF($L2261&gt;$L2259,1,0))&lt;&gt;3,"Error",""),""),"")</f>
        <v/>
      </c>
      <c r="R2262" s="43" t="str">
        <f>$A2264</f>
        <v>2nd Singles</v>
      </c>
      <c r="S2262" s="43"/>
      <c r="T2262" s="43"/>
      <c r="U2262" s="43"/>
      <c r="V2262" s="43"/>
      <c r="W2262" s="43"/>
      <c r="X2262" s="43"/>
      <c r="Y2262" s="43"/>
      <c r="Z2262" s="43"/>
      <c r="AA2262" s="43"/>
      <c r="AB2262" s="43"/>
      <c r="AC2262" s="43"/>
      <c r="AD2262" s="43"/>
      <c r="AE2262" s="43"/>
      <c r="AF2262" s="43"/>
    </row>
    <row r="2263" spans="1:32" ht="12.75" customHeight="1">
      <c r="Q2263" s="7"/>
      <c r="R2263" s="60" t="s">
        <v>1228</v>
      </c>
      <c r="S2263" s="339" t="s">
        <v>1126</v>
      </c>
      <c r="T2263" s="340"/>
      <c r="U2263" s="340"/>
      <c r="V2263" s="340"/>
      <c r="W2263" s="340"/>
      <c r="X2263" s="341"/>
      <c r="Y2263" s="60">
        <v>1</v>
      </c>
      <c r="Z2263" s="60">
        <v>2</v>
      </c>
      <c r="AA2263" s="60">
        <v>3</v>
      </c>
      <c r="AB2263" s="60">
        <v>4</v>
      </c>
      <c r="AC2263" s="60">
        <v>5</v>
      </c>
      <c r="AD2263" s="342"/>
      <c r="AE2263" s="343"/>
      <c r="AF2263" s="344"/>
    </row>
    <row r="2264" spans="1:32" ht="12.75" customHeight="1">
      <c r="A2264" s="21" t="s">
        <v>1234</v>
      </c>
      <c r="H2264" s="136" t="str">
        <f>IF($Q2266&lt;&gt;"",IF(AND(AND($H2266&gt;-1,$H2268&gt;-1),OR($H2266&gt;10,$H2268&gt;10),ABS($H2266-$H2268)&gt;1,IF(OR($H2266&gt;11,$H2268&gt;11),ABS($H2266-$H2268)=2,TRUE),$H2266=INT($H2266),$H2268=INT($H2268)),"","Error"),"")</f>
        <v/>
      </c>
      <c r="I2264" s="136" t="str">
        <f>IF($Q2266&lt;&gt;"",IF(AND(AND($I2266&gt;-1,$I2268&gt;-1),OR($I2266&gt;10,$I2268&gt;10),ABS($I2266-$I2268)&gt;1,IF(OR($I2266&gt;11,$I2268&gt;11),ABS($I2266-$I2268)=2,TRUE),$I2266=INT($I2266),$I2268=INT($I2268)),"","Error"),"")</f>
        <v/>
      </c>
      <c r="J2264" s="136" t="str">
        <f>IF($Q2266&lt;&gt;"",IF(AND(AND($J2266&gt;-1,$J2268&gt;-1),OR($J2266&gt;10,$J2268&gt;10),ABS($J2266-$J2268)&gt;1,IF(OR($J2266&gt;11,$J2268&gt;11),ABS($J2266-$J2268)=2,TRUE),$J2266=INT($J2266),$J2268=INT($J2268)),"","Error"),"")</f>
        <v/>
      </c>
      <c r="K2264" s="136" t="str">
        <f>IF($Q2266&lt;&gt;"",IF(AND($K2266&lt;&gt;"",$K2268&lt;&gt;""), IF(AND(AND($K2266&gt;-1,$K2268&gt;-1),OR($K2266&gt;10,$K2268&gt;10),ABS($K2266-$K2268)&gt;1,IF(OR($K2266&gt;11,$K2268&gt;11),ABS($K2266-$K2268)=2,TRUE),$K2266=INT($K2266),$K2268=INT($K2268)),"","Error"),""),"")</f>
        <v/>
      </c>
      <c r="L2264" s="136" t="str">
        <f>IF($Q2266&lt;&gt;"",IF(AND($L2266&lt;&gt;"",$L2268&lt;&gt;""), IF(AND(AND($L2266&gt;-1,$L2268&gt;-1),OR($L2266&gt;10,$L2268&gt;10),ABS($L2266-$L2268)&gt;1,IF(OR($L2266&gt;11,$L2268&gt;11),ABS($L2266-$L2268)=2,TRUE),$L2266=INT($L2266),$L2268=INT($L2268)),"","Error"),""),"")</f>
        <v/>
      </c>
      <c r="Q2264" s="7"/>
      <c r="R2264" s="300" t="str">
        <f>$B2253</f>
        <v>D</v>
      </c>
      <c r="S2264" s="331" t="str">
        <f ca="1">IF($B2266&lt;&gt;"",$B2266,"")</f>
        <v/>
      </c>
      <c r="T2264" s="332"/>
      <c r="U2264" s="332"/>
      <c r="V2264" s="332"/>
      <c r="W2264" s="332"/>
      <c r="X2264" s="333"/>
      <c r="Y2264" s="329"/>
      <c r="Z2264" s="329"/>
      <c r="AA2264" s="329"/>
      <c r="AB2264" s="329"/>
      <c r="AC2264" s="329"/>
      <c r="AD2264" s="345"/>
      <c r="AE2264" s="358"/>
      <c r="AF2264" s="359"/>
    </row>
    <row r="2265" spans="1:32" ht="12.75" customHeight="1">
      <c r="A2265" s="5" t="s">
        <v>1228</v>
      </c>
      <c r="B2265" s="290" t="s">
        <v>1126</v>
      </c>
      <c r="C2265" s="291"/>
      <c r="D2265" s="291"/>
      <c r="E2265" s="291"/>
      <c r="F2265" s="291"/>
      <c r="G2265" s="292"/>
      <c r="H2265" s="5">
        <v>1</v>
      </c>
      <c r="I2265" s="5">
        <v>2</v>
      </c>
      <c r="J2265" s="5">
        <v>3</v>
      </c>
      <c r="K2265" s="5">
        <v>4</v>
      </c>
      <c r="L2265" s="5">
        <v>5</v>
      </c>
      <c r="M2265" s="271"/>
      <c r="N2265" s="272"/>
      <c r="O2265" s="272"/>
      <c r="P2265" s="273"/>
      <c r="Q2265" s="7"/>
      <c r="R2265" s="330"/>
      <c r="S2265" s="334"/>
      <c r="T2265" s="335"/>
      <c r="U2265" s="335"/>
      <c r="V2265" s="335"/>
      <c r="W2265" s="335"/>
      <c r="X2265" s="336"/>
      <c r="Y2265" s="330"/>
      <c r="Z2265" s="330"/>
      <c r="AA2265" s="330"/>
      <c r="AB2265" s="330"/>
      <c r="AC2265" s="330"/>
      <c r="AD2265" s="360"/>
      <c r="AE2265" s="361"/>
      <c r="AF2265" s="362"/>
    </row>
    <row r="2266" spans="1:32" ht="12.75" customHeight="1">
      <c r="A2266" s="300" t="str">
        <f>B2253</f>
        <v>D</v>
      </c>
      <c r="B2266" s="293" t="str">
        <f ca="1">IF(AND(OFFSET($AO$1,$C2253-1,8,1,1),$A2254&lt;&gt;"",$J2254&lt;&gt;""),CHOOSE($C2253,$AP$1,$AP$2,$AP$3,$AP$4,$AP$5,$AP$6,$AP$7,$AP$8,$AP$9,$AP$10,$AP$11,$AP$12),"")</f>
        <v/>
      </c>
      <c r="C2266" s="294"/>
      <c r="D2266" s="294"/>
      <c r="E2266" s="294"/>
      <c r="F2266" s="294"/>
      <c r="G2266" s="294"/>
      <c r="H2266" s="265"/>
      <c r="I2266" s="265"/>
      <c r="J2266" s="265"/>
      <c r="K2266" s="265"/>
      <c r="L2266" s="265"/>
      <c r="M2266" s="262" t="str">
        <f ca="1">IF(OR(AND($B2259&lt;&gt;"",$B2266&lt;&gt;"",$C2284&lt;=$B2284),AND($B2261&lt;&gt;"",$B2268&lt;&gt;"",$G2284&lt;=$F2284)),"Invalid Lineup","")</f>
        <v/>
      </c>
      <c r="N2266" s="263"/>
      <c r="O2266" s="263"/>
      <c r="P2266" s="264"/>
      <c r="Q2266" s="137" t="str">
        <f>IF($L2266=$L2268,IF($K2266=$K2268,IF($J2266&lt;&gt;"",IF($J2266&gt;$J2268,"W","L"),""),IF($K2266&gt;$K2268,"W","L")),IF($L2266&gt;$L2268,"W","L"))</f>
        <v/>
      </c>
      <c r="R2266" s="300" t="str">
        <f>$K2253</f>
        <v>G</v>
      </c>
      <c r="S2266" s="331" t="str">
        <f ca="1">IF($B2268&lt;&gt;"",$B2268,"")</f>
        <v/>
      </c>
      <c r="T2266" s="332"/>
      <c r="U2266" s="332"/>
      <c r="V2266" s="332"/>
      <c r="W2266" s="332"/>
      <c r="X2266" s="333"/>
      <c r="Y2266" s="329"/>
      <c r="Z2266" s="329"/>
      <c r="AA2266" s="329"/>
      <c r="AB2266" s="329"/>
      <c r="AC2266" s="351"/>
      <c r="AD2266" s="363" t="s">
        <v>1237</v>
      </c>
      <c r="AE2266" s="358"/>
      <c r="AF2266" s="359"/>
    </row>
    <row r="2267" spans="1:32" ht="12.75" customHeight="1">
      <c r="A2267" s="301"/>
      <c r="B2267" s="295"/>
      <c r="C2267" s="296"/>
      <c r="D2267" s="296"/>
      <c r="E2267" s="296"/>
      <c r="F2267" s="296"/>
      <c r="G2267" s="296"/>
      <c r="H2267" s="270"/>
      <c r="I2267" s="270"/>
      <c r="J2267" s="270"/>
      <c r="K2267" s="270"/>
      <c r="L2267" s="270"/>
      <c r="M2267" s="262"/>
      <c r="N2267" s="263"/>
      <c r="O2267" s="263"/>
      <c r="P2267" s="264"/>
      <c r="Q2267" s="139" t="str">
        <f>IF($Q2266&lt;&gt;"",IF($Q2266="W",IF(SUM(IF($H2266&gt;$H2268,1,0),IF($I2266&gt;$I2268,1,0),IF($J2266&gt;$J2268,1,0),IF($K2266&gt;$K2268,1,0),IF($L2266&gt;$L2268,1,0))&lt;&gt;3,"Error",""),""),"")</f>
        <v/>
      </c>
      <c r="R2267" s="330"/>
      <c r="S2267" s="334"/>
      <c r="T2267" s="335"/>
      <c r="U2267" s="335"/>
      <c r="V2267" s="335"/>
      <c r="W2267" s="335"/>
      <c r="X2267" s="336"/>
      <c r="Y2267" s="330"/>
      <c r="Z2267" s="330"/>
      <c r="AA2267" s="330"/>
      <c r="AB2267" s="330"/>
      <c r="AC2267" s="330"/>
      <c r="AD2267" s="360"/>
      <c r="AE2267" s="361"/>
      <c r="AF2267" s="362"/>
    </row>
    <row r="2268" spans="1:32" ht="12.75" customHeight="1">
      <c r="A2268" s="300" t="str">
        <f>K2253</f>
        <v>G</v>
      </c>
      <c r="B2268" s="293" t="str">
        <f ca="1">IF(AND(OFFSET($AO$1,$L2253-1,8,1,1),$A2254&lt;&gt;"",$J2254&lt;&gt;""),CHOOSE($L2253,$AP$1,$AP$2,$AP$3,$AP$4,$AP$5,$AP$6,$AP$7,$AP$8,$AP$9,$AP$10,$AP$11,$AP$12),"")</f>
        <v/>
      </c>
      <c r="C2268" s="294"/>
      <c r="D2268" s="294"/>
      <c r="E2268" s="294"/>
      <c r="F2268" s="294"/>
      <c r="G2268" s="294"/>
      <c r="H2268" s="265"/>
      <c r="I2268" s="265"/>
      <c r="J2268" s="265"/>
      <c r="K2268" s="265"/>
      <c r="L2268" s="265"/>
      <c r="M2268" s="267" t="s">
        <v>1237</v>
      </c>
      <c r="N2268" s="268"/>
      <c r="O2268" s="268"/>
      <c r="P2268" s="269"/>
      <c r="Q2268" s="137" t="str">
        <f>IF($Q2266&lt;&gt;"",IF($Q2266="W","L","W"),"")</f>
        <v/>
      </c>
      <c r="R2268" s="20"/>
      <c r="S2268" s="20"/>
      <c r="T2268" s="20"/>
      <c r="U2268" s="20"/>
      <c r="V2268" s="20"/>
      <c r="W2268" s="20"/>
      <c r="X2268" s="26"/>
      <c r="Y2268" s="26"/>
      <c r="Z2268" s="20"/>
      <c r="AA2268" s="20"/>
      <c r="AB2268" s="20"/>
      <c r="AC2268" s="20"/>
      <c r="AD2268" s="20"/>
      <c r="AE2268" s="20"/>
      <c r="AF2268" s="27"/>
    </row>
    <row r="2269" spans="1:32" ht="12.75" customHeight="1">
      <c r="A2269" s="301"/>
      <c r="B2269" s="295"/>
      <c r="C2269" s="296"/>
      <c r="D2269" s="296"/>
      <c r="E2269" s="296"/>
      <c r="F2269" s="296"/>
      <c r="G2269" s="296"/>
      <c r="H2269" s="270"/>
      <c r="I2269" s="270"/>
      <c r="J2269" s="266"/>
      <c r="K2269" s="266"/>
      <c r="L2269" s="266"/>
      <c r="M2269" s="267"/>
      <c r="N2269" s="268"/>
      <c r="O2269" s="268"/>
      <c r="P2269" s="269"/>
      <c r="Q2269" s="139" t="str">
        <f>IF($Q2268&lt;&gt;"",IF($Q2268="W",IF(SUM(IF($H2268&gt;$H2266,1,0),IF($I2268&gt;$I2266,1,0),IF($J2268&gt;$J2266,1,0),IF($K2268&gt;$K2266,1,0),IF($L2268&gt;$L2266,1,0))&lt;&gt;3,"Error",""),""),"")</f>
        <v/>
      </c>
      <c r="R2269" s="20"/>
      <c r="S2269" s="20"/>
      <c r="T2269" s="20"/>
      <c r="U2269" s="20"/>
      <c r="V2269" s="20"/>
      <c r="W2269" s="20"/>
      <c r="X2269" s="26"/>
      <c r="Y2269" s="26"/>
      <c r="Z2269" s="20"/>
      <c r="AA2269" s="20"/>
      <c r="AB2269" s="20"/>
      <c r="AC2269" s="20"/>
      <c r="AD2269" s="20"/>
      <c r="AE2269" s="20"/>
      <c r="AF2269" s="27"/>
    </row>
    <row r="2270" spans="1:32" ht="12.75" customHeight="1">
      <c r="Q2270" s="7"/>
      <c r="R2270" s="20"/>
      <c r="S2270" s="20"/>
      <c r="T2270" s="20"/>
      <c r="U2270" s="20"/>
      <c r="V2270" s="20"/>
      <c r="W2270" s="20"/>
      <c r="X2270" s="26"/>
      <c r="Y2270" s="26"/>
      <c r="Z2270" s="20"/>
      <c r="AA2270" s="20"/>
      <c r="AB2270" s="20"/>
      <c r="AC2270" s="20"/>
      <c r="AD2270" s="20"/>
      <c r="AE2270" s="20"/>
      <c r="AF2270" s="27"/>
    </row>
    <row r="2271" spans="1:32" ht="12.75" customHeight="1">
      <c r="A2271" s="21" t="s">
        <v>1235</v>
      </c>
      <c r="H2271" s="136" t="str">
        <f>IF($Q2273&lt;&gt;"",IF(AND(AND($H2273&gt;-1,$H2275&gt;-1),OR($H2273&gt;10,$H2275&gt;10),ABS($H2273-$H2275)&gt;1,IF(OR($H2273&gt;11,$H2275&gt;11),ABS($H2273-$H2275)=2,TRUE),$H2273=INT($H2273),$H2275=INT($H2275)),"","Error"),"")</f>
        <v/>
      </c>
      <c r="I2271" s="136" t="str">
        <f>IF($Q2273&lt;&gt;"",IF(AND(AND($I2273&gt;-1,$I2275&gt;-1),OR($I2273&gt;10,$I2275&gt;10),ABS($I2273-$I2275)&gt;1,IF(OR($I2273&gt;11,$I2275&gt;11),ABS($I2273-$I2275)=2,TRUE),$I2273=INT($I2273),$I2275=INT($I2275)),"","Error"),"")</f>
        <v/>
      </c>
      <c r="J2271" s="136" t="str">
        <f>IF($Q2273&lt;&gt;"",IF(AND(AND($J2273&gt;-1,$J2275&gt;-1),OR($J2273&gt;10,$J2275&gt;10),ABS($J2273-$J2275)&gt;1,IF(OR($J2273&gt;11,$J2275&gt;11),ABS($J2273-$J2275)=2,TRUE),$J2273=INT($J2273),$J2275=INT($J2275)),"","Error"),"")</f>
        <v/>
      </c>
      <c r="K2271" s="136" t="str">
        <f>IF($Q2273&lt;&gt;"",IF(AND($K2273&lt;&gt;"",$K2275&lt;&gt;""), IF(AND(AND($K2273&gt;-1,$K2275&gt;-1),OR($K2273&gt;10,$K2275&gt;10),ABS($K2273-$K2275)&gt;1,IF(OR($K2273&gt;11,$K2275&gt;11),ABS($K2273-$K2275)=2,TRUE),$K2273=INT($K2273),$K2275=INT($K2275)),"","Error"),""),"")</f>
        <v/>
      </c>
      <c r="L2271" s="136" t="str">
        <f>IF($Q2273&lt;&gt;"",IF(AND($L2273&lt;&gt;"",$L2275&lt;&gt;""), IF(AND(AND($L2273&gt;-1,$L2275&gt;-1),OR($L2273&gt;10,$L2275&gt;10),ABS($L2273-$L2275)&gt;1,IF(OR($L2273&gt;11,$L2275&gt;11),ABS($L2273-$L2275)=2,TRUE),$L2273=INT($L2273),$L2275=INT($L2275)),"","Error"),""),"")</f>
        <v/>
      </c>
      <c r="Q2271" s="7"/>
      <c r="R2271" s="20"/>
      <c r="S2271" s="20"/>
      <c r="T2271" s="20"/>
      <c r="U2271" s="20"/>
      <c r="V2271" s="20"/>
      <c r="W2271" s="20"/>
      <c r="X2271" s="26"/>
      <c r="Y2271" s="26"/>
      <c r="Z2271" s="20"/>
      <c r="AA2271" s="20"/>
      <c r="AB2271" s="20"/>
      <c r="AC2271" s="20"/>
      <c r="AD2271" s="20"/>
      <c r="AE2271" s="20"/>
      <c r="AF2271" s="27"/>
    </row>
    <row r="2272" spans="1:32" ht="12.75" customHeight="1">
      <c r="A2272" s="5" t="s">
        <v>1228</v>
      </c>
      <c r="B2272" s="290" t="s">
        <v>1126</v>
      </c>
      <c r="C2272" s="291"/>
      <c r="D2272" s="291"/>
      <c r="E2272" s="291"/>
      <c r="F2272" s="291"/>
      <c r="G2272" s="292"/>
      <c r="H2272" s="5">
        <v>1</v>
      </c>
      <c r="I2272" s="5">
        <v>2</v>
      </c>
      <c r="J2272" s="5">
        <v>3</v>
      </c>
      <c r="K2272" s="5">
        <v>4</v>
      </c>
      <c r="L2272" s="5">
        <v>5</v>
      </c>
      <c r="M2272" s="271"/>
      <c r="N2272" s="272"/>
      <c r="O2272" s="272"/>
      <c r="P2272" s="273"/>
      <c r="Q2272" s="7"/>
      <c r="R2272" s="20"/>
      <c r="S2272" s="20"/>
      <c r="T2272" s="20"/>
      <c r="U2272" s="20"/>
      <c r="V2272" s="20"/>
      <c r="W2272" s="20"/>
      <c r="X2272" s="26"/>
      <c r="Y2272" s="26"/>
      <c r="Z2272" s="20"/>
      <c r="AA2272" s="20"/>
      <c r="AB2272" s="20"/>
      <c r="AC2272" s="20"/>
      <c r="AD2272" s="20"/>
      <c r="AE2272" s="20"/>
      <c r="AF2272" s="27"/>
    </row>
    <row r="2273" spans="1:32" ht="12.75" customHeight="1">
      <c r="A2273" s="300" t="str">
        <f>B2253</f>
        <v>D</v>
      </c>
      <c r="B2273" s="293" t="str">
        <f ca="1">IF(AND(OFFSET($AO$1,$C2253-1,8,1,1),$A2254&lt;&gt;"",$J2254&lt;&gt;""),CHOOSE($C2253,$AQ$1,$AQ$2,$AQ$3,$AQ$4,$AQ$5,$AQ$6,$AQ$7,$AQ$8,$AQ$9,$AQ$10,$AQ$11,$AQ$12),"")</f>
        <v/>
      </c>
      <c r="C2273" s="294"/>
      <c r="D2273" s="294"/>
      <c r="E2273" s="294"/>
      <c r="F2273" s="294"/>
      <c r="G2273" s="294"/>
      <c r="H2273" s="265"/>
      <c r="I2273" s="265"/>
      <c r="J2273" s="265"/>
      <c r="K2273" s="265"/>
      <c r="L2273" s="265"/>
      <c r="M2273" s="262" t="str">
        <f ca="1">IF(OR(AND($B2266&lt;&gt;"",$B2273&lt;&gt;"",$D2284&lt;=$C2284),AND($B2268&lt;&gt;"",$B2275&lt;&gt;"",$H2284&lt;=$G2284)),"Invalid Lineup","")</f>
        <v/>
      </c>
      <c r="N2273" s="263"/>
      <c r="O2273" s="263"/>
      <c r="P2273" s="264"/>
      <c r="Q2273" s="137" t="str">
        <f>IF($L2273=$L2275,IF($K2273=$K2275,IF($J2273&lt;&gt;"",IF($J2273&gt;$J2275,"W","L"),""),IF($K2273&gt;$K2275,"W","L")),IF($L2273&gt;$L2275,"W","L"))</f>
        <v/>
      </c>
      <c r="R2273" s="20"/>
      <c r="S2273" s="20"/>
      <c r="T2273" s="20"/>
      <c r="U2273" s="20"/>
      <c r="V2273" s="20"/>
      <c r="W2273" s="20"/>
      <c r="X2273" s="26"/>
      <c r="Y2273" s="26"/>
      <c r="Z2273" s="20"/>
      <c r="AA2273" s="20"/>
      <c r="AB2273" s="20"/>
      <c r="AC2273" s="20"/>
      <c r="AD2273" s="20"/>
      <c r="AE2273" s="20"/>
      <c r="AF2273" s="27"/>
    </row>
    <row r="2274" spans="1:32" ht="12.75" customHeight="1">
      <c r="A2274" s="301"/>
      <c r="B2274" s="295"/>
      <c r="C2274" s="296"/>
      <c r="D2274" s="296"/>
      <c r="E2274" s="296"/>
      <c r="F2274" s="296"/>
      <c r="G2274" s="296"/>
      <c r="H2274" s="270"/>
      <c r="I2274" s="270"/>
      <c r="J2274" s="270"/>
      <c r="K2274" s="270"/>
      <c r="L2274" s="270"/>
      <c r="M2274" s="262"/>
      <c r="N2274" s="263"/>
      <c r="O2274" s="263"/>
      <c r="P2274" s="264"/>
      <c r="Q2274" s="139" t="str">
        <f>IF($Q2273&lt;&gt;"",IF($Q2273="W",IF(SUM(IF($H2273&gt;$H2275,1,0),IF($I2273&gt;$I2275,1,0),IF($J2273&gt;$J2275,1,0),IF($K2273&gt;$K2275,1,0),IF($L2273&gt;$L2275,1,0))&lt;&gt;3,"Error",""),""),"")</f>
        <v/>
      </c>
      <c r="R2274" s="328" t="str">
        <f>$A2254</f>
        <v/>
      </c>
      <c r="S2274" s="328"/>
      <c r="T2274" s="328"/>
      <c r="U2274" s="328"/>
      <c r="V2274" s="328"/>
      <c r="W2274" s="328"/>
      <c r="X2274" s="256" t="str">
        <f>CONCATENATE("(",$B2253," vs ",$K2253,")")</f>
        <v>(D vs G)</v>
      </c>
      <c r="Y2274" s="256"/>
      <c r="Z2274" s="328" t="str">
        <f>$J2254</f>
        <v/>
      </c>
      <c r="AA2274" s="328"/>
      <c r="AB2274" s="328"/>
      <c r="AC2274" s="328"/>
      <c r="AD2274" s="328"/>
      <c r="AE2274" s="328"/>
      <c r="AF2274" s="100"/>
    </row>
    <row r="2275" spans="1:32" ht="12.75" customHeight="1">
      <c r="A2275" s="300" t="str">
        <f>K2253</f>
        <v>G</v>
      </c>
      <c r="B2275" s="293" t="str">
        <f ca="1">IF(AND(OFFSET($AO$1,$L2253-1,8,1,1),$A2254&lt;&gt;"",$J2254&lt;&gt;""),CHOOSE($L2253,$AQ$1,$AQ$2,$AQ$3,$AQ$4,$AQ$5,$AQ$6,$AQ$7,$AQ$8,$AQ$9,$AQ$10,$AQ$11,$AQ$12),"")</f>
        <v/>
      </c>
      <c r="C2275" s="294"/>
      <c r="D2275" s="294"/>
      <c r="E2275" s="294"/>
      <c r="F2275" s="294"/>
      <c r="G2275" s="294"/>
      <c r="H2275" s="265"/>
      <c r="I2275" s="265"/>
      <c r="J2275" s="265"/>
      <c r="K2275" s="265"/>
      <c r="L2275" s="265"/>
      <c r="M2275" s="267" t="s">
        <v>1237</v>
      </c>
      <c r="N2275" s="268"/>
      <c r="O2275" s="268"/>
      <c r="P2275" s="269"/>
      <c r="Q2275" s="137" t="str">
        <f>IF($Q2273&lt;&gt;"",IF($Q2273="W","L","W"),"")</f>
        <v/>
      </c>
      <c r="R2275" s="100"/>
      <c r="S2275" s="100"/>
      <c r="T2275" s="100"/>
      <c r="U2275" s="100"/>
      <c r="V2275" s="100"/>
      <c r="W2275" s="100"/>
      <c r="X2275" s="100"/>
      <c r="Y2275" s="100"/>
      <c r="Z2275" s="100"/>
      <c r="AA2275" s="100"/>
      <c r="AB2275" s="100"/>
      <c r="AC2275" s="100"/>
      <c r="AD2275" s="100"/>
      <c r="AE2275" s="100"/>
      <c r="AF2275" s="100"/>
    </row>
    <row r="2276" spans="1:32" ht="12.75" customHeight="1">
      <c r="A2276" s="301"/>
      <c r="B2276" s="295"/>
      <c r="C2276" s="296"/>
      <c r="D2276" s="296"/>
      <c r="E2276" s="296"/>
      <c r="F2276" s="296"/>
      <c r="G2276" s="296"/>
      <c r="H2276" s="270"/>
      <c r="I2276" s="270"/>
      <c r="J2276" s="266"/>
      <c r="K2276" s="266"/>
      <c r="L2276" s="266"/>
      <c r="M2276" s="267"/>
      <c r="N2276" s="268"/>
      <c r="O2276" s="268"/>
      <c r="P2276" s="269"/>
      <c r="Q2276" s="139" t="str">
        <f>IF($Q2275&lt;&gt;"",IF($Q2275="W",IF(SUM(IF($H2275&gt;$H2273,1,0),IF($I2275&gt;$I2273,1,0),IF($J2275&gt;$J2273,1,0),IF($K2275&gt;$K2273,1,0),IF($L2275&gt;$L2273,1,0))&lt;&gt;3,"Error",""),""),"")</f>
        <v/>
      </c>
      <c r="R2276" s="43" t="str">
        <f>$A2271</f>
        <v>3rd Singles</v>
      </c>
      <c r="S2276" s="43"/>
      <c r="T2276" s="43"/>
      <c r="U2276" s="43"/>
      <c r="V2276" s="43"/>
      <c r="W2276" s="43"/>
      <c r="X2276" s="43"/>
      <c r="Y2276" s="43"/>
      <c r="Z2276" s="43"/>
      <c r="AA2276" s="43"/>
      <c r="AB2276" s="43"/>
      <c r="AC2276" s="43"/>
      <c r="AD2276" s="43"/>
      <c r="AE2276" s="43"/>
      <c r="AF2276" s="43"/>
    </row>
    <row r="2277" spans="1:32" ht="12.75" customHeight="1">
      <c r="Q2277" s="7"/>
      <c r="R2277" s="60" t="s">
        <v>1228</v>
      </c>
      <c r="S2277" s="101" t="s">
        <v>1126</v>
      </c>
      <c r="T2277" s="102"/>
      <c r="U2277" s="102"/>
      <c r="V2277" s="102"/>
      <c r="W2277" s="102"/>
      <c r="X2277" s="103"/>
      <c r="Y2277" s="60">
        <v>1</v>
      </c>
      <c r="Z2277" s="60">
        <v>2</v>
      </c>
      <c r="AA2277" s="60">
        <v>3</v>
      </c>
      <c r="AB2277" s="60">
        <v>4</v>
      </c>
      <c r="AC2277" s="60">
        <v>5</v>
      </c>
      <c r="AD2277" s="104"/>
      <c r="AE2277" s="105"/>
      <c r="AF2277" s="106"/>
    </row>
    <row r="2278" spans="1:32" ht="12.75" customHeight="1">
      <c r="A2278" s="21" t="s">
        <v>1236</v>
      </c>
      <c r="H2278" s="136" t="str">
        <f ca="1">IF($Q2280&lt;&gt;"",IF(AND($B2280&lt;&gt;"Missing Player",$B2282&lt;&gt;"Missing Player"),IF(AND(AND($H2280&gt;-1,$H2282&gt;-1),OR($H2280&gt;10,$H2282&gt;10),ABS($H2280-$H2282)&gt;1,IF(OR($H2280&gt;11,$H2282&gt;11),ABS($H2280-$H2282)=2,TRUE),$H2280=INT($H2280),$H2282=INT($H2282)),"","Error"),""),"")</f>
        <v/>
      </c>
      <c r="I2278" s="136" t="str">
        <f ca="1">IF($Q2280&lt;&gt;"",IF(AND($B2280&lt;&gt;"Missing Player",$B2282&lt;&gt;"Missing Player"),IF(AND(AND($I2280&gt;-1,$I2282&gt;-1),OR($I2280&gt;10,$I2282&gt;10),ABS($I2280-$I2282)&gt;1,IF(OR($I2280&gt;11,$I2282&gt;11),ABS($I2280-$I2282)=2,TRUE),$I2280=INT($I2280),$I2282=INT($I2282)),"","Error"),""),"")</f>
        <v/>
      </c>
      <c r="J2278" s="136" t="str">
        <f ca="1">IF($Q2280&lt;&gt;"",IF(AND($B2280&lt;&gt;"Missing Player",$B2282&lt;&gt;"Missing Player"),IF(AND(AND($J2280&gt;-1,$J2282&gt;-1),OR($J2280&gt;10,$J2282&gt;10),ABS($J2280-$J2282)&gt;1,IF(OR($J2280&gt;11,$J2282&gt;11),ABS($J2280-$J2282)=2,TRUE),$J2280=INT($J2280),$J2282=INT($J2282)),"","Error"),""),"")</f>
        <v/>
      </c>
      <c r="K2278" s="136" t="str">
        <f ca="1">IF($Q2280&lt;&gt;"",IF(AND($K2280&lt;&gt;"",$K2282&lt;&gt;""), IF(AND(AND($K2280&gt;-1,$K2282&gt;-1),OR($K2280&gt;10,$K2282&gt;10),ABS($K2280-$K2282)&gt;1,IF(OR($K2280&gt;11,$K2282&gt;11),ABS($K2280-$K2282)=2,TRUE),$K2280=INT($K2280),$K2282=INT($K2282)),"","Error"),""),"")</f>
        <v/>
      </c>
      <c r="L2278" s="136" t="str">
        <f ca="1">IF($Q2280&lt;&gt;"",IF(AND($L2280&lt;&gt;"",$L2282&lt;&gt;""), IF(AND(AND($L2280&gt;-1,$L2282&gt;-1),OR($L2280&gt;10,$L2282&gt;10),ABS($L2280-$L2282)&gt;1,IF(OR($L2280&gt;11,$L2282&gt;11),ABS($L2280-$L2282)=2,TRUE),$L2280=INT($L2280),$L2282=INT($L2282)),"","Error"),""),"")</f>
        <v/>
      </c>
      <c r="Q2278" s="7"/>
      <c r="R2278" s="300" t="str">
        <f>$B2253</f>
        <v>D</v>
      </c>
      <c r="S2278" s="331" t="str">
        <f ca="1">IF($B2273&lt;&gt;"",$B2273,"")</f>
        <v/>
      </c>
      <c r="T2278" s="332"/>
      <c r="U2278" s="332"/>
      <c r="V2278" s="332"/>
      <c r="W2278" s="332"/>
      <c r="X2278" s="333"/>
      <c r="Y2278" s="329"/>
      <c r="Z2278" s="329"/>
      <c r="AA2278" s="329"/>
      <c r="AB2278" s="329"/>
      <c r="AC2278" s="329"/>
      <c r="AD2278" s="345"/>
      <c r="AE2278" s="358"/>
      <c r="AF2278" s="359"/>
    </row>
    <row r="2279" spans="1:32" ht="12.75" customHeight="1">
      <c r="A2279" s="5" t="s">
        <v>1228</v>
      </c>
      <c r="B2279" s="290" t="s">
        <v>1126</v>
      </c>
      <c r="C2279" s="291"/>
      <c r="D2279" s="291"/>
      <c r="E2279" s="291"/>
      <c r="F2279" s="291"/>
      <c r="G2279" s="292"/>
      <c r="H2279" s="5">
        <v>1</v>
      </c>
      <c r="I2279" s="5">
        <v>2</v>
      </c>
      <c r="J2279" s="5">
        <v>3</v>
      </c>
      <c r="K2279" s="5">
        <v>4</v>
      </c>
      <c r="L2279" s="5">
        <v>5</v>
      </c>
      <c r="M2279" s="271"/>
      <c r="N2279" s="272"/>
      <c r="O2279" s="272"/>
      <c r="P2279" s="273"/>
      <c r="Q2279" s="7"/>
      <c r="R2279" s="330"/>
      <c r="S2279" s="334"/>
      <c r="T2279" s="335"/>
      <c r="U2279" s="335"/>
      <c r="V2279" s="335"/>
      <c r="W2279" s="335"/>
      <c r="X2279" s="336"/>
      <c r="Y2279" s="330"/>
      <c r="Z2279" s="330"/>
      <c r="AA2279" s="330"/>
      <c r="AB2279" s="330"/>
      <c r="AC2279" s="330"/>
      <c r="AD2279" s="360"/>
      <c r="AE2279" s="361"/>
      <c r="AF2279" s="362"/>
    </row>
    <row r="2280" spans="1:32" ht="12.75" customHeight="1">
      <c r="A2280" s="300" t="str">
        <f>B2253</f>
        <v>D</v>
      </c>
      <c r="B2280" s="293" t="str">
        <f ca="1">IF(AND(OFFSET($AO$1,$C2253-1,8,1,1),$A2254&lt;&gt;"",$J2254&lt;&gt;""),CHOOSE($C2253,$AR$1,$AR$2,$AR$3,$AR$4,$AR$5,$AR$6,$AR$7,$AR$8,$AR$9,$AR$10,$AR$11,$AR$12),"")</f>
        <v/>
      </c>
      <c r="C2280" s="294"/>
      <c r="D2280" s="294"/>
      <c r="E2280" s="294"/>
      <c r="F2280" s="294"/>
      <c r="G2280" s="294"/>
      <c r="H2280" s="265"/>
      <c r="I2280" s="265"/>
      <c r="J2280" s="265"/>
      <c r="K2280" s="265"/>
      <c r="L2280" s="265" t="str">
        <f ca="1">IF(AND($B2280&lt;&gt;"",$Q2259&lt;&gt;""),IF($B2280="Missing Player",0,IF($B2282="Missing Player",11,"")),"")</f>
        <v/>
      </c>
      <c r="M2280" s="262" t="str">
        <f ca="1">IF(OR(AND($B2273&lt;&gt;"",$B2280&lt;&gt;"",$E2284&lt;=$D2284),AND($B2275&lt;&gt;"",$B2282&lt;&gt;"",$I2284&lt;=$H2284)),"Invalid Lineup","")</f>
        <v/>
      </c>
      <c r="N2280" s="263"/>
      <c r="O2280" s="263"/>
      <c r="P2280" s="264"/>
      <c r="Q2280" s="137" t="str">
        <f ca="1">IF($L2280=$L2282,IF($K2280=$K2282,IF($J2280&lt;&gt;"",IF($J2280&gt;$J2282,"W","L"),""),IF($K2280&gt;$K2282,"W","L")),IF($L2280&gt;$L2282,"W","L"))</f>
        <v/>
      </c>
      <c r="R2280" s="300" t="str">
        <f>$K2253</f>
        <v>G</v>
      </c>
      <c r="S2280" s="331" t="str">
        <f ca="1">IF($B2275&lt;&gt;"",$B2275,"")</f>
        <v/>
      </c>
      <c r="T2280" s="332"/>
      <c r="U2280" s="332"/>
      <c r="V2280" s="332"/>
      <c r="W2280" s="332"/>
      <c r="X2280" s="333"/>
      <c r="Y2280" s="329"/>
      <c r="Z2280" s="329"/>
      <c r="AA2280" s="329"/>
      <c r="AB2280" s="329"/>
      <c r="AC2280" s="351"/>
      <c r="AD2280" s="363" t="s">
        <v>1237</v>
      </c>
      <c r="AE2280" s="358"/>
      <c r="AF2280" s="359"/>
    </row>
    <row r="2281" spans="1:32" ht="12.75" customHeight="1">
      <c r="A2281" s="301"/>
      <c r="B2281" s="295"/>
      <c r="C2281" s="296"/>
      <c r="D2281" s="296"/>
      <c r="E2281" s="296"/>
      <c r="F2281" s="296"/>
      <c r="G2281" s="296"/>
      <c r="H2281" s="270"/>
      <c r="I2281" s="270"/>
      <c r="J2281" s="270"/>
      <c r="K2281" s="270"/>
      <c r="L2281" s="270"/>
      <c r="M2281" s="262"/>
      <c r="N2281" s="263"/>
      <c r="O2281" s="263"/>
      <c r="P2281" s="264"/>
      <c r="Q2281" s="139" t="str">
        <f ca="1">IF($Q2280&lt;&gt;"",IF($B2282&lt;&gt;"Missing Player",IF($Q2280="W",IF(SUM(IF($H2280&gt;$H2282,1,0),IF($I2280&gt;$I2282,1,0),IF($J2280&gt;$J2282,1,0),IF($K2280&gt;$K2282,1,0),IF($L2280&gt;$L2282,1,0))&lt;&gt;3,"Error",""),""),""),"")</f>
        <v/>
      </c>
      <c r="R2281" s="330"/>
      <c r="S2281" s="334"/>
      <c r="T2281" s="335"/>
      <c r="U2281" s="335"/>
      <c r="V2281" s="335"/>
      <c r="W2281" s="335"/>
      <c r="X2281" s="336"/>
      <c r="Y2281" s="330"/>
      <c r="Z2281" s="330"/>
      <c r="AA2281" s="330"/>
      <c r="AB2281" s="330"/>
      <c r="AC2281" s="330"/>
      <c r="AD2281" s="360"/>
      <c r="AE2281" s="361"/>
      <c r="AF2281" s="362"/>
    </row>
    <row r="2282" spans="1:32" ht="12.75" customHeight="1">
      <c r="A2282" s="300" t="str">
        <f>K2253</f>
        <v>G</v>
      </c>
      <c r="B2282" s="293" t="str">
        <f ca="1">IF(AND(OFFSET($AO$1,$L2253-1,8,1,1),$A2254&lt;&gt;"",$J2254&lt;&gt;""),CHOOSE($L2253,$AR$1,$AR$2,$AR$3,$AR$4,$AR$5,$AR$6,$AR$7,$AR$8,$AR$9,$AR$10,$AR$11,$AR$12),"")</f>
        <v/>
      </c>
      <c r="C2282" s="294"/>
      <c r="D2282" s="294"/>
      <c r="E2282" s="294"/>
      <c r="F2282" s="294"/>
      <c r="G2282" s="294"/>
      <c r="H2282" s="265"/>
      <c r="I2282" s="265"/>
      <c r="J2282" s="265"/>
      <c r="K2282" s="265"/>
      <c r="L2282" s="265" t="str">
        <f ca="1">IF(AND($B2282&lt;&gt;"",$Q2259&lt;&gt;""),IF($B2282="Missing Player",0,IF($B2280="Missing Player",11,"")),"")</f>
        <v/>
      </c>
      <c r="M2282" s="267" t="s">
        <v>1237</v>
      </c>
      <c r="N2282" s="268"/>
      <c r="O2282" s="268"/>
      <c r="P2282" s="269"/>
      <c r="Q2282" s="137" t="str">
        <f ca="1">IF($Q2280&lt;&gt;"",IF($Q2280="W","L","W"),"")</f>
        <v/>
      </c>
      <c r="R2282" s="112"/>
      <c r="S2282" s="98"/>
      <c r="T2282" s="108"/>
      <c r="U2282" s="108"/>
      <c r="V2282" s="108"/>
      <c r="W2282" s="108"/>
      <c r="X2282" s="108"/>
      <c r="Y2282" s="113"/>
      <c r="Z2282" s="113"/>
      <c r="AA2282" s="113"/>
      <c r="AB2282" s="113"/>
      <c r="AC2282" s="113"/>
      <c r="AD2282" s="107"/>
      <c r="AE2282" s="109"/>
      <c r="AF2282" s="109"/>
    </row>
    <row r="2283" spans="1:32" ht="12.75" customHeight="1">
      <c r="A2283" s="301"/>
      <c r="B2283" s="295"/>
      <c r="C2283" s="296"/>
      <c r="D2283" s="296"/>
      <c r="E2283" s="296"/>
      <c r="F2283" s="296"/>
      <c r="G2283" s="296"/>
      <c r="H2283" s="270"/>
      <c r="I2283" s="270"/>
      <c r="J2283" s="266"/>
      <c r="K2283" s="266"/>
      <c r="L2283" s="266"/>
      <c r="M2283" s="267"/>
      <c r="N2283" s="268"/>
      <c r="O2283" s="268"/>
      <c r="P2283" s="269"/>
      <c r="Q2283" s="139" t="str">
        <f ca="1">IF($Q2282&lt;&gt;"",IF($B2280&lt;&gt;"Missing Player",IF($Q2282="W",IF(SUM(IF($H2282&gt;$H2280,1,0),IF($I2282&gt;$I2280,1,0),IF($J2282&gt;$J2280,1,0),IF($K2282&gt;$K2280,1,0),IF($L2282&gt;$L2280,1,0))&lt;&gt;3,"Error",""),""),""),"")</f>
        <v/>
      </c>
      <c r="R2283" s="114"/>
      <c r="S2283" s="115"/>
      <c r="T2283" s="115"/>
      <c r="U2283" s="115"/>
      <c r="V2283" s="115"/>
      <c r="W2283" s="115"/>
      <c r="X2283" s="115"/>
      <c r="Y2283" s="114"/>
      <c r="Z2283" s="114"/>
      <c r="AA2283" s="114"/>
      <c r="AB2283" s="114"/>
      <c r="AC2283" s="114"/>
      <c r="AD2283" s="114"/>
      <c r="AE2283" s="114"/>
      <c r="AF2283" s="114"/>
    </row>
    <row r="2284" spans="1:32" ht="12.75" customHeight="1">
      <c r="B2284" s="140" t="str">
        <f ca="1">IF(ISERROR(VLOOKUP($B2259&amp;"("&amp;$B2253&amp;")",Players!$S$4:$T$132,2,FALSE)),"",VLOOKUP($B2259&amp;"("&amp;$B2253&amp;")",Players!$S$4:$T$132,2,FALSE))</f>
        <v>D1</v>
      </c>
      <c r="C2284" s="140" t="str">
        <f ca="1">IF(ISERROR(VLOOKUP($B2266&amp;"("&amp;$B2253&amp;")",Players!$S$4:$T$132,2,FALSE)),"",VLOOKUP($B2266&amp;"("&amp;$B2253&amp;")",Players!$S$4:$T$132,2,FALSE))</f>
        <v>D1</v>
      </c>
      <c r="D2284" s="141" t="str">
        <f ca="1">IF(ISERROR(VLOOKUP($B2273&amp;"("&amp;$B2253&amp;")",Players!$S$4:$T$132,2,FALSE)),"",VLOOKUP($B2273&amp;"("&amp;$B2253&amp;")",Players!$S$4:$T$132,2,FALSE))</f>
        <v>D1</v>
      </c>
      <c r="E2284" s="141" t="str">
        <f ca="1">IF(ISERROR(VLOOKUP($B2280&amp;"("&amp;$B2253&amp;")",Players!$S$4:$T$132,2,FALSE)),"",VLOOKUP($B2280&amp;"("&amp;$B2253&amp;")",Players!$S$4:$T$132,2,FALSE))</f>
        <v>D1</v>
      </c>
      <c r="F2284" s="141" t="str">
        <f ca="1">IF(ISERROR(VLOOKUP($B2261&amp;"("&amp;$K2253&amp;")",Players!$S$4:$T$132,2,FALSE)),"",VLOOKUP($B2261&amp;"("&amp;$K2253&amp;")",Players!$S$4:$T$132,2,FALSE))</f>
        <v>G1</v>
      </c>
      <c r="G2284" s="141" t="str">
        <f ca="1">IF(ISERROR(VLOOKUP($B2268&amp;"("&amp;$K2253&amp;")",Players!$S$4:$T$132,2,FALSE)),"",VLOOKUP($B2268&amp;"("&amp;$K2253&amp;")",Players!$S$4:$T$132,2,FALSE))</f>
        <v>G1</v>
      </c>
      <c r="H2284" s="141" t="str">
        <f ca="1">IF(ISERROR(VLOOKUP($B2275&amp;"("&amp;$K2253&amp;")",Players!$S$4:$T$132,2,FALSE)),"",VLOOKUP($B2275&amp;"("&amp;$K2253&amp;")",Players!$S$4:$T$132,2,FALSE))</f>
        <v>G1</v>
      </c>
      <c r="I2284" s="141" t="str">
        <f ca="1">IF(ISERROR(VLOOKUP($B2282&amp;"("&amp;$K2253&amp;")",Players!$S$4:$T$132,2,FALSE)),"",VLOOKUP($B2282&amp;"("&amp;$K2253&amp;")",Players!$S$4:$T$132,2,FALSE))</f>
        <v>G1</v>
      </c>
      <c r="Q2284" s="7"/>
      <c r="R2284" s="50"/>
      <c r="S2284" s="116"/>
      <c r="T2284" s="115"/>
      <c r="U2284" s="115"/>
      <c r="V2284" s="115"/>
      <c r="W2284" s="115"/>
      <c r="X2284" s="115"/>
      <c r="Y2284" s="99"/>
      <c r="Z2284" s="99"/>
      <c r="AA2284" s="99"/>
      <c r="AB2284" s="99"/>
      <c r="AC2284" s="117"/>
      <c r="AD2284" s="118"/>
      <c r="AE2284" s="114"/>
      <c r="AF2284" s="114"/>
    </row>
    <row r="2285" spans="1:32" ht="12.75" customHeight="1">
      <c r="A2285" s="21" t="s">
        <v>1225</v>
      </c>
      <c r="H2285" s="136" t="str">
        <f ca="1">IF($Q2287&lt;&gt;"",IF(AND($B2288&lt;&gt;"Missing Player",$B2290&lt;&gt;"Missing Player"),IF(AND(AND($H2287&gt;-1,$H2289&gt;-1),OR($H2287&gt;10,$H2289&gt;10),ABS($H2287-$H2289)&gt;1,IF(OR($H2287&gt;11,$H2289&gt;11),ABS($H2287-$H2289)=2,TRUE),$H2287=INT($H2287),$H2289=INT($H2289)),"","Error"),""),"")</f>
        <v/>
      </c>
      <c r="I2285" s="136" t="str">
        <f ca="1">IF($Q2287&lt;&gt;"",IF(AND($B2288&lt;&gt;"Missing Player",$B2290&lt;&gt;"Missing Player"),IF(AND(AND($I2287&gt;-1,$I2289&gt;-1),OR($I2287&gt;10,$I2289&gt;10),ABS($I2287-$I2289)&gt;1,IF(OR($I2287&gt;11,$I2289&gt;11),ABS($I2287-$I2289)=2,TRUE),$I2287=INT($I2287),$I2289=INT($I2289)),"","Error"),""),"")</f>
        <v/>
      </c>
      <c r="J2285" s="136" t="str">
        <f ca="1">IF($Q2287&lt;&gt;"",IF(AND($B2288&lt;&gt;"Missing Player",$B2290&lt;&gt;"Missing Player"),IF(AND(AND($J2287&gt;-1,$J2289&gt;-1),OR($J2287&gt;10,$J2289&gt;10),ABS($J2287-$J2289)&gt;1,IF(OR($J2287&gt;11,$J2289&gt;11),ABS($J2287-$J2289)=2,TRUE),$J2287=INT($J2287),$J2289=INT($J2289)),"","Error"),""),"")</f>
        <v/>
      </c>
      <c r="K2285" s="136" t="str">
        <f ca="1">IF($Q2287&lt;&gt;"",IF(AND($K2287&lt;&gt;"",$K2289&lt;&gt;""), IF(AND(AND($K2287&gt;-1,$K2289&gt;-1),OR($K2287&gt;10,$K2289&gt;10),ABS($K2287-$K2289)&gt;1,IF(OR($K2287&gt;11,$K2289&gt;11),ABS($K2287-$K2289)=2,TRUE),$K2287=INT($K2287),$K2289=INT($K2289)),"","Error"),""),"")</f>
        <v/>
      </c>
      <c r="L2285" s="136" t="str">
        <f ca="1">IF($Q2287&lt;&gt;"",IF(AND($L2287&lt;&gt;"",$L2289&lt;&gt;""), IF(AND(AND($L2287&gt;-1,$L2289&gt;-1),OR($L2287&gt;10,$L2289&gt;10),ABS($L2287-$L2289)&gt;1,IF(OR($L2287&gt;11,$L2289&gt;11),ABS($L2287-$L2289)=2,TRUE),$L2287=INT($L2287),$L2289=INT($L2289)),"","Error"),""),"")</f>
        <v/>
      </c>
      <c r="Q2285" s="7"/>
      <c r="R2285" s="114"/>
      <c r="S2285" s="115"/>
      <c r="T2285" s="115"/>
      <c r="U2285" s="115"/>
      <c r="V2285" s="115"/>
      <c r="W2285" s="115"/>
      <c r="X2285" s="115"/>
      <c r="Y2285" s="114"/>
      <c r="Z2285" s="114"/>
      <c r="AA2285" s="114"/>
      <c r="AB2285" s="114"/>
      <c r="AC2285" s="114"/>
      <c r="AD2285" s="114"/>
      <c r="AE2285" s="114"/>
      <c r="AF2285" s="114"/>
    </row>
    <row r="2286" spans="1:32" ht="12.75" customHeight="1">
      <c r="A2286" s="5" t="s">
        <v>1228</v>
      </c>
      <c r="B2286" s="290" t="s">
        <v>1126</v>
      </c>
      <c r="C2286" s="291"/>
      <c r="D2286" s="291"/>
      <c r="E2286" s="291"/>
      <c r="F2286" s="291"/>
      <c r="G2286" s="292"/>
      <c r="H2286" s="5">
        <v>1</v>
      </c>
      <c r="I2286" s="5">
        <v>2</v>
      </c>
      <c r="J2286" s="5">
        <v>3</v>
      </c>
      <c r="K2286" s="5">
        <v>4</v>
      </c>
      <c r="L2286" s="5">
        <v>5</v>
      </c>
      <c r="M2286" s="271"/>
      <c r="N2286" s="272"/>
      <c r="O2286" s="272"/>
      <c r="P2286" s="273"/>
      <c r="Q2286" s="8"/>
      <c r="S2286" s="24"/>
      <c r="T2286" s="26"/>
    </row>
    <row r="2287" spans="1:32" ht="12.75" customHeight="1">
      <c r="A2287" s="300" t="str">
        <f>B2253</f>
        <v>D</v>
      </c>
      <c r="B2287" s="311" t="str">
        <f ca="1">IF($B2259&lt;&gt;"",$B2259,"")</f>
        <v/>
      </c>
      <c r="C2287" s="312"/>
      <c r="D2287" s="312"/>
      <c r="E2287" s="312"/>
      <c r="F2287" s="312"/>
      <c r="G2287" s="313"/>
      <c r="H2287" s="265"/>
      <c r="I2287" s="265"/>
      <c r="J2287" s="265"/>
      <c r="K2287" s="265"/>
      <c r="L2287" s="265" t="str">
        <f ca="1">IF($B2280&lt;&gt;"",IF(AND($B2280="Missing Player",$G2291=2,$J2291=2),0,IF(AND($B2282="Missing Player",$G2291=2,$J2291=2),11,"")),"")</f>
        <v/>
      </c>
      <c r="M2287" s="262" t="str">
        <f ca="1">IF(OR(AND($B2287&lt;&gt;"",$B2288&lt;&gt;"",$B2287=$B2288),AND($B2289&lt;&gt;"",$B2290&lt;&gt;"",$B2289=$B2290)),"Invalid Partner","")</f>
        <v/>
      </c>
      <c r="N2287" s="263"/>
      <c r="O2287" s="263"/>
      <c r="P2287" s="264"/>
      <c r="Q2287" s="138" t="str">
        <f ca="1">IF(L2287=L2289,IF(K2287=K2289,IF(J2287&lt;&gt;"",IF(J2287&gt;J2289,"W","L"),""),IF(K2287&gt;K2289,"W","L")),IF(L2287&gt;L2289,"W","L"))</f>
        <v/>
      </c>
      <c r="S2287" s="24"/>
      <c r="T2287" s="26"/>
    </row>
    <row r="2288" spans="1:32" ht="12.75" customHeight="1">
      <c r="A2288" s="324"/>
      <c r="B2288" s="308" t="str">
        <f ca="1">IF($B2280="Missing Player",$B2280,"")</f>
        <v/>
      </c>
      <c r="C2288" s="309"/>
      <c r="D2288" s="309"/>
      <c r="E2288" s="309"/>
      <c r="F2288" s="309"/>
      <c r="G2288" s="310"/>
      <c r="H2288" s="270"/>
      <c r="I2288" s="270"/>
      <c r="J2288" s="270"/>
      <c r="K2288" s="270"/>
      <c r="L2288" s="270"/>
      <c r="M2288" s="262"/>
      <c r="N2288" s="263"/>
      <c r="O2288" s="263"/>
      <c r="P2288" s="264"/>
      <c r="Q2288" s="139" t="str">
        <f ca="1">IF($Q2287&lt;&gt;"",IF($B2290&lt;&gt;"Missing Player",IF($Q2287="W",IF(SUM(IF($H2287&gt;$H2289,1,0),IF($I2287&gt;$I2289,1,0),IF($J2287&gt;$J2289,1,0),IF($K2287&gt;$K2289,1,0),IF($L2287&gt;$L2289,1,0))&lt;&gt;3,"Error",""),""),""),"")</f>
        <v/>
      </c>
      <c r="R2288" s="328" t="str">
        <f>$A2254</f>
        <v/>
      </c>
      <c r="S2288" s="328"/>
      <c r="T2288" s="328"/>
      <c r="U2288" s="328"/>
      <c r="V2288" s="328"/>
      <c r="W2288" s="328"/>
      <c r="X2288" s="256" t="str">
        <f>CONCATENATE("(",$B2253," vs ",$K2253,")")</f>
        <v>(D vs G)</v>
      </c>
      <c r="Y2288" s="256"/>
      <c r="Z2288" s="328" t="str">
        <f>$J2254</f>
        <v/>
      </c>
      <c r="AA2288" s="328"/>
      <c r="AB2288" s="328"/>
      <c r="AC2288" s="328"/>
      <c r="AD2288" s="328"/>
      <c r="AE2288" s="328"/>
      <c r="AF2288" s="43"/>
    </row>
    <row r="2289" spans="1:32" ht="12.75" customHeight="1">
      <c r="A2289" s="325" t="str">
        <f>K2253</f>
        <v>G</v>
      </c>
      <c r="B2289" s="311" t="str">
        <f ca="1">IF($B2261&lt;&gt;"",$B2261,"")</f>
        <v/>
      </c>
      <c r="C2289" s="312"/>
      <c r="D2289" s="312"/>
      <c r="E2289" s="312"/>
      <c r="F2289" s="312"/>
      <c r="G2289" s="313"/>
      <c r="H2289" s="265"/>
      <c r="I2289" s="265"/>
      <c r="J2289" s="265"/>
      <c r="K2289" s="265"/>
      <c r="L2289" s="265" t="str">
        <f ca="1">IF($B2282&lt;&gt;"",IF(AND($B2282="Missing Player",$G2291=2,$J2291=2),0,IF(AND($B2280="Missing Player",$G2291=2,$J2291=2),11,"")),"")</f>
        <v/>
      </c>
      <c r="M2289" s="267" t="s">
        <v>1237</v>
      </c>
      <c r="N2289" s="268"/>
      <c r="O2289" s="268"/>
      <c r="P2289" s="269"/>
      <c r="Q2289" s="138" t="str">
        <f ca="1">IF(Q2287&lt;&gt;"",IF(Q2287="W","L","W"),"")</f>
        <v/>
      </c>
      <c r="R2289" s="43"/>
      <c r="S2289" s="43"/>
      <c r="T2289" s="43"/>
      <c r="U2289" s="43"/>
      <c r="V2289" s="43"/>
      <c r="W2289" s="43"/>
      <c r="X2289" s="43"/>
      <c r="Y2289" s="43"/>
      <c r="Z2289" s="43"/>
      <c r="AA2289" s="43"/>
      <c r="AB2289" s="43"/>
      <c r="AC2289" s="43"/>
      <c r="AD2289" s="43"/>
      <c r="AE2289" s="43"/>
      <c r="AF2289" s="43"/>
    </row>
    <row r="2290" spans="1:32" ht="12.75" customHeight="1">
      <c r="A2290" s="324"/>
      <c r="B2290" s="308" t="str">
        <f ca="1">IF($B2282="Missing Player",$B2282,"")</f>
        <v/>
      </c>
      <c r="C2290" s="309"/>
      <c r="D2290" s="309"/>
      <c r="E2290" s="309"/>
      <c r="F2290" s="309"/>
      <c r="G2290" s="310"/>
      <c r="H2290" s="270"/>
      <c r="I2290" s="270"/>
      <c r="J2290" s="266"/>
      <c r="K2290" s="266"/>
      <c r="L2290" s="266"/>
      <c r="M2290" s="267"/>
      <c r="N2290" s="268"/>
      <c r="O2290" s="268"/>
      <c r="P2290" s="269"/>
      <c r="Q2290" s="139" t="str">
        <f ca="1">IF($Q2289&lt;&gt;"",IF($B2288&lt;&gt;"Missing Player",IF($Q2289="W",IF(SUM(IF($H2289&gt;$H2287,1,0),IF($I2289&gt;$I2287,1,0),IF($J2289&gt;$J2287,1,0),IF($K2289&gt;$K2287,1,0),IF($L2289&gt;$L2287,1,0))&lt;&gt;3,"Error",""),""),""),"")</f>
        <v/>
      </c>
      <c r="R2290" s="43" t="str">
        <f>A2278</f>
        <v>4th Singles</v>
      </c>
      <c r="S2290" s="43"/>
      <c r="T2290" s="43"/>
      <c r="U2290" s="43"/>
      <c r="V2290" s="43"/>
      <c r="W2290" s="43"/>
      <c r="X2290" s="43"/>
      <c r="Y2290" s="43"/>
      <c r="Z2290" s="43"/>
      <c r="AA2290" s="43"/>
      <c r="AB2290" s="43"/>
      <c r="AC2290" s="43"/>
      <c r="AD2290" s="43"/>
      <c r="AE2290" s="43"/>
      <c r="AF2290" s="43"/>
    </row>
    <row r="2291" spans="1:32" ht="12.75" customHeight="1">
      <c r="G2291" s="66">
        <f ca="1">COUNTIF($Q2259:$Q2259,"W")+COUNTIF($Q2266:$Q2266,"W")+COUNTIF($Q2273:$Q2273,"W")+COUNTIF($Q2280:$Q2280,"W")</f>
        <v>0</v>
      </c>
      <c r="J2291" s="66">
        <f ca="1">COUNTIF($Q2261:$Q2261,"W")+COUNTIF($Q2268:$Q2268,"W")+COUNTIF($Q2275:$Q2275,"W")+COUNTIF($Q2282:$Q2282,"W")</f>
        <v>0</v>
      </c>
      <c r="R2291" s="60" t="s">
        <v>1228</v>
      </c>
      <c r="S2291" s="339" t="s">
        <v>1126</v>
      </c>
      <c r="T2291" s="340"/>
      <c r="U2291" s="340"/>
      <c r="V2291" s="340"/>
      <c r="W2291" s="340"/>
      <c r="X2291" s="341"/>
      <c r="Y2291" s="60">
        <v>1</v>
      </c>
      <c r="Z2291" s="60">
        <v>2</v>
      </c>
      <c r="AA2291" s="60">
        <v>3</v>
      </c>
      <c r="AB2291" s="60">
        <v>4</v>
      </c>
      <c r="AC2291" s="60">
        <v>5</v>
      </c>
      <c r="AD2291" s="342"/>
      <c r="AE2291" s="343"/>
      <c r="AF2291" s="344"/>
    </row>
    <row r="2292" spans="1:32" ht="12.75" customHeight="1" thickBot="1">
      <c r="F2292" s="246" t="s">
        <v>1238</v>
      </c>
      <c r="G2292" s="246"/>
      <c r="H2292" s="246"/>
      <c r="I2292" s="246"/>
      <c r="J2292" s="246"/>
      <c r="K2292" s="246"/>
      <c r="R2292" s="300" t="str">
        <f>B2253</f>
        <v>D</v>
      </c>
      <c r="S2292" s="331" t="str">
        <f ca="1">IF($B2280&lt;&gt;"",$B2280,"")</f>
        <v/>
      </c>
      <c r="T2292" s="353"/>
      <c r="U2292" s="353"/>
      <c r="V2292" s="353"/>
      <c r="W2292" s="353"/>
      <c r="X2292" s="354"/>
      <c r="Y2292" s="329"/>
      <c r="Z2292" s="329"/>
      <c r="AA2292" s="351"/>
      <c r="AB2292" s="351"/>
      <c r="AC2292" s="351"/>
      <c r="AD2292" s="345"/>
      <c r="AE2292" s="346"/>
      <c r="AF2292" s="347"/>
    </row>
    <row r="2293" spans="1:32" ht="12.75" customHeight="1">
      <c r="A2293" s="22"/>
      <c r="B2293" s="22"/>
      <c r="C2293" s="22"/>
      <c r="D2293" s="22"/>
      <c r="E2293" s="22"/>
      <c r="G2293" s="304" t="str">
        <f>B2253</f>
        <v>D</v>
      </c>
      <c r="H2293" s="305"/>
      <c r="I2293" s="302" t="str">
        <f>K2253</f>
        <v>G</v>
      </c>
      <c r="J2293" s="303"/>
      <c r="L2293" s="22"/>
      <c r="M2293" s="22"/>
      <c r="N2293" s="22"/>
      <c r="O2293" s="22"/>
      <c r="P2293" s="22"/>
      <c r="R2293" s="301"/>
      <c r="S2293" s="355"/>
      <c r="T2293" s="356"/>
      <c r="U2293" s="356"/>
      <c r="V2293" s="356"/>
      <c r="W2293" s="356"/>
      <c r="X2293" s="357"/>
      <c r="Y2293" s="338"/>
      <c r="Z2293" s="338"/>
      <c r="AA2293" s="352"/>
      <c r="AB2293" s="352"/>
      <c r="AC2293" s="352"/>
      <c r="AD2293" s="348"/>
      <c r="AE2293" s="349"/>
      <c r="AF2293" s="350"/>
    </row>
    <row r="2294" spans="1:32" ht="12.75" customHeight="1" thickBot="1">
      <c r="A2294" s="52" t="s">
        <v>1228</v>
      </c>
      <c r="B2294" s="125" t="str">
        <f>B2253</f>
        <v>D</v>
      </c>
      <c r="C2294" s="3" t="s">
        <v>1226</v>
      </c>
      <c r="F2294" s="66" t="str">
        <f>CONCATENATE($B2253,"-",$K2253)</f>
        <v>D-G</v>
      </c>
      <c r="G2294" s="320" t="str">
        <f ca="1">IF(OR(Q2259&lt;&gt;"",Q2266&lt;&gt;"",Q2273&lt;&gt;"",Q2280&lt;&gt;"",Q2287&lt;&gt;""),COUNTIF(Q2259:Q2259,"W")+COUNTIF(Q2266:Q2266,"W")+COUNTIF(Q2273:Q2273,"W")+COUNTIF(Q2280:Q2280,"W")+COUNTIF(Q2287:Q2287,"W"),"")</f>
        <v/>
      </c>
      <c r="H2294" s="321"/>
      <c r="I2294" s="322" t="str">
        <f ca="1">IF(OR(Q2261&lt;&gt;"",Q2268&lt;&gt;"",Q2275&lt;&gt;"",Q2282&lt;&gt;"",Q2289&lt;&gt;""),COUNTIF(Q2261:Q2261,"W")+COUNTIF(Q2268:Q2268,"W")+COUNTIF(Q2275:Q2275,"W")+COUNTIF(Q2282:Q2282,"W")+COUNTIF(Q2289:Q2289,"W"),"")</f>
        <v/>
      </c>
      <c r="J2294" s="323"/>
      <c r="L2294" s="2" t="s">
        <v>1228</v>
      </c>
      <c r="M2294" s="53" t="str">
        <f>K2253</f>
        <v>G</v>
      </c>
      <c r="N2294" s="3" t="s">
        <v>1226</v>
      </c>
      <c r="R2294" s="300" t="str">
        <f>K2253</f>
        <v>G</v>
      </c>
      <c r="S2294" s="331" t="str">
        <f ca="1">IF($B2282&lt;&gt;"",$B2282,"")</f>
        <v/>
      </c>
      <c r="T2294" s="332"/>
      <c r="U2294" s="332"/>
      <c r="V2294" s="332"/>
      <c r="W2294" s="332"/>
      <c r="X2294" s="333"/>
      <c r="Y2294" s="329"/>
      <c r="Z2294" s="329"/>
      <c r="AA2294" s="351"/>
      <c r="AB2294" s="351"/>
      <c r="AC2294" s="351"/>
      <c r="AD2294" s="363" t="s">
        <v>1237</v>
      </c>
      <c r="AE2294" s="358"/>
      <c r="AF2294" s="359"/>
    </row>
    <row r="2295" spans="1:32" ht="12.75" customHeight="1">
      <c r="F2295" s="25" t="s">
        <v>3996</v>
      </c>
      <c r="G2295" s="23"/>
      <c r="H2295" s="23"/>
      <c r="I2295" s="23"/>
      <c r="J2295" s="23"/>
      <c r="K2295" s="24"/>
      <c r="R2295" s="330"/>
      <c r="S2295" s="334"/>
      <c r="T2295" s="335"/>
      <c r="U2295" s="335"/>
      <c r="V2295" s="335"/>
      <c r="W2295" s="335"/>
      <c r="X2295" s="336"/>
      <c r="Y2295" s="330"/>
      <c r="Z2295" s="330"/>
      <c r="AA2295" s="330"/>
      <c r="AB2295" s="330"/>
      <c r="AC2295" s="330"/>
      <c r="AD2295" s="360"/>
      <c r="AE2295" s="361"/>
      <c r="AF2295" s="362"/>
    </row>
    <row r="2296" spans="1:32" ht="12.75" customHeight="1">
      <c r="R2296" s="1"/>
      <c r="S2296" s="110"/>
      <c r="T2296" s="110"/>
      <c r="U2296" s="110"/>
      <c r="V2296" s="110"/>
      <c r="W2296" s="110"/>
      <c r="X2296" s="111"/>
      <c r="Y2296" s="111"/>
      <c r="Z2296" s="111"/>
      <c r="AA2296" s="111"/>
    </row>
    <row r="2297" spans="1:32" ht="12.75" customHeight="1">
      <c r="F2297" s="246" t="s">
        <v>4929</v>
      </c>
      <c r="G2297" s="246"/>
      <c r="H2297" s="246"/>
      <c r="I2297" s="246"/>
      <c r="R2297" s="1"/>
      <c r="S2297" s="110"/>
      <c r="T2297" s="110"/>
      <c r="U2297" s="110"/>
      <c r="V2297" s="110"/>
      <c r="W2297" s="110"/>
      <c r="X2297" s="111"/>
      <c r="Y2297" s="111"/>
      <c r="Z2297" s="111"/>
      <c r="AA2297" s="111"/>
    </row>
    <row r="2298" spans="1:32" ht="12.75" customHeight="1">
      <c r="F2298" s="246" t="s">
        <v>4930</v>
      </c>
      <c r="G2298" s="246"/>
      <c r="H2298" s="246"/>
      <c r="I2298" s="246"/>
      <c r="R2298" s="1"/>
      <c r="S2298" s="110"/>
      <c r="T2298" s="110"/>
      <c r="U2298" s="110"/>
      <c r="V2298" s="110"/>
      <c r="W2298" s="110"/>
      <c r="X2298" s="111"/>
      <c r="Y2298" s="111"/>
      <c r="Z2298" s="111"/>
      <c r="AA2298" s="111"/>
    </row>
    <row r="2299" spans="1:32" ht="12.75" customHeight="1">
      <c r="K2299" s="281" t="s">
        <v>1244</v>
      </c>
      <c r="L2299" s="281"/>
      <c r="M2299" s="281"/>
      <c r="N2299" s="281"/>
      <c r="O2299" s="281"/>
      <c r="P2299" s="281"/>
      <c r="R2299" s="1"/>
      <c r="S2299" s="110"/>
      <c r="T2299" s="110"/>
      <c r="U2299" s="110"/>
      <c r="V2299" s="110"/>
      <c r="W2299" s="110"/>
      <c r="X2299" s="111"/>
      <c r="Y2299" s="111"/>
      <c r="Z2299" s="111"/>
      <c r="AA2299" s="111"/>
    </row>
    <row r="2300" spans="1:32" ht="12.75" customHeight="1">
      <c r="A2300" s="12" t="s">
        <v>1229</v>
      </c>
      <c r="B2300" s="11"/>
      <c r="C2300" s="11"/>
      <c r="D2300" s="11" t="str">
        <f>Draw!$B$1</f>
        <v>Enter Division Name</v>
      </c>
      <c r="E2300" s="11"/>
      <c r="F2300" s="7"/>
      <c r="G2300" s="6"/>
      <c r="H2300" s="7"/>
      <c r="I2300" s="11"/>
      <c r="J2300" s="11"/>
      <c r="K2300" s="11"/>
      <c r="L2300" s="11"/>
      <c r="M2300" s="281"/>
      <c r="N2300" s="281"/>
      <c r="O2300" s="281"/>
      <c r="P2300" s="281"/>
      <c r="R2300" s="1"/>
      <c r="S2300" s="110"/>
      <c r="T2300" s="110"/>
      <c r="U2300" s="110"/>
      <c r="V2300" s="110"/>
      <c r="W2300" s="110"/>
      <c r="X2300" s="111"/>
      <c r="Y2300" s="111"/>
      <c r="Z2300" s="111"/>
      <c r="AA2300" s="111"/>
    </row>
    <row r="2301" spans="1:32" ht="12.75" customHeight="1">
      <c r="A2301" s="2" t="s">
        <v>1230</v>
      </c>
      <c r="D2301" s="43" t="str">
        <f>Draw!$D$1</f>
        <v>Enter Hosting Location (City, ST)</v>
      </c>
      <c r="J2301" s="43" t="str">
        <f ca="1">$J$6</f>
        <v>[NCTTA Teams Template (v2.06).xlsx]</v>
      </c>
      <c r="R2301" s="1"/>
      <c r="S2301" s="110"/>
      <c r="T2301" s="110"/>
      <c r="U2301" s="110"/>
      <c r="V2301" s="110"/>
      <c r="W2301" s="110"/>
      <c r="X2301" s="111"/>
      <c r="Y2301" s="111"/>
      <c r="Z2301" s="111"/>
      <c r="AA2301" s="111"/>
    </row>
    <row r="2302" spans="1:32" ht="12.75" customHeight="1">
      <c r="A2302" s="2" t="s">
        <v>1231</v>
      </c>
      <c r="D2302" s="337" t="str">
        <f>Draw!$P$1</f>
        <v>Enter Date</v>
      </c>
      <c r="E2302" s="337"/>
      <c r="F2302" s="337"/>
      <c r="G2302" s="337"/>
      <c r="I2302" s="43"/>
      <c r="J2302" s="365" t="str">
        <f>CHOOSE(Draw!$T$1,"Round 8, Match 4","","","","","","","","","","Round 10, Match 1")</f>
        <v/>
      </c>
      <c r="K2302" s="365"/>
      <c r="L2302" s="365"/>
      <c r="M2302" s="276" t="str">
        <f>IF(AND($J2302&lt;&gt;"",Draw!$AC$10&lt;&gt;"",Draw!$AC$13&lt;&gt;""),Draw!$AC$10+TIME(0,VALUE(MID($J2302,7,FIND(",",$J2302)-FIND(" ",$J2302)-1)-1)*Draw!$AC$13,0),"")</f>
        <v/>
      </c>
      <c r="N2302" s="276"/>
      <c r="O2302" s="157" t="str">
        <f>$F2345</f>
        <v>D-H</v>
      </c>
      <c r="R2302" s="1"/>
      <c r="S2302" s="110"/>
      <c r="T2302" s="110"/>
      <c r="U2302" s="110"/>
      <c r="V2302" s="110"/>
      <c r="W2302" s="110"/>
      <c r="X2302" s="111"/>
      <c r="Y2302" s="111"/>
      <c r="Z2302" s="111"/>
      <c r="AA2302" s="111"/>
    </row>
    <row r="2303" spans="1:32" ht="12.75" customHeight="1">
      <c r="A2303" s="14"/>
      <c r="B2303" s="15"/>
      <c r="C2303" s="15"/>
      <c r="D2303" s="15"/>
      <c r="E2303" s="15"/>
      <c r="F2303" s="14"/>
      <c r="G2303" s="14"/>
      <c r="H2303" s="16"/>
      <c r="I2303" s="14"/>
      <c r="J2303" s="15"/>
      <c r="K2303" s="15"/>
      <c r="L2303" s="15"/>
      <c r="M2303" s="15"/>
      <c r="N2303" s="15"/>
      <c r="O2303" s="364" t="str">
        <f>IF(OR(AND(VLOOKUP($B2304,$AM$1:$AX$12,12,FALSE)="C",VLOOKUP($K2304,$AM$1:$AX$12,12,FALSE)="C"),AND(VLOOKUP($B2304,$AM$1:$AX$12,12,FALSE)="W",VLOOKUP($K2304,$AM$1:$AX$12,12,FALSE)="W")),"Official",IF(AND($A2305="",$J2305=""),"","Scrimmage"))</f>
        <v/>
      </c>
      <c r="P2303" s="364"/>
      <c r="R2303" s="1"/>
      <c r="S2303" s="110"/>
      <c r="T2303" s="110"/>
      <c r="U2303" s="110"/>
      <c r="V2303" s="110"/>
      <c r="W2303" s="110"/>
      <c r="X2303" s="111"/>
      <c r="Y2303" s="111"/>
      <c r="Z2303" s="111"/>
      <c r="AA2303" s="111"/>
    </row>
    <row r="2304" spans="1:32" ht="12.75" customHeight="1">
      <c r="A2304" s="17" t="s">
        <v>1228</v>
      </c>
      <c r="B2304" s="119" t="str">
        <f>CHOOSE(Draw!$T$1,"B","C","D","E","F","F","E","E","D","A","A")</f>
        <v>D</v>
      </c>
      <c r="C2304" s="135">
        <f>VLOOKUP($B2304,$AM$1:$AN$12,2)</f>
        <v>4</v>
      </c>
      <c r="D2304" s="13"/>
      <c r="E2304" s="13"/>
      <c r="F2304" s="10"/>
      <c r="H2304" s="19" t="s">
        <v>1232</v>
      </c>
      <c r="J2304" s="17" t="s">
        <v>1228</v>
      </c>
      <c r="K2304" s="119" t="str">
        <f>CHOOSE(Draw!$T$1,"H","J","H","G","G","G","L","J","J","K","C")</f>
        <v>H</v>
      </c>
      <c r="L2304" s="135">
        <f>VLOOKUP($K2304,$AM$1:$AN$12,2)</f>
        <v>8</v>
      </c>
      <c r="M2304" s="13"/>
      <c r="N2304" s="13"/>
      <c r="O2304" s="18"/>
      <c r="P2304" s="274"/>
      <c r="Q2304" s="275"/>
      <c r="R2304" s="1"/>
      <c r="S2304" s="110"/>
      <c r="T2304" s="110"/>
      <c r="U2304" s="110"/>
      <c r="V2304" s="110"/>
      <c r="W2304" s="110"/>
      <c r="X2304" s="111"/>
      <c r="Y2304" s="111"/>
      <c r="Z2304" s="111"/>
      <c r="AA2304" s="111"/>
    </row>
    <row r="2305" spans="1:32" ht="12.75" customHeight="1">
      <c r="A2305" s="277" t="str">
        <f>IF(VLOOKUP($B2304,Draw!$A$4:$B$27,2)&lt;&gt;0,VLOOKUP($B2304,Draw!$A$4:$B$27,2),"")</f>
        <v/>
      </c>
      <c r="B2305" s="278"/>
      <c r="C2305" s="278"/>
      <c r="D2305" s="278"/>
      <c r="E2305" s="278"/>
      <c r="F2305" s="279"/>
      <c r="G2305" s="306" t="s">
        <v>4197</v>
      </c>
      <c r="H2305" s="289"/>
      <c r="I2305" s="307"/>
      <c r="J2305" s="277" t="str">
        <f>IF(VLOOKUP($K2304,Draw!$A$4:$B$27,2)&lt;&gt;0,VLOOKUP($K2304,Draw!$A$4:$B$27,2),"")</f>
        <v/>
      </c>
      <c r="K2305" s="278"/>
      <c r="L2305" s="278"/>
      <c r="M2305" s="278"/>
      <c r="N2305" s="278"/>
      <c r="O2305" s="279"/>
      <c r="P2305" s="15"/>
      <c r="R2305" s="1"/>
      <c r="S2305" s="110"/>
      <c r="T2305" s="110"/>
      <c r="U2305" s="110"/>
      <c r="V2305" s="110"/>
      <c r="W2305" s="110"/>
      <c r="X2305" s="111"/>
      <c r="Y2305" s="111"/>
      <c r="Z2305" s="111"/>
      <c r="AA2305" s="111"/>
    </row>
    <row r="2306" spans="1:32" ht="12.75" customHeight="1">
      <c r="A2306" s="14"/>
      <c r="B2306" s="15"/>
      <c r="C2306" s="15"/>
      <c r="D2306" s="15"/>
      <c r="E2306" s="15"/>
      <c r="F2306" s="14"/>
      <c r="G2306" s="288" t="str">
        <f>"Page "&amp;VALUE(RIGHT($G2305,LEN($G2305)-SEARCH("-",$G2305)))/2</f>
        <v>Page 46</v>
      </c>
      <c r="H2306" s="289"/>
      <c r="I2306" s="289"/>
      <c r="J2306" s="15"/>
      <c r="K2306" s="15"/>
      <c r="L2306" s="15"/>
      <c r="M2306" s="15"/>
      <c r="N2306" s="15"/>
      <c r="O2306" s="15"/>
      <c r="P2306" s="15"/>
      <c r="R2306" s="1"/>
      <c r="S2306" s="110"/>
      <c r="T2306" s="110"/>
      <c r="U2306" s="110"/>
      <c r="V2306" s="110"/>
      <c r="W2306" s="110"/>
      <c r="X2306" s="111"/>
      <c r="Y2306" s="111"/>
      <c r="Z2306" s="111"/>
      <c r="AA2306" s="111"/>
      <c r="AF2306" s="27"/>
    </row>
    <row r="2307" spans="1:32" ht="12.75" customHeight="1">
      <c r="A2307" s="327" t="s">
        <v>1245</v>
      </c>
      <c r="B2307" s="327"/>
      <c r="C2307" s="327"/>
      <c r="D2307" s="327"/>
      <c r="E2307" s="327"/>
      <c r="F2307" s="327"/>
      <c r="G2307" s="327"/>
      <c r="H2307" s="327"/>
      <c r="I2307" s="327"/>
      <c r="J2307" s="327"/>
      <c r="K2307" s="327"/>
      <c r="L2307" s="327"/>
      <c r="M2307" s="327"/>
      <c r="N2307" s="327"/>
      <c r="O2307" s="327"/>
      <c r="P2307" s="327"/>
      <c r="Q2307" s="7"/>
      <c r="R2307" s="1"/>
      <c r="S2307" s="110"/>
      <c r="T2307" s="110"/>
      <c r="U2307" s="110"/>
      <c r="V2307" s="110"/>
      <c r="W2307" s="110"/>
      <c r="X2307" s="111"/>
      <c r="Y2307" s="111"/>
      <c r="Z2307" s="111"/>
      <c r="AA2307" s="111"/>
      <c r="AF2307" s="20"/>
    </row>
    <row r="2308" spans="1:32" ht="12.75" customHeight="1">
      <c r="A2308" s="21" t="s">
        <v>1233</v>
      </c>
      <c r="H2308" s="136" t="str">
        <f>IF($Q2310&lt;&gt;"",IF(AND(AND($H2310&gt;-1,$H2312&gt;-1),OR($H2310&gt;10,$H2312&gt;10),ABS($H2310-$H2312)&gt;1,IF(OR($H2310&gt;11,$H2312&gt;11),ABS($H2310-$H2312)=2,TRUE),$H2310=INT($H2310),$H2312=INT($H2312)),"","Error"),"")</f>
        <v/>
      </c>
      <c r="I2308" s="136" t="str">
        <f>IF($Q2310&lt;&gt;"",IF(AND(AND($I2310&gt;-1,$I2312&gt;-1),OR($I2310&gt;10,$I2312&gt;10),ABS($I2310-$I2312)&gt;1,IF(OR($I2310&gt;11,$I2312&gt;11),ABS($I2310-$I2312)=2,TRUE),$I2310=INT($I2310),$I2312=INT($I2312)),"","Error"),"")</f>
        <v/>
      </c>
      <c r="J2308" s="136" t="str">
        <f>IF($Q2310&lt;&gt;"",IF(AND(AND($J2310&gt;-1,$J2312&gt;-1),OR($J2310&gt;10,$J2312&gt;10),ABS($J2310-$J2312)&gt;1,IF(OR($J2310&gt;11,$J2312&gt;11),ABS($J2310-$J2312)=2,TRUE),$J2310=INT($J2310),$J2312=INT($J2312)),"","Error"),"")</f>
        <v/>
      </c>
      <c r="K2308" s="136" t="str">
        <f>IF($Q2310&lt;&gt;"",IF(AND($K2310&lt;&gt;"",$K2312&lt;&gt;""), IF(AND(AND($K2310&gt;-1,$K2312&gt;-1),OR($K2310&gt;10,$K2312&gt;10),ABS($K2310-$K2312)&gt;1,IF(OR($K2310&gt;11,$K2312&gt;11),ABS($K2310-$K2312)=2,TRUE),$K2310=INT($K2310),$K2312=INT($K2312)),"","Error"),""),"")</f>
        <v/>
      </c>
      <c r="L2308" s="136" t="str">
        <f>IF($Q2310&lt;&gt;"",IF(AND($L2310&lt;&gt;"",$L2312&lt;&gt;""), IF(AND(AND($L2310&gt;-1,$L2312&gt;-1),OR($L2310&gt;10,$L2312&gt;10),ABS($L2310-$L2312)&gt;1,IF(OR($L2310&gt;11,$L2312&gt;11),ABS($L2310-$L2312)=2,TRUE),$L2310=INT($L2310),$L2312=INT($L2312)),"","Error"),""),"")</f>
        <v/>
      </c>
      <c r="R2308" s="1"/>
      <c r="S2308" s="110"/>
      <c r="T2308" s="110"/>
      <c r="U2308" s="110"/>
      <c r="V2308" s="110"/>
      <c r="W2308" s="110"/>
      <c r="X2308" s="111"/>
      <c r="Y2308" s="111"/>
      <c r="Z2308" s="111"/>
      <c r="AA2308" s="111"/>
    </row>
    <row r="2309" spans="1:32" ht="12.75" customHeight="1">
      <c r="A2309" s="5" t="s">
        <v>1228</v>
      </c>
      <c r="B2309" s="290" t="s">
        <v>1126</v>
      </c>
      <c r="C2309" s="291"/>
      <c r="D2309" s="291"/>
      <c r="E2309" s="291"/>
      <c r="F2309" s="291"/>
      <c r="G2309" s="292"/>
      <c r="H2309" s="5">
        <v>1</v>
      </c>
      <c r="I2309" s="5">
        <v>2</v>
      </c>
      <c r="J2309" s="5">
        <v>3</v>
      </c>
      <c r="K2309" s="5">
        <v>4</v>
      </c>
      <c r="L2309" s="5">
        <v>5</v>
      </c>
      <c r="M2309" s="271"/>
      <c r="N2309" s="272"/>
      <c r="O2309" s="272"/>
      <c r="P2309" s="273"/>
      <c r="R2309" s="1"/>
      <c r="S2309" s="110"/>
      <c r="T2309" s="110"/>
      <c r="U2309" s="110"/>
      <c r="V2309" s="110"/>
      <c r="W2309" s="110"/>
      <c r="X2309" s="111"/>
      <c r="Y2309" s="111"/>
      <c r="Z2309" s="111"/>
      <c r="AA2309" s="111"/>
    </row>
    <row r="2310" spans="1:32" ht="12.75" customHeight="1">
      <c r="A2310" s="300" t="str">
        <f>B2304</f>
        <v>D</v>
      </c>
      <c r="B2310" s="293" t="str">
        <f ca="1">IF(AND(OFFSET($AO$1,$C2304-1,8,1,1),$A2305&lt;&gt;"",$J2305&lt;&gt;""),CHOOSE($C2304,$AO$1,$AO$2,$AO$3,$AO$4,$AO$5,$AO$6,$AO$7,$AO$8,$AO$9,$AO$10,$AO$11,$AO$12),"")</f>
        <v/>
      </c>
      <c r="C2310" s="294"/>
      <c r="D2310" s="294"/>
      <c r="E2310" s="294"/>
      <c r="F2310" s="294"/>
      <c r="G2310" s="294"/>
      <c r="H2310" s="265"/>
      <c r="I2310" s="265"/>
      <c r="J2310" s="265"/>
      <c r="K2310" s="265"/>
      <c r="L2310" s="265"/>
      <c r="M2310" s="297"/>
      <c r="N2310" s="298"/>
      <c r="O2310" s="298"/>
      <c r="P2310" s="299"/>
      <c r="Q2310" s="137" t="str">
        <f>IF($L2310=$L2312,IF($K2310=$K2312,IF($J2310&lt;&gt;"",IF($J2310&gt;$J2312,"W","L"),""),IF($K2310&gt;$K2312,"W","L")),IF($L2310&gt;$L2312,"W","L"))</f>
        <v/>
      </c>
      <c r="R2310" s="1"/>
      <c r="S2310" s="110"/>
      <c r="T2310" s="110"/>
      <c r="U2310" s="110"/>
      <c r="V2310" s="110"/>
      <c r="W2310" s="110"/>
      <c r="X2310" s="111"/>
      <c r="Y2310" s="111"/>
      <c r="Z2310" s="111"/>
      <c r="AA2310" s="111"/>
    </row>
    <row r="2311" spans="1:32" ht="12.75" customHeight="1">
      <c r="A2311" s="301"/>
      <c r="B2311" s="295"/>
      <c r="C2311" s="296"/>
      <c r="D2311" s="296"/>
      <c r="E2311" s="296"/>
      <c r="F2311" s="296"/>
      <c r="G2311" s="296"/>
      <c r="H2311" s="270"/>
      <c r="I2311" s="270"/>
      <c r="J2311" s="270"/>
      <c r="K2311" s="270"/>
      <c r="L2311" s="270"/>
      <c r="M2311" s="297"/>
      <c r="N2311" s="298"/>
      <c r="O2311" s="298"/>
      <c r="P2311" s="299"/>
      <c r="Q2311" s="139" t="str">
        <f>IF($Q2310&lt;&gt;"",IF($Q2310="W",IF(SUM(IF($H2310&gt;$H2312,1,0),IF($I2310&gt;$I2312,1,0),IF($J2310&gt;$J2312,1,0),IF($K2310&gt;$K2312,1,0),IF($L2310&gt;$L2312,1,0))&lt;&gt;3,"Error",""),""),"")</f>
        <v/>
      </c>
      <c r="R2311" s="328" t="str">
        <f>$A2305</f>
        <v/>
      </c>
      <c r="S2311" s="328"/>
      <c r="T2311" s="328"/>
      <c r="U2311" s="328"/>
      <c r="V2311" s="328"/>
      <c r="W2311" s="328"/>
      <c r="X2311" s="256" t="str">
        <f>CONCATENATE("(",$B2304," vs ",$K2304,")")</f>
        <v>(D vs H)</v>
      </c>
      <c r="Y2311" s="256"/>
      <c r="Z2311" s="328" t="str">
        <f>$J2305</f>
        <v/>
      </c>
      <c r="AA2311" s="328"/>
      <c r="AB2311" s="328"/>
      <c r="AC2311" s="328"/>
      <c r="AD2311" s="328"/>
      <c r="AE2311" s="328"/>
      <c r="AF2311" s="43"/>
    </row>
    <row r="2312" spans="1:32" ht="12.75" customHeight="1">
      <c r="A2312" s="300" t="str">
        <f>K2304</f>
        <v>H</v>
      </c>
      <c r="B2312" s="293" t="str">
        <f ca="1">IF(AND(OFFSET($AO$1,$L2304-1,8,1,1),$A2305&lt;&gt;"",$J2305&lt;&gt;""),CHOOSE($L2304,$AO$1,$AO$2,$AO$3,$AO$4,$AO$5,$AO$6,$AO$7,$AO$8,$AO$9,$AO$10,$AO$11,$AO$12),"")</f>
        <v/>
      </c>
      <c r="C2312" s="294"/>
      <c r="D2312" s="294"/>
      <c r="E2312" s="294"/>
      <c r="F2312" s="294"/>
      <c r="G2312" s="294"/>
      <c r="H2312" s="265"/>
      <c r="I2312" s="265"/>
      <c r="J2312" s="265"/>
      <c r="K2312" s="265"/>
      <c r="L2312" s="265"/>
      <c r="M2312" s="267" t="s">
        <v>1237</v>
      </c>
      <c r="N2312" s="268"/>
      <c r="O2312" s="268"/>
      <c r="P2312" s="269"/>
      <c r="Q2312" s="137" t="str">
        <f>IF($Q2310&lt;&gt;"",IF($Q2310="W","L","W"),"")</f>
        <v/>
      </c>
      <c r="R2312" s="43"/>
      <c r="S2312" s="43"/>
      <c r="T2312" s="43"/>
      <c r="U2312" s="43"/>
      <c r="V2312" s="43"/>
      <c r="W2312" s="43"/>
      <c r="X2312" s="43"/>
      <c r="Y2312" s="43"/>
      <c r="Z2312" s="43"/>
      <c r="AA2312" s="43"/>
      <c r="AB2312" s="43"/>
      <c r="AC2312" s="43"/>
      <c r="AD2312" s="43"/>
      <c r="AE2312" s="43"/>
      <c r="AF2312" s="43"/>
    </row>
    <row r="2313" spans="1:32" ht="12.75" customHeight="1">
      <c r="A2313" s="301"/>
      <c r="B2313" s="295"/>
      <c r="C2313" s="296"/>
      <c r="D2313" s="296"/>
      <c r="E2313" s="296"/>
      <c r="F2313" s="296"/>
      <c r="G2313" s="296"/>
      <c r="H2313" s="270"/>
      <c r="I2313" s="270"/>
      <c r="J2313" s="266"/>
      <c r="K2313" s="266"/>
      <c r="L2313" s="266"/>
      <c r="M2313" s="267"/>
      <c r="N2313" s="268"/>
      <c r="O2313" s="268"/>
      <c r="P2313" s="269"/>
      <c r="Q2313" s="139" t="str">
        <f>IF($Q2312&lt;&gt;"",IF($Q2312="W",IF(SUM(IF($H2312&gt;$H2310,1,0),IF($I2312&gt;$I2310,1,0),IF($J2312&gt;$J2310,1,0),IF($K2312&gt;$K2310,1,0),IF($L2312&gt;$L2310,1,0))&lt;&gt;3,"Error",""),""),"")</f>
        <v/>
      </c>
      <c r="R2313" s="43" t="str">
        <f>$A2315</f>
        <v>2nd Singles</v>
      </c>
      <c r="S2313" s="43"/>
      <c r="T2313" s="43"/>
      <c r="U2313" s="43"/>
      <c r="V2313" s="43"/>
      <c r="W2313" s="43"/>
      <c r="X2313" s="43"/>
      <c r="Y2313" s="43"/>
      <c r="Z2313" s="43"/>
      <c r="AA2313" s="43"/>
      <c r="AB2313" s="43"/>
      <c r="AC2313" s="43"/>
      <c r="AD2313" s="43"/>
      <c r="AE2313" s="43"/>
      <c r="AF2313" s="43"/>
    </row>
    <row r="2314" spans="1:32" ht="12.75" customHeight="1">
      <c r="Q2314" s="7"/>
      <c r="R2314" s="60" t="s">
        <v>1228</v>
      </c>
      <c r="S2314" s="339" t="s">
        <v>1126</v>
      </c>
      <c r="T2314" s="340"/>
      <c r="U2314" s="340"/>
      <c r="V2314" s="340"/>
      <c r="W2314" s="340"/>
      <c r="X2314" s="341"/>
      <c r="Y2314" s="60">
        <v>1</v>
      </c>
      <c r="Z2314" s="60">
        <v>2</v>
      </c>
      <c r="AA2314" s="60">
        <v>3</v>
      </c>
      <c r="AB2314" s="60">
        <v>4</v>
      </c>
      <c r="AC2314" s="60">
        <v>5</v>
      </c>
      <c r="AD2314" s="342"/>
      <c r="AE2314" s="343"/>
      <c r="AF2314" s="344"/>
    </row>
    <row r="2315" spans="1:32" ht="12.75" customHeight="1">
      <c r="A2315" s="21" t="s">
        <v>1234</v>
      </c>
      <c r="H2315" s="136" t="str">
        <f>IF($Q2317&lt;&gt;"",IF(AND(AND($H2317&gt;-1,$H2319&gt;-1),OR($H2317&gt;10,$H2319&gt;10),ABS($H2317-$H2319)&gt;1,IF(OR($H2317&gt;11,$H2319&gt;11),ABS($H2317-$H2319)=2,TRUE),$H2317=INT($H2317),$H2319=INT($H2319)),"","Error"),"")</f>
        <v/>
      </c>
      <c r="I2315" s="136" t="str">
        <f>IF($Q2317&lt;&gt;"",IF(AND(AND($I2317&gt;-1,$I2319&gt;-1),OR($I2317&gt;10,$I2319&gt;10),ABS($I2317-$I2319)&gt;1,IF(OR($I2317&gt;11,$I2319&gt;11),ABS($I2317-$I2319)=2,TRUE),$I2317=INT($I2317),$I2319=INT($I2319)),"","Error"),"")</f>
        <v/>
      </c>
      <c r="J2315" s="136" t="str">
        <f>IF($Q2317&lt;&gt;"",IF(AND(AND($J2317&gt;-1,$J2319&gt;-1),OR($J2317&gt;10,$J2319&gt;10),ABS($J2317-$J2319)&gt;1,IF(OR($J2317&gt;11,$J2319&gt;11),ABS($J2317-$J2319)=2,TRUE),$J2317=INT($J2317),$J2319=INT($J2319)),"","Error"),"")</f>
        <v/>
      </c>
      <c r="K2315" s="136" t="str">
        <f>IF($Q2317&lt;&gt;"",IF(AND($K2317&lt;&gt;"",$K2319&lt;&gt;""), IF(AND(AND($K2317&gt;-1,$K2319&gt;-1),OR($K2317&gt;10,$K2319&gt;10),ABS($K2317-$K2319)&gt;1,IF(OR($K2317&gt;11,$K2319&gt;11),ABS($K2317-$K2319)=2,TRUE),$K2317=INT($K2317),$K2319=INT($K2319)),"","Error"),""),"")</f>
        <v/>
      </c>
      <c r="L2315" s="136" t="str">
        <f>IF($Q2317&lt;&gt;"",IF(AND($L2317&lt;&gt;"",$L2319&lt;&gt;""), IF(AND(AND($L2317&gt;-1,$L2319&gt;-1),OR($L2317&gt;10,$L2319&gt;10),ABS($L2317-$L2319)&gt;1,IF(OR($L2317&gt;11,$L2319&gt;11),ABS($L2317-$L2319)=2,TRUE),$L2317=INT($L2317),$L2319=INT($L2319)),"","Error"),""),"")</f>
        <v/>
      </c>
      <c r="Q2315" s="7"/>
      <c r="R2315" s="300" t="str">
        <f>$B2304</f>
        <v>D</v>
      </c>
      <c r="S2315" s="331" t="str">
        <f ca="1">IF($B2317&lt;&gt;"",$B2317,"")</f>
        <v/>
      </c>
      <c r="T2315" s="332"/>
      <c r="U2315" s="332"/>
      <c r="V2315" s="332"/>
      <c r="W2315" s="332"/>
      <c r="X2315" s="333"/>
      <c r="Y2315" s="329"/>
      <c r="Z2315" s="329"/>
      <c r="AA2315" s="329"/>
      <c r="AB2315" s="329"/>
      <c r="AC2315" s="329"/>
      <c r="AD2315" s="345"/>
      <c r="AE2315" s="358"/>
      <c r="AF2315" s="359"/>
    </row>
    <row r="2316" spans="1:32" ht="12.75" customHeight="1">
      <c r="A2316" s="5" t="s">
        <v>1228</v>
      </c>
      <c r="B2316" s="290" t="s">
        <v>1126</v>
      </c>
      <c r="C2316" s="291"/>
      <c r="D2316" s="291"/>
      <c r="E2316" s="291"/>
      <c r="F2316" s="291"/>
      <c r="G2316" s="292"/>
      <c r="H2316" s="5">
        <v>1</v>
      </c>
      <c r="I2316" s="5">
        <v>2</v>
      </c>
      <c r="J2316" s="5">
        <v>3</v>
      </c>
      <c r="K2316" s="5">
        <v>4</v>
      </c>
      <c r="L2316" s="5">
        <v>5</v>
      </c>
      <c r="M2316" s="271"/>
      <c r="N2316" s="272"/>
      <c r="O2316" s="272"/>
      <c r="P2316" s="273"/>
      <c r="Q2316" s="7"/>
      <c r="R2316" s="330"/>
      <c r="S2316" s="334"/>
      <c r="T2316" s="335"/>
      <c r="U2316" s="335"/>
      <c r="V2316" s="335"/>
      <c r="W2316" s="335"/>
      <c r="X2316" s="336"/>
      <c r="Y2316" s="330"/>
      <c r="Z2316" s="330"/>
      <c r="AA2316" s="330"/>
      <c r="AB2316" s="330"/>
      <c r="AC2316" s="330"/>
      <c r="AD2316" s="360"/>
      <c r="AE2316" s="361"/>
      <c r="AF2316" s="362"/>
    </row>
    <row r="2317" spans="1:32" ht="12.75" customHeight="1">
      <c r="A2317" s="300" t="str">
        <f>B2304</f>
        <v>D</v>
      </c>
      <c r="B2317" s="293" t="str">
        <f ca="1">IF(AND(OFFSET($AO$1,$C2304-1,8,1,1),$A2305&lt;&gt;"",$J2305&lt;&gt;""),CHOOSE($C2304,$AP$1,$AP$2,$AP$3,$AP$4,$AP$5,$AP$6,$AP$7,$AP$8,$AP$9,$AP$10,$AP$11,$AP$12),"")</f>
        <v/>
      </c>
      <c r="C2317" s="294"/>
      <c r="D2317" s="294"/>
      <c r="E2317" s="294"/>
      <c r="F2317" s="294"/>
      <c r="G2317" s="294"/>
      <c r="H2317" s="265"/>
      <c r="I2317" s="265"/>
      <c r="J2317" s="265"/>
      <c r="K2317" s="265"/>
      <c r="L2317" s="265"/>
      <c r="M2317" s="262" t="str">
        <f ca="1">IF(OR(AND($B2310&lt;&gt;"",$B2317&lt;&gt;"",$C2335&lt;=$B2335),AND($B2312&lt;&gt;"",$B2319&lt;&gt;"",$G2335&lt;=$F2335)),"Invalid Lineup","")</f>
        <v/>
      </c>
      <c r="N2317" s="263"/>
      <c r="O2317" s="263"/>
      <c r="P2317" s="264"/>
      <c r="Q2317" s="137" t="str">
        <f>IF($L2317=$L2319,IF($K2317=$K2319,IF($J2317&lt;&gt;"",IF($J2317&gt;$J2319,"W","L"),""),IF($K2317&gt;$K2319,"W","L")),IF($L2317&gt;$L2319,"W","L"))</f>
        <v/>
      </c>
      <c r="R2317" s="300" t="str">
        <f>$K2304</f>
        <v>H</v>
      </c>
      <c r="S2317" s="331" t="str">
        <f ca="1">IF($B2319&lt;&gt;"",$B2319,"")</f>
        <v/>
      </c>
      <c r="T2317" s="332"/>
      <c r="U2317" s="332"/>
      <c r="V2317" s="332"/>
      <c r="W2317" s="332"/>
      <c r="X2317" s="333"/>
      <c r="Y2317" s="329"/>
      <c r="Z2317" s="329"/>
      <c r="AA2317" s="329"/>
      <c r="AB2317" s="329"/>
      <c r="AC2317" s="351"/>
      <c r="AD2317" s="363" t="s">
        <v>1237</v>
      </c>
      <c r="AE2317" s="358"/>
      <c r="AF2317" s="359"/>
    </row>
    <row r="2318" spans="1:32" ht="12.75" customHeight="1">
      <c r="A2318" s="301"/>
      <c r="B2318" s="295"/>
      <c r="C2318" s="296"/>
      <c r="D2318" s="296"/>
      <c r="E2318" s="296"/>
      <c r="F2318" s="296"/>
      <c r="G2318" s="296"/>
      <c r="H2318" s="270"/>
      <c r="I2318" s="270"/>
      <c r="J2318" s="270"/>
      <c r="K2318" s="270"/>
      <c r="L2318" s="270"/>
      <c r="M2318" s="262"/>
      <c r="N2318" s="263"/>
      <c r="O2318" s="263"/>
      <c r="P2318" s="264"/>
      <c r="Q2318" s="139" t="str">
        <f>IF($Q2317&lt;&gt;"",IF($Q2317="W",IF(SUM(IF($H2317&gt;$H2319,1,0),IF($I2317&gt;$I2319,1,0),IF($J2317&gt;$J2319,1,0),IF($K2317&gt;$K2319,1,0),IF($L2317&gt;$L2319,1,0))&lt;&gt;3,"Error",""),""),"")</f>
        <v/>
      </c>
      <c r="R2318" s="330"/>
      <c r="S2318" s="334"/>
      <c r="T2318" s="335"/>
      <c r="U2318" s="335"/>
      <c r="V2318" s="335"/>
      <c r="W2318" s="335"/>
      <c r="X2318" s="336"/>
      <c r="Y2318" s="330"/>
      <c r="Z2318" s="330"/>
      <c r="AA2318" s="330"/>
      <c r="AB2318" s="330"/>
      <c r="AC2318" s="330"/>
      <c r="AD2318" s="360"/>
      <c r="AE2318" s="361"/>
      <c r="AF2318" s="362"/>
    </row>
    <row r="2319" spans="1:32" ht="12.75" customHeight="1">
      <c r="A2319" s="300" t="str">
        <f>K2304</f>
        <v>H</v>
      </c>
      <c r="B2319" s="293" t="str">
        <f ca="1">IF(AND(OFFSET($AO$1,$L2304-1,8,1,1),$A2305&lt;&gt;"",$J2305&lt;&gt;""),CHOOSE($L2304,$AP$1,$AP$2,$AP$3,$AP$4,$AP$5,$AP$6,$AP$7,$AP$8,$AP$9,$AP$10,$AP$11,$AP$12),"")</f>
        <v/>
      </c>
      <c r="C2319" s="294"/>
      <c r="D2319" s="294"/>
      <c r="E2319" s="294"/>
      <c r="F2319" s="294"/>
      <c r="G2319" s="294"/>
      <c r="H2319" s="265"/>
      <c r="I2319" s="265"/>
      <c r="J2319" s="265"/>
      <c r="K2319" s="265"/>
      <c r="L2319" s="265"/>
      <c r="M2319" s="267" t="s">
        <v>1237</v>
      </c>
      <c r="N2319" s="268"/>
      <c r="O2319" s="268"/>
      <c r="P2319" s="269"/>
      <c r="Q2319" s="137" t="str">
        <f>IF($Q2317&lt;&gt;"",IF($Q2317="W","L","W"),"")</f>
        <v/>
      </c>
      <c r="R2319" s="20"/>
      <c r="S2319" s="20"/>
      <c r="T2319" s="20"/>
      <c r="U2319" s="20"/>
      <c r="V2319" s="20"/>
      <c r="W2319" s="20"/>
      <c r="X2319" s="26"/>
      <c r="Y2319" s="26"/>
      <c r="Z2319" s="20"/>
      <c r="AA2319" s="20"/>
      <c r="AB2319" s="20"/>
      <c r="AC2319" s="20"/>
      <c r="AD2319" s="20"/>
      <c r="AE2319" s="20"/>
      <c r="AF2319" s="27"/>
    </row>
    <row r="2320" spans="1:32" ht="12.75" customHeight="1">
      <c r="A2320" s="301"/>
      <c r="B2320" s="295"/>
      <c r="C2320" s="296"/>
      <c r="D2320" s="296"/>
      <c r="E2320" s="296"/>
      <c r="F2320" s="296"/>
      <c r="G2320" s="296"/>
      <c r="H2320" s="270"/>
      <c r="I2320" s="270"/>
      <c r="J2320" s="266"/>
      <c r="K2320" s="266"/>
      <c r="L2320" s="266"/>
      <c r="M2320" s="267"/>
      <c r="N2320" s="268"/>
      <c r="O2320" s="268"/>
      <c r="P2320" s="269"/>
      <c r="Q2320" s="139" t="str">
        <f>IF($Q2319&lt;&gt;"",IF($Q2319="W",IF(SUM(IF($H2319&gt;$H2317,1,0),IF($I2319&gt;$I2317,1,0),IF($J2319&gt;$J2317,1,0),IF($K2319&gt;$K2317,1,0),IF($L2319&gt;$L2317,1,0))&lt;&gt;3,"Error",""),""),"")</f>
        <v/>
      </c>
      <c r="R2320" s="20"/>
      <c r="S2320" s="20"/>
      <c r="T2320" s="20"/>
      <c r="U2320" s="20"/>
      <c r="V2320" s="20"/>
      <c r="W2320" s="20"/>
      <c r="X2320" s="26"/>
      <c r="Y2320" s="26"/>
      <c r="Z2320" s="20"/>
      <c r="AA2320" s="20"/>
      <c r="AB2320" s="20"/>
      <c r="AC2320" s="20"/>
      <c r="AD2320" s="20"/>
      <c r="AE2320" s="20"/>
      <c r="AF2320" s="27"/>
    </row>
    <row r="2321" spans="1:32" ht="12.75" customHeight="1">
      <c r="Q2321" s="7"/>
      <c r="R2321" s="20"/>
      <c r="S2321" s="20"/>
      <c r="T2321" s="20"/>
      <c r="U2321" s="20"/>
      <c r="V2321" s="20"/>
      <c r="W2321" s="20"/>
      <c r="X2321" s="26"/>
      <c r="Y2321" s="26"/>
      <c r="Z2321" s="20"/>
      <c r="AA2321" s="20"/>
      <c r="AB2321" s="20"/>
      <c r="AC2321" s="20"/>
      <c r="AD2321" s="20"/>
      <c r="AE2321" s="20"/>
      <c r="AF2321" s="27"/>
    </row>
    <row r="2322" spans="1:32" ht="12.75" customHeight="1">
      <c r="A2322" s="21" t="s">
        <v>1235</v>
      </c>
      <c r="H2322" s="136" t="str">
        <f>IF($Q2324&lt;&gt;"",IF(AND(AND($H2324&gt;-1,$H2326&gt;-1),OR($H2324&gt;10,$H2326&gt;10),ABS($H2324-$H2326)&gt;1,IF(OR($H2324&gt;11,$H2326&gt;11),ABS($H2324-$H2326)=2,TRUE),$H2324=INT($H2324),$H2326=INT($H2326)),"","Error"),"")</f>
        <v/>
      </c>
      <c r="I2322" s="136" t="str">
        <f>IF($Q2324&lt;&gt;"",IF(AND(AND($I2324&gt;-1,$I2326&gt;-1),OR($I2324&gt;10,$I2326&gt;10),ABS($I2324-$I2326)&gt;1,IF(OR($I2324&gt;11,$I2326&gt;11),ABS($I2324-$I2326)=2,TRUE),$I2324=INT($I2324),$I2326=INT($I2326)),"","Error"),"")</f>
        <v/>
      </c>
      <c r="J2322" s="136" t="str">
        <f>IF($Q2324&lt;&gt;"",IF(AND(AND($J2324&gt;-1,$J2326&gt;-1),OR($J2324&gt;10,$J2326&gt;10),ABS($J2324-$J2326)&gt;1,IF(OR($J2324&gt;11,$J2326&gt;11),ABS($J2324-$J2326)=2,TRUE),$J2324=INT($J2324),$J2326=INT($J2326)),"","Error"),"")</f>
        <v/>
      </c>
      <c r="K2322" s="136" t="str">
        <f>IF($Q2324&lt;&gt;"",IF(AND($K2324&lt;&gt;"",$K2326&lt;&gt;""), IF(AND(AND($K2324&gt;-1,$K2326&gt;-1),OR($K2324&gt;10,$K2326&gt;10),ABS($K2324-$K2326)&gt;1,IF(OR($K2324&gt;11,$K2326&gt;11),ABS($K2324-$K2326)=2,TRUE),$K2324=INT($K2324),$K2326=INT($K2326)),"","Error"),""),"")</f>
        <v/>
      </c>
      <c r="L2322" s="136" t="str">
        <f>IF($Q2324&lt;&gt;"",IF(AND($L2324&lt;&gt;"",$L2326&lt;&gt;""), IF(AND(AND($L2324&gt;-1,$L2326&gt;-1),OR($L2324&gt;10,$L2326&gt;10),ABS($L2324-$L2326)&gt;1,IF(OR($L2324&gt;11,$L2326&gt;11),ABS($L2324-$L2326)=2,TRUE),$L2324=INT($L2324),$L2326=INT($L2326)),"","Error"),""),"")</f>
        <v/>
      </c>
      <c r="Q2322" s="7"/>
      <c r="R2322" s="20"/>
      <c r="S2322" s="20"/>
      <c r="T2322" s="20"/>
      <c r="U2322" s="20"/>
      <c r="V2322" s="20"/>
      <c r="W2322" s="20"/>
      <c r="X2322" s="26"/>
      <c r="Y2322" s="26"/>
      <c r="Z2322" s="20"/>
      <c r="AA2322" s="20"/>
      <c r="AB2322" s="20"/>
      <c r="AC2322" s="20"/>
      <c r="AD2322" s="20"/>
      <c r="AE2322" s="20"/>
      <c r="AF2322" s="27"/>
    </row>
    <row r="2323" spans="1:32" ht="12.75" customHeight="1">
      <c r="A2323" s="5" t="s">
        <v>1228</v>
      </c>
      <c r="B2323" s="290" t="s">
        <v>1126</v>
      </c>
      <c r="C2323" s="291"/>
      <c r="D2323" s="291"/>
      <c r="E2323" s="291"/>
      <c r="F2323" s="291"/>
      <c r="G2323" s="292"/>
      <c r="H2323" s="5">
        <v>1</v>
      </c>
      <c r="I2323" s="5">
        <v>2</v>
      </c>
      <c r="J2323" s="5">
        <v>3</v>
      </c>
      <c r="K2323" s="5">
        <v>4</v>
      </c>
      <c r="L2323" s="5">
        <v>5</v>
      </c>
      <c r="M2323" s="271"/>
      <c r="N2323" s="272"/>
      <c r="O2323" s="272"/>
      <c r="P2323" s="273"/>
      <c r="Q2323" s="7"/>
      <c r="R2323" s="20"/>
      <c r="S2323" s="20"/>
      <c r="T2323" s="20"/>
      <c r="U2323" s="20"/>
      <c r="V2323" s="20"/>
      <c r="W2323" s="20"/>
      <c r="X2323" s="26"/>
      <c r="Y2323" s="26"/>
      <c r="Z2323" s="20"/>
      <c r="AA2323" s="20"/>
      <c r="AB2323" s="20"/>
      <c r="AC2323" s="20"/>
      <c r="AD2323" s="20"/>
      <c r="AE2323" s="20"/>
      <c r="AF2323" s="27"/>
    </row>
    <row r="2324" spans="1:32" ht="12.75" customHeight="1">
      <c r="A2324" s="300" t="str">
        <f>B2304</f>
        <v>D</v>
      </c>
      <c r="B2324" s="293" t="str">
        <f ca="1">IF(AND(OFFSET($AO$1,$C2304-1,8,1,1),$A2305&lt;&gt;"",$J2305&lt;&gt;""),CHOOSE($C2304,$AQ$1,$AQ$2,$AQ$3,$AQ$4,$AQ$5,$AQ$6,$AQ$7,$AQ$8,$AQ$9,$AQ$10,$AQ$11,$AQ$12),"")</f>
        <v/>
      </c>
      <c r="C2324" s="294"/>
      <c r="D2324" s="294"/>
      <c r="E2324" s="294"/>
      <c r="F2324" s="294"/>
      <c r="G2324" s="294"/>
      <c r="H2324" s="265"/>
      <c r="I2324" s="265"/>
      <c r="J2324" s="265"/>
      <c r="K2324" s="265"/>
      <c r="L2324" s="265"/>
      <c r="M2324" s="262" t="str">
        <f ca="1">IF(OR(AND($B2317&lt;&gt;"",$B2324&lt;&gt;"",$D2335&lt;=$C2335),AND($B2319&lt;&gt;"",$B2326&lt;&gt;"",$H2335&lt;=$G2335)),"Invalid Lineup","")</f>
        <v/>
      </c>
      <c r="N2324" s="263"/>
      <c r="O2324" s="263"/>
      <c r="P2324" s="264"/>
      <c r="Q2324" s="137" t="str">
        <f>IF($L2324=$L2326,IF($K2324=$K2326,IF($J2324&lt;&gt;"",IF($J2324&gt;$J2326,"W","L"),""),IF($K2324&gt;$K2326,"W","L")),IF($L2324&gt;$L2326,"W","L"))</f>
        <v/>
      </c>
      <c r="R2324" s="20"/>
      <c r="S2324" s="20"/>
      <c r="T2324" s="20"/>
      <c r="U2324" s="20"/>
      <c r="V2324" s="20"/>
      <c r="W2324" s="20"/>
      <c r="X2324" s="26"/>
      <c r="Y2324" s="26"/>
      <c r="Z2324" s="20"/>
      <c r="AA2324" s="20"/>
      <c r="AB2324" s="20"/>
      <c r="AC2324" s="20"/>
      <c r="AD2324" s="20"/>
      <c r="AE2324" s="20"/>
      <c r="AF2324" s="27"/>
    </row>
    <row r="2325" spans="1:32" ht="12.75" customHeight="1">
      <c r="A2325" s="301"/>
      <c r="B2325" s="295"/>
      <c r="C2325" s="296"/>
      <c r="D2325" s="296"/>
      <c r="E2325" s="296"/>
      <c r="F2325" s="296"/>
      <c r="G2325" s="296"/>
      <c r="H2325" s="270"/>
      <c r="I2325" s="270"/>
      <c r="J2325" s="270"/>
      <c r="K2325" s="270"/>
      <c r="L2325" s="270"/>
      <c r="M2325" s="262"/>
      <c r="N2325" s="263"/>
      <c r="O2325" s="263"/>
      <c r="P2325" s="264"/>
      <c r="Q2325" s="139" t="str">
        <f>IF($Q2324&lt;&gt;"",IF($Q2324="W",IF(SUM(IF($H2324&gt;$H2326,1,0),IF($I2324&gt;$I2326,1,0),IF($J2324&gt;$J2326,1,0),IF($K2324&gt;$K2326,1,0),IF($L2324&gt;$L2326,1,0))&lt;&gt;3,"Error",""),""),"")</f>
        <v/>
      </c>
      <c r="R2325" s="328" t="str">
        <f>$A2305</f>
        <v/>
      </c>
      <c r="S2325" s="328"/>
      <c r="T2325" s="328"/>
      <c r="U2325" s="328"/>
      <c r="V2325" s="328"/>
      <c r="W2325" s="328"/>
      <c r="X2325" s="256" t="str">
        <f>CONCATENATE("(",$B2304," vs ",$K2304,")")</f>
        <v>(D vs H)</v>
      </c>
      <c r="Y2325" s="256"/>
      <c r="Z2325" s="328" t="str">
        <f>$J2305</f>
        <v/>
      </c>
      <c r="AA2325" s="328"/>
      <c r="AB2325" s="328"/>
      <c r="AC2325" s="328"/>
      <c r="AD2325" s="328"/>
      <c r="AE2325" s="328"/>
      <c r="AF2325" s="100"/>
    </row>
    <row r="2326" spans="1:32" ht="12.75" customHeight="1">
      <c r="A2326" s="300" t="str">
        <f>K2304</f>
        <v>H</v>
      </c>
      <c r="B2326" s="293" t="str">
        <f ca="1">IF(AND(OFFSET($AO$1,$L2304-1,8,1,1),$A2305&lt;&gt;"",$J2305&lt;&gt;""),CHOOSE($L2304,$AQ$1,$AQ$2,$AQ$3,$AQ$4,$AQ$5,$AQ$6,$AQ$7,$AQ$8,$AQ$9,$AQ$10,$AQ$11,$AQ$12),"")</f>
        <v/>
      </c>
      <c r="C2326" s="294"/>
      <c r="D2326" s="294"/>
      <c r="E2326" s="294"/>
      <c r="F2326" s="294"/>
      <c r="G2326" s="294"/>
      <c r="H2326" s="265"/>
      <c r="I2326" s="265"/>
      <c r="J2326" s="265"/>
      <c r="K2326" s="265"/>
      <c r="L2326" s="265"/>
      <c r="M2326" s="267" t="s">
        <v>1237</v>
      </c>
      <c r="N2326" s="268"/>
      <c r="O2326" s="268"/>
      <c r="P2326" s="269"/>
      <c r="Q2326" s="137" t="str">
        <f>IF($Q2324&lt;&gt;"",IF($Q2324="W","L","W"),"")</f>
        <v/>
      </c>
      <c r="R2326" s="100"/>
      <c r="S2326" s="100"/>
      <c r="T2326" s="100"/>
      <c r="U2326" s="100"/>
      <c r="V2326" s="100"/>
      <c r="W2326" s="100"/>
      <c r="X2326" s="100"/>
      <c r="Y2326" s="100"/>
      <c r="Z2326" s="100"/>
      <c r="AA2326" s="100"/>
      <c r="AB2326" s="100"/>
      <c r="AC2326" s="100"/>
      <c r="AD2326" s="100"/>
      <c r="AE2326" s="100"/>
      <c r="AF2326" s="100"/>
    </row>
    <row r="2327" spans="1:32" ht="12.75" customHeight="1">
      <c r="A2327" s="301"/>
      <c r="B2327" s="295"/>
      <c r="C2327" s="296"/>
      <c r="D2327" s="296"/>
      <c r="E2327" s="296"/>
      <c r="F2327" s="296"/>
      <c r="G2327" s="296"/>
      <c r="H2327" s="270"/>
      <c r="I2327" s="270"/>
      <c r="J2327" s="266"/>
      <c r="K2327" s="266"/>
      <c r="L2327" s="266"/>
      <c r="M2327" s="267"/>
      <c r="N2327" s="268"/>
      <c r="O2327" s="268"/>
      <c r="P2327" s="269"/>
      <c r="Q2327" s="139" t="str">
        <f>IF($Q2326&lt;&gt;"",IF($Q2326="W",IF(SUM(IF($H2326&gt;$H2324,1,0),IF($I2326&gt;$I2324,1,0),IF($J2326&gt;$J2324,1,0),IF($K2326&gt;$K2324,1,0),IF($L2326&gt;$L2324,1,0))&lt;&gt;3,"Error",""),""),"")</f>
        <v/>
      </c>
      <c r="R2327" s="43" t="str">
        <f>$A2322</f>
        <v>3rd Singles</v>
      </c>
      <c r="S2327" s="43"/>
      <c r="T2327" s="43"/>
      <c r="U2327" s="43"/>
      <c r="V2327" s="43"/>
      <c r="W2327" s="43"/>
      <c r="X2327" s="43"/>
      <c r="Y2327" s="43"/>
      <c r="Z2327" s="43"/>
      <c r="AA2327" s="43"/>
      <c r="AB2327" s="43"/>
      <c r="AC2327" s="43"/>
      <c r="AD2327" s="43"/>
      <c r="AE2327" s="43"/>
      <c r="AF2327" s="43"/>
    </row>
    <row r="2328" spans="1:32" ht="12.75" customHeight="1">
      <c r="Q2328" s="7"/>
      <c r="R2328" s="60" t="s">
        <v>1228</v>
      </c>
      <c r="S2328" s="101" t="s">
        <v>1126</v>
      </c>
      <c r="T2328" s="102"/>
      <c r="U2328" s="102"/>
      <c r="V2328" s="102"/>
      <c r="W2328" s="102"/>
      <c r="X2328" s="103"/>
      <c r="Y2328" s="60">
        <v>1</v>
      </c>
      <c r="Z2328" s="60">
        <v>2</v>
      </c>
      <c r="AA2328" s="60">
        <v>3</v>
      </c>
      <c r="AB2328" s="60">
        <v>4</v>
      </c>
      <c r="AC2328" s="60">
        <v>5</v>
      </c>
      <c r="AD2328" s="104"/>
      <c r="AE2328" s="105"/>
      <c r="AF2328" s="106"/>
    </row>
    <row r="2329" spans="1:32" ht="12.75" customHeight="1">
      <c r="A2329" s="21" t="s">
        <v>1236</v>
      </c>
      <c r="H2329" s="136" t="str">
        <f ca="1">IF($Q2331&lt;&gt;"",IF(AND($B2331&lt;&gt;"Missing Player",$B2333&lt;&gt;"Missing Player"),IF(AND(AND($H2331&gt;-1,$H2333&gt;-1),OR($H2331&gt;10,$H2333&gt;10),ABS($H2331-$H2333)&gt;1,IF(OR($H2331&gt;11,$H2333&gt;11),ABS($H2331-$H2333)=2,TRUE),$H2331=INT($H2331),$H2333=INT($H2333)),"","Error"),""),"")</f>
        <v/>
      </c>
      <c r="I2329" s="136" t="str">
        <f ca="1">IF($Q2331&lt;&gt;"",IF(AND($B2331&lt;&gt;"Missing Player",$B2333&lt;&gt;"Missing Player"),IF(AND(AND($I2331&gt;-1,$I2333&gt;-1),OR($I2331&gt;10,$I2333&gt;10),ABS($I2331-$I2333)&gt;1,IF(OR($I2331&gt;11,$I2333&gt;11),ABS($I2331-$I2333)=2,TRUE),$I2331=INT($I2331),$I2333=INT($I2333)),"","Error"),""),"")</f>
        <v/>
      </c>
      <c r="J2329" s="136" t="str">
        <f ca="1">IF($Q2331&lt;&gt;"",IF(AND($B2331&lt;&gt;"Missing Player",$B2333&lt;&gt;"Missing Player"),IF(AND(AND($J2331&gt;-1,$J2333&gt;-1),OR($J2331&gt;10,$J2333&gt;10),ABS($J2331-$J2333)&gt;1,IF(OR($J2331&gt;11,$J2333&gt;11),ABS($J2331-$J2333)=2,TRUE),$J2331=INT($J2331),$J2333=INT($J2333)),"","Error"),""),"")</f>
        <v/>
      </c>
      <c r="K2329" s="136" t="str">
        <f ca="1">IF($Q2331&lt;&gt;"",IF(AND($K2331&lt;&gt;"",$K2333&lt;&gt;""), IF(AND(AND($K2331&gt;-1,$K2333&gt;-1),OR($K2331&gt;10,$K2333&gt;10),ABS($K2331-$K2333)&gt;1,IF(OR($K2331&gt;11,$K2333&gt;11),ABS($K2331-$K2333)=2,TRUE),$K2331=INT($K2331),$K2333=INT($K2333)),"","Error"),""),"")</f>
        <v/>
      </c>
      <c r="L2329" s="136" t="str">
        <f ca="1">IF($Q2331&lt;&gt;"",IF(AND($L2331&lt;&gt;"",$L2333&lt;&gt;""), IF(AND(AND($L2331&gt;-1,$L2333&gt;-1),OR($L2331&gt;10,$L2333&gt;10),ABS($L2331-$L2333)&gt;1,IF(OR($L2331&gt;11,$L2333&gt;11),ABS($L2331-$L2333)=2,TRUE),$L2331=INT($L2331),$L2333=INT($L2333)),"","Error"),""),"")</f>
        <v/>
      </c>
      <c r="Q2329" s="7"/>
      <c r="R2329" s="300" t="str">
        <f>$B2304</f>
        <v>D</v>
      </c>
      <c r="S2329" s="331" t="str">
        <f ca="1">IF($B2324&lt;&gt;"",$B2324,"")</f>
        <v/>
      </c>
      <c r="T2329" s="332"/>
      <c r="U2329" s="332"/>
      <c r="V2329" s="332"/>
      <c r="W2329" s="332"/>
      <c r="X2329" s="333"/>
      <c r="Y2329" s="329"/>
      <c r="Z2329" s="329"/>
      <c r="AA2329" s="329"/>
      <c r="AB2329" s="329"/>
      <c r="AC2329" s="329"/>
      <c r="AD2329" s="345"/>
      <c r="AE2329" s="358"/>
      <c r="AF2329" s="359"/>
    </row>
    <row r="2330" spans="1:32" ht="12.75" customHeight="1">
      <c r="A2330" s="5" t="s">
        <v>1228</v>
      </c>
      <c r="B2330" s="290" t="s">
        <v>1126</v>
      </c>
      <c r="C2330" s="291"/>
      <c r="D2330" s="291"/>
      <c r="E2330" s="291"/>
      <c r="F2330" s="291"/>
      <c r="G2330" s="292"/>
      <c r="H2330" s="5">
        <v>1</v>
      </c>
      <c r="I2330" s="5">
        <v>2</v>
      </c>
      <c r="J2330" s="5">
        <v>3</v>
      </c>
      <c r="K2330" s="5">
        <v>4</v>
      </c>
      <c r="L2330" s="5">
        <v>5</v>
      </c>
      <c r="M2330" s="271"/>
      <c r="N2330" s="272"/>
      <c r="O2330" s="272"/>
      <c r="P2330" s="273"/>
      <c r="Q2330" s="7"/>
      <c r="R2330" s="330"/>
      <c r="S2330" s="334"/>
      <c r="T2330" s="335"/>
      <c r="U2330" s="335"/>
      <c r="V2330" s="335"/>
      <c r="W2330" s="335"/>
      <c r="X2330" s="336"/>
      <c r="Y2330" s="330"/>
      <c r="Z2330" s="330"/>
      <c r="AA2330" s="330"/>
      <c r="AB2330" s="330"/>
      <c r="AC2330" s="330"/>
      <c r="AD2330" s="360"/>
      <c r="AE2330" s="361"/>
      <c r="AF2330" s="362"/>
    </row>
    <row r="2331" spans="1:32" ht="12.75" customHeight="1">
      <c r="A2331" s="300" t="str">
        <f>B2304</f>
        <v>D</v>
      </c>
      <c r="B2331" s="293" t="str">
        <f ca="1">IF(AND(OFFSET($AO$1,$C2304-1,8,1,1),$A2305&lt;&gt;"",$J2305&lt;&gt;""),CHOOSE($C2304,$AR$1,$AR$2,$AR$3,$AR$4,$AR$5,$AR$6,$AR$7,$AR$8,$AR$9,$AR$10,$AR$11,$AR$12),"")</f>
        <v/>
      </c>
      <c r="C2331" s="294"/>
      <c r="D2331" s="294"/>
      <c r="E2331" s="294"/>
      <c r="F2331" s="294"/>
      <c r="G2331" s="294"/>
      <c r="H2331" s="265"/>
      <c r="I2331" s="265"/>
      <c r="J2331" s="265"/>
      <c r="K2331" s="265"/>
      <c r="L2331" s="265" t="str">
        <f ca="1">IF(AND($B2331&lt;&gt;"",$Q2310&lt;&gt;""),IF($B2331="Missing Player",0,IF($B2333="Missing Player",11,"")),"")</f>
        <v/>
      </c>
      <c r="M2331" s="262" t="str">
        <f ca="1">IF(OR(AND($B2324&lt;&gt;"",$B2331&lt;&gt;"",$E2335&lt;=$D2335),AND($B2326&lt;&gt;"",$B2333&lt;&gt;"",$I2335&lt;=$H2335)),"Invalid Lineup","")</f>
        <v/>
      </c>
      <c r="N2331" s="263"/>
      <c r="O2331" s="263"/>
      <c r="P2331" s="264"/>
      <c r="Q2331" s="137" t="str">
        <f ca="1">IF($L2331=$L2333,IF($K2331=$K2333,IF($J2331&lt;&gt;"",IF($J2331&gt;$J2333,"W","L"),""),IF($K2331&gt;$K2333,"W","L")),IF($L2331&gt;$L2333,"W","L"))</f>
        <v/>
      </c>
      <c r="R2331" s="300" t="str">
        <f>$K2304</f>
        <v>H</v>
      </c>
      <c r="S2331" s="331" t="str">
        <f ca="1">IF($B2326&lt;&gt;"",$B2326,"")</f>
        <v/>
      </c>
      <c r="T2331" s="332"/>
      <c r="U2331" s="332"/>
      <c r="V2331" s="332"/>
      <c r="W2331" s="332"/>
      <c r="X2331" s="333"/>
      <c r="Y2331" s="329"/>
      <c r="Z2331" s="329"/>
      <c r="AA2331" s="329"/>
      <c r="AB2331" s="329"/>
      <c r="AC2331" s="351"/>
      <c r="AD2331" s="363" t="s">
        <v>1237</v>
      </c>
      <c r="AE2331" s="358"/>
      <c r="AF2331" s="359"/>
    </row>
    <row r="2332" spans="1:32" ht="12.75" customHeight="1">
      <c r="A2332" s="301"/>
      <c r="B2332" s="295"/>
      <c r="C2332" s="296"/>
      <c r="D2332" s="296"/>
      <c r="E2332" s="296"/>
      <c r="F2332" s="296"/>
      <c r="G2332" s="296"/>
      <c r="H2332" s="270"/>
      <c r="I2332" s="270"/>
      <c r="J2332" s="270"/>
      <c r="K2332" s="270"/>
      <c r="L2332" s="270"/>
      <c r="M2332" s="262"/>
      <c r="N2332" s="263"/>
      <c r="O2332" s="263"/>
      <c r="P2332" s="264"/>
      <c r="Q2332" s="139" t="str">
        <f ca="1">IF($Q2331&lt;&gt;"",IF($B2333&lt;&gt;"Missing Player",IF($Q2331="W",IF(SUM(IF($H2331&gt;$H2333,1,0),IF($I2331&gt;$I2333,1,0),IF($J2331&gt;$J2333,1,0),IF($K2331&gt;$K2333,1,0),IF($L2331&gt;$L2333,1,0))&lt;&gt;3,"Error",""),""),""),"")</f>
        <v/>
      </c>
      <c r="R2332" s="330"/>
      <c r="S2332" s="334"/>
      <c r="T2332" s="335"/>
      <c r="U2332" s="335"/>
      <c r="V2332" s="335"/>
      <c r="W2332" s="335"/>
      <c r="X2332" s="336"/>
      <c r="Y2332" s="330"/>
      <c r="Z2332" s="330"/>
      <c r="AA2332" s="330"/>
      <c r="AB2332" s="330"/>
      <c r="AC2332" s="330"/>
      <c r="AD2332" s="360"/>
      <c r="AE2332" s="361"/>
      <c r="AF2332" s="362"/>
    </row>
    <row r="2333" spans="1:32" ht="12.75" customHeight="1">
      <c r="A2333" s="300" t="str">
        <f>K2304</f>
        <v>H</v>
      </c>
      <c r="B2333" s="293" t="str">
        <f ca="1">IF(AND(OFFSET($AO$1,$L2304-1,8,1,1),$A2305&lt;&gt;"",$J2305&lt;&gt;""),CHOOSE($L2304,$AR$1,$AR$2,$AR$3,$AR$4,$AR$5,$AR$6,$AR$7,$AR$8,$AR$9,$AR$10,$AR$11,$AR$12),"")</f>
        <v/>
      </c>
      <c r="C2333" s="294"/>
      <c r="D2333" s="294"/>
      <c r="E2333" s="294"/>
      <c r="F2333" s="294"/>
      <c r="G2333" s="294"/>
      <c r="H2333" s="265"/>
      <c r="I2333" s="265"/>
      <c r="J2333" s="265"/>
      <c r="K2333" s="265"/>
      <c r="L2333" s="265" t="str">
        <f ca="1">IF(AND($B2333&lt;&gt;"",$Q2310&lt;&gt;""),IF($B2333="Missing Player",0,IF($B2331="Missing Player",11,"")),"")</f>
        <v/>
      </c>
      <c r="M2333" s="267" t="s">
        <v>1237</v>
      </c>
      <c r="N2333" s="268"/>
      <c r="O2333" s="268"/>
      <c r="P2333" s="269"/>
      <c r="Q2333" s="137" t="str">
        <f ca="1">IF($Q2331&lt;&gt;"",IF($Q2331="W","L","W"),"")</f>
        <v/>
      </c>
      <c r="R2333" s="112"/>
      <c r="S2333" s="98"/>
      <c r="T2333" s="108"/>
      <c r="U2333" s="108"/>
      <c r="V2333" s="108"/>
      <c r="W2333" s="108"/>
      <c r="X2333" s="108"/>
      <c r="Y2333" s="113"/>
      <c r="Z2333" s="113"/>
      <c r="AA2333" s="113"/>
      <c r="AB2333" s="113"/>
      <c r="AC2333" s="113"/>
      <c r="AD2333" s="107"/>
      <c r="AE2333" s="109"/>
      <c r="AF2333" s="109"/>
    </row>
    <row r="2334" spans="1:32" ht="12.75" customHeight="1">
      <c r="A2334" s="301"/>
      <c r="B2334" s="295"/>
      <c r="C2334" s="296"/>
      <c r="D2334" s="296"/>
      <c r="E2334" s="296"/>
      <c r="F2334" s="296"/>
      <c r="G2334" s="296"/>
      <c r="H2334" s="270"/>
      <c r="I2334" s="270"/>
      <c r="J2334" s="266"/>
      <c r="K2334" s="266"/>
      <c r="L2334" s="266"/>
      <c r="M2334" s="267"/>
      <c r="N2334" s="268"/>
      <c r="O2334" s="268"/>
      <c r="P2334" s="269"/>
      <c r="Q2334" s="139" t="str">
        <f ca="1">IF($Q2333&lt;&gt;"",IF($B2331&lt;&gt;"Missing Player",IF($Q2333="W",IF(SUM(IF($H2333&gt;$H2331,1,0),IF($I2333&gt;$I2331,1,0),IF($J2333&gt;$J2331,1,0),IF($K2333&gt;$K2331,1,0),IF($L2333&gt;$L2331,1,0))&lt;&gt;3,"Error",""),""),""),"")</f>
        <v/>
      </c>
      <c r="R2334" s="114"/>
      <c r="S2334" s="115"/>
      <c r="T2334" s="115"/>
      <c r="U2334" s="115"/>
      <c r="V2334" s="115"/>
      <c r="W2334" s="115"/>
      <c r="X2334" s="115"/>
      <c r="Y2334" s="114"/>
      <c r="Z2334" s="114"/>
      <c r="AA2334" s="114"/>
      <c r="AB2334" s="114"/>
      <c r="AC2334" s="114"/>
      <c r="AD2334" s="114"/>
      <c r="AE2334" s="114"/>
      <c r="AF2334" s="114"/>
    </row>
    <row r="2335" spans="1:32" ht="12.75" customHeight="1">
      <c r="B2335" s="140" t="str">
        <f ca="1">IF(ISERROR(VLOOKUP($B2310&amp;"("&amp;$B2304&amp;")",Players!$S$4:$T$132,2,FALSE)),"",VLOOKUP($B2310&amp;"("&amp;$B2304&amp;")",Players!$S$4:$T$132,2,FALSE))</f>
        <v>D1</v>
      </c>
      <c r="C2335" s="140" t="str">
        <f ca="1">IF(ISERROR(VLOOKUP($B2317&amp;"("&amp;$B2304&amp;")",Players!$S$4:$T$132,2,FALSE)),"",VLOOKUP($B2317&amp;"("&amp;$B2304&amp;")",Players!$S$4:$T$132,2,FALSE))</f>
        <v>D1</v>
      </c>
      <c r="D2335" s="141" t="str">
        <f ca="1">IF(ISERROR(VLOOKUP($B2324&amp;"("&amp;$B2304&amp;")",Players!$S$4:$T$132,2,FALSE)),"",VLOOKUP($B2324&amp;"("&amp;$B2304&amp;")",Players!$S$4:$T$132,2,FALSE))</f>
        <v>D1</v>
      </c>
      <c r="E2335" s="141" t="str">
        <f ca="1">IF(ISERROR(VLOOKUP($B2331&amp;"("&amp;$B2304&amp;")",Players!$S$4:$T$132,2,FALSE)),"",VLOOKUP($B2331&amp;"("&amp;$B2304&amp;")",Players!$S$4:$T$132,2,FALSE))</f>
        <v>D1</v>
      </c>
      <c r="F2335" s="141" t="str">
        <f ca="1">IF(ISERROR(VLOOKUP($B2312&amp;"("&amp;$K2304&amp;")",Players!$S$4:$T$132,2,FALSE)),"",VLOOKUP($B2312&amp;"("&amp;$K2304&amp;")",Players!$S$4:$T$132,2,FALSE))</f>
        <v>H1</v>
      </c>
      <c r="G2335" s="141" t="str">
        <f ca="1">IF(ISERROR(VLOOKUP($B2319&amp;"("&amp;$K2304&amp;")",Players!$S$4:$T$132,2,FALSE)),"",VLOOKUP($B2319&amp;"("&amp;$K2304&amp;")",Players!$S$4:$T$132,2,FALSE))</f>
        <v>H1</v>
      </c>
      <c r="H2335" s="141" t="str">
        <f ca="1">IF(ISERROR(VLOOKUP($B2326&amp;"("&amp;$K2304&amp;")",Players!$S$4:$T$132,2,FALSE)),"",VLOOKUP($B2326&amp;"("&amp;$K2304&amp;")",Players!$S$4:$T$132,2,FALSE))</f>
        <v>H1</v>
      </c>
      <c r="I2335" s="141" t="str">
        <f ca="1">IF(ISERROR(VLOOKUP($B2333&amp;"("&amp;$K2304&amp;")",Players!$S$4:$T$132,2,FALSE)),"",VLOOKUP($B2333&amp;"("&amp;$K2304&amp;")",Players!$S$4:$T$132,2,FALSE))</f>
        <v>H1</v>
      </c>
      <c r="Q2335" s="7"/>
      <c r="R2335" s="50"/>
      <c r="S2335" s="116"/>
      <c r="T2335" s="115"/>
      <c r="U2335" s="115"/>
      <c r="V2335" s="115"/>
      <c r="W2335" s="115"/>
      <c r="X2335" s="115"/>
      <c r="Y2335" s="99"/>
      <c r="Z2335" s="99"/>
      <c r="AA2335" s="99"/>
      <c r="AB2335" s="99"/>
      <c r="AC2335" s="117"/>
      <c r="AD2335" s="118"/>
      <c r="AE2335" s="114"/>
      <c r="AF2335" s="114"/>
    </row>
    <row r="2336" spans="1:32" ht="12.75" customHeight="1">
      <c r="A2336" s="21" t="s">
        <v>1225</v>
      </c>
      <c r="H2336" s="136" t="str">
        <f ca="1">IF($Q2338&lt;&gt;"",IF(AND($B2339&lt;&gt;"Missing Player",$B2341&lt;&gt;"Missing Player"),IF(AND(AND($H2338&gt;-1,$H2340&gt;-1),OR($H2338&gt;10,$H2340&gt;10),ABS($H2338-$H2340)&gt;1,IF(OR($H2338&gt;11,$H2340&gt;11),ABS($H2338-$H2340)=2,TRUE),$H2338=INT($H2338),$H2340=INT($H2340)),"","Error"),""),"")</f>
        <v/>
      </c>
      <c r="I2336" s="136" t="str">
        <f ca="1">IF($Q2338&lt;&gt;"",IF(AND($B2339&lt;&gt;"Missing Player",$B2341&lt;&gt;"Missing Player"),IF(AND(AND($I2338&gt;-1,$I2340&gt;-1),OR($I2338&gt;10,$I2340&gt;10),ABS($I2338-$I2340)&gt;1,IF(OR($I2338&gt;11,$I2340&gt;11),ABS($I2338-$I2340)=2,TRUE),$I2338=INT($I2338),$I2340=INT($I2340)),"","Error"),""),"")</f>
        <v/>
      </c>
      <c r="J2336" s="136" t="str">
        <f ca="1">IF($Q2338&lt;&gt;"",IF(AND($B2339&lt;&gt;"Missing Player",$B2341&lt;&gt;"Missing Player"),IF(AND(AND($J2338&gt;-1,$J2340&gt;-1),OR($J2338&gt;10,$J2340&gt;10),ABS($J2338-$J2340)&gt;1,IF(OR($J2338&gt;11,$J2340&gt;11),ABS($J2338-$J2340)=2,TRUE),$J2338=INT($J2338),$J2340=INT($J2340)),"","Error"),""),"")</f>
        <v/>
      </c>
      <c r="K2336" s="136" t="str">
        <f ca="1">IF($Q2338&lt;&gt;"",IF(AND($K2338&lt;&gt;"",$K2340&lt;&gt;""), IF(AND(AND($K2338&gt;-1,$K2340&gt;-1),OR($K2338&gt;10,$K2340&gt;10),ABS($K2338-$K2340)&gt;1,IF(OR($K2338&gt;11,$K2340&gt;11),ABS($K2338-$K2340)=2,TRUE),$K2338=INT($K2338),$K2340=INT($K2340)),"","Error"),""),"")</f>
        <v/>
      </c>
      <c r="L2336" s="136" t="str">
        <f ca="1">IF($Q2338&lt;&gt;"",IF(AND($L2338&lt;&gt;"",$L2340&lt;&gt;""), IF(AND(AND($L2338&gt;-1,$L2340&gt;-1),OR($L2338&gt;10,$L2340&gt;10),ABS($L2338-$L2340)&gt;1,IF(OR($L2338&gt;11,$L2340&gt;11),ABS($L2338-$L2340)=2,TRUE),$L2338=INT($L2338),$L2340=INT($L2340)),"","Error"),""),"")</f>
        <v/>
      </c>
      <c r="Q2336" s="7"/>
      <c r="R2336" s="114"/>
      <c r="S2336" s="115"/>
      <c r="T2336" s="115"/>
      <c r="U2336" s="115"/>
      <c r="V2336" s="115"/>
      <c r="W2336" s="115"/>
      <c r="X2336" s="115"/>
      <c r="Y2336" s="114"/>
      <c r="Z2336" s="114"/>
      <c r="AA2336" s="114"/>
      <c r="AB2336" s="114"/>
      <c r="AC2336" s="114"/>
      <c r="AD2336" s="114"/>
      <c r="AE2336" s="114"/>
      <c r="AF2336" s="114"/>
    </row>
    <row r="2337" spans="1:32" ht="12.75" customHeight="1">
      <c r="A2337" s="5" t="s">
        <v>1228</v>
      </c>
      <c r="B2337" s="290" t="s">
        <v>1126</v>
      </c>
      <c r="C2337" s="291"/>
      <c r="D2337" s="291"/>
      <c r="E2337" s="291"/>
      <c r="F2337" s="291"/>
      <c r="G2337" s="292"/>
      <c r="H2337" s="5">
        <v>1</v>
      </c>
      <c r="I2337" s="5">
        <v>2</v>
      </c>
      <c r="J2337" s="5">
        <v>3</v>
      </c>
      <c r="K2337" s="5">
        <v>4</v>
      </c>
      <c r="L2337" s="5">
        <v>5</v>
      </c>
      <c r="M2337" s="271"/>
      <c r="N2337" s="272"/>
      <c r="O2337" s="272"/>
      <c r="P2337" s="273"/>
      <c r="Q2337" s="8"/>
      <c r="S2337" s="24"/>
      <c r="T2337" s="26"/>
    </row>
    <row r="2338" spans="1:32" ht="12.75" customHeight="1">
      <c r="A2338" s="300" t="str">
        <f>B2304</f>
        <v>D</v>
      </c>
      <c r="B2338" s="311" t="str">
        <f ca="1">IF($B2310&lt;&gt;"",$B2310,"")</f>
        <v/>
      </c>
      <c r="C2338" s="312"/>
      <c r="D2338" s="312"/>
      <c r="E2338" s="312"/>
      <c r="F2338" s="312"/>
      <c r="G2338" s="313"/>
      <c r="H2338" s="265"/>
      <c r="I2338" s="265"/>
      <c r="J2338" s="265"/>
      <c r="K2338" s="265"/>
      <c r="L2338" s="265" t="str">
        <f ca="1">IF($B2331&lt;&gt;"",IF(AND($B2331="Missing Player",$G2342=2,$J2342=2),0,IF(AND($B2333="Missing Player",$G2342=2,$J2342=2),11,"")),"")</f>
        <v/>
      </c>
      <c r="M2338" s="262" t="str">
        <f ca="1">IF(OR(AND($B2338&lt;&gt;"",$B2339&lt;&gt;"",$B2338=$B2339),AND($B2340&lt;&gt;"",$B2341&lt;&gt;"",$B2340=$B2341)),"Invalid Partner","")</f>
        <v/>
      </c>
      <c r="N2338" s="263"/>
      <c r="O2338" s="263"/>
      <c r="P2338" s="264"/>
      <c r="Q2338" s="138" t="str">
        <f ca="1">IF(L2338=L2340,IF(K2338=K2340,IF(J2338&lt;&gt;"",IF(J2338&gt;J2340,"W","L"),""),IF(K2338&gt;K2340,"W","L")),IF(L2338&gt;L2340,"W","L"))</f>
        <v/>
      </c>
      <c r="S2338" s="24"/>
      <c r="T2338" s="26"/>
    </row>
    <row r="2339" spans="1:32" ht="12.75" customHeight="1">
      <c r="A2339" s="324"/>
      <c r="B2339" s="308" t="str">
        <f ca="1">IF($B2331="Missing Player",$B2331,"")</f>
        <v/>
      </c>
      <c r="C2339" s="309"/>
      <c r="D2339" s="309"/>
      <c r="E2339" s="309"/>
      <c r="F2339" s="309"/>
      <c r="G2339" s="310"/>
      <c r="H2339" s="270"/>
      <c r="I2339" s="270"/>
      <c r="J2339" s="270"/>
      <c r="K2339" s="270"/>
      <c r="L2339" s="270"/>
      <c r="M2339" s="262"/>
      <c r="N2339" s="263"/>
      <c r="O2339" s="263"/>
      <c r="P2339" s="264"/>
      <c r="Q2339" s="139" t="str">
        <f ca="1">IF($Q2338&lt;&gt;"",IF($B2341&lt;&gt;"Missing Player",IF($Q2338="W",IF(SUM(IF($H2338&gt;$H2340,1,0),IF($I2338&gt;$I2340,1,0),IF($J2338&gt;$J2340,1,0),IF($K2338&gt;$K2340,1,0),IF($L2338&gt;$L2340,1,0))&lt;&gt;3,"Error",""),""),""),"")</f>
        <v/>
      </c>
      <c r="R2339" s="328" t="str">
        <f>$A2305</f>
        <v/>
      </c>
      <c r="S2339" s="328"/>
      <c r="T2339" s="328"/>
      <c r="U2339" s="328"/>
      <c r="V2339" s="328"/>
      <c r="W2339" s="328"/>
      <c r="X2339" s="256" t="str">
        <f>CONCATENATE("(",$B2304," vs ",$K2304,")")</f>
        <v>(D vs H)</v>
      </c>
      <c r="Y2339" s="256"/>
      <c r="Z2339" s="328" t="str">
        <f>$J2305</f>
        <v/>
      </c>
      <c r="AA2339" s="328"/>
      <c r="AB2339" s="328"/>
      <c r="AC2339" s="328"/>
      <c r="AD2339" s="328"/>
      <c r="AE2339" s="328"/>
      <c r="AF2339" s="43"/>
    </row>
    <row r="2340" spans="1:32" ht="12.75" customHeight="1">
      <c r="A2340" s="325" t="str">
        <f>K2304</f>
        <v>H</v>
      </c>
      <c r="B2340" s="311" t="str">
        <f ca="1">IF($B2312&lt;&gt;"",$B2312,"")</f>
        <v/>
      </c>
      <c r="C2340" s="312"/>
      <c r="D2340" s="312"/>
      <c r="E2340" s="312"/>
      <c r="F2340" s="312"/>
      <c r="G2340" s="313"/>
      <c r="H2340" s="265"/>
      <c r="I2340" s="265"/>
      <c r="J2340" s="265"/>
      <c r="K2340" s="265"/>
      <c r="L2340" s="265" t="str">
        <f ca="1">IF($B2333&lt;&gt;"",IF(AND($B2333="Missing Player",$G2342=2,$J2342=2),0,IF(AND($B2331="Missing Player",$G2342=2,$J2342=2),11,"")),"")</f>
        <v/>
      </c>
      <c r="M2340" s="267" t="s">
        <v>1237</v>
      </c>
      <c r="N2340" s="268"/>
      <c r="O2340" s="268"/>
      <c r="P2340" s="269"/>
      <c r="Q2340" s="138" t="str">
        <f ca="1">IF(Q2338&lt;&gt;"",IF(Q2338="W","L","W"),"")</f>
        <v/>
      </c>
      <c r="R2340" s="43"/>
      <c r="S2340" s="43"/>
      <c r="T2340" s="43"/>
      <c r="U2340" s="43"/>
      <c r="V2340" s="43"/>
      <c r="W2340" s="43"/>
      <c r="X2340" s="43"/>
      <c r="Y2340" s="43"/>
      <c r="Z2340" s="43"/>
      <c r="AA2340" s="43"/>
      <c r="AB2340" s="43"/>
      <c r="AC2340" s="43"/>
      <c r="AD2340" s="43"/>
      <c r="AE2340" s="43"/>
      <c r="AF2340" s="43"/>
    </row>
    <row r="2341" spans="1:32" ht="12.75" customHeight="1">
      <c r="A2341" s="324"/>
      <c r="B2341" s="308" t="str">
        <f ca="1">IF($B2333="Missing Player",$B2333,"")</f>
        <v/>
      </c>
      <c r="C2341" s="309"/>
      <c r="D2341" s="309"/>
      <c r="E2341" s="309"/>
      <c r="F2341" s="309"/>
      <c r="G2341" s="310"/>
      <c r="H2341" s="270"/>
      <c r="I2341" s="270"/>
      <c r="J2341" s="266"/>
      <c r="K2341" s="266"/>
      <c r="L2341" s="266"/>
      <c r="M2341" s="267"/>
      <c r="N2341" s="268"/>
      <c r="O2341" s="268"/>
      <c r="P2341" s="269"/>
      <c r="Q2341" s="139" t="str">
        <f ca="1">IF($Q2340&lt;&gt;"",IF($B2339&lt;&gt;"Missing Player",IF($Q2340="W",IF(SUM(IF($H2340&gt;$H2338,1,0),IF($I2340&gt;$I2338,1,0),IF($J2340&gt;$J2338,1,0),IF($K2340&gt;$K2338,1,0),IF($L2340&gt;$L2338,1,0))&lt;&gt;3,"Error",""),""),""),"")</f>
        <v/>
      </c>
      <c r="R2341" s="43" t="str">
        <f>A2329</f>
        <v>4th Singles</v>
      </c>
      <c r="S2341" s="43"/>
      <c r="T2341" s="43"/>
      <c r="U2341" s="43"/>
      <c r="V2341" s="43"/>
      <c r="W2341" s="43"/>
      <c r="X2341" s="43"/>
      <c r="Y2341" s="43"/>
      <c r="Z2341" s="43"/>
      <c r="AA2341" s="43"/>
      <c r="AB2341" s="43"/>
      <c r="AC2341" s="43"/>
      <c r="AD2341" s="43"/>
      <c r="AE2341" s="43"/>
      <c r="AF2341" s="43"/>
    </row>
    <row r="2342" spans="1:32" ht="12.75" customHeight="1">
      <c r="G2342" s="66">
        <f ca="1">COUNTIF($Q2310:$Q2310,"W")+COUNTIF($Q2317:$Q2317,"W")+COUNTIF($Q2324:$Q2324,"W")+COUNTIF($Q2331:$Q2331,"W")</f>
        <v>0</v>
      </c>
      <c r="J2342" s="66">
        <f ca="1">COUNTIF($Q2312:$Q2312,"W")+COUNTIF($Q2319:$Q2319,"W")+COUNTIF($Q2326:$Q2326,"W")+COUNTIF($Q2333:$Q2333,"W")</f>
        <v>0</v>
      </c>
      <c r="R2342" s="60" t="s">
        <v>1228</v>
      </c>
      <c r="S2342" s="339" t="s">
        <v>1126</v>
      </c>
      <c r="T2342" s="340"/>
      <c r="U2342" s="340"/>
      <c r="V2342" s="340"/>
      <c r="W2342" s="340"/>
      <c r="X2342" s="341"/>
      <c r="Y2342" s="60">
        <v>1</v>
      </c>
      <c r="Z2342" s="60">
        <v>2</v>
      </c>
      <c r="AA2342" s="60">
        <v>3</v>
      </c>
      <c r="AB2342" s="60">
        <v>4</v>
      </c>
      <c r="AC2342" s="60">
        <v>5</v>
      </c>
      <c r="AD2342" s="342"/>
      <c r="AE2342" s="343"/>
      <c r="AF2342" s="344"/>
    </row>
    <row r="2343" spans="1:32" ht="12.75" customHeight="1" thickBot="1">
      <c r="F2343" s="246" t="s">
        <v>1238</v>
      </c>
      <c r="G2343" s="246"/>
      <c r="H2343" s="246"/>
      <c r="I2343" s="246"/>
      <c r="J2343" s="246"/>
      <c r="K2343" s="246"/>
      <c r="R2343" s="300" t="str">
        <f>B2304</f>
        <v>D</v>
      </c>
      <c r="S2343" s="331" t="str">
        <f ca="1">IF($B2331&lt;&gt;"",$B2331,"")</f>
        <v/>
      </c>
      <c r="T2343" s="353"/>
      <c r="U2343" s="353"/>
      <c r="V2343" s="353"/>
      <c r="W2343" s="353"/>
      <c r="X2343" s="354"/>
      <c r="Y2343" s="329"/>
      <c r="Z2343" s="329"/>
      <c r="AA2343" s="351"/>
      <c r="AB2343" s="351"/>
      <c r="AC2343" s="351"/>
      <c r="AD2343" s="345"/>
      <c r="AE2343" s="346"/>
      <c r="AF2343" s="347"/>
    </row>
    <row r="2344" spans="1:32" ht="12.75" customHeight="1">
      <c r="A2344" s="22"/>
      <c r="B2344" s="22"/>
      <c r="C2344" s="22"/>
      <c r="D2344" s="22"/>
      <c r="E2344" s="22"/>
      <c r="G2344" s="304" t="str">
        <f>B2304</f>
        <v>D</v>
      </c>
      <c r="H2344" s="305"/>
      <c r="I2344" s="302" t="str">
        <f>K2304</f>
        <v>H</v>
      </c>
      <c r="J2344" s="303"/>
      <c r="L2344" s="22"/>
      <c r="M2344" s="22"/>
      <c r="N2344" s="22"/>
      <c r="O2344" s="22"/>
      <c r="P2344" s="22"/>
      <c r="R2344" s="301"/>
      <c r="S2344" s="355"/>
      <c r="T2344" s="356"/>
      <c r="U2344" s="356"/>
      <c r="V2344" s="356"/>
      <c r="W2344" s="356"/>
      <c r="X2344" s="357"/>
      <c r="Y2344" s="338"/>
      <c r="Z2344" s="338"/>
      <c r="AA2344" s="352"/>
      <c r="AB2344" s="352"/>
      <c r="AC2344" s="352"/>
      <c r="AD2344" s="348"/>
      <c r="AE2344" s="349"/>
      <c r="AF2344" s="350"/>
    </row>
    <row r="2345" spans="1:32" ht="12.75" customHeight="1" thickBot="1">
      <c r="A2345" s="2" t="s">
        <v>1228</v>
      </c>
      <c r="B2345" s="53" t="str">
        <f>B2304</f>
        <v>D</v>
      </c>
      <c r="C2345" s="3" t="s">
        <v>1226</v>
      </c>
      <c r="F2345" s="66" t="str">
        <f>CONCATENATE($B2304,"-",$K2304)</f>
        <v>D-H</v>
      </c>
      <c r="G2345" s="320" t="str">
        <f ca="1">IF(OR(Q2310&lt;&gt;"",Q2317&lt;&gt;"",Q2324&lt;&gt;"",Q2331&lt;&gt;"",Q2338&lt;&gt;""),COUNTIF(Q2310:Q2310,"W")+COUNTIF(Q2317:Q2317,"W")+COUNTIF(Q2324:Q2324,"W")+COUNTIF(Q2331:Q2331,"W")+COUNTIF(Q2338:Q2338,"W"),"")</f>
        <v/>
      </c>
      <c r="H2345" s="321"/>
      <c r="I2345" s="322" t="str">
        <f ca="1">IF(OR(Q2312&lt;&gt;"",Q2319&lt;&gt;"",Q2326&lt;&gt;"",Q2333&lt;&gt;"",Q2340&lt;&gt;""),COUNTIF(Q2312:Q2312,"W")+COUNTIF(Q2319:Q2319,"W")+COUNTIF(Q2326:Q2326,"W")+COUNTIF(Q2333:Q2333,"W")+COUNTIF(Q2340:Q2340,"W"),"")</f>
        <v/>
      </c>
      <c r="J2345" s="323"/>
      <c r="L2345" s="2" t="s">
        <v>1228</v>
      </c>
      <c r="M2345" s="53" t="str">
        <f>K2304</f>
        <v>H</v>
      </c>
      <c r="N2345" s="3" t="s">
        <v>1226</v>
      </c>
      <c r="R2345" s="300" t="str">
        <f>K2304</f>
        <v>H</v>
      </c>
      <c r="S2345" s="331" t="str">
        <f ca="1">IF($B2333&lt;&gt;"",$B2333,"")</f>
        <v/>
      </c>
      <c r="T2345" s="332"/>
      <c r="U2345" s="332"/>
      <c r="V2345" s="332"/>
      <c r="W2345" s="332"/>
      <c r="X2345" s="333"/>
      <c r="Y2345" s="329"/>
      <c r="Z2345" s="329"/>
      <c r="AA2345" s="351"/>
      <c r="AB2345" s="351"/>
      <c r="AC2345" s="351"/>
      <c r="AD2345" s="363" t="s">
        <v>1237</v>
      </c>
      <c r="AE2345" s="358"/>
      <c r="AF2345" s="359"/>
    </row>
    <row r="2346" spans="1:32" ht="12.75" customHeight="1">
      <c r="F2346" s="25" t="s">
        <v>3996</v>
      </c>
      <c r="G2346" s="23"/>
      <c r="H2346" s="23"/>
      <c r="I2346" s="23"/>
      <c r="J2346" s="23"/>
      <c r="K2346" s="24"/>
      <c r="R2346" s="330"/>
      <c r="S2346" s="334"/>
      <c r="T2346" s="335"/>
      <c r="U2346" s="335"/>
      <c r="V2346" s="335"/>
      <c r="W2346" s="335"/>
      <c r="X2346" s="336"/>
      <c r="Y2346" s="330"/>
      <c r="Z2346" s="330"/>
      <c r="AA2346" s="330"/>
      <c r="AB2346" s="330"/>
      <c r="AC2346" s="330"/>
      <c r="AD2346" s="360"/>
      <c r="AE2346" s="361"/>
      <c r="AF2346" s="362"/>
    </row>
    <row r="2347" spans="1:32" ht="12.75" customHeight="1">
      <c r="R2347" s="1"/>
      <c r="S2347" s="110"/>
      <c r="T2347" s="110"/>
      <c r="U2347" s="110"/>
      <c r="V2347" s="110"/>
      <c r="W2347" s="110"/>
      <c r="X2347" s="111"/>
      <c r="Y2347" s="111"/>
      <c r="Z2347" s="111"/>
      <c r="AA2347" s="111"/>
    </row>
    <row r="2348" spans="1:32" ht="12.75" customHeight="1">
      <c r="F2348" s="246" t="s">
        <v>4929</v>
      </c>
      <c r="G2348" s="246"/>
      <c r="H2348" s="246"/>
      <c r="I2348" s="246"/>
      <c r="R2348" s="1"/>
      <c r="S2348" s="110"/>
      <c r="T2348" s="110"/>
      <c r="U2348" s="110"/>
      <c r="V2348" s="110"/>
      <c r="W2348" s="110"/>
      <c r="X2348" s="111"/>
      <c r="Y2348" s="111"/>
      <c r="Z2348" s="111"/>
      <c r="AA2348" s="111"/>
    </row>
    <row r="2349" spans="1:32" ht="12.75" customHeight="1">
      <c r="F2349" s="246" t="s">
        <v>4930</v>
      </c>
      <c r="G2349" s="246"/>
      <c r="H2349" s="246"/>
      <c r="I2349" s="246"/>
      <c r="R2349" s="1"/>
      <c r="S2349" s="110"/>
      <c r="T2349" s="110"/>
      <c r="U2349" s="110"/>
      <c r="V2349" s="110"/>
      <c r="W2349" s="110"/>
      <c r="X2349" s="111"/>
      <c r="Y2349" s="111"/>
      <c r="Z2349" s="111"/>
      <c r="AA2349" s="111"/>
    </row>
    <row r="2350" spans="1:32" ht="12.75" customHeight="1">
      <c r="K2350" s="281" t="s">
        <v>1244</v>
      </c>
      <c r="L2350" s="281"/>
      <c r="M2350" s="281"/>
      <c r="N2350" s="281"/>
      <c r="O2350" s="281"/>
      <c r="P2350" s="281"/>
      <c r="R2350" s="1"/>
      <c r="S2350" s="110"/>
      <c r="T2350" s="110"/>
      <c r="U2350" s="110"/>
      <c r="V2350" s="110"/>
      <c r="W2350" s="110"/>
      <c r="X2350" s="111"/>
      <c r="Y2350" s="111"/>
      <c r="Z2350" s="111"/>
      <c r="AA2350" s="111"/>
    </row>
    <row r="2351" spans="1:32" ht="12.75" customHeight="1">
      <c r="A2351" s="12" t="s">
        <v>1229</v>
      </c>
      <c r="B2351" s="11"/>
      <c r="C2351" s="11"/>
      <c r="D2351" s="11" t="str">
        <f>Draw!$B$1</f>
        <v>Enter Division Name</v>
      </c>
      <c r="E2351" s="11"/>
      <c r="F2351" s="7"/>
      <c r="G2351" s="6"/>
      <c r="H2351" s="7"/>
      <c r="I2351" s="11"/>
      <c r="J2351" s="11"/>
      <c r="K2351" s="11"/>
      <c r="L2351" s="11"/>
      <c r="M2351" s="281"/>
      <c r="N2351" s="281"/>
      <c r="O2351" s="281"/>
      <c r="P2351" s="281"/>
      <c r="R2351" s="1"/>
      <c r="S2351" s="110"/>
      <c r="T2351" s="110"/>
      <c r="U2351" s="110"/>
      <c r="V2351" s="110"/>
      <c r="W2351" s="110"/>
      <c r="X2351" s="111"/>
      <c r="Y2351" s="111"/>
      <c r="Z2351" s="111"/>
      <c r="AA2351" s="111"/>
    </row>
    <row r="2352" spans="1:32" ht="12.75" customHeight="1">
      <c r="A2352" s="2" t="s">
        <v>1230</v>
      </c>
      <c r="D2352" s="43" t="str">
        <f>Draw!$D$1</f>
        <v>Enter Hosting Location (City, ST)</v>
      </c>
      <c r="J2352" s="43" t="str">
        <f ca="1">$J$6</f>
        <v>[NCTTA Teams Template (v2.06).xlsx]</v>
      </c>
      <c r="R2352" s="1"/>
      <c r="S2352" s="110"/>
      <c r="T2352" s="110"/>
      <c r="U2352" s="110"/>
      <c r="V2352" s="110"/>
      <c r="W2352" s="110"/>
      <c r="X2352" s="111"/>
      <c r="Y2352" s="111"/>
      <c r="Z2352" s="111"/>
      <c r="AA2352" s="111"/>
    </row>
    <row r="2353" spans="1:32" ht="12.75" customHeight="1">
      <c r="A2353" s="2" t="s">
        <v>1231</v>
      </c>
      <c r="D2353" s="337" t="str">
        <f>Draw!$P$1</f>
        <v>Enter Date</v>
      </c>
      <c r="E2353" s="337"/>
      <c r="F2353" s="337"/>
      <c r="G2353" s="337"/>
      <c r="J2353" s="280" t="str">
        <f>CHOOSE(Draw!$T$1,"Round 8, Match 5","","","","","","","","","","Round 10, Match 2")</f>
        <v/>
      </c>
      <c r="K2353" s="280"/>
      <c r="L2353" s="280"/>
      <c r="M2353" s="276" t="str">
        <f>IF(AND($J2353&lt;&gt;"",Draw!$AC$10&lt;&gt;"",Draw!$AC$13&lt;&gt;""),Draw!$AC$10+TIME(0,VALUE(MID($J2353,7,FIND(",",$J2353)-FIND(" ",$J2353)-1)-1)*Draw!$AC$13,0),"")</f>
        <v/>
      </c>
      <c r="N2353" s="276"/>
      <c r="O2353" s="157" t="str">
        <f>$F2396</f>
        <v>D-I</v>
      </c>
      <c r="R2353" s="1"/>
      <c r="S2353" s="110"/>
      <c r="T2353" s="110"/>
      <c r="U2353" s="110"/>
      <c r="V2353" s="110"/>
      <c r="W2353" s="110"/>
      <c r="X2353" s="111"/>
      <c r="Y2353" s="111"/>
      <c r="Z2353" s="111"/>
      <c r="AA2353" s="111"/>
    </row>
    <row r="2354" spans="1:32" ht="12.75" customHeight="1">
      <c r="A2354" s="14"/>
      <c r="B2354" s="15"/>
      <c r="C2354" s="15"/>
      <c r="D2354" s="15"/>
      <c r="E2354" s="15"/>
      <c r="F2354" s="14"/>
      <c r="G2354" s="14"/>
      <c r="H2354" s="16"/>
      <c r="I2354" s="14"/>
      <c r="J2354" s="15"/>
      <c r="K2354" s="15"/>
      <c r="L2354" s="15"/>
      <c r="M2354" s="15"/>
      <c r="N2354" s="15"/>
      <c r="O2354" s="364" t="str">
        <f>IF(OR(AND(VLOOKUP($B2355,$AM$1:$AX$12,12,FALSE)="C",VLOOKUP($K2355,$AM$1:$AX$12,12,FALSE)="C"),AND(VLOOKUP($B2355,$AM$1:$AX$12,12,FALSE)="W",VLOOKUP($K2355,$AM$1:$AX$12,12,FALSE)="W")),"Official",IF(AND($A2356="",$J2356=""),"","Scrimmage"))</f>
        <v/>
      </c>
      <c r="P2354" s="364"/>
      <c r="R2354" s="1"/>
      <c r="S2354" s="110"/>
      <c r="T2354" s="110"/>
      <c r="U2354" s="110"/>
      <c r="V2354" s="110"/>
      <c r="W2354" s="110"/>
      <c r="X2354" s="111"/>
      <c r="Y2354" s="111"/>
      <c r="Z2354" s="111"/>
      <c r="AA2354" s="111"/>
    </row>
    <row r="2355" spans="1:32" ht="12.75" customHeight="1">
      <c r="A2355" s="17" t="s">
        <v>1228</v>
      </c>
      <c r="B2355" s="119" t="str">
        <f>CHOOSE(Draw!$T$1,"I","C","D","E","F","F","F","E","D","A","B")</f>
        <v>D</v>
      </c>
      <c r="C2355" s="135">
        <f>VLOOKUP($B2355,$AM$1:$AN$12,2)</f>
        <v>4</v>
      </c>
      <c r="D2355" s="13"/>
      <c r="E2355" s="13"/>
      <c r="F2355" s="10"/>
      <c r="H2355" s="19" t="s">
        <v>1232</v>
      </c>
      <c r="J2355" s="17" t="s">
        <v>1228</v>
      </c>
      <c r="K2355" s="119" t="str">
        <f>CHOOSE(Draw!$T$1,"L","K","I","H","H","H","H","K","K","L","D")</f>
        <v>I</v>
      </c>
      <c r="L2355" s="135">
        <f>VLOOKUP($K2355,$AM$1:$AN$12,2)</f>
        <v>9</v>
      </c>
      <c r="M2355" s="13"/>
      <c r="N2355" s="13"/>
      <c r="O2355" s="18"/>
      <c r="P2355" s="274"/>
      <c r="Q2355" s="275"/>
      <c r="R2355" s="1"/>
      <c r="S2355" s="110"/>
      <c r="T2355" s="110"/>
      <c r="U2355" s="110"/>
      <c r="V2355" s="110"/>
      <c r="W2355" s="110"/>
      <c r="X2355" s="111"/>
      <c r="Y2355" s="111"/>
      <c r="Z2355" s="111"/>
      <c r="AA2355" s="111"/>
    </row>
    <row r="2356" spans="1:32" ht="12.75" customHeight="1">
      <c r="A2356" s="277" t="str">
        <f>IF(VLOOKUP($B2355,Draw!$A$4:$B$27,2)&lt;&gt;0,VLOOKUP($B2355,Draw!$A$4:$B$27,2),"")</f>
        <v/>
      </c>
      <c r="B2356" s="278"/>
      <c r="C2356" s="278"/>
      <c r="D2356" s="278"/>
      <c r="E2356" s="278"/>
      <c r="F2356" s="279"/>
      <c r="G2356" s="306" t="s">
        <v>4198</v>
      </c>
      <c r="H2356" s="289"/>
      <c r="I2356" s="307"/>
      <c r="J2356" s="277" t="str">
        <f>IF(VLOOKUP($K2355,Draw!$A$4:$B$27,2)&lt;&gt;0,VLOOKUP($K2355,Draw!$A$4:$B$27,2),"")</f>
        <v/>
      </c>
      <c r="K2356" s="278"/>
      <c r="L2356" s="278"/>
      <c r="M2356" s="278"/>
      <c r="N2356" s="278"/>
      <c r="O2356" s="279"/>
      <c r="P2356" s="15"/>
      <c r="R2356" s="1"/>
      <c r="S2356" s="110"/>
      <c r="T2356" s="110"/>
      <c r="U2356" s="110"/>
      <c r="V2356" s="110"/>
      <c r="W2356" s="110"/>
      <c r="X2356" s="111"/>
      <c r="Y2356" s="111"/>
      <c r="Z2356" s="111"/>
      <c r="AA2356" s="111"/>
    </row>
    <row r="2357" spans="1:32" ht="12.75" customHeight="1">
      <c r="A2357" s="14"/>
      <c r="B2357" s="15"/>
      <c r="C2357" s="15"/>
      <c r="D2357" s="15"/>
      <c r="E2357" s="15"/>
      <c r="F2357" s="14"/>
      <c r="G2357" s="288" t="str">
        <f>"Page "&amp;VALUE(RIGHT($G2356,LEN($G2356)-SEARCH("-",$G2356)))/2</f>
        <v>Page 47</v>
      </c>
      <c r="H2357" s="289"/>
      <c r="I2357" s="289"/>
      <c r="J2357" s="15"/>
      <c r="K2357" s="15"/>
      <c r="L2357" s="15"/>
      <c r="M2357" s="15"/>
      <c r="N2357" s="15"/>
      <c r="O2357" s="15"/>
      <c r="P2357" s="15"/>
      <c r="R2357" s="1"/>
      <c r="S2357" s="110"/>
      <c r="T2357" s="110"/>
      <c r="U2357" s="110"/>
      <c r="V2357" s="110"/>
      <c r="W2357" s="110"/>
      <c r="X2357" s="111"/>
      <c r="Y2357" s="111"/>
      <c r="Z2357" s="111"/>
      <c r="AA2357" s="111"/>
      <c r="AF2357" s="27"/>
    </row>
    <row r="2358" spans="1:32" ht="12.75" customHeight="1">
      <c r="A2358" s="327" t="s">
        <v>1245</v>
      </c>
      <c r="B2358" s="327"/>
      <c r="C2358" s="327"/>
      <c r="D2358" s="327"/>
      <c r="E2358" s="327"/>
      <c r="F2358" s="327"/>
      <c r="G2358" s="327"/>
      <c r="H2358" s="327"/>
      <c r="I2358" s="327"/>
      <c r="J2358" s="327"/>
      <c r="K2358" s="327"/>
      <c r="L2358" s="327"/>
      <c r="M2358" s="327"/>
      <c r="N2358" s="327"/>
      <c r="O2358" s="327"/>
      <c r="P2358" s="327"/>
      <c r="Q2358" s="7"/>
      <c r="R2358" s="1"/>
      <c r="S2358" s="110"/>
      <c r="T2358" s="110"/>
      <c r="U2358" s="110"/>
      <c r="V2358" s="110"/>
      <c r="W2358" s="110"/>
      <c r="X2358" s="111"/>
      <c r="Y2358" s="111"/>
      <c r="Z2358" s="111"/>
      <c r="AA2358" s="111"/>
      <c r="AF2358" s="20"/>
    </row>
    <row r="2359" spans="1:32" ht="12.75" customHeight="1">
      <c r="A2359" s="21" t="s">
        <v>1233</v>
      </c>
      <c r="H2359" s="136" t="str">
        <f>IF($Q2361&lt;&gt;"",IF(AND(AND($H2361&gt;-1,$H2363&gt;-1),OR($H2361&gt;10,$H2363&gt;10),ABS($H2361-$H2363)&gt;1,IF(OR($H2361&gt;11,$H2363&gt;11),ABS($H2361-$H2363)=2,TRUE),$H2361=INT($H2361),$H2363=INT($H2363)),"","Error"),"")</f>
        <v/>
      </c>
      <c r="I2359" s="136" t="str">
        <f>IF($Q2361&lt;&gt;"",IF(AND(AND($I2361&gt;-1,$I2363&gt;-1),OR($I2361&gt;10,$I2363&gt;10),ABS($I2361-$I2363)&gt;1,IF(OR($I2361&gt;11,$I2363&gt;11),ABS($I2361-$I2363)=2,TRUE),$I2361=INT($I2361),$I2363=INT($I2363)),"","Error"),"")</f>
        <v/>
      </c>
      <c r="J2359" s="136" t="str">
        <f>IF($Q2361&lt;&gt;"",IF(AND(AND($J2361&gt;-1,$J2363&gt;-1),OR($J2361&gt;10,$J2363&gt;10),ABS($J2361-$J2363)&gt;1,IF(OR($J2361&gt;11,$J2363&gt;11),ABS($J2361-$J2363)=2,TRUE),$J2361=INT($J2361),$J2363=INT($J2363)),"","Error"),"")</f>
        <v/>
      </c>
      <c r="K2359" s="136" t="str">
        <f>IF($Q2361&lt;&gt;"",IF(AND($K2361&lt;&gt;"",$K2363&lt;&gt;""), IF(AND(AND($K2361&gt;-1,$K2363&gt;-1),OR($K2361&gt;10,$K2363&gt;10),ABS($K2361-$K2363)&gt;1,IF(OR($K2361&gt;11,$K2363&gt;11),ABS($K2361-$K2363)=2,TRUE),$K2361=INT($K2361),$K2363=INT($K2363)),"","Error"),""),"")</f>
        <v/>
      </c>
      <c r="L2359" s="136" t="str">
        <f>IF($Q2361&lt;&gt;"",IF(AND($L2361&lt;&gt;"",$L2363&lt;&gt;""), IF(AND(AND($L2361&gt;-1,$L2363&gt;-1),OR($L2361&gt;10,$L2363&gt;10),ABS($L2361-$L2363)&gt;1,IF(OR($L2361&gt;11,$L2363&gt;11),ABS($L2361-$L2363)=2,TRUE),$L2361=INT($L2361),$L2363=INT($L2363)),"","Error"),""),"")</f>
        <v/>
      </c>
      <c r="R2359" s="1"/>
      <c r="S2359" s="110"/>
      <c r="T2359" s="110"/>
      <c r="U2359" s="110"/>
      <c r="V2359" s="110"/>
      <c r="W2359" s="110"/>
      <c r="X2359" s="111"/>
      <c r="Y2359" s="111"/>
      <c r="Z2359" s="111"/>
      <c r="AA2359" s="111"/>
    </row>
    <row r="2360" spans="1:32" ht="12.75" customHeight="1">
      <c r="A2360" s="5" t="s">
        <v>1228</v>
      </c>
      <c r="B2360" s="290" t="s">
        <v>1126</v>
      </c>
      <c r="C2360" s="291"/>
      <c r="D2360" s="291"/>
      <c r="E2360" s="291"/>
      <c r="F2360" s="291"/>
      <c r="G2360" s="292"/>
      <c r="H2360" s="5">
        <v>1</v>
      </c>
      <c r="I2360" s="5">
        <v>2</v>
      </c>
      <c r="J2360" s="5">
        <v>3</v>
      </c>
      <c r="K2360" s="5">
        <v>4</v>
      </c>
      <c r="L2360" s="5">
        <v>5</v>
      </c>
      <c r="M2360" s="271"/>
      <c r="N2360" s="272"/>
      <c r="O2360" s="272"/>
      <c r="P2360" s="273"/>
      <c r="R2360" s="1"/>
      <c r="S2360" s="110"/>
      <c r="T2360" s="110"/>
      <c r="U2360" s="110"/>
      <c r="V2360" s="110"/>
      <c r="W2360" s="110"/>
      <c r="X2360" s="111"/>
      <c r="Y2360" s="111"/>
      <c r="Z2360" s="111"/>
      <c r="AA2360" s="111"/>
    </row>
    <row r="2361" spans="1:32" ht="12.75" customHeight="1">
      <c r="A2361" s="300" t="str">
        <f>B2355</f>
        <v>D</v>
      </c>
      <c r="B2361" s="293" t="str">
        <f ca="1">IF(AND(OFFSET($AO$1,$C2355-1,8,1,1),$A2356&lt;&gt;"",$J2356&lt;&gt;""),CHOOSE($C2355,$AO$1,$AO$2,$AO$3,$AO$4,$AO$5,$AO$6,$AO$7,$AO$8,$AO$9,$AO$10,$AO$11,$AO$12),"")</f>
        <v/>
      </c>
      <c r="C2361" s="294"/>
      <c r="D2361" s="294"/>
      <c r="E2361" s="294"/>
      <c r="F2361" s="294"/>
      <c r="G2361" s="294"/>
      <c r="H2361" s="265"/>
      <c r="I2361" s="265"/>
      <c r="J2361" s="265"/>
      <c r="K2361" s="265"/>
      <c r="L2361" s="265"/>
      <c r="M2361" s="297"/>
      <c r="N2361" s="298"/>
      <c r="O2361" s="298"/>
      <c r="P2361" s="299"/>
      <c r="Q2361" s="137" t="str">
        <f>IF($L2361=$L2363,IF($K2361=$K2363,IF($J2361&lt;&gt;"",IF($J2361&gt;$J2363,"W","L"),""),IF($K2361&gt;$K2363,"W","L")),IF($L2361&gt;$L2363,"W","L"))</f>
        <v/>
      </c>
      <c r="R2361" s="1"/>
      <c r="S2361" s="110"/>
      <c r="T2361" s="110"/>
      <c r="U2361" s="110"/>
      <c r="V2361" s="110"/>
      <c r="W2361" s="110"/>
      <c r="X2361" s="111"/>
      <c r="Y2361" s="111"/>
      <c r="Z2361" s="111"/>
      <c r="AA2361" s="111"/>
    </row>
    <row r="2362" spans="1:32" ht="12.75" customHeight="1">
      <c r="A2362" s="301"/>
      <c r="B2362" s="295"/>
      <c r="C2362" s="296"/>
      <c r="D2362" s="296"/>
      <c r="E2362" s="296"/>
      <c r="F2362" s="296"/>
      <c r="G2362" s="296"/>
      <c r="H2362" s="270"/>
      <c r="I2362" s="270"/>
      <c r="J2362" s="270"/>
      <c r="K2362" s="270"/>
      <c r="L2362" s="270"/>
      <c r="M2362" s="297"/>
      <c r="N2362" s="298"/>
      <c r="O2362" s="298"/>
      <c r="P2362" s="299"/>
      <c r="Q2362" s="139" t="str">
        <f>IF($Q2361&lt;&gt;"",IF($Q2361="W",IF(SUM(IF($H2361&gt;$H2363,1,0),IF($I2361&gt;$I2363,1,0),IF($J2361&gt;$J2363,1,0),IF($K2361&gt;$K2363,1,0),IF($L2361&gt;$L2363,1,0))&lt;&gt;3,"Error",""),""),"")</f>
        <v/>
      </c>
      <c r="R2362" s="328" t="str">
        <f>$A2356</f>
        <v/>
      </c>
      <c r="S2362" s="328"/>
      <c r="T2362" s="328"/>
      <c r="U2362" s="328"/>
      <c r="V2362" s="328"/>
      <c r="W2362" s="328"/>
      <c r="X2362" s="256" t="str">
        <f>CONCATENATE("(",$B2355," vs ",$K2355,")")</f>
        <v>(D vs I)</v>
      </c>
      <c r="Y2362" s="256"/>
      <c r="Z2362" s="328" t="str">
        <f>$J2356</f>
        <v/>
      </c>
      <c r="AA2362" s="328"/>
      <c r="AB2362" s="328"/>
      <c r="AC2362" s="328"/>
      <c r="AD2362" s="328"/>
      <c r="AE2362" s="328"/>
      <c r="AF2362" s="43"/>
    </row>
    <row r="2363" spans="1:32" ht="12.75" customHeight="1">
      <c r="A2363" s="300" t="str">
        <f>K2355</f>
        <v>I</v>
      </c>
      <c r="B2363" s="293" t="str">
        <f ca="1">IF(AND(OFFSET($AO$1,$L2355-1,8,1,1),$A2356&lt;&gt;"",$J2356&lt;&gt;""),CHOOSE($L2355,$AO$1,$AO$2,$AO$3,$AO$4,$AO$5,$AO$6,$AO$7,$AO$8,$AO$9,$AO$10,$AO$11,$AO$12),"")</f>
        <v/>
      </c>
      <c r="C2363" s="294"/>
      <c r="D2363" s="294"/>
      <c r="E2363" s="294"/>
      <c r="F2363" s="294"/>
      <c r="G2363" s="294"/>
      <c r="H2363" s="265"/>
      <c r="I2363" s="265"/>
      <c r="J2363" s="265"/>
      <c r="K2363" s="265"/>
      <c r="L2363" s="265"/>
      <c r="M2363" s="267" t="s">
        <v>1237</v>
      </c>
      <c r="N2363" s="268"/>
      <c r="O2363" s="268"/>
      <c r="P2363" s="269"/>
      <c r="Q2363" s="137" t="str">
        <f>IF($Q2361&lt;&gt;"",IF($Q2361="W","L","W"),"")</f>
        <v/>
      </c>
      <c r="R2363" s="43"/>
      <c r="S2363" s="43"/>
      <c r="T2363" s="43"/>
      <c r="U2363" s="43"/>
      <c r="V2363" s="43"/>
      <c r="W2363" s="43"/>
      <c r="X2363" s="43"/>
      <c r="Y2363" s="43"/>
      <c r="Z2363" s="43"/>
      <c r="AA2363" s="43"/>
      <c r="AB2363" s="43"/>
      <c r="AC2363" s="43"/>
      <c r="AD2363" s="43"/>
      <c r="AE2363" s="43"/>
      <c r="AF2363" s="43"/>
    </row>
    <row r="2364" spans="1:32" ht="12.75" customHeight="1">
      <c r="A2364" s="301"/>
      <c r="B2364" s="295"/>
      <c r="C2364" s="296"/>
      <c r="D2364" s="296"/>
      <c r="E2364" s="296"/>
      <c r="F2364" s="296"/>
      <c r="G2364" s="296"/>
      <c r="H2364" s="270"/>
      <c r="I2364" s="270"/>
      <c r="J2364" s="266"/>
      <c r="K2364" s="266"/>
      <c r="L2364" s="266"/>
      <c r="M2364" s="267"/>
      <c r="N2364" s="268"/>
      <c r="O2364" s="268"/>
      <c r="P2364" s="269"/>
      <c r="Q2364" s="139" t="str">
        <f>IF($Q2363&lt;&gt;"",IF($Q2363="W",IF(SUM(IF($H2363&gt;$H2361,1,0),IF($I2363&gt;$I2361,1,0),IF($J2363&gt;$J2361,1,0),IF($K2363&gt;$K2361,1,0),IF($L2363&gt;$L2361,1,0))&lt;&gt;3,"Error",""),""),"")</f>
        <v/>
      </c>
      <c r="R2364" s="43" t="str">
        <f>$A2366</f>
        <v>2nd Singles</v>
      </c>
      <c r="S2364" s="43"/>
      <c r="T2364" s="43"/>
      <c r="U2364" s="43"/>
      <c r="V2364" s="43"/>
      <c r="W2364" s="43"/>
      <c r="X2364" s="43"/>
      <c r="Y2364" s="43"/>
      <c r="Z2364" s="43"/>
      <c r="AA2364" s="43"/>
      <c r="AB2364" s="43"/>
      <c r="AC2364" s="43"/>
      <c r="AD2364" s="43"/>
      <c r="AE2364" s="43"/>
      <c r="AF2364" s="43"/>
    </row>
    <row r="2365" spans="1:32" ht="12.75" customHeight="1">
      <c r="Q2365" s="7"/>
      <c r="R2365" s="60" t="s">
        <v>1228</v>
      </c>
      <c r="S2365" s="339" t="s">
        <v>1126</v>
      </c>
      <c r="T2365" s="340"/>
      <c r="U2365" s="340"/>
      <c r="V2365" s="340"/>
      <c r="W2365" s="340"/>
      <c r="X2365" s="341"/>
      <c r="Y2365" s="60">
        <v>1</v>
      </c>
      <c r="Z2365" s="60">
        <v>2</v>
      </c>
      <c r="AA2365" s="60">
        <v>3</v>
      </c>
      <c r="AB2365" s="60">
        <v>4</v>
      </c>
      <c r="AC2365" s="60">
        <v>5</v>
      </c>
      <c r="AD2365" s="342"/>
      <c r="AE2365" s="343"/>
      <c r="AF2365" s="344"/>
    </row>
    <row r="2366" spans="1:32" ht="12.75" customHeight="1">
      <c r="A2366" s="21" t="s">
        <v>1234</v>
      </c>
      <c r="H2366" s="136" t="str">
        <f>IF($Q2368&lt;&gt;"",IF(AND(AND($H2368&gt;-1,$H2370&gt;-1),OR($H2368&gt;10,$H2370&gt;10),ABS($H2368-$H2370)&gt;1,IF(OR($H2368&gt;11,$H2370&gt;11),ABS($H2368-$H2370)=2,TRUE),$H2368=INT($H2368),$H2370=INT($H2370)),"","Error"),"")</f>
        <v/>
      </c>
      <c r="I2366" s="136" t="str">
        <f>IF($Q2368&lt;&gt;"",IF(AND(AND($I2368&gt;-1,$I2370&gt;-1),OR($I2368&gt;10,$I2370&gt;10),ABS($I2368-$I2370)&gt;1,IF(OR($I2368&gt;11,$I2370&gt;11),ABS($I2368-$I2370)=2,TRUE),$I2368=INT($I2368),$I2370=INT($I2370)),"","Error"),"")</f>
        <v/>
      </c>
      <c r="J2366" s="136" t="str">
        <f>IF($Q2368&lt;&gt;"",IF(AND(AND($J2368&gt;-1,$J2370&gt;-1),OR($J2368&gt;10,$J2370&gt;10),ABS($J2368-$J2370)&gt;1,IF(OR($J2368&gt;11,$J2370&gt;11),ABS($J2368-$J2370)=2,TRUE),$J2368=INT($J2368),$J2370=INT($J2370)),"","Error"),"")</f>
        <v/>
      </c>
      <c r="K2366" s="136" t="str">
        <f>IF($Q2368&lt;&gt;"",IF(AND($K2368&lt;&gt;"",$K2370&lt;&gt;""), IF(AND(AND($K2368&gt;-1,$K2370&gt;-1),OR($K2368&gt;10,$K2370&gt;10),ABS($K2368-$K2370)&gt;1,IF(OR($K2368&gt;11,$K2370&gt;11),ABS($K2368-$K2370)=2,TRUE),$K2368=INT($K2368),$K2370=INT($K2370)),"","Error"),""),"")</f>
        <v/>
      </c>
      <c r="L2366" s="136" t="str">
        <f>IF($Q2368&lt;&gt;"",IF(AND($L2368&lt;&gt;"",$L2370&lt;&gt;""), IF(AND(AND($L2368&gt;-1,$L2370&gt;-1),OR($L2368&gt;10,$L2370&gt;10),ABS($L2368-$L2370)&gt;1,IF(OR($L2368&gt;11,$L2370&gt;11),ABS($L2368-$L2370)=2,TRUE),$L2368=INT($L2368),$L2370=INT($L2370)),"","Error"),""),"")</f>
        <v/>
      </c>
      <c r="Q2366" s="7"/>
      <c r="R2366" s="300" t="str">
        <f>$B2355</f>
        <v>D</v>
      </c>
      <c r="S2366" s="331" t="str">
        <f ca="1">IF($B2368&lt;&gt;"",$B2368,"")</f>
        <v/>
      </c>
      <c r="T2366" s="332"/>
      <c r="U2366" s="332"/>
      <c r="V2366" s="332"/>
      <c r="W2366" s="332"/>
      <c r="X2366" s="333"/>
      <c r="Y2366" s="329"/>
      <c r="Z2366" s="329"/>
      <c r="AA2366" s="329"/>
      <c r="AB2366" s="329"/>
      <c r="AC2366" s="329"/>
      <c r="AD2366" s="345"/>
      <c r="AE2366" s="358"/>
      <c r="AF2366" s="359"/>
    </row>
    <row r="2367" spans="1:32" ht="12.75" customHeight="1">
      <c r="A2367" s="5" t="s">
        <v>1228</v>
      </c>
      <c r="B2367" s="290" t="s">
        <v>1126</v>
      </c>
      <c r="C2367" s="291"/>
      <c r="D2367" s="291"/>
      <c r="E2367" s="291"/>
      <c r="F2367" s="291"/>
      <c r="G2367" s="292"/>
      <c r="H2367" s="5">
        <v>1</v>
      </c>
      <c r="I2367" s="5">
        <v>2</v>
      </c>
      <c r="J2367" s="5">
        <v>3</v>
      </c>
      <c r="K2367" s="5">
        <v>4</v>
      </c>
      <c r="L2367" s="5">
        <v>5</v>
      </c>
      <c r="M2367" s="271"/>
      <c r="N2367" s="272"/>
      <c r="O2367" s="272"/>
      <c r="P2367" s="273"/>
      <c r="Q2367" s="7"/>
      <c r="R2367" s="330"/>
      <c r="S2367" s="334"/>
      <c r="T2367" s="335"/>
      <c r="U2367" s="335"/>
      <c r="V2367" s="335"/>
      <c r="W2367" s="335"/>
      <c r="X2367" s="336"/>
      <c r="Y2367" s="330"/>
      <c r="Z2367" s="330"/>
      <c r="AA2367" s="330"/>
      <c r="AB2367" s="330"/>
      <c r="AC2367" s="330"/>
      <c r="AD2367" s="360"/>
      <c r="AE2367" s="361"/>
      <c r="AF2367" s="362"/>
    </row>
    <row r="2368" spans="1:32" ht="12.75" customHeight="1">
      <c r="A2368" s="300" t="str">
        <f>B2355</f>
        <v>D</v>
      </c>
      <c r="B2368" s="293" t="str">
        <f ca="1">IF(AND(OFFSET($AO$1,$C2355-1,8,1,1),$A2356&lt;&gt;"",$J2356&lt;&gt;""),CHOOSE($C2355,$AP$1,$AP$2,$AP$3,$AP$4,$AP$5,$AP$6,$AP$7,$AP$8,$AP$9,$AP$10,$AP$11,$AP$12),"")</f>
        <v/>
      </c>
      <c r="C2368" s="294"/>
      <c r="D2368" s="294"/>
      <c r="E2368" s="294"/>
      <c r="F2368" s="294"/>
      <c r="G2368" s="294"/>
      <c r="H2368" s="265"/>
      <c r="I2368" s="265"/>
      <c r="J2368" s="265"/>
      <c r="K2368" s="265"/>
      <c r="L2368" s="265"/>
      <c r="M2368" s="262" t="str">
        <f ca="1">IF(OR(AND($B2361&lt;&gt;"",$B2368&lt;&gt;"",$C2386&lt;=$B2386),AND($B2363&lt;&gt;"",$B2370&lt;&gt;"",$G2386&lt;=$F2386)),"Invalid Lineup","")</f>
        <v/>
      </c>
      <c r="N2368" s="263"/>
      <c r="O2368" s="263"/>
      <c r="P2368" s="264"/>
      <c r="Q2368" s="137" t="str">
        <f>IF($L2368=$L2370,IF($K2368=$K2370,IF($J2368&lt;&gt;"",IF($J2368&gt;$J2370,"W","L"),""),IF($K2368&gt;$K2370,"W","L")),IF($L2368&gt;$L2370,"W","L"))</f>
        <v/>
      </c>
      <c r="R2368" s="300" t="str">
        <f>$K2355</f>
        <v>I</v>
      </c>
      <c r="S2368" s="331" t="str">
        <f ca="1">IF($B2370&lt;&gt;"",$B2370,"")</f>
        <v/>
      </c>
      <c r="T2368" s="332"/>
      <c r="U2368" s="332"/>
      <c r="V2368" s="332"/>
      <c r="W2368" s="332"/>
      <c r="X2368" s="333"/>
      <c r="Y2368" s="329"/>
      <c r="Z2368" s="329"/>
      <c r="AA2368" s="329"/>
      <c r="AB2368" s="329"/>
      <c r="AC2368" s="351"/>
      <c r="AD2368" s="363" t="s">
        <v>1237</v>
      </c>
      <c r="AE2368" s="358"/>
      <c r="AF2368" s="359"/>
    </row>
    <row r="2369" spans="1:32" ht="12.75" customHeight="1">
      <c r="A2369" s="301"/>
      <c r="B2369" s="295"/>
      <c r="C2369" s="296"/>
      <c r="D2369" s="296"/>
      <c r="E2369" s="296"/>
      <c r="F2369" s="296"/>
      <c r="G2369" s="296"/>
      <c r="H2369" s="270"/>
      <c r="I2369" s="270"/>
      <c r="J2369" s="270"/>
      <c r="K2369" s="270"/>
      <c r="L2369" s="270"/>
      <c r="M2369" s="262"/>
      <c r="N2369" s="263"/>
      <c r="O2369" s="263"/>
      <c r="P2369" s="264"/>
      <c r="Q2369" s="139" t="str">
        <f>IF($Q2368&lt;&gt;"",IF($Q2368="W",IF(SUM(IF($H2368&gt;$H2370,1,0),IF($I2368&gt;$I2370,1,0),IF($J2368&gt;$J2370,1,0),IF($K2368&gt;$K2370,1,0),IF($L2368&gt;$L2370,1,0))&lt;&gt;3,"Error",""),""),"")</f>
        <v/>
      </c>
      <c r="R2369" s="330"/>
      <c r="S2369" s="334"/>
      <c r="T2369" s="335"/>
      <c r="U2369" s="335"/>
      <c r="V2369" s="335"/>
      <c r="W2369" s="335"/>
      <c r="X2369" s="336"/>
      <c r="Y2369" s="330"/>
      <c r="Z2369" s="330"/>
      <c r="AA2369" s="330"/>
      <c r="AB2369" s="330"/>
      <c r="AC2369" s="330"/>
      <c r="AD2369" s="360"/>
      <c r="AE2369" s="361"/>
      <c r="AF2369" s="362"/>
    </row>
    <row r="2370" spans="1:32" ht="12.75" customHeight="1">
      <c r="A2370" s="300" t="str">
        <f>K2355</f>
        <v>I</v>
      </c>
      <c r="B2370" s="293" t="str">
        <f ca="1">IF(AND(OFFSET($AO$1,$L2355-1,8,1,1),$A2356&lt;&gt;"",$J2356&lt;&gt;""),CHOOSE($L2355,$AP$1,$AP$2,$AP$3,$AP$4,$AP$5,$AP$6,$AP$7,$AP$8,$AP$9,$AP$10,$AP$11,$AP$12),"")</f>
        <v/>
      </c>
      <c r="C2370" s="294"/>
      <c r="D2370" s="294"/>
      <c r="E2370" s="294"/>
      <c r="F2370" s="294"/>
      <c r="G2370" s="294"/>
      <c r="H2370" s="265"/>
      <c r="I2370" s="265"/>
      <c r="J2370" s="265"/>
      <c r="K2370" s="265"/>
      <c r="L2370" s="265"/>
      <c r="M2370" s="267" t="s">
        <v>1237</v>
      </c>
      <c r="N2370" s="268"/>
      <c r="O2370" s="268"/>
      <c r="P2370" s="269"/>
      <c r="Q2370" s="137" t="str">
        <f>IF($Q2368&lt;&gt;"",IF($Q2368="W","L","W"),"")</f>
        <v/>
      </c>
      <c r="R2370" s="20"/>
      <c r="S2370" s="20"/>
      <c r="T2370" s="20"/>
      <c r="U2370" s="20"/>
      <c r="V2370" s="20"/>
      <c r="W2370" s="20"/>
      <c r="X2370" s="26"/>
      <c r="Y2370" s="26"/>
      <c r="Z2370" s="20"/>
      <c r="AA2370" s="20"/>
      <c r="AB2370" s="20"/>
      <c r="AC2370" s="20"/>
      <c r="AD2370" s="20"/>
      <c r="AE2370" s="20"/>
      <c r="AF2370" s="27"/>
    </row>
    <row r="2371" spans="1:32" ht="12.75" customHeight="1">
      <c r="A2371" s="301"/>
      <c r="B2371" s="295"/>
      <c r="C2371" s="296"/>
      <c r="D2371" s="296"/>
      <c r="E2371" s="296"/>
      <c r="F2371" s="296"/>
      <c r="G2371" s="296"/>
      <c r="H2371" s="270"/>
      <c r="I2371" s="270"/>
      <c r="J2371" s="266"/>
      <c r="K2371" s="266"/>
      <c r="L2371" s="266"/>
      <c r="M2371" s="267"/>
      <c r="N2371" s="268"/>
      <c r="O2371" s="268"/>
      <c r="P2371" s="269"/>
      <c r="Q2371" s="139" t="str">
        <f>IF($Q2370&lt;&gt;"",IF($Q2370="W",IF(SUM(IF($H2370&gt;$H2368,1,0),IF($I2370&gt;$I2368,1,0),IF($J2370&gt;$J2368,1,0),IF($K2370&gt;$K2368,1,0),IF($L2370&gt;$L2368,1,0))&lt;&gt;3,"Error",""),""),"")</f>
        <v/>
      </c>
      <c r="R2371" s="20"/>
      <c r="S2371" s="20"/>
      <c r="T2371" s="20"/>
      <c r="U2371" s="20"/>
      <c r="V2371" s="20"/>
      <c r="W2371" s="20"/>
      <c r="X2371" s="26"/>
      <c r="Y2371" s="26"/>
      <c r="Z2371" s="20"/>
      <c r="AA2371" s="20"/>
      <c r="AB2371" s="20"/>
      <c r="AC2371" s="20"/>
      <c r="AD2371" s="20"/>
      <c r="AE2371" s="20"/>
      <c r="AF2371" s="27"/>
    </row>
    <row r="2372" spans="1:32" ht="12.75" customHeight="1">
      <c r="Q2372" s="7"/>
      <c r="R2372" s="20"/>
      <c r="S2372" s="20"/>
      <c r="T2372" s="20"/>
      <c r="U2372" s="20"/>
      <c r="V2372" s="20"/>
      <c r="W2372" s="20"/>
      <c r="X2372" s="26"/>
      <c r="Y2372" s="26"/>
      <c r="Z2372" s="20"/>
      <c r="AA2372" s="20"/>
      <c r="AB2372" s="20"/>
      <c r="AC2372" s="20"/>
      <c r="AD2372" s="20"/>
      <c r="AE2372" s="20"/>
      <c r="AF2372" s="27"/>
    </row>
    <row r="2373" spans="1:32" ht="12.75" customHeight="1">
      <c r="A2373" s="21" t="s">
        <v>1235</v>
      </c>
      <c r="H2373" s="136" t="str">
        <f>IF($Q2375&lt;&gt;"",IF(AND(AND($H2375&gt;-1,$H2377&gt;-1),OR($H2375&gt;10,$H2377&gt;10),ABS($H2375-$H2377)&gt;1,IF(OR($H2375&gt;11,$H2377&gt;11),ABS($H2375-$H2377)=2,TRUE),$H2375=INT($H2375),$H2377=INT($H2377)),"","Error"),"")</f>
        <v/>
      </c>
      <c r="I2373" s="136" t="str">
        <f>IF($Q2375&lt;&gt;"",IF(AND(AND($I2375&gt;-1,$I2377&gt;-1),OR($I2375&gt;10,$I2377&gt;10),ABS($I2375-$I2377)&gt;1,IF(OR($I2375&gt;11,$I2377&gt;11),ABS($I2375-$I2377)=2,TRUE),$I2375=INT($I2375),$I2377=INT($I2377)),"","Error"),"")</f>
        <v/>
      </c>
      <c r="J2373" s="136" t="str">
        <f>IF($Q2375&lt;&gt;"",IF(AND(AND($J2375&gt;-1,$J2377&gt;-1),OR($J2375&gt;10,$J2377&gt;10),ABS($J2375-$J2377)&gt;1,IF(OR($J2375&gt;11,$J2377&gt;11),ABS($J2375-$J2377)=2,TRUE),$J2375=INT($J2375),$J2377=INT($J2377)),"","Error"),"")</f>
        <v/>
      </c>
      <c r="K2373" s="136" t="str">
        <f>IF($Q2375&lt;&gt;"",IF(AND($K2375&lt;&gt;"",$K2377&lt;&gt;""), IF(AND(AND($K2375&gt;-1,$K2377&gt;-1),OR($K2375&gt;10,$K2377&gt;10),ABS($K2375-$K2377)&gt;1,IF(OR($K2375&gt;11,$K2377&gt;11),ABS($K2375-$K2377)=2,TRUE),$K2375=INT($K2375),$K2377=INT($K2377)),"","Error"),""),"")</f>
        <v/>
      </c>
      <c r="L2373" s="136" t="str">
        <f>IF($Q2375&lt;&gt;"",IF(AND($L2375&lt;&gt;"",$L2377&lt;&gt;""), IF(AND(AND($L2375&gt;-1,$L2377&gt;-1),OR($L2375&gt;10,$L2377&gt;10),ABS($L2375-$L2377)&gt;1,IF(OR($L2375&gt;11,$L2377&gt;11),ABS($L2375-$L2377)=2,TRUE),$L2375=INT($L2375),$L2377=INT($L2377)),"","Error"),""),"")</f>
        <v/>
      </c>
      <c r="Q2373" s="7"/>
      <c r="R2373" s="20"/>
      <c r="S2373" s="20"/>
      <c r="T2373" s="20"/>
      <c r="U2373" s="20"/>
      <c r="V2373" s="20"/>
      <c r="W2373" s="20"/>
      <c r="X2373" s="26"/>
      <c r="Y2373" s="26"/>
      <c r="Z2373" s="20"/>
      <c r="AA2373" s="20"/>
      <c r="AB2373" s="20"/>
      <c r="AC2373" s="20"/>
      <c r="AD2373" s="20"/>
      <c r="AE2373" s="20"/>
      <c r="AF2373" s="27"/>
    </row>
    <row r="2374" spans="1:32" ht="12.75" customHeight="1">
      <c r="A2374" s="5" t="s">
        <v>1228</v>
      </c>
      <c r="B2374" s="290" t="s">
        <v>1126</v>
      </c>
      <c r="C2374" s="291"/>
      <c r="D2374" s="291"/>
      <c r="E2374" s="291"/>
      <c r="F2374" s="291"/>
      <c r="G2374" s="292"/>
      <c r="H2374" s="5">
        <v>1</v>
      </c>
      <c r="I2374" s="5">
        <v>2</v>
      </c>
      <c r="J2374" s="5">
        <v>3</v>
      </c>
      <c r="K2374" s="5">
        <v>4</v>
      </c>
      <c r="L2374" s="5">
        <v>5</v>
      </c>
      <c r="M2374" s="271"/>
      <c r="N2374" s="272"/>
      <c r="O2374" s="272"/>
      <c r="P2374" s="273"/>
      <c r="Q2374" s="7"/>
      <c r="R2374" s="20"/>
      <c r="S2374" s="20"/>
      <c r="T2374" s="20"/>
      <c r="U2374" s="20"/>
      <c r="V2374" s="20"/>
      <c r="W2374" s="20"/>
      <c r="X2374" s="26"/>
      <c r="Y2374" s="26"/>
      <c r="Z2374" s="20"/>
      <c r="AA2374" s="20"/>
      <c r="AB2374" s="20"/>
      <c r="AC2374" s="20"/>
      <c r="AD2374" s="20"/>
      <c r="AE2374" s="20"/>
      <c r="AF2374" s="27"/>
    </row>
    <row r="2375" spans="1:32" ht="12.75" customHeight="1">
      <c r="A2375" s="300" t="str">
        <f>B2355</f>
        <v>D</v>
      </c>
      <c r="B2375" s="293" t="str">
        <f ca="1">IF(AND(OFFSET($AO$1,$C2355-1,8,1,1),$A2356&lt;&gt;"",$J2356&lt;&gt;""),CHOOSE($C2355,$AQ$1,$AQ$2,$AQ$3,$AQ$4,$AQ$5,$AQ$6,$AQ$7,$AQ$8,$AQ$9,$AQ$10,$AQ$11,$AQ$12),"")</f>
        <v/>
      </c>
      <c r="C2375" s="294"/>
      <c r="D2375" s="294"/>
      <c r="E2375" s="294"/>
      <c r="F2375" s="294"/>
      <c r="G2375" s="294"/>
      <c r="H2375" s="265"/>
      <c r="I2375" s="265"/>
      <c r="J2375" s="265"/>
      <c r="K2375" s="265"/>
      <c r="L2375" s="265"/>
      <c r="M2375" s="262" t="str">
        <f ca="1">IF(OR(AND($B2368&lt;&gt;"",$B2375&lt;&gt;"",$D2386&lt;=$C2386),AND($B2370&lt;&gt;"",$B2377&lt;&gt;"",$H2386&lt;=$G2386)),"Invalid Lineup","")</f>
        <v/>
      </c>
      <c r="N2375" s="263"/>
      <c r="O2375" s="263"/>
      <c r="P2375" s="264"/>
      <c r="Q2375" s="137" t="str">
        <f>IF($L2375=$L2377,IF($K2375=$K2377,IF($J2375&lt;&gt;"",IF($J2375&gt;$J2377,"W","L"),""),IF($K2375&gt;$K2377,"W","L")),IF($L2375&gt;$L2377,"W","L"))</f>
        <v/>
      </c>
      <c r="R2375" s="20"/>
      <c r="S2375" s="20"/>
      <c r="T2375" s="20"/>
      <c r="U2375" s="20"/>
      <c r="V2375" s="20"/>
      <c r="W2375" s="20"/>
      <c r="X2375" s="26"/>
      <c r="Y2375" s="26"/>
      <c r="Z2375" s="20"/>
      <c r="AA2375" s="20"/>
      <c r="AB2375" s="20"/>
      <c r="AC2375" s="20"/>
      <c r="AD2375" s="20"/>
      <c r="AE2375" s="20"/>
      <c r="AF2375" s="27"/>
    </row>
    <row r="2376" spans="1:32" ht="12.75" customHeight="1">
      <c r="A2376" s="301"/>
      <c r="B2376" s="295"/>
      <c r="C2376" s="296"/>
      <c r="D2376" s="296"/>
      <c r="E2376" s="296"/>
      <c r="F2376" s="296"/>
      <c r="G2376" s="296"/>
      <c r="H2376" s="270"/>
      <c r="I2376" s="270"/>
      <c r="J2376" s="270"/>
      <c r="K2376" s="270"/>
      <c r="L2376" s="270"/>
      <c r="M2376" s="262"/>
      <c r="N2376" s="263"/>
      <c r="O2376" s="263"/>
      <c r="P2376" s="264"/>
      <c r="Q2376" s="139" t="str">
        <f>IF($Q2375&lt;&gt;"",IF($Q2375="W",IF(SUM(IF($H2375&gt;$H2377,1,0),IF($I2375&gt;$I2377,1,0),IF($J2375&gt;$J2377,1,0),IF($K2375&gt;$K2377,1,0),IF($L2375&gt;$L2377,1,0))&lt;&gt;3,"Error",""),""),"")</f>
        <v/>
      </c>
      <c r="R2376" s="328" t="str">
        <f>$A2356</f>
        <v/>
      </c>
      <c r="S2376" s="328"/>
      <c r="T2376" s="328"/>
      <c r="U2376" s="328"/>
      <c r="V2376" s="328"/>
      <c r="W2376" s="328"/>
      <c r="X2376" s="256" t="str">
        <f>CONCATENATE("(",$B2355," vs ",$K2355,")")</f>
        <v>(D vs I)</v>
      </c>
      <c r="Y2376" s="256"/>
      <c r="Z2376" s="328" t="str">
        <f>$J2356</f>
        <v/>
      </c>
      <c r="AA2376" s="328"/>
      <c r="AB2376" s="328"/>
      <c r="AC2376" s="328"/>
      <c r="AD2376" s="328"/>
      <c r="AE2376" s="328"/>
      <c r="AF2376" s="100"/>
    </row>
    <row r="2377" spans="1:32" ht="12.75" customHeight="1">
      <c r="A2377" s="300" t="str">
        <f>K2355</f>
        <v>I</v>
      </c>
      <c r="B2377" s="293" t="str">
        <f ca="1">IF(AND(OFFSET($AO$1,$L2355-1,8,1,1),$A2356&lt;&gt;"",$J2356&lt;&gt;""),CHOOSE($L2355,$AQ$1,$AQ$2,$AQ$3,$AQ$4,$AQ$5,$AQ$6,$AQ$7,$AQ$8,$AQ$9,$AQ$10,$AQ$11,$AQ$12),"")</f>
        <v/>
      </c>
      <c r="C2377" s="294"/>
      <c r="D2377" s="294"/>
      <c r="E2377" s="294"/>
      <c r="F2377" s="294"/>
      <c r="G2377" s="294"/>
      <c r="H2377" s="265"/>
      <c r="I2377" s="265"/>
      <c r="J2377" s="265"/>
      <c r="K2377" s="265"/>
      <c r="L2377" s="265"/>
      <c r="M2377" s="267" t="s">
        <v>1237</v>
      </c>
      <c r="N2377" s="268"/>
      <c r="O2377" s="268"/>
      <c r="P2377" s="269"/>
      <c r="Q2377" s="137" t="str">
        <f>IF($Q2375&lt;&gt;"",IF($Q2375="W","L","W"),"")</f>
        <v/>
      </c>
      <c r="R2377" s="100"/>
      <c r="S2377" s="100"/>
      <c r="T2377" s="100"/>
      <c r="U2377" s="100"/>
      <c r="V2377" s="100"/>
      <c r="W2377" s="100"/>
      <c r="X2377" s="100"/>
      <c r="Y2377" s="100"/>
      <c r="Z2377" s="100"/>
      <c r="AA2377" s="100"/>
      <c r="AB2377" s="100"/>
      <c r="AC2377" s="100"/>
      <c r="AD2377" s="100"/>
      <c r="AE2377" s="100"/>
      <c r="AF2377" s="100"/>
    </row>
    <row r="2378" spans="1:32" ht="12.75" customHeight="1">
      <c r="A2378" s="301"/>
      <c r="B2378" s="295"/>
      <c r="C2378" s="296"/>
      <c r="D2378" s="296"/>
      <c r="E2378" s="296"/>
      <c r="F2378" s="296"/>
      <c r="G2378" s="296"/>
      <c r="H2378" s="270"/>
      <c r="I2378" s="270"/>
      <c r="J2378" s="266"/>
      <c r="K2378" s="266"/>
      <c r="L2378" s="266"/>
      <c r="M2378" s="267"/>
      <c r="N2378" s="268"/>
      <c r="O2378" s="268"/>
      <c r="P2378" s="269"/>
      <c r="Q2378" s="139" t="str">
        <f>IF($Q2377&lt;&gt;"",IF($Q2377="W",IF(SUM(IF($H2377&gt;$H2375,1,0),IF($I2377&gt;$I2375,1,0),IF($J2377&gt;$J2375,1,0),IF($K2377&gt;$K2375,1,0),IF($L2377&gt;$L2375,1,0))&lt;&gt;3,"Error",""),""),"")</f>
        <v/>
      </c>
      <c r="R2378" s="43" t="str">
        <f>$A2373</f>
        <v>3rd Singles</v>
      </c>
      <c r="S2378" s="43"/>
      <c r="T2378" s="43"/>
      <c r="U2378" s="43"/>
      <c r="V2378" s="43"/>
      <c r="W2378" s="43"/>
      <c r="X2378" s="43"/>
      <c r="Y2378" s="43"/>
      <c r="Z2378" s="43"/>
      <c r="AA2378" s="43"/>
      <c r="AB2378" s="43"/>
      <c r="AC2378" s="43"/>
      <c r="AD2378" s="43"/>
      <c r="AE2378" s="43"/>
      <c r="AF2378" s="43"/>
    </row>
    <row r="2379" spans="1:32" ht="12.75" customHeight="1">
      <c r="Q2379" s="7"/>
      <c r="R2379" s="60" t="s">
        <v>1228</v>
      </c>
      <c r="S2379" s="101" t="s">
        <v>1126</v>
      </c>
      <c r="T2379" s="102"/>
      <c r="U2379" s="102"/>
      <c r="V2379" s="102"/>
      <c r="W2379" s="102"/>
      <c r="X2379" s="103"/>
      <c r="Y2379" s="60">
        <v>1</v>
      </c>
      <c r="Z2379" s="60">
        <v>2</v>
      </c>
      <c r="AA2379" s="60">
        <v>3</v>
      </c>
      <c r="AB2379" s="60">
        <v>4</v>
      </c>
      <c r="AC2379" s="60">
        <v>5</v>
      </c>
      <c r="AD2379" s="104"/>
      <c r="AE2379" s="105"/>
      <c r="AF2379" s="106"/>
    </row>
    <row r="2380" spans="1:32" ht="12.75" customHeight="1">
      <c r="A2380" s="21" t="s">
        <v>1236</v>
      </c>
      <c r="H2380" s="136" t="str">
        <f ca="1">IF($Q2382&lt;&gt;"",IF(AND($B2382&lt;&gt;"Missing Player",$B2384&lt;&gt;"Missing Player"),IF(AND(AND($H2382&gt;-1,$H2384&gt;-1),OR($H2382&gt;10,$H2384&gt;10),ABS($H2382-$H2384)&gt;1,IF(OR($H2382&gt;11,$H2384&gt;11),ABS($H2382-$H2384)=2,TRUE),$H2382=INT($H2382),$H2384=INT($H2384)),"","Error"),""),"")</f>
        <v/>
      </c>
      <c r="I2380" s="136" t="str">
        <f ca="1">IF($Q2382&lt;&gt;"",IF(AND($B2382&lt;&gt;"Missing Player",$B2384&lt;&gt;"Missing Player"),IF(AND(AND($I2382&gt;-1,$I2384&gt;-1),OR($I2382&gt;10,$I2384&gt;10),ABS($I2382-$I2384)&gt;1,IF(OR($I2382&gt;11,$I2384&gt;11),ABS($I2382-$I2384)=2,TRUE),$I2382=INT($I2382),$I2384=INT($I2384)),"","Error"),""),"")</f>
        <v/>
      </c>
      <c r="J2380" s="136" t="str">
        <f ca="1">IF($Q2382&lt;&gt;"",IF(AND($B2382&lt;&gt;"Missing Player",$B2384&lt;&gt;"Missing Player"),IF(AND(AND($J2382&gt;-1,$J2384&gt;-1),OR($J2382&gt;10,$J2384&gt;10),ABS($J2382-$J2384)&gt;1,IF(OR($J2382&gt;11,$J2384&gt;11),ABS($J2382-$J2384)=2,TRUE),$J2382=INT($J2382),$J2384=INT($J2384)),"","Error"),""),"")</f>
        <v/>
      </c>
      <c r="K2380" s="136" t="str">
        <f ca="1">IF($Q2382&lt;&gt;"",IF(AND($K2382&lt;&gt;"",$K2384&lt;&gt;""), IF(AND(AND($K2382&gt;-1,$K2384&gt;-1),OR($K2382&gt;10,$K2384&gt;10),ABS($K2382-$K2384)&gt;1,IF(OR($K2382&gt;11,$K2384&gt;11),ABS($K2382-$K2384)=2,TRUE),$K2382=INT($K2382),$K2384=INT($K2384)),"","Error"),""),"")</f>
        <v/>
      </c>
      <c r="L2380" s="136" t="str">
        <f ca="1">IF($Q2382&lt;&gt;"",IF(AND($L2382&lt;&gt;"",$L2384&lt;&gt;""), IF(AND(AND($L2382&gt;-1,$L2384&gt;-1),OR($L2382&gt;10,$L2384&gt;10),ABS($L2382-$L2384)&gt;1,IF(OR($L2382&gt;11,$L2384&gt;11),ABS($L2382-$L2384)=2,TRUE),$L2382=INT($L2382),$L2384=INT($L2384)),"","Error"),""),"")</f>
        <v/>
      </c>
      <c r="Q2380" s="7"/>
      <c r="R2380" s="300" t="str">
        <f>$B2355</f>
        <v>D</v>
      </c>
      <c r="S2380" s="331" t="str">
        <f ca="1">IF($B2375&lt;&gt;"",$B2375,"")</f>
        <v/>
      </c>
      <c r="T2380" s="332"/>
      <c r="U2380" s="332"/>
      <c r="V2380" s="332"/>
      <c r="W2380" s="332"/>
      <c r="X2380" s="333"/>
      <c r="Y2380" s="329"/>
      <c r="Z2380" s="329"/>
      <c r="AA2380" s="329"/>
      <c r="AB2380" s="329"/>
      <c r="AC2380" s="329"/>
      <c r="AD2380" s="345"/>
      <c r="AE2380" s="358"/>
      <c r="AF2380" s="359"/>
    </row>
    <row r="2381" spans="1:32" ht="12.75" customHeight="1">
      <c r="A2381" s="5" t="s">
        <v>1228</v>
      </c>
      <c r="B2381" s="290" t="s">
        <v>1126</v>
      </c>
      <c r="C2381" s="291"/>
      <c r="D2381" s="291"/>
      <c r="E2381" s="291"/>
      <c r="F2381" s="291"/>
      <c r="G2381" s="292"/>
      <c r="H2381" s="5">
        <v>1</v>
      </c>
      <c r="I2381" s="5">
        <v>2</v>
      </c>
      <c r="J2381" s="5">
        <v>3</v>
      </c>
      <c r="K2381" s="5">
        <v>4</v>
      </c>
      <c r="L2381" s="5">
        <v>5</v>
      </c>
      <c r="M2381" s="271"/>
      <c r="N2381" s="272"/>
      <c r="O2381" s="272"/>
      <c r="P2381" s="273"/>
      <c r="Q2381" s="7"/>
      <c r="R2381" s="330"/>
      <c r="S2381" s="334"/>
      <c r="T2381" s="335"/>
      <c r="U2381" s="335"/>
      <c r="V2381" s="335"/>
      <c r="W2381" s="335"/>
      <c r="X2381" s="336"/>
      <c r="Y2381" s="330"/>
      <c r="Z2381" s="330"/>
      <c r="AA2381" s="330"/>
      <c r="AB2381" s="330"/>
      <c r="AC2381" s="330"/>
      <c r="AD2381" s="360"/>
      <c r="AE2381" s="361"/>
      <c r="AF2381" s="362"/>
    </row>
    <row r="2382" spans="1:32" ht="12.75" customHeight="1">
      <c r="A2382" s="300" t="str">
        <f>B2355</f>
        <v>D</v>
      </c>
      <c r="B2382" s="293" t="str">
        <f ca="1">IF(AND(OFFSET($AO$1,$C2355-1,8,1,1),$A2356&lt;&gt;"",$J2356&lt;&gt;""),CHOOSE($C2355,$AR$1,$AR$2,$AR$3,$AR$4,$AR$5,$AR$6,$AR$7,$AR$8,$AR$9,$AR$10,$AR$11,$AR$12),"")</f>
        <v/>
      </c>
      <c r="C2382" s="294"/>
      <c r="D2382" s="294"/>
      <c r="E2382" s="294"/>
      <c r="F2382" s="294"/>
      <c r="G2382" s="294"/>
      <c r="H2382" s="265"/>
      <c r="I2382" s="265"/>
      <c r="J2382" s="265"/>
      <c r="K2382" s="265"/>
      <c r="L2382" s="265" t="str">
        <f ca="1">IF(AND($B2382&lt;&gt;"",$Q2361&lt;&gt;""),IF($B2382="Missing Player",0,IF($B2384="Missing Player",11,"")),"")</f>
        <v/>
      </c>
      <c r="M2382" s="262" t="str">
        <f ca="1">IF(OR(AND($B2375&lt;&gt;"",$B2382&lt;&gt;"",$E2386&lt;=$D2386),AND($B2377&lt;&gt;"",$B2384&lt;&gt;"",$I2386&lt;=$H2386)),"Invalid Lineup","")</f>
        <v/>
      </c>
      <c r="N2382" s="263"/>
      <c r="O2382" s="263"/>
      <c r="P2382" s="264"/>
      <c r="Q2382" s="137" t="str">
        <f ca="1">IF($L2382=$L2384,IF($K2382=$K2384,IF($J2382&lt;&gt;"",IF($J2382&gt;$J2384,"W","L"),""),IF($K2382&gt;$K2384,"W","L")),IF($L2382&gt;$L2384,"W","L"))</f>
        <v/>
      </c>
      <c r="R2382" s="300" t="str">
        <f>$K2355</f>
        <v>I</v>
      </c>
      <c r="S2382" s="331" t="str">
        <f ca="1">IF($B2377&lt;&gt;"",$B2377,"")</f>
        <v/>
      </c>
      <c r="T2382" s="332"/>
      <c r="U2382" s="332"/>
      <c r="V2382" s="332"/>
      <c r="W2382" s="332"/>
      <c r="X2382" s="333"/>
      <c r="Y2382" s="329"/>
      <c r="Z2382" s="329"/>
      <c r="AA2382" s="329"/>
      <c r="AB2382" s="329"/>
      <c r="AC2382" s="351"/>
      <c r="AD2382" s="363" t="s">
        <v>1237</v>
      </c>
      <c r="AE2382" s="358"/>
      <c r="AF2382" s="359"/>
    </row>
    <row r="2383" spans="1:32" ht="12.75" customHeight="1">
      <c r="A2383" s="301"/>
      <c r="B2383" s="295"/>
      <c r="C2383" s="296"/>
      <c r="D2383" s="296"/>
      <c r="E2383" s="296"/>
      <c r="F2383" s="296"/>
      <c r="G2383" s="296"/>
      <c r="H2383" s="270"/>
      <c r="I2383" s="270"/>
      <c r="J2383" s="270"/>
      <c r="K2383" s="270"/>
      <c r="L2383" s="270"/>
      <c r="M2383" s="262"/>
      <c r="N2383" s="263"/>
      <c r="O2383" s="263"/>
      <c r="P2383" s="264"/>
      <c r="Q2383" s="139" t="str">
        <f ca="1">IF($Q2382&lt;&gt;"",IF($B2384&lt;&gt;"Missing Player",IF($Q2382="W",IF(SUM(IF($H2382&gt;$H2384,1,0),IF($I2382&gt;$I2384,1,0),IF($J2382&gt;$J2384,1,0),IF($K2382&gt;$K2384,1,0),IF($L2382&gt;$L2384,1,0))&lt;&gt;3,"Error",""),""),""),"")</f>
        <v/>
      </c>
      <c r="R2383" s="330"/>
      <c r="S2383" s="334"/>
      <c r="T2383" s="335"/>
      <c r="U2383" s="335"/>
      <c r="V2383" s="335"/>
      <c r="W2383" s="335"/>
      <c r="X2383" s="336"/>
      <c r="Y2383" s="330"/>
      <c r="Z2383" s="330"/>
      <c r="AA2383" s="330"/>
      <c r="AB2383" s="330"/>
      <c r="AC2383" s="330"/>
      <c r="AD2383" s="360"/>
      <c r="AE2383" s="361"/>
      <c r="AF2383" s="362"/>
    </row>
    <row r="2384" spans="1:32" ht="12.75" customHeight="1">
      <c r="A2384" s="300" t="str">
        <f>K2355</f>
        <v>I</v>
      </c>
      <c r="B2384" s="293" t="str">
        <f ca="1">IF(AND(OFFSET($AO$1,$L2355-1,8,1,1),$A2356&lt;&gt;"",$J2356&lt;&gt;""),CHOOSE($L2355,$AR$1,$AR$2,$AR$3,$AR$4,$AR$5,$AR$6,$AR$7,$AR$8,$AR$9,$AR$10,$AR$11,$AR$12),"")</f>
        <v/>
      </c>
      <c r="C2384" s="294"/>
      <c r="D2384" s="294"/>
      <c r="E2384" s="294"/>
      <c r="F2384" s="294"/>
      <c r="G2384" s="294"/>
      <c r="H2384" s="265"/>
      <c r="I2384" s="265"/>
      <c r="J2384" s="265"/>
      <c r="K2384" s="265"/>
      <c r="L2384" s="265" t="str">
        <f ca="1">IF(AND($B2384&lt;&gt;"",$Q2361&lt;&gt;""),IF($B2384="Missing Player",0,IF($B2382="Missing Player",11,"")),"")</f>
        <v/>
      </c>
      <c r="M2384" s="267" t="s">
        <v>1237</v>
      </c>
      <c r="N2384" s="268"/>
      <c r="O2384" s="268"/>
      <c r="P2384" s="269"/>
      <c r="Q2384" s="137" t="str">
        <f ca="1">IF($Q2382&lt;&gt;"",IF($Q2382="W","L","W"),"")</f>
        <v/>
      </c>
      <c r="R2384" s="112"/>
      <c r="S2384" s="98"/>
      <c r="T2384" s="108"/>
      <c r="U2384" s="108"/>
      <c r="V2384" s="108"/>
      <c r="W2384" s="108"/>
      <c r="X2384" s="108"/>
      <c r="Y2384" s="113"/>
      <c r="Z2384" s="113"/>
      <c r="AA2384" s="113"/>
      <c r="AB2384" s="113"/>
      <c r="AC2384" s="113"/>
      <c r="AD2384" s="107"/>
      <c r="AE2384" s="109"/>
      <c r="AF2384" s="109"/>
    </row>
    <row r="2385" spans="1:32" ht="12.75" customHeight="1">
      <c r="A2385" s="301"/>
      <c r="B2385" s="295"/>
      <c r="C2385" s="296"/>
      <c r="D2385" s="296"/>
      <c r="E2385" s="296"/>
      <c r="F2385" s="296"/>
      <c r="G2385" s="296"/>
      <c r="H2385" s="270"/>
      <c r="I2385" s="270"/>
      <c r="J2385" s="266"/>
      <c r="K2385" s="266"/>
      <c r="L2385" s="266"/>
      <c r="M2385" s="267"/>
      <c r="N2385" s="268"/>
      <c r="O2385" s="268"/>
      <c r="P2385" s="269"/>
      <c r="Q2385" s="139" t="str">
        <f ca="1">IF($Q2384&lt;&gt;"",IF($B2382&lt;&gt;"Missing Player",IF($Q2384="W",IF(SUM(IF($H2384&gt;$H2382,1,0),IF($I2384&gt;$I2382,1,0),IF($J2384&gt;$J2382,1,0),IF($K2384&gt;$K2382,1,0),IF($L2384&gt;$L2382,1,0))&lt;&gt;3,"Error",""),""),""),"")</f>
        <v/>
      </c>
      <c r="R2385" s="114"/>
      <c r="S2385" s="115"/>
      <c r="T2385" s="115"/>
      <c r="U2385" s="115"/>
      <c r="V2385" s="115"/>
      <c r="W2385" s="115"/>
      <c r="X2385" s="115"/>
      <c r="Y2385" s="114"/>
      <c r="Z2385" s="114"/>
      <c r="AA2385" s="114"/>
      <c r="AB2385" s="114"/>
      <c r="AC2385" s="114"/>
      <c r="AD2385" s="114"/>
      <c r="AE2385" s="114"/>
      <c r="AF2385" s="114"/>
    </row>
    <row r="2386" spans="1:32" ht="12.75" customHeight="1">
      <c r="B2386" s="140" t="str">
        <f ca="1">IF(ISERROR(VLOOKUP($B2361&amp;"("&amp;$B2355&amp;")",Players!$S$4:$T$132,2,FALSE)),"",VLOOKUP($B2361&amp;"("&amp;$B2355&amp;")",Players!$S$4:$T$132,2,FALSE))</f>
        <v>D1</v>
      </c>
      <c r="C2386" s="140" t="str">
        <f ca="1">IF(ISERROR(VLOOKUP($B2368&amp;"("&amp;$B2355&amp;")",Players!$S$4:$T$132,2,FALSE)),"",VLOOKUP($B2368&amp;"("&amp;$B2355&amp;")",Players!$S$4:$T$132,2,FALSE))</f>
        <v>D1</v>
      </c>
      <c r="D2386" s="141" t="str">
        <f ca="1">IF(ISERROR(VLOOKUP($B2375&amp;"("&amp;$B2355&amp;")",Players!$S$4:$T$132,2,FALSE)),"",VLOOKUP($B2375&amp;"("&amp;$B2355&amp;")",Players!$S$4:$T$132,2,FALSE))</f>
        <v>D1</v>
      </c>
      <c r="E2386" s="141" t="str">
        <f ca="1">IF(ISERROR(VLOOKUP($B2382&amp;"("&amp;$B2355&amp;")",Players!$S$4:$T$132,2,FALSE)),"",VLOOKUP($B2382&amp;"("&amp;$B2355&amp;")",Players!$S$4:$T$132,2,FALSE))</f>
        <v>D1</v>
      </c>
      <c r="F2386" s="141" t="str">
        <f ca="1">IF(ISERROR(VLOOKUP($B2363&amp;"("&amp;$K2355&amp;")",Players!$S$4:$T$132,2,FALSE)),"",VLOOKUP($B2363&amp;"("&amp;$K2355&amp;")",Players!$S$4:$T$132,2,FALSE))</f>
        <v>I1</v>
      </c>
      <c r="G2386" s="141" t="str">
        <f ca="1">IF(ISERROR(VLOOKUP($B2370&amp;"("&amp;$K2355&amp;")",Players!$S$4:$T$132,2,FALSE)),"",VLOOKUP($B2370&amp;"("&amp;$K2355&amp;")",Players!$S$4:$T$132,2,FALSE))</f>
        <v>I1</v>
      </c>
      <c r="H2386" s="141" t="str">
        <f ca="1">IF(ISERROR(VLOOKUP($B2377&amp;"("&amp;$K2355&amp;")",Players!$S$4:$T$132,2,FALSE)),"",VLOOKUP($B2377&amp;"("&amp;$K2355&amp;")",Players!$S$4:$T$132,2,FALSE))</f>
        <v>I1</v>
      </c>
      <c r="I2386" s="141" t="str">
        <f ca="1">IF(ISERROR(VLOOKUP($B2384&amp;"("&amp;$K2355&amp;")",Players!$S$4:$T$132,2,FALSE)),"",VLOOKUP($B2384&amp;"("&amp;$K2355&amp;")",Players!$S$4:$T$132,2,FALSE))</f>
        <v>I1</v>
      </c>
      <c r="Q2386" s="7"/>
      <c r="R2386" s="50"/>
      <c r="S2386" s="116"/>
      <c r="T2386" s="115"/>
      <c r="U2386" s="115"/>
      <c r="V2386" s="115"/>
      <c r="W2386" s="115"/>
      <c r="X2386" s="115"/>
      <c r="Y2386" s="99"/>
      <c r="Z2386" s="99"/>
      <c r="AA2386" s="99"/>
      <c r="AB2386" s="99"/>
      <c r="AC2386" s="117"/>
      <c r="AD2386" s="118"/>
      <c r="AE2386" s="114"/>
      <c r="AF2386" s="114"/>
    </row>
    <row r="2387" spans="1:32" ht="12.75" customHeight="1">
      <c r="A2387" s="21" t="s">
        <v>1225</v>
      </c>
      <c r="H2387" s="136" t="str">
        <f ca="1">IF($Q2389&lt;&gt;"",IF(AND($B2390&lt;&gt;"Missing Player",$B2392&lt;&gt;"Missing Player"),IF(AND(AND($H2389&gt;-1,$H2391&gt;-1),OR($H2389&gt;10,$H2391&gt;10),ABS($H2389-$H2391)&gt;1,IF(OR($H2389&gt;11,$H2391&gt;11),ABS($H2389-$H2391)=2,TRUE),$H2389=INT($H2389),$H2391=INT($H2391)),"","Error"),""),"")</f>
        <v/>
      </c>
      <c r="I2387" s="136" t="str">
        <f ca="1">IF($Q2389&lt;&gt;"",IF(AND($B2390&lt;&gt;"Missing Player",$B2392&lt;&gt;"Missing Player"),IF(AND(AND($I2389&gt;-1,$I2391&gt;-1),OR($I2389&gt;10,$I2391&gt;10),ABS($I2389-$I2391)&gt;1,IF(OR($I2389&gt;11,$I2391&gt;11),ABS($I2389-$I2391)=2,TRUE),$I2389=INT($I2389),$I2391=INT($I2391)),"","Error"),""),"")</f>
        <v/>
      </c>
      <c r="J2387" s="136" t="str">
        <f ca="1">IF($Q2389&lt;&gt;"",IF(AND($B2390&lt;&gt;"Missing Player",$B2392&lt;&gt;"Missing Player"),IF(AND(AND($J2389&gt;-1,$J2391&gt;-1),OR($J2389&gt;10,$J2391&gt;10),ABS($J2389-$J2391)&gt;1,IF(OR($J2389&gt;11,$J2391&gt;11),ABS($J2389-$J2391)=2,TRUE),$J2389=INT($J2389),$J2391=INT($J2391)),"","Error"),""),"")</f>
        <v/>
      </c>
      <c r="K2387" s="136" t="str">
        <f ca="1">IF($Q2389&lt;&gt;"",IF(AND($K2389&lt;&gt;"",$K2391&lt;&gt;""), IF(AND(AND($K2389&gt;-1,$K2391&gt;-1),OR($K2389&gt;10,$K2391&gt;10),ABS($K2389-$K2391)&gt;1,IF(OR($K2389&gt;11,$K2391&gt;11),ABS($K2389-$K2391)=2,TRUE),$K2389=INT($K2389),$K2391=INT($K2391)),"","Error"),""),"")</f>
        <v/>
      </c>
      <c r="L2387" s="136" t="str">
        <f ca="1">IF($Q2389&lt;&gt;"",IF(AND($L2389&lt;&gt;"",$L2391&lt;&gt;""), IF(AND(AND($L2389&gt;-1,$L2391&gt;-1),OR($L2389&gt;10,$L2391&gt;10),ABS($L2389-$L2391)&gt;1,IF(OR($L2389&gt;11,$L2391&gt;11),ABS($L2389-$L2391)=2,TRUE),$L2389=INT($L2389),$L2391=INT($L2391)),"","Error"),""),"")</f>
        <v/>
      </c>
      <c r="Q2387" s="7"/>
      <c r="R2387" s="114"/>
      <c r="S2387" s="115"/>
      <c r="T2387" s="115"/>
      <c r="U2387" s="115"/>
      <c r="V2387" s="115"/>
      <c r="W2387" s="115"/>
      <c r="X2387" s="115"/>
      <c r="Y2387" s="114"/>
      <c r="Z2387" s="114"/>
      <c r="AA2387" s="114"/>
      <c r="AB2387" s="114"/>
      <c r="AC2387" s="114"/>
      <c r="AD2387" s="114"/>
      <c r="AE2387" s="114"/>
      <c r="AF2387" s="114"/>
    </row>
    <row r="2388" spans="1:32" ht="12.75" customHeight="1">
      <c r="A2388" s="5" t="s">
        <v>1228</v>
      </c>
      <c r="B2388" s="290" t="s">
        <v>1126</v>
      </c>
      <c r="C2388" s="291"/>
      <c r="D2388" s="291"/>
      <c r="E2388" s="291"/>
      <c r="F2388" s="291"/>
      <c r="G2388" s="292"/>
      <c r="H2388" s="5">
        <v>1</v>
      </c>
      <c r="I2388" s="5">
        <v>2</v>
      </c>
      <c r="J2388" s="5">
        <v>3</v>
      </c>
      <c r="K2388" s="5">
        <v>4</v>
      </c>
      <c r="L2388" s="5">
        <v>5</v>
      </c>
      <c r="M2388" s="271"/>
      <c r="N2388" s="272"/>
      <c r="O2388" s="272"/>
      <c r="P2388" s="273"/>
      <c r="Q2388" s="8"/>
      <c r="S2388" s="24"/>
      <c r="T2388" s="26"/>
    </row>
    <row r="2389" spans="1:32" ht="12.75" customHeight="1">
      <c r="A2389" s="300" t="str">
        <f>B2355</f>
        <v>D</v>
      </c>
      <c r="B2389" s="311" t="str">
        <f ca="1">IF($B2361&lt;&gt;"",$B2361,"")</f>
        <v/>
      </c>
      <c r="C2389" s="312"/>
      <c r="D2389" s="312"/>
      <c r="E2389" s="312"/>
      <c r="F2389" s="312"/>
      <c r="G2389" s="313"/>
      <c r="H2389" s="265"/>
      <c r="I2389" s="265"/>
      <c r="J2389" s="265"/>
      <c r="K2389" s="265"/>
      <c r="L2389" s="265" t="str">
        <f ca="1">IF($B2382&lt;&gt;"",IF(AND($B2382="Missing Player",$G2393=2,$J2393=2),0,IF(AND($B2384="Missing Player",$G2393=2,$J2393=2),11,"")),"")</f>
        <v/>
      </c>
      <c r="M2389" s="262" t="str">
        <f ca="1">IF(OR(AND($B2389&lt;&gt;"",$B2390&lt;&gt;"",$B2389=$B2390),AND($B2391&lt;&gt;"",$B2392&lt;&gt;"",$B2391=$B2392)),"Invalid Partner","")</f>
        <v/>
      </c>
      <c r="N2389" s="263"/>
      <c r="O2389" s="263"/>
      <c r="P2389" s="264"/>
      <c r="Q2389" s="138" t="str">
        <f ca="1">IF(L2389=L2391,IF(K2389=K2391,IF(J2389&lt;&gt;"",IF(J2389&gt;J2391,"W","L"),""),IF(K2389&gt;K2391,"W","L")),IF(L2389&gt;L2391,"W","L"))</f>
        <v/>
      </c>
      <c r="S2389" s="24"/>
      <c r="T2389" s="26"/>
    </row>
    <row r="2390" spans="1:32" ht="12.75" customHeight="1">
      <c r="A2390" s="324"/>
      <c r="B2390" s="308" t="str">
        <f ca="1">IF($B2382="Missing Player",$B2382,"")</f>
        <v/>
      </c>
      <c r="C2390" s="309"/>
      <c r="D2390" s="309"/>
      <c r="E2390" s="309"/>
      <c r="F2390" s="309"/>
      <c r="G2390" s="310"/>
      <c r="H2390" s="270"/>
      <c r="I2390" s="270"/>
      <c r="J2390" s="270"/>
      <c r="K2390" s="270"/>
      <c r="L2390" s="270"/>
      <c r="M2390" s="262"/>
      <c r="N2390" s="263"/>
      <c r="O2390" s="263"/>
      <c r="P2390" s="264"/>
      <c r="Q2390" s="139" t="str">
        <f ca="1">IF($Q2389&lt;&gt;"",IF($B2392&lt;&gt;"Missing Player",IF($Q2389="W",IF(SUM(IF($H2389&gt;$H2391,1,0),IF($I2389&gt;$I2391,1,0),IF($J2389&gt;$J2391,1,0),IF($K2389&gt;$K2391,1,0),IF($L2389&gt;$L2391,1,0))&lt;&gt;3,"Error",""),""),""),"")</f>
        <v/>
      </c>
      <c r="R2390" s="328" t="str">
        <f>$A2356</f>
        <v/>
      </c>
      <c r="S2390" s="328"/>
      <c r="T2390" s="328"/>
      <c r="U2390" s="328"/>
      <c r="V2390" s="328"/>
      <c r="W2390" s="328"/>
      <c r="X2390" s="256" t="str">
        <f>CONCATENATE("(",$B2355," vs ",$K2355,")")</f>
        <v>(D vs I)</v>
      </c>
      <c r="Y2390" s="256"/>
      <c r="Z2390" s="328" t="str">
        <f>$J2356</f>
        <v/>
      </c>
      <c r="AA2390" s="328"/>
      <c r="AB2390" s="328"/>
      <c r="AC2390" s="328"/>
      <c r="AD2390" s="328"/>
      <c r="AE2390" s="328"/>
      <c r="AF2390" s="43"/>
    </row>
    <row r="2391" spans="1:32" ht="12.75" customHeight="1">
      <c r="A2391" s="325" t="str">
        <f>K2355</f>
        <v>I</v>
      </c>
      <c r="B2391" s="311" t="str">
        <f ca="1">IF($B2363&lt;&gt;"",$B2363,"")</f>
        <v/>
      </c>
      <c r="C2391" s="312"/>
      <c r="D2391" s="312"/>
      <c r="E2391" s="312"/>
      <c r="F2391" s="312"/>
      <c r="G2391" s="313"/>
      <c r="H2391" s="265"/>
      <c r="I2391" s="265"/>
      <c r="J2391" s="265"/>
      <c r="K2391" s="265"/>
      <c r="L2391" s="265" t="str">
        <f ca="1">IF($B2384&lt;&gt;"",IF(AND($B2384="Missing Player",$G2393=2,$J2393=2),0,IF(AND($B2382="Missing Player",$G2393=2,$J2393=2),11,"")),"")</f>
        <v/>
      </c>
      <c r="M2391" s="267" t="s">
        <v>1237</v>
      </c>
      <c r="N2391" s="268"/>
      <c r="O2391" s="268"/>
      <c r="P2391" s="269"/>
      <c r="Q2391" s="138" t="str">
        <f ca="1">IF(Q2389&lt;&gt;"",IF(Q2389="W","L","W"),"")</f>
        <v/>
      </c>
      <c r="R2391" s="43"/>
      <c r="S2391" s="43"/>
      <c r="T2391" s="43"/>
      <c r="U2391" s="43"/>
      <c r="V2391" s="43"/>
      <c r="W2391" s="43"/>
      <c r="X2391" s="43"/>
      <c r="Y2391" s="43"/>
      <c r="Z2391" s="43"/>
      <c r="AA2391" s="43"/>
      <c r="AB2391" s="43"/>
      <c r="AC2391" s="43"/>
      <c r="AD2391" s="43"/>
      <c r="AE2391" s="43"/>
      <c r="AF2391" s="43"/>
    </row>
    <row r="2392" spans="1:32" ht="12.75" customHeight="1">
      <c r="A2392" s="324"/>
      <c r="B2392" s="308" t="str">
        <f ca="1">IF($B2384="Missing Player",$B2384,"")</f>
        <v/>
      </c>
      <c r="C2392" s="309"/>
      <c r="D2392" s="309"/>
      <c r="E2392" s="309"/>
      <c r="F2392" s="309"/>
      <c r="G2392" s="310"/>
      <c r="H2392" s="270"/>
      <c r="I2392" s="270"/>
      <c r="J2392" s="266"/>
      <c r="K2392" s="266"/>
      <c r="L2392" s="266"/>
      <c r="M2392" s="267"/>
      <c r="N2392" s="268"/>
      <c r="O2392" s="268"/>
      <c r="P2392" s="269"/>
      <c r="Q2392" s="139" t="str">
        <f ca="1">IF($Q2391&lt;&gt;"",IF($B2390&lt;&gt;"Missing Player",IF($Q2391="W",IF(SUM(IF($H2391&gt;$H2389,1,0),IF($I2391&gt;$I2389,1,0),IF($J2391&gt;$J2389,1,0),IF($K2391&gt;$K2389,1,0),IF($L2391&gt;$L2389,1,0))&lt;&gt;3,"Error",""),""),""),"")</f>
        <v/>
      </c>
      <c r="R2392" s="43" t="str">
        <f>A2380</f>
        <v>4th Singles</v>
      </c>
      <c r="S2392" s="43"/>
      <c r="T2392" s="43"/>
      <c r="U2392" s="43"/>
      <c r="V2392" s="43"/>
      <c r="W2392" s="43"/>
      <c r="X2392" s="43"/>
      <c r="Y2392" s="43"/>
      <c r="Z2392" s="43"/>
      <c r="AA2392" s="43"/>
      <c r="AB2392" s="43"/>
      <c r="AC2392" s="43"/>
      <c r="AD2392" s="43"/>
      <c r="AE2392" s="43"/>
      <c r="AF2392" s="43"/>
    </row>
    <row r="2393" spans="1:32" ht="12.75" customHeight="1">
      <c r="G2393" s="66">
        <f ca="1">COUNTIF($Q2361:$Q2361,"W")+COUNTIF($Q2368:$Q2368,"W")+COUNTIF($Q2375:$Q2375,"W")+COUNTIF($Q2382:$Q2382,"W")</f>
        <v>0</v>
      </c>
      <c r="J2393" s="66">
        <f ca="1">COUNTIF($Q2363:$Q2363,"W")+COUNTIF($Q2370:$Q2370,"W")+COUNTIF($Q2377:$Q2377,"W")+COUNTIF($Q2384:$Q2384,"W")</f>
        <v>0</v>
      </c>
      <c r="R2393" s="60" t="s">
        <v>1228</v>
      </c>
      <c r="S2393" s="339" t="s">
        <v>1126</v>
      </c>
      <c r="T2393" s="340"/>
      <c r="U2393" s="340"/>
      <c r="V2393" s="340"/>
      <c r="W2393" s="340"/>
      <c r="X2393" s="341"/>
      <c r="Y2393" s="60">
        <v>1</v>
      </c>
      <c r="Z2393" s="60">
        <v>2</v>
      </c>
      <c r="AA2393" s="60">
        <v>3</v>
      </c>
      <c r="AB2393" s="60">
        <v>4</v>
      </c>
      <c r="AC2393" s="60">
        <v>5</v>
      </c>
      <c r="AD2393" s="342"/>
      <c r="AE2393" s="343"/>
      <c r="AF2393" s="344"/>
    </row>
    <row r="2394" spans="1:32" ht="12.75" customHeight="1" thickBot="1">
      <c r="F2394" s="246" t="s">
        <v>1238</v>
      </c>
      <c r="G2394" s="246"/>
      <c r="H2394" s="246"/>
      <c r="I2394" s="246"/>
      <c r="J2394" s="246"/>
      <c r="K2394" s="246"/>
      <c r="R2394" s="300" t="str">
        <f>B2355</f>
        <v>D</v>
      </c>
      <c r="S2394" s="331" t="str">
        <f ca="1">IF($B2382&lt;&gt;"",$B2382,"")</f>
        <v/>
      </c>
      <c r="T2394" s="353"/>
      <c r="U2394" s="353"/>
      <c r="V2394" s="353"/>
      <c r="W2394" s="353"/>
      <c r="X2394" s="354"/>
      <c r="Y2394" s="329"/>
      <c r="Z2394" s="329"/>
      <c r="AA2394" s="351"/>
      <c r="AB2394" s="351"/>
      <c r="AC2394" s="351"/>
      <c r="AD2394" s="345"/>
      <c r="AE2394" s="346"/>
      <c r="AF2394" s="347"/>
    </row>
    <row r="2395" spans="1:32" ht="12.75" customHeight="1">
      <c r="A2395" s="22"/>
      <c r="B2395" s="22"/>
      <c r="C2395" s="22"/>
      <c r="D2395" s="22"/>
      <c r="E2395" s="22"/>
      <c r="G2395" s="304" t="str">
        <f>B2355</f>
        <v>D</v>
      </c>
      <c r="H2395" s="305"/>
      <c r="I2395" s="302" t="str">
        <f>K2355</f>
        <v>I</v>
      </c>
      <c r="J2395" s="303"/>
      <c r="L2395" s="22"/>
      <c r="M2395" s="22"/>
      <c r="N2395" s="22"/>
      <c r="O2395" s="22"/>
      <c r="P2395" s="22"/>
      <c r="R2395" s="301"/>
      <c r="S2395" s="355"/>
      <c r="T2395" s="356"/>
      <c r="U2395" s="356"/>
      <c r="V2395" s="356"/>
      <c r="W2395" s="356"/>
      <c r="X2395" s="357"/>
      <c r="Y2395" s="338"/>
      <c r="Z2395" s="338"/>
      <c r="AA2395" s="352"/>
      <c r="AB2395" s="352"/>
      <c r="AC2395" s="352"/>
      <c r="AD2395" s="348"/>
      <c r="AE2395" s="349"/>
      <c r="AF2395" s="350"/>
    </row>
    <row r="2396" spans="1:32" ht="12.75" customHeight="1" thickBot="1">
      <c r="A2396" s="2" t="s">
        <v>1228</v>
      </c>
      <c r="B2396" s="53" t="str">
        <f>B2355</f>
        <v>D</v>
      </c>
      <c r="C2396" s="3" t="s">
        <v>1226</v>
      </c>
      <c r="F2396" s="66" t="str">
        <f>CONCATENATE($B2355,"-",$K2355)</f>
        <v>D-I</v>
      </c>
      <c r="G2396" s="320" t="str">
        <f ca="1">IF(OR(Q2361&lt;&gt;"",Q2368&lt;&gt;"",Q2375&lt;&gt;"",Q2382&lt;&gt;"",Q2389&lt;&gt;""),COUNTIF(Q2361:Q2361,"W")+COUNTIF(Q2368:Q2368,"W")+COUNTIF(Q2375:Q2375,"W")+COUNTIF(Q2382:Q2382,"W")+COUNTIF(Q2389:Q2389,"W"),"")</f>
        <v/>
      </c>
      <c r="H2396" s="321"/>
      <c r="I2396" s="322" t="str">
        <f ca="1">IF(OR(Q2363&lt;&gt;"",Q2370&lt;&gt;"",Q2377&lt;&gt;"",Q2384&lt;&gt;"",Q2391&lt;&gt;""),COUNTIF(Q2363:Q2363,"W")+COUNTIF(Q2370:Q2370,"W")+COUNTIF(Q2377:Q2377,"W")+COUNTIF(Q2384:Q2384,"W")+COUNTIF(Q2391:Q2391,"W"),"")</f>
        <v/>
      </c>
      <c r="J2396" s="323"/>
      <c r="L2396" s="2" t="s">
        <v>1228</v>
      </c>
      <c r="M2396" s="53" t="str">
        <f>K2355</f>
        <v>I</v>
      </c>
      <c r="N2396" s="3" t="s">
        <v>1226</v>
      </c>
      <c r="R2396" s="300" t="str">
        <f>K2355</f>
        <v>I</v>
      </c>
      <c r="S2396" s="331" t="str">
        <f ca="1">IF($B2384&lt;&gt;"",$B2384,"")</f>
        <v/>
      </c>
      <c r="T2396" s="332"/>
      <c r="U2396" s="332"/>
      <c r="V2396" s="332"/>
      <c r="W2396" s="332"/>
      <c r="X2396" s="333"/>
      <c r="Y2396" s="329"/>
      <c r="Z2396" s="329"/>
      <c r="AA2396" s="351"/>
      <c r="AB2396" s="351"/>
      <c r="AC2396" s="351"/>
      <c r="AD2396" s="363" t="s">
        <v>1237</v>
      </c>
      <c r="AE2396" s="358"/>
      <c r="AF2396" s="359"/>
    </row>
    <row r="2397" spans="1:32" ht="12.75" customHeight="1">
      <c r="F2397" s="25" t="s">
        <v>3996</v>
      </c>
      <c r="G2397" s="23"/>
      <c r="H2397" s="23"/>
      <c r="I2397" s="23"/>
      <c r="J2397" s="23"/>
      <c r="K2397" s="24"/>
      <c r="R2397" s="330"/>
      <c r="S2397" s="334"/>
      <c r="T2397" s="335"/>
      <c r="U2397" s="335"/>
      <c r="V2397" s="335"/>
      <c r="W2397" s="335"/>
      <c r="X2397" s="336"/>
      <c r="Y2397" s="330"/>
      <c r="Z2397" s="330"/>
      <c r="AA2397" s="330"/>
      <c r="AB2397" s="330"/>
      <c r="AC2397" s="330"/>
      <c r="AD2397" s="360"/>
      <c r="AE2397" s="361"/>
      <c r="AF2397" s="362"/>
    </row>
    <row r="2398" spans="1:32" ht="12.75" customHeight="1">
      <c r="R2398" s="1"/>
      <c r="S2398" s="110"/>
      <c r="T2398" s="110"/>
      <c r="U2398" s="110"/>
      <c r="V2398" s="110"/>
      <c r="W2398" s="110"/>
      <c r="X2398" s="111"/>
      <c r="Y2398" s="111"/>
      <c r="Z2398" s="111"/>
      <c r="AA2398" s="111"/>
    </row>
    <row r="2399" spans="1:32" ht="12.75" customHeight="1">
      <c r="F2399" s="246" t="s">
        <v>4929</v>
      </c>
      <c r="G2399" s="246"/>
      <c r="H2399" s="246"/>
      <c r="I2399" s="246"/>
      <c r="R2399" s="1"/>
      <c r="S2399" s="110"/>
      <c r="T2399" s="110"/>
      <c r="U2399" s="110"/>
      <c r="V2399" s="110"/>
      <c r="W2399" s="110"/>
      <c r="X2399" s="111"/>
      <c r="Y2399" s="111"/>
      <c r="Z2399" s="111"/>
      <c r="AA2399" s="111"/>
    </row>
    <row r="2400" spans="1:32" ht="12.75" customHeight="1">
      <c r="F2400" s="246" t="s">
        <v>4930</v>
      </c>
      <c r="G2400" s="246"/>
      <c r="H2400" s="246"/>
      <c r="I2400" s="246"/>
      <c r="R2400" s="1"/>
      <c r="S2400" s="110"/>
      <c r="T2400" s="110"/>
      <c r="U2400" s="110"/>
      <c r="V2400" s="110"/>
      <c r="W2400" s="110"/>
      <c r="X2400" s="111"/>
      <c r="Y2400" s="111"/>
      <c r="Z2400" s="111"/>
      <c r="AA2400" s="111"/>
    </row>
    <row r="2401" spans="1:32" ht="12.75" customHeight="1">
      <c r="K2401" s="281" t="s">
        <v>1244</v>
      </c>
      <c r="L2401" s="281"/>
      <c r="M2401" s="281"/>
      <c r="N2401" s="281"/>
      <c r="O2401" s="281"/>
      <c r="P2401" s="281"/>
      <c r="R2401" s="1"/>
      <c r="S2401" s="110"/>
      <c r="T2401" s="110"/>
      <c r="U2401" s="110"/>
      <c r="V2401" s="110"/>
      <c r="W2401" s="110"/>
      <c r="X2401" s="111"/>
      <c r="Y2401" s="111"/>
      <c r="Z2401" s="111"/>
      <c r="AA2401" s="111"/>
    </row>
    <row r="2402" spans="1:32" ht="12.75" customHeight="1">
      <c r="A2402" s="12" t="s">
        <v>1229</v>
      </c>
      <c r="B2402" s="11"/>
      <c r="C2402" s="11"/>
      <c r="D2402" s="11" t="str">
        <f>Draw!$B$1</f>
        <v>Enter Division Name</v>
      </c>
      <c r="E2402" s="11"/>
      <c r="F2402" s="7"/>
      <c r="G2402" s="6"/>
      <c r="H2402" s="7"/>
      <c r="I2402" s="11"/>
      <c r="J2402" s="11"/>
      <c r="K2402" s="11"/>
      <c r="L2402" s="11"/>
      <c r="M2402" s="281"/>
      <c r="N2402" s="281"/>
      <c r="O2402" s="281"/>
      <c r="P2402" s="281"/>
      <c r="R2402" s="1"/>
      <c r="S2402" s="110"/>
      <c r="T2402" s="110"/>
      <c r="U2402" s="110"/>
      <c r="V2402" s="110"/>
      <c r="W2402" s="110"/>
      <c r="X2402" s="111"/>
      <c r="Y2402" s="111"/>
      <c r="Z2402" s="111"/>
      <c r="AA2402" s="111"/>
    </row>
    <row r="2403" spans="1:32" ht="12.75" customHeight="1">
      <c r="A2403" s="2" t="s">
        <v>1230</v>
      </c>
      <c r="D2403" s="43" t="str">
        <f>Draw!$D$1</f>
        <v>Enter Hosting Location (City, ST)</v>
      </c>
      <c r="J2403" s="43" t="str">
        <f ca="1">$J$6</f>
        <v>[NCTTA Teams Template (v2.06).xlsx]</v>
      </c>
      <c r="R2403" s="1"/>
      <c r="S2403" s="110"/>
      <c r="T2403" s="110"/>
      <c r="U2403" s="110"/>
      <c r="V2403" s="110"/>
      <c r="W2403" s="110"/>
      <c r="X2403" s="111"/>
      <c r="Y2403" s="111"/>
      <c r="Z2403" s="111"/>
      <c r="AA2403" s="111"/>
    </row>
    <row r="2404" spans="1:32" ht="12.75" customHeight="1">
      <c r="A2404" s="2" t="s">
        <v>1231</v>
      </c>
      <c r="D2404" s="337" t="str">
        <f>Draw!$P$1</f>
        <v>Enter Date</v>
      </c>
      <c r="E2404" s="337"/>
      <c r="F2404" s="337"/>
      <c r="G2404" s="337"/>
      <c r="J2404" s="280" t="str">
        <f>CHOOSE(Draw!$T$1,"Round 8, Match 6","","","","","","","","","","Round 10, Match 3")</f>
        <v/>
      </c>
      <c r="K2404" s="280"/>
      <c r="L2404" s="280"/>
      <c r="M2404" s="276" t="str">
        <f>IF(AND($J2404&lt;&gt;"",Draw!$AC$10&lt;&gt;"",Draw!$AC$13&lt;&gt;""),Draw!$AC$10+TIME(0,VALUE(MID($J2404,7,FIND(",",$J2404)-FIND(" ",$J2404)-1)-1)*Draw!$AC$13,0),"")</f>
        <v/>
      </c>
      <c r="N2404" s="276"/>
      <c r="O2404" s="157" t="str">
        <f>$F2447</f>
        <v>D-J</v>
      </c>
      <c r="R2404" s="1"/>
      <c r="S2404" s="110"/>
      <c r="T2404" s="110"/>
      <c r="U2404" s="110"/>
      <c r="V2404" s="110"/>
      <c r="W2404" s="110"/>
      <c r="X2404" s="111"/>
      <c r="Y2404" s="111"/>
      <c r="Z2404" s="111"/>
      <c r="AA2404" s="111"/>
    </row>
    <row r="2405" spans="1:32" ht="12.75" customHeight="1">
      <c r="A2405" s="14"/>
      <c r="B2405" s="15"/>
      <c r="C2405" s="15"/>
      <c r="D2405" s="15"/>
      <c r="E2405" s="15"/>
      <c r="F2405" s="14"/>
      <c r="G2405" s="14"/>
      <c r="H2405" s="16"/>
      <c r="I2405" s="14"/>
      <c r="J2405" s="15"/>
      <c r="K2405" s="15"/>
      <c r="L2405" s="15"/>
      <c r="M2405" s="15"/>
      <c r="N2405" s="15"/>
      <c r="O2405" s="364" t="str">
        <f>IF(OR(AND(VLOOKUP($B2406,$AM$1:$AX$12,12,FALSE)="C",VLOOKUP($K2406,$AM$1:$AX$12,12,FALSE)="C"),AND(VLOOKUP($B2406,$AM$1:$AX$12,12,FALSE)="W",VLOOKUP($K2406,$AM$1:$AX$12,12,FALSE)="W")),"Official",IF(AND($A2407="",$J2407=""),"","Scrimmage"))</f>
        <v/>
      </c>
      <c r="P2405" s="364"/>
      <c r="R2405" s="1"/>
      <c r="S2405" s="110"/>
      <c r="T2405" s="110"/>
      <c r="U2405" s="110"/>
      <c r="V2405" s="110"/>
      <c r="W2405" s="110"/>
      <c r="X2405" s="111"/>
      <c r="Y2405" s="111"/>
      <c r="Z2405" s="111"/>
      <c r="AA2405" s="111"/>
    </row>
    <row r="2406" spans="1:32" ht="12.75" customHeight="1">
      <c r="A2406" s="17" t="s">
        <v>1228</v>
      </c>
      <c r="B2406" s="119" t="str">
        <f>CHOOSE(Draw!$T$1,"J","C","D","E","F","F","F","E","D","B","F")</f>
        <v>D</v>
      </c>
      <c r="C2406" s="135">
        <f>VLOOKUP($B2406,$AM$1:$AN$12,2)</f>
        <v>4</v>
      </c>
      <c r="D2406" s="13"/>
      <c r="E2406" s="13"/>
      <c r="F2406" s="10"/>
      <c r="H2406" s="19" t="s">
        <v>1232</v>
      </c>
      <c r="J2406" s="17" t="s">
        <v>1228</v>
      </c>
      <c r="K2406" s="119" t="str">
        <f>CHOOSE(Draw!$T$1,"K","L","J","I","I","I","I","L","L","K","K")</f>
        <v>J</v>
      </c>
      <c r="L2406" s="135">
        <f>VLOOKUP($K2406,$AM$1:$AN$12,2)</f>
        <v>10</v>
      </c>
      <c r="M2406" s="13"/>
      <c r="N2406" s="13"/>
      <c r="O2406" s="18"/>
      <c r="P2406" s="274"/>
      <c r="Q2406" s="275"/>
      <c r="R2406" s="1"/>
      <c r="S2406" s="110"/>
      <c r="T2406" s="110"/>
      <c r="U2406" s="110"/>
      <c r="V2406" s="110"/>
      <c r="W2406" s="110"/>
      <c r="X2406" s="111"/>
      <c r="Y2406" s="111"/>
      <c r="Z2406" s="111"/>
      <c r="AA2406" s="111"/>
    </row>
    <row r="2407" spans="1:32" ht="12.75" customHeight="1">
      <c r="A2407" s="277" t="str">
        <f>IF(VLOOKUP($B2406,Draw!$A$4:$B$27,2)&lt;&gt;0,VLOOKUP($B2406,Draw!$A$4:$B$27,2),"")</f>
        <v/>
      </c>
      <c r="B2407" s="278"/>
      <c r="C2407" s="278"/>
      <c r="D2407" s="278"/>
      <c r="E2407" s="278"/>
      <c r="F2407" s="279"/>
      <c r="G2407" s="306" t="s">
        <v>4199</v>
      </c>
      <c r="H2407" s="289"/>
      <c r="I2407" s="307"/>
      <c r="J2407" s="277" t="str">
        <f>IF(VLOOKUP($K2406,Draw!$A$4:$B$27,2)&lt;&gt;0,VLOOKUP($K2406,Draw!$A$4:$B$27,2),"")</f>
        <v/>
      </c>
      <c r="K2407" s="278"/>
      <c r="L2407" s="278"/>
      <c r="M2407" s="278"/>
      <c r="N2407" s="278"/>
      <c r="O2407" s="279"/>
      <c r="P2407" s="15"/>
      <c r="R2407" s="1"/>
      <c r="S2407" s="110"/>
      <c r="T2407" s="110"/>
      <c r="U2407" s="110"/>
      <c r="V2407" s="110"/>
      <c r="W2407" s="110"/>
      <c r="X2407" s="111"/>
      <c r="Y2407" s="111"/>
      <c r="Z2407" s="111"/>
      <c r="AA2407" s="111"/>
    </row>
    <row r="2408" spans="1:32" ht="12.75" customHeight="1">
      <c r="A2408" s="14"/>
      <c r="B2408" s="15"/>
      <c r="C2408" s="15"/>
      <c r="D2408" s="15"/>
      <c r="E2408" s="15"/>
      <c r="F2408" s="14"/>
      <c r="G2408" s="288" t="str">
        <f>"Page "&amp;VALUE(RIGHT($G2407,LEN($G2407)-SEARCH("-",$G2407)))/2</f>
        <v>Page 48</v>
      </c>
      <c r="H2408" s="289"/>
      <c r="I2408" s="289"/>
      <c r="J2408" s="15"/>
      <c r="K2408" s="15"/>
      <c r="L2408" s="15"/>
      <c r="M2408" s="15"/>
      <c r="N2408" s="15"/>
      <c r="O2408" s="15"/>
      <c r="P2408" s="15"/>
      <c r="R2408" s="1"/>
      <c r="S2408" s="110"/>
      <c r="T2408" s="110"/>
      <c r="U2408" s="110"/>
      <c r="V2408" s="110"/>
      <c r="W2408" s="110"/>
      <c r="X2408" s="111"/>
      <c r="Y2408" s="111"/>
      <c r="Z2408" s="111"/>
      <c r="AA2408" s="111"/>
      <c r="AF2408" s="27"/>
    </row>
    <row r="2409" spans="1:32" ht="12.75" customHeight="1">
      <c r="A2409" s="327" t="s">
        <v>1245</v>
      </c>
      <c r="B2409" s="327"/>
      <c r="C2409" s="327"/>
      <c r="D2409" s="327"/>
      <c r="E2409" s="327"/>
      <c r="F2409" s="327"/>
      <c r="G2409" s="327"/>
      <c r="H2409" s="327"/>
      <c r="I2409" s="327"/>
      <c r="J2409" s="327"/>
      <c r="K2409" s="327"/>
      <c r="L2409" s="327"/>
      <c r="M2409" s="327"/>
      <c r="N2409" s="327"/>
      <c r="O2409" s="327"/>
      <c r="P2409" s="327"/>
      <c r="Q2409" s="7"/>
      <c r="R2409" s="1"/>
      <c r="S2409" s="110"/>
      <c r="T2409" s="110"/>
      <c r="U2409" s="110"/>
      <c r="V2409" s="110"/>
      <c r="W2409" s="110"/>
      <c r="X2409" s="111"/>
      <c r="Y2409" s="111"/>
      <c r="Z2409" s="111"/>
      <c r="AA2409" s="111"/>
      <c r="AF2409" s="20"/>
    </row>
    <row r="2410" spans="1:32" ht="12.75" customHeight="1">
      <c r="A2410" s="21" t="s">
        <v>1233</v>
      </c>
      <c r="H2410" s="136" t="str">
        <f>IF($Q2412&lt;&gt;"",IF(AND(AND($H2412&gt;-1,$H2414&gt;-1),OR($H2412&gt;10,$H2414&gt;10),ABS($H2412-$H2414)&gt;1,IF(OR($H2412&gt;11,$H2414&gt;11),ABS($H2412-$H2414)=2,TRUE),$H2412=INT($H2412),$H2414=INT($H2414)),"","Error"),"")</f>
        <v/>
      </c>
      <c r="I2410" s="136" t="str">
        <f>IF($Q2412&lt;&gt;"",IF(AND(AND($I2412&gt;-1,$I2414&gt;-1),OR($I2412&gt;10,$I2414&gt;10),ABS($I2412-$I2414)&gt;1,IF(OR($I2412&gt;11,$I2414&gt;11),ABS($I2412-$I2414)=2,TRUE),$I2412=INT($I2412),$I2414=INT($I2414)),"","Error"),"")</f>
        <v/>
      </c>
      <c r="J2410" s="136" t="str">
        <f>IF($Q2412&lt;&gt;"",IF(AND(AND($J2412&gt;-1,$J2414&gt;-1),OR($J2412&gt;10,$J2414&gt;10),ABS($J2412-$J2414)&gt;1,IF(OR($J2412&gt;11,$J2414&gt;11),ABS($J2412-$J2414)=2,TRUE),$J2412=INT($J2412),$J2414=INT($J2414)),"","Error"),"")</f>
        <v/>
      </c>
      <c r="K2410" s="136" t="str">
        <f>IF($Q2412&lt;&gt;"",IF(AND($K2412&lt;&gt;"",$K2414&lt;&gt;""), IF(AND(AND($K2412&gt;-1,$K2414&gt;-1),OR($K2412&gt;10,$K2414&gt;10),ABS($K2412-$K2414)&gt;1,IF(OR($K2412&gt;11,$K2414&gt;11),ABS($K2412-$K2414)=2,TRUE),$K2412=INT($K2412),$K2414=INT($K2414)),"","Error"),""),"")</f>
        <v/>
      </c>
      <c r="L2410" s="136" t="str">
        <f>IF($Q2412&lt;&gt;"",IF(AND($L2412&lt;&gt;"",$L2414&lt;&gt;""), IF(AND(AND($L2412&gt;-1,$L2414&gt;-1),OR($L2412&gt;10,$L2414&gt;10),ABS($L2412-$L2414)&gt;1,IF(OR($L2412&gt;11,$L2414&gt;11),ABS($L2412-$L2414)=2,TRUE),$L2412=INT($L2412),$L2414=INT($L2414)),"","Error"),""),"")</f>
        <v/>
      </c>
      <c r="R2410" s="1"/>
      <c r="S2410" s="110"/>
      <c r="T2410" s="110"/>
      <c r="U2410" s="110"/>
      <c r="V2410" s="110"/>
      <c r="W2410" s="110"/>
      <c r="X2410" s="111"/>
      <c r="Y2410" s="111"/>
      <c r="Z2410" s="111"/>
      <c r="AA2410" s="111"/>
    </row>
    <row r="2411" spans="1:32" ht="12.75" customHeight="1">
      <c r="A2411" s="5" t="s">
        <v>1228</v>
      </c>
      <c r="B2411" s="290" t="s">
        <v>1126</v>
      </c>
      <c r="C2411" s="291"/>
      <c r="D2411" s="291"/>
      <c r="E2411" s="291"/>
      <c r="F2411" s="291"/>
      <c r="G2411" s="292"/>
      <c r="H2411" s="5">
        <v>1</v>
      </c>
      <c r="I2411" s="5">
        <v>2</v>
      </c>
      <c r="J2411" s="5">
        <v>3</v>
      </c>
      <c r="K2411" s="5">
        <v>4</v>
      </c>
      <c r="L2411" s="5">
        <v>5</v>
      </c>
      <c r="M2411" s="271"/>
      <c r="N2411" s="272"/>
      <c r="O2411" s="272"/>
      <c r="P2411" s="273"/>
      <c r="R2411" s="1"/>
      <c r="S2411" s="110"/>
      <c r="T2411" s="110"/>
      <c r="U2411" s="110"/>
      <c r="V2411" s="110"/>
      <c r="W2411" s="110"/>
      <c r="X2411" s="111"/>
      <c r="Y2411" s="111"/>
      <c r="Z2411" s="111"/>
      <c r="AA2411" s="111"/>
    </row>
    <row r="2412" spans="1:32" ht="12.75" customHeight="1">
      <c r="A2412" s="300" t="str">
        <f>B2406</f>
        <v>D</v>
      </c>
      <c r="B2412" s="293" t="str">
        <f ca="1">IF(AND(OFFSET($AO$1,$C2406-1,8,1,1),$A2407&lt;&gt;"",$J2407&lt;&gt;""),CHOOSE($C2406,$AO$1,$AO$2,$AO$3,$AO$4,$AO$5,$AO$6,$AO$7,$AO$8,$AO$9,$AO$10,$AO$11,$AO$12),"")</f>
        <v/>
      </c>
      <c r="C2412" s="294"/>
      <c r="D2412" s="294"/>
      <c r="E2412" s="294"/>
      <c r="F2412" s="294"/>
      <c r="G2412" s="294"/>
      <c r="H2412" s="265"/>
      <c r="I2412" s="265"/>
      <c r="J2412" s="265"/>
      <c r="K2412" s="265"/>
      <c r="L2412" s="265"/>
      <c r="M2412" s="297"/>
      <c r="N2412" s="298"/>
      <c r="O2412" s="298"/>
      <c r="P2412" s="299"/>
      <c r="Q2412" s="137" t="str">
        <f>IF($L2412=$L2414,IF($K2412=$K2414,IF($J2412&lt;&gt;"",IF($J2412&gt;$J2414,"W","L"),""),IF($K2412&gt;$K2414,"W","L")),IF($L2412&gt;$L2414,"W","L"))</f>
        <v/>
      </c>
      <c r="R2412" s="1"/>
      <c r="S2412" s="110"/>
      <c r="T2412" s="110"/>
      <c r="U2412" s="110"/>
      <c r="V2412" s="110"/>
      <c r="W2412" s="110"/>
      <c r="X2412" s="111"/>
      <c r="Y2412" s="111"/>
      <c r="Z2412" s="111"/>
      <c r="AA2412" s="111"/>
    </row>
    <row r="2413" spans="1:32" ht="12.75" customHeight="1">
      <c r="A2413" s="301"/>
      <c r="B2413" s="295"/>
      <c r="C2413" s="296"/>
      <c r="D2413" s="296"/>
      <c r="E2413" s="296"/>
      <c r="F2413" s="296"/>
      <c r="G2413" s="296"/>
      <c r="H2413" s="270"/>
      <c r="I2413" s="270"/>
      <c r="J2413" s="270"/>
      <c r="K2413" s="270"/>
      <c r="L2413" s="270"/>
      <c r="M2413" s="297"/>
      <c r="N2413" s="298"/>
      <c r="O2413" s="298"/>
      <c r="P2413" s="299"/>
      <c r="Q2413" s="139" t="str">
        <f>IF($Q2412&lt;&gt;"",IF($Q2412="W",IF(SUM(IF($H2412&gt;$H2414,1,0),IF($I2412&gt;$I2414,1,0),IF($J2412&gt;$J2414,1,0),IF($K2412&gt;$K2414,1,0),IF($L2412&gt;$L2414,1,0))&lt;&gt;3,"Error",""),""),"")</f>
        <v/>
      </c>
      <c r="R2413" s="328" t="str">
        <f>$A2407</f>
        <v/>
      </c>
      <c r="S2413" s="328"/>
      <c r="T2413" s="328"/>
      <c r="U2413" s="328"/>
      <c r="V2413" s="328"/>
      <c r="W2413" s="328"/>
      <c r="X2413" s="256" t="str">
        <f>CONCATENATE("(",$B2406," vs ",$K2406,")")</f>
        <v>(D vs J)</v>
      </c>
      <c r="Y2413" s="256"/>
      <c r="Z2413" s="328" t="str">
        <f>$J2407</f>
        <v/>
      </c>
      <c r="AA2413" s="328"/>
      <c r="AB2413" s="328"/>
      <c r="AC2413" s="328"/>
      <c r="AD2413" s="328"/>
      <c r="AE2413" s="328"/>
      <c r="AF2413" s="43"/>
    </row>
    <row r="2414" spans="1:32" ht="12.75" customHeight="1">
      <c r="A2414" s="300" t="str">
        <f>K2406</f>
        <v>J</v>
      </c>
      <c r="B2414" s="293" t="str">
        <f ca="1">IF(AND(OFFSET($AO$1,$L2406-1,8,1,1),$A2407&lt;&gt;"",$J2407&lt;&gt;""),CHOOSE($L2406,$AO$1,$AO$2,$AO$3,$AO$4,$AO$5,$AO$6,$AO$7,$AO$8,$AO$9,$AO$10,$AO$11,$AO$12),"")</f>
        <v/>
      </c>
      <c r="C2414" s="294"/>
      <c r="D2414" s="294"/>
      <c r="E2414" s="294"/>
      <c r="F2414" s="294"/>
      <c r="G2414" s="294"/>
      <c r="H2414" s="265"/>
      <c r="I2414" s="265"/>
      <c r="J2414" s="265"/>
      <c r="K2414" s="265"/>
      <c r="L2414" s="265"/>
      <c r="M2414" s="267" t="s">
        <v>1237</v>
      </c>
      <c r="N2414" s="268"/>
      <c r="O2414" s="268"/>
      <c r="P2414" s="269"/>
      <c r="Q2414" s="137" t="str">
        <f>IF($Q2412&lt;&gt;"",IF($Q2412="W","L","W"),"")</f>
        <v/>
      </c>
      <c r="R2414" s="43"/>
      <c r="S2414" s="43"/>
      <c r="T2414" s="43"/>
      <c r="U2414" s="43"/>
      <c r="V2414" s="43"/>
      <c r="W2414" s="43"/>
      <c r="X2414" s="43"/>
      <c r="Y2414" s="43"/>
      <c r="Z2414" s="43"/>
      <c r="AA2414" s="43"/>
      <c r="AB2414" s="43"/>
      <c r="AC2414" s="43"/>
      <c r="AD2414" s="43"/>
      <c r="AE2414" s="43"/>
      <c r="AF2414" s="43"/>
    </row>
    <row r="2415" spans="1:32" ht="12.75" customHeight="1">
      <c r="A2415" s="301"/>
      <c r="B2415" s="295"/>
      <c r="C2415" s="296"/>
      <c r="D2415" s="296"/>
      <c r="E2415" s="296"/>
      <c r="F2415" s="296"/>
      <c r="G2415" s="296"/>
      <c r="H2415" s="270"/>
      <c r="I2415" s="270"/>
      <c r="J2415" s="266"/>
      <c r="K2415" s="266"/>
      <c r="L2415" s="266"/>
      <c r="M2415" s="267"/>
      <c r="N2415" s="268"/>
      <c r="O2415" s="268"/>
      <c r="P2415" s="269"/>
      <c r="Q2415" s="139" t="str">
        <f>IF($Q2414&lt;&gt;"",IF($Q2414="W",IF(SUM(IF($H2414&gt;$H2412,1,0),IF($I2414&gt;$I2412,1,0),IF($J2414&gt;$J2412,1,0),IF($K2414&gt;$K2412,1,0),IF($L2414&gt;$L2412,1,0))&lt;&gt;3,"Error",""),""),"")</f>
        <v/>
      </c>
      <c r="R2415" s="43" t="str">
        <f>$A2417</f>
        <v>2nd Singles</v>
      </c>
      <c r="S2415" s="43"/>
      <c r="T2415" s="43"/>
      <c r="U2415" s="43"/>
      <c r="V2415" s="43"/>
      <c r="W2415" s="43"/>
      <c r="X2415" s="43"/>
      <c r="Y2415" s="43"/>
      <c r="Z2415" s="43"/>
      <c r="AA2415" s="43"/>
      <c r="AB2415" s="43"/>
      <c r="AC2415" s="43"/>
      <c r="AD2415" s="43"/>
      <c r="AE2415" s="43"/>
      <c r="AF2415" s="43"/>
    </row>
    <row r="2416" spans="1:32" ht="12.75" customHeight="1">
      <c r="Q2416" s="7"/>
      <c r="R2416" s="60" t="s">
        <v>1228</v>
      </c>
      <c r="S2416" s="339" t="s">
        <v>1126</v>
      </c>
      <c r="T2416" s="340"/>
      <c r="U2416" s="340"/>
      <c r="V2416" s="340"/>
      <c r="W2416" s="340"/>
      <c r="X2416" s="341"/>
      <c r="Y2416" s="60">
        <v>1</v>
      </c>
      <c r="Z2416" s="60">
        <v>2</v>
      </c>
      <c r="AA2416" s="60">
        <v>3</v>
      </c>
      <c r="AB2416" s="60">
        <v>4</v>
      </c>
      <c r="AC2416" s="60">
        <v>5</v>
      </c>
      <c r="AD2416" s="342"/>
      <c r="AE2416" s="343"/>
      <c r="AF2416" s="344"/>
    </row>
    <row r="2417" spans="1:32" ht="12.75" customHeight="1">
      <c r="A2417" s="21" t="s">
        <v>1234</v>
      </c>
      <c r="H2417" s="136" t="str">
        <f>IF($Q2419&lt;&gt;"",IF(AND(AND($H2419&gt;-1,$H2421&gt;-1),OR($H2419&gt;10,$H2421&gt;10),ABS($H2419-$H2421)&gt;1,IF(OR($H2419&gt;11,$H2421&gt;11),ABS($H2419-$H2421)=2,TRUE),$H2419=INT($H2419),$H2421=INT($H2421)),"","Error"),"")</f>
        <v/>
      </c>
      <c r="I2417" s="136" t="str">
        <f>IF($Q2419&lt;&gt;"",IF(AND(AND($I2419&gt;-1,$I2421&gt;-1),OR($I2419&gt;10,$I2421&gt;10),ABS($I2419-$I2421)&gt;1,IF(OR($I2419&gt;11,$I2421&gt;11),ABS($I2419-$I2421)=2,TRUE),$I2419=INT($I2419),$I2421=INT($I2421)),"","Error"),"")</f>
        <v/>
      </c>
      <c r="J2417" s="136" t="str">
        <f>IF($Q2419&lt;&gt;"",IF(AND(AND($J2419&gt;-1,$J2421&gt;-1),OR($J2419&gt;10,$J2421&gt;10),ABS($J2419-$J2421)&gt;1,IF(OR($J2419&gt;11,$J2421&gt;11),ABS($J2419-$J2421)=2,TRUE),$J2419=INT($J2419),$J2421=INT($J2421)),"","Error"),"")</f>
        <v/>
      </c>
      <c r="K2417" s="136" t="str">
        <f>IF($Q2419&lt;&gt;"",IF(AND($K2419&lt;&gt;"",$K2421&lt;&gt;""), IF(AND(AND($K2419&gt;-1,$K2421&gt;-1),OR($K2419&gt;10,$K2421&gt;10),ABS($K2419-$K2421)&gt;1,IF(OR($K2419&gt;11,$K2421&gt;11),ABS($K2419-$K2421)=2,TRUE),$K2419=INT($K2419),$K2421=INT($K2421)),"","Error"),""),"")</f>
        <v/>
      </c>
      <c r="L2417" s="136" t="str">
        <f>IF($Q2419&lt;&gt;"",IF(AND($L2419&lt;&gt;"",$L2421&lt;&gt;""), IF(AND(AND($L2419&gt;-1,$L2421&gt;-1),OR($L2419&gt;10,$L2421&gt;10),ABS($L2419-$L2421)&gt;1,IF(OR($L2419&gt;11,$L2421&gt;11),ABS($L2419-$L2421)=2,TRUE),$L2419=INT($L2419),$L2421=INT($L2421)),"","Error"),""),"")</f>
        <v/>
      </c>
      <c r="Q2417" s="7"/>
      <c r="R2417" s="300" t="str">
        <f>$B2406</f>
        <v>D</v>
      </c>
      <c r="S2417" s="331" t="str">
        <f ca="1">IF($B2419&lt;&gt;"",$B2419,"")</f>
        <v/>
      </c>
      <c r="T2417" s="332"/>
      <c r="U2417" s="332"/>
      <c r="V2417" s="332"/>
      <c r="W2417" s="332"/>
      <c r="X2417" s="333"/>
      <c r="Y2417" s="329"/>
      <c r="Z2417" s="329"/>
      <c r="AA2417" s="329"/>
      <c r="AB2417" s="329"/>
      <c r="AC2417" s="329"/>
      <c r="AD2417" s="345"/>
      <c r="AE2417" s="358"/>
      <c r="AF2417" s="359"/>
    </row>
    <row r="2418" spans="1:32" ht="12.75" customHeight="1">
      <c r="A2418" s="5" t="s">
        <v>1228</v>
      </c>
      <c r="B2418" s="290" t="s">
        <v>1126</v>
      </c>
      <c r="C2418" s="291"/>
      <c r="D2418" s="291"/>
      <c r="E2418" s="291"/>
      <c r="F2418" s="291"/>
      <c r="G2418" s="292"/>
      <c r="H2418" s="5">
        <v>1</v>
      </c>
      <c r="I2418" s="5">
        <v>2</v>
      </c>
      <c r="J2418" s="5">
        <v>3</v>
      </c>
      <c r="K2418" s="5">
        <v>4</v>
      </c>
      <c r="L2418" s="5">
        <v>5</v>
      </c>
      <c r="M2418" s="271"/>
      <c r="N2418" s="272"/>
      <c r="O2418" s="272"/>
      <c r="P2418" s="273"/>
      <c r="Q2418" s="7"/>
      <c r="R2418" s="330"/>
      <c r="S2418" s="334"/>
      <c r="T2418" s="335"/>
      <c r="U2418" s="335"/>
      <c r="V2418" s="335"/>
      <c r="W2418" s="335"/>
      <c r="X2418" s="336"/>
      <c r="Y2418" s="330"/>
      <c r="Z2418" s="330"/>
      <c r="AA2418" s="330"/>
      <c r="AB2418" s="330"/>
      <c r="AC2418" s="330"/>
      <c r="AD2418" s="360"/>
      <c r="AE2418" s="361"/>
      <c r="AF2418" s="362"/>
    </row>
    <row r="2419" spans="1:32" ht="12.75" customHeight="1">
      <c r="A2419" s="300" t="str">
        <f>B2406</f>
        <v>D</v>
      </c>
      <c r="B2419" s="293" t="str">
        <f ca="1">IF(AND(OFFSET($AO$1,$C2406-1,8,1,1),$A2407&lt;&gt;"",$J2407&lt;&gt;""),CHOOSE($C2406,$AP$1,$AP$2,$AP$3,$AP$4,$AP$5,$AP$6,$AP$7,$AP$8,$AP$9,$AP$10,$AP$11,$AP$12),"")</f>
        <v/>
      </c>
      <c r="C2419" s="294"/>
      <c r="D2419" s="294"/>
      <c r="E2419" s="294"/>
      <c r="F2419" s="294"/>
      <c r="G2419" s="294"/>
      <c r="H2419" s="265"/>
      <c r="I2419" s="265"/>
      <c r="J2419" s="265"/>
      <c r="K2419" s="265"/>
      <c r="L2419" s="265"/>
      <c r="M2419" s="262" t="str">
        <f ca="1">IF(OR(AND($B2412&lt;&gt;"",$B2419&lt;&gt;"",$C2437&lt;=$B2437),AND($B2414&lt;&gt;"",$B2421&lt;&gt;"",$G2437&lt;=$F2437)),"Invalid Lineup","")</f>
        <v/>
      </c>
      <c r="N2419" s="263"/>
      <c r="O2419" s="263"/>
      <c r="P2419" s="264"/>
      <c r="Q2419" s="137" t="str">
        <f>IF($L2419=$L2421,IF($K2419=$K2421,IF($J2419&lt;&gt;"",IF($J2419&gt;$J2421,"W","L"),""),IF($K2419&gt;$K2421,"W","L")),IF($L2419&gt;$L2421,"W","L"))</f>
        <v/>
      </c>
      <c r="R2419" s="300" t="str">
        <f>$K2406</f>
        <v>J</v>
      </c>
      <c r="S2419" s="331" t="str">
        <f ca="1">IF($B2421&lt;&gt;"",$B2421,"")</f>
        <v/>
      </c>
      <c r="T2419" s="332"/>
      <c r="U2419" s="332"/>
      <c r="V2419" s="332"/>
      <c r="W2419" s="332"/>
      <c r="X2419" s="333"/>
      <c r="Y2419" s="329"/>
      <c r="Z2419" s="329"/>
      <c r="AA2419" s="329"/>
      <c r="AB2419" s="329"/>
      <c r="AC2419" s="351"/>
      <c r="AD2419" s="363" t="s">
        <v>1237</v>
      </c>
      <c r="AE2419" s="358"/>
      <c r="AF2419" s="359"/>
    </row>
    <row r="2420" spans="1:32" ht="12.75" customHeight="1">
      <c r="A2420" s="301"/>
      <c r="B2420" s="295"/>
      <c r="C2420" s="296"/>
      <c r="D2420" s="296"/>
      <c r="E2420" s="296"/>
      <c r="F2420" s="296"/>
      <c r="G2420" s="296"/>
      <c r="H2420" s="270"/>
      <c r="I2420" s="270"/>
      <c r="J2420" s="270"/>
      <c r="K2420" s="270"/>
      <c r="L2420" s="270"/>
      <c r="M2420" s="262"/>
      <c r="N2420" s="263"/>
      <c r="O2420" s="263"/>
      <c r="P2420" s="264"/>
      <c r="Q2420" s="139" t="str">
        <f>IF($Q2419&lt;&gt;"",IF($Q2419="W",IF(SUM(IF($H2419&gt;$H2421,1,0),IF($I2419&gt;$I2421,1,0),IF($J2419&gt;$J2421,1,0),IF($K2419&gt;$K2421,1,0),IF($L2419&gt;$L2421,1,0))&lt;&gt;3,"Error",""),""),"")</f>
        <v/>
      </c>
      <c r="R2420" s="330"/>
      <c r="S2420" s="334"/>
      <c r="T2420" s="335"/>
      <c r="U2420" s="335"/>
      <c r="V2420" s="335"/>
      <c r="W2420" s="335"/>
      <c r="X2420" s="336"/>
      <c r="Y2420" s="330"/>
      <c r="Z2420" s="330"/>
      <c r="AA2420" s="330"/>
      <c r="AB2420" s="330"/>
      <c r="AC2420" s="330"/>
      <c r="AD2420" s="360"/>
      <c r="AE2420" s="361"/>
      <c r="AF2420" s="362"/>
    </row>
    <row r="2421" spans="1:32" ht="12.75" customHeight="1">
      <c r="A2421" s="300" t="str">
        <f>K2406</f>
        <v>J</v>
      </c>
      <c r="B2421" s="293" t="str">
        <f ca="1">IF(AND(OFFSET($AO$1,$L2406-1,8,1,1),$A2407&lt;&gt;"",$J2407&lt;&gt;""),CHOOSE($L2406,$AP$1,$AP$2,$AP$3,$AP$4,$AP$5,$AP$6,$AP$7,$AP$8,$AP$9,$AP$10,$AP$11,$AP$12),"")</f>
        <v/>
      </c>
      <c r="C2421" s="294"/>
      <c r="D2421" s="294"/>
      <c r="E2421" s="294"/>
      <c r="F2421" s="294"/>
      <c r="G2421" s="294"/>
      <c r="H2421" s="265"/>
      <c r="I2421" s="265"/>
      <c r="J2421" s="265"/>
      <c r="K2421" s="265"/>
      <c r="L2421" s="265"/>
      <c r="M2421" s="267" t="s">
        <v>1237</v>
      </c>
      <c r="N2421" s="268"/>
      <c r="O2421" s="268"/>
      <c r="P2421" s="269"/>
      <c r="Q2421" s="137" t="str">
        <f>IF($Q2419&lt;&gt;"",IF($Q2419="W","L","W"),"")</f>
        <v/>
      </c>
      <c r="R2421" s="20"/>
      <c r="S2421" s="20"/>
      <c r="T2421" s="20"/>
      <c r="U2421" s="20"/>
      <c r="V2421" s="20"/>
      <c r="W2421" s="20"/>
      <c r="X2421" s="26"/>
      <c r="Y2421" s="26"/>
      <c r="Z2421" s="20"/>
      <c r="AA2421" s="20"/>
      <c r="AB2421" s="20"/>
      <c r="AC2421" s="20"/>
      <c r="AD2421" s="20"/>
      <c r="AE2421" s="20"/>
      <c r="AF2421" s="27"/>
    </row>
    <row r="2422" spans="1:32" ht="12.75" customHeight="1">
      <c r="A2422" s="301"/>
      <c r="B2422" s="295"/>
      <c r="C2422" s="296"/>
      <c r="D2422" s="296"/>
      <c r="E2422" s="296"/>
      <c r="F2422" s="296"/>
      <c r="G2422" s="296"/>
      <c r="H2422" s="270"/>
      <c r="I2422" s="270"/>
      <c r="J2422" s="266"/>
      <c r="K2422" s="266"/>
      <c r="L2422" s="266"/>
      <c r="M2422" s="267"/>
      <c r="N2422" s="268"/>
      <c r="O2422" s="268"/>
      <c r="P2422" s="269"/>
      <c r="Q2422" s="139" t="str">
        <f>IF($Q2421&lt;&gt;"",IF($Q2421="W",IF(SUM(IF($H2421&gt;$H2419,1,0),IF($I2421&gt;$I2419,1,0),IF($J2421&gt;$J2419,1,0),IF($K2421&gt;$K2419,1,0),IF($L2421&gt;$L2419,1,0))&lt;&gt;3,"Error",""),""),"")</f>
        <v/>
      </c>
      <c r="R2422" s="20"/>
      <c r="S2422" s="20"/>
      <c r="T2422" s="20"/>
      <c r="U2422" s="20"/>
      <c r="V2422" s="20"/>
      <c r="W2422" s="20"/>
      <c r="X2422" s="26"/>
      <c r="Y2422" s="26"/>
      <c r="Z2422" s="20"/>
      <c r="AA2422" s="20"/>
      <c r="AB2422" s="20"/>
      <c r="AC2422" s="20"/>
      <c r="AD2422" s="20"/>
      <c r="AE2422" s="20"/>
      <c r="AF2422" s="27"/>
    </row>
    <row r="2423" spans="1:32" ht="12.75" customHeight="1">
      <c r="Q2423" s="7"/>
      <c r="R2423" s="20"/>
      <c r="S2423" s="20"/>
      <c r="T2423" s="20"/>
      <c r="U2423" s="20"/>
      <c r="V2423" s="20"/>
      <c r="W2423" s="20"/>
      <c r="X2423" s="26"/>
      <c r="Y2423" s="26"/>
      <c r="Z2423" s="20"/>
      <c r="AA2423" s="20"/>
      <c r="AB2423" s="20"/>
      <c r="AC2423" s="20"/>
      <c r="AD2423" s="20"/>
      <c r="AE2423" s="20"/>
      <c r="AF2423" s="27"/>
    </row>
    <row r="2424" spans="1:32" ht="12.75" customHeight="1">
      <c r="A2424" s="21" t="s">
        <v>1235</v>
      </c>
      <c r="H2424" s="136" t="str">
        <f>IF($Q2426&lt;&gt;"",IF(AND(AND($H2426&gt;-1,$H2428&gt;-1),OR($H2426&gt;10,$H2428&gt;10),ABS($H2426-$H2428)&gt;1,IF(OR($H2426&gt;11,$H2428&gt;11),ABS($H2426-$H2428)=2,TRUE),$H2426=INT($H2426),$H2428=INT($H2428)),"","Error"),"")</f>
        <v/>
      </c>
      <c r="I2424" s="136" t="str">
        <f>IF($Q2426&lt;&gt;"",IF(AND(AND($I2426&gt;-1,$I2428&gt;-1),OR($I2426&gt;10,$I2428&gt;10),ABS($I2426-$I2428)&gt;1,IF(OR($I2426&gt;11,$I2428&gt;11),ABS($I2426-$I2428)=2,TRUE),$I2426=INT($I2426),$I2428=INT($I2428)),"","Error"),"")</f>
        <v/>
      </c>
      <c r="J2424" s="136" t="str">
        <f>IF($Q2426&lt;&gt;"",IF(AND(AND($J2426&gt;-1,$J2428&gt;-1),OR($J2426&gt;10,$J2428&gt;10),ABS($J2426-$J2428)&gt;1,IF(OR($J2426&gt;11,$J2428&gt;11),ABS($J2426-$J2428)=2,TRUE),$J2426=INT($J2426),$J2428=INT($J2428)),"","Error"),"")</f>
        <v/>
      </c>
      <c r="K2424" s="136" t="str">
        <f>IF($Q2426&lt;&gt;"",IF(AND($K2426&lt;&gt;"",$K2428&lt;&gt;""), IF(AND(AND($K2426&gt;-1,$K2428&gt;-1),OR($K2426&gt;10,$K2428&gt;10),ABS($K2426-$K2428)&gt;1,IF(OR($K2426&gt;11,$K2428&gt;11),ABS($K2426-$K2428)=2,TRUE),$K2426=INT($K2426),$K2428=INT($K2428)),"","Error"),""),"")</f>
        <v/>
      </c>
      <c r="L2424" s="136" t="str">
        <f>IF($Q2426&lt;&gt;"",IF(AND($L2426&lt;&gt;"",$L2428&lt;&gt;""), IF(AND(AND($L2426&gt;-1,$L2428&gt;-1),OR($L2426&gt;10,$L2428&gt;10),ABS($L2426-$L2428)&gt;1,IF(OR($L2426&gt;11,$L2428&gt;11),ABS($L2426-$L2428)=2,TRUE),$L2426=INT($L2426),$L2428=INT($L2428)),"","Error"),""),"")</f>
        <v/>
      </c>
      <c r="Q2424" s="7"/>
      <c r="R2424" s="20"/>
      <c r="S2424" s="20"/>
      <c r="T2424" s="20"/>
      <c r="U2424" s="20"/>
      <c r="V2424" s="20"/>
      <c r="W2424" s="20"/>
      <c r="X2424" s="26"/>
      <c r="Y2424" s="26"/>
      <c r="Z2424" s="20"/>
      <c r="AA2424" s="20"/>
      <c r="AB2424" s="20"/>
      <c r="AC2424" s="20"/>
      <c r="AD2424" s="20"/>
      <c r="AE2424" s="20"/>
      <c r="AF2424" s="27"/>
    </row>
    <row r="2425" spans="1:32" ht="12.75" customHeight="1">
      <c r="A2425" s="5" t="s">
        <v>1228</v>
      </c>
      <c r="B2425" s="290" t="s">
        <v>1126</v>
      </c>
      <c r="C2425" s="291"/>
      <c r="D2425" s="291"/>
      <c r="E2425" s="291"/>
      <c r="F2425" s="291"/>
      <c r="G2425" s="292"/>
      <c r="H2425" s="5">
        <v>1</v>
      </c>
      <c r="I2425" s="5">
        <v>2</v>
      </c>
      <c r="J2425" s="5">
        <v>3</v>
      </c>
      <c r="K2425" s="5">
        <v>4</v>
      </c>
      <c r="L2425" s="5">
        <v>5</v>
      </c>
      <c r="M2425" s="271"/>
      <c r="N2425" s="272"/>
      <c r="O2425" s="272"/>
      <c r="P2425" s="273"/>
      <c r="Q2425" s="7"/>
      <c r="R2425" s="20"/>
      <c r="S2425" s="20"/>
      <c r="T2425" s="20"/>
      <c r="U2425" s="20"/>
      <c r="V2425" s="20"/>
      <c r="W2425" s="20"/>
      <c r="X2425" s="26"/>
      <c r="Y2425" s="26"/>
      <c r="Z2425" s="20"/>
      <c r="AA2425" s="20"/>
      <c r="AB2425" s="20"/>
      <c r="AC2425" s="20"/>
      <c r="AD2425" s="20"/>
      <c r="AE2425" s="20"/>
      <c r="AF2425" s="27"/>
    </row>
    <row r="2426" spans="1:32" ht="12.75" customHeight="1">
      <c r="A2426" s="300" t="str">
        <f>B2406</f>
        <v>D</v>
      </c>
      <c r="B2426" s="293" t="str">
        <f ca="1">IF(AND(OFFSET($AO$1,$C2406-1,8,1,1),$A2407&lt;&gt;"",$J2407&lt;&gt;""),CHOOSE($C2406,$AQ$1,$AQ$2,$AQ$3,$AQ$4,$AQ$5,$AQ$6,$AQ$7,$AQ$8,$AQ$9,$AQ$10,$AQ$11,$AQ$12),"")</f>
        <v/>
      </c>
      <c r="C2426" s="294"/>
      <c r="D2426" s="294"/>
      <c r="E2426" s="294"/>
      <c r="F2426" s="294"/>
      <c r="G2426" s="294"/>
      <c r="H2426" s="265"/>
      <c r="I2426" s="265"/>
      <c r="J2426" s="265"/>
      <c r="K2426" s="265"/>
      <c r="L2426" s="265"/>
      <c r="M2426" s="262" t="str">
        <f ca="1">IF(OR(AND($B2419&lt;&gt;"",$B2426&lt;&gt;"",$D2437&lt;=$C2437),AND($B2421&lt;&gt;"",$B2428&lt;&gt;"",$H2437&lt;=$G2437)),"Invalid Lineup","")</f>
        <v/>
      </c>
      <c r="N2426" s="263"/>
      <c r="O2426" s="263"/>
      <c r="P2426" s="264"/>
      <c r="Q2426" s="137" t="str">
        <f>IF($L2426=$L2428,IF($K2426=$K2428,IF($J2426&lt;&gt;"",IF($J2426&gt;$J2428,"W","L"),""),IF($K2426&gt;$K2428,"W","L")),IF($L2426&gt;$L2428,"W","L"))</f>
        <v/>
      </c>
      <c r="R2426" s="20"/>
      <c r="S2426" s="20"/>
      <c r="T2426" s="20"/>
      <c r="U2426" s="20"/>
      <c r="V2426" s="20"/>
      <c r="W2426" s="20"/>
      <c r="X2426" s="26"/>
      <c r="Y2426" s="26"/>
      <c r="Z2426" s="20"/>
      <c r="AA2426" s="20"/>
      <c r="AB2426" s="20"/>
      <c r="AC2426" s="20"/>
      <c r="AD2426" s="20"/>
      <c r="AE2426" s="20"/>
      <c r="AF2426" s="27"/>
    </row>
    <row r="2427" spans="1:32" ht="12.75" customHeight="1">
      <c r="A2427" s="301"/>
      <c r="B2427" s="295"/>
      <c r="C2427" s="296"/>
      <c r="D2427" s="296"/>
      <c r="E2427" s="296"/>
      <c r="F2427" s="296"/>
      <c r="G2427" s="296"/>
      <c r="H2427" s="270"/>
      <c r="I2427" s="270"/>
      <c r="J2427" s="270"/>
      <c r="K2427" s="270"/>
      <c r="L2427" s="270"/>
      <c r="M2427" s="262"/>
      <c r="N2427" s="263"/>
      <c r="O2427" s="263"/>
      <c r="P2427" s="264"/>
      <c r="Q2427" s="139" t="str">
        <f>IF($Q2426&lt;&gt;"",IF($Q2426="W",IF(SUM(IF($H2426&gt;$H2428,1,0),IF($I2426&gt;$I2428,1,0),IF($J2426&gt;$J2428,1,0),IF($K2426&gt;$K2428,1,0),IF($L2426&gt;$L2428,1,0))&lt;&gt;3,"Error",""),""),"")</f>
        <v/>
      </c>
      <c r="R2427" s="328" t="str">
        <f>$A2407</f>
        <v/>
      </c>
      <c r="S2427" s="328"/>
      <c r="T2427" s="328"/>
      <c r="U2427" s="328"/>
      <c r="V2427" s="328"/>
      <c r="W2427" s="328"/>
      <c r="X2427" s="256" t="str">
        <f>CONCATENATE("(",$B2406," vs ",$K2406,")")</f>
        <v>(D vs J)</v>
      </c>
      <c r="Y2427" s="256"/>
      <c r="Z2427" s="328" t="str">
        <f>$J2407</f>
        <v/>
      </c>
      <c r="AA2427" s="328"/>
      <c r="AB2427" s="328"/>
      <c r="AC2427" s="328"/>
      <c r="AD2427" s="328"/>
      <c r="AE2427" s="328"/>
      <c r="AF2427" s="100"/>
    </row>
    <row r="2428" spans="1:32" ht="12.75" customHeight="1">
      <c r="A2428" s="300" t="str">
        <f>K2406</f>
        <v>J</v>
      </c>
      <c r="B2428" s="293" t="str">
        <f ca="1">IF(AND(OFFSET($AO$1,$L2406-1,8,1,1),$A2407&lt;&gt;"",$J2407&lt;&gt;""),CHOOSE($L2406,$AQ$1,$AQ$2,$AQ$3,$AQ$4,$AQ$5,$AQ$6,$AQ$7,$AQ$8,$AQ$9,$AQ$10,$AQ$11,$AQ$12),"")</f>
        <v/>
      </c>
      <c r="C2428" s="294"/>
      <c r="D2428" s="294"/>
      <c r="E2428" s="294"/>
      <c r="F2428" s="294"/>
      <c r="G2428" s="294"/>
      <c r="H2428" s="265"/>
      <c r="I2428" s="265"/>
      <c r="J2428" s="265"/>
      <c r="K2428" s="265"/>
      <c r="L2428" s="265"/>
      <c r="M2428" s="267" t="s">
        <v>1237</v>
      </c>
      <c r="N2428" s="268"/>
      <c r="O2428" s="268"/>
      <c r="P2428" s="269"/>
      <c r="Q2428" s="137" t="str">
        <f>IF($Q2426&lt;&gt;"",IF($Q2426="W","L","W"),"")</f>
        <v/>
      </c>
      <c r="R2428" s="100"/>
      <c r="S2428" s="100"/>
      <c r="T2428" s="100"/>
      <c r="U2428" s="100"/>
      <c r="V2428" s="100"/>
      <c r="W2428" s="100"/>
      <c r="X2428" s="100"/>
      <c r="Y2428" s="100"/>
      <c r="Z2428" s="100"/>
      <c r="AA2428" s="100"/>
      <c r="AB2428" s="100"/>
      <c r="AC2428" s="100"/>
      <c r="AD2428" s="100"/>
      <c r="AE2428" s="100"/>
      <c r="AF2428" s="100"/>
    </row>
    <row r="2429" spans="1:32" ht="12.75" customHeight="1">
      <c r="A2429" s="301"/>
      <c r="B2429" s="295"/>
      <c r="C2429" s="296"/>
      <c r="D2429" s="296"/>
      <c r="E2429" s="296"/>
      <c r="F2429" s="296"/>
      <c r="G2429" s="296"/>
      <c r="H2429" s="270"/>
      <c r="I2429" s="270"/>
      <c r="J2429" s="266"/>
      <c r="K2429" s="266"/>
      <c r="L2429" s="266"/>
      <c r="M2429" s="267"/>
      <c r="N2429" s="268"/>
      <c r="O2429" s="268"/>
      <c r="P2429" s="269"/>
      <c r="Q2429" s="139" t="str">
        <f>IF($Q2428&lt;&gt;"",IF($Q2428="W",IF(SUM(IF($H2428&gt;$H2426,1,0),IF($I2428&gt;$I2426,1,0),IF($J2428&gt;$J2426,1,0),IF($K2428&gt;$K2426,1,0),IF($L2428&gt;$L2426,1,0))&lt;&gt;3,"Error",""),""),"")</f>
        <v/>
      </c>
      <c r="R2429" s="43" t="str">
        <f>$A2424</f>
        <v>3rd Singles</v>
      </c>
      <c r="S2429" s="43"/>
      <c r="T2429" s="43"/>
      <c r="U2429" s="43"/>
      <c r="V2429" s="43"/>
      <c r="W2429" s="43"/>
      <c r="X2429" s="43"/>
      <c r="Y2429" s="43"/>
      <c r="Z2429" s="43"/>
      <c r="AA2429" s="43"/>
      <c r="AB2429" s="43"/>
      <c r="AC2429" s="43"/>
      <c r="AD2429" s="43"/>
      <c r="AE2429" s="43"/>
      <c r="AF2429" s="43"/>
    </row>
    <row r="2430" spans="1:32" ht="12.75" customHeight="1">
      <c r="Q2430" s="7"/>
      <c r="R2430" s="60" t="s">
        <v>1228</v>
      </c>
      <c r="S2430" s="101" t="s">
        <v>1126</v>
      </c>
      <c r="T2430" s="102"/>
      <c r="U2430" s="102"/>
      <c r="V2430" s="102"/>
      <c r="W2430" s="102"/>
      <c r="X2430" s="103"/>
      <c r="Y2430" s="60">
        <v>1</v>
      </c>
      <c r="Z2430" s="60">
        <v>2</v>
      </c>
      <c r="AA2430" s="60">
        <v>3</v>
      </c>
      <c r="AB2430" s="60">
        <v>4</v>
      </c>
      <c r="AC2430" s="60">
        <v>5</v>
      </c>
      <c r="AD2430" s="104"/>
      <c r="AE2430" s="105"/>
      <c r="AF2430" s="106"/>
    </row>
    <row r="2431" spans="1:32" ht="12.75" customHeight="1">
      <c r="A2431" s="21" t="s">
        <v>1236</v>
      </c>
      <c r="H2431" s="136" t="str">
        <f ca="1">IF($Q2433&lt;&gt;"",IF(AND($B2433&lt;&gt;"Missing Player",$B2435&lt;&gt;"Missing Player"),IF(AND(AND($H2433&gt;-1,$H2435&gt;-1),OR($H2433&gt;10,$H2435&gt;10),ABS($H2433-$H2435)&gt;1,IF(OR($H2433&gt;11,$H2435&gt;11),ABS($H2433-$H2435)=2,TRUE),$H2433=INT($H2433),$H2435=INT($H2435)),"","Error"),""),"")</f>
        <v/>
      </c>
      <c r="I2431" s="136" t="str">
        <f ca="1">IF($Q2433&lt;&gt;"",IF(AND($B2433&lt;&gt;"Missing Player",$B2435&lt;&gt;"Missing Player"),IF(AND(AND($I2433&gt;-1,$I2435&gt;-1),OR($I2433&gt;10,$I2435&gt;10),ABS($I2433-$I2435)&gt;1,IF(OR($I2433&gt;11,$I2435&gt;11),ABS($I2433-$I2435)=2,TRUE),$I2433=INT($I2433),$I2435=INT($I2435)),"","Error"),""),"")</f>
        <v/>
      </c>
      <c r="J2431" s="136" t="str">
        <f ca="1">IF($Q2433&lt;&gt;"",IF(AND($B2433&lt;&gt;"Missing Player",$B2435&lt;&gt;"Missing Player"),IF(AND(AND($J2433&gt;-1,$J2435&gt;-1),OR($J2433&gt;10,$J2435&gt;10),ABS($J2433-$J2435)&gt;1,IF(OR($J2433&gt;11,$J2435&gt;11),ABS($J2433-$J2435)=2,TRUE),$J2433=INT($J2433),$J2435=INT($J2435)),"","Error"),""),"")</f>
        <v/>
      </c>
      <c r="K2431" s="136" t="str">
        <f ca="1">IF($Q2433&lt;&gt;"",IF(AND($K2433&lt;&gt;"",$K2435&lt;&gt;""), IF(AND(AND($K2433&gt;-1,$K2435&gt;-1),OR($K2433&gt;10,$K2435&gt;10),ABS($K2433-$K2435)&gt;1,IF(OR($K2433&gt;11,$K2435&gt;11),ABS($K2433-$K2435)=2,TRUE),$K2433=INT($K2433),$K2435=INT($K2435)),"","Error"),""),"")</f>
        <v/>
      </c>
      <c r="L2431" s="136" t="str">
        <f ca="1">IF($Q2433&lt;&gt;"",IF(AND($L2433&lt;&gt;"",$L2435&lt;&gt;""), IF(AND(AND($L2433&gt;-1,$L2435&gt;-1),OR($L2433&gt;10,$L2435&gt;10),ABS($L2433-$L2435)&gt;1,IF(OR($L2433&gt;11,$L2435&gt;11),ABS($L2433-$L2435)=2,TRUE),$L2433=INT($L2433),$L2435=INT($L2435)),"","Error"),""),"")</f>
        <v/>
      </c>
      <c r="Q2431" s="7"/>
      <c r="R2431" s="300" t="str">
        <f>$B2406</f>
        <v>D</v>
      </c>
      <c r="S2431" s="331" t="str">
        <f ca="1">IF($B2426&lt;&gt;"",$B2426,"")</f>
        <v/>
      </c>
      <c r="T2431" s="332"/>
      <c r="U2431" s="332"/>
      <c r="V2431" s="332"/>
      <c r="W2431" s="332"/>
      <c r="X2431" s="333"/>
      <c r="Y2431" s="329"/>
      <c r="Z2431" s="329"/>
      <c r="AA2431" s="329"/>
      <c r="AB2431" s="329"/>
      <c r="AC2431" s="329"/>
      <c r="AD2431" s="345"/>
      <c r="AE2431" s="358"/>
      <c r="AF2431" s="359"/>
    </row>
    <row r="2432" spans="1:32" ht="12.75" customHeight="1">
      <c r="A2432" s="5" t="s">
        <v>1228</v>
      </c>
      <c r="B2432" s="290" t="s">
        <v>1126</v>
      </c>
      <c r="C2432" s="291"/>
      <c r="D2432" s="291"/>
      <c r="E2432" s="291"/>
      <c r="F2432" s="291"/>
      <c r="G2432" s="292"/>
      <c r="H2432" s="5">
        <v>1</v>
      </c>
      <c r="I2432" s="5">
        <v>2</v>
      </c>
      <c r="J2432" s="5">
        <v>3</v>
      </c>
      <c r="K2432" s="5">
        <v>4</v>
      </c>
      <c r="L2432" s="5">
        <v>5</v>
      </c>
      <c r="M2432" s="271"/>
      <c r="N2432" s="272"/>
      <c r="O2432" s="272"/>
      <c r="P2432" s="273"/>
      <c r="Q2432" s="7"/>
      <c r="R2432" s="330"/>
      <c r="S2432" s="334"/>
      <c r="T2432" s="335"/>
      <c r="U2432" s="335"/>
      <c r="V2432" s="335"/>
      <c r="W2432" s="335"/>
      <c r="X2432" s="336"/>
      <c r="Y2432" s="330"/>
      <c r="Z2432" s="330"/>
      <c r="AA2432" s="330"/>
      <c r="AB2432" s="330"/>
      <c r="AC2432" s="330"/>
      <c r="AD2432" s="360"/>
      <c r="AE2432" s="361"/>
      <c r="AF2432" s="362"/>
    </row>
    <row r="2433" spans="1:32" ht="12.75" customHeight="1">
      <c r="A2433" s="300" t="str">
        <f>B2406</f>
        <v>D</v>
      </c>
      <c r="B2433" s="293" t="str">
        <f ca="1">IF(AND(OFFSET($AO$1,$C2406-1,8,1,1),$A2407&lt;&gt;"",$J2407&lt;&gt;""),CHOOSE($C2406,$AR$1,$AR$2,$AR$3,$AR$4,$AR$5,$AR$6,$AR$7,$AR$8,$AR$9,$AR$10,$AR$11,$AR$12),"")</f>
        <v/>
      </c>
      <c r="C2433" s="294"/>
      <c r="D2433" s="294"/>
      <c r="E2433" s="294"/>
      <c r="F2433" s="294"/>
      <c r="G2433" s="294"/>
      <c r="H2433" s="265"/>
      <c r="I2433" s="265"/>
      <c r="J2433" s="265"/>
      <c r="K2433" s="265"/>
      <c r="L2433" s="265" t="str">
        <f ca="1">IF(AND($B2433&lt;&gt;"",$Q2412&lt;&gt;""),IF($B2433="Missing Player",0,IF($B2435="Missing Player",11,"")),"")</f>
        <v/>
      </c>
      <c r="M2433" s="262" t="str">
        <f ca="1">IF(OR(AND($B2426&lt;&gt;"",$B2433&lt;&gt;"",$E2437&lt;=$D2437),AND($B2428&lt;&gt;"",$B2435&lt;&gt;"",$I2437&lt;=$H2437)),"Invalid Lineup","")</f>
        <v/>
      </c>
      <c r="N2433" s="263"/>
      <c r="O2433" s="263"/>
      <c r="P2433" s="264"/>
      <c r="Q2433" s="137" t="str">
        <f ca="1">IF($L2433=$L2435,IF($K2433=$K2435,IF($J2433&lt;&gt;"",IF($J2433&gt;$J2435,"W","L"),""),IF($K2433&gt;$K2435,"W","L")),IF($L2433&gt;$L2435,"W","L"))</f>
        <v/>
      </c>
      <c r="R2433" s="300" t="str">
        <f>$K2406</f>
        <v>J</v>
      </c>
      <c r="S2433" s="331" t="str">
        <f ca="1">IF($B2428&lt;&gt;"",$B2428,"")</f>
        <v/>
      </c>
      <c r="T2433" s="332"/>
      <c r="U2433" s="332"/>
      <c r="V2433" s="332"/>
      <c r="W2433" s="332"/>
      <c r="X2433" s="333"/>
      <c r="Y2433" s="329"/>
      <c r="Z2433" s="329"/>
      <c r="AA2433" s="329"/>
      <c r="AB2433" s="329"/>
      <c r="AC2433" s="351"/>
      <c r="AD2433" s="363" t="s">
        <v>1237</v>
      </c>
      <c r="AE2433" s="358"/>
      <c r="AF2433" s="359"/>
    </row>
    <row r="2434" spans="1:32" ht="12.75" customHeight="1">
      <c r="A2434" s="301"/>
      <c r="B2434" s="295"/>
      <c r="C2434" s="296"/>
      <c r="D2434" s="296"/>
      <c r="E2434" s="296"/>
      <c r="F2434" s="296"/>
      <c r="G2434" s="296"/>
      <c r="H2434" s="270"/>
      <c r="I2434" s="270"/>
      <c r="J2434" s="270"/>
      <c r="K2434" s="270"/>
      <c r="L2434" s="270"/>
      <c r="M2434" s="262"/>
      <c r="N2434" s="263"/>
      <c r="O2434" s="263"/>
      <c r="P2434" s="264"/>
      <c r="Q2434" s="139" t="str">
        <f ca="1">IF($Q2433&lt;&gt;"",IF($B2435&lt;&gt;"Missing Player",IF($Q2433="W",IF(SUM(IF($H2433&gt;$H2435,1,0),IF($I2433&gt;$I2435,1,0),IF($J2433&gt;$J2435,1,0),IF($K2433&gt;$K2435,1,0),IF($L2433&gt;$L2435,1,0))&lt;&gt;3,"Error",""),""),""),"")</f>
        <v/>
      </c>
      <c r="R2434" s="330"/>
      <c r="S2434" s="334"/>
      <c r="T2434" s="335"/>
      <c r="U2434" s="335"/>
      <c r="V2434" s="335"/>
      <c r="W2434" s="335"/>
      <c r="X2434" s="336"/>
      <c r="Y2434" s="330"/>
      <c r="Z2434" s="330"/>
      <c r="AA2434" s="330"/>
      <c r="AB2434" s="330"/>
      <c r="AC2434" s="330"/>
      <c r="AD2434" s="360"/>
      <c r="AE2434" s="361"/>
      <c r="AF2434" s="362"/>
    </row>
    <row r="2435" spans="1:32" ht="12.75" customHeight="1">
      <c r="A2435" s="300" t="str">
        <f>K2406</f>
        <v>J</v>
      </c>
      <c r="B2435" s="293" t="str">
        <f ca="1">IF(AND(OFFSET($AO$1,$L2406-1,8,1,1),$A2407&lt;&gt;"",$J2407&lt;&gt;""),CHOOSE($L2406,$AR$1,$AR$2,$AR$3,$AR$4,$AR$5,$AR$6,$AR$7,$AR$8,$AR$9,$AR$10,$AR$11,$AR$12),"")</f>
        <v/>
      </c>
      <c r="C2435" s="294"/>
      <c r="D2435" s="294"/>
      <c r="E2435" s="294"/>
      <c r="F2435" s="294"/>
      <c r="G2435" s="294"/>
      <c r="H2435" s="265"/>
      <c r="I2435" s="265"/>
      <c r="J2435" s="265"/>
      <c r="K2435" s="265"/>
      <c r="L2435" s="265" t="str">
        <f ca="1">IF(AND($B2435&lt;&gt;"",$Q2412&lt;&gt;""),IF($B2435="Missing Player",0,IF($B2433="Missing Player",11,"")),"")</f>
        <v/>
      </c>
      <c r="M2435" s="267" t="s">
        <v>1237</v>
      </c>
      <c r="N2435" s="268"/>
      <c r="O2435" s="268"/>
      <c r="P2435" s="269"/>
      <c r="Q2435" s="137" t="str">
        <f ca="1">IF($Q2433&lt;&gt;"",IF($Q2433="W","L","W"),"")</f>
        <v/>
      </c>
      <c r="R2435" s="112"/>
      <c r="S2435" s="98"/>
      <c r="T2435" s="108"/>
      <c r="U2435" s="108"/>
      <c r="V2435" s="108"/>
      <c r="W2435" s="108"/>
      <c r="X2435" s="108"/>
      <c r="Y2435" s="113"/>
      <c r="Z2435" s="113"/>
      <c r="AA2435" s="113"/>
      <c r="AB2435" s="113"/>
      <c r="AC2435" s="113"/>
      <c r="AD2435" s="107"/>
      <c r="AE2435" s="109"/>
      <c r="AF2435" s="109"/>
    </row>
    <row r="2436" spans="1:32" ht="12.75" customHeight="1">
      <c r="A2436" s="301"/>
      <c r="B2436" s="295"/>
      <c r="C2436" s="296"/>
      <c r="D2436" s="296"/>
      <c r="E2436" s="296"/>
      <c r="F2436" s="296"/>
      <c r="G2436" s="296"/>
      <c r="H2436" s="270"/>
      <c r="I2436" s="270"/>
      <c r="J2436" s="266"/>
      <c r="K2436" s="266"/>
      <c r="L2436" s="266"/>
      <c r="M2436" s="267"/>
      <c r="N2436" s="268"/>
      <c r="O2436" s="268"/>
      <c r="P2436" s="269"/>
      <c r="Q2436" s="139" t="str">
        <f ca="1">IF($Q2435&lt;&gt;"",IF($B2433&lt;&gt;"Missing Player",IF($Q2435="W",IF(SUM(IF($H2435&gt;$H2433,1,0),IF($I2435&gt;$I2433,1,0),IF($J2435&gt;$J2433,1,0),IF($K2435&gt;$K2433,1,0),IF($L2435&gt;$L2433,1,0))&lt;&gt;3,"Error",""),""),""),"")</f>
        <v/>
      </c>
      <c r="R2436" s="114"/>
      <c r="S2436" s="115"/>
      <c r="T2436" s="115"/>
      <c r="U2436" s="115"/>
      <c r="V2436" s="115"/>
      <c r="W2436" s="115"/>
      <c r="X2436" s="115"/>
      <c r="Y2436" s="114"/>
      <c r="Z2436" s="114"/>
      <c r="AA2436" s="114"/>
      <c r="AB2436" s="114"/>
      <c r="AC2436" s="114"/>
      <c r="AD2436" s="114"/>
      <c r="AE2436" s="114"/>
      <c r="AF2436" s="114"/>
    </row>
    <row r="2437" spans="1:32" ht="12.75" customHeight="1">
      <c r="B2437" s="140" t="str">
        <f ca="1">IF(ISERROR(VLOOKUP($B2412&amp;"("&amp;$B2406&amp;")",Players!$S$4:$T$132,2,FALSE)),"",VLOOKUP($B2412&amp;"("&amp;$B2406&amp;")",Players!$S$4:$T$132,2,FALSE))</f>
        <v>D1</v>
      </c>
      <c r="C2437" s="140" t="str">
        <f ca="1">IF(ISERROR(VLOOKUP($B2419&amp;"("&amp;$B2406&amp;")",Players!$S$4:$T$132,2,FALSE)),"",VLOOKUP($B2419&amp;"("&amp;$B2406&amp;")",Players!$S$4:$T$132,2,FALSE))</f>
        <v>D1</v>
      </c>
      <c r="D2437" s="141" t="str">
        <f ca="1">IF(ISERROR(VLOOKUP($B2426&amp;"("&amp;$B2406&amp;")",Players!$S$4:$T$132,2,FALSE)),"",VLOOKUP($B2426&amp;"("&amp;$B2406&amp;")",Players!$S$4:$T$132,2,FALSE))</f>
        <v>D1</v>
      </c>
      <c r="E2437" s="141" t="str">
        <f ca="1">IF(ISERROR(VLOOKUP($B2433&amp;"("&amp;$B2406&amp;")",Players!$S$4:$T$132,2,FALSE)),"",VLOOKUP($B2433&amp;"("&amp;$B2406&amp;")",Players!$S$4:$T$132,2,FALSE))</f>
        <v>D1</v>
      </c>
      <c r="F2437" s="141" t="str">
        <f ca="1">IF(ISERROR(VLOOKUP($B2414&amp;"("&amp;$K2406&amp;")",Players!$S$4:$T$132,2,FALSE)),"",VLOOKUP($B2414&amp;"("&amp;$K2406&amp;")",Players!$S$4:$T$132,2,FALSE))</f>
        <v>J1</v>
      </c>
      <c r="G2437" s="141" t="str">
        <f ca="1">IF(ISERROR(VLOOKUP($B2421&amp;"("&amp;$K2406&amp;")",Players!$S$4:$T$132,2,FALSE)),"",VLOOKUP($B2421&amp;"("&amp;$K2406&amp;")",Players!$S$4:$T$132,2,FALSE))</f>
        <v>J1</v>
      </c>
      <c r="H2437" s="141" t="str">
        <f ca="1">IF(ISERROR(VLOOKUP($B2428&amp;"("&amp;$K2406&amp;")",Players!$S$4:$T$132,2,FALSE)),"",VLOOKUP($B2428&amp;"("&amp;$K2406&amp;")",Players!$S$4:$T$132,2,FALSE))</f>
        <v>J1</v>
      </c>
      <c r="I2437" s="141" t="str">
        <f ca="1">IF(ISERROR(VLOOKUP($B2435&amp;"("&amp;$K2406&amp;")",Players!$S$4:$T$132,2,FALSE)),"",VLOOKUP($B2435&amp;"("&amp;$K2406&amp;")",Players!$S$4:$T$132,2,FALSE))</f>
        <v>J1</v>
      </c>
      <c r="Q2437" s="7"/>
      <c r="R2437" s="50"/>
      <c r="S2437" s="116"/>
      <c r="T2437" s="115"/>
      <c r="U2437" s="115"/>
      <c r="V2437" s="115"/>
      <c r="W2437" s="115"/>
      <c r="X2437" s="115"/>
      <c r="Y2437" s="99"/>
      <c r="Z2437" s="99"/>
      <c r="AA2437" s="99"/>
      <c r="AB2437" s="99"/>
      <c r="AC2437" s="117"/>
      <c r="AD2437" s="118"/>
      <c r="AE2437" s="114"/>
      <c r="AF2437" s="114"/>
    </row>
    <row r="2438" spans="1:32" ht="12.75" customHeight="1">
      <c r="A2438" s="21" t="s">
        <v>1225</v>
      </c>
      <c r="H2438" s="136" t="str">
        <f ca="1">IF($Q2440&lt;&gt;"",IF(AND($B2441&lt;&gt;"Missing Player",$B2443&lt;&gt;"Missing Player"),IF(AND(AND($H2440&gt;-1,$H2442&gt;-1),OR($H2440&gt;10,$H2442&gt;10),ABS($H2440-$H2442)&gt;1,IF(OR($H2440&gt;11,$H2442&gt;11),ABS($H2440-$H2442)=2,TRUE),$H2440=INT($H2440),$H2442=INT($H2442)),"","Error"),""),"")</f>
        <v/>
      </c>
      <c r="I2438" s="136" t="str">
        <f ca="1">IF($Q2440&lt;&gt;"",IF(AND($B2441&lt;&gt;"Missing Player",$B2443&lt;&gt;"Missing Player"),IF(AND(AND($I2440&gt;-1,$I2442&gt;-1),OR($I2440&gt;10,$I2442&gt;10),ABS($I2440-$I2442)&gt;1,IF(OR($I2440&gt;11,$I2442&gt;11),ABS($I2440-$I2442)=2,TRUE),$I2440=INT($I2440),$I2442=INT($I2442)),"","Error"),""),"")</f>
        <v/>
      </c>
      <c r="J2438" s="136" t="str">
        <f ca="1">IF($Q2440&lt;&gt;"",IF(AND($B2441&lt;&gt;"Missing Player",$B2443&lt;&gt;"Missing Player"),IF(AND(AND($J2440&gt;-1,$J2442&gt;-1),OR($J2440&gt;10,$J2442&gt;10),ABS($J2440-$J2442)&gt;1,IF(OR($J2440&gt;11,$J2442&gt;11),ABS($J2440-$J2442)=2,TRUE),$J2440=INT($J2440),$J2442=INT($J2442)),"","Error"),""),"")</f>
        <v/>
      </c>
      <c r="K2438" s="136" t="str">
        <f ca="1">IF($Q2440&lt;&gt;"",IF(AND($K2440&lt;&gt;"",$K2442&lt;&gt;""), IF(AND(AND($K2440&gt;-1,$K2442&gt;-1),OR($K2440&gt;10,$K2442&gt;10),ABS($K2440-$K2442)&gt;1,IF(OR($K2440&gt;11,$K2442&gt;11),ABS($K2440-$K2442)=2,TRUE),$K2440=INT($K2440),$K2442=INT($K2442)),"","Error"),""),"")</f>
        <v/>
      </c>
      <c r="L2438" s="136" t="str">
        <f ca="1">IF($Q2440&lt;&gt;"",IF(AND($L2440&lt;&gt;"",$L2442&lt;&gt;""), IF(AND(AND($L2440&gt;-1,$L2442&gt;-1),OR($L2440&gt;10,$L2442&gt;10),ABS($L2440-$L2442)&gt;1,IF(OR($L2440&gt;11,$L2442&gt;11),ABS($L2440-$L2442)=2,TRUE),$L2440=INT($L2440),$L2442=INT($L2442)),"","Error"),""),"")</f>
        <v/>
      </c>
      <c r="Q2438" s="7"/>
      <c r="R2438" s="114"/>
      <c r="S2438" s="115"/>
      <c r="T2438" s="115"/>
      <c r="U2438" s="115"/>
      <c r="V2438" s="115"/>
      <c r="W2438" s="115"/>
      <c r="X2438" s="115"/>
      <c r="Y2438" s="114"/>
      <c r="Z2438" s="114"/>
      <c r="AA2438" s="114"/>
      <c r="AB2438" s="114"/>
      <c r="AC2438" s="114"/>
      <c r="AD2438" s="114"/>
      <c r="AE2438" s="114"/>
      <c r="AF2438" s="114"/>
    </row>
    <row r="2439" spans="1:32" ht="12.75" customHeight="1">
      <c r="A2439" s="5" t="s">
        <v>1228</v>
      </c>
      <c r="B2439" s="290" t="s">
        <v>1126</v>
      </c>
      <c r="C2439" s="291"/>
      <c r="D2439" s="291"/>
      <c r="E2439" s="291"/>
      <c r="F2439" s="291"/>
      <c r="G2439" s="292"/>
      <c r="H2439" s="5">
        <v>1</v>
      </c>
      <c r="I2439" s="5">
        <v>2</v>
      </c>
      <c r="J2439" s="5">
        <v>3</v>
      </c>
      <c r="K2439" s="5">
        <v>4</v>
      </c>
      <c r="L2439" s="5">
        <v>5</v>
      </c>
      <c r="M2439" s="271"/>
      <c r="N2439" s="272"/>
      <c r="O2439" s="272"/>
      <c r="P2439" s="273"/>
      <c r="Q2439" s="8"/>
      <c r="S2439" s="24"/>
      <c r="T2439" s="26"/>
    </row>
    <row r="2440" spans="1:32" ht="12.75" customHeight="1">
      <c r="A2440" s="300" t="str">
        <f>B2406</f>
        <v>D</v>
      </c>
      <c r="B2440" s="311" t="str">
        <f ca="1">IF($B2412&lt;&gt;"",$B2412,"")</f>
        <v/>
      </c>
      <c r="C2440" s="312"/>
      <c r="D2440" s="312"/>
      <c r="E2440" s="312"/>
      <c r="F2440" s="312"/>
      <c r="G2440" s="313"/>
      <c r="H2440" s="265"/>
      <c r="I2440" s="265"/>
      <c r="J2440" s="265"/>
      <c r="K2440" s="265"/>
      <c r="L2440" s="265" t="str">
        <f ca="1">IF($B2433&lt;&gt;"",IF(AND($B2433="Missing Player",$G2444=2,$J2444=2),0,IF(AND($B2435="Missing Player",$G2444=2,$J2444=2),11,"")),"")</f>
        <v/>
      </c>
      <c r="M2440" s="262" t="str">
        <f ca="1">IF(OR(AND($B2440&lt;&gt;"",$B2441&lt;&gt;"",$B2440=$B2441),AND($B2442&lt;&gt;"",$B2443&lt;&gt;"",$B2442=$B2443)),"Invalid Partner","")</f>
        <v/>
      </c>
      <c r="N2440" s="263"/>
      <c r="O2440" s="263"/>
      <c r="P2440" s="264"/>
      <c r="Q2440" s="138" t="str">
        <f ca="1">IF(L2440=L2442,IF(K2440=K2442,IF(J2440&lt;&gt;"",IF(J2440&gt;J2442,"W","L"),""),IF(K2440&gt;K2442,"W","L")),IF(L2440&gt;L2442,"W","L"))</f>
        <v/>
      </c>
      <c r="S2440" s="24"/>
      <c r="T2440" s="26"/>
    </row>
    <row r="2441" spans="1:32" ht="12.75" customHeight="1">
      <c r="A2441" s="324"/>
      <c r="B2441" s="308" t="str">
        <f ca="1">IF($B2433="Missing Player",$B2433,"")</f>
        <v/>
      </c>
      <c r="C2441" s="309"/>
      <c r="D2441" s="309"/>
      <c r="E2441" s="309"/>
      <c r="F2441" s="309"/>
      <c r="G2441" s="310"/>
      <c r="H2441" s="270"/>
      <c r="I2441" s="270"/>
      <c r="J2441" s="270"/>
      <c r="K2441" s="270"/>
      <c r="L2441" s="270"/>
      <c r="M2441" s="262"/>
      <c r="N2441" s="263"/>
      <c r="O2441" s="263"/>
      <c r="P2441" s="264"/>
      <c r="Q2441" s="139" t="str">
        <f ca="1">IF($Q2440&lt;&gt;"",IF($B2443&lt;&gt;"Missing Player",IF($Q2440="W",IF(SUM(IF($H2440&gt;$H2442,1,0),IF($I2440&gt;$I2442,1,0),IF($J2440&gt;$J2442,1,0),IF($K2440&gt;$K2442,1,0),IF($L2440&gt;$L2442,1,0))&lt;&gt;3,"Error",""),""),""),"")</f>
        <v/>
      </c>
      <c r="R2441" s="328" t="str">
        <f>$A2407</f>
        <v/>
      </c>
      <c r="S2441" s="328"/>
      <c r="T2441" s="328"/>
      <c r="U2441" s="328"/>
      <c r="V2441" s="328"/>
      <c r="W2441" s="328"/>
      <c r="X2441" s="256" t="str">
        <f>CONCATENATE("(",$B2406," vs ",$K2406,")")</f>
        <v>(D vs J)</v>
      </c>
      <c r="Y2441" s="256"/>
      <c r="Z2441" s="328" t="str">
        <f>$J2407</f>
        <v/>
      </c>
      <c r="AA2441" s="328"/>
      <c r="AB2441" s="328"/>
      <c r="AC2441" s="328"/>
      <c r="AD2441" s="328"/>
      <c r="AE2441" s="328"/>
      <c r="AF2441" s="43"/>
    </row>
    <row r="2442" spans="1:32" ht="12.75" customHeight="1">
      <c r="A2442" s="325" t="str">
        <f>K2406</f>
        <v>J</v>
      </c>
      <c r="B2442" s="311" t="str">
        <f ca="1">IF($B2414&lt;&gt;"",$B2414,"")</f>
        <v/>
      </c>
      <c r="C2442" s="312"/>
      <c r="D2442" s="312"/>
      <c r="E2442" s="312"/>
      <c r="F2442" s="312"/>
      <c r="G2442" s="313"/>
      <c r="H2442" s="265"/>
      <c r="I2442" s="265"/>
      <c r="J2442" s="265"/>
      <c r="K2442" s="265"/>
      <c r="L2442" s="265" t="str">
        <f ca="1">IF($B2435&lt;&gt;"",IF(AND($B2435="Missing Player",$G2444=2,$J2444=2),0,IF(AND($B2433="Missing Player",$G2444=2,$J2444=2),11,"")),"")</f>
        <v/>
      </c>
      <c r="M2442" s="267" t="s">
        <v>1237</v>
      </c>
      <c r="N2442" s="268"/>
      <c r="O2442" s="268"/>
      <c r="P2442" s="269"/>
      <c r="Q2442" s="138" t="str">
        <f ca="1">IF(Q2440&lt;&gt;"",IF(Q2440="W","L","W"),"")</f>
        <v/>
      </c>
      <c r="R2442" s="43"/>
      <c r="S2442" s="43"/>
      <c r="T2442" s="43"/>
      <c r="U2442" s="43"/>
      <c r="V2442" s="43"/>
      <c r="W2442" s="43"/>
      <c r="X2442" s="43"/>
      <c r="Y2442" s="43"/>
      <c r="Z2442" s="43"/>
      <c r="AA2442" s="43"/>
      <c r="AB2442" s="43"/>
      <c r="AC2442" s="43"/>
      <c r="AD2442" s="43"/>
      <c r="AE2442" s="43"/>
      <c r="AF2442" s="43"/>
    </row>
    <row r="2443" spans="1:32" ht="12.75" customHeight="1">
      <c r="A2443" s="324"/>
      <c r="B2443" s="308" t="str">
        <f ca="1">IF($B2435="Missing Player",$B2435,"")</f>
        <v/>
      </c>
      <c r="C2443" s="309"/>
      <c r="D2443" s="309"/>
      <c r="E2443" s="309"/>
      <c r="F2443" s="309"/>
      <c r="G2443" s="310"/>
      <c r="H2443" s="270"/>
      <c r="I2443" s="270"/>
      <c r="J2443" s="266"/>
      <c r="K2443" s="266"/>
      <c r="L2443" s="266"/>
      <c r="M2443" s="267"/>
      <c r="N2443" s="268"/>
      <c r="O2443" s="268"/>
      <c r="P2443" s="269"/>
      <c r="Q2443" s="139" t="str">
        <f ca="1">IF($Q2442&lt;&gt;"",IF($B2441&lt;&gt;"Missing Player",IF($Q2442="W",IF(SUM(IF($H2442&gt;$H2440,1,0),IF($I2442&gt;$I2440,1,0),IF($J2442&gt;$J2440,1,0),IF($K2442&gt;$K2440,1,0),IF($L2442&gt;$L2440,1,0))&lt;&gt;3,"Error",""),""),""),"")</f>
        <v/>
      </c>
      <c r="R2443" s="43" t="str">
        <f>A2431</f>
        <v>4th Singles</v>
      </c>
      <c r="S2443" s="43"/>
      <c r="T2443" s="43"/>
      <c r="U2443" s="43"/>
      <c r="V2443" s="43"/>
      <c r="W2443" s="43"/>
      <c r="X2443" s="43"/>
      <c r="Y2443" s="43"/>
      <c r="Z2443" s="43"/>
      <c r="AA2443" s="43"/>
      <c r="AB2443" s="43"/>
      <c r="AC2443" s="43"/>
      <c r="AD2443" s="43"/>
      <c r="AE2443" s="43"/>
      <c r="AF2443" s="43"/>
    </row>
    <row r="2444" spans="1:32" ht="12.75" customHeight="1">
      <c r="G2444" s="66">
        <f ca="1">COUNTIF($Q2412:$Q2412,"W")+COUNTIF($Q2419:$Q2419,"W")+COUNTIF($Q2426:$Q2426,"W")+COUNTIF($Q2433:$Q2433,"W")</f>
        <v>0</v>
      </c>
      <c r="J2444" s="66">
        <f ca="1">COUNTIF($Q2414:$Q2414,"W")+COUNTIF($Q2421:$Q2421,"W")+COUNTIF($Q2428:$Q2428,"W")+COUNTIF($Q2435:$Q2435,"W")</f>
        <v>0</v>
      </c>
      <c r="R2444" s="60" t="s">
        <v>1228</v>
      </c>
      <c r="S2444" s="339" t="s">
        <v>1126</v>
      </c>
      <c r="T2444" s="340"/>
      <c r="U2444" s="340"/>
      <c r="V2444" s="340"/>
      <c r="W2444" s="340"/>
      <c r="X2444" s="341"/>
      <c r="Y2444" s="60">
        <v>1</v>
      </c>
      <c r="Z2444" s="60">
        <v>2</v>
      </c>
      <c r="AA2444" s="60">
        <v>3</v>
      </c>
      <c r="AB2444" s="60">
        <v>4</v>
      </c>
      <c r="AC2444" s="60">
        <v>5</v>
      </c>
      <c r="AD2444" s="342"/>
      <c r="AE2444" s="343"/>
      <c r="AF2444" s="344"/>
    </row>
    <row r="2445" spans="1:32" ht="12.75" customHeight="1" thickBot="1">
      <c r="F2445" s="246" t="s">
        <v>1238</v>
      </c>
      <c r="G2445" s="246"/>
      <c r="H2445" s="246"/>
      <c r="I2445" s="246"/>
      <c r="J2445" s="246"/>
      <c r="K2445" s="246"/>
      <c r="R2445" s="300" t="str">
        <f>B2406</f>
        <v>D</v>
      </c>
      <c r="S2445" s="331" t="str">
        <f ca="1">IF($B2433&lt;&gt;"",$B2433,"")</f>
        <v/>
      </c>
      <c r="T2445" s="353"/>
      <c r="U2445" s="353"/>
      <c r="V2445" s="353"/>
      <c r="W2445" s="353"/>
      <c r="X2445" s="354"/>
      <c r="Y2445" s="329"/>
      <c r="Z2445" s="329"/>
      <c r="AA2445" s="351"/>
      <c r="AB2445" s="351"/>
      <c r="AC2445" s="351"/>
      <c r="AD2445" s="345"/>
      <c r="AE2445" s="346"/>
      <c r="AF2445" s="347"/>
    </row>
    <row r="2446" spans="1:32" ht="12.75" customHeight="1">
      <c r="A2446" s="22"/>
      <c r="B2446" s="22"/>
      <c r="C2446" s="22"/>
      <c r="D2446" s="22"/>
      <c r="E2446" s="22"/>
      <c r="G2446" s="304" t="str">
        <f>B2406</f>
        <v>D</v>
      </c>
      <c r="H2446" s="305"/>
      <c r="I2446" s="302" t="str">
        <f>K2406</f>
        <v>J</v>
      </c>
      <c r="J2446" s="303"/>
      <c r="L2446" s="22"/>
      <c r="M2446" s="22"/>
      <c r="N2446" s="22"/>
      <c r="O2446" s="22"/>
      <c r="P2446" s="22"/>
      <c r="R2446" s="301"/>
      <c r="S2446" s="355"/>
      <c r="T2446" s="356"/>
      <c r="U2446" s="356"/>
      <c r="V2446" s="356"/>
      <c r="W2446" s="356"/>
      <c r="X2446" s="357"/>
      <c r="Y2446" s="338"/>
      <c r="Z2446" s="338"/>
      <c r="AA2446" s="352"/>
      <c r="AB2446" s="352"/>
      <c r="AC2446" s="352"/>
      <c r="AD2446" s="348"/>
      <c r="AE2446" s="349"/>
      <c r="AF2446" s="350"/>
    </row>
    <row r="2447" spans="1:32" ht="12.75" customHeight="1" thickBot="1">
      <c r="A2447" s="2" t="s">
        <v>1228</v>
      </c>
      <c r="B2447" s="53" t="str">
        <f>B2406</f>
        <v>D</v>
      </c>
      <c r="C2447" s="3" t="s">
        <v>1226</v>
      </c>
      <c r="F2447" s="66" t="str">
        <f>CONCATENATE($B2406,"-",$K2406)</f>
        <v>D-J</v>
      </c>
      <c r="G2447" s="320" t="str">
        <f ca="1">IF(OR(Q2412&lt;&gt;"",Q2419&lt;&gt;"",Q2426&lt;&gt;"",Q2433&lt;&gt;"",Q2440&lt;&gt;""),COUNTIF(Q2412:Q2412,"W")+COUNTIF(Q2419:Q2419,"W")+COUNTIF(Q2426:Q2426,"W")+COUNTIF(Q2433:Q2433,"W")+COUNTIF(Q2440:Q2440,"W"),"")</f>
        <v/>
      </c>
      <c r="H2447" s="321"/>
      <c r="I2447" s="322" t="str">
        <f ca="1">IF(OR(Q2414&lt;&gt;"",Q2421&lt;&gt;"",Q2428&lt;&gt;"",Q2435&lt;&gt;"",Q2442&lt;&gt;""),COUNTIF(Q2414:Q2414,"W")+COUNTIF(Q2421:Q2421,"W")+COUNTIF(Q2428:Q2428,"W")+COUNTIF(Q2435:Q2435,"W")+COUNTIF(Q2442:Q2442,"W"),"")</f>
        <v/>
      </c>
      <c r="J2447" s="323"/>
      <c r="L2447" s="2" t="s">
        <v>1228</v>
      </c>
      <c r="M2447" s="53" t="str">
        <f>K2406</f>
        <v>J</v>
      </c>
      <c r="N2447" s="3" t="s">
        <v>1226</v>
      </c>
      <c r="R2447" s="300" t="str">
        <f>K2406</f>
        <v>J</v>
      </c>
      <c r="S2447" s="331" t="str">
        <f ca="1">IF($B2435&lt;&gt;"",$B2435,"")</f>
        <v/>
      </c>
      <c r="T2447" s="332"/>
      <c r="U2447" s="332"/>
      <c r="V2447" s="332"/>
      <c r="W2447" s="332"/>
      <c r="X2447" s="333"/>
      <c r="Y2447" s="329"/>
      <c r="Z2447" s="329"/>
      <c r="AA2447" s="351"/>
      <c r="AB2447" s="351"/>
      <c r="AC2447" s="351"/>
      <c r="AD2447" s="363" t="s">
        <v>1237</v>
      </c>
      <c r="AE2447" s="358"/>
      <c r="AF2447" s="359"/>
    </row>
    <row r="2448" spans="1:32" ht="12.75" customHeight="1">
      <c r="F2448" s="25" t="s">
        <v>3996</v>
      </c>
      <c r="G2448" s="23"/>
      <c r="H2448" s="23"/>
      <c r="I2448" s="23"/>
      <c r="J2448" s="23"/>
      <c r="K2448" s="24"/>
      <c r="R2448" s="330"/>
      <c r="S2448" s="334"/>
      <c r="T2448" s="335"/>
      <c r="U2448" s="335"/>
      <c r="V2448" s="335"/>
      <c r="W2448" s="335"/>
      <c r="X2448" s="336"/>
      <c r="Y2448" s="330"/>
      <c r="Z2448" s="330"/>
      <c r="AA2448" s="330"/>
      <c r="AB2448" s="330"/>
      <c r="AC2448" s="330"/>
      <c r="AD2448" s="360"/>
      <c r="AE2448" s="361"/>
      <c r="AF2448" s="362"/>
    </row>
    <row r="2449" spans="1:32" ht="12.75" customHeight="1">
      <c r="R2449" s="1"/>
      <c r="S2449" s="110"/>
      <c r="T2449" s="110"/>
      <c r="U2449" s="110"/>
      <c r="V2449" s="110"/>
      <c r="W2449" s="110"/>
      <c r="X2449" s="111"/>
      <c r="Y2449" s="111"/>
      <c r="Z2449" s="111"/>
      <c r="AA2449" s="111"/>
    </row>
    <row r="2450" spans="1:32" ht="12.75" customHeight="1">
      <c r="F2450" s="246" t="s">
        <v>4929</v>
      </c>
      <c r="G2450" s="246"/>
      <c r="H2450" s="246"/>
      <c r="I2450" s="246"/>
      <c r="R2450" s="1"/>
      <c r="S2450" s="110"/>
      <c r="T2450" s="110"/>
      <c r="U2450" s="110"/>
      <c r="V2450" s="110"/>
      <c r="W2450" s="110"/>
      <c r="X2450" s="111"/>
      <c r="Y2450" s="111"/>
      <c r="Z2450" s="111"/>
      <c r="AA2450" s="111"/>
    </row>
    <row r="2451" spans="1:32" ht="12.75" customHeight="1">
      <c r="F2451" s="246" t="s">
        <v>4930</v>
      </c>
      <c r="G2451" s="246"/>
      <c r="H2451" s="246"/>
      <c r="I2451" s="246"/>
      <c r="R2451" s="1"/>
      <c r="S2451" s="110"/>
      <c r="T2451" s="110"/>
      <c r="U2451" s="110"/>
      <c r="V2451" s="110"/>
      <c r="W2451" s="110"/>
      <c r="X2451" s="111"/>
      <c r="Y2451" s="111"/>
      <c r="Z2451" s="111"/>
      <c r="AA2451" s="111"/>
    </row>
    <row r="2452" spans="1:32" ht="12.75" customHeight="1">
      <c r="K2452" s="281" t="s">
        <v>1244</v>
      </c>
      <c r="L2452" s="281"/>
      <c r="M2452" s="281"/>
      <c r="N2452" s="281"/>
      <c r="O2452" s="281"/>
      <c r="P2452" s="281"/>
      <c r="R2452" s="1"/>
      <c r="S2452" s="110"/>
      <c r="T2452" s="110"/>
      <c r="U2452" s="110"/>
      <c r="V2452" s="110"/>
      <c r="W2452" s="110"/>
      <c r="X2452" s="111"/>
      <c r="Y2452" s="111"/>
      <c r="Z2452" s="111"/>
      <c r="AA2452" s="111"/>
    </row>
    <row r="2453" spans="1:32" ht="12.75" customHeight="1">
      <c r="A2453" s="12" t="s">
        <v>1229</v>
      </c>
      <c r="B2453" s="11"/>
      <c r="C2453" s="11"/>
      <c r="D2453" s="11" t="str">
        <f>Draw!$B$1</f>
        <v>Enter Division Name</v>
      </c>
      <c r="E2453" s="11"/>
      <c r="F2453" s="7"/>
      <c r="G2453" s="6"/>
      <c r="H2453" s="7"/>
      <c r="I2453" s="11"/>
      <c r="J2453" s="11"/>
      <c r="K2453" s="11"/>
      <c r="L2453" s="11"/>
      <c r="M2453" s="281"/>
      <c r="N2453" s="281"/>
      <c r="O2453" s="281"/>
      <c r="P2453" s="281"/>
      <c r="R2453" s="1"/>
      <c r="S2453" s="110"/>
      <c r="T2453" s="110"/>
      <c r="U2453" s="110"/>
      <c r="V2453" s="110"/>
      <c r="W2453" s="110"/>
      <c r="X2453" s="111"/>
      <c r="Y2453" s="111"/>
      <c r="Z2453" s="111"/>
      <c r="AA2453" s="111"/>
    </row>
    <row r="2454" spans="1:32" ht="12.75" customHeight="1">
      <c r="A2454" s="2" t="s">
        <v>1230</v>
      </c>
      <c r="D2454" s="43" t="str">
        <f>Draw!$D$1</f>
        <v>Enter Hosting Location (City, ST)</v>
      </c>
      <c r="J2454" s="43" t="str">
        <f ca="1">$J$6</f>
        <v>[NCTTA Teams Template (v2.06).xlsx]</v>
      </c>
      <c r="R2454" s="1"/>
      <c r="S2454" s="110"/>
      <c r="T2454" s="110"/>
      <c r="U2454" s="110"/>
      <c r="V2454" s="110"/>
      <c r="W2454" s="110"/>
      <c r="X2454" s="111"/>
      <c r="Y2454" s="111"/>
      <c r="Z2454" s="111"/>
      <c r="AA2454" s="111"/>
    </row>
    <row r="2455" spans="1:32" ht="12.75" customHeight="1">
      <c r="A2455" s="2" t="s">
        <v>1231</v>
      </c>
      <c r="D2455" s="337" t="str">
        <f>Draw!$P$1</f>
        <v>Enter Date</v>
      </c>
      <c r="E2455" s="337"/>
      <c r="F2455" s="337"/>
      <c r="G2455" s="337"/>
      <c r="J2455" s="280" t="str">
        <f>CHOOSE(Draw!$T$1,"Round 9, Match 1","","","","","","","","","","Round 10, Match 4")</f>
        <v/>
      </c>
      <c r="K2455" s="280"/>
      <c r="L2455" s="280"/>
      <c r="M2455" s="276" t="str">
        <f>IF(AND($J2455&lt;&gt;"",Draw!$AC$10&lt;&gt;"",Draw!$AC$13&lt;&gt;""),Draw!$AC$10+TIME(0,VALUE(MID($J2455,7,FIND(",",$J2455)-FIND(" ",$J2455)-1)-1)*Draw!$AC$13,0),"")</f>
        <v/>
      </c>
      <c r="N2455" s="276"/>
      <c r="O2455" s="157" t="str">
        <f>$F2498</f>
        <v>D-K</v>
      </c>
      <c r="R2455" s="1"/>
      <c r="S2455" s="110"/>
      <c r="T2455" s="110"/>
      <c r="U2455" s="110"/>
      <c r="V2455" s="110"/>
      <c r="W2455" s="110"/>
      <c r="X2455" s="111"/>
      <c r="Y2455" s="111"/>
      <c r="Z2455" s="111"/>
      <c r="AA2455" s="111"/>
    </row>
    <row r="2456" spans="1:32" ht="12.75" customHeight="1">
      <c r="A2456" s="14"/>
      <c r="B2456" s="15"/>
      <c r="C2456" s="15"/>
      <c r="D2456" s="15"/>
      <c r="E2456" s="15"/>
      <c r="F2456" s="14"/>
      <c r="G2456" s="14"/>
      <c r="H2456" s="16"/>
      <c r="I2456" s="14"/>
      <c r="J2456" s="15"/>
      <c r="K2456" s="15"/>
      <c r="L2456" s="15"/>
      <c r="M2456" s="15"/>
      <c r="N2456" s="15"/>
      <c r="O2456" s="364" t="str">
        <f>IF(OR(AND(VLOOKUP($B2457,$AM$1:$AX$12,12,FALSE)="C",VLOOKUP($K2457,$AM$1:$AX$12,12,FALSE)="C"),AND(VLOOKUP($B2457,$AM$1:$AX$12,12,FALSE)="W",VLOOKUP($K2457,$AM$1:$AX$12,12,FALSE)="W")),"Official",IF(AND($A2458="",$J2458=""),"","Scrimmage"))</f>
        <v/>
      </c>
      <c r="P2456" s="364"/>
      <c r="R2456" s="1"/>
      <c r="S2456" s="110"/>
      <c r="T2456" s="110"/>
      <c r="U2456" s="110"/>
      <c r="V2456" s="110"/>
      <c r="W2456" s="110"/>
      <c r="X2456" s="111"/>
      <c r="Y2456" s="111"/>
      <c r="Z2456" s="111"/>
      <c r="AA2456" s="111"/>
    </row>
    <row r="2457" spans="1:32" ht="12.75" customHeight="1">
      <c r="A2457" s="17" t="s">
        <v>1228</v>
      </c>
      <c r="B2457" s="119" t="str">
        <f>CHOOSE(Draw!$T$1,"A","D","D","E","F","F","F","F","E","B","G")</f>
        <v>D</v>
      </c>
      <c r="C2457" s="135">
        <f>VLOOKUP($B2457,$AM$1:$AN$12,2)</f>
        <v>4</v>
      </c>
      <c r="D2457" s="13"/>
      <c r="E2457" s="13"/>
      <c r="F2457" s="10"/>
      <c r="H2457" s="19" t="s">
        <v>1232</v>
      </c>
      <c r="J2457" s="17" t="s">
        <v>1228</v>
      </c>
      <c r="K2457" s="119" t="str">
        <f>CHOOSE(Draw!$T$1,"D","G","K","J","J","J","J","I","J","L","J")</f>
        <v>K</v>
      </c>
      <c r="L2457" s="135">
        <f>VLOOKUP($K2457,$AM$1:$AN$12,2)</f>
        <v>11</v>
      </c>
      <c r="M2457" s="13"/>
      <c r="N2457" s="13"/>
      <c r="O2457" s="18"/>
      <c r="P2457" s="274"/>
      <c r="Q2457" s="275"/>
      <c r="R2457" s="1"/>
      <c r="S2457" s="110"/>
      <c r="T2457" s="110"/>
      <c r="U2457" s="110"/>
      <c r="V2457" s="110"/>
      <c r="W2457" s="110"/>
      <c r="X2457" s="111"/>
      <c r="Y2457" s="111"/>
      <c r="Z2457" s="111"/>
      <c r="AA2457" s="111"/>
    </row>
    <row r="2458" spans="1:32" ht="12.75" customHeight="1">
      <c r="A2458" s="277" t="str">
        <f>IF(VLOOKUP($B2457,Draw!$A$4:$B$27,2)&lt;&gt;0,VLOOKUP($B2457,Draw!$A$4:$B$27,2),"")</f>
        <v/>
      </c>
      <c r="B2458" s="278"/>
      <c r="C2458" s="278"/>
      <c r="D2458" s="278"/>
      <c r="E2458" s="278"/>
      <c r="F2458" s="279"/>
      <c r="G2458" s="306" t="s">
        <v>4200</v>
      </c>
      <c r="H2458" s="289"/>
      <c r="I2458" s="307"/>
      <c r="J2458" s="277" t="str">
        <f>IF(VLOOKUP($K2457,Draw!$A$4:$B$27,2)&lt;&gt;0,VLOOKUP($K2457,Draw!$A$4:$B$27,2),"")</f>
        <v/>
      </c>
      <c r="K2458" s="278"/>
      <c r="L2458" s="278"/>
      <c r="M2458" s="278"/>
      <c r="N2458" s="278"/>
      <c r="O2458" s="279"/>
      <c r="P2458" s="15"/>
      <c r="R2458" s="1"/>
      <c r="S2458" s="110"/>
      <c r="T2458" s="110"/>
      <c r="U2458" s="110"/>
      <c r="V2458" s="110"/>
      <c r="W2458" s="110"/>
      <c r="X2458" s="111"/>
      <c r="Y2458" s="111"/>
      <c r="Z2458" s="111"/>
      <c r="AA2458" s="111"/>
    </row>
    <row r="2459" spans="1:32" ht="12.75" customHeight="1">
      <c r="A2459" s="14"/>
      <c r="B2459" s="15"/>
      <c r="C2459" s="15"/>
      <c r="D2459" s="15"/>
      <c r="E2459" s="15"/>
      <c r="F2459" s="14"/>
      <c r="G2459" s="288" t="str">
        <f>"Page "&amp;VALUE(RIGHT($G2458,LEN($G2458)-SEARCH("-",$G2458)))/2</f>
        <v>Page 49</v>
      </c>
      <c r="H2459" s="289"/>
      <c r="I2459" s="289"/>
      <c r="J2459" s="15"/>
      <c r="K2459" s="15"/>
      <c r="L2459" s="15"/>
      <c r="M2459" s="15"/>
      <c r="N2459" s="15"/>
      <c r="O2459" s="15"/>
      <c r="P2459" s="15"/>
      <c r="R2459" s="1"/>
      <c r="S2459" s="110"/>
      <c r="T2459" s="110"/>
      <c r="U2459" s="110"/>
      <c r="V2459" s="110"/>
      <c r="W2459" s="110"/>
      <c r="X2459" s="111"/>
      <c r="Y2459" s="111"/>
      <c r="Z2459" s="111"/>
      <c r="AA2459" s="111"/>
      <c r="AF2459" s="27"/>
    </row>
    <row r="2460" spans="1:32" ht="12.75" customHeight="1">
      <c r="A2460" s="327" t="s">
        <v>1245</v>
      </c>
      <c r="B2460" s="327"/>
      <c r="C2460" s="327"/>
      <c r="D2460" s="327"/>
      <c r="E2460" s="327"/>
      <c r="F2460" s="327"/>
      <c r="G2460" s="327"/>
      <c r="H2460" s="327"/>
      <c r="I2460" s="327"/>
      <c r="J2460" s="327"/>
      <c r="K2460" s="327"/>
      <c r="L2460" s="327"/>
      <c r="M2460" s="327"/>
      <c r="N2460" s="327"/>
      <c r="O2460" s="327"/>
      <c r="P2460" s="327"/>
      <c r="Q2460" s="7"/>
      <c r="R2460" s="1"/>
      <c r="S2460" s="110"/>
      <c r="T2460" s="110"/>
      <c r="U2460" s="110"/>
      <c r="V2460" s="110"/>
      <c r="W2460" s="110"/>
      <c r="X2460" s="111"/>
      <c r="Y2460" s="111"/>
      <c r="Z2460" s="111"/>
      <c r="AA2460" s="111"/>
      <c r="AF2460" s="20"/>
    </row>
    <row r="2461" spans="1:32" ht="12.75" customHeight="1">
      <c r="A2461" s="21" t="s">
        <v>1233</v>
      </c>
      <c r="H2461" s="136" t="str">
        <f>IF($Q2463&lt;&gt;"",IF(AND(AND($H2463&gt;-1,$H2465&gt;-1),OR($H2463&gt;10,$H2465&gt;10),ABS($H2463-$H2465)&gt;1,IF(OR($H2463&gt;11,$H2465&gt;11),ABS($H2463-$H2465)=2,TRUE),$H2463=INT($H2463),$H2465=INT($H2465)),"","Error"),"")</f>
        <v/>
      </c>
      <c r="I2461" s="136" t="str">
        <f>IF($Q2463&lt;&gt;"",IF(AND(AND($I2463&gt;-1,$I2465&gt;-1),OR($I2463&gt;10,$I2465&gt;10),ABS($I2463-$I2465)&gt;1,IF(OR($I2463&gt;11,$I2465&gt;11),ABS($I2463-$I2465)=2,TRUE),$I2463=INT($I2463),$I2465=INT($I2465)),"","Error"),"")</f>
        <v/>
      </c>
      <c r="J2461" s="136" t="str">
        <f>IF($Q2463&lt;&gt;"",IF(AND(AND($J2463&gt;-1,$J2465&gt;-1),OR($J2463&gt;10,$J2465&gt;10),ABS($J2463-$J2465)&gt;1,IF(OR($J2463&gt;11,$J2465&gt;11),ABS($J2463-$J2465)=2,TRUE),$J2463=INT($J2463),$J2465=INT($J2465)),"","Error"),"")</f>
        <v/>
      </c>
      <c r="K2461" s="136" t="str">
        <f>IF($Q2463&lt;&gt;"",IF(AND($K2463&lt;&gt;"",$K2465&lt;&gt;""), IF(AND(AND($K2463&gt;-1,$K2465&gt;-1),OR($K2463&gt;10,$K2465&gt;10),ABS($K2463-$K2465)&gt;1,IF(OR($K2463&gt;11,$K2465&gt;11),ABS($K2463-$K2465)=2,TRUE),$K2463=INT($K2463),$K2465=INT($K2465)),"","Error"),""),"")</f>
        <v/>
      </c>
      <c r="L2461" s="136" t="str">
        <f>IF($Q2463&lt;&gt;"",IF(AND($L2463&lt;&gt;"",$L2465&lt;&gt;""), IF(AND(AND($L2463&gt;-1,$L2465&gt;-1),OR($L2463&gt;10,$L2465&gt;10),ABS($L2463-$L2465)&gt;1,IF(OR($L2463&gt;11,$L2465&gt;11),ABS($L2463-$L2465)=2,TRUE),$L2463=INT($L2463),$L2465=INT($L2465)),"","Error"),""),"")</f>
        <v/>
      </c>
      <c r="R2461" s="1"/>
      <c r="S2461" s="110"/>
      <c r="T2461" s="110"/>
      <c r="U2461" s="110"/>
      <c r="V2461" s="110"/>
      <c r="W2461" s="110"/>
      <c r="X2461" s="111"/>
      <c r="Y2461" s="111"/>
      <c r="Z2461" s="111"/>
      <c r="AA2461" s="111"/>
    </row>
    <row r="2462" spans="1:32" ht="12.75" customHeight="1">
      <c r="A2462" s="5" t="s">
        <v>1228</v>
      </c>
      <c r="B2462" s="290" t="s">
        <v>1126</v>
      </c>
      <c r="C2462" s="291"/>
      <c r="D2462" s="291"/>
      <c r="E2462" s="291"/>
      <c r="F2462" s="291"/>
      <c r="G2462" s="292"/>
      <c r="H2462" s="5">
        <v>1</v>
      </c>
      <c r="I2462" s="5">
        <v>2</v>
      </c>
      <c r="J2462" s="5">
        <v>3</v>
      </c>
      <c r="K2462" s="5">
        <v>4</v>
      </c>
      <c r="L2462" s="5">
        <v>5</v>
      </c>
      <c r="M2462" s="271"/>
      <c r="N2462" s="272"/>
      <c r="O2462" s="272"/>
      <c r="P2462" s="273"/>
      <c r="R2462" s="1"/>
      <c r="S2462" s="110"/>
      <c r="T2462" s="110"/>
      <c r="U2462" s="110"/>
      <c r="V2462" s="110"/>
      <c r="W2462" s="110"/>
      <c r="X2462" s="111"/>
      <c r="Y2462" s="111"/>
      <c r="Z2462" s="111"/>
      <c r="AA2462" s="111"/>
    </row>
    <row r="2463" spans="1:32" ht="12.75" customHeight="1">
      <c r="A2463" s="300" t="str">
        <f>B2457</f>
        <v>D</v>
      </c>
      <c r="B2463" s="293" t="str">
        <f ca="1">IF(AND(OFFSET($AO$1,$C2457-1,8,1,1),$A2458&lt;&gt;"",$J2458&lt;&gt;""),CHOOSE($C2457,$AO$1,$AO$2,$AO$3,$AO$4,$AO$5,$AO$6,$AO$7,$AO$8,$AO$9,$AO$10,$AO$11,$AO$12),"")</f>
        <v/>
      </c>
      <c r="C2463" s="294"/>
      <c r="D2463" s="294"/>
      <c r="E2463" s="294"/>
      <c r="F2463" s="294"/>
      <c r="G2463" s="294"/>
      <c r="H2463" s="265"/>
      <c r="I2463" s="265"/>
      <c r="J2463" s="265"/>
      <c r="K2463" s="265"/>
      <c r="L2463" s="265"/>
      <c r="M2463" s="297"/>
      <c r="N2463" s="298"/>
      <c r="O2463" s="298"/>
      <c r="P2463" s="299"/>
      <c r="Q2463" s="137" t="str">
        <f>IF($L2463=$L2465,IF($K2463=$K2465,IF($J2463&lt;&gt;"",IF($J2463&gt;$J2465,"W","L"),""),IF($K2463&gt;$K2465,"W","L")),IF($L2463&gt;$L2465,"W","L"))</f>
        <v/>
      </c>
      <c r="R2463" s="1"/>
      <c r="S2463" s="110"/>
      <c r="T2463" s="110"/>
      <c r="U2463" s="110"/>
      <c r="V2463" s="110"/>
      <c r="W2463" s="110"/>
      <c r="X2463" s="111"/>
      <c r="Y2463" s="111"/>
      <c r="Z2463" s="111"/>
      <c r="AA2463" s="111"/>
    </row>
    <row r="2464" spans="1:32" ht="12.75" customHeight="1">
      <c r="A2464" s="301"/>
      <c r="B2464" s="295"/>
      <c r="C2464" s="296"/>
      <c r="D2464" s="296"/>
      <c r="E2464" s="296"/>
      <c r="F2464" s="296"/>
      <c r="G2464" s="296"/>
      <c r="H2464" s="270"/>
      <c r="I2464" s="270"/>
      <c r="J2464" s="270"/>
      <c r="K2464" s="270"/>
      <c r="L2464" s="270"/>
      <c r="M2464" s="297"/>
      <c r="N2464" s="298"/>
      <c r="O2464" s="298"/>
      <c r="P2464" s="299"/>
      <c r="Q2464" s="139" t="str">
        <f>IF($Q2463&lt;&gt;"",IF($Q2463="W",IF(SUM(IF($H2463&gt;$H2465,1,0),IF($I2463&gt;$I2465,1,0),IF($J2463&gt;$J2465,1,0),IF($K2463&gt;$K2465,1,0),IF($L2463&gt;$L2465,1,0))&lt;&gt;3,"Error",""),""),"")</f>
        <v/>
      </c>
      <c r="R2464" s="328" t="str">
        <f>$A2458</f>
        <v/>
      </c>
      <c r="S2464" s="328"/>
      <c r="T2464" s="328"/>
      <c r="U2464" s="328"/>
      <c r="V2464" s="328"/>
      <c r="W2464" s="328"/>
      <c r="X2464" s="256" t="str">
        <f>CONCATENATE("(",$B2457," vs ",$K2457,")")</f>
        <v>(D vs K)</v>
      </c>
      <c r="Y2464" s="256"/>
      <c r="Z2464" s="328" t="str">
        <f>$J2458</f>
        <v/>
      </c>
      <c r="AA2464" s="328"/>
      <c r="AB2464" s="328"/>
      <c r="AC2464" s="328"/>
      <c r="AD2464" s="328"/>
      <c r="AE2464" s="328"/>
      <c r="AF2464" s="43"/>
    </row>
    <row r="2465" spans="1:32" ht="12.75" customHeight="1">
      <c r="A2465" s="300" t="str">
        <f>K2457</f>
        <v>K</v>
      </c>
      <c r="B2465" s="293" t="str">
        <f ca="1">IF(AND(OFFSET($AO$1,$L2457-1,8,1,1),$A2458&lt;&gt;"",$J2458&lt;&gt;""),CHOOSE($L2457,$AO$1,$AO$2,$AO$3,$AO$4,$AO$5,$AO$6,$AO$7,$AO$8,$AO$9,$AO$10,$AO$11,$AO$12),"")</f>
        <v/>
      </c>
      <c r="C2465" s="294"/>
      <c r="D2465" s="294"/>
      <c r="E2465" s="294"/>
      <c r="F2465" s="294"/>
      <c r="G2465" s="294"/>
      <c r="H2465" s="265"/>
      <c r="I2465" s="265"/>
      <c r="J2465" s="265"/>
      <c r="K2465" s="265"/>
      <c r="L2465" s="265"/>
      <c r="M2465" s="267" t="s">
        <v>1237</v>
      </c>
      <c r="N2465" s="268"/>
      <c r="O2465" s="268"/>
      <c r="P2465" s="269"/>
      <c r="Q2465" s="137" t="str">
        <f>IF($Q2463&lt;&gt;"",IF($Q2463="W","L","W"),"")</f>
        <v/>
      </c>
      <c r="R2465" s="43"/>
      <c r="S2465" s="43"/>
      <c r="T2465" s="43"/>
      <c r="U2465" s="43"/>
      <c r="V2465" s="43"/>
      <c r="W2465" s="43"/>
      <c r="X2465" s="43"/>
      <c r="Y2465" s="43"/>
      <c r="Z2465" s="43"/>
      <c r="AA2465" s="43"/>
      <c r="AB2465" s="43"/>
      <c r="AC2465" s="43"/>
      <c r="AD2465" s="43"/>
      <c r="AE2465" s="43"/>
      <c r="AF2465" s="43"/>
    </row>
    <row r="2466" spans="1:32" ht="12.75" customHeight="1">
      <c r="A2466" s="301"/>
      <c r="B2466" s="295"/>
      <c r="C2466" s="296"/>
      <c r="D2466" s="296"/>
      <c r="E2466" s="296"/>
      <c r="F2466" s="296"/>
      <c r="G2466" s="296"/>
      <c r="H2466" s="270"/>
      <c r="I2466" s="270"/>
      <c r="J2466" s="266"/>
      <c r="K2466" s="266"/>
      <c r="L2466" s="266"/>
      <c r="M2466" s="267"/>
      <c r="N2466" s="268"/>
      <c r="O2466" s="268"/>
      <c r="P2466" s="269"/>
      <c r="Q2466" s="139" t="str">
        <f>IF($Q2465&lt;&gt;"",IF($Q2465="W",IF(SUM(IF($H2465&gt;$H2463,1,0),IF($I2465&gt;$I2463,1,0),IF($J2465&gt;$J2463,1,0),IF($K2465&gt;$K2463,1,0),IF($L2465&gt;$L2463,1,0))&lt;&gt;3,"Error",""),""),"")</f>
        <v/>
      </c>
      <c r="R2466" s="43" t="str">
        <f>$A2468</f>
        <v>2nd Singles</v>
      </c>
      <c r="S2466" s="43"/>
      <c r="T2466" s="43"/>
      <c r="U2466" s="43"/>
      <c r="V2466" s="43"/>
      <c r="W2466" s="43"/>
      <c r="X2466" s="43"/>
      <c r="Y2466" s="43"/>
      <c r="Z2466" s="43"/>
      <c r="AA2466" s="43"/>
      <c r="AB2466" s="43"/>
      <c r="AC2466" s="43"/>
      <c r="AD2466" s="43"/>
      <c r="AE2466" s="43"/>
      <c r="AF2466" s="43"/>
    </row>
    <row r="2467" spans="1:32" ht="12.75" customHeight="1">
      <c r="Q2467" s="7"/>
      <c r="R2467" s="60" t="s">
        <v>1228</v>
      </c>
      <c r="S2467" s="339" t="s">
        <v>1126</v>
      </c>
      <c r="T2467" s="340"/>
      <c r="U2467" s="340"/>
      <c r="V2467" s="340"/>
      <c r="W2467" s="340"/>
      <c r="X2467" s="341"/>
      <c r="Y2467" s="60">
        <v>1</v>
      </c>
      <c r="Z2467" s="60">
        <v>2</v>
      </c>
      <c r="AA2467" s="60">
        <v>3</v>
      </c>
      <c r="AB2467" s="60">
        <v>4</v>
      </c>
      <c r="AC2467" s="60">
        <v>5</v>
      </c>
      <c r="AD2467" s="342"/>
      <c r="AE2467" s="343"/>
      <c r="AF2467" s="344"/>
    </row>
    <row r="2468" spans="1:32" ht="12.75" customHeight="1">
      <c r="A2468" s="21" t="s">
        <v>1234</v>
      </c>
      <c r="H2468" s="136" t="str">
        <f>IF($Q2470&lt;&gt;"",IF(AND(AND($H2470&gt;-1,$H2472&gt;-1),OR($H2470&gt;10,$H2472&gt;10),ABS($H2470-$H2472)&gt;1,IF(OR($H2470&gt;11,$H2472&gt;11),ABS($H2470-$H2472)=2,TRUE),$H2470=INT($H2470),$H2472=INT($H2472)),"","Error"),"")</f>
        <v/>
      </c>
      <c r="I2468" s="136" t="str">
        <f>IF($Q2470&lt;&gt;"",IF(AND(AND($I2470&gt;-1,$I2472&gt;-1),OR($I2470&gt;10,$I2472&gt;10),ABS($I2470-$I2472)&gt;1,IF(OR($I2470&gt;11,$I2472&gt;11),ABS($I2470-$I2472)=2,TRUE),$I2470=INT($I2470),$I2472=INT($I2472)),"","Error"),"")</f>
        <v/>
      </c>
      <c r="J2468" s="136" t="str">
        <f>IF($Q2470&lt;&gt;"",IF(AND(AND($J2470&gt;-1,$J2472&gt;-1),OR($J2470&gt;10,$J2472&gt;10),ABS($J2470-$J2472)&gt;1,IF(OR($J2470&gt;11,$J2472&gt;11),ABS($J2470-$J2472)=2,TRUE),$J2470=INT($J2470),$J2472=INT($J2472)),"","Error"),"")</f>
        <v/>
      </c>
      <c r="K2468" s="136" t="str">
        <f>IF($Q2470&lt;&gt;"",IF(AND($K2470&lt;&gt;"",$K2472&lt;&gt;""), IF(AND(AND($K2470&gt;-1,$K2472&gt;-1),OR($K2470&gt;10,$K2472&gt;10),ABS($K2470-$K2472)&gt;1,IF(OR($K2470&gt;11,$K2472&gt;11),ABS($K2470-$K2472)=2,TRUE),$K2470=INT($K2470),$K2472=INT($K2472)),"","Error"),""),"")</f>
        <v/>
      </c>
      <c r="L2468" s="136" t="str">
        <f>IF($Q2470&lt;&gt;"",IF(AND($L2470&lt;&gt;"",$L2472&lt;&gt;""), IF(AND(AND($L2470&gt;-1,$L2472&gt;-1),OR($L2470&gt;10,$L2472&gt;10),ABS($L2470-$L2472)&gt;1,IF(OR($L2470&gt;11,$L2472&gt;11),ABS($L2470-$L2472)=2,TRUE),$L2470=INT($L2470),$L2472=INT($L2472)),"","Error"),""),"")</f>
        <v/>
      </c>
      <c r="Q2468" s="7"/>
      <c r="R2468" s="300" t="str">
        <f>$B2457</f>
        <v>D</v>
      </c>
      <c r="S2468" s="331" t="str">
        <f ca="1">IF($B2470&lt;&gt;"",$B2470,"")</f>
        <v/>
      </c>
      <c r="T2468" s="332"/>
      <c r="U2468" s="332"/>
      <c r="V2468" s="332"/>
      <c r="W2468" s="332"/>
      <c r="X2468" s="333"/>
      <c r="Y2468" s="329"/>
      <c r="Z2468" s="329"/>
      <c r="AA2468" s="329"/>
      <c r="AB2468" s="329"/>
      <c r="AC2468" s="329"/>
      <c r="AD2468" s="345"/>
      <c r="AE2468" s="358"/>
      <c r="AF2468" s="359"/>
    </row>
    <row r="2469" spans="1:32" ht="12.75" customHeight="1">
      <c r="A2469" s="5" t="s">
        <v>1228</v>
      </c>
      <c r="B2469" s="290" t="s">
        <v>1126</v>
      </c>
      <c r="C2469" s="291"/>
      <c r="D2469" s="291"/>
      <c r="E2469" s="291"/>
      <c r="F2469" s="291"/>
      <c r="G2469" s="292"/>
      <c r="H2469" s="5">
        <v>1</v>
      </c>
      <c r="I2469" s="5">
        <v>2</v>
      </c>
      <c r="J2469" s="5">
        <v>3</v>
      </c>
      <c r="K2469" s="5">
        <v>4</v>
      </c>
      <c r="L2469" s="5">
        <v>5</v>
      </c>
      <c r="M2469" s="271"/>
      <c r="N2469" s="272"/>
      <c r="O2469" s="272"/>
      <c r="P2469" s="273"/>
      <c r="Q2469" s="7"/>
      <c r="R2469" s="330"/>
      <c r="S2469" s="334"/>
      <c r="T2469" s="335"/>
      <c r="U2469" s="335"/>
      <c r="V2469" s="335"/>
      <c r="W2469" s="335"/>
      <c r="X2469" s="336"/>
      <c r="Y2469" s="330"/>
      <c r="Z2469" s="330"/>
      <c r="AA2469" s="330"/>
      <c r="AB2469" s="330"/>
      <c r="AC2469" s="330"/>
      <c r="AD2469" s="360"/>
      <c r="AE2469" s="361"/>
      <c r="AF2469" s="362"/>
    </row>
    <row r="2470" spans="1:32" ht="12.75" customHeight="1">
      <c r="A2470" s="300" t="str">
        <f>B2457</f>
        <v>D</v>
      </c>
      <c r="B2470" s="293" t="str">
        <f ca="1">IF(AND(OFFSET($AO$1,$C2457-1,8,1,1),$A2458&lt;&gt;"",$J2458&lt;&gt;""),CHOOSE($C2457,$AP$1,$AP$2,$AP$3,$AP$4,$AP$5,$AP$6,$AP$7,$AP$8,$AP$9,$AP$10,$AP$11,$AP$12),"")</f>
        <v/>
      </c>
      <c r="C2470" s="294"/>
      <c r="D2470" s="294"/>
      <c r="E2470" s="294"/>
      <c r="F2470" s="294"/>
      <c r="G2470" s="294"/>
      <c r="H2470" s="265"/>
      <c r="I2470" s="265"/>
      <c r="J2470" s="265"/>
      <c r="K2470" s="265"/>
      <c r="L2470" s="265"/>
      <c r="M2470" s="262" t="str">
        <f ca="1">IF(OR(AND($B2463&lt;&gt;"",$B2470&lt;&gt;"",$C2488&lt;=$B2488),AND($B2465&lt;&gt;"",$B2472&lt;&gt;"",$G2488&lt;=$F2488)),"Invalid Lineup","")</f>
        <v/>
      </c>
      <c r="N2470" s="263"/>
      <c r="O2470" s="263"/>
      <c r="P2470" s="264"/>
      <c r="Q2470" s="137" t="str">
        <f>IF($L2470=$L2472,IF($K2470=$K2472,IF($J2470&lt;&gt;"",IF($J2470&gt;$J2472,"W","L"),""),IF($K2470&gt;$K2472,"W","L")),IF($L2470&gt;$L2472,"W","L"))</f>
        <v/>
      </c>
      <c r="R2470" s="300" t="str">
        <f>$K2457</f>
        <v>K</v>
      </c>
      <c r="S2470" s="331" t="str">
        <f ca="1">IF($B2472&lt;&gt;"",$B2472,"")</f>
        <v/>
      </c>
      <c r="T2470" s="332"/>
      <c r="U2470" s="332"/>
      <c r="V2470" s="332"/>
      <c r="W2470" s="332"/>
      <c r="X2470" s="333"/>
      <c r="Y2470" s="329"/>
      <c r="Z2470" s="329"/>
      <c r="AA2470" s="329"/>
      <c r="AB2470" s="329"/>
      <c r="AC2470" s="351"/>
      <c r="AD2470" s="363" t="s">
        <v>1237</v>
      </c>
      <c r="AE2470" s="358"/>
      <c r="AF2470" s="359"/>
    </row>
    <row r="2471" spans="1:32" ht="12.75" customHeight="1">
      <c r="A2471" s="301"/>
      <c r="B2471" s="295"/>
      <c r="C2471" s="296"/>
      <c r="D2471" s="296"/>
      <c r="E2471" s="296"/>
      <c r="F2471" s="296"/>
      <c r="G2471" s="296"/>
      <c r="H2471" s="270"/>
      <c r="I2471" s="270"/>
      <c r="J2471" s="270"/>
      <c r="K2471" s="270"/>
      <c r="L2471" s="270"/>
      <c r="M2471" s="262"/>
      <c r="N2471" s="263"/>
      <c r="O2471" s="263"/>
      <c r="P2471" s="264"/>
      <c r="Q2471" s="139" t="str">
        <f>IF($Q2470&lt;&gt;"",IF($Q2470="W",IF(SUM(IF($H2470&gt;$H2472,1,0),IF($I2470&gt;$I2472,1,0),IF($J2470&gt;$J2472,1,0),IF($K2470&gt;$K2472,1,0),IF($L2470&gt;$L2472,1,0))&lt;&gt;3,"Error",""),""),"")</f>
        <v/>
      </c>
      <c r="R2471" s="330"/>
      <c r="S2471" s="334"/>
      <c r="T2471" s="335"/>
      <c r="U2471" s="335"/>
      <c r="V2471" s="335"/>
      <c r="W2471" s="335"/>
      <c r="X2471" s="336"/>
      <c r="Y2471" s="330"/>
      <c r="Z2471" s="330"/>
      <c r="AA2471" s="330"/>
      <c r="AB2471" s="330"/>
      <c r="AC2471" s="330"/>
      <c r="AD2471" s="360"/>
      <c r="AE2471" s="361"/>
      <c r="AF2471" s="362"/>
    </row>
    <row r="2472" spans="1:32" ht="12.75" customHeight="1">
      <c r="A2472" s="300" t="str">
        <f>K2457</f>
        <v>K</v>
      </c>
      <c r="B2472" s="293" t="str">
        <f ca="1">IF(AND(OFFSET($AO$1,$L2457-1,8,1,1),$A2458&lt;&gt;"",$J2458&lt;&gt;""),CHOOSE($L2457,$AP$1,$AP$2,$AP$3,$AP$4,$AP$5,$AP$6,$AP$7,$AP$8,$AP$9,$AP$10,$AP$11,$AP$12),"")</f>
        <v/>
      </c>
      <c r="C2472" s="294"/>
      <c r="D2472" s="294"/>
      <c r="E2472" s="294"/>
      <c r="F2472" s="294"/>
      <c r="G2472" s="294"/>
      <c r="H2472" s="265"/>
      <c r="I2472" s="265"/>
      <c r="J2472" s="265"/>
      <c r="K2472" s="265"/>
      <c r="L2472" s="265"/>
      <c r="M2472" s="267" t="s">
        <v>1237</v>
      </c>
      <c r="N2472" s="268"/>
      <c r="O2472" s="268"/>
      <c r="P2472" s="269"/>
      <c r="Q2472" s="137" t="str">
        <f>IF($Q2470&lt;&gt;"",IF($Q2470="W","L","W"),"")</f>
        <v/>
      </c>
      <c r="R2472" s="20"/>
      <c r="S2472" s="20"/>
      <c r="T2472" s="20"/>
      <c r="U2472" s="20"/>
      <c r="V2472" s="20"/>
      <c r="W2472" s="20"/>
      <c r="X2472" s="26"/>
      <c r="Y2472" s="26"/>
      <c r="Z2472" s="20"/>
      <c r="AA2472" s="20"/>
      <c r="AB2472" s="20"/>
      <c r="AC2472" s="20"/>
      <c r="AD2472" s="20"/>
      <c r="AE2472" s="20"/>
      <c r="AF2472" s="27"/>
    </row>
    <row r="2473" spans="1:32" ht="12.75" customHeight="1">
      <c r="A2473" s="301"/>
      <c r="B2473" s="295"/>
      <c r="C2473" s="296"/>
      <c r="D2473" s="296"/>
      <c r="E2473" s="296"/>
      <c r="F2473" s="296"/>
      <c r="G2473" s="296"/>
      <c r="H2473" s="270"/>
      <c r="I2473" s="270"/>
      <c r="J2473" s="266"/>
      <c r="K2473" s="266"/>
      <c r="L2473" s="266"/>
      <c r="M2473" s="267"/>
      <c r="N2473" s="268"/>
      <c r="O2473" s="268"/>
      <c r="P2473" s="269"/>
      <c r="Q2473" s="139" t="str">
        <f>IF($Q2472&lt;&gt;"",IF($Q2472="W",IF(SUM(IF($H2472&gt;$H2470,1,0),IF($I2472&gt;$I2470,1,0),IF($J2472&gt;$J2470,1,0),IF($K2472&gt;$K2470,1,0),IF($L2472&gt;$L2470,1,0))&lt;&gt;3,"Error",""),""),"")</f>
        <v/>
      </c>
      <c r="R2473" s="20"/>
      <c r="S2473" s="20"/>
      <c r="T2473" s="20"/>
      <c r="U2473" s="20"/>
      <c r="V2473" s="20"/>
      <c r="W2473" s="20"/>
      <c r="X2473" s="26"/>
      <c r="Y2473" s="26"/>
      <c r="Z2473" s="20"/>
      <c r="AA2473" s="20"/>
      <c r="AB2473" s="20"/>
      <c r="AC2473" s="20"/>
      <c r="AD2473" s="20"/>
      <c r="AE2473" s="20"/>
      <c r="AF2473" s="27"/>
    </row>
    <row r="2474" spans="1:32" ht="12.75" customHeight="1">
      <c r="Q2474" s="7"/>
      <c r="R2474" s="20"/>
      <c r="S2474" s="20"/>
      <c r="T2474" s="20"/>
      <c r="U2474" s="20"/>
      <c r="V2474" s="20"/>
      <c r="W2474" s="20"/>
      <c r="X2474" s="26"/>
      <c r="Y2474" s="26"/>
      <c r="Z2474" s="20"/>
      <c r="AA2474" s="20"/>
      <c r="AB2474" s="20"/>
      <c r="AC2474" s="20"/>
      <c r="AD2474" s="20"/>
      <c r="AE2474" s="20"/>
      <c r="AF2474" s="27"/>
    </row>
    <row r="2475" spans="1:32" ht="12.75" customHeight="1">
      <c r="A2475" s="21" t="s">
        <v>1235</v>
      </c>
      <c r="H2475" s="136" t="str">
        <f>IF($Q2477&lt;&gt;"",IF(AND(AND($H2477&gt;-1,$H2479&gt;-1),OR($H2477&gt;10,$H2479&gt;10),ABS($H2477-$H2479)&gt;1,IF(OR($H2477&gt;11,$H2479&gt;11),ABS($H2477-$H2479)=2,TRUE),$H2477=INT($H2477),$H2479=INT($H2479)),"","Error"),"")</f>
        <v/>
      </c>
      <c r="I2475" s="136" t="str">
        <f>IF($Q2477&lt;&gt;"",IF(AND(AND($I2477&gt;-1,$I2479&gt;-1),OR($I2477&gt;10,$I2479&gt;10),ABS($I2477-$I2479)&gt;1,IF(OR($I2477&gt;11,$I2479&gt;11),ABS($I2477-$I2479)=2,TRUE),$I2477=INT($I2477),$I2479=INT($I2479)),"","Error"),"")</f>
        <v/>
      </c>
      <c r="J2475" s="136" t="str">
        <f>IF($Q2477&lt;&gt;"",IF(AND(AND($J2477&gt;-1,$J2479&gt;-1),OR($J2477&gt;10,$J2479&gt;10),ABS($J2477-$J2479)&gt;1,IF(OR($J2477&gt;11,$J2479&gt;11),ABS($J2477-$J2479)=2,TRUE),$J2477=INT($J2477),$J2479=INT($J2479)),"","Error"),"")</f>
        <v/>
      </c>
      <c r="K2475" s="136" t="str">
        <f>IF($Q2477&lt;&gt;"",IF(AND($K2477&lt;&gt;"",$K2479&lt;&gt;""), IF(AND(AND($K2477&gt;-1,$K2479&gt;-1),OR($K2477&gt;10,$K2479&gt;10),ABS($K2477-$K2479)&gt;1,IF(OR($K2477&gt;11,$K2479&gt;11),ABS($K2477-$K2479)=2,TRUE),$K2477=INT($K2477),$K2479=INT($K2479)),"","Error"),""),"")</f>
        <v/>
      </c>
      <c r="L2475" s="136" t="str">
        <f>IF($Q2477&lt;&gt;"",IF(AND($L2477&lt;&gt;"",$L2479&lt;&gt;""), IF(AND(AND($L2477&gt;-1,$L2479&gt;-1),OR($L2477&gt;10,$L2479&gt;10),ABS($L2477-$L2479)&gt;1,IF(OR($L2477&gt;11,$L2479&gt;11),ABS($L2477-$L2479)=2,TRUE),$L2477=INT($L2477),$L2479=INT($L2479)),"","Error"),""),"")</f>
        <v/>
      </c>
      <c r="Q2475" s="7"/>
      <c r="R2475" s="20"/>
      <c r="S2475" s="20"/>
      <c r="T2475" s="20"/>
      <c r="U2475" s="20"/>
      <c r="V2475" s="20"/>
      <c r="W2475" s="20"/>
      <c r="X2475" s="26"/>
      <c r="Y2475" s="26"/>
      <c r="Z2475" s="20"/>
      <c r="AA2475" s="20"/>
      <c r="AB2475" s="20"/>
      <c r="AC2475" s="20"/>
      <c r="AD2475" s="20"/>
      <c r="AE2475" s="20"/>
      <c r="AF2475" s="27"/>
    </row>
    <row r="2476" spans="1:32" ht="12.75" customHeight="1">
      <c r="A2476" s="5" t="s">
        <v>1228</v>
      </c>
      <c r="B2476" s="290" t="s">
        <v>1126</v>
      </c>
      <c r="C2476" s="291"/>
      <c r="D2476" s="291"/>
      <c r="E2476" s="291"/>
      <c r="F2476" s="291"/>
      <c r="G2476" s="292"/>
      <c r="H2476" s="5">
        <v>1</v>
      </c>
      <c r="I2476" s="5">
        <v>2</v>
      </c>
      <c r="J2476" s="5">
        <v>3</v>
      </c>
      <c r="K2476" s="5">
        <v>4</v>
      </c>
      <c r="L2476" s="5">
        <v>5</v>
      </c>
      <c r="M2476" s="271"/>
      <c r="N2476" s="272"/>
      <c r="O2476" s="272"/>
      <c r="P2476" s="273"/>
      <c r="Q2476" s="7"/>
      <c r="R2476" s="20"/>
      <c r="S2476" s="20"/>
      <c r="T2476" s="20"/>
      <c r="U2476" s="20"/>
      <c r="V2476" s="20"/>
      <c r="W2476" s="20"/>
      <c r="X2476" s="26"/>
      <c r="Y2476" s="26"/>
      <c r="Z2476" s="20"/>
      <c r="AA2476" s="20"/>
      <c r="AB2476" s="20"/>
      <c r="AC2476" s="20"/>
      <c r="AD2476" s="20"/>
      <c r="AE2476" s="20"/>
      <c r="AF2476" s="27"/>
    </row>
    <row r="2477" spans="1:32" ht="12.75" customHeight="1">
      <c r="A2477" s="300" t="str">
        <f>B2457</f>
        <v>D</v>
      </c>
      <c r="B2477" s="293" t="str">
        <f ca="1">IF(AND(OFFSET($AO$1,$C2457-1,8,1,1),$A2458&lt;&gt;"",$J2458&lt;&gt;""),CHOOSE($C2457,$AQ$1,$AQ$2,$AQ$3,$AQ$4,$AQ$5,$AQ$6,$AQ$7,$AQ$8,$AQ$9,$AQ$10,$AQ$11,$AQ$12),"")</f>
        <v/>
      </c>
      <c r="C2477" s="294"/>
      <c r="D2477" s="294"/>
      <c r="E2477" s="294"/>
      <c r="F2477" s="294"/>
      <c r="G2477" s="294"/>
      <c r="H2477" s="265"/>
      <c r="I2477" s="265"/>
      <c r="J2477" s="265"/>
      <c r="K2477" s="265"/>
      <c r="L2477" s="265"/>
      <c r="M2477" s="262" t="str">
        <f ca="1">IF(OR(AND($B2470&lt;&gt;"",$B2477&lt;&gt;"",$D2488&lt;=$C2488),AND($B2472&lt;&gt;"",$B2479&lt;&gt;"",$H2488&lt;=$G2488)),"Invalid Lineup","")</f>
        <v/>
      </c>
      <c r="N2477" s="263"/>
      <c r="O2477" s="263"/>
      <c r="P2477" s="264"/>
      <c r="Q2477" s="137" t="str">
        <f>IF($L2477=$L2479,IF($K2477=$K2479,IF($J2477&lt;&gt;"",IF($J2477&gt;$J2479,"W","L"),""),IF($K2477&gt;$K2479,"W","L")),IF($L2477&gt;$L2479,"W","L"))</f>
        <v/>
      </c>
      <c r="R2477" s="20"/>
      <c r="S2477" s="20"/>
      <c r="T2477" s="20"/>
      <c r="U2477" s="20"/>
      <c r="V2477" s="20"/>
      <c r="W2477" s="20"/>
      <c r="X2477" s="26"/>
      <c r="Y2477" s="26"/>
      <c r="Z2477" s="20"/>
      <c r="AA2477" s="20"/>
      <c r="AB2477" s="20"/>
      <c r="AC2477" s="20"/>
      <c r="AD2477" s="20"/>
      <c r="AE2477" s="20"/>
      <c r="AF2477" s="27"/>
    </row>
    <row r="2478" spans="1:32" ht="12.75" customHeight="1">
      <c r="A2478" s="301"/>
      <c r="B2478" s="295"/>
      <c r="C2478" s="296"/>
      <c r="D2478" s="296"/>
      <c r="E2478" s="296"/>
      <c r="F2478" s="296"/>
      <c r="G2478" s="296"/>
      <c r="H2478" s="270"/>
      <c r="I2478" s="270"/>
      <c r="J2478" s="270"/>
      <c r="K2478" s="270"/>
      <c r="L2478" s="270"/>
      <c r="M2478" s="262"/>
      <c r="N2478" s="263"/>
      <c r="O2478" s="263"/>
      <c r="P2478" s="264"/>
      <c r="Q2478" s="139" t="str">
        <f>IF($Q2477&lt;&gt;"",IF($Q2477="W",IF(SUM(IF($H2477&gt;$H2479,1,0),IF($I2477&gt;$I2479,1,0),IF($J2477&gt;$J2479,1,0),IF($K2477&gt;$K2479,1,0),IF($L2477&gt;$L2479,1,0))&lt;&gt;3,"Error",""),""),"")</f>
        <v/>
      </c>
      <c r="R2478" s="328" t="str">
        <f>$A2458</f>
        <v/>
      </c>
      <c r="S2478" s="328"/>
      <c r="T2478" s="328"/>
      <c r="U2478" s="328"/>
      <c r="V2478" s="328"/>
      <c r="W2478" s="328"/>
      <c r="X2478" s="256" t="str">
        <f>CONCATENATE("(",$B2457," vs ",$K2457,")")</f>
        <v>(D vs K)</v>
      </c>
      <c r="Y2478" s="256"/>
      <c r="Z2478" s="328" t="str">
        <f>$J2458</f>
        <v/>
      </c>
      <c r="AA2478" s="328"/>
      <c r="AB2478" s="328"/>
      <c r="AC2478" s="328"/>
      <c r="AD2478" s="328"/>
      <c r="AE2478" s="328"/>
      <c r="AF2478" s="100"/>
    </row>
    <row r="2479" spans="1:32" ht="12.75" customHeight="1">
      <c r="A2479" s="300" t="str">
        <f>K2457</f>
        <v>K</v>
      </c>
      <c r="B2479" s="293" t="str">
        <f ca="1">IF(AND(OFFSET($AO$1,$L2457-1,8,1,1),$A2458&lt;&gt;"",$J2458&lt;&gt;""),CHOOSE($L2457,$AQ$1,$AQ$2,$AQ$3,$AQ$4,$AQ$5,$AQ$6,$AQ$7,$AQ$8,$AQ$9,$AQ$10,$AQ$11,$AQ$12),"")</f>
        <v/>
      </c>
      <c r="C2479" s="294"/>
      <c r="D2479" s="294"/>
      <c r="E2479" s="294"/>
      <c r="F2479" s="294"/>
      <c r="G2479" s="294"/>
      <c r="H2479" s="265"/>
      <c r="I2479" s="265"/>
      <c r="J2479" s="265"/>
      <c r="K2479" s="265"/>
      <c r="L2479" s="265"/>
      <c r="M2479" s="267" t="s">
        <v>1237</v>
      </c>
      <c r="N2479" s="268"/>
      <c r="O2479" s="268"/>
      <c r="P2479" s="269"/>
      <c r="Q2479" s="137" t="str">
        <f>IF($Q2477&lt;&gt;"",IF($Q2477="W","L","W"),"")</f>
        <v/>
      </c>
      <c r="R2479" s="100"/>
      <c r="S2479" s="100"/>
      <c r="T2479" s="100"/>
      <c r="U2479" s="100"/>
      <c r="V2479" s="100"/>
      <c r="W2479" s="100"/>
      <c r="X2479" s="100"/>
      <c r="Y2479" s="100"/>
      <c r="Z2479" s="100"/>
      <c r="AA2479" s="100"/>
      <c r="AB2479" s="100"/>
      <c r="AC2479" s="100"/>
      <c r="AD2479" s="100"/>
      <c r="AE2479" s="100"/>
      <c r="AF2479" s="100"/>
    </row>
    <row r="2480" spans="1:32" ht="12.75" customHeight="1">
      <c r="A2480" s="301"/>
      <c r="B2480" s="295"/>
      <c r="C2480" s="296"/>
      <c r="D2480" s="296"/>
      <c r="E2480" s="296"/>
      <c r="F2480" s="296"/>
      <c r="G2480" s="296"/>
      <c r="H2480" s="270"/>
      <c r="I2480" s="270"/>
      <c r="J2480" s="266"/>
      <c r="K2480" s="266"/>
      <c r="L2480" s="266"/>
      <c r="M2480" s="267"/>
      <c r="N2480" s="268"/>
      <c r="O2480" s="268"/>
      <c r="P2480" s="269"/>
      <c r="Q2480" s="139" t="str">
        <f>IF($Q2479&lt;&gt;"",IF($Q2479="W",IF(SUM(IF($H2479&gt;$H2477,1,0),IF($I2479&gt;$I2477,1,0),IF($J2479&gt;$J2477,1,0),IF($K2479&gt;$K2477,1,0),IF($L2479&gt;$L2477,1,0))&lt;&gt;3,"Error",""),""),"")</f>
        <v/>
      </c>
      <c r="R2480" s="43" t="str">
        <f>$A2475</f>
        <v>3rd Singles</v>
      </c>
      <c r="S2480" s="43"/>
      <c r="T2480" s="43"/>
      <c r="U2480" s="43"/>
      <c r="V2480" s="43"/>
      <c r="W2480" s="43"/>
      <c r="X2480" s="43"/>
      <c r="Y2480" s="43"/>
      <c r="Z2480" s="43"/>
      <c r="AA2480" s="43"/>
      <c r="AB2480" s="43"/>
      <c r="AC2480" s="43"/>
      <c r="AD2480" s="43"/>
      <c r="AE2480" s="43"/>
      <c r="AF2480" s="43"/>
    </row>
    <row r="2481" spans="1:32" ht="12.75" customHeight="1">
      <c r="Q2481" s="7"/>
      <c r="R2481" s="60" t="s">
        <v>1228</v>
      </c>
      <c r="S2481" s="101" t="s">
        <v>1126</v>
      </c>
      <c r="T2481" s="102"/>
      <c r="U2481" s="102"/>
      <c r="V2481" s="102"/>
      <c r="W2481" s="102"/>
      <c r="X2481" s="103"/>
      <c r="Y2481" s="60">
        <v>1</v>
      </c>
      <c r="Z2481" s="60">
        <v>2</v>
      </c>
      <c r="AA2481" s="60">
        <v>3</v>
      </c>
      <c r="AB2481" s="60">
        <v>4</v>
      </c>
      <c r="AC2481" s="60">
        <v>5</v>
      </c>
      <c r="AD2481" s="104"/>
      <c r="AE2481" s="105"/>
      <c r="AF2481" s="106"/>
    </row>
    <row r="2482" spans="1:32" ht="12.75" customHeight="1">
      <c r="A2482" s="21" t="s">
        <v>1236</v>
      </c>
      <c r="H2482" s="136" t="str">
        <f ca="1">IF($Q2484&lt;&gt;"",IF(AND($B2484&lt;&gt;"Missing Player",$B2486&lt;&gt;"Missing Player"),IF(AND(AND($H2484&gt;-1,$H2486&gt;-1),OR($H2484&gt;10,$H2486&gt;10),ABS($H2484-$H2486)&gt;1,IF(OR($H2484&gt;11,$H2486&gt;11),ABS($H2484-$H2486)=2,TRUE),$H2484=INT($H2484),$H2486=INT($H2486)),"","Error"),""),"")</f>
        <v/>
      </c>
      <c r="I2482" s="136" t="str">
        <f ca="1">IF($Q2484&lt;&gt;"",IF(AND($B2484&lt;&gt;"Missing Player",$B2486&lt;&gt;"Missing Player"),IF(AND(AND($I2484&gt;-1,$I2486&gt;-1),OR($I2484&gt;10,$I2486&gt;10),ABS($I2484-$I2486)&gt;1,IF(OR($I2484&gt;11,$I2486&gt;11),ABS($I2484-$I2486)=2,TRUE),$I2484=INT($I2484),$I2486=INT($I2486)),"","Error"),""),"")</f>
        <v/>
      </c>
      <c r="J2482" s="136" t="str">
        <f ca="1">IF($Q2484&lt;&gt;"",IF(AND($B2484&lt;&gt;"Missing Player",$B2486&lt;&gt;"Missing Player"),IF(AND(AND($J2484&gt;-1,$J2486&gt;-1),OR($J2484&gt;10,$J2486&gt;10),ABS($J2484-$J2486)&gt;1,IF(OR($J2484&gt;11,$J2486&gt;11),ABS($J2484-$J2486)=2,TRUE),$J2484=INT($J2484),$J2486=INT($J2486)),"","Error"),""),"")</f>
        <v/>
      </c>
      <c r="K2482" s="136" t="str">
        <f ca="1">IF($Q2484&lt;&gt;"",IF(AND($K2484&lt;&gt;"",$K2486&lt;&gt;""), IF(AND(AND($K2484&gt;-1,$K2486&gt;-1),OR($K2484&gt;10,$K2486&gt;10),ABS($K2484-$K2486)&gt;1,IF(OR($K2484&gt;11,$K2486&gt;11),ABS($K2484-$K2486)=2,TRUE),$K2484=INT($K2484),$K2486=INT($K2486)),"","Error"),""),"")</f>
        <v/>
      </c>
      <c r="L2482" s="136" t="str">
        <f ca="1">IF($Q2484&lt;&gt;"",IF(AND($L2484&lt;&gt;"",$L2486&lt;&gt;""), IF(AND(AND($L2484&gt;-1,$L2486&gt;-1),OR($L2484&gt;10,$L2486&gt;10),ABS($L2484-$L2486)&gt;1,IF(OR($L2484&gt;11,$L2486&gt;11),ABS($L2484-$L2486)=2,TRUE),$L2484=INT($L2484),$L2486=INT($L2486)),"","Error"),""),"")</f>
        <v/>
      </c>
      <c r="Q2482" s="7"/>
      <c r="R2482" s="300" t="str">
        <f>$B2457</f>
        <v>D</v>
      </c>
      <c r="S2482" s="331" t="str">
        <f ca="1">IF($B2477&lt;&gt;"",$B2477,"")</f>
        <v/>
      </c>
      <c r="T2482" s="332"/>
      <c r="U2482" s="332"/>
      <c r="V2482" s="332"/>
      <c r="W2482" s="332"/>
      <c r="X2482" s="333"/>
      <c r="Y2482" s="329"/>
      <c r="Z2482" s="329"/>
      <c r="AA2482" s="329"/>
      <c r="AB2482" s="329"/>
      <c r="AC2482" s="329"/>
      <c r="AD2482" s="345"/>
      <c r="AE2482" s="358"/>
      <c r="AF2482" s="359"/>
    </row>
    <row r="2483" spans="1:32" ht="12.75" customHeight="1">
      <c r="A2483" s="5" t="s">
        <v>1228</v>
      </c>
      <c r="B2483" s="290" t="s">
        <v>1126</v>
      </c>
      <c r="C2483" s="291"/>
      <c r="D2483" s="291"/>
      <c r="E2483" s="291"/>
      <c r="F2483" s="291"/>
      <c r="G2483" s="292"/>
      <c r="H2483" s="5">
        <v>1</v>
      </c>
      <c r="I2483" s="5">
        <v>2</v>
      </c>
      <c r="J2483" s="5">
        <v>3</v>
      </c>
      <c r="K2483" s="5">
        <v>4</v>
      </c>
      <c r="L2483" s="5">
        <v>5</v>
      </c>
      <c r="M2483" s="271"/>
      <c r="N2483" s="272"/>
      <c r="O2483" s="272"/>
      <c r="P2483" s="273"/>
      <c r="Q2483" s="7"/>
      <c r="R2483" s="330"/>
      <c r="S2483" s="334"/>
      <c r="T2483" s="335"/>
      <c r="U2483" s="335"/>
      <c r="V2483" s="335"/>
      <c r="W2483" s="335"/>
      <c r="X2483" s="336"/>
      <c r="Y2483" s="330"/>
      <c r="Z2483" s="330"/>
      <c r="AA2483" s="330"/>
      <c r="AB2483" s="330"/>
      <c r="AC2483" s="330"/>
      <c r="AD2483" s="360"/>
      <c r="AE2483" s="361"/>
      <c r="AF2483" s="362"/>
    </row>
    <row r="2484" spans="1:32" ht="12.75" customHeight="1">
      <c r="A2484" s="300" t="str">
        <f>B2457</f>
        <v>D</v>
      </c>
      <c r="B2484" s="293" t="str">
        <f ca="1">IF(AND(OFFSET($AO$1,$C2457-1,8,1,1),$A2458&lt;&gt;"",$J2458&lt;&gt;""),CHOOSE($C2457,$AR$1,$AR$2,$AR$3,$AR$4,$AR$5,$AR$6,$AR$7,$AR$8,$AR$9,$AR$10,$AR$11,$AR$12),"")</f>
        <v/>
      </c>
      <c r="C2484" s="294"/>
      <c r="D2484" s="294"/>
      <c r="E2484" s="294"/>
      <c r="F2484" s="294"/>
      <c r="G2484" s="294"/>
      <c r="H2484" s="265"/>
      <c r="I2484" s="265"/>
      <c r="J2484" s="265"/>
      <c r="K2484" s="265"/>
      <c r="L2484" s="265" t="str">
        <f ca="1">IF(AND($B2484&lt;&gt;"",$Q2463&lt;&gt;""),IF($B2484="Missing Player",0,IF($B2486="Missing Player",11,"")),"")</f>
        <v/>
      </c>
      <c r="M2484" s="262" t="str">
        <f ca="1">IF(OR(AND($B2477&lt;&gt;"",$B2484&lt;&gt;"",$E2488&lt;=$D2488),AND($B2479&lt;&gt;"",$B2486&lt;&gt;"",$I2488&lt;=$H2488)),"Invalid Lineup","")</f>
        <v/>
      </c>
      <c r="N2484" s="263"/>
      <c r="O2484" s="263"/>
      <c r="P2484" s="264"/>
      <c r="Q2484" s="137" t="str">
        <f ca="1">IF($L2484=$L2486,IF($K2484=$K2486,IF($J2484&lt;&gt;"",IF($J2484&gt;$J2486,"W","L"),""),IF($K2484&gt;$K2486,"W","L")),IF($L2484&gt;$L2486,"W","L"))</f>
        <v/>
      </c>
      <c r="R2484" s="300" t="str">
        <f>$K2457</f>
        <v>K</v>
      </c>
      <c r="S2484" s="331" t="str">
        <f ca="1">IF($B2479&lt;&gt;"",$B2479,"")</f>
        <v/>
      </c>
      <c r="T2484" s="332"/>
      <c r="U2484" s="332"/>
      <c r="V2484" s="332"/>
      <c r="W2484" s="332"/>
      <c r="X2484" s="333"/>
      <c r="Y2484" s="329"/>
      <c r="Z2484" s="329"/>
      <c r="AA2484" s="329"/>
      <c r="AB2484" s="329"/>
      <c r="AC2484" s="351"/>
      <c r="AD2484" s="363" t="s">
        <v>1237</v>
      </c>
      <c r="AE2484" s="358"/>
      <c r="AF2484" s="359"/>
    </row>
    <row r="2485" spans="1:32" ht="12.75" customHeight="1">
      <c r="A2485" s="301"/>
      <c r="B2485" s="295"/>
      <c r="C2485" s="296"/>
      <c r="D2485" s="296"/>
      <c r="E2485" s="296"/>
      <c r="F2485" s="296"/>
      <c r="G2485" s="296"/>
      <c r="H2485" s="270"/>
      <c r="I2485" s="270"/>
      <c r="J2485" s="270"/>
      <c r="K2485" s="270"/>
      <c r="L2485" s="270"/>
      <c r="M2485" s="262"/>
      <c r="N2485" s="263"/>
      <c r="O2485" s="263"/>
      <c r="P2485" s="264"/>
      <c r="Q2485" s="139" t="str">
        <f ca="1">IF($Q2484&lt;&gt;"",IF($B2486&lt;&gt;"Missing Player",IF($Q2484="W",IF(SUM(IF($H2484&gt;$H2486,1,0),IF($I2484&gt;$I2486,1,0),IF($J2484&gt;$J2486,1,0),IF($K2484&gt;$K2486,1,0),IF($L2484&gt;$L2486,1,0))&lt;&gt;3,"Error",""),""),""),"")</f>
        <v/>
      </c>
      <c r="R2485" s="330"/>
      <c r="S2485" s="334"/>
      <c r="T2485" s="335"/>
      <c r="U2485" s="335"/>
      <c r="V2485" s="335"/>
      <c r="W2485" s="335"/>
      <c r="X2485" s="336"/>
      <c r="Y2485" s="330"/>
      <c r="Z2485" s="330"/>
      <c r="AA2485" s="330"/>
      <c r="AB2485" s="330"/>
      <c r="AC2485" s="330"/>
      <c r="AD2485" s="360"/>
      <c r="AE2485" s="361"/>
      <c r="AF2485" s="362"/>
    </row>
    <row r="2486" spans="1:32" ht="12.75" customHeight="1">
      <c r="A2486" s="300" t="str">
        <f>K2457</f>
        <v>K</v>
      </c>
      <c r="B2486" s="293" t="str">
        <f ca="1">IF(AND(OFFSET($AO$1,$L2457-1,8,1,1),$A2458&lt;&gt;"",$J2458&lt;&gt;""),CHOOSE($L2457,$AR$1,$AR$2,$AR$3,$AR$4,$AR$5,$AR$6,$AR$7,$AR$8,$AR$9,$AR$10,$AR$11,$AR$12),"")</f>
        <v/>
      </c>
      <c r="C2486" s="294"/>
      <c r="D2486" s="294"/>
      <c r="E2486" s="294"/>
      <c r="F2486" s="294"/>
      <c r="G2486" s="294"/>
      <c r="H2486" s="265"/>
      <c r="I2486" s="265"/>
      <c r="J2486" s="265"/>
      <c r="K2486" s="265"/>
      <c r="L2486" s="265" t="str">
        <f ca="1">IF(AND($B2486&lt;&gt;"",$Q2463&lt;&gt;""),IF($B2486="Missing Player",0,IF($B2484="Missing Player",11,"")),"")</f>
        <v/>
      </c>
      <c r="M2486" s="267" t="s">
        <v>1237</v>
      </c>
      <c r="N2486" s="268"/>
      <c r="O2486" s="268"/>
      <c r="P2486" s="269"/>
      <c r="Q2486" s="137" t="str">
        <f ca="1">IF($Q2484&lt;&gt;"",IF($Q2484="W","L","W"),"")</f>
        <v/>
      </c>
      <c r="R2486" s="112"/>
      <c r="S2486" s="98"/>
      <c r="T2486" s="108"/>
      <c r="U2486" s="108"/>
      <c r="V2486" s="108"/>
      <c r="W2486" s="108"/>
      <c r="X2486" s="108"/>
      <c r="Y2486" s="113"/>
      <c r="Z2486" s="113"/>
      <c r="AA2486" s="113"/>
      <c r="AB2486" s="113"/>
      <c r="AC2486" s="113"/>
      <c r="AD2486" s="107"/>
      <c r="AE2486" s="109"/>
      <c r="AF2486" s="109"/>
    </row>
    <row r="2487" spans="1:32" ht="12.75" customHeight="1">
      <c r="A2487" s="301"/>
      <c r="B2487" s="295"/>
      <c r="C2487" s="296"/>
      <c r="D2487" s="296"/>
      <c r="E2487" s="296"/>
      <c r="F2487" s="296"/>
      <c r="G2487" s="296"/>
      <c r="H2487" s="270"/>
      <c r="I2487" s="270"/>
      <c r="J2487" s="266"/>
      <c r="K2487" s="266"/>
      <c r="L2487" s="266"/>
      <c r="M2487" s="267"/>
      <c r="N2487" s="268"/>
      <c r="O2487" s="268"/>
      <c r="P2487" s="269"/>
      <c r="Q2487" s="139" t="str">
        <f ca="1">IF($Q2486&lt;&gt;"",IF($B2484&lt;&gt;"Missing Player",IF($Q2486="W",IF(SUM(IF($H2486&gt;$H2484,1,0),IF($I2486&gt;$I2484,1,0),IF($J2486&gt;$J2484,1,0),IF($K2486&gt;$K2484,1,0),IF($L2486&gt;$L2484,1,0))&lt;&gt;3,"Error",""),""),""),"")</f>
        <v/>
      </c>
      <c r="R2487" s="114"/>
      <c r="S2487" s="115"/>
      <c r="T2487" s="115"/>
      <c r="U2487" s="115"/>
      <c r="V2487" s="115"/>
      <c r="W2487" s="115"/>
      <c r="X2487" s="115"/>
      <c r="Y2487" s="114"/>
      <c r="Z2487" s="114"/>
      <c r="AA2487" s="114"/>
      <c r="AB2487" s="114"/>
      <c r="AC2487" s="114"/>
      <c r="AD2487" s="114"/>
      <c r="AE2487" s="114"/>
      <c r="AF2487" s="114"/>
    </row>
    <row r="2488" spans="1:32" ht="12.75" customHeight="1">
      <c r="B2488" s="140" t="str">
        <f ca="1">IF(ISERROR(VLOOKUP($B2463&amp;"("&amp;$B2457&amp;")",Players!$S$4:$T$132,2,FALSE)),"",VLOOKUP($B2463&amp;"("&amp;$B2457&amp;")",Players!$S$4:$T$132,2,FALSE))</f>
        <v>D1</v>
      </c>
      <c r="C2488" s="140" t="str">
        <f ca="1">IF(ISERROR(VLOOKUP($B2470&amp;"("&amp;$B2457&amp;")",Players!$S$4:$T$132,2,FALSE)),"",VLOOKUP($B2470&amp;"("&amp;$B2457&amp;")",Players!$S$4:$T$132,2,FALSE))</f>
        <v>D1</v>
      </c>
      <c r="D2488" s="141" t="str">
        <f ca="1">IF(ISERROR(VLOOKUP($B2477&amp;"("&amp;$B2457&amp;")",Players!$S$4:$T$132,2,FALSE)),"",VLOOKUP($B2477&amp;"("&amp;$B2457&amp;")",Players!$S$4:$T$132,2,FALSE))</f>
        <v>D1</v>
      </c>
      <c r="E2488" s="141" t="str">
        <f ca="1">IF(ISERROR(VLOOKUP($B2484&amp;"("&amp;$B2457&amp;")",Players!$S$4:$T$132,2,FALSE)),"",VLOOKUP($B2484&amp;"("&amp;$B2457&amp;")",Players!$S$4:$T$132,2,FALSE))</f>
        <v>D1</v>
      </c>
      <c r="F2488" s="141" t="str">
        <f ca="1">IF(ISERROR(VLOOKUP($B2465&amp;"("&amp;$K2457&amp;")",Players!$S$4:$T$132,2,FALSE)),"",VLOOKUP($B2465&amp;"("&amp;$K2457&amp;")",Players!$S$4:$T$132,2,FALSE))</f>
        <v>K1</v>
      </c>
      <c r="G2488" s="141" t="str">
        <f ca="1">IF(ISERROR(VLOOKUP($B2472&amp;"("&amp;$K2457&amp;")",Players!$S$4:$T$132,2,FALSE)),"",VLOOKUP($B2472&amp;"("&amp;$K2457&amp;")",Players!$S$4:$T$132,2,FALSE))</f>
        <v>K1</v>
      </c>
      <c r="H2488" s="141" t="str">
        <f ca="1">IF(ISERROR(VLOOKUP($B2479&amp;"("&amp;$K2457&amp;")",Players!$S$4:$T$132,2,FALSE)),"",VLOOKUP($B2479&amp;"("&amp;$K2457&amp;")",Players!$S$4:$T$132,2,FALSE))</f>
        <v>K1</v>
      </c>
      <c r="I2488" s="141" t="str">
        <f ca="1">IF(ISERROR(VLOOKUP($B2486&amp;"("&amp;$K2457&amp;")",Players!$S$4:$T$132,2,FALSE)),"",VLOOKUP($B2486&amp;"("&amp;$K2457&amp;")",Players!$S$4:$T$132,2,FALSE))</f>
        <v>K1</v>
      </c>
      <c r="Q2488" s="7"/>
      <c r="R2488" s="50"/>
      <c r="S2488" s="116"/>
      <c r="T2488" s="115"/>
      <c r="U2488" s="115"/>
      <c r="V2488" s="115"/>
      <c r="W2488" s="115"/>
      <c r="X2488" s="115"/>
      <c r="Y2488" s="99"/>
      <c r="Z2488" s="99"/>
      <c r="AA2488" s="99"/>
      <c r="AB2488" s="99"/>
      <c r="AC2488" s="117"/>
      <c r="AD2488" s="118"/>
      <c r="AE2488" s="114"/>
      <c r="AF2488" s="114"/>
    </row>
    <row r="2489" spans="1:32" ht="12.75" customHeight="1">
      <c r="A2489" s="21" t="s">
        <v>1225</v>
      </c>
      <c r="H2489" s="136" t="str">
        <f ca="1">IF($Q2491&lt;&gt;"",IF(AND($B2492&lt;&gt;"Missing Player",$B2494&lt;&gt;"Missing Player"),IF(AND(AND($H2491&gt;-1,$H2493&gt;-1),OR($H2491&gt;10,$H2493&gt;10),ABS($H2491-$H2493)&gt;1,IF(OR($H2491&gt;11,$H2493&gt;11),ABS($H2491-$H2493)=2,TRUE),$H2491=INT($H2491),$H2493=INT($H2493)),"","Error"),""),"")</f>
        <v/>
      </c>
      <c r="I2489" s="136" t="str">
        <f ca="1">IF($Q2491&lt;&gt;"",IF(AND($B2492&lt;&gt;"Missing Player",$B2494&lt;&gt;"Missing Player"),IF(AND(AND($I2491&gt;-1,$I2493&gt;-1),OR($I2491&gt;10,$I2493&gt;10),ABS($I2491-$I2493)&gt;1,IF(OR($I2491&gt;11,$I2493&gt;11),ABS($I2491-$I2493)=2,TRUE),$I2491=INT($I2491),$I2493=INT($I2493)),"","Error"),""),"")</f>
        <v/>
      </c>
      <c r="J2489" s="136" t="str">
        <f ca="1">IF($Q2491&lt;&gt;"",IF(AND($B2492&lt;&gt;"Missing Player",$B2494&lt;&gt;"Missing Player"),IF(AND(AND($J2491&gt;-1,$J2493&gt;-1),OR($J2491&gt;10,$J2493&gt;10),ABS($J2491-$J2493)&gt;1,IF(OR($J2491&gt;11,$J2493&gt;11),ABS($J2491-$J2493)=2,TRUE),$J2491=INT($J2491),$J2493=INT($J2493)),"","Error"),""),"")</f>
        <v/>
      </c>
      <c r="K2489" s="136" t="str">
        <f ca="1">IF($Q2491&lt;&gt;"",IF(AND($K2491&lt;&gt;"",$K2493&lt;&gt;""), IF(AND(AND($K2491&gt;-1,$K2493&gt;-1),OR($K2491&gt;10,$K2493&gt;10),ABS($K2491-$K2493)&gt;1,IF(OR($K2491&gt;11,$K2493&gt;11),ABS($K2491-$K2493)=2,TRUE),$K2491=INT($K2491),$K2493=INT($K2493)),"","Error"),""),"")</f>
        <v/>
      </c>
      <c r="L2489" s="136" t="str">
        <f ca="1">IF($Q2491&lt;&gt;"",IF(AND($L2491&lt;&gt;"",$L2493&lt;&gt;""), IF(AND(AND($L2491&gt;-1,$L2493&gt;-1),OR($L2491&gt;10,$L2493&gt;10),ABS($L2491-$L2493)&gt;1,IF(OR($L2491&gt;11,$L2493&gt;11),ABS($L2491-$L2493)=2,TRUE),$L2491=INT($L2491),$L2493=INT($L2493)),"","Error"),""),"")</f>
        <v/>
      </c>
      <c r="Q2489" s="7"/>
      <c r="R2489" s="114"/>
      <c r="S2489" s="115"/>
      <c r="T2489" s="115"/>
      <c r="U2489" s="115"/>
      <c r="V2489" s="115"/>
      <c r="W2489" s="115"/>
      <c r="X2489" s="115"/>
      <c r="Y2489" s="114"/>
      <c r="Z2489" s="114"/>
      <c r="AA2489" s="114"/>
      <c r="AB2489" s="114"/>
      <c r="AC2489" s="114"/>
      <c r="AD2489" s="114"/>
      <c r="AE2489" s="114"/>
      <c r="AF2489" s="114"/>
    </row>
    <row r="2490" spans="1:32" ht="12.75" customHeight="1">
      <c r="A2490" s="5" t="s">
        <v>1228</v>
      </c>
      <c r="B2490" s="290" t="s">
        <v>1126</v>
      </c>
      <c r="C2490" s="291"/>
      <c r="D2490" s="291"/>
      <c r="E2490" s="291"/>
      <c r="F2490" s="291"/>
      <c r="G2490" s="292"/>
      <c r="H2490" s="5">
        <v>1</v>
      </c>
      <c r="I2490" s="5">
        <v>2</v>
      </c>
      <c r="J2490" s="5">
        <v>3</v>
      </c>
      <c r="K2490" s="5">
        <v>4</v>
      </c>
      <c r="L2490" s="5">
        <v>5</v>
      </c>
      <c r="M2490" s="271"/>
      <c r="N2490" s="272"/>
      <c r="O2490" s="272"/>
      <c r="P2490" s="273"/>
      <c r="Q2490" s="8"/>
      <c r="S2490" s="24"/>
      <c r="T2490" s="26"/>
    </row>
    <row r="2491" spans="1:32" ht="12.75" customHeight="1">
      <c r="A2491" s="300" t="str">
        <f>B2457</f>
        <v>D</v>
      </c>
      <c r="B2491" s="311" t="str">
        <f ca="1">IF($B2463&lt;&gt;"",$B2463,"")</f>
        <v/>
      </c>
      <c r="C2491" s="312"/>
      <c r="D2491" s="312"/>
      <c r="E2491" s="312"/>
      <c r="F2491" s="312"/>
      <c r="G2491" s="313"/>
      <c r="H2491" s="265"/>
      <c r="I2491" s="265"/>
      <c r="J2491" s="265"/>
      <c r="K2491" s="265"/>
      <c r="L2491" s="265" t="str">
        <f ca="1">IF($B2484&lt;&gt;"",IF(AND($B2484="Missing Player",$G2495=2,$J2495=2),0,IF(AND($B2486="Missing Player",$G2495=2,$J2495=2),11,"")),"")</f>
        <v/>
      </c>
      <c r="M2491" s="262" t="str">
        <f ca="1">IF(OR(AND($B2491&lt;&gt;"",$B2492&lt;&gt;"",$B2491=$B2492),AND($B2493&lt;&gt;"",$B2494&lt;&gt;"",$B2493=$B2494)),"Invalid Partner","")</f>
        <v/>
      </c>
      <c r="N2491" s="263"/>
      <c r="O2491" s="263"/>
      <c r="P2491" s="264"/>
      <c r="Q2491" s="138" t="str">
        <f ca="1">IF(L2491=L2493,IF(K2491=K2493,IF(J2491&lt;&gt;"",IF(J2491&gt;J2493,"W","L"),""),IF(K2491&gt;K2493,"W","L")),IF(L2491&gt;L2493,"W","L"))</f>
        <v/>
      </c>
      <c r="S2491" s="24"/>
      <c r="T2491" s="26"/>
    </row>
    <row r="2492" spans="1:32" ht="12.75" customHeight="1">
      <c r="A2492" s="324"/>
      <c r="B2492" s="308" t="str">
        <f ca="1">IF($B2484="Missing Player",$B2484,"")</f>
        <v/>
      </c>
      <c r="C2492" s="309"/>
      <c r="D2492" s="309"/>
      <c r="E2492" s="309"/>
      <c r="F2492" s="309"/>
      <c r="G2492" s="310"/>
      <c r="H2492" s="270"/>
      <c r="I2492" s="270"/>
      <c r="J2492" s="270"/>
      <c r="K2492" s="270"/>
      <c r="L2492" s="270"/>
      <c r="M2492" s="262"/>
      <c r="N2492" s="263"/>
      <c r="O2492" s="263"/>
      <c r="P2492" s="264"/>
      <c r="Q2492" s="139" t="str">
        <f ca="1">IF($Q2491&lt;&gt;"",IF($B2494&lt;&gt;"Missing Player",IF($Q2491="W",IF(SUM(IF($H2491&gt;$H2493,1,0),IF($I2491&gt;$I2493,1,0),IF($J2491&gt;$J2493,1,0),IF($K2491&gt;$K2493,1,0),IF($L2491&gt;$L2493,1,0))&lt;&gt;3,"Error",""),""),""),"")</f>
        <v/>
      </c>
      <c r="R2492" s="328" t="str">
        <f>$A2458</f>
        <v/>
      </c>
      <c r="S2492" s="328"/>
      <c r="T2492" s="328"/>
      <c r="U2492" s="328"/>
      <c r="V2492" s="328"/>
      <c r="W2492" s="328"/>
      <c r="X2492" s="256" t="str">
        <f>CONCATENATE("(",$B2457," vs ",$K2457,")")</f>
        <v>(D vs K)</v>
      </c>
      <c r="Y2492" s="256"/>
      <c r="Z2492" s="328" t="str">
        <f>$J2458</f>
        <v/>
      </c>
      <c r="AA2492" s="328"/>
      <c r="AB2492" s="328"/>
      <c r="AC2492" s="328"/>
      <c r="AD2492" s="328"/>
      <c r="AE2492" s="328"/>
      <c r="AF2492" s="43"/>
    </row>
    <row r="2493" spans="1:32" ht="12.75" customHeight="1">
      <c r="A2493" s="325" t="str">
        <f>K2457</f>
        <v>K</v>
      </c>
      <c r="B2493" s="311" t="str">
        <f ca="1">IF($B2465&lt;&gt;"",$B2465,"")</f>
        <v/>
      </c>
      <c r="C2493" s="312"/>
      <c r="D2493" s="312"/>
      <c r="E2493" s="312"/>
      <c r="F2493" s="312"/>
      <c r="G2493" s="313"/>
      <c r="H2493" s="265"/>
      <c r="I2493" s="265"/>
      <c r="J2493" s="265"/>
      <c r="K2493" s="265"/>
      <c r="L2493" s="265" t="str">
        <f ca="1">IF($B2486&lt;&gt;"",IF(AND($B2486="Missing Player",$G2495=2,$J2495=2),0,IF(AND($B2484="Missing Player",$G2495=2,$J2495=2),11,"")),"")</f>
        <v/>
      </c>
      <c r="M2493" s="267" t="s">
        <v>1237</v>
      </c>
      <c r="N2493" s="268"/>
      <c r="O2493" s="268"/>
      <c r="P2493" s="269"/>
      <c r="Q2493" s="138" t="str">
        <f ca="1">IF(Q2491&lt;&gt;"",IF(Q2491="W","L","W"),"")</f>
        <v/>
      </c>
      <c r="R2493" s="43"/>
      <c r="S2493" s="43"/>
      <c r="T2493" s="43"/>
      <c r="U2493" s="43"/>
      <c r="V2493" s="43"/>
      <c r="W2493" s="43"/>
      <c r="X2493" s="43"/>
      <c r="Y2493" s="43"/>
      <c r="Z2493" s="43"/>
      <c r="AA2493" s="43"/>
      <c r="AB2493" s="43"/>
      <c r="AC2493" s="43"/>
      <c r="AD2493" s="43"/>
      <c r="AE2493" s="43"/>
      <c r="AF2493" s="43"/>
    </row>
    <row r="2494" spans="1:32" ht="12.75" customHeight="1">
      <c r="A2494" s="324"/>
      <c r="B2494" s="308" t="str">
        <f ca="1">IF($B2486="Missing Player",$B2486,"")</f>
        <v/>
      </c>
      <c r="C2494" s="309"/>
      <c r="D2494" s="309"/>
      <c r="E2494" s="309"/>
      <c r="F2494" s="309"/>
      <c r="G2494" s="310"/>
      <c r="H2494" s="270"/>
      <c r="I2494" s="270"/>
      <c r="J2494" s="266"/>
      <c r="K2494" s="266"/>
      <c r="L2494" s="266"/>
      <c r="M2494" s="267"/>
      <c r="N2494" s="268"/>
      <c r="O2494" s="268"/>
      <c r="P2494" s="269"/>
      <c r="Q2494" s="139" t="str">
        <f ca="1">IF($Q2493&lt;&gt;"",IF($B2492&lt;&gt;"Missing Player",IF($Q2493="W",IF(SUM(IF($H2493&gt;$H2491,1,0),IF($I2493&gt;$I2491,1,0),IF($J2493&gt;$J2491,1,0),IF($K2493&gt;$K2491,1,0),IF($L2493&gt;$L2491,1,0))&lt;&gt;3,"Error",""),""),""),"")</f>
        <v/>
      </c>
      <c r="R2494" s="43" t="str">
        <f>A2482</f>
        <v>4th Singles</v>
      </c>
      <c r="S2494" s="43"/>
      <c r="T2494" s="43"/>
      <c r="U2494" s="43"/>
      <c r="V2494" s="43"/>
      <c r="W2494" s="43"/>
      <c r="X2494" s="43"/>
      <c r="Y2494" s="43"/>
      <c r="Z2494" s="43"/>
      <c r="AA2494" s="43"/>
      <c r="AB2494" s="43"/>
      <c r="AC2494" s="43"/>
      <c r="AD2494" s="43"/>
      <c r="AE2494" s="43"/>
      <c r="AF2494" s="43"/>
    </row>
    <row r="2495" spans="1:32" ht="12.75" customHeight="1">
      <c r="G2495" s="66">
        <f ca="1">COUNTIF($Q2463:$Q2463,"W")+COUNTIF($Q2470:$Q2470,"W")+COUNTIF($Q2477:$Q2477,"W")+COUNTIF($Q2484:$Q2484,"W")</f>
        <v>0</v>
      </c>
      <c r="J2495" s="66">
        <f ca="1">COUNTIF($Q2465:$Q2465,"W")+COUNTIF($Q2472:$Q2472,"W")+COUNTIF($Q2479:$Q2479,"W")+COUNTIF($Q2486:$Q2486,"W")</f>
        <v>0</v>
      </c>
      <c r="R2495" s="60" t="s">
        <v>1228</v>
      </c>
      <c r="S2495" s="339" t="s">
        <v>1126</v>
      </c>
      <c r="T2495" s="340"/>
      <c r="U2495" s="340"/>
      <c r="V2495" s="340"/>
      <c r="W2495" s="340"/>
      <c r="X2495" s="341"/>
      <c r="Y2495" s="60">
        <v>1</v>
      </c>
      <c r="Z2495" s="60">
        <v>2</v>
      </c>
      <c r="AA2495" s="60">
        <v>3</v>
      </c>
      <c r="AB2495" s="60">
        <v>4</v>
      </c>
      <c r="AC2495" s="60">
        <v>5</v>
      </c>
      <c r="AD2495" s="342"/>
      <c r="AE2495" s="343"/>
      <c r="AF2495" s="344"/>
    </row>
    <row r="2496" spans="1:32" ht="12.75" customHeight="1" thickBot="1">
      <c r="F2496" s="246" t="s">
        <v>1238</v>
      </c>
      <c r="G2496" s="246"/>
      <c r="H2496" s="246"/>
      <c r="I2496" s="246"/>
      <c r="J2496" s="246"/>
      <c r="K2496" s="246"/>
      <c r="R2496" s="300" t="str">
        <f>B2457</f>
        <v>D</v>
      </c>
      <c r="S2496" s="331" t="str">
        <f ca="1">IF($B2484&lt;&gt;"",$B2484,"")</f>
        <v/>
      </c>
      <c r="T2496" s="353"/>
      <c r="U2496" s="353"/>
      <c r="V2496" s="353"/>
      <c r="W2496" s="353"/>
      <c r="X2496" s="354"/>
      <c r="Y2496" s="329"/>
      <c r="Z2496" s="329"/>
      <c r="AA2496" s="351"/>
      <c r="AB2496" s="351"/>
      <c r="AC2496" s="351"/>
      <c r="AD2496" s="345"/>
      <c r="AE2496" s="346"/>
      <c r="AF2496" s="347"/>
    </row>
    <row r="2497" spans="1:32" ht="12.75" customHeight="1">
      <c r="A2497" s="22"/>
      <c r="B2497" s="22"/>
      <c r="C2497" s="22"/>
      <c r="D2497" s="22"/>
      <c r="E2497" s="22"/>
      <c r="G2497" s="304" t="str">
        <f>B2457</f>
        <v>D</v>
      </c>
      <c r="H2497" s="305"/>
      <c r="I2497" s="302" t="str">
        <f>K2457</f>
        <v>K</v>
      </c>
      <c r="J2497" s="303"/>
      <c r="L2497" s="22"/>
      <c r="M2497" s="22"/>
      <c r="N2497" s="22"/>
      <c r="O2497" s="22"/>
      <c r="P2497" s="22"/>
      <c r="R2497" s="301"/>
      <c r="S2497" s="355"/>
      <c r="T2497" s="356"/>
      <c r="U2497" s="356"/>
      <c r="V2497" s="356"/>
      <c r="W2497" s="356"/>
      <c r="X2497" s="357"/>
      <c r="Y2497" s="338"/>
      <c r="Z2497" s="338"/>
      <c r="AA2497" s="352"/>
      <c r="AB2497" s="352"/>
      <c r="AC2497" s="352"/>
      <c r="AD2497" s="348"/>
      <c r="AE2497" s="349"/>
      <c r="AF2497" s="350"/>
    </row>
    <row r="2498" spans="1:32" ht="12.75" customHeight="1" thickBot="1">
      <c r="A2498" s="2" t="s">
        <v>1228</v>
      </c>
      <c r="B2498" s="53" t="str">
        <f>B2457</f>
        <v>D</v>
      </c>
      <c r="C2498" s="3" t="s">
        <v>1226</v>
      </c>
      <c r="F2498" s="66" t="str">
        <f>CONCATENATE($B2457,"-",$K2457)</f>
        <v>D-K</v>
      </c>
      <c r="G2498" s="320" t="str">
        <f ca="1">IF(OR(Q2463&lt;&gt;"",Q2470&lt;&gt;"",Q2477&lt;&gt;"",Q2484&lt;&gt;"",Q2491&lt;&gt;""),COUNTIF(Q2463:Q2463,"W")+COUNTIF(Q2470:Q2470,"W")+COUNTIF(Q2477:Q2477,"W")+COUNTIF(Q2484:Q2484,"W")+COUNTIF(Q2491:Q2491,"W"),"")</f>
        <v/>
      </c>
      <c r="H2498" s="321"/>
      <c r="I2498" s="322" t="str">
        <f ca="1">IF(OR(Q2465&lt;&gt;"",Q2472&lt;&gt;"",Q2479&lt;&gt;"",Q2486&lt;&gt;"",Q2493&lt;&gt;""),COUNTIF(Q2465:Q2465,"W")+COUNTIF(Q2472:Q2472,"W")+COUNTIF(Q2479:Q2479,"W")+COUNTIF(Q2486:Q2486,"W")+COUNTIF(Q2493:Q2493,"W"),"")</f>
        <v/>
      </c>
      <c r="J2498" s="323"/>
      <c r="L2498" s="2" t="s">
        <v>1228</v>
      </c>
      <c r="M2498" s="53" t="str">
        <f>K2457</f>
        <v>K</v>
      </c>
      <c r="N2498" s="3" t="s">
        <v>1226</v>
      </c>
      <c r="R2498" s="300" t="str">
        <f>K2457</f>
        <v>K</v>
      </c>
      <c r="S2498" s="331" t="str">
        <f ca="1">IF($B2486&lt;&gt;"",$B2486,"")</f>
        <v/>
      </c>
      <c r="T2498" s="332"/>
      <c r="U2498" s="332"/>
      <c r="V2498" s="332"/>
      <c r="W2498" s="332"/>
      <c r="X2498" s="333"/>
      <c r="Y2498" s="329"/>
      <c r="Z2498" s="329"/>
      <c r="AA2498" s="351"/>
      <c r="AB2498" s="351"/>
      <c r="AC2498" s="351"/>
      <c r="AD2498" s="363" t="s">
        <v>1237</v>
      </c>
      <c r="AE2498" s="358"/>
      <c r="AF2498" s="359"/>
    </row>
    <row r="2499" spans="1:32" ht="12.75" customHeight="1">
      <c r="F2499" s="25" t="s">
        <v>3996</v>
      </c>
      <c r="G2499" s="23"/>
      <c r="H2499" s="23"/>
      <c r="I2499" s="23"/>
      <c r="J2499" s="23"/>
      <c r="K2499" s="24"/>
      <c r="R2499" s="330"/>
      <c r="S2499" s="334"/>
      <c r="T2499" s="335"/>
      <c r="U2499" s="335"/>
      <c r="V2499" s="335"/>
      <c r="W2499" s="335"/>
      <c r="X2499" s="336"/>
      <c r="Y2499" s="330"/>
      <c r="Z2499" s="330"/>
      <c r="AA2499" s="330"/>
      <c r="AB2499" s="330"/>
      <c r="AC2499" s="330"/>
      <c r="AD2499" s="360"/>
      <c r="AE2499" s="361"/>
      <c r="AF2499" s="362"/>
    </row>
    <row r="2500" spans="1:32" ht="12.75" customHeight="1">
      <c r="R2500" s="1"/>
      <c r="S2500" s="110"/>
      <c r="T2500" s="110"/>
      <c r="U2500" s="110"/>
      <c r="V2500" s="110"/>
      <c r="W2500" s="110"/>
      <c r="X2500" s="111"/>
      <c r="Y2500" s="111"/>
      <c r="Z2500" s="111"/>
      <c r="AA2500" s="111"/>
    </row>
    <row r="2501" spans="1:32" ht="12.75" customHeight="1">
      <c r="F2501" s="246" t="s">
        <v>4929</v>
      </c>
      <c r="G2501" s="246"/>
      <c r="H2501" s="246"/>
      <c r="I2501" s="246"/>
      <c r="R2501" s="1"/>
      <c r="S2501" s="110"/>
      <c r="T2501" s="110"/>
      <c r="U2501" s="110"/>
      <c r="V2501" s="110"/>
      <c r="W2501" s="110"/>
      <c r="X2501" s="111"/>
      <c r="Y2501" s="111"/>
      <c r="Z2501" s="111"/>
      <c r="AA2501" s="111"/>
    </row>
    <row r="2502" spans="1:32" ht="12.75" customHeight="1">
      <c r="F2502" s="246" t="s">
        <v>4930</v>
      </c>
      <c r="G2502" s="246"/>
      <c r="H2502" s="246"/>
      <c r="I2502" s="246"/>
      <c r="R2502" s="1"/>
      <c r="S2502" s="110"/>
      <c r="T2502" s="110"/>
      <c r="U2502" s="110"/>
      <c r="V2502" s="110"/>
      <c r="W2502" s="110"/>
      <c r="X2502" s="111"/>
      <c r="Y2502" s="111"/>
      <c r="Z2502" s="111"/>
      <c r="AA2502" s="111"/>
    </row>
    <row r="2503" spans="1:32" ht="12.75" customHeight="1">
      <c r="K2503" s="281" t="s">
        <v>1244</v>
      </c>
      <c r="L2503" s="281"/>
      <c r="M2503" s="281"/>
      <c r="N2503" s="281"/>
      <c r="O2503" s="281"/>
      <c r="P2503" s="281"/>
      <c r="R2503" s="1"/>
      <c r="S2503" s="110"/>
      <c r="T2503" s="110"/>
      <c r="U2503" s="110"/>
      <c r="V2503" s="110"/>
      <c r="W2503" s="110"/>
      <c r="X2503" s="111"/>
      <c r="Y2503" s="111"/>
      <c r="Z2503" s="111"/>
      <c r="AA2503" s="111"/>
    </row>
    <row r="2504" spans="1:32" ht="12.75" customHeight="1">
      <c r="A2504" s="12" t="s">
        <v>1229</v>
      </c>
      <c r="B2504" s="11"/>
      <c r="C2504" s="11"/>
      <c r="D2504" s="11" t="str">
        <f>Draw!$B$1</f>
        <v>Enter Division Name</v>
      </c>
      <c r="E2504" s="11"/>
      <c r="F2504" s="7"/>
      <c r="G2504" s="6"/>
      <c r="H2504" s="7"/>
      <c r="I2504" s="11"/>
      <c r="J2504" s="11"/>
      <c r="K2504" s="11"/>
      <c r="L2504" s="11"/>
      <c r="M2504" s="281"/>
      <c r="N2504" s="281"/>
      <c r="O2504" s="281"/>
      <c r="P2504" s="281"/>
      <c r="R2504" s="1"/>
      <c r="S2504" s="110"/>
      <c r="T2504" s="110"/>
      <c r="U2504" s="110"/>
      <c r="V2504" s="110"/>
      <c r="W2504" s="110"/>
      <c r="X2504" s="111"/>
      <c r="Y2504" s="111"/>
      <c r="Z2504" s="111"/>
      <c r="AA2504" s="111"/>
    </row>
    <row r="2505" spans="1:32" ht="12.75" customHeight="1">
      <c r="A2505" s="2" t="s">
        <v>1230</v>
      </c>
      <c r="D2505" s="43" t="str">
        <f>Draw!$D$1</f>
        <v>Enter Hosting Location (City, ST)</v>
      </c>
      <c r="J2505" s="43" t="str">
        <f ca="1">$J$6</f>
        <v>[NCTTA Teams Template (v2.06).xlsx]</v>
      </c>
      <c r="R2505" s="1"/>
      <c r="S2505" s="110"/>
      <c r="T2505" s="110"/>
      <c r="U2505" s="110"/>
      <c r="V2505" s="110"/>
      <c r="W2505" s="110"/>
      <c r="X2505" s="111"/>
      <c r="Y2505" s="111"/>
      <c r="Z2505" s="111"/>
      <c r="AA2505" s="111"/>
    </row>
    <row r="2506" spans="1:32" ht="12.75" customHeight="1">
      <c r="A2506" s="2" t="s">
        <v>1231</v>
      </c>
      <c r="D2506" s="337" t="str">
        <f>Draw!$P$1</f>
        <v>Enter Date</v>
      </c>
      <c r="E2506" s="337"/>
      <c r="F2506" s="337"/>
      <c r="G2506" s="337"/>
      <c r="J2506" s="280" t="str">
        <f>CHOOSE(Draw!$T$1,"Round 9, Match 2","","","","","","","","","","Round 10, Match 5")</f>
        <v/>
      </c>
      <c r="K2506" s="280"/>
      <c r="L2506" s="280"/>
      <c r="M2506" s="276" t="str">
        <f>IF(AND($J2506&lt;&gt;"",Draw!$AC$10&lt;&gt;"",Draw!$AC$13&lt;&gt;""),Draw!$AC$10+TIME(0,VALUE(MID($J2506,7,FIND(",",$J2506)-FIND(" ",$J2506)-1)-1)*Draw!$AC$13,0),"")</f>
        <v/>
      </c>
      <c r="N2506" s="276"/>
      <c r="O2506" s="157" t="str">
        <f>$F2549</f>
        <v>D-L</v>
      </c>
      <c r="R2506" s="1"/>
      <c r="S2506" s="110"/>
      <c r="T2506" s="110"/>
      <c r="U2506" s="110"/>
      <c r="V2506" s="110"/>
      <c r="W2506" s="110"/>
      <c r="X2506" s="111"/>
      <c r="Y2506" s="111"/>
      <c r="Z2506" s="111"/>
      <c r="AA2506" s="111"/>
    </row>
    <row r="2507" spans="1:32" ht="12.75" customHeight="1">
      <c r="A2507" s="14"/>
      <c r="B2507" s="15"/>
      <c r="C2507" s="15"/>
      <c r="D2507" s="15"/>
      <c r="E2507" s="15"/>
      <c r="F2507" s="14"/>
      <c r="G2507" s="14"/>
      <c r="H2507" s="16"/>
      <c r="I2507" s="14"/>
      <c r="J2507" s="15"/>
      <c r="K2507" s="15"/>
      <c r="L2507" s="15"/>
      <c r="M2507" s="15"/>
      <c r="N2507" s="15"/>
      <c r="O2507" s="364" t="str">
        <f>IF(OR(AND(VLOOKUP($B2508,$AM$1:$AX$12,12,FALSE)="C",VLOOKUP($K2508,$AM$1:$AX$12,12,FALSE)="C"),AND(VLOOKUP($B2508,$AM$1:$AX$12,12,FALSE)="W",VLOOKUP($K2508,$AM$1:$AX$12,12,FALSE)="W")),"Official",IF(AND($A2509="",$J2509=""),"","Scrimmage"))</f>
        <v/>
      </c>
      <c r="P2507" s="364"/>
      <c r="R2507" s="1"/>
      <c r="S2507" s="110"/>
      <c r="T2507" s="110"/>
      <c r="U2507" s="110"/>
      <c r="V2507" s="110"/>
      <c r="W2507" s="110"/>
      <c r="X2507" s="111"/>
      <c r="Y2507" s="111"/>
      <c r="Z2507" s="111"/>
      <c r="AA2507" s="111"/>
    </row>
    <row r="2508" spans="1:32" ht="12.75" customHeight="1">
      <c r="A2508" s="17" t="s">
        <v>1228</v>
      </c>
      <c r="B2508" s="119" t="str">
        <f>CHOOSE(Draw!$T$1,"C","D","D","E","F","F","F","F","E","C","H")</f>
        <v>D</v>
      </c>
      <c r="C2508" s="135">
        <f>VLOOKUP($B2508,$AM$1:$AN$12,2)</f>
        <v>4</v>
      </c>
      <c r="D2508" s="13"/>
      <c r="E2508" s="13"/>
      <c r="F2508" s="10"/>
      <c r="H2508" s="19" t="s">
        <v>1232</v>
      </c>
      <c r="J2508" s="17" t="s">
        <v>1228</v>
      </c>
      <c r="K2508" s="119" t="str">
        <f>CHOOSE(Draw!$T$1,"E","H","L","K","K","K","K","J","K","K","I")</f>
        <v>L</v>
      </c>
      <c r="L2508" s="135">
        <f>VLOOKUP($K2508,$AM$1:$AN$12,2)</f>
        <v>12</v>
      </c>
      <c r="M2508" s="13"/>
      <c r="N2508" s="13"/>
      <c r="O2508" s="18"/>
      <c r="P2508" s="274"/>
      <c r="Q2508" s="275"/>
      <c r="R2508" s="1"/>
      <c r="S2508" s="110"/>
      <c r="T2508" s="110"/>
      <c r="U2508" s="110"/>
      <c r="V2508" s="110"/>
      <c r="W2508" s="110"/>
      <c r="X2508" s="111"/>
      <c r="Y2508" s="111"/>
      <c r="Z2508" s="111"/>
      <c r="AA2508" s="111"/>
    </row>
    <row r="2509" spans="1:32" ht="12.75" customHeight="1">
      <c r="A2509" s="277" t="str">
        <f>IF(VLOOKUP($B2508,Draw!$A$4:$B$27,2)&lt;&gt;0,VLOOKUP($B2508,Draw!$A$4:$B$27,2),"")</f>
        <v/>
      </c>
      <c r="B2509" s="278"/>
      <c r="C2509" s="278"/>
      <c r="D2509" s="278"/>
      <c r="E2509" s="278"/>
      <c r="F2509" s="279"/>
      <c r="G2509" s="306" t="s">
        <v>4201</v>
      </c>
      <c r="H2509" s="289"/>
      <c r="I2509" s="307"/>
      <c r="J2509" s="277" t="str">
        <f>IF(VLOOKUP($K2508,Draw!$A$4:$B$27,2)&lt;&gt;0,VLOOKUP($K2508,Draw!$A$4:$B$27,2),"")</f>
        <v/>
      </c>
      <c r="K2509" s="278"/>
      <c r="L2509" s="278"/>
      <c r="M2509" s="278"/>
      <c r="N2509" s="278"/>
      <c r="O2509" s="279"/>
      <c r="P2509" s="15"/>
      <c r="R2509" s="1"/>
      <c r="S2509" s="110"/>
      <c r="T2509" s="110"/>
      <c r="U2509" s="110"/>
      <c r="V2509" s="110"/>
      <c r="W2509" s="110"/>
      <c r="X2509" s="111"/>
      <c r="Y2509" s="111"/>
      <c r="Z2509" s="111"/>
      <c r="AA2509" s="111"/>
    </row>
    <row r="2510" spans="1:32" ht="12.75" customHeight="1">
      <c r="A2510" s="14"/>
      <c r="B2510" s="15"/>
      <c r="C2510" s="15"/>
      <c r="D2510" s="15"/>
      <c r="E2510" s="15"/>
      <c r="F2510" s="14"/>
      <c r="G2510" s="288" t="str">
        <f>"Page "&amp;VALUE(RIGHT($G2509,LEN($G2509)-SEARCH("-",$G2509)))/2</f>
        <v>Page 50</v>
      </c>
      <c r="H2510" s="289"/>
      <c r="I2510" s="289"/>
      <c r="J2510" s="15"/>
      <c r="K2510" s="15"/>
      <c r="L2510" s="15"/>
      <c r="M2510" s="15"/>
      <c r="N2510" s="15"/>
      <c r="O2510" s="15"/>
      <c r="P2510" s="15"/>
      <c r="R2510" s="1"/>
      <c r="S2510" s="110"/>
      <c r="T2510" s="110"/>
      <c r="U2510" s="110"/>
      <c r="V2510" s="110"/>
      <c r="W2510" s="110"/>
      <c r="X2510" s="111"/>
      <c r="Y2510" s="111"/>
      <c r="Z2510" s="111"/>
      <c r="AA2510" s="111"/>
      <c r="AF2510" s="27"/>
    </row>
    <row r="2511" spans="1:32" ht="12.75" customHeight="1">
      <c r="A2511" s="327" t="s">
        <v>1245</v>
      </c>
      <c r="B2511" s="327"/>
      <c r="C2511" s="327"/>
      <c r="D2511" s="327"/>
      <c r="E2511" s="327"/>
      <c r="F2511" s="327"/>
      <c r="G2511" s="327"/>
      <c r="H2511" s="327"/>
      <c r="I2511" s="327"/>
      <c r="J2511" s="327"/>
      <c r="K2511" s="327"/>
      <c r="L2511" s="327"/>
      <c r="M2511" s="327"/>
      <c r="N2511" s="327"/>
      <c r="O2511" s="327"/>
      <c r="P2511" s="327"/>
      <c r="Q2511" s="7"/>
      <c r="R2511" s="1"/>
      <c r="S2511" s="110"/>
      <c r="T2511" s="110"/>
      <c r="U2511" s="110"/>
      <c r="V2511" s="110"/>
      <c r="W2511" s="110"/>
      <c r="X2511" s="111"/>
      <c r="Y2511" s="111"/>
      <c r="Z2511" s="111"/>
      <c r="AA2511" s="111"/>
      <c r="AF2511" s="20"/>
    </row>
    <row r="2512" spans="1:32" ht="12.75" customHeight="1">
      <c r="A2512" s="21" t="s">
        <v>1233</v>
      </c>
      <c r="H2512" s="136" t="str">
        <f>IF($Q2514&lt;&gt;"",IF(AND(AND($H2514&gt;-1,$H2516&gt;-1),OR($H2514&gt;10,$H2516&gt;10),ABS($H2514-$H2516)&gt;1,IF(OR($H2514&gt;11,$H2516&gt;11),ABS($H2514-$H2516)=2,TRUE),$H2514=INT($H2514),$H2516=INT($H2516)),"","Error"),"")</f>
        <v/>
      </c>
      <c r="I2512" s="136" t="str">
        <f>IF($Q2514&lt;&gt;"",IF(AND(AND($I2514&gt;-1,$I2516&gt;-1),OR($I2514&gt;10,$I2516&gt;10),ABS($I2514-$I2516)&gt;1,IF(OR($I2514&gt;11,$I2516&gt;11),ABS($I2514-$I2516)=2,TRUE),$I2514=INT($I2514),$I2516=INT($I2516)),"","Error"),"")</f>
        <v/>
      </c>
      <c r="J2512" s="136" t="str">
        <f>IF($Q2514&lt;&gt;"",IF(AND(AND($J2514&gt;-1,$J2516&gt;-1),OR($J2514&gt;10,$J2516&gt;10),ABS($J2514-$J2516)&gt;1,IF(OR($J2514&gt;11,$J2516&gt;11),ABS($J2514-$J2516)=2,TRUE),$J2514=INT($J2514),$J2516=INT($J2516)),"","Error"),"")</f>
        <v/>
      </c>
      <c r="K2512" s="136" t="str">
        <f>IF($Q2514&lt;&gt;"",IF(AND($K2514&lt;&gt;"",$K2516&lt;&gt;""), IF(AND(AND($K2514&gt;-1,$K2516&gt;-1),OR($K2514&gt;10,$K2516&gt;10),ABS($K2514-$K2516)&gt;1,IF(OR($K2514&gt;11,$K2516&gt;11),ABS($K2514-$K2516)=2,TRUE),$K2514=INT($K2514),$K2516=INT($K2516)),"","Error"),""),"")</f>
        <v/>
      </c>
      <c r="L2512" s="136" t="str">
        <f>IF($Q2514&lt;&gt;"",IF(AND($L2514&lt;&gt;"",$L2516&lt;&gt;""), IF(AND(AND($L2514&gt;-1,$L2516&gt;-1),OR($L2514&gt;10,$L2516&gt;10),ABS($L2514-$L2516)&gt;1,IF(OR($L2514&gt;11,$L2516&gt;11),ABS($L2514-$L2516)=2,TRUE),$L2514=INT($L2514),$L2516=INT($L2516)),"","Error"),""),"")</f>
        <v/>
      </c>
      <c r="R2512" s="1"/>
      <c r="S2512" s="110"/>
      <c r="T2512" s="110"/>
      <c r="U2512" s="110"/>
      <c r="V2512" s="110"/>
      <c r="W2512" s="110"/>
      <c r="X2512" s="111"/>
      <c r="Y2512" s="111"/>
      <c r="Z2512" s="111"/>
      <c r="AA2512" s="111"/>
    </row>
    <row r="2513" spans="1:32" ht="12.75" customHeight="1">
      <c r="A2513" s="5" t="s">
        <v>1228</v>
      </c>
      <c r="B2513" s="290" t="s">
        <v>1126</v>
      </c>
      <c r="C2513" s="291"/>
      <c r="D2513" s="291"/>
      <c r="E2513" s="291"/>
      <c r="F2513" s="291"/>
      <c r="G2513" s="292"/>
      <c r="H2513" s="5">
        <v>1</v>
      </c>
      <c r="I2513" s="5">
        <v>2</v>
      </c>
      <c r="J2513" s="5">
        <v>3</v>
      </c>
      <c r="K2513" s="5">
        <v>4</v>
      </c>
      <c r="L2513" s="5">
        <v>5</v>
      </c>
      <c r="M2513" s="271"/>
      <c r="N2513" s="272"/>
      <c r="O2513" s="272"/>
      <c r="P2513" s="273"/>
      <c r="R2513" s="1"/>
      <c r="S2513" s="110"/>
      <c r="T2513" s="110"/>
      <c r="U2513" s="110"/>
      <c r="V2513" s="110"/>
      <c r="W2513" s="110"/>
      <c r="X2513" s="111"/>
      <c r="Y2513" s="111"/>
      <c r="Z2513" s="111"/>
      <c r="AA2513" s="111"/>
    </row>
    <row r="2514" spans="1:32" ht="12.75" customHeight="1">
      <c r="A2514" s="300" t="str">
        <f>B2508</f>
        <v>D</v>
      </c>
      <c r="B2514" s="293" t="str">
        <f ca="1">IF(AND(OFFSET($AO$1,$C2508-1,8,1,1),$A2509&lt;&gt;"",$J2509&lt;&gt;""),CHOOSE($C2508,$AO$1,$AO$2,$AO$3,$AO$4,$AO$5,$AO$6,$AO$7,$AO$8,$AO$9,$AO$10,$AO$11,$AO$12),"")</f>
        <v/>
      </c>
      <c r="C2514" s="294"/>
      <c r="D2514" s="294"/>
      <c r="E2514" s="294"/>
      <c r="F2514" s="294"/>
      <c r="G2514" s="294"/>
      <c r="H2514" s="265"/>
      <c r="I2514" s="265"/>
      <c r="J2514" s="265"/>
      <c r="K2514" s="265"/>
      <c r="L2514" s="265"/>
      <c r="M2514" s="297"/>
      <c r="N2514" s="298"/>
      <c r="O2514" s="298"/>
      <c r="P2514" s="299"/>
      <c r="Q2514" s="137" t="str">
        <f>IF($L2514=$L2516,IF($K2514=$K2516,IF($J2514&lt;&gt;"",IF($J2514&gt;$J2516,"W","L"),""),IF($K2514&gt;$K2516,"W","L")),IF($L2514&gt;$L2516,"W","L"))</f>
        <v/>
      </c>
      <c r="R2514" s="1"/>
      <c r="S2514" s="110"/>
      <c r="T2514" s="110"/>
      <c r="U2514" s="110"/>
      <c r="V2514" s="110"/>
      <c r="W2514" s="110"/>
      <c r="X2514" s="111"/>
      <c r="Y2514" s="111"/>
      <c r="Z2514" s="111"/>
      <c r="AA2514" s="111"/>
    </row>
    <row r="2515" spans="1:32" ht="12.75" customHeight="1">
      <c r="A2515" s="301"/>
      <c r="B2515" s="295"/>
      <c r="C2515" s="296"/>
      <c r="D2515" s="296"/>
      <c r="E2515" s="296"/>
      <c r="F2515" s="296"/>
      <c r="G2515" s="296"/>
      <c r="H2515" s="270"/>
      <c r="I2515" s="270"/>
      <c r="J2515" s="270"/>
      <c r="K2515" s="270"/>
      <c r="L2515" s="270"/>
      <c r="M2515" s="297"/>
      <c r="N2515" s="298"/>
      <c r="O2515" s="298"/>
      <c r="P2515" s="299"/>
      <c r="Q2515" s="139" t="str">
        <f>IF($Q2514&lt;&gt;"",IF($Q2514="W",IF(SUM(IF($H2514&gt;$H2516,1,0),IF($I2514&gt;$I2516,1,0),IF($J2514&gt;$J2516,1,0),IF($K2514&gt;$K2516,1,0),IF($L2514&gt;$L2516,1,0))&lt;&gt;3,"Error",""),""),"")</f>
        <v/>
      </c>
      <c r="R2515" s="328" t="str">
        <f>$A2509</f>
        <v/>
      </c>
      <c r="S2515" s="328"/>
      <c r="T2515" s="328"/>
      <c r="U2515" s="328"/>
      <c r="V2515" s="328"/>
      <c r="W2515" s="328"/>
      <c r="X2515" s="256" t="str">
        <f>CONCATENATE("(",$B2508," vs ",$K2508,")")</f>
        <v>(D vs L)</v>
      </c>
      <c r="Y2515" s="256"/>
      <c r="Z2515" s="328" t="str">
        <f>$J2509</f>
        <v/>
      </c>
      <c r="AA2515" s="328"/>
      <c r="AB2515" s="328"/>
      <c r="AC2515" s="328"/>
      <c r="AD2515" s="328"/>
      <c r="AE2515" s="328"/>
      <c r="AF2515" s="43"/>
    </row>
    <row r="2516" spans="1:32" ht="12.75" customHeight="1">
      <c r="A2516" s="300" t="str">
        <f>K2508</f>
        <v>L</v>
      </c>
      <c r="B2516" s="293" t="str">
        <f ca="1">IF(AND(OFFSET($AO$1,$L2508-1,8,1,1),$A2509&lt;&gt;"",$J2509&lt;&gt;""),CHOOSE($L2508,$AO$1,$AO$2,$AO$3,$AO$4,$AO$5,$AO$6,$AO$7,$AO$8,$AO$9,$AO$10,$AO$11,$AO$12),"")</f>
        <v/>
      </c>
      <c r="C2516" s="294"/>
      <c r="D2516" s="294"/>
      <c r="E2516" s="294"/>
      <c r="F2516" s="294"/>
      <c r="G2516" s="294"/>
      <c r="H2516" s="265"/>
      <c r="I2516" s="265"/>
      <c r="J2516" s="265"/>
      <c r="K2516" s="265"/>
      <c r="L2516" s="265"/>
      <c r="M2516" s="267" t="s">
        <v>1237</v>
      </c>
      <c r="N2516" s="268"/>
      <c r="O2516" s="268"/>
      <c r="P2516" s="269"/>
      <c r="Q2516" s="137" t="str">
        <f>IF($Q2514&lt;&gt;"",IF($Q2514="W","L","W"),"")</f>
        <v/>
      </c>
      <c r="R2516" s="43"/>
      <c r="S2516" s="43"/>
      <c r="T2516" s="43"/>
      <c r="U2516" s="43"/>
      <c r="V2516" s="43"/>
      <c r="W2516" s="43"/>
      <c r="X2516" s="43"/>
      <c r="Y2516" s="43"/>
      <c r="Z2516" s="43"/>
      <c r="AA2516" s="43"/>
      <c r="AB2516" s="43"/>
      <c r="AC2516" s="43"/>
      <c r="AD2516" s="43"/>
      <c r="AE2516" s="43"/>
      <c r="AF2516" s="43"/>
    </row>
    <row r="2517" spans="1:32" ht="12.75" customHeight="1">
      <c r="A2517" s="301"/>
      <c r="B2517" s="295"/>
      <c r="C2517" s="296"/>
      <c r="D2517" s="296"/>
      <c r="E2517" s="296"/>
      <c r="F2517" s="296"/>
      <c r="G2517" s="296"/>
      <c r="H2517" s="270"/>
      <c r="I2517" s="270"/>
      <c r="J2517" s="266"/>
      <c r="K2517" s="266"/>
      <c r="L2517" s="266"/>
      <c r="M2517" s="267"/>
      <c r="N2517" s="268"/>
      <c r="O2517" s="268"/>
      <c r="P2517" s="269"/>
      <c r="Q2517" s="139" t="str">
        <f>IF($Q2516&lt;&gt;"",IF($Q2516="W",IF(SUM(IF($H2516&gt;$H2514,1,0),IF($I2516&gt;$I2514,1,0),IF($J2516&gt;$J2514,1,0),IF($K2516&gt;$K2514,1,0),IF($L2516&gt;$L2514,1,0))&lt;&gt;3,"Error",""),""),"")</f>
        <v/>
      </c>
      <c r="R2517" s="43" t="str">
        <f>$A2519</f>
        <v>2nd Singles</v>
      </c>
      <c r="S2517" s="43"/>
      <c r="T2517" s="43"/>
      <c r="U2517" s="43"/>
      <c r="V2517" s="43"/>
      <c r="W2517" s="43"/>
      <c r="X2517" s="43"/>
      <c r="Y2517" s="43"/>
      <c r="Z2517" s="43"/>
      <c r="AA2517" s="43"/>
      <c r="AB2517" s="43"/>
      <c r="AC2517" s="43"/>
      <c r="AD2517" s="43"/>
      <c r="AE2517" s="43"/>
      <c r="AF2517" s="43"/>
    </row>
    <row r="2518" spans="1:32" ht="12.75" customHeight="1">
      <c r="Q2518" s="7"/>
      <c r="R2518" s="60" t="s">
        <v>1228</v>
      </c>
      <c r="S2518" s="339" t="s">
        <v>1126</v>
      </c>
      <c r="T2518" s="340"/>
      <c r="U2518" s="340"/>
      <c r="V2518" s="340"/>
      <c r="W2518" s="340"/>
      <c r="X2518" s="341"/>
      <c r="Y2518" s="60">
        <v>1</v>
      </c>
      <c r="Z2518" s="60">
        <v>2</v>
      </c>
      <c r="AA2518" s="60">
        <v>3</v>
      </c>
      <c r="AB2518" s="60">
        <v>4</v>
      </c>
      <c r="AC2518" s="60">
        <v>5</v>
      </c>
      <c r="AD2518" s="342"/>
      <c r="AE2518" s="343"/>
      <c r="AF2518" s="344"/>
    </row>
    <row r="2519" spans="1:32" ht="12.75" customHeight="1">
      <c r="A2519" s="21" t="s">
        <v>1234</v>
      </c>
      <c r="H2519" s="136" t="str">
        <f>IF($Q2521&lt;&gt;"",IF(AND(AND($H2521&gt;-1,$H2523&gt;-1),OR($H2521&gt;10,$H2523&gt;10),ABS($H2521-$H2523)&gt;1,IF(OR($H2521&gt;11,$H2523&gt;11),ABS($H2521-$H2523)=2,TRUE),$H2521=INT($H2521),$H2523=INT($H2523)),"","Error"),"")</f>
        <v/>
      </c>
      <c r="I2519" s="136" t="str">
        <f>IF($Q2521&lt;&gt;"",IF(AND(AND($I2521&gt;-1,$I2523&gt;-1),OR($I2521&gt;10,$I2523&gt;10),ABS($I2521-$I2523)&gt;1,IF(OR($I2521&gt;11,$I2523&gt;11),ABS($I2521-$I2523)=2,TRUE),$I2521=INT($I2521),$I2523=INT($I2523)),"","Error"),"")</f>
        <v/>
      </c>
      <c r="J2519" s="136" t="str">
        <f>IF($Q2521&lt;&gt;"",IF(AND(AND($J2521&gt;-1,$J2523&gt;-1),OR($J2521&gt;10,$J2523&gt;10),ABS($J2521-$J2523)&gt;1,IF(OR($J2521&gt;11,$J2523&gt;11),ABS($J2521-$J2523)=2,TRUE),$J2521=INT($J2521),$J2523=INT($J2523)),"","Error"),"")</f>
        <v/>
      </c>
      <c r="K2519" s="136" t="str">
        <f>IF($Q2521&lt;&gt;"",IF(AND($K2521&lt;&gt;"",$K2523&lt;&gt;""), IF(AND(AND($K2521&gt;-1,$K2523&gt;-1),OR($K2521&gt;10,$K2523&gt;10),ABS($K2521-$K2523)&gt;1,IF(OR($K2521&gt;11,$K2523&gt;11),ABS($K2521-$K2523)=2,TRUE),$K2521=INT($K2521),$K2523=INT($K2523)),"","Error"),""),"")</f>
        <v/>
      </c>
      <c r="L2519" s="136" t="str">
        <f>IF($Q2521&lt;&gt;"",IF(AND($L2521&lt;&gt;"",$L2523&lt;&gt;""), IF(AND(AND($L2521&gt;-1,$L2523&gt;-1),OR($L2521&gt;10,$L2523&gt;10),ABS($L2521-$L2523)&gt;1,IF(OR($L2521&gt;11,$L2523&gt;11),ABS($L2521-$L2523)=2,TRUE),$L2521=INT($L2521),$L2523=INT($L2523)),"","Error"),""),"")</f>
        <v/>
      </c>
      <c r="Q2519" s="7"/>
      <c r="R2519" s="300" t="str">
        <f>$B2508</f>
        <v>D</v>
      </c>
      <c r="S2519" s="331" t="str">
        <f ca="1">IF($B2521&lt;&gt;"",$B2521,"")</f>
        <v/>
      </c>
      <c r="T2519" s="332"/>
      <c r="U2519" s="332"/>
      <c r="V2519" s="332"/>
      <c r="W2519" s="332"/>
      <c r="X2519" s="333"/>
      <c r="Y2519" s="329"/>
      <c r="Z2519" s="329"/>
      <c r="AA2519" s="329"/>
      <c r="AB2519" s="329"/>
      <c r="AC2519" s="329"/>
      <c r="AD2519" s="345"/>
      <c r="AE2519" s="358"/>
      <c r="AF2519" s="359"/>
    </row>
    <row r="2520" spans="1:32" ht="12.75" customHeight="1">
      <c r="A2520" s="5" t="s">
        <v>1228</v>
      </c>
      <c r="B2520" s="290" t="s">
        <v>1126</v>
      </c>
      <c r="C2520" s="291"/>
      <c r="D2520" s="291"/>
      <c r="E2520" s="291"/>
      <c r="F2520" s="291"/>
      <c r="G2520" s="292"/>
      <c r="H2520" s="5">
        <v>1</v>
      </c>
      <c r="I2520" s="5">
        <v>2</v>
      </c>
      <c r="J2520" s="5">
        <v>3</v>
      </c>
      <c r="K2520" s="5">
        <v>4</v>
      </c>
      <c r="L2520" s="5">
        <v>5</v>
      </c>
      <c r="M2520" s="271"/>
      <c r="N2520" s="272"/>
      <c r="O2520" s="272"/>
      <c r="P2520" s="273"/>
      <c r="Q2520" s="7"/>
      <c r="R2520" s="330"/>
      <c r="S2520" s="334"/>
      <c r="T2520" s="335"/>
      <c r="U2520" s="335"/>
      <c r="V2520" s="335"/>
      <c r="W2520" s="335"/>
      <c r="X2520" s="336"/>
      <c r="Y2520" s="330"/>
      <c r="Z2520" s="330"/>
      <c r="AA2520" s="330"/>
      <c r="AB2520" s="330"/>
      <c r="AC2520" s="330"/>
      <c r="AD2520" s="360"/>
      <c r="AE2520" s="361"/>
      <c r="AF2520" s="362"/>
    </row>
    <row r="2521" spans="1:32" ht="12.75" customHeight="1">
      <c r="A2521" s="300" t="str">
        <f>B2508</f>
        <v>D</v>
      </c>
      <c r="B2521" s="293" t="str">
        <f ca="1">IF(AND(OFFSET($AO$1,$C2508-1,8,1,1),$A2509&lt;&gt;"",$J2509&lt;&gt;""),CHOOSE($C2508,$AP$1,$AP$2,$AP$3,$AP$4,$AP$5,$AP$6,$AP$7,$AP$8,$AP$9,$AP$10,$AP$11,$AP$12),"")</f>
        <v/>
      </c>
      <c r="C2521" s="294"/>
      <c r="D2521" s="294"/>
      <c r="E2521" s="294"/>
      <c r="F2521" s="294"/>
      <c r="G2521" s="294"/>
      <c r="H2521" s="265"/>
      <c r="I2521" s="265"/>
      <c r="J2521" s="265"/>
      <c r="K2521" s="265"/>
      <c r="L2521" s="265"/>
      <c r="M2521" s="262" t="str">
        <f ca="1">IF(OR(AND($B2514&lt;&gt;"",$B2521&lt;&gt;"",$C2539&lt;=$B2539),AND($B2516&lt;&gt;"",$B2523&lt;&gt;"",$G2539&lt;=$F2539)),"Invalid Lineup","")</f>
        <v/>
      </c>
      <c r="N2521" s="263"/>
      <c r="O2521" s="263"/>
      <c r="P2521" s="264"/>
      <c r="Q2521" s="137" t="str">
        <f>IF($L2521=$L2523,IF($K2521=$K2523,IF($J2521&lt;&gt;"",IF($J2521&gt;$J2523,"W","L"),""),IF($K2521&gt;$K2523,"W","L")),IF($L2521&gt;$L2523,"W","L"))</f>
        <v/>
      </c>
      <c r="R2521" s="300" t="str">
        <f>$K2508</f>
        <v>L</v>
      </c>
      <c r="S2521" s="331" t="str">
        <f ca="1">IF($B2523&lt;&gt;"",$B2523,"")</f>
        <v/>
      </c>
      <c r="T2521" s="332"/>
      <c r="U2521" s="332"/>
      <c r="V2521" s="332"/>
      <c r="W2521" s="332"/>
      <c r="X2521" s="333"/>
      <c r="Y2521" s="329"/>
      <c r="Z2521" s="329"/>
      <c r="AA2521" s="329"/>
      <c r="AB2521" s="329"/>
      <c r="AC2521" s="351"/>
      <c r="AD2521" s="363" t="s">
        <v>1237</v>
      </c>
      <c r="AE2521" s="358"/>
      <c r="AF2521" s="359"/>
    </row>
    <row r="2522" spans="1:32" ht="12.75" customHeight="1">
      <c r="A2522" s="301"/>
      <c r="B2522" s="295"/>
      <c r="C2522" s="296"/>
      <c r="D2522" s="296"/>
      <c r="E2522" s="296"/>
      <c r="F2522" s="296"/>
      <c r="G2522" s="296"/>
      <c r="H2522" s="270"/>
      <c r="I2522" s="270"/>
      <c r="J2522" s="270"/>
      <c r="K2522" s="270"/>
      <c r="L2522" s="270"/>
      <c r="M2522" s="262"/>
      <c r="N2522" s="263"/>
      <c r="O2522" s="263"/>
      <c r="P2522" s="264"/>
      <c r="Q2522" s="139" t="str">
        <f>IF($Q2521&lt;&gt;"",IF($Q2521="W",IF(SUM(IF($H2521&gt;$H2523,1,0),IF($I2521&gt;$I2523,1,0),IF($J2521&gt;$J2523,1,0),IF($K2521&gt;$K2523,1,0),IF($L2521&gt;$L2523,1,0))&lt;&gt;3,"Error",""),""),"")</f>
        <v/>
      </c>
      <c r="R2522" s="330"/>
      <c r="S2522" s="334"/>
      <c r="T2522" s="335"/>
      <c r="U2522" s="335"/>
      <c r="V2522" s="335"/>
      <c r="W2522" s="335"/>
      <c r="X2522" s="336"/>
      <c r="Y2522" s="330"/>
      <c r="Z2522" s="330"/>
      <c r="AA2522" s="330"/>
      <c r="AB2522" s="330"/>
      <c r="AC2522" s="330"/>
      <c r="AD2522" s="360"/>
      <c r="AE2522" s="361"/>
      <c r="AF2522" s="362"/>
    </row>
    <row r="2523" spans="1:32" ht="12.75" customHeight="1">
      <c r="A2523" s="300" t="str">
        <f>K2508</f>
        <v>L</v>
      </c>
      <c r="B2523" s="293" t="str">
        <f ca="1">IF(AND(OFFSET($AO$1,$L2508-1,8,1,1),$A2509&lt;&gt;"",$J2509&lt;&gt;""),CHOOSE($L2508,$AP$1,$AP$2,$AP$3,$AP$4,$AP$5,$AP$6,$AP$7,$AP$8,$AP$9,$AP$10,$AP$11,$AP$12),"")</f>
        <v/>
      </c>
      <c r="C2523" s="294"/>
      <c r="D2523" s="294"/>
      <c r="E2523" s="294"/>
      <c r="F2523" s="294"/>
      <c r="G2523" s="294"/>
      <c r="H2523" s="265"/>
      <c r="I2523" s="265"/>
      <c r="J2523" s="265"/>
      <c r="K2523" s="265"/>
      <c r="L2523" s="265"/>
      <c r="M2523" s="267" t="s">
        <v>1237</v>
      </c>
      <c r="N2523" s="268"/>
      <c r="O2523" s="268"/>
      <c r="P2523" s="269"/>
      <c r="Q2523" s="137" t="str">
        <f>IF($Q2521&lt;&gt;"",IF($Q2521="W","L","W"),"")</f>
        <v/>
      </c>
      <c r="R2523" s="20"/>
      <c r="S2523" s="20"/>
      <c r="T2523" s="20"/>
      <c r="U2523" s="20"/>
      <c r="V2523" s="20"/>
      <c r="W2523" s="20"/>
      <c r="X2523" s="26"/>
      <c r="Y2523" s="26"/>
      <c r="Z2523" s="20"/>
      <c r="AA2523" s="20"/>
      <c r="AB2523" s="20"/>
      <c r="AC2523" s="20"/>
      <c r="AD2523" s="20"/>
      <c r="AE2523" s="20"/>
      <c r="AF2523" s="27"/>
    </row>
    <row r="2524" spans="1:32" ht="12.75" customHeight="1">
      <c r="A2524" s="301"/>
      <c r="B2524" s="295"/>
      <c r="C2524" s="296"/>
      <c r="D2524" s="296"/>
      <c r="E2524" s="296"/>
      <c r="F2524" s="296"/>
      <c r="G2524" s="296"/>
      <c r="H2524" s="270"/>
      <c r="I2524" s="270"/>
      <c r="J2524" s="266"/>
      <c r="K2524" s="266"/>
      <c r="L2524" s="266"/>
      <c r="M2524" s="267"/>
      <c r="N2524" s="268"/>
      <c r="O2524" s="268"/>
      <c r="P2524" s="269"/>
      <c r="Q2524" s="139" t="str">
        <f>IF($Q2523&lt;&gt;"",IF($Q2523="W",IF(SUM(IF($H2523&gt;$H2521,1,0),IF($I2523&gt;$I2521,1,0),IF($J2523&gt;$J2521,1,0),IF($K2523&gt;$K2521,1,0),IF($L2523&gt;$L2521,1,0))&lt;&gt;3,"Error",""),""),"")</f>
        <v/>
      </c>
      <c r="R2524" s="20"/>
      <c r="S2524" s="20"/>
      <c r="T2524" s="20"/>
      <c r="U2524" s="20"/>
      <c r="V2524" s="20"/>
      <c r="W2524" s="20"/>
      <c r="X2524" s="26"/>
      <c r="Y2524" s="26"/>
      <c r="Z2524" s="20"/>
      <c r="AA2524" s="20"/>
      <c r="AB2524" s="20"/>
      <c r="AC2524" s="20"/>
      <c r="AD2524" s="20"/>
      <c r="AE2524" s="20"/>
      <c r="AF2524" s="27"/>
    </row>
    <row r="2525" spans="1:32" ht="12.75" customHeight="1">
      <c r="Q2525" s="7"/>
      <c r="R2525" s="20"/>
      <c r="S2525" s="20"/>
      <c r="T2525" s="20"/>
      <c r="U2525" s="20"/>
      <c r="V2525" s="20"/>
      <c r="W2525" s="20"/>
      <c r="X2525" s="26"/>
      <c r="Y2525" s="26"/>
      <c r="Z2525" s="20"/>
      <c r="AA2525" s="20"/>
      <c r="AB2525" s="20"/>
      <c r="AC2525" s="20"/>
      <c r="AD2525" s="20"/>
      <c r="AE2525" s="20"/>
      <c r="AF2525" s="27"/>
    </row>
    <row r="2526" spans="1:32" ht="12.75" customHeight="1">
      <c r="A2526" s="21" t="s">
        <v>1235</v>
      </c>
      <c r="H2526" s="136" t="str">
        <f>IF($Q2528&lt;&gt;"",IF(AND(AND($H2528&gt;-1,$H2530&gt;-1),OR($H2528&gt;10,$H2530&gt;10),ABS($H2528-$H2530)&gt;1,IF(OR($H2528&gt;11,$H2530&gt;11),ABS($H2528-$H2530)=2,TRUE),$H2528=INT($H2528),$H2530=INT($H2530)),"","Error"),"")</f>
        <v/>
      </c>
      <c r="I2526" s="136" t="str">
        <f>IF($Q2528&lt;&gt;"",IF(AND(AND($I2528&gt;-1,$I2530&gt;-1),OR($I2528&gt;10,$I2530&gt;10),ABS($I2528-$I2530)&gt;1,IF(OR($I2528&gt;11,$I2530&gt;11),ABS($I2528-$I2530)=2,TRUE),$I2528=INT($I2528),$I2530=INT($I2530)),"","Error"),"")</f>
        <v/>
      </c>
      <c r="J2526" s="136" t="str">
        <f>IF($Q2528&lt;&gt;"",IF(AND(AND($J2528&gt;-1,$J2530&gt;-1),OR($J2528&gt;10,$J2530&gt;10),ABS($J2528-$J2530)&gt;1,IF(OR($J2528&gt;11,$J2530&gt;11),ABS($J2528-$J2530)=2,TRUE),$J2528=INT($J2528),$J2530=INT($J2530)),"","Error"),"")</f>
        <v/>
      </c>
      <c r="K2526" s="136" t="str">
        <f>IF($Q2528&lt;&gt;"",IF(AND($K2528&lt;&gt;"",$K2530&lt;&gt;""), IF(AND(AND($K2528&gt;-1,$K2530&gt;-1),OR($K2528&gt;10,$K2530&gt;10),ABS($K2528-$K2530)&gt;1,IF(OR($K2528&gt;11,$K2530&gt;11),ABS($K2528-$K2530)=2,TRUE),$K2528=INT($K2528),$K2530=INT($K2530)),"","Error"),""),"")</f>
        <v/>
      </c>
      <c r="L2526" s="136" t="str">
        <f>IF($Q2528&lt;&gt;"",IF(AND($L2528&lt;&gt;"",$L2530&lt;&gt;""), IF(AND(AND($L2528&gt;-1,$L2530&gt;-1),OR($L2528&gt;10,$L2530&gt;10),ABS($L2528-$L2530)&gt;1,IF(OR($L2528&gt;11,$L2530&gt;11),ABS($L2528-$L2530)=2,TRUE),$L2528=INT($L2528),$L2530=INT($L2530)),"","Error"),""),"")</f>
        <v/>
      </c>
      <c r="Q2526" s="7"/>
      <c r="R2526" s="20"/>
      <c r="S2526" s="20"/>
      <c r="T2526" s="20"/>
      <c r="U2526" s="20"/>
      <c r="V2526" s="20"/>
      <c r="W2526" s="20"/>
      <c r="X2526" s="26"/>
      <c r="Y2526" s="26"/>
      <c r="Z2526" s="20"/>
      <c r="AA2526" s="20"/>
      <c r="AB2526" s="20"/>
      <c r="AC2526" s="20"/>
      <c r="AD2526" s="20"/>
      <c r="AE2526" s="20"/>
      <c r="AF2526" s="27"/>
    </row>
    <row r="2527" spans="1:32" ht="12.75" customHeight="1">
      <c r="A2527" s="5" t="s">
        <v>1228</v>
      </c>
      <c r="B2527" s="290" t="s">
        <v>1126</v>
      </c>
      <c r="C2527" s="291"/>
      <c r="D2527" s="291"/>
      <c r="E2527" s="291"/>
      <c r="F2527" s="291"/>
      <c r="G2527" s="292"/>
      <c r="H2527" s="5">
        <v>1</v>
      </c>
      <c r="I2527" s="5">
        <v>2</v>
      </c>
      <c r="J2527" s="5">
        <v>3</v>
      </c>
      <c r="K2527" s="5">
        <v>4</v>
      </c>
      <c r="L2527" s="5">
        <v>5</v>
      </c>
      <c r="M2527" s="271"/>
      <c r="N2527" s="272"/>
      <c r="O2527" s="272"/>
      <c r="P2527" s="273"/>
      <c r="Q2527" s="7"/>
      <c r="R2527" s="20"/>
      <c r="S2527" s="20"/>
      <c r="T2527" s="20"/>
      <c r="U2527" s="20"/>
      <c r="V2527" s="20"/>
      <c r="W2527" s="20"/>
      <c r="X2527" s="26"/>
      <c r="Y2527" s="26"/>
      <c r="Z2527" s="20"/>
      <c r="AA2527" s="20"/>
      <c r="AB2527" s="20"/>
      <c r="AC2527" s="20"/>
      <c r="AD2527" s="20"/>
      <c r="AE2527" s="20"/>
      <c r="AF2527" s="27"/>
    </row>
    <row r="2528" spans="1:32" ht="12.75" customHeight="1">
      <c r="A2528" s="300" t="str">
        <f>B2508</f>
        <v>D</v>
      </c>
      <c r="B2528" s="293" t="str">
        <f ca="1">IF(AND(OFFSET($AO$1,$C2508-1,8,1,1),$A2509&lt;&gt;"",$J2509&lt;&gt;""),CHOOSE($C2508,$AQ$1,$AQ$2,$AQ$3,$AQ$4,$AQ$5,$AQ$6,$AQ$7,$AQ$8,$AQ$9,$AQ$10,$AQ$11,$AQ$12),"")</f>
        <v/>
      </c>
      <c r="C2528" s="294"/>
      <c r="D2528" s="294"/>
      <c r="E2528" s="294"/>
      <c r="F2528" s="294"/>
      <c r="G2528" s="294"/>
      <c r="H2528" s="265"/>
      <c r="I2528" s="265"/>
      <c r="J2528" s="265"/>
      <c r="K2528" s="265"/>
      <c r="L2528" s="265"/>
      <c r="M2528" s="262" t="str">
        <f ca="1">IF(OR(AND($B2521&lt;&gt;"",$B2528&lt;&gt;"",$D2539&lt;=$C2539),AND($B2523&lt;&gt;"",$B2530&lt;&gt;"",$H2539&lt;=$G2539)),"Invalid Lineup","")</f>
        <v/>
      </c>
      <c r="N2528" s="263"/>
      <c r="O2528" s="263"/>
      <c r="P2528" s="264"/>
      <c r="Q2528" s="137" t="str">
        <f>IF($L2528=$L2530,IF($K2528=$K2530,IF($J2528&lt;&gt;"",IF($J2528&gt;$J2530,"W","L"),""),IF($K2528&gt;$K2530,"W","L")),IF($L2528&gt;$L2530,"W","L"))</f>
        <v/>
      </c>
      <c r="R2528" s="20"/>
      <c r="S2528" s="20"/>
      <c r="T2528" s="20"/>
      <c r="U2528" s="20"/>
      <c r="V2528" s="20"/>
      <c r="W2528" s="20"/>
      <c r="X2528" s="26"/>
      <c r="Y2528" s="26"/>
      <c r="Z2528" s="20"/>
      <c r="AA2528" s="20"/>
      <c r="AB2528" s="20"/>
      <c r="AC2528" s="20"/>
      <c r="AD2528" s="20"/>
      <c r="AE2528" s="20"/>
      <c r="AF2528" s="27"/>
    </row>
    <row r="2529" spans="1:32" ht="12.75" customHeight="1">
      <c r="A2529" s="301"/>
      <c r="B2529" s="295"/>
      <c r="C2529" s="296"/>
      <c r="D2529" s="296"/>
      <c r="E2529" s="296"/>
      <c r="F2529" s="296"/>
      <c r="G2529" s="296"/>
      <c r="H2529" s="270"/>
      <c r="I2529" s="270"/>
      <c r="J2529" s="270"/>
      <c r="K2529" s="270"/>
      <c r="L2529" s="270"/>
      <c r="M2529" s="262"/>
      <c r="N2529" s="263"/>
      <c r="O2529" s="263"/>
      <c r="P2529" s="264"/>
      <c r="Q2529" s="139" t="str">
        <f>IF($Q2528&lt;&gt;"",IF($Q2528="W",IF(SUM(IF($H2528&gt;$H2530,1,0),IF($I2528&gt;$I2530,1,0),IF($J2528&gt;$J2530,1,0),IF($K2528&gt;$K2530,1,0),IF($L2528&gt;$L2530,1,0))&lt;&gt;3,"Error",""),""),"")</f>
        <v/>
      </c>
      <c r="R2529" s="328" t="str">
        <f>$A2509</f>
        <v/>
      </c>
      <c r="S2529" s="328"/>
      <c r="T2529" s="328"/>
      <c r="U2529" s="328"/>
      <c r="V2529" s="328"/>
      <c r="W2529" s="328"/>
      <c r="X2529" s="256" t="str">
        <f>CONCATENATE("(",$B2508," vs ",$K2508,")")</f>
        <v>(D vs L)</v>
      </c>
      <c r="Y2529" s="256"/>
      <c r="Z2529" s="328" t="str">
        <f>$J2509</f>
        <v/>
      </c>
      <c r="AA2529" s="328"/>
      <c r="AB2529" s="328"/>
      <c r="AC2529" s="328"/>
      <c r="AD2529" s="328"/>
      <c r="AE2529" s="328"/>
      <c r="AF2529" s="100"/>
    </row>
    <row r="2530" spans="1:32" ht="12.75" customHeight="1">
      <c r="A2530" s="300" t="str">
        <f>K2508</f>
        <v>L</v>
      </c>
      <c r="B2530" s="293" t="str">
        <f ca="1">IF(AND(OFFSET($AO$1,$L2508-1,8,1,1),$A2509&lt;&gt;"",$J2509&lt;&gt;""),CHOOSE($L2508,$AQ$1,$AQ$2,$AQ$3,$AQ$4,$AQ$5,$AQ$6,$AQ$7,$AQ$8,$AQ$9,$AQ$10,$AQ$11,$AQ$12),"")</f>
        <v/>
      </c>
      <c r="C2530" s="294"/>
      <c r="D2530" s="294"/>
      <c r="E2530" s="294"/>
      <c r="F2530" s="294"/>
      <c r="G2530" s="294"/>
      <c r="H2530" s="265"/>
      <c r="I2530" s="265"/>
      <c r="J2530" s="265"/>
      <c r="K2530" s="265"/>
      <c r="L2530" s="265"/>
      <c r="M2530" s="267" t="s">
        <v>1237</v>
      </c>
      <c r="N2530" s="268"/>
      <c r="O2530" s="268"/>
      <c r="P2530" s="269"/>
      <c r="Q2530" s="137" t="str">
        <f>IF($Q2528&lt;&gt;"",IF($Q2528="W","L","W"),"")</f>
        <v/>
      </c>
      <c r="R2530" s="100"/>
      <c r="S2530" s="100"/>
      <c r="T2530" s="100"/>
      <c r="U2530" s="100"/>
      <c r="V2530" s="100"/>
      <c r="W2530" s="100"/>
      <c r="X2530" s="100"/>
      <c r="Y2530" s="100"/>
      <c r="Z2530" s="100"/>
      <c r="AA2530" s="100"/>
      <c r="AB2530" s="100"/>
      <c r="AC2530" s="100"/>
      <c r="AD2530" s="100"/>
      <c r="AE2530" s="100"/>
      <c r="AF2530" s="100"/>
    </row>
    <row r="2531" spans="1:32" ht="12.75" customHeight="1">
      <c r="A2531" s="301"/>
      <c r="B2531" s="295"/>
      <c r="C2531" s="296"/>
      <c r="D2531" s="296"/>
      <c r="E2531" s="296"/>
      <c r="F2531" s="296"/>
      <c r="G2531" s="296"/>
      <c r="H2531" s="270"/>
      <c r="I2531" s="270"/>
      <c r="J2531" s="266"/>
      <c r="K2531" s="266"/>
      <c r="L2531" s="266"/>
      <c r="M2531" s="267"/>
      <c r="N2531" s="268"/>
      <c r="O2531" s="268"/>
      <c r="P2531" s="269"/>
      <c r="Q2531" s="139" t="str">
        <f>IF($Q2530&lt;&gt;"",IF($Q2530="W",IF(SUM(IF($H2530&gt;$H2528,1,0),IF($I2530&gt;$I2528,1,0),IF($J2530&gt;$J2528,1,0),IF($K2530&gt;$K2528,1,0),IF($L2530&gt;$L2528,1,0))&lt;&gt;3,"Error",""),""),"")</f>
        <v/>
      </c>
      <c r="R2531" s="43" t="str">
        <f>$A2526</f>
        <v>3rd Singles</v>
      </c>
      <c r="S2531" s="43"/>
      <c r="T2531" s="43"/>
      <c r="U2531" s="43"/>
      <c r="V2531" s="43"/>
      <c r="W2531" s="43"/>
      <c r="X2531" s="43"/>
      <c r="Y2531" s="43"/>
      <c r="Z2531" s="43"/>
      <c r="AA2531" s="43"/>
      <c r="AB2531" s="43"/>
      <c r="AC2531" s="43"/>
      <c r="AD2531" s="43"/>
      <c r="AE2531" s="43"/>
      <c r="AF2531" s="43"/>
    </row>
    <row r="2532" spans="1:32" ht="12.75" customHeight="1">
      <c r="Q2532" s="7"/>
      <c r="R2532" s="60" t="s">
        <v>1228</v>
      </c>
      <c r="S2532" s="101" t="s">
        <v>1126</v>
      </c>
      <c r="T2532" s="102"/>
      <c r="U2532" s="102"/>
      <c r="V2532" s="102"/>
      <c r="W2532" s="102"/>
      <c r="X2532" s="103"/>
      <c r="Y2532" s="60">
        <v>1</v>
      </c>
      <c r="Z2532" s="60">
        <v>2</v>
      </c>
      <c r="AA2532" s="60">
        <v>3</v>
      </c>
      <c r="AB2532" s="60">
        <v>4</v>
      </c>
      <c r="AC2532" s="60">
        <v>5</v>
      </c>
      <c r="AD2532" s="104"/>
      <c r="AE2532" s="105"/>
      <c r="AF2532" s="106"/>
    </row>
    <row r="2533" spans="1:32" ht="12.75" customHeight="1">
      <c r="A2533" s="21" t="s">
        <v>1236</v>
      </c>
      <c r="H2533" s="136" t="str">
        <f ca="1">IF($Q2535&lt;&gt;"",IF(AND($B2535&lt;&gt;"Missing Player",$B2537&lt;&gt;"Missing Player"),IF(AND(AND($H2535&gt;-1,$H2537&gt;-1),OR($H2535&gt;10,$H2537&gt;10),ABS($H2535-$H2537)&gt;1,IF(OR($H2535&gt;11,$H2537&gt;11),ABS($H2535-$H2537)=2,TRUE),$H2535=INT($H2535),$H2537=INT($H2537)),"","Error"),""),"")</f>
        <v/>
      </c>
      <c r="I2533" s="136" t="str">
        <f ca="1">IF($Q2535&lt;&gt;"",IF(AND($B2535&lt;&gt;"Missing Player",$B2537&lt;&gt;"Missing Player"),IF(AND(AND($I2535&gt;-1,$I2537&gt;-1),OR($I2535&gt;10,$I2537&gt;10),ABS($I2535-$I2537)&gt;1,IF(OR($I2535&gt;11,$I2537&gt;11),ABS($I2535-$I2537)=2,TRUE),$I2535=INT($I2535),$I2537=INT($I2537)),"","Error"),""),"")</f>
        <v/>
      </c>
      <c r="J2533" s="136" t="str">
        <f ca="1">IF($Q2535&lt;&gt;"",IF(AND($B2535&lt;&gt;"Missing Player",$B2537&lt;&gt;"Missing Player"),IF(AND(AND($J2535&gt;-1,$J2537&gt;-1),OR($J2535&gt;10,$J2537&gt;10),ABS($J2535-$J2537)&gt;1,IF(OR($J2535&gt;11,$J2537&gt;11),ABS($J2535-$J2537)=2,TRUE),$J2535=INT($J2535),$J2537=INT($J2537)),"","Error"),""),"")</f>
        <v/>
      </c>
      <c r="K2533" s="136" t="str">
        <f ca="1">IF($Q2535&lt;&gt;"",IF(AND($K2535&lt;&gt;"",$K2537&lt;&gt;""), IF(AND(AND($K2535&gt;-1,$K2537&gt;-1),OR($K2535&gt;10,$K2537&gt;10),ABS($K2535-$K2537)&gt;1,IF(OR($K2535&gt;11,$K2537&gt;11),ABS($K2535-$K2537)=2,TRUE),$K2535=INT($K2535),$K2537=INT($K2537)),"","Error"),""),"")</f>
        <v/>
      </c>
      <c r="L2533" s="136" t="str">
        <f ca="1">IF($Q2535&lt;&gt;"",IF(AND($L2535&lt;&gt;"",$L2537&lt;&gt;""), IF(AND(AND($L2535&gt;-1,$L2537&gt;-1),OR($L2535&gt;10,$L2537&gt;10),ABS($L2535-$L2537)&gt;1,IF(OR($L2535&gt;11,$L2537&gt;11),ABS($L2535-$L2537)=2,TRUE),$L2535=INT($L2535),$L2537=INT($L2537)),"","Error"),""),"")</f>
        <v/>
      </c>
      <c r="Q2533" s="7"/>
      <c r="R2533" s="300" t="str">
        <f>$B2508</f>
        <v>D</v>
      </c>
      <c r="S2533" s="331" t="str">
        <f ca="1">IF($B2528&lt;&gt;"",$B2528,"")</f>
        <v/>
      </c>
      <c r="T2533" s="332"/>
      <c r="U2533" s="332"/>
      <c r="V2533" s="332"/>
      <c r="W2533" s="332"/>
      <c r="X2533" s="333"/>
      <c r="Y2533" s="329"/>
      <c r="Z2533" s="329"/>
      <c r="AA2533" s="329"/>
      <c r="AB2533" s="329"/>
      <c r="AC2533" s="329"/>
      <c r="AD2533" s="345"/>
      <c r="AE2533" s="358"/>
      <c r="AF2533" s="359"/>
    </row>
    <row r="2534" spans="1:32" ht="12.75" customHeight="1">
      <c r="A2534" s="5" t="s">
        <v>1228</v>
      </c>
      <c r="B2534" s="290" t="s">
        <v>1126</v>
      </c>
      <c r="C2534" s="291"/>
      <c r="D2534" s="291"/>
      <c r="E2534" s="291"/>
      <c r="F2534" s="291"/>
      <c r="G2534" s="292"/>
      <c r="H2534" s="5">
        <v>1</v>
      </c>
      <c r="I2534" s="5">
        <v>2</v>
      </c>
      <c r="J2534" s="5">
        <v>3</v>
      </c>
      <c r="K2534" s="5">
        <v>4</v>
      </c>
      <c r="L2534" s="5">
        <v>5</v>
      </c>
      <c r="M2534" s="271"/>
      <c r="N2534" s="272"/>
      <c r="O2534" s="272"/>
      <c r="P2534" s="273"/>
      <c r="Q2534" s="7"/>
      <c r="R2534" s="330"/>
      <c r="S2534" s="334"/>
      <c r="T2534" s="335"/>
      <c r="U2534" s="335"/>
      <c r="V2534" s="335"/>
      <c r="W2534" s="335"/>
      <c r="X2534" s="336"/>
      <c r="Y2534" s="330"/>
      <c r="Z2534" s="330"/>
      <c r="AA2534" s="330"/>
      <c r="AB2534" s="330"/>
      <c r="AC2534" s="330"/>
      <c r="AD2534" s="360"/>
      <c r="AE2534" s="361"/>
      <c r="AF2534" s="362"/>
    </row>
    <row r="2535" spans="1:32" ht="12.75" customHeight="1">
      <c r="A2535" s="300" t="str">
        <f>B2508</f>
        <v>D</v>
      </c>
      <c r="B2535" s="293" t="str">
        <f ca="1">IF(AND(OFFSET($AO$1,$C2508-1,8,1,1),$A2509&lt;&gt;"",$J2509&lt;&gt;""),CHOOSE($C2508,$AR$1,$AR$2,$AR$3,$AR$4,$AR$5,$AR$6,$AR$7,$AR$8,$AR$9,$AR$10,$AR$11,$AR$12),"")</f>
        <v/>
      </c>
      <c r="C2535" s="294"/>
      <c r="D2535" s="294"/>
      <c r="E2535" s="294"/>
      <c r="F2535" s="294"/>
      <c r="G2535" s="294"/>
      <c r="H2535" s="265"/>
      <c r="I2535" s="265"/>
      <c r="J2535" s="265"/>
      <c r="K2535" s="265"/>
      <c r="L2535" s="265" t="str">
        <f ca="1">IF(AND($B2535&lt;&gt;"",$Q2514&lt;&gt;""),IF($B2535="Missing Player",0,IF($B2537="Missing Player",11,"")),"")</f>
        <v/>
      </c>
      <c r="M2535" s="262" t="str">
        <f ca="1">IF(OR(AND($B2528&lt;&gt;"",$B2535&lt;&gt;"",$E2539&lt;=$D2539),AND($B2530&lt;&gt;"",$B2537&lt;&gt;"",$I2539&lt;=$H2539)),"Invalid Lineup","")</f>
        <v/>
      </c>
      <c r="N2535" s="263"/>
      <c r="O2535" s="263"/>
      <c r="P2535" s="264"/>
      <c r="Q2535" s="137" t="str">
        <f ca="1">IF($L2535=$L2537,IF($K2535=$K2537,IF($J2535&lt;&gt;"",IF($J2535&gt;$J2537,"W","L"),""),IF($K2535&gt;$K2537,"W","L")),IF($L2535&gt;$L2537,"W","L"))</f>
        <v/>
      </c>
      <c r="R2535" s="300" t="str">
        <f>$K2508</f>
        <v>L</v>
      </c>
      <c r="S2535" s="331" t="str">
        <f ca="1">IF($B2530&lt;&gt;"",$B2530,"")</f>
        <v/>
      </c>
      <c r="T2535" s="332"/>
      <c r="U2535" s="332"/>
      <c r="V2535" s="332"/>
      <c r="W2535" s="332"/>
      <c r="X2535" s="333"/>
      <c r="Y2535" s="329"/>
      <c r="Z2535" s="329"/>
      <c r="AA2535" s="329"/>
      <c r="AB2535" s="329"/>
      <c r="AC2535" s="351"/>
      <c r="AD2535" s="363" t="s">
        <v>1237</v>
      </c>
      <c r="AE2535" s="358"/>
      <c r="AF2535" s="359"/>
    </row>
    <row r="2536" spans="1:32" ht="12.75" customHeight="1">
      <c r="A2536" s="301"/>
      <c r="B2536" s="295"/>
      <c r="C2536" s="296"/>
      <c r="D2536" s="296"/>
      <c r="E2536" s="296"/>
      <c r="F2536" s="296"/>
      <c r="G2536" s="296"/>
      <c r="H2536" s="270"/>
      <c r="I2536" s="270"/>
      <c r="J2536" s="270"/>
      <c r="K2536" s="270"/>
      <c r="L2536" s="270"/>
      <c r="M2536" s="262"/>
      <c r="N2536" s="263"/>
      <c r="O2536" s="263"/>
      <c r="P2536" s="264"/>
      <c r="Q2536" s="139" t="str">
        <f ca="1">IF($Q2535&lt;&gt;"",IF($B2537&lt;&gt;"Missing Player",IF($Q2535="W",IF(SUM(IF($H2535&gt;$H2537,1,0),IF($I2535&gt;$I2537,1,0),IF($J2535&gt;$J2537,1,0),IF($K2535&gt;$K2537,1,0),IF($L2535&gt;$L2537,1,0))&lt;&gt;3,"Error",""),""),""),"")</f>
        <v/>
      </c>
      <c r="R2536" s="330"/>
      <c r="S2536" s="334"/>
      <c r="T2536" s="335"/>
      <c r="U2536" s="335"/>
      <c r="V2536" s="335"/>
      <c r="W2536" s="335"/>
      <c r="X2536" s="336"/>
      <c r="Y2536" s="330"/>
      <c r="Z2536" s="330"/>
      <c r="AA2536" s="330"/>
      <c r="AB2536" s="330"/>
      <c r="AC2536" s="330"/>
      <c r="AD2536" s="360"/>
      <c r="AE2536" s="361"/>
      <c r="AF2536" s="362"/>
    </row>
    <row r="2537" spans="1:32" ht="12.75" customHeight="1">
      <c r="A2537" s="300" t="str">
        <f>K2508</f>
        <v>L</v>
      </c>
      <c r="B2537" s="293" t="str">
        <f ca="1">IF(AND(OFFSET($AO$1,$L2508-1,8,1,1),$A2509&lt;&gt;"",$J2509&lt;&gt;""),CHOOSE($L2508,$AR$1,$AR$2,$AR$3,$AR$4,$AR$5,$AR$6,$AR$7,$AR$8,$AR$9,$AR$10,$AR$11,$AR$12),"")</f>
        <v/>
      </c>
      <c r="C2537" s="294"/>
      <c r="D2537" s="294"/>
      <c r="E2537" s="294"/>
      <c r="F2537" s="294"/>
      <c r="G2537" s="294"/>
      <c r="H2537" s="265"/>
      <c r="I2537" s="265"/>
      <c r="J2537" s="265"/>
      <c r="K2537" s="265"/>
      <c r="L2537" s="265" t="str">
        <f ca="1">IF(AND($B2537&lt;&gt;"",$Q2514&lt;&gt;""),IF($B2537="Missing Player",0,IF($B2535="Missing Player",11,"")),"")</f>
        <v/>
      </c>
      <c r="M2537" s="267" t="s">
        <v>1237</v>
      </c>
      <c r="N2537" s="268"/>
      <c r="O2537" s="268"/>
      <c r="P2537" s="269"/>
      <c r="Q2537" s="137" t="str">
        <f ca="1">IF($Q2535&lt;&gt;"",IF($Q2535="W","L","W"),"")</f>
        <v/>
      </c>
      <c r="R2537" s="112"/>
      <c r="S2537" s="98"/>
      <c r="T2537" s="108"/>
      <c r="U2537" s="108"/>
      <c r="V2537" s="108"/>
      <c r="W2537" s="108"/>
      <c r="X2537" s="108"/>
      <c r="Y2537" s="113"/>
      <c r="Z2537" s="113"/>
      <c r="AA2537" s="113"/>
      <c r="AB2537" s="113"/>
      <c r="AC2537" s="113"/>
      <c r="AD2537" s="107"/>
      <c r="AE2537" s="109"/>
      <c r="AF2537" s="109"/>
    </row>
    <row r="2538" spans="1:32" ht="12.75" customHeight="1">
      <c r="A2538" s="301"/>
      <c r="B2538" s="295"/>
      <c r="C2538" s="296"/>
      <c r="D2538" s="296"/>
      <c r="E2538" s="296"/>
      <c r="F2538" s="296"/>
      <c r="G2538" s="296"/>
      <c r="H2538" s="270"/>
      <c r="I2538" s="270"/>
      <c r="J2538" s="266"/>
      <c r="K2538" s="266"/>
      <c r="L2538" s="266"/>
      <c r="M2538" s="267"/>
      <c r="N2538" s="268"/>
      <c r="O2538" s="268"/>
      <c r="P2538" s="269"/>
      <c r="Q2538" s="139" t="str">
        <f ca="1">IF($Q2537&lt;&gt;"",IF($B2535&lt;&gt;"Missing Player",IF($Q2537="W",IF(SUM(IF($H2537&gt;$H2535,1,0),IF($I2537&gt;$I2535,1,0),IF($J2537&gt;$J2535,1,0),IF($K2537&gt;$K2535,1,0),IF($L2537&gt;$L2535,1,0))&lt;&gt;3,"Error",""),""),""),"")</f>
        <v/>
      </c>
      <c r="R2538" s="114"/>
      <c r="S2538" s="115"/>
      <c r="T2538" s="115"/>
      <c r="U2538" s="115"/>
      <c r="V2538" s="115"/>
      <c r="W2538" s="115"/>
      <c r="X2538" s="115"/>
      <c r="Y2538" s="114"/>
      <c r="Z2538" s="114"/>
      <c r="AA2538" s="114"/>
      <c r="AB2538" s="114"/>
      <c r="AC2538" s="114"/>
      <c r="AD2538" s="114"/>
      <c r="AE2538" s="114"/>
      <c r="AF2538" s="114"/>
    </row>
    <row r="2539" spans="1:32" ht="12.75" customHeight="1">
      <c r="B2539" s="140" t="str">
        <f ca="1">IF(ISERROR(VLOOKUP($B2514&amp;"("&amp;$B2508&amp;")",Players!$S$4:$T$132,2,FALSE)),"",VLOOKUP($B2514&amp;"("&amp;$B2508&amp;")",Players!$S$4:$T$132,2,FALSE))</f>
        <v>D1</v>
      </c>
      <c r="C2539" s="140" t="str">
        <f ca="1">IF(ISERROR(VLOOKUP($B2521&amp;"("&amp;$B2508&amp;")",Players!$S$4:$T$132,2,FALSE)),"",VLOOKUP($B2521&amp;"("&amp;$B2508&amp;")",Players!$S$4:$T$132,2,FALSE))</f>
        <v>D1</v>
      </c>
      <c r="D2539" s="141" t="str">
        <f ca="1">IF(ISERROR(VLOOKUP($B2528&amp;"("&amp;$B2508&amp;")",Players!$S$4:$T$132,2,FALSE)),"",VLOOKUP($B2528&amp;"("&amp;$B2508&amp;")",Players!$S$4:$T$132,2,FALSE))</f>
        <v>D1</v>
      </c>
      <c r="E2539" s="141" t="str">
        <f ca="1">IF(ISERROR(VLOOKUP($B2535&amp;"("&amp;$B2508&amp;")",Players!$S$4:$T$132,2,FALSE)),"",VLOOKUP($B2535&amp;"("&amp;$B2508&amp;")",Players!$S$4:$T$132,2,FALSE))</f>
        <v>D1</v>
      </c>
      <c r="F2539" s="141" t="str">
        <f ca="1">IF(ISERROR(VLOOKUP($B2516&amp;"("&amp;$K2508&amp;")",Players!$S$4:$T$132,2,FALSE)),"",VLOOKUP($B2516&amp;"("&amp;$K2508&amp;")",Players!$S$4:$T$132,2,FALSE))</f>
        <v>L1</v>
      </c>
      <c r="G2539" s="141" t="str">
        <f ca="1">IF(ISERROR(VLOOKUP($B2523&amp;"("&amp;$K2508&amp;")",Players!$S$4:$T$132,2,FALSE)),"",VLOOKUP($B2523&amp;"("&amp;$K2508&amp;")",Players!$S$4:$T$132,2,FALSE))</f>
        <v>L1</v>
      </c>
      <c r="H2539" s="141" t="str">
        <f ca="1">IF(ISERROR(VLOOKUP($B2530&amp;"("&amp;$K2508&amp;")",Players!$S$4:$T$132,2,FALSE)),"",VLOOKUP($B2530&amp;"("&amp;$K2508&amp;")",Players!$S$4:$T$132,2,FALSE))</f>
        <v>L1</v>
      </c>
      <c r="I2539" s="141" t="str">
        <f ca="1">IF(ISERROR(VLOOKUP($B2537&amp;"("&amp;$K2508&amp;")",Players!$S$4:$T$132,2,FALSE)),"",VLOOKUP($B2537&amp;"("&amp;$K2508&amp;")",Players!$S$4:$T$132,2,FALSE))</f>
        <v>L1</v>
      </c>
      <c r="Q2539" s="7"/>
      <c r="R2539" s="50"/>
      <c r="S2539" s="116"/>
      <c r="T2539" s="115"/>
      <c r="U2539" s="115"/>
      <c r="V2539" s="115"/>
      <c r="W2539" s="115"/>
      <c r="X2539" s="115"/>
      <c r="Y2539" s="99"/>
      <c r="Z2539" s="99"/>
      <c r="AA2539" s="99"/>
      <c r="AB2539" s="99"/>
      <c r="AC2539" s="117"/>
      <c r="AD2539" s="118"/>
      <c r="AE2539" s="114"/>
      <c r="AF2539" s="114"/>
    </row>
    <row r="2540" spans="1:32" ht="12.75" customHeight="1">
      <c r="A2540" s="21" t="s">
        <v>1225</v>
      </c>
      <c r="H2540" s="136" t="str">
        <f ca="1">IF($Q2542&lt;&gt;"",IF(AND($B2543&lt;&gt;"Missing Player",$B2545&lt;&gt;"Missing Player"),IF(AND(AND($H2542&gt;-1,$H2544&gt;-1),OR($H2542&gt;10,$H2544&gt;10),ABS($H2542-$H2544)&gt;1,IF(OR($H2542&gt;11,$H2544&gt;11),ABS($H2542-$H2544)=2,TRUE),$H2542=INT($H2542),$H2544=INT($H2544)),"","Error"),""),"")</f>
        <v/>
      </c>
      <c r="I2540" s="136" t="str">
        <f ca="1">IF($Q2542&lt;&gt;"",IF(AND($B2543&lt;&gt;"Missing Player",$B2545&lt;&gt;"Missing Player"),IF(AND(AND($I2542&gt;-1,$I2544&gt;-1),OR($I2542&gt;10,$I2544&gt;10),ABS($I2542-$I2544)&gt;1,IF(OR($I2542&gt;11,$I2544&gt;11),ABS($I2542-$I2544)=2,TRUE),$I2542=INT($I2542),$I2544=INT($I2544)),"","Error"),""),"")</f>
        <v/>
      </c>
      <c r="J2540" s="136" t="str">
        <f ca="1">IF($Q2542&lt;&gt;"",IF(AND($B2543&lt;&gt;"Missing Player",$B2545&lt;&gt;"Missing Player"),IF(AND(AND($J2542&gt;-1,$J2544&gt;-1),OR($J2542&gt;10,$J2544&gt;10),ABS($J2542-$J2544)&gt;1,IF(OR($J2542&gt;11,$J2544&gt;11),ABS($J2542-$J2544)=2,TRUE),$J2542=INT($J2542),$J2544=INT($J2544)),"","Error"),""),"")</f>
        <v/>
      </c>
      <c r="K2540" s="136" t="str">
        <f ca="1">IF($Q2542&lt;&gt;"",IF(AND($K2542&lt;&gt;"",$K2544&lt;&gt;""), IF(AND(AND($K2542&gt;-1,$K2544&gt;-1),OR($K2542&gt;10,$K2544&gt;10),ABS($K2542-$K2544)&gt;1,IF(OR($K2542&gt;11,$K2544&gt;11),ABS($K2542-$K2544)=2,TRUE),$K2542=INT($K2542),$K2544=INT($K2544)),"","Error"),""),"")</f>
        <v/>
      </c>
      <c r="L2540" s="136" t="str">
        <f ca="1">IF($Q2542&lt;&gt;"",IF(AND($L2542&lt;&gt;"",$L2544&lt;&gt;""), IF(AND(AND($L2542&gt;-1,$L2544&gt;-1),OR($L2542&gt;10,$L2544&gt;10),ABS($L2542-$L2544)&gt;1,IF(OR($L2542&gt;11,$L2544&gt;11),ABS($L2542-$L2544)=2,TRUE),$L2542=INT($L2542),$L2544=INT($L2544)),"","Error"),""),"")</f>
        <v/>
      </c>
      <c r="Q2540" s="7"/>
      <c r="R2540" s="114"/>
      <c r="S2540" s="115"/>
      <c r="T2540" s="115"/>
      <c r="U2540" s="115"/>
      <c r="V2540" s="115"/>
      <c r="W2540" s="115"/>
      <c r="X2540" s="115"/>
      <c r="Y2540" s="114"/>
      <c r="Z2540" s="114"/>
      <c r="AA2540" s="114"/>
      <c r="AB2540" s="114"/>
      <c r="AC2540" s="114"/>
      <c r="AD2540" s="114"/>
      <c r="AE2540" s="114"/>
      <c r="AF2540" s="114"/>
    </row>
    <row r="2541" spans="1:32" ht="12.75" customHeight="1">
      <c r="A2541" s="5" t="s">
        <v>1228</v>
      </c>
      <c r="B2541" s="290" t="s">
        <v>1126</v>
      </c>
      <c r="C2541" s="291"/>
      <c r="D2541" s="291"/>
      <c r="E2541" s="291"/>
      <c r="F2541" s="291"/>
      <c r="G2541" s="292"/>
      <c r="H2541" s="5">
        <v>1</v>
      </c>
      <c r="I2541" s="5">
        <v>2</v>
      </c>
      <c r="J2541" s="5">
        <v>3</v>
      </c>
      <c r="K2541" s="5">
        <v>4</v>
      </c>
      <c r="L2541" s="5">
        <v>5</v>
      </c>
      <c r="M2541" s="271"/>
      <c r="N2541" s="272"/>
      <c r="O2541" s="272"/>
      <c r="P2541" s="273"/>
      <c r="Q2541" s="8"/>
      <c r="S2541" s="24"/>
      <c r="T2541" s="26"/>
    </row>
    <row r="2542" spans="1:32" ht="12.75" customHeight="1">
      <c r="A2542" s="300" t="str">
        <f>B2508</f>
        <v>D</v>
      </c>
      <c r="B2542" s="311" t="str">
        <f ca="1">IF($B2514&lt;&gt;"",$B2514,"")</f>
        <v/>
      </c>
      <c r="C2542" s="312"/>
      <c r="D2542" s="312"/>
      <c r="E2542" s="312"/>
      <c r="F2542" s="312"/>
      <c r="G2542" s="313"/>
      <c r="H2542" s="265"/>
      <c r="I2542" s="265"/>
      <c r="J2542" s="265"/>
      <c r="K2542" s="265"/>
      <c r="L2542" s="265" t="str">
        <f ca="1">IF($B2535&lt;&gt;"",IF(AND($B2535="Missing Player",$G2546=2,$J2546=2),0,IF(AND($B2537="Missing Player",$G2546=2,$J2546=2),11,"")),"")</f>
        <v/>
      </c>
      <c r="M2542" s="262" t="str">
        <f ca="1">IF(OR(AND($B2542&lt;&gt;"",$B2543&lt;&gt;"",$B2542=$B2543),AND($B2544&lt;&gt;"",$B2545&lt;&gt;"",$B2544=$B2545)),"Invalid Partner","")</f>
        <v/>
      </c>
      <c r="N2542" s="263"/>
      <c r="O2542" s="263"/>
      <c r="P2542" s="264"/>
      <c r="Q2542" s="138" t="str">
        <f ca="1">IF(L2542=L2544,IF(K2542=K2544,IF(J2542&lt;&gt;"",IF(J2542&gt;J2544,"W","L"),""),IF(K2542&gt;K2544,"W","L")),IF(L2542&gt;L2544,"W","L"))</f>
        <v/>
      </c>
      <c r="S2542" s="24"/>
      <c r="T2542" s="26"/>
    </row>
    <row r="2543" spans="1:32" ht="12.75" customHeight="1">
      <c r="A2543" s="324"/>
      <c r="B2543" s="308" t="str">
        <f ca="1">IF($B2535="Missing Player",$B2535,"")</f>
        <v/>
      </c>
      <c r="C2543" s="309"/>
      <c r="D2543" s="309"/>
      <c r="E2543" s="309"/>
      <c r="F2543" s="309"/>
      <c r="G2543" s="310"/>
      <c r="H2543" s="270"/>
      <c r="I2543" s="270"/>
      <c r="J2543" s="270"/>
      <c r="K2543" s="270"/>
      <c r="L2543" s="270"/>
      <c r="M2543" s="262"/>
      <c r="N2543" s="263"/>
      <c r="O2543" s="263"/>
      <c r="P2543" s="264"/>
      <c r="Q2543" s="139" t="str">
        <f ca="1">IF($Q2542&lt;&gt;"",IF($B2545&lt;&gt;"Missing Player",IF($Q2542="W",IF(SUM(IF($H2542&gt;$H2544,1,0),IF($I2542&gt;$I2544,1,0),IF($J2542&gt;$J2544,1,0),IF($K2542&gt;$K2544,1,0),IF($L2542&gt;$L2544,1,0))&lt;&gt;3,"Error",""),""),""),"")</f>
        <v/>
      </c>
      <c r="R2543" s="328" t="str">
        <f>$A2509</f>
        <v/>
      </c>
      <c r="S2543" s="328"/>
      <c r="T2543" s="328"/>
      <c r="U2543" s="328"/>
      <c r="V2543" s="328"/>
      <c r="W2543" s="328"/>
      <c r="X2543" s="256" t="str">
        <f>CONCATENATE("(",$B2508," vs ",$K2508,")")</f>
        <v>(D vs L)</v>
      </c>
      <c r="Y2543" s="256"/>
      <c r="Z2543" s="328" t="str">
        <f>$J2509</f>
        <v/>
      </c>
      <c r="AA2543" s="328"/>
      <c r="AB2543" s="328"/>
      <c r="AC2543" s="328"/>
      <c r="AD2543" s="328"/>
      <c r="AE2543" s="328"/>
      <c r="AF2543" s="43"/>
    </row>
    <row r="2544" spans="1:32" ht="12.75" customHeight="1">
      <c r="A2544" s="325" t="str">
        <f>K2508</f>
        <v>L</v>
      </c>
      <c r="B2544" s="311" t="str">
        <f ca="1">IF($B2516&lt;&gt;"",$B2516,"")</f>
        <v/>
      </c>
      <c r="C2544" s="312"/>
      <c r="D2544" s="312"/>
      <c r="E2544" s="312"/>
      <c r="F2544" s="312"/>
      <c r="G2544" s="313"/>
      <c r="H2544" s="265"/>
      <c r="I2544" s="265"/>
      <c r="J2544" s="265"/>
      <c r="K2544" s="265"/>
      <c r="L2544" s="265" t="str">
        <f ca="1">IF($B2537&lt;&gt;"",IF(AND($B2537="Missing Player",$G2546=2,$J2546=2),0,IF(AND($B2535="Missing Player",$G2546=2,$J2546=2),11,"")),"")</f>
        <v/>
      </c>
      <c r="M2544" s="267" t="s">
        <v>1237</v>
      </c>
      <c r="N2544" s="268"/>
      <c r="O2544" s="268"/>
      <c r="P2544" s="269"/>
      <c r="Q2544" s="138" t="str">
        <f ca="1">IF(Q2542&lt;&gt;"",IF(Q2542="W","L","W"),"")</f>
        <v/>
      </c>
      <c r="R2544" s="43"/>
      <c r="S2544" s="43"/>
      <c r="T2544" s="43"/>
      <c r="U2544" s="43"/>
      <c r="V2544" s="43"/>
      <c r="W2544" s="43"/>
      <c r="X2544" s="43"/>
      <c r="Y2544" s="43"/>
      <c r="Z2544" s="43"/>
      <c r="AA2544" s="43"/>
      <c r="AB2544" s="43"/>
      <c r="AC2544" s="43"/>
      <c r="AD2544" s="43"/>
      <c r="AE2544" s="43"/>
      <c r="AF2544" s="43"/>
    </row>
    <row r="2545" spans="1:32" ht="12.75" customHeight="1">
      <c r="A2545" s="324"/>
      <c r="B2545" s="308" t="str">
        <f ca="1">IF($B2537="Missing Player",$B2537,"")</f>
        <v/>
      </c>
      <c r="C2545" s="309"/>
      <c r="D2545" s="309"/>
      <c r="E2545" s="309"/>
      <c r="F2545" s="309"/>
      <c r="G2545" s="310"/>
      <c r="H2545" s="270"/>
      <c r="I2545" s="270"/>
      <c r="J2545" s="266"/>
      <c r="K2545" s="266"/>
      <c r="L2545" s="266"/>
      <c r="M2545" s="267"/>
      <c r="N2545" s="268"/>
      <c r="O2545" s="268"/>
      <c r="P2545" s="269"/>
      <c r="Q2545" s="139" t="str">
        <f ca="1">IF($Q2544&lt;&gt;"",IF($B2543&lt;&gt;"Missing Player",IF($Q2544="W",IF(SUM(IF($H2544&gt;$H2542,1,0),IF($I2544&gt;$I2542,1,0),IF($J2544&gt;$J2542,1,0),IF($K2544&gt;$K2542,1,0),IF($L2544&gt;$L2542,1,0))&lt;&gt;3,"Error",""),""),""),"")</f>
        <v/>
      </c>
      <c r="R2545" s="43" t="str">
        <f>A2533</f>
        <v>4th Singles</v>
      </c>
      <c r="S2545" s="43"/>
      <c r="T2545" s="43"/>
      <c r="U2545" s="43"/>
      <c r="V2545" s="43"/>
      <c r="W2545" s="43"/>
      <c r="X2545" s="43"/>
      <c r="Y2545" s="43"/>
      <c r="Z2545" s="43"/>
      <c r="AA2545" s="43"/>
      <c r="AB2545" s="43"/>
      <c r="AC2545" s="43"/>
      <c r="AD2545" s="43"/>
      <c r="AE2545" s="43"/>
      <c r="AF2545" s="43"/>
    </row>
    <row r="2546" spans="1:32" ht="12.75" customHeight="1">
      <c r="G2546" s="66">
        <f ca="1">COUNTIF($Q2514:$Q2514,"W")+COUNTIF($Q2521:$Q2521,"W")+COUNTIF($Q2528:$Q2528,"W")+COUNTIF($Q2535:$Q2535,"W")</f>
        <v>0</v>
      </c>
      <c r="J2546" s="66">
        <f ca="1">COUNTIF($Q2516:$Q2516,"W")+COUNTIF($Q2523:$Q2523,"W")+COUNTIF($Q2530:$Q2530,"W")+COUNTIF($Q2537:$Q2537,"W")</f>
        <v>0</v>
      </c>
      <c r="R2546" s="60" t="s">
        <v>1228</v>
      </c>
      <c r="S2546" s="339" t="s">
        <v>1126</v>
      </c>
      <c r="T2546" s="340"/>
      <c r="U2546" s="340"/>
      <c r="V2546" s="340"/>
      <c r="W2546" s="340"/>
      <c r="X2546" s="341"/>
      <c r="Y2546" s="60">
        <v>1</v>
      </c>
      <c r="Z2546" s="60">
        <v>2</v>
      </c>
      <c r="AA2546" s="60">
        <v>3</v>
      </c>
      <c r="AB2546" s="60">
        <v>4</v>
      </c>
      <c r="AC2546" s="60">
        <v>5</v>
      </c>
      <c r="AD2546" s="342"/>
      <c r="AE2546" s="343"/>
      <c r="AF2546" s="344"/>
    </row>
    <row r="2547" spans="1:32" ht="12.75" customHeight="1" thickBot="1">
      <c r="F2547" s="246" t="s">
        <v>1238</v>
      </c>
      <c r="G2547" s="246"/>
      <c r="H2547" s="246"/>
      <c r="I2547" s="246"/>
      <c r="J2547" s="246"/>
      <c r="K2547" s="246"/>
      <c r="R2547" s="300" t="str">
        <f>B2508</f>
        <v>D</v>
      </c>
      <c r="S2547" s="331" t="str">
        <f ca="1">IF($B2535&lt;&gt;"",$B2535,"")</f>
        <v/>
      </c>
      <c r="T2547" s="353"/>
      <c r="U2547" s="353"/>
      <c r="V2547" s="353"/>
      <c r="W2547" s="353"/>
      <c r="X2547" s="354"/>
      <c r="Y2547" s="329"/>
      <c r="Z2547" s="329"/>
      <c r="AA2547" s="351"/>
      <c r="AB2547" s="351"/>
      <c r="AC2547" s="351"/>
      <c r="AD2547" s="345"/>
      <c r="AE2547" s="346"/>
      <c r="AF2547" s="347"/>
    </row>
    <row r="2548" spans="1:32" ht="12.75" customHeight="1">
      <c r="A2548" s="22"/>
      <c r="B2548" s="22"/>
      <c r="C2548" s="22"/>
      <c r="D2548" s="22"/>
      <c r="E2548" s="22"/>
      <c r="G2548" s="304" t="str">
        <f>B2508</f>
        <v>D</v>
      </c>
      <c r="H2548" s="305"/>
      <c r="I2548" s="302" t="str">
        <f>K2508</f>
        <v>L</v>
      </c>
      <c r="J2548" s="303"/>
      <c r="L2548" s="22"/>
      <c r="M2548" s="22"/>
      <c r="N2548" s="22"/>
      <c r="O2548" s="22"/>
      <c r="P2548" s="22"/>
      <c r="R2548" s="301"/>
      <c r="S2548" s="355"/>
      <c r="T2548" s="356"/>
      <c r="U2548" s="356"/>
      <c r="V2548" s="356"/>
      <c r="W2548" s="356"/>
      <c r="X2548" s="357"/>
      <c r="Y2548" s="338"/>
      <c r="Z2548" s="338"/>
      <c r="AA2548" s="352"/>
      <c r="AB2548" s="352"/>
      <c r="AC2548" s="352"/>
      <c r="AD2548" s="348"/>
      <c r="AE2548" s="349"/>
      <c r="AF2548" s="350"/>
    </row>
    <row r="2549" spans="1:32" ht="12.75" customHeight="1" thickBot="1">
      <c r="A2549" s="2" t="s">
        <v>1228</v>
      </c>
      <c r="B2549" s="53" t="str">
        <f>B2508</f>
        <v>D</v>
      </c>
      <c r="C2549" s="3" t="s">
        <v>1226</v>
      </c>
      <c r="F2549" s="66" t="str">
        <f>CONCATENATE($B2508,"-",$K2508)</f>
        <v>D-L</v>
      </c>
      <c r="G2549" s="320" t="str">
        <f ca="1">IF(OR(Q2514&lt;&gt;"",Q2521&lt;&gt;"",Q2528&lt;&gt;"",Q2535&lt;&gt;"",Q2542&lt;&gt;""),COUNTIF(Q2514:Q2514,"W")+COUNTIF(Q2521:Q2521,"W")+COUNTIF(Q2528:Q2528,"W")+COUNTIF(Q2535:Q2535,"W")+COUNTIF(Q2542:Q2542,"W"),"")</f>
        <v/>
      </c>
      <c r="H2549" s="321"/>
      <c r="I2549" s="322" t="str">
        <f ca="1">IF(OR(Q2516&lt;&gt;"",Q2523&lt;&gt;"",Q2530&lt;&gt;"",Q2537&lt;&gt;"",Q2544&lt;&gt;""),COUNTIF(Q2516:Q2516,"W")+COUNTIF(Q2523:Q2523,"W")+COUNTIF(Q2530:Q2530,"W")+COUNTIF(Q2537:Q2537,"W")+COUNTIF(Q2544:Q2544,"W"),"")</f>
        <v/>
      </c>
      <c r="J2549" s="323"/>
      <c r="L2549" s="2" t="s">
        <v>1228</v>
      </c>
      <c r="M2549" s="53" t="str">
        <f>K2508</f>
        <v>L</v>
      </c>
      <c r="N2549" s="3" t="s">
        <v>1226</v>
      </c>
      <c r="R2549" s="300" t="str">
        <f>K2508</f>
        <v>L</v>
      </c>
      <c r="S2549" s="331" t="str">
        <f ca="1">IF($B2537&lt;&gt;"",$B2537,"")</f>
        <v/>
      </c>
      <c r="T2549" s="332"/>
      <c r="U2549" s="332"/>
      <c r="V2549" s="332"/>
      <c r="W2549" s="332"/>
      <c r="X2549" s="333"/>
      <c r="Y2549" s="329"/>
      <c r="Z2549" s="329"/>
      <c r="AA2549" s="351"/>
      <c r="AB2549" s="351"/>
      <c r="AC2549" s="351"/>
      <c r="AD2549" s="363" t="s">
        <v>1237</v>
      </c>
      <c r="AE2549" s="358"/>
      <c r="AF2549" s="359"/>
    </row>
    <row r="2550" spans="1:32" ht="12.75" customHeight="1">
      <c r="F2550" s="25" t="s">
        <v>3996</v>
      </c>
      <c r="G2550" s="23"/>
      <c r="H2550" s="23"/>
      <c r="I2550" s="23"/>
      <c r="J2550" s="23"/>
      <c r="K2550" s="24"/>
      <c r="R2550" s="330"/>
      <c r="S2550" s="334"/>
      <c r="T2550" s="335"/>
      <c r="U2550" s="335"/>
      <c r="V2550" s="335"/>
      <c r="W2550" s="335"/>
      <c r="X2550" s="336"/>
      <c r="Y2550" s="330"/>
      <c r="Z2550" s="330"/>
      <c r="AA2550" s="330"/>
      <c r="AB2550" s="330"/>
      <c r="AC2550" s="330"/>
      <c r="AD2550" s="360"/>
      <c r="AE2550" s="361"/>
      <c r="AF2550" s="362"/>
    </row>
    <row r="2551" spans="1:32" ht="12.75" customHeight="1">
      <c r="R2551" s="1"/>
      <c r="S2551" s="110"/>
      <c r="T2551" s="110"/>
      <c r="U2551" s="110"/>
      <c r="V2551" s="110"/>
      <c r="W2551" s="110"/>
      <c r="X2551" s="111"/>
      <c r="Y2551" s="111"/>
      <c r="Z2551" s="111"/>
      <c r="AA2551" s="111"/>
    </row>
    <row r="2552" spans="1:32" ht="12.75" customHeight="1">
      <c r="F2552" s="246" t="s">
        <v>4929</v>
      </c>
      <c r="G2552" s="246"/>
      <c r="H2552" s="246"/>
      <c r="I2552" s="246"/>
      <c r="R2552" s="1"/>
      <c r="S2552" s="110"/>
      <c r="T2552" s="110"/>
      <c r="U2552" s="110"/>
      <c r="V2552" s="110"/>
      <c r="W2552" s="110"/>
      <c r="X2552" s="111"/>
      <c r="Y2552" s="111"/>
      <c r="Z2552" s="111"/>
      <c r="AA2552" s="111"/>
    </row>
    <row r="2553" spans="1:32" ht="12.75" customHeight="1">
      <c r="F2553" s="246" t="s">
        <v>4930</v>
      </c>
      <c r="G2553" s="246"/>
      <c r="H2553" s="246"/>
      <c r="I2553" s="246"/>
      <c r="R2553" s="1"/>
      <c r="S2553" s="110"/>
      <c r="T2553" s="110"/>
      <c r="U2553" s="110"/>
      <c r="V2553" s="110"/>
      <c r="W2553" s="110"/>
      <c r="X2553" s="111"/>
      <c r="Y2553" s="111"/>
      <c r="Z2553" s="111"/>
      <c r="AA2553" s="111"/>
    </row>
    <row r="2554" spans="1:32" ht="12.75" customHeight="1">
      <c r="K2554" s="281" t="s">
        <v>1244</v>
      </c>
      <c r="L2554" s="281"/>
      <c r="M2554" s="281"/>
      <c r="N2554" s="281"/>
      <c r="O2554" s="281"/>
      <c r="P2554" s="281"/>
      <c r="R2554" s="1"/>
      <c r="S2554" s="110"/>
      <c r="T2554" s="110"/>
      <c r="U2554" s="110"/>
      <c r="V2554" s="110"/>
      <c r="W2554" s="110"/>
      <c r="X2554" s="111"/>
      <c r="Y2554" s="111"/>
      <c r="Z2554" s="111"/>
      <c r="AA2554" s="111"/>
    </row>
    <row r="2555" spans="1:32" ht="12.75" customHeight="1">
      <c r="A2555" s="12" t="s">
        <v>1229</v>
      </c>
      <c r="B2555" s="11"/>
      <c r="C2555" s="11"/>
      <c r="D2555" s="11" t="str">
        <f>Draw!$B$1</f>
        <v>Enter Division Name</v>
      </c>
      <c r="E2555" s="11"/>
      <c r="F2555" s="7"/>
      <c r="G2555" s="6"/>
      <c r="H2555" s="7"/>
      <c r="I2555" s="11"/>
      <c r="J2555" s="11"/>
      <c r="K2555" s="11"/>
      <c r="L2555" s="11"/>
      <c r="M2555" s="281"/>
      <c r="N2555" s="281"/>
      <c r="O2555" s="281"/>
      <c r="P2555" s="281"/>
      <c r="R2555" s="1"/>
      <c r="S2555" s="110"/>
      <c r="T2555" s="110"/>
      <c r="U2555" s="110"/>
      <c r="V2555" s="110"/>
      <c r="W2555" s="110"/>
      <c r="X2555" s="111"/>
      <c r="Y2555" s="111"/>
      <c r="Z2555" s="111"/>
      <c r="AA2555" s="111"/>
    </row>
    <row r="2556" spans="1:32" ht="12.75" customHeight="1">
      <c r="A2556" s="2" t="s">
        <v>1230</v>
      </c>
      <c r="D2556" s="43" t="str">
        <f>Draw!$D$1</f>
        <v>Enter Hosting Location (City, ST)</v>
      </c>
      <c r="J2556" s="43" t="str">
        <f ca="1">$J$6</f>
        <v>[NCTTA Teams Template (v2.06).xlsx]</v>
      </c>
      <c r="R2556" s="1"/>
      <c r="S2556" s="110"/>
      <c r="T2556" s="110"/>
      <c r="U2556" s="110"/>
      <c r="V2556" s="110"/>
      <c r="W2556" s="110"/>
      <c r="X2556" s="111"/>
      <c r="Y2556" s="111"/>
      <c r="Z2556" s="111"/>
      <c r="AA2556" s="111"/>
    </row>
    <row r="2557" spans="1:32" ht="12.75" customHeight="1">
      <c r="A2557" s="2" t="s">
        <v>1231</v>
      </c>
      <c r="D2557" s="337" t="str">
        <f>Draw!$P$1</f>
        <v>Enter Date</v>
      </c>
      <c r="E2557" s="337"/>
      <c r="F2557" s="337"/>
      <c r="G2557" s="337"/>
      <c r="J2557" s="280" t="str">
        <f>CHOOSE(Draw!$T$1,"Round 9, Match 3","","","","","","","","","","Round 11, Match 1")</f>
        <v/>
      </c>
      <c r="K2557" s="280"/>
      <c r="L2557" s="280"/>
      <c r="M2557" s="276" t="str">
        <f>IF(AND($J2557&lt;&gt;"",Draw!$AC$10&lt;&gt;"",Draw!$AC$13&lt;&gt;""),Draw!$AC$10+TIME(0,VALUE(MID($J2557,7,FIND(",",$J2557)-FIND(" ",$J2557)-1)-1)*Draw!$AC$13,0),"")</f>
        <v/>
      </c>
      <c r="N2557" s="276"/>
      <c r="O2557" s="157" t="str">
        <f>$F2600</f>
        <v>E-I</v>
      </c>
      <c r="R2557" s="1"/>
      <c r="S2557" s="110"/>
      <c r="T2557" s="110"/>
      <c r="U2557" s="110"/>
      <c r="V2557" s="110"/>
      <c r="W2557" s="110"/>
      <c r="X2557" s="111"/>
      <c r="Y2557" s="111"/>
      <c r="Z2557" s="111"/>
      <c r="AA2557" s="111"/>
    </row>
    <row r="2558" spans="1:32" ht="12.75" customHeight="1">
      <c r="A2558" s="14"/>
      <c r="B2558" s="15"/>
      <c r="C2558" s="15"/>
      <c r="D2558" s="15"/>
      <c r="E2558" s="15"/>
      <c r="F2558" s="14"/>
      <c r="G2558" s="14"/>
      <c r="H2558" s="16"/>
      <c r="I2558" s="14"/>
      <c r="J2558" s="15"/>
      <c r="K2558" s="15"/>
      <c r="L2558" s="15"/>
      <c r="M2558" s="15"/>
      <c r="N2558" s="15"/>
      <c r="O2558" s="364" t="str">
        <f>IF(OR(AND(VLOOKUP($B2559,$AM$1:$AX$12,12,FALSE)="C",VLOOKUP($K2559,$AM$1:$AX$12,12,FALSE)="C"),AND(VLOOKUP($B2559,$AM$1:$AX$12,12,FALSE)="W",VLOOKUP($K2559,$AM$1:$AX$12,12,FALSE)="W")),"Official",IF(AND($A2560="",$J2560=""),"","Scrimmage"))</f>
        <v/>
      </c>
      <c r="P2558" s="364"/>
      <c r="R2558" s="1"/>
      <c r="S2558" s="110"/>
      <c r="T2558" s="110"/>
      <c r="U2558" s="110"/>
      <c r="V2558" s="110"/>
      <c r="W2558" s="110"/>
      <c r="X2558" s="111"/>
      <c r="Y2558" s="111"/>
      <c r="Z2558" s="111"/>
      <c r="AA2558" s="111"/>
    </row>
    <row r="2559" spans="1:32" ht="12.75" customHeight="1">
      <c r="A2559" s="17" t="s">
        <v>1228</v>
      </c>
      <c r="B2559" s="94" t="str">
        <f>CHOOSE(Draw!$T$1,"B","D","E","E","F","F","F","F","E","C","A")</f>
        <v>E</v>
      </c>
      <c r="C2559" s="135">
        <f>VLOOKUP($B2559,$AM$1:$AN$12,2)</f>
        <v>5</v>
      </c>
      <c r="D2559" s="13"/>
      <c r="E2559" s="13"/>
      <c r="F2559" s="10"/>
      <c r="H2559" s="19" t="s">
        <v>1232</v>
      </c>
      <c r="J2559" s="17" t="s">
        <v>1228</v>
      </c>
      <c r="K2559" s="119" t="str">
        <f>CHOOSE(Draw!$T$1,"F","I","I","L","L","L","L","K","L","L","H")</f>
        <v>I</v>
      </c>
      <c r="L2559" s="135">
        <f>VLOOKUP($K2559,$AM$1:$AN$12,2)</f>
        <v>9</v>
      </c>
      <c r="M2559" s="13"/>
      <c r="N2559" s="13"/>
      <c r="O2559" s="18"/>
      <c r="P2559" s="274"/>
      <c r="Q2559" s="275"/>
      <c r="R2559" s="1"/>
      <c r="S2559" s="110"/>
      <c r="T2559" s="110"/>
      <c r="U2559" s="110"/>
      <c r="V2559" s="110"/>
      <c r="W2559" s="110"/>
      <c r="X2559" s="111"/>
      <c r="Y2559" s="111"/>
      <c r="Z2559" s="111"/>
      <c r="AA2559" s="111"/>
    </row>
    <row r="2560" spans="1:32" ht="12.75" customHeight="1">
      <c r="A2560" s="277" t="str">
        <f>IF(VLOOKUP($B2559,Draw!$A$4:$B$27,2)&lt;&gt;0,VLOOKUP($B2559,Draw!$A$4:$B$27,2),"")</f>
        <v/>
      </c>
      <c r="B2560" s="278"/>
      <c r="C2560" s="278"/>
      <c r="D2560" s="278"/>
      <c r="E2560" s="278"/>
      <c r="F2560" s="279"/>
      <c r="G2560" s="306" t="s">
        <v>4202</v>
      </c>
      <c r="H2560" s="289"/>
      <c r="I2560" s="307"/>
      <c r="J2560" s="277" t="str">
        <f>IF(VLOOKUP($K2559,Draw!$A$4:$B$27,2)&lt;&gt;0,VLOOKUP($K2559,Draw!$A$4:$B$27,2),"")</f>
        <v/>
      </c>
      <c r="K2560" s="278"/>
      <c r="L2560" s="278"/>
      <c r="M2560" s="278"/>
      <c r="N2560" s="278"/>
      <c r="O2560" s="279"/>
      <c r="P2560" s="15"/>
      <c r="R2560" s="1"/>
      <c r="S2560" s="110"/>
      <c r="T2560" s="110"/>
      <c r="U2560" s="110"/>
      <c r="V2560" s="110"/>
      <c r="W2560" s="110"/>
      <c r="X2560" s="111"/>
      <c r="Y2560" s="111"/>
      <c r="Z2560" s="111"/>
      <c r="AA2560" s="111"/>
    </row>
    <row r="2561" spans="1:32" ht="12.75" customHeight="1">
      <c r="A2561" s="14"/>
      <c r="B2561" s="15"/>
      <c r="C2561" s="15"/>
      <c r="D2561" s="15"/>
      <c r="E2561" s="15"/>
      <c r="F2561" s="14"/>
      <c r="G2561" s="288" t="str">
        <f>"Page "&amp;VALUE(RIGHT($G2560,LEN($G2560)-SEARCH("-",$G2560)))/2</f>
        <v>Page 51</v>
      </c>
      <c r="H2561" s="289"/>
      <c r="I2561" s="289"/>
      <c r="J2561" s="15"/>
      <c r="K2561" s="15"/>
      <c r="L2561" s="15"/>
      <c r="M2561" s="15"/>
      <c r="N2561" s="15"/>
      <c r="O2561" s="15"/>
      <c r="P2561" s="15"/>
      <c r="R2561" s="1"/>
      <c r="S2561" s="110"/>
      <c r="T2561" s="110"/>
      <c r="U2561" s="110"/>
      <c r="V2561" s="110"/>
      <c r="W2561" s="110"/>
      <c r="X2561" s="111"/>
      <c r="Y2561" s="111"/>
      <c r="Z2561" s="111"/>
      <c r="AA2561" s="111"/>
      <c r="AF2561" s="27"/>
    </row>
    <row r="2562" spans="1:32" ht="12.75" customHeight="1">
      <c r="A2562" s="327" t="s">
        <v>1245</v>
      </c>
      <c r="B2562" s="327"/>
      <c r="C2562" s="327"/>
      <c r="D2562" s="327"/>
      <c r="E2562" s="327"/>
      <c r="F2562" s="327"/>
      <c r="G2562" s="327"/>
      <c r="H2562" s="327"/>
      <c r="I2562" s="327"/>
      <c r="J2562" s="327"/>
      <c r="K2562" s="327"/>
      <c r="L2562" s="327"/>
      <c r="M2562" s="327"/>
      <c r="N2562" s="327"/>
      <c r="O2562" s="327"/>
      <c r="P2562" s="327"/>
      <c r="Q2562" s="7"/>
      <c r="R2562" s="1"/>
      <c r="S2562" s="110"/>
      <c r="T2562" s="110"/>
      <c r="U2562" s="110"/>
      <c r="V2562" s="110"/>
      <c r="W2562" s="110"/>
      <c r="X2562" s="111"/>
      <c r="Y2562" s="111"/>
      <c r="Z2562" s="111"/>
      <c r="AA2562" s="111"/>
      <c r="AF2562" s="20"/>
    </row>
    <row r="2563" spans="1:32" ht="12.75" customHeight="1">
      <c r="A2563" s="21" t="s">
        <v>1233</v>
      </c>
      <c r="H2563" s="136" t="str">
        <f>IF($Q2565&lt;&gt;"",IF(AND(AND($H2565&gt;-1,$H2567&gt;-1),OR($H2565&gt;10,$H2567&gt;10),ABS($H2565-$H2567)&gt;1,IF(OR($H2565&gt;11,$H2567&gt;11),ABS($H2565-$H2567)=2,TRUE),$H2565=INT($H2565),$H2567=INT($H2567)),"","Error"),"")</f>
        <v/>
      </c>
      <c r="I2563" s="136" t="str">
        <f>IF($Q2565&lt;&gt;"",IF(AND(AND($I2565&gt;-1,$I2567&gt;-1),OR($I2565&gt;10,$I2567&gt;10),ABS($I2565-$I2567)&gt;1,IF(OR($I2565&gt;11,$I2567&gt;11),ABS($I2565-$I2567)=2,TRUE),$I2565=INT($I2565),$I2567=INT($I2567)),"","Error"),"")</f>
        <v/>
      </c>
      <c r="J2563" s="136" t="str">
        <f>IF($Q2565&lt;&gt;"",IF(AND(AND($J2565&gt;-1,$J2567&gt;-1),OR($J2565&gt;10,$J2567&gt;10),ABS($J2565-$J2567)&gt;1,IF(OR($J2565&gt;11,$J2567&gt;11),ABS($J2565-$J2567)=2,TRUE),$J2565=INT($J2565),$J2567=INT($J2567)),"","Error"),"")</f>
        <v/>
      </c>
      <c r="K2563" s="136" t="str">
        <f>IF($Q2565&lt;&gt;"",IF(AND($K2565&lt;&gt;"",$K2567&lt;&gt;""), IF(AND(AND($K2565&gt;-1,$K2567&gt;-1),OR($K2565&gt;10,$K2567&gt;10),ABS($K2565-$K2567)&gt;1,IF(OR($K2565&gt;11,$K2567&gt;11),ABS($K2565-$K2567)=2,TRUE),$K2565=INT($K2565),$K2567=INT($K2567)),"","Error"),""),"")</f>
        <v/>
      </c>
      <c r="L2563" s="136" t="str">
        <f>IF($Q2565&lt;&gt;"",IF(AND($L2565&lt;&gt;"",$L2567&lt;&gt;""), IF(AND(AND($L2565&gt;-1,$L2567&gt;-1),OR($L2565&gt;10,$L2567&gt;10),ABS($L2565-$L2567)&gt;1,IF(OR($L2565&gt;11,$L2567&gt;11),ABS($L2565-$L2567)=2,TRUE),$L2565=INT($L2565),$L2567=INT($L2567)),"","Error"),""),"")</f>
        <v/>
      </c>
      <c r="R2563" s="1"/>
      <c r="S2563" s="110"/>
      <c r="T2563" s="110"/>
      <c r="U2563" s="110"/>
      <c r="V2563" s="110"/>
      <c r="W2563" s="110"/>
      <c r="X2563" s="111"/>
      <c r="Y2563" s="111"/>
      <c r="Z2563" s="111"/>
      <c r="AA2563" s="111"/>
    </row>
    <row r="2564" spans="1:32" ht="12.75" customHeight="1">
      <c r="A2564" s="5" t="s">
        <v>1228</v>
      </c>
      <c r="B2564" s="290" t="s">
        <v>1126</v>
      </c>
      <c r="C2564" s="291"/>
      <c r="D2564" s="291"/>
      <c r="E2564" s="291"/>
      <c r="F2564" s="291"/>
      <c r="G2564" s="292"/>
      <c r="H2564" s="5">
        <v>1</v>
      </c>
      <c r="I2564" s="5">
        <v>2</v>
      </c>
      <c r="J2564" s="5">
        <v>3</v>
      </c>
      <c r="K2564" s="5">
        <v>4</v>
      </c>
      <c r="L2564" s="5">
        <v>5</v>
      </c>
      <c r="M2564" s="271"/>
      <c r="N2564" s="272"/>
      <c r="O2564" s="272"/>
      <c r="P2564" s="273"/>
      <c r="R2564" s="1"/>
      <c r="S2564" s="110"/>
      <c r="T2564" s="110"/>
      <c r="U2564" s="110"/>
      <c r="V2564" s="110"/>
      <c r="W2564" s="110"/>
      <c r="X2564" s="111"/>
      <c r="Y2564" s="111"/>
      <c r="Z2564" s="111"/>
      <c r="AA2564" s="111"/>
    </row>
    <row r="2565" spans="1:32" ht="12.75" customHeight="1">
      <c r="A2565" s="300" t="str">
        <f>B2559</f>
        <v>E</v>
      </c>
      <c r="B2565" s="293" t="str">
        <f ca="1">IF(AND(OFFSET($AO$1,$C2559-1,8,1,1),$A2560&lt;&gt;"",$J2560&lt;&gt;""),CHOOSE($C2559,$AO$1,$AO$2,$AO$3,$AO$4,$AO$5,$AO$6,$AO$7,$AO$8,$AO$9,$AO$10,$AO$11,$AO$12),"")</f>
        <v/>
      </c>
      <c r="C2565" s="294"/>
      <c r="D2565" s="294"/>
      <c r="E2565" s="294"/>
      <c r="F2565" s="294"/>
      <c r="G2565" s="294"/>
      <c r="H2565" s="265"/>
      <c r="I2565" s="265"/>
      <c r="J2565" s="265"/>
      <c r="K2565" s="265"/>
      <c r="L2565" s="265"/>
      <c r="M2565" s="297"/>
      <c r="N2565" s="298"/>
      <c r="O2565" s="298"/>
      <c r="P2565" s="299"/>
      <c r="Q2565" s="137" t="str">
        <f>IF($L2565=$L2567,IF($K2565=$K2567,IF($J2565&lt;&gt;"",IF($J2565&gt;$J2567,"W","L"),""),IF($K2565&gt;$K2567,"W","L")),IF($L2565&gt;$L2567,"W","L"))</f>
        <v/>
      </c>
      <c r="R2565" s="1"/>
      <c r="S2565" s="110"/>
      <c r="T2565" s="110"/>
      <c r="U2565" s="110"/>
      <c r="V2565" s="110"/>
      <c r="W2565" s="110"/>
      <c r="X2565" s="111"/>
      <c r="Y2565" s="111"/>
      <c r="Z2565" s="111"/>
      <c r="AA2565" s="111"/>
    </row>
    <row r="2566" spans="1:32" ht="12.75" customHeight="1">
      <c r="A2566" s="301"/>
      <c r="B2566" s="295"/>
      <c r="C2566" s="296"/>
      <c r="D2566" s="296"/>
      <c r="E2566" s="296"/>
      <c r="F2566" s="296"/>
      <c r="G2566" s="296"/>
      <c r="H2566" s="270"/>
      <c r="I2566" s="270"/>
      <c r="J2566" s="270"/>
      <c r="K2566" s="270"/>
      <c r="L2566" s="270"/>
      <c r="M2566" s="297"/>
      <c r="N2566" s="298"/>
      <c r="O2566" s="298"/>
      <c r="P2566" s="299"/>
      <c r="Q2566" s="139" t="str">
        <f>IF($Q2565&lt;&gt;"",IF($Q2565="W",IF(SUM(IF($H2565&gt;$H2567,1,0),IF($I2565&gt;$I2567,1,0),IF($J2565&gt;$J2567,1,0),IF($K2565&gt;$K2567,1,0),IF($L2565&gt;$L2567,1,0))&lt;&gt;3,"Error",""),""),"")</f>
        <v/>
      </c>
      <c r="R2566" s="328" t="str">
        <f>$A2560</f>
        <v/>
      </c>
      <c r="S2566" s="328"/>
      <c r="T2566" s="328"/>
      <c r="U2566" s="328"/>
      <c r="V2566" s="328"/>
      <c r="W2566" s="328"/>
      <c r="X2566" s="256" t="str">
        <f>CONCATENATE("(",$B2559," vs ",$K2559,")")</f>
        <v>(E vs I)</v>
      </c>
      <c r="Y2566" s="256"/>
      <c r="Z2566" s="328" t="str">
        <f>$J2560</f>
        <v/>
      </c>
      <c r="AA2566" s="328"/>
      <c r="AB2566" s="328"/>
      <c r="AC2566" s="328"/>
      <c r="AD2566" s="328"/>
      <c r="AE2566" s="328"/>
      <c r="AF2566" s="43"/>
    </row>
    <row r="2567" spans="1:32" ht="12.75" customHeight="1">
      <c r="A2567" s="300" t="str">
        <f>K2559</f>
        <v>I</v>
      </c>
      <c r="B2567" s="293" t="str">
        <f ca="1">IF(AND(OFFSET($AO$1,$L2559-1,8,1,1),$A2560&lt;&gt;"",$J2560&lt;&gt;""),CHOOSE($L2559,$AO$1,$AO$2,$AO$3,$AO$4,$AO$5,$AO$6,$AO$7,$AO$8,$AO$9,$AO$10,$AO$11,$AO$12),"")</f>
        <v/>
      </c>
      <c r="C2567" s="294"/>
      <c r="D2567" s="294"/>
      <c r="E2567" s="294"/>
      <c r="F2567" s="294"/>
      <c r="G2567" s="294"/>
      <c r="H2567" s="265"/>
      <c r="I2567" s="265"/>
      <c r="J2567" s="265"/>
      <c r="K2567" s="265"/>
      <c r="L2567" s="265"/>
      <c r="M2567" s="267" t="s">
        <v>1237</v>
      </c>
      <c r="N2567" s="268"/>
      <c r="O2567" s="268"/>
      <c r="P2567" s="269"/>
      <c r="Q2567" s="137" t="str">
        <f>IF($Q2565&lt;&gt;"",IF($Q2565="W","L","W"),"")</f>
        <v/>
      </c>
      <c r="R2567" s="43"/>
      <c r="S2567" s="43"/>
      <c r="T2567" s="43"/>
      <c r="U2567" s="43"/>
      <c r="V2567" s="43"/>
      <c r="W2567" s="43"/>
      <c r="X2567" s="43"/>
      <c r="Y2567" s="43"/>
      <c r="Z2567" s="43"/>
      <c r="AA2567" s="43"/>
      <c r="AB2567" s="43"/>
      <c r="AC2567" s="43"/>
      <c r="AD2567" s="43"/>
      <c r="AE2567" s="43"/>
      <c r="AF2567" s="43"/>
    </row>
    <row r="2568" spans="1:32" ht="12.75" customHeight="1">
      <c r="A2568" s="301"/>
      <c r="B2568" s="295"/>
      <c r="C2568" s="296"/>
      <c r="D2568" s="296"/>
      <c r="E2568" s="296"/>
      <c r="F2568" s="296"/>
      <c r="G2568" s="296"/>
      <c r="H2568" s="270"/>
      <c r="I2568" s="270"/>
      <c r="J2568" s="266"/>
      <c r="K2568" s="266"/>
      <c r="L2568" s="266"/>
      <c r="M2568" s="267"/>
      <c r="N2568" s="268"/>
      <c r="O2568" s="268"/>
      <c r="P2568" s="269"/>
      <c r="Q2568" s="139" t="str">
        <f>IF($Q2567&lt;&gt;"",IF($Q2567="W",IF(SUM(IF($H2567&gt;$H2565,1,0),IF($I2567&gt;$I2565,1,0),IF($J2567&gt;$J2565,1,0),IF($K2567&gt;$K2565,1,0),IF($L2567&gt;$L2565,1,0))&lt;&gt;3,"Error",""),""),"")</f>
        <v/>
      </c>
      <c r="R2568" s="43" t="str">
        <f>$A2570</f>
        <v>2nd Singles</v>
      </c>
      <c r="S2568" s="43"/>
      <c r="T2568" s="43"/>
      <c r="U2568" s="43"/>
      <c r="V2568" s="43"/>
      <c r="W2568" s="43"/>
      <c r="X2568" s="43"/>
      <c r="Y2568" s="43"/>
      <c r="Z2568" s="43"/>
      <c r="AA2568" s="43"/>
      <c r="AB2568" s="43"/>
      <c r="AC2568" s="43"/>
      <c r="AD2568" s="43"/>
      <c r="AE2568" s="43"/>
      <c r="AF2568" s="43"/>
    </row>
    <row r="2569" spans="1:32" ht="12.75" customHeight="1">
      <c r="Q2569" s="7"/>
      <c r="R2569" s="60" t="s">
        <v>1228</v>
      </c>
      <c r="S2569" s="339" t="s">
        <v>1126</v>
      </c>
      <c r="T2569" s="340"/>
      <c r="U2569" s="340"/>
      <c r="V2569" s="340"/>
      <c r="W2569" s="340"/>
      <c r="X2569" s="341"/>
      <c r="Y2569" s="60">
        <v>1</v>
      </c>
      <c r="Z2569" s="60">
        <v>2</v>
      </c>
      <c r="AA2569" s="60">
        <v>3</v>
      </c>
      <c r="AB2569" s="60">
        <v>4</v>
      </c>
      <c r="AC2569" s="60">
        <v>5</v>
      </c>
      <c r="AD2569" s="342"/>
      <c r="AE2569" s="343"/>
      <c r="AF2569" s="344"/>
    </row>
    <row r="2570" spans="1:32" ht="12.75" customHeight="1">
      <c r="A2570" s="21" t="s">
        <v>1234</v>
      </c>
      <c r="H2570" s="136" t="str">
        <f>IF($Q2572&lt;&gt;"",IF(AND(AND($H2572&gt;-1,$H2574&gt;-1),OR($H2572&gt;10,$H2574&gt;10),ABS($H2572-$H2574)&gt;1,IF(OR($H2572&gt;11,$H2574&gt;11),ABS($H2572-$H2574)=2,TRUE),$H2572=INT($H2572),$H2574=INT($H2574)),"","Error"),"")</f>
        <v/>
      </c>
      <c r="I2570" s="136" t="str">
        <f>IF($Q2572&lt;&gt;"",IF(AND(AND($I2572&gt;-1,$I2574&gt;-1),OR($I2572&gt;10,$I2574&gt;10),ABS($I2572-$I2574)&gt;1,IF(OR($I2572&gt;11,$I2574&gt;11),ABS($I2572-$I2574)=2,TRUE),$I2572=INT($I2572),$I2574=INT($I2574)),"","Error"),"")</f>
        <v/>
      </c>
      <c r="J2570" s="136" t="str">
        <f>IF($Q2572&lt;&gt;"",IF(AND(AND($J2572&gt;-1,$J2574&gt;-1),OR($J2572&gt;10,$J2574&gt;10),ABS($J2572-$J2574)&gt;1,IF(OR($J2572&gt;11,$J2574&gt;11),ABS($J2572-$J2574)=2,TRUE),$J2572=INT($J2572),$J2574=INT($J2574)),"","Error"),"")</f>
        <v/>
      </c>
      <c r="K2570" s="136" t="str">
        <f>IF($Q2572&lt;&gt;"",IF(AND($K2572&lt;&gt;"",$K2574&lt;&gt;""), IF(AND(AND($K2572&gt;-1,$K2574&gt;-1),OR($K2572&gt;10,$K2574&gt;10),ABS($K2572-$K2574)&gt;1,IF(OR($K2572&gt;11,$K2574&gt;11),ABS($K2572-$K2574)=2,TRUE),$K2572=INT($K2572),$K2574=INT($K2574)),"","Error"),""),"")</f>
        <v/>
      </c>
      <c r="L2570" s="136" t="str">
        <f>IF($Q2572&lt;&gt;"",IF(AND($L2572&lt;&gt;"",$L2574&lt;&gt;""), IF(AND(AND($L2572&gt;-1,$L2574&gt;-1),OR($L2572&gt;10,$L2574&gt;10),ABS($L2572-$L2574)&gt;1,IF(OR($L2572&gt;11,$L2574&gt;11),ABS($L2572-$L2574)=2,TRUE),$L2572=INT($L2572),$L2574=INT($L2574)),"","Error"),""),"")</f>
        <v/>
      </c>
      <c r="Q2570" s="7"/>
      <c r="R2570" s="300" t="str">
        <f>$B2559</f>
        <v>E</v>
      </c>
      <c r="S2570" s="331" t="str">
        <f ca="1">IF($B2572&lt;&gt;"",$B2572,"")</f>
        <v/>
      </c>
      <c r="T2570" s="332"/>
      <c r="U2570" s="332"/>
      <c r="V2570" s="332"/>
      <c r="W2570" s="332"/>
      <c r="X2570" s="333"/>
      <c r="Y2570" s="329"/>
      <c r="Z2570" s="329"/>
      <c r="AA2570" s="329"/>
      <c r="AB2570" s="329"/>
      <c r="AC2570" s="329"/>
      <c r="AD2570" s="345"/>
      <c r="AE2570" s="358"/>
      <c r="AF2570" s="359"/>
    </row>
    <row r="2571" spans="1:32" ht="12.75" customHeight="1">
      <c r="A2571" s="5" t="s">
        <v>1228</v>
      </c>
      <c r="B2571" s="290" t="s">
        <v>1126</v>
      </c>
      <c r="C2571" s="291"/>
      <c r="D2571" s="291"/>
      <c r="E2571" s="291"/>
      <c r="F2571" s="291"/>
      <c r="G2571" s="292"/>
      <c r="H2571" s="5">
        <v>1</v>
      </c>
      <c r="I2571" s="5">
        <v>2</v>
      </c>
      <c r="J2571" s="5">
        <v>3</v>
      </c>
      <c r="K2571" s="5">
        <v>4</v>
      </c>
      <c r="L2571" s="5">
        <v>5</v>
      </c>
      <c r="M2571" s="271"/>
      <c r="N2571" s="272"/>
      <c r="O2571" s="272"/>
      <c r="P2571" s="273"/>
      <c r="Q2571" s="7"/>
      <c r="R2571" s="330"/>
      <c r="S2571" s="334"/>
      <c r="T2571" s="335"/>
      <c r="U2571" s="335"/>
      <c r="V2571" s="335"/>
      <c r="W2571" s="335"/>
      <c r="X2571" s="336"/>
      <c r="Y2571" s="330"/>
      <c r="Z2571" s="330"/>
      <c r="AA2571" s="330"/>
      <c r="AB2571" s="330"/>
      <c r="AC2571" s="330"/>
      <c r="AD2571" s="360"/>
      <c r="AE2571" s="361"/>
      <c r="AF2571" s="362"/>
    </row>
    <row r="2572" spans="1:32" ht="12.75" customHeight="1">
      <c r="A2572" s="300" t="str">
        <f>B2559</f>
        <v>E</v>
      </c>
      <c r="B2572" s="293" t="str">
        <f ca="1">IF(AND(OFFSET($AO$1,$C2559-1,8,1,1),$A2560&lt;&gt;"",$J2560&lt;&gt;""),CHOOSE($C2559,$AP$1,$AP$2,$AP$3,$AP$4,$AP$5,$AP$6,$AP$7,$AP$8,$AP$9,$AP$10,$AP$11,$AP$12),"")</f>
        <v/>
      </c>
      <c r="C2572" s="294"/>
      <c r="D2572" s="294"/>
      <c r="E2572" s="294"/>
      <c r="F2572" s="294"/>
      <c r="G2572" s="294"/>
      <c r="H2572" s="265"/>
      <c r="I2572" s="265"/>
      <c r="J2572" s="265"/>
      <c r="K2572" s="265"/>
      <c r="L2572" s="265"/>
      <c r="M2572" s="262" t="str">
        <f ca="1">IF(OR(AND($B2565&lt;&gt;"",$B2572&lt;&gt;"",$C2590&lt;=$B2590),AND($B2567&lt;&gt;"",$B2574&lt;&gt;"",$G2590&lt;=$F2590)),"Invalid Lineup","")</f>
        <v/>
      </c>
      <c r="N2572" s="263"/>
      <c r="O2572" s="263"/>
      <c r="P2572" s="264"/>
      <c r="Q2572" s="137" t="str">
        <f>IF($L2572=$L2574,IF($K2572=$K2574,IF($J2572&lt;&gt;"",IF($J2572&gt;$J2574,"W","L"),""),IF($K2572&gt;$K2574,"W","L")),IF($L2572&gt;$L2574,"W","L"))</f>
        <v/>
      </c>
      <c r="R2572" s="300" t="str">
        <f>$K2559</f>
        <v>I</v>
      </c>
      <c r="S2572" s="331" t="str">
        <f ca="1">IF($B2574&lt;&gt;"",$B2574,"")</f>
        <v/>
      </c>
      <c r="T2572" s="332"/>
      <c r="U2572" s="332"/>
      <c r="V2572" s="332"/>
      <c r="W2572" s="332"/>
      <c r="X2572" s="333"/>
      <c r="Y2572" s="329"/>
      <c r="Z2572" s="329"/>
      <c r="AA2572" s="329"/>
      <c r="AB2572" s="329"/>
      <c r="AC2572" s="351"/>
      <c r="AD2572" s="363" t="s">
        <v>1237</v>
      </c>
      <c r="AE2572" s="358"/>
      <c r="AF2572" s="359"/>
    </row>
    <row r="2573" spans="1:32" ht="12.75" customHeight="1">
      <c r="A2573" s="301"/>
      <c r="B2573" s="295"/>
      <c r="C2573" s="296"/>
      <c r="D2573" s="296"/>
      <c r="E2573" s="296"/>
      <c r="F2573" s="296"/>
      <c r="G2573" s="296"/>
      <c r="H2573" s="270"/>
      <c r="I2573" s="270"/>
      <c r="J2573" s="270"/>
      <c r="K2573" s="270"/>
      <c r="L2573" s="270"/>
      <c r="M2573" s="262"/>
      <c r="N2573" s="263"/>
      <c r="O2573" s="263"/>
      <c r="P2573" s="264"/>
      <c r="Q2573" s="139" t="str">
        <f>IF($Q2572&lt;&gt;"",IF($Q2572="W",IF(SUM(IF($H2572&gt;$H2574,1,0),IF($I2572&gt;$I2574,1,0),IF($J2572&gt;$J2574,1,0),IF($K2572&gt;$K2574,1,0),IF($L2572&gt;$L2574,1,0))&lt;&gt;3,"Error",""),""),"")</f>
        <v/>
      </c>
      <c r="R2573" s="330"/>
      <c r="S2573" s="334"/>
      <c r="T2573" s="335"/>
      <c r="U2573" s="335"/>
      <c r="V2573" s="335"/>
      <c r="W2573" s="335"/>
      <c r="X2573" s="336"/>
      <c r="Y2573" s="330"/>
      <c r="Z2573" s="330"/>
      <c r="AA2573" s="330"/>
      <c r="AB2573" s="330"/>
      <c r="AC2573" s="330"/>
      <c r="AD2573" s="360"/>
      <c r="AE2573" s="361"/>
      <c r="AF2573" s="362"/>
    </row>
    <row r="2574" spans="1:32" ht="12.75" customHeight="1">
      <c r="A2574" s="300" t="str">
        <f>K2559</f>
        <v>I</v>
      </c>
      <c r="B2574" s="293" t="str">
        <f ca="1">IF(AND(OFFSET($AO$1,$L2559-1,8,1,1),$A2560&lt;&gt;"",$J2560&lt;&gt;""),CHOOSE($L2559,$AP$1,$AP$2,$AP$3,$AP$4,$AP$5,$AP$6,$AP$7,$AP$8,$AP$9,$AP$10,$AP$11,$AP$12),"")</f>
        <v/>
      </c>
      <c r="C2574" s="294"/>
      <c r="D2574" s="294"/>
      <c r="E2574" s="294"/>
      <c r="F2574" s="294"/>
      <c r="G2574" s="294"/>
      <c r="H2574" s="265"/>
      <c r="I2574" s="265"/>
      <c r="J2574" s="265"/>
      <c r="K2574" s="265"/>
      <c r="L2574" s="265"/>
      <c r="M2574" s="267" t="s">
        <v>1237</v>
      </c>
      <c r="N2574" s="268"/>
      <c r="O2574" s="268"/>
      <c r="P2574" s="269"/>
      <c r="Q2574" s="137" t="str">
        <f>IF($Q2572&lt;&gt;"",IF($Q2572="W","L","W"),"")</f>
        <v/>
      </c>
      <c r="R2574" s="20"/>
      <c r="S2574" s="20"/>
      <c r="T2574" s="20"/>
      <c r="U2574" s="20"/>
      <c r="V2574" s="20"/>
      <c r="W2574" s="20"/>
      <c r="X2574" s="26"/>
      <c r="Y2574" s="26"/>
      <c r="Z2574" s="20"/>
      <c r="AA2574" s="20"/>
      <c r="AB2574" s="20"/>
      <c r="AC2574" s="20"/>
      <c r="AD2574" s="20"/>
      <c r="AE2574" s="20"/>
      <c r="AF2574" s="27"/>
    </row>
    <row r="2575" spans="1:32" ht="12.75" customHeight="1">
      <c r="A2575" s="301"/>
      <c r="B2575" s="295"/>
      <c r="C2575" s="296"/>
      <c r="D2575" s="296"/>
      <c r="E2575" s="296"/>
      <c r="F2575" s="296"/>
      <c r="G2575" s="296"/>
      <c r="H2575" s="270"/>
      <c r="I2575" s="270"/>
      <c r="J2575" s="266"/>
      <c r="K2575" s="266"/>
      <c r="L2575" s="266"/>
      <c r="M2575" s="267"/>
      <c r="N2575" s="268"/>
      <c r="O2575" s="268"/>
      <c r="P2575" s="269"/>
      <c r="Q2575" s="139" t="str">
        <f>IF($Q2574&lt;&gt;"",IF($Q2574="W",IF(SUM(IF($H2574&gt;$H2572,1,0),IF($I2574&gt;$I2572,1,0),IF($J2574&gt;$J2572,1,0),IF($K2574&gt;$K2572,1,0),IF($L2574&gt;$L2572,1,0))&lt;&gt;3,"Error",""),""),"")</f>
        <v/>
      </c>
      <c r="R2575" s="20"/>
      <c r="S2575" s="20"/>
      <c r="T2575" s="20"/>
      <c r="U2575" s="20"/>
      <c r="V2575" s="20"/>
      <c r="W2575" s="20"/>
      <c r="X2575" s="26"/>
      <c r="Y2575" s="26"/>
      <c r="Z2575" s="20"/>
      <c r="AA2575" s="20"/>
      <c r="AB2575" s="20"/>
      <c r="AC2575" s="20"/>
      <c r="AD2575" s="20"/>
      <c r="AE2575" s="20"/>
      <c r="AF2575" s="27"/>
    </row>
    <row r="2576" spans="1:32" ht="12.75" customHeight="1">
      <c r="Q2576" s="7"/>
      <c r="R2576" s="20"/>
      <c r="S2576" s="20"/>
      <c r="T2576" s="20"/>
      <c r="U2576" s="20"/>
      <c r="V2576" s="20"/>
      <c r="W2576" s="20"/>
      <c r="X2576" s="26"/>
      <c r="Y2576" s="26"/>
      <c r="Z2576" s="20"/>
      <c r="AA2576" s="20"/>
      <c r="AB2576" s="20"/>
      <c r="AC2576" s="20"/>
      <c r="AD2576" s="20"/>
      <c r="AE2576" s="20"/>
      <c r="AF2576" s="27"/>
    </row>
    <row r="2577" spans="1:32" ht="12.75" customHeight="1">
      <c r="A2577" s="21" t="s">
        <v>1235</v>
      </c>
      <c r="H2577" s="136" t="str">
        <f>IF($Q2579&lt;&gt;"",IF(AND(AND($H2579&gt;-1,$H2581&gt;-1),OR($H2579&gt;10,$H2581&gt;10),ABS($H2579-$H2581)&gt;1,IF(OR($H2579&gt;11,$H2581&gt;11),ABS($H2579-$H2581)=2,TRUE),$H2579=INT($H2579),$H2581=INT($H2581)),"","Error"),"")</f>
        <v/>
      </c>
      <c r="I2577" s="136" t="str">
        <f>IF($Q2579&lt;&gt;"",IF(AND(AND($I2579&gt;-1,$I2581&gt;-1),OR($I2579&gt;10,$I2581&gt;10),ABS($I2579-$I2581)&gt;1,IF(OR($I2579&gt;11,$I2581&gt;11),ABS($I2579-$I2581)=2,TRUE),$I2579=INT($I2579),$I2581=INT($I2581)),"","Error"),"")</f>
        <v/>
      </c>
      <c r="J2577" s="136" t="str">
        <f>IF($Q2579&lt;&gt;"",IF(AND(AND($J2579&gt;-1,$J2581&gt;-1),OR($J2579&gt;10,$J2581&gt;10),ABS($J2579-$J2581)&gt;1,IF(OR($J2579&gt;11,$J2581&gt;11),ABS($J2579-$J2581)=2,TRUE),$J2579=INT($J2579),$J2581=INT($J2581)),"","Error"),"")</f>
        <v/>
      </c>
      <c r="K2577" s="136" t="str">
        <f>IF($Q2579&lt;&gt;"",IF(AND($K2579&lt;&gt;"",$K2581&lt;&gt;""), IF(AND(AND($K2579&gt;-1,$K2581&gt;-1),OR($K2579&gt;10,$K2581&gt;10),ABS($K2579-$K2581)&gt;1,IF(OR($K2579&gt;11,$K2581&gt;11),ABS($K2579-$K2581)=2,TRUE),$K2579=INT($K2579),$K2581=INT($K2581)),"","Error"),""),"")</f>
        <v/>
      </c>
      <c r="L2577" s="136" t="str">
        <f>IF($Q2579&lt;&gt;"",IF(AND($L2579&lt;&gt;"",$L2581&lt;&gt;""), IF(AND(AND($L2579&gt;-1,$L2581&gt;-1),OR($L2579&gt;10,$L2581&gt;10),ABS($L2579-$L2581)&gt;1,IF(OR($L2579&gt;11,$L2581&gt;11),ABS($L2579-$L2581)=2,TRUE),$L2579=INT($L2579),$L2581=INT($L2581)),"","Error"),""),"")</f>
        <v/>
      </c>
      <c r="Q2577" s="7"/>
      <c r="R2577" s="20"/>
      <c r="S2577" s="20"/>
      <c r="T2577" s="20"/>
      <c r="U2577" s="20"/>
      <c r="V2577" s="20"/>
      <c r="W2577" s="20"/>
      <c r="X2577" s="26"/>
      <c r="Y2577" s="26"/>
      <c r="Z2577" s="20"/>
      <c r="AA2577" s="20"/>
      <c r="AB2577" s="20"/>
      <c r="AC2577" s="20"/>
      <c r="AD2577" s="20"/>
      <c r="AE2577" s="20"/>
      <c r="AF2577" s="27"/>
    </row>
    <row r="2578" spans="1:32" ht="12.75" customHeight="1">
      <c r="A2578" s="5" t="s">
        <v>1228</v>
      </c>
      <c r="B2578" s="290" t="s">
        <v>1126</v>
      </c>
      <c r="C2578" s="291"/>
      <c r="D2578" s="291"/>
      <c r="E2578" s="291"/>
      <c r="F2578" s="291"/>
      <c r="G2578" s="292"/>
      <c r="H2578" s="5">
        <v>1</v>
      </c>
      <c r="I2578" s="5">
        <v>2</v>
      </c>
      <c r="J2578" s="5">
        <v>3</v>
      </c>
      <c r="K2578" s="5">
        <v>4</v>
      </c>
      <c r="L2578" s="5">
        <v>5</v>
      </c>
      <c r="M2578" s="271"/>
      <c r="N2578" s="272"/>
      <c r="O2578" s="272"/>
      <c r="P2578" s="273"/>
      <c r="Q2578" s="7"/>
      <c r="R2578" s="20"/>
      <c r="S2578" s="20"/>
      <c r="T2578" s="20"/>
      <c r="U2578" s="20"/>
      <c r="V2578" s="20"/>
      <c r="W2578" s="20"/>
      <c r="X2578" s="26"/>
      <c r="Y2578" s="26"/>
      <c r="Z2578" s="20"/>
      <c r="AA2578" s="20"/>
      <c r="AB2578" s="20"/>
      <c r="AC2578" s="20"/>
      <c r="AD2578" s="20"/>
      <c r="AE2578" s="20"/>
      <c r="AF2578" s="27"/>
    </row>
    <row r="2579" spans="1:32" ht="12.75" customHeight="1">
      <c r="A2579" s="300" t="str">
        <f>B2559</f>
        <v>E</v>
      </c>
      <c r="B2579" s="293" t="str">
        <f ca="1">IF(AND(OFFSET($AO$1,$C2559-1,8,1,1),$A2560&lt;&gt;"",$J2560&lt;&gt;""),CHOOSE($C2559,$AQ$1,$AQ$2,$AQ$3,$AQ$4,$AQ$5,$AQ$6,$AQ$7,$AQ$8,$AQ$9,$AQ$10,$AQ$11,$AQ$12),"")</f>
        <v/>
      </c>
      <c r="C2579" s="294"/>
      <c r="D2579" s="294"/>
      <c r="E2579" s="294"/>
      <c r="F2579" s="294"/>
      <c r="G2579" s="294"/>
      <c r="H2579" s="265"/>
      <c r="I2579" s="265"/>
      <c r="J2579" s="265"/>
      <c r="K2579" s="265"/>
      <c r="L2579" s="265"/>
      <c r="M2579" s="262" t="str">
        <f ca="1">IF(OR(AND($B2572&lt;&gt;"",$B2579&lt;&gt;"",$D2590&lt;=$C2590),AND($B2574&lt;&gt;"",$B2581&lt;&gt;"",$H2590&lt;=$G2590)),"Invalid Lineup","")</f>
        <v/>
      </c>
      <c r="N2579" s="263"/>
      <c r="O2579" s="263"/>
      <c r="P2579" s="264"/>
      <c r="Q2579" s="137" t="str">
        <f>IF($L2579=$L2581,IF($K2579=$K2581,IF($J2579&lt;&gt;"",IF($J2579&gt;$J2581,"W","L"),""),IF($K2579&gt;$K2581,"W","L")),IF($L2579&gt;$L2581,"W","L"))</f>
        <v/>
      </c>
      <c r="R2579" s="20"/>
      <c r="S2579" s="20"/>
      <c r="T2579" s="20"/>
      <c r="U2579" s="20"/>
      <c r="V2579" s="20"/>
      <c r="W2579" s="20"/>
      <c r="X2579" s="26"/>
      <c r="Y2579" s="26"/>
      <c r="Z2579" s="20"/>
      <c r="AA2579" s="20"/>
      <c r="AB2579" s="20"/>
      <c r="AC2579" s="20"/>
      <c r="AD2579" s="20"/>
      <c r="AE2579" s="20"/>
      <c r="AF2579" s="27"/>
    </row>
    <row r="2580" spans="1:32" ht="12.75" customHeight="1">
      <c r="A2580" s="301"/>
      <c r="B2580" s="295"/>
      <c r="C2580" s="296"/>
      <c r="D2580" s="296"/>
      <c r="E2580" s="296"/>
      <c r="F2580" s="296"/>
      <c r="G2580" s="296"/>
      <c r="H2580" s="270"/>
      <c r="I2580" s="270"/>
      <c r="J2580" s="270"/>
      <c r="K2580" s="270"/>
      <c r="L2580" s="270"/>
      <c r="M2580" s="262"/>
      <c r="N2580" s="263"/>
      <c r="O2580" s="263"/>
      <c r="P2580" s="264"/>
      <c r="Q2580" s="139" t="str">
        <f>IF($Q2579&lt;&gt;"",IF($Q2579="W",IF(SUM(IF($H2579&gt;$H2581,1,0),IF($I2579&gt;$I2581,1,0),IF($J2579&gt;$J2581,1,0),IF($K2579&gt;$K2581,1,0),IF($L2579&gt;$L2581,1,0))&lt;&gt;3,"Error",""),""),"")</f>
        <v/>
      </c>
      <c r="R2580" s="328" t="str">
        <f>$A2560</f>
        <v/>
      </c>
      <c r="S2580" s="328"/>
      <c r="T2580" s="328"/>
      <c r="U2580" s="328"/>
      <c r="V2580" s="328"/>
      <c r="W2580" s="328"/>
      <c r="X2580" s="256" t="str">
        <f>CONCATENATE("(",$B2559," vs ",$K2559,")")</f>
        <v>(E vs I)</v>
      </c>
      <c r="Y2580" s="256"/>
      <c r="Z2580" s="328" t="str">
        <f>$J2560</f>
        <v/>
      </c>
      <c r="AA2580" s="328"/>
      <c r="AB2580" s="328"/>
      <c r="AC2580" s="328"/>
      <c r="AD2580" s="328"/>
      <c r="AE2580" s="328"/>
      <c r="AF2580" s="100"/>
    </row>
    <row r="2581" spans="1:32" ht="12.75" customHeight="1">
      <c r="A2581" s="300" t="str">
        <f>K2559</f>
        <v>I</v>
      </c>
      <c r="B2581" s="293" t="str">
        <f ca="1">IF(AND(OFFSET($AO$1,$L2559-1,8,1,1),$A2560&lt;&gt;"",$J2560&lt;&gt;""),CHOOSE($L2559,$AQ$1,$AQ$2,$AQ$3,$AQ$4,$AQ$5,$AQ$6,$AQ$7,$AQ$8,$AQ$9,$AQ$10,$AQ$11,$AQ$12),"")</f>
        <v/>
      </c>
      <c r="C2581" s="294"/>
      <c r="D2581" s="294"/>
      <c r="E2581" s="294"/>
      <c r="F2581" s="294"/>
      <c r="G2581" s="294"/>
      <c r="H2581" s="265"/>
      <c r="I2581" s="265"/>
      <c r="J2581" s="265"/>
      <c r="K2581" s="265"/>
      <c r="L2581" s="265"/>
      <c r="M2581" s="267" t="s">
        <v>1237</v>
      </c>
      <c r="N2581" s="268"/>
      <c r="O2581" s="268"/>
      <c r="P2581" s="269"/>
      <c r="Q2581" s="137" t="str">
        <f>IF($Q2579&lt;&gt;"",IF($Q2579="W","L","W"),"")</f>
        <v/>
      </c>
      <c r="R2581" s="100"/>
      <c r="S2581" s="100"/>
      <c r="T2581" s="100"/>
      <c r="U2581" s="100"/>
      <c r="V2581" s="100"/>
      <c r="W2581" s="100"/>
      <c r="X2581" s="100"/>
      <c r="Y2581" s="100"/>
      <c r="Z2581" s="100"/>
      <c r="AA2581" s="100"/>
      <c r="AB2581" s="100"/>
      <c r="AC2581" s="100"/>
      <c r="AD2581" s="100"/>
      <c r="AE2581" s="100"/>
      <c r="AF2581" s="100"/>
    </row>
    <row r="2582" spans="1:32" ht="12.75" customHeight="1">
      <c r="A2582" s="301"/>
      <c r="B2582" s="295"/>
      <c r="C2582" s="296"/>
      <c r="D2582" s="296"/>
      <c r="E2582" s="296"/>
      <c r="F2582" s="296"/>
      <c r="G2582" s="296"/>
      <c r="H2582" s="270"/>
      <c r="I2582" s="270"/>
      <c r="J2582" s="266"/>
      <c r="K2582" s="266"/>
      <c r="L2582" s="266"/>
      <c r="M2582" s="267"/>
      <c r="N2582" s="268"/>
      <c r="O2582" s="268"/>
      <c r="P2582" s="269"/>
      <c r="Q2582" s="139" t="str">
        <f>IF($Q2581&lt;&gt;"",IF($Q2581="W",IF(SUM(IF($H2581&gt;$H2579,1,0),IF($I2581&gt;$I2579,1,0),IF($J2581&gt;$J2579,1,0),IF($K2581&gt;$K2579,1,0),IF($L2581&gt;$L2579,1,0))&lt;&gt;3,"Error",""),""),"")</f>
        <v/>
      </c>
      <c r="R2582" s="43" t="str">
        <f>$A2577</f>
        <v>3rd Singles</v>
      </c>
      <c r="S2582" s="43"/>
      <c r="T2582" s="43"/>
      <c r="U2582" s="43"/>
      <c r="V2582" s="43"/>
      <c r="W2582" s="43"/>
      <c r="X2582" s="43"/>
      <c r="Y2582" s="43"/>
      <c r="Z2582" s="43"/>
      <c r="AA2582" s="43"/>
      <c r="AB2582" s="43"/>
      <c r="AC2582" s="43"/>
      <c r="AD2582" s="43"/>
      <c r="AE2582" s="43"/>
      <c r="AF2582" s="43"/>
    </row>
    <row r="2583" spans="1:32" ht="12.75" customHeight="1">
      <c r="Q2583" s="7"/>
      <c r="R2583" s="60" t="s">
        <v>1228</v>
      </c>
      <c r="S2583" s="101" t="s">
        <v>1126</v>
      </c>
      <c r="T2583" s="102"/>
      <c r="U2583" s="102"/>
      <c r="V2583" s="102"/>
      <c r="W2583" s="102"/>
      <c r="X2583" s="103"/>
      <c r="Y2583" s="60">
        <v>1</v>
      </c>
      <c r="Z2583" s="60">
        <v>2</v>
      </c>
      <c r="AA2583" s="60">
        <v>3</v>
      </c>
      <c r="AB2583" s="60">
        <v>4</v>
      </c>
      <c r="AC2583" s="60">
        <v>5</v>
      </c>
      <c r="AD2583" s="104"/>
      <c r="AE2583" s="105"/>
      <c r="AF2583" s="106"/>
    </row>
    <row r="2584" spans="1:32" ht="12.75" customHeight="1">
      <c r="A2584" s="21" t="s">
        <v>1236</v>
      </c>
      <c r="H2584" s="136" t="str">
        <f ca="1">IF($Q2586&lt;&gt;"",IF(AND($B2586&lt;&gt;"Missing Player",$B2588&lt;&gt;"Missing Player"),IF(AND(AND($H2586&gt;-1,$H2588&gt;-1),OR($H2586&gt;10,$H2588&gt;10),ABS($H2586-$H2588)&gt;1,IF(OR($H2586&gt;11,$H2588&gt;11),ABS($H2586-$H2588)=2,TRUE),$H2586=INT($H2586),$H2588=INT($H2588)),"","Error"),""),"")</f>
        <v/>
      </c>
      <c r="I2584" s="136" t="str">
        <f ca="1">IF($Q2586&lt;&gt;"",IF(AND($B2586&lt;&gt;"Missing Player",$B2588&lt;&gt;"Missing Player"),IF(AND(AND($I2586&gt;-1,$I2588&gt;-1),OR($I2586&gt;10,$I2588&gt;10),ABS($I2586-$I2588)&gt;1,IF(OR($I2586&gt;11,$I2588&gt;11),ABS($I2586-$I2588)=2,TRUE),$I2586=INT($I2586),$I2588=INT($I2588)),"","Error"),""),"")</f>
        <v/>
      </c>
      <c r="J2584" s="136" t="str">
        <f ca="1">IF($Q2586&lt;&gt;"",IF(AND($B2586&lt;&gt;"Missing Player",$B2588&lt;&gt;"Missing Player"),IF(AND(AND($J2586&gt;-1,$J2588&gt;-1),OR($J2586&gt;10,$J2588&gt;10),ABS($J2586-$J2588)&gt;1,IF(OR($J2586&gt;11,$J2588&gt;11),ABS($J2586-$J2588)=2,TRUE),$J2586=INT($J2586),$J2588=INT($J2588)),"","Error"),""),"")</f>
        <v/>
      </c>
      <c r="K2584" s="136" t="str">
        <f ca="1">IF($Q2586&lt;&gt;"",IF(AND($K2586&lt;&gt;"",$K2588&lt;&gt;""), IF(AND(AND($K2586&gt;-1,$K2588&gt;-1),OR($K2586&gt;10,$K2588&gt;10),ABS($K2586-$K2588)&gt;1,IF(OR($K2586&gt;11,$K2588&gt;11),ABS($K2586-$K2588)=2,TRUE),$K2586=INT($K2586),$K2588=INT($K2588)),"","Error"),""),"")</f>
        <v/>
      </c>
      <c r="L2584" s="136" t="str">
        <f ca="1">IF($Q2586&lt;&gt;"",IF(AND($L2586&lt;&gt;"",$L2588&lt;&gt;""), IF(AND(AND($L2586&gt;-1,$L2588&gt;-1),OR($L2586&gt;10,$L2588&gt;10),ABS($L2586-$L2588)&gt;1,IF(OR($L2586&gt;11,$L2588&gt;11),ABS($L2586-$L2588)=2,TRUE),$L2586=INT($L2586),$L2588=INT($L2588)),"","Error"),""),"")</f>
        <v/>
      </c>
      <c r="Q2584" s="7"/>
      <c r="R2584" s="300" t="str">
        <f>$B2559</f>
        <v>E</v>
      </c>
      <c r="S2584" s="331" t="str">
        <f ca="1">IF($B2579&lt;&gt;"",$B2579,"")</f>
        <v/>
      </c>
      <c r="T2584" s="332"/>
      <c r="U2584" s="332"/>
      <c r="V2584" s="332"/>
      <c r="W2584" s="332"/>
      <c r="X2584" s="333"/>
      <c r="Y2584" s="329"/>
      <c r="Z2584" s="329"/>
      <c r="AA2584" s="329"/>
      <c r="AB2584" s="329"/>
      <c r="AC2584" s="329"/>
      <c r="AD2584" s="345"/>
      <c r="AE2584" s="358"/>
      <c r="AF2584" s="359"/>
    </row>
    <row r="2585" spans="1:32" ht="12.75" customHeight="1">
      <c r="A2585" s="5" t="s">
        <v>1228</v>
      </c>
      <c r="B2585" s="290" t="s">
        <v>1126</v>
      </c>
      <c r="C2585" s="291"/>
      <c r="D2585" s="291"/>
      <c r="E2585" s="291"/>
      <c r="F2585" s="291"/>
      <c r="G2585" s="292"/>
      <c r="H2585" s="5">
        <v>1</v>
      </c>
      <c r="I2585" s="5">
        <v>2</v>
      </c>
      <c r="J2585" s="5">
        <v>3</v>
      </c>
      <c r="K2585" s="5">
        <v>4</v>
      </c>
      <c r="L2585" s="5">
        <v>5</v>
      </c>
      <c r="M2585" s="271"/>
      <c r="N2585" s="272"/>
      <c r="O2585" s="272"/>
      <c r="P2585" s="273"/>
      <c r="Q2585" s="7"/>
      <c r="R2585" s="330"/>
      <c r="S2585" s="334"/>
      <c r="T2585" s="335"/>
      <c r="U2585" s="335"/>
      <c r="V2585" s="335"/>
      <c r="W2585" s="335"/>
      <c r="X2585" s="336"/>
      <c r="Y2585" s="330"/>
      <c r="Z2585" s="330"/>
      <c r="AA2585" s="330"/>
      <c r="AB2585" s="330"/>
      <c r="AC2585" s="330"/>
      <c r="AD2585" s="360"/>
      <c r="AE2585" s="361"/>
      <c r="AF2585" s="362"/>
    </row>
    <row r="2586" spans="1:32" ht="12.75" customHeight="1">
      <c r="A2586" s="300" t="str">
        <f>B2559</f>
        <v>E</v>
      </c>
      <c r="B2586" s="293" t="str">
        <f ca="1">IF(AND(OFFSET($AO$1,$C2559-1,8,1,1),$A2560&lt;&gt;"",$J2560&lt;&gt;""),CHOOSE($C2559,$AR$1,$AR$2,$AR$3,$AR$4,$AR$5,$AR$6,$AR$7,$AR$8,$AR$9,$AR$10,$AR$11,$AR$12),"")</f>
        <v/>
      </c>
      <c r="C2586" s="294"/>
      <c r="D2586" s="294"/>
      <c r="E2586" s="294"/>
      <c r="F2586" s="294"/>
      <c r="G2586" s="294"/>
      <c r="H2586" s="265"/>
      <c r="I2586" s="265"/>
      <c r="J2586" s="265"/>
      <c r="K2586" s="265"/>
      <c r="L2586" s="265" t="str">
        <f ca="1">IF(AND($B2586&lt;&gt;"",$Q2565&lt;&gt;""),IF($B2586="Missing Player",0,IF($B2588="Missing Player",11,"")),"")</f>
        <v/>
      </c>
      <c r="M2586" s="262" t="str">
        <f ca="1">IF(OR(AND($B2579&lt;&gt;"",$B2586&lt;&gt;"",$E2590&lt;=$D2590),AND($B2581&lt;&gt;"",$B2588&lt;&gt;"",$I2590&lt;=$H2590)),"Invalid Lineup","")</f>
        <v/>
      </c>
      <c r="N2586" s="263"/>
      <c r="O2586" s="263"/>
      <c r="P2586" s="264"/>
      <c r="Q2586" s="137" t="str">
        <f ca="1">IF($L2586=$L2588,IF($K2586=$K2588,IF($J2586&lt;&gt;"",IF($J2586&gt;$J2588,"W","L"),""),IF($K2586&gt;$K2588,"W","L")),IF($L2586&gt;$L2588,"W","L"))</f>
        <v/>
      </c>
      <c r="R2586" s="300" t="str">
        <f>$K2559</f>
        <v>I</v>
      </c>
      <c r="S2586" s="331" t="str">
        <f ca="1">IF($B2581&lt;&gt;"",$B2581,"")</f>
        <v/>
      </c>
      <c r="T2586" s="332"/>
      <c r="U2586" s="332"/>
      <c r="V2586" s="332"/>
      <c r="W2586" s="332"/>
      <c r="X2586" s="333"/>
      <c r="Y2586" s="329"/>
      <c r="Z2586" s="329"/>
      <c r="AA2586" s="329"/>
      <c r="AB2586" s="329"/>
      <c r="AC2586" s="351"/>
      <c r="AD2586" s="363" t="s">
        <v>1237</v>
      </c>
      <c r="AE2586" s="358"/>
      <c r="AF2586" s="359"/>
    </row>
    <row r="2587" spans="1:32" ht="12.75" customHeight="1">
      <c r="A2587" s="301"/>
      <c r="B2587" s="295"/>
      <c r="C2587" s="296"/>
      <c r="D2587" s="296"/>
      <c r="E2587" s="296"/>
      <c r="F2587" s="296"/>
      <c r="G2587" s="296"/>
      <c r="H2587" s="270"/>
      <c r="I2587" s="270"/>
      <c r="J2587" s="270"/>
      <c r="K2587" s="270"/>
      <c r="L2587" s="270"/>
      <c r="M2587" s="262"/>
      <c r="N2587" s="263"/>
      <c r="O2587" s="263"/>
      <c r="P2587" s="264"/>
      <c r="Q2587" s="139" t="str">
        <f ca="1">IF($Q2586&lt;&gt;"",IF($B2588&lt;&gt;"Missing Player",IF($Q2586="W",IF(SUM(IF($H2586&gt;$H2588,1,0),IF($I2586&gt;$I2588,1,0),IF($J2586&gt;$J2588,1,0),IF($K2586&gt;$K2588,1,0),IF($L2586&gt;$L2588,1,0))&lt;&gt;3,"Error",""),""),""),"")</f>
        <v/>
      </c>
      <c r="R2587" s="330"/>
      <c r="S2587" s="334"/>
      <c r="T2587" s="335"/>
      <c r="U2587" s="335"/>
      <c r="V2587" s="335"/>
      <c r="W2587" s="335"/>
      <c r="X2587" s="336"/>
      <c r="Y2587" s="330"/>
      <c r="Z2587" s="330"/>
      <c r="AA2587" s="330"/>
      <c r="AB2587" s="330"/>
      <c r="AC2587" s="330"/>
      <c r="AD2587" s="360"/>
      <c r="AE2587" s="361"/>
      <c r="AF2587" s="362"/>
    </row>
    <row r="2588" spans="1:32" ht="12.75" customHeight="1">
      <c r="A2588" s="300" t="str">
        <f>K2559</f>
        <v>I</v>
      </c>
      <c r="B2588" s="293" t="str">
        <f ca="1">IF(AND(OFFSET($AO$1,$L2559-1,8,1,1),$A2560&lt;&gt;"",$J2560&lt;&gt;""),CHOOSE($L2559,$AR$1,$AR$2,$AR$3,$AR$4,$AR$5,$AR$6,$AR$7,$AR$8,$AR$9,$AR$10,$AR$11,$AR$12),"")</f>
        <v/>
      </c>
      <c r="C2588" s="294"/>
      <c r="D2588" s="294"/>
      <c r="E2588" s="294"/>
      <c r="F2588" s="294"/>
      <c r="G2588" s="294"/>
      <c r="H2588" s="265"/>
      <c r="I2588" s="265"/>
      <c r="J2588" s="265"/>
      <c r="K2588" s="265"/>
      <c r="L2588" s="265" t="str">
        <f ca="1">IF(AND($B2588&lt;&gt;"",$Q2565&lt;&gt;""),IF($B2588="Missing Player",0,IF($B2586="Missing Player",11,"")),"")</f>
        <v/>
      </c>
      <c r="M2588" s="267" t="s">
        <v>1237</v>
      </c>
      <c r="N2588" s="268"/>
      <c r="O2588" s="268"/>
      <c r="P2588" s="269"/>
      <c r="Q2588" s="137" t="str">
        <f ca="1">IF($Q2586&lt;&gt;"",IF($Q2586="W","L","W"),"")</f>
        <v/>
      </c>
      <c r="R2588" s="112"/>
      <c r="S2588" s="98"/>
      <c r="T2588" s="108"/>
      <c r="U2588" s="108"/>
      <c r="V2588" s="108"/>
      <c r="W2588" s="108"/>
      <c r="X2588" s="108"/>
      <c r="Y2588" s="113"/>
      <c r="Z2588" s="113"/>
      <c r="AA2588" s="113"/>
      <c r="AB2588" s="113"/>
      <c r="AC2588" s="113"/>
      <c r="AD2588" s="107"/>
      <c r="AE2588" s="109"/>
      <c r="AF2588" s="109"/>
    </row>
    <row r="2589" spans="1:32" ht="12.75" customHeight="1">
      <c r="A2589" s="301"/>
      <c r="B2589" s="295"/>
      <c r="C2589" s="296"/>
      <c r="D2589" s="296"/>
      <c r="E2589" s="296"/>
      <c r="F2589" s="296"/>
      <c r="G2589" s="296"/>
      <c r="H2589" s="270"/>
      <c r="I2589" s="270"/>
      <c r="J2589" s="266"/>
      <c r="K2589" s="266"/>
      <c r="L2589" s="266"/>
      <c r="M2589" s="267"/>
      <c r="N2589" s="268"/>
      <c r="O2589" s="268"/>
      <c r="P2589" s="269"/>
      <c r="Q2589" s="139" t="str">
        <f ca="1">IF($Q2588&lt;&gt;"",IF($B2586&lt;&gt;"Missing Player",IF($Q2588="W",IF(SUM(IF($H2588&gt;$H2586,1,0),IF($I2588&gt;$I2586,1,0),IF($J2588&gt;$J2586,1,0),IF($K2588&gt;$K2586,1,0),IF($L2588&gt;$L2586,1,0))&lt;&gt;3,"Error",""),""),""),"")</f>
        <v/>
      </c>
      <c r="R2589" s="114"/>
      <c r="S2589" s="115"/>
      <c r="T2589" s="115"/>
      <c r="U2589" s="115"/>
      <c r="V2589" s="115"/>
      <c r="W2589" s="115"/>
      <c r="X2589" s="115"/>
      <c r="Y2589" s="114"/>
      <c r="Z2589" s="114"/>
      <c r="AA2589" s="114"/>
      <c r="AB2589" s="114"/>
      <c r="AC2589" s="114"/>
      <c r="AD2589" s="114"/>
      <c r="AE2589" s="114"/>
      <c r="AF2589" s="114"/>
    </row>
    <row r="2590" spans="1:32" ht="12.75" customHeight="1">
      <c r="B2590" s="140" t="str">
        <f ca="1">IF(ISERROR(VLOOKUP($B2565&amp;"("&amp;$B2559&amp;")",Players!$S$4:$T$132,2,FALSE)),"",VLOOKUP($B2565&amp;"("&amp;$B2559&amp;")",Players!$S$4:$T$132,2,FALSE))</f>
        <v>E1</v>
      </c>
      <c r="C2590" s="140" t="str">
        <f ca="1">IF(ISERROR(VLOOKUP($B2572&amp;"("&amp;$B2559&amp;")",Players!$S$4:$T$132,2,FALSE)),"",VLOOKUP($B2572&amp;"("&amp;$B2559&amp;")",Players!$S$4:$T$132,2,FALSE))</f>
        <v>E1</v>
      </c>
      <c r="D2590" s="141" t="str">
        <f ca="1">IF(ISERROR(VLOOKUP($B2579&amp;"("&amp;$B2559&amp;")",Players!$S$4:$T$132,2,FALSE)),"",VLOOKUP($B2579&amp;"("&amp;$B2559&amp;")",Players!$S$4:$T$132,2,FALSE))</f>
        <v>E1</v>
      </c>
      <c r="E2590" s="141" t="str">
        <f ca="1">IF(ISERROR(VLOOKUP($B2586&amp;"("&amp;$B2559&amp;")",Players!$S$4:$T$132,2,FALSE)),"",VLOOKUP($B2586&amp;"("&amp;$B2559&amp;")",Players!$S$4:$T$132,2,FALSE))</f>
        <v>E1</v>
      </c>
      <c r="F2590" s="141" t="str">
        <f ca="1">IF(ISERROR(VLOOKUP($B2567&amp;"("&amp;$K2559&amp;")",Players!$S$4:$T$132,2,FALSE)),"",VLOOKUP($B2567&amp;"("&amp;$K2559&amp;")",Players!$S$4:$T$132,2,FALSE))</f>
        <v>I1</v>
      </c>
      <c r="G2590" s="141" t="str">
        <f ca="1">IF(ISERROR(VLOOKUP($B2574&amp;"("&amp;$K2559&amp;")",Players!$S$4:$T$132,2,FALSE)),"",VLOOKUP($B2574&amp;"("&amp;$K2559&amp;")",Players!$S$4:$T$132,2,FALSE))</f>
        <v>I1</v>
      </c>
      <c r="H2590" s="141" t="str">
        <f ca="1">IF(ISERROR(VLOOKUP($B2581&amp;"("&amp;$K2559&amp;")",Players!$S$4:$T$132,2,FALSE)),"",VLOOKUP($B2581&amp;"("&amp;$K2559&amp;")",Players!$S$4:$T$132,2,FALSE))</f>
        <v>I1</v>
      </c>
      <c r="I2590" s="141" t="str">
        <f ca="1">IF(ISERROR(VLOOKUP($B2588&amp;"("&amp;$K2559&amp;")",Players!$S$4:$T$132,2,FALSE)),"",VLOOKUP($B2588&amp;"("&amp;$K2559&amp;")",Players!$S$4:$T$132,2,FALSE))</f>
        <v>I1</v>
      </c>
      <c r="Q2590" s="7"/>
      <c r="R2590" s="50"/>
      <c r="S2590" s="116"/>
      <c r="T2590" s="115"/>
      <c r="U2590" s="115"/>
      <c r="V2590" s="115"/>
      <c r="W2590" s="115"/>
      <c r="X2590" s="115"/>
      <c r="Y2590" s="99"/>
      <c r="Z2590" s="99"/>
      <c r="AA2590" s="99"/>
      <c r="AB2590" s="99"/>
      <c r="AC2590" s="117"/>
      <c r="AD2590" s="118"/>
      <c r="AE2590" s="114"/>
      <c r="AF2590" s="114"/>
    </row>
    <row r="2591" spans="1:32" ht="12.75" customHeight="1">
      <c r="A2591" s="21" t="s">
        <v>1225</v>
      </c>
      <c r="H2591" s="136" t="str">
        <f ca="1">IF($Q2593&lt;&gt;"",IF(AND($B2594&lt;&gt;"Missing Player",$B2596&lt;&gt;"Missing Player"),IF(AND(AND($H2593&gt;-1,$H2595&gt;-1),OR($H2593&gt;10,$H2595&gt;10),ABS($H2593-$H2595)&gt;1,IF(OR($H2593&gt;11,$H2595&gt;11),ABS($H2593-$H2595)=2,TRUE),$H2593=INT($H2593),$H2595=INT($H2595)),"","Error"),""),"")</f>
        <v/>
      </c>
      <c r="I2591" s="136" t="str">
        <f ca="1">IF($Q2593&lt;&gt;"",IF(AND($B2594&lt;&gt;"Missing Player",$B2596&lt;&gt;"Missing Player"),IF(AND(AND($I2593&gt;-1,$I2595&gt;-1),OR($I2593&gt;10,$I2595&gt;10),ABS($I2593-$I2595)&gt;1,IF(OR($I2593&gt;11,$I2595&gt;11),ABS($I2593-$I2595)=2,TRUE),$I2593=INT($I2593),$I2595=INT($I2595)),"","Error"),""),"")</f>
        <v/>
      </c>
      <c r="J2591" s="136" t="str">
        <f ca="1">IF($Q2593&lt;&gt;"",IF(AND($B2594&lt;&gt;"Missing Player",$B2596&lt;&gt;"Missing Player"),IF(AND(AND($J2593&gt;-1,$J2595&gt;-1),OR($J2593&gt;10,$J2595&gt;10),ABS($J2593-$J2595)&gt;1,IF(OR($J2593&gt;11,$J2595&gt;11),ABS($J2593-$J2595)=2,TRUE),$J2593=INT($J2593),$J2595=INT($J2595)),"","Error"),""),"")</f>
        <v/>
      </c>
      <c r="K2591" s="136" t="str">
        <f ca="1">IF($Q2593&lt;&gt;"",IF(AND($K2593&lt;&gt;"",$K2595&lt;&gt;""), IF(AND(AND($K2593&gt;-1,$K2595&gt;-1),OR($K2593&gt;10,$K2595&gt;10),ABS($K2593-$K2595)&gt;1,IF(OR($K2593&gt;11,$K2595&gt;11),ABS($K2593-$K2595)=2,TRUE),$K2593=INT($K2593),$K2595=INT($K2595)),"","Error"),""),"")</f>
        <v/>
      </c>
      <c r="L2591" s="136" t="str">
        <f ca="1">IF($Q2593&lt;&gt;"",IF(AND($L2593&lt;&gt;"",$L2595&lt;&gt;""), IF(AND(AND($L2593&gt;-1,$L2595&gt;-1),OR($L2593&gt;10,$L2595&gt;10),ABS($L2593-$L2595)&gt;1,IF(OR($L2593&gt;11,$L2595&gt;11),ABS($L2593-$L2595)=2,TRUE),$L2593=INT($L2593),$L2595=INT($L2595)),"","Error"),""),"")</f>
        <v/>
      </c>
      <c r="Q2591" s="7"/>
      <c r="R2591" s="114"/>
      <c r="S2591" s="115"/>
      <c r="T2591" s="115"/>
      <c r="U2591" s="115"/>
      <c r="V2591" s="115"/>
      <c r="W2591" s="115"/>
      <c r="X2591" s="115"/>
      <c r="Y2591" s="114"/>
      <c r="Z2591" s="114"/>
      <c r="AA2591" s="114"/>
      <c r="AB2591" s="114"/>
      <c r="AC2591" s="114"/>
      <c r="AD2591" s="114"/>
      <c r="AE2591" s="114"/>
      <c r="AF2591" s="114"/>
    </row>
    <row r="2592" spans="1:32" ht="12.75" customHeight="1">
      <c r="A2592" s="5" t="s">
        <v>1228</v>
      </c>
      <c r="B2592" s="290" t="s">
        <v>1126</v>
      </c>
      <c r="C2592" s="291"/>
      <c r="D2592" s="291"/>
      <c r="E2592" s="291"/>
      <c r="F2592" s="291"/>
      <c r="G2592" s="292"/>
      <c r="H2592" s="5">
        <v>1</v>
      </c>
      <c r="I2592" s="5">
        <v>2</v>
      </c>
      <c r="J2592" s="5">
        <v>3</v>
      </c>
      <c r="K2592" s="5">
        <v>4</v>
      </c>
      <c r="L2592" s="5">
        <v>5</v>
      </c>
      <c r="M2592" s="271"/>
      <c r="N2592" s="272"/>
      <c r="O2592" s="272"/>
      <c r="P2592" s="273"/>
      <c r="Q2592" s="8"/>
      <c r="S2592" s="24"/>
      <c r="T2592" s="26"/>
    </row>
    <row r="2593" spans="1:32" ht="12.75" customHeight="1">
      <c r="A2593" s="300" t="str">
        <f>B2559</f>
        <v>E</v>
      </c>
      <c r="B2593" s="311" t="str">
        <f ca="1">IF($B2565&lt;&gt;"",$B2565,"")</f>
        <v/>
      </c>
      <c r="C2593" s="312"/>
      <c r="D2593" s="312"/>
      <c r="E2593" s="312"/>
      <c r="F2593" s="312"/>
      <c r="G2593" s="313"/>
      <c r="H2593" s="265"/>
      <c r="I2593" s="265"/>
      <c r="J2593" s="265"/>
      <c r="K2593" s="265"/>
      <c r="L2593" s="265" t="str">
        <f ca="1">IF($B2586&lt;&gt;"",IF(AND($B2586="Missing Player",$G2597=2,$J2597=2),0,IF(AND($B2588="Missing Player",$G2597=2,$J2597=2),11,"")),"")</f>
        <v/>
      </c>
      <c r="M2593" s="262" t="str">
        <f ca="1">IF(OR(AND($B2593&lt;&gt;"",$B2594&lt;&gt;"",$B2593=$B2594),AND($B2595&lt;&gt;"",$B2596&lt;&gt;"",$B2595=$B2596)),"Invalid Partner","")</f>
        <v/>
      </c>
      <c r="N2593" s="263"/>
      <c r="O2593" s="263"/>
      <c r="P2593" s="264"/>
      <c r="Q2593" s="138" t="str">
        <f ca="1">IF(L2593=L2595,IF(K2593=K2595,IF(J2593&lt;&gt;"",IF(J2593&gt;J2595,"W","L"),""),IF(K2593&gt;K2595,"W","L")),IF(L2593&gt;L2595,"W","L"))</f>
        <v/>
      </c>
      <c r="S2593" s="24"/>
      <c r="T2593" s="26"/>
    </row>
    <row r="2594" spans="1:32" ht="12.75" customHeight="1">
      <c r="A2594" s="324"/>
      <c r="B2594" s="308" t="str">
        <f ca="1">IF($B2586="Missing Player",$B2586,"")</f>
        <v/>
      </c>
      <c r="C2594" s="309"/>
      <c r="D2594" s="309"/>
      <c r="E2594" s="309"/>
      <c r="F2594" s="309"/>
      <c r="G2594" s="310"/>
      <c r="H2594" s="270"/>
      <c r="I2594" s="270"/>
      <c r="J2594" s="270"/>
      <c r="K2594" s="270"/>
      <c r="L2594" s="270"/>
      <c r="M2594" s="262"/>
      <c r="N2594" s="263"/>
      <c r="O2594" s="263"/>
      <c r="P2594" s="264"/>
      <c r="Q2594" s="139" t="str">
        <f ca="1">IF($Q2593&lt;&gt;"",IF($B2596&lt;&gt;"Missing Player",IF($Q2593="W",IF(SUM(IF($H2593&gt;$H2595,1,0),IF($I2593&gt;$I2595,1,0),IF($J2593&gt;$J2595,1,0),IF($K2593&gt;$K2595,1,0),IF($L2593&gt;$L2595,1,0))&lt;&gt;3,"Error",""),""),""),"")</f>
        <v/>
      </c>
      <c r="R2594" s="328" t="str">
        <f>$A2560</f>
        <v/>
      </c>
      <c r="S2594" s="328"/>
      <c r="T2594" s="328"/>
      <c r="U2594" s="328"/>
      <c r="V2594" s="328"/>
      <c r="W2594" s="328"/>
      <c r="X2594" s="256" t="str">
        <f>CONCATENATE("(",$B2559," vs ",$K2559,")")</f>
        <v>(E vs I)</v>
      </c>
      <c r="Y2594" s="256"/>
      <c r="Z2594" s="328" t="str">
        <f>$J2560</f>
        <v/>
      </c>
      <c r="AA2594" s="328"/>
      <c r="AB2594" s="328"/>
      <c r="AC2594" s="328"/>
      <c r="AD2594" s="328"/>
      <c r="AE2594" s="328"/>
      <c r="AF2594" s="43"/>
    </row>
    <row r="2595" spans="1:32" ht="12.75" customHeight="1">
      <c r="A2595" s="325" t="str">
        <f>K2559</f>
        <v>I</v>
      </c>
      <c r="B2595" s="311" t="str">
        <f ca="1">IF($B2567&lt;&gt;"",$B2567,"")</f>
        <v/>
      </c>
      <c r="C2595" s="312"/>
      <c r="D2595" s="312"/>
      <c r="E2595" s="312"/>
      <c r="F2595" s="312"/>
      <c r="G2595" s="313"/>
      <c r="H2595" s="265"/>
      <c r="I2595" s="265"/>
      <c r="J2595" s="265"/>
      <c r="K2595" s="265"/>
      <c r="L2595" s="265" t="str">
        <f ca="1">IF($B2588&lt;&gt;"",IF(AND($B2588="Missing Player",$G2597=2,$J2597=2),0,IF(AND($B2586="Missing Player",$G2597=2,$J2597=2),11,"")),"")</f>
        <v/>
      </c>
      <c r="M2595" s="267" t="s">
        <v>1237</v>
      </c>
      <c r="N2595" s="268"/>
      <c r="O2595" s="268"/>
      <c r="P2595" s="269"/>
      <c r="Q2595" s="138" t="str">
        <f ca="1">IF(Q2593&lt;&gt;"",IF(Q2593="W","L","W"),"")</f>
        <v/>
      </c>
      <c r="R2595" s="43"/>
      <c r="S2595" s="43"/>
      <c r="T2595" s="43"/>
      <c r="U2595" s="43"/>
      <c r="V2595" s="43"/>
      <c r="W2595" s="43"/>
      <c r="X2595" s="43"/>
      <c r="Y2595" s="43"/>
      <c r="Z2595" s="43"/>
      <c r="AA2595" s="43"/>
      <c r="AB2595" s="43"/>
      <c r="AC2595" s="43"/>
      <c r="AD2595" s="43"/>
      <c r="AE2595" s="43"/>
      <c r="AF2595" s="43"/>
    </row>
    <row r="2596" spans="1:32" ht="12.75" customHeight="1">
      <c r="A2596" s="324"/>
      <c r="B2596" s="308" t="str">
        <f ca="1">IF($B2588="Missing Player",$B2588,"")</f>
        <v/>
      </c>
      <c r="C2596" s="309"/>
      <c r="D2596" s="309"/>
      <c r="E2596" s="309"/>
      <c r="F2596" s="309"/>
      <c r="G2596" s="310"/>
      <c r="H2596" s="270"/>
      <c r="I2596" s="270"/>
      <c r="J2596" s="266"/>
      <c r="K2596" s="266"/>
      <c r="L2596" s="266"/>
      <c r="M2596" s="267"/>
      <c r="N2596" s="268"/>
      <c r="O2596" s="268"/>
      <c r="P2596" s="269"/>
      <c r="Q2596" s="139" t="str">
        <f ca="1">IF($Q2595&lt;&gt;"",IF($B2594&lt;&gt;"Missing Player",IF($Q2595="W",IF(SUM(IF($H2595&gt;$H2593,1,0),IF($I2595&gt;$I2593,1,0),IF($J2595&gt;$J2593,1,0),IF($K2595&gt;$K2593,1,0),IF($L2595&gt;$L2593,1,0))&lt;&gt;3,"Error",""),""),""),"")</f>
        <v/>
      </c>
      <c r="R2596" s="43" t="str">
        <f>A2584</f>
        <v>4th Singles</v>
      </c>
      <c r="S2596" s="43"/>
      <c r="T2596" s="43"/>
      <c r="U2596" s="43"/>
      <c r="V2596" s="43"/>
      <c r="W2596" s="43"/>
      <c r="X2596" s="43"/>
      <c r="Y2596" s="43"/>
      <c r="Z2596" s="43"/>
      <c r="AA2596" s="43"/>
      <c r="AB2596" s="43"/>
      <c r="AC2596" s="43"/>
      <c r="AD2596" s="43"/>
      <c r="AE2596" s="43"/>
      <c r="AF2596" s="43"/>
    </row>
    <row r="2597" spans="1:32" ht="12.75" customHeight="1">
      <c r="G2597" s="66">
        <f ca="1">COUNTIF($Q2565:$Q2565,"W")+COUNTIF($Q2572:$Q2572,"W")+COUNTIF($Q2579:$Q2579,"W")+COUNTIF($Q2586:$Q2586,"W")</f>
        <v>0</v>
      </c>
      <c r="J2597" s="66">
        <f ca="1">COUNTIF($Q2567:$Q2567,"W")+COUNTIF($Q2574:$Q2574,"W")+COUNTIF($Q2581:$Q2581,"W")+COUNTIF($Q2588:$Q2588,"W")</f>
        <v>0</v>
      </c>
      <c r="R2597" s="60" t="s">
        <v>1228</v>
      </c>
      <c r="S2597" s="339" t="s">
        <v>1126</v>
      </c>
      <c r="T2597" s="340"/>
      <c r="U2597" s="340"/>
      <c r="V2597" s="340"/>
      <c r="W2597" s="340"/>
      <c r="X2597" s="341"/>
      <c r="Y2597" s="60">
        <v>1</v>
      </c>
      <c r="Z2597" s="60">
        <v>2</v>
      </c>
      <c r="AA2597" s="60">
        <v>3</v>
      </c>
      <c r="AB2597" s="60">
        <v>4</v>
      </c>
      <c r="AC2597" s="60">
        <v>5</v>
      </c>
      <c r="AD2597" s="342"/>
      <c r="AE2597" s="343"/>
      <c r="AF2597" s="344"/>
    </row>
    <row r="2598" spans="1:32" ht="12.75" customHeight="1" thickBot="1">
      <c r="F2598" s="246" t="s">
        <v>1238</v>
      </c>
      <c r="G2598" s="246"/>
      <c r="H2598" s="246"/>
      <c r="I2598" s="246"/>
      <c r="J2598" s="246"/>
      <c r="K2598" s="246"/>
      <c r="R2598" s="300" t="str">
        <f>B2559</f>
        <v>E</v>
      </c>
      <c r="S2598" s="331" t="str">
        <f ca="1">IF($B2586&lt;&gt;"",$B2586,"")</f>
        <v/>
      </c>
      <c r="T2598" s="353"/>
      <c r="U2598" s="353"/>
      <c r="V2598" s="353"/>
      <c r="W2598" s="353"/>
      <c r="X2598" s="354"/>
      <c r="Y2598" s="329"/>
      <c r="Z2598" s="329"/>
      <c r="AA2598" s="351"/>
      <c r="AB2598" s="351"/>
      <c r="AC2598" s="351"/>
      <c r="AD2598" s="345"/>
      <c r="AE2598" s="346"/>
      <c r="AF2598" s="347"/>
    </row>
    <row r="2599" spans="1:32" ht="12.75" customHeight="1">
      <c r="A2599" s="22"/>
      <c r="B2599" s="22"/>
      <c r="C2599" s="22"/>
      <c r="D2599" s="22"/>
      <c r="E2599" s="22"/>
      <c r="G2599" s="304" t="str">
        <f>B2559</f>
        <v>E</v>
      </c>
      <c r="H2599" s="305"/>
      <c r="I2599" s="302" t="str">
        <f>K2559</f>
        <v>I</v>
      </c>
      <c r="J2599" s="303"/>
      <c r="L2599" s="22"/>
      <c r="M2599" s="22"/>
      <c r="N2599" s="22"/>
      <c r="O2599" s="22"/>
      <c r="P2599" s="22"/>
      <c r="R2599" s="301"/>
      <c r="S2599" s="355"/>
      <c r="T2599" s="356"/>
      <c r="U2599" s="356"/>
      <c r="V2599" s="356"/>
      <c r="W2599" s="356"/>
      <c r="X2599" s="357"/>
      <c r="Y2599" s="338"/>
      <c r="Z2599" s="338"/>
      <c r="AA2599" s="352"/>
      <c r="AB2599" s="352"/>
      <c r="AC2599" s="352"/>
      <c r="AD2599" s="348"/>
      <c r="AE2599" s="349"/>
      <c r="AF2599" s="350"/>
    </row>
    <row r="2600" spans="1:32" ht="12.75" customHeight="1" thickBot="1">
      <c r="A2600" s="2" t="s">
        <v>1228</v>
      </c>
      <c r="B2600" s="53" t="str">
        <f>B2559</f>
        <v>E</v>
      </c>
      <c r="C2600" s="3" t="s">
        <v>1226</v>
      </c>
      <c r="F2600" s="66" t="str">
        <f>CONCATENATE($B2559,"-",$K2559)</f>
        <v>E-I</v>
      </c>
      <c r="G2600" s="320" t="str">
        <f ca="1">IF(OR(Q2565&lt;&gt;"",Q2572&lt;&gt;"",Q2579&lt;&gt;"",Q2586&lt;&gt;"",Q2593&lt;&gt;""),COUNTIF(Q2565:Q2565,"W")+COUNTIF(Q2572:Q2572,"W")+COUNTIF(Q2579:Q2579,"W")+COUNTIF(Q2586:Q2586,"W")+COUNTIF(Q2593:Q2593,"W"),"")</f>
        <v/>
      </c>
      <c r="H2600" s="321"/>
      <c r="I2600" s="322" t="str">
        <f ca="1">IF(OR(Q2567&lt;&gt;"",Q2574&lt;&gt;"",Q2581&lt;&gt;"",Q2588&lt;&gt;"",Q2595&lt;&gt;""),COUNTIF(Q2567:Q2567,"W")+COUNTIF(Q2574:Q2574,"W")+COUNTIF(Q2581:Q2581,"W")+COUNTIF(Q2588:Q2588,"W")+COUNTIF(Q2595:Q2595,"W"),"")</f>
        <v/>
      </c>
      <c r="J2600" s="323"/>
      <c r="L2600" s="2" t="s">
        <v>1228</v>
      </c>
      <c r="M2600" s="53" t="str">
        <f>K2559</f>
        <v>I</v>
      </c>
      <c r="N2600" s="3" t="s">
        <v>1226</v>
      </c>
      <c r="R2600" s="300" t="str">
        <f>K2559</f>
        <v>I</v>
      </c>
      <c r="S2600" s="331" t="str">
        <f ca="1">IF($B2588&lt;&gt;"",$B2588,"")</f>
        <v/>
      </c>
      <c r="T2600" s="332"/>
      <c r="U2600" s="332"/>
      <c r="V2600" s="332"/>
      <c r="W2600" s="332"/>
      <c r="X2600" s="333"/>
      <c r="Y2600" s="329"/>
      <c r="Z2600" s="329"/>
      <c r="AA2600" s="351"/>
      <c r="AB2600" s="351"/>
      <c r="AC2600" s="351"/>
      <c r="AD2600" s="363" t="s">
        <v>1237</v>
      </c>
      <c r="AE2600" s="358"/>
      <c r="AF2600" s="359"/>
    </row>
    <row r="2601" spans="1:32" ht="12.75" customHeight="1">
      <c r="F2601" s="25" t="s">
        <v>3996</v>
      </c>
      <c r="G2601" s="23"/>
      <c r="H2601" s="23"/>
      <c r="I2601" s="23"/>
      <c r="J2601" s="23"/>
      <c r="K2601" s="24"/>
      <c r="R2601" s="330"/>
      <c r="S2601" s="334"/>
      <c r="T2601" s="335"/>
      <c r="U2601" s="335"/>
      <c r="V2601" s="335"/>
      <c r="W2601" s="335"/>
      <c r="X2601" s="336"/>
      <c r="Y2601" s="330"/>
      <c r="Z2601" s="330"/>
      <c r="AA2601" s="330"/>
      <c r="AB2601" s="330"/>
      <c r="AC2601" s="330"/>
      <c r="AD2601" s="360"/>
      <c r="AE2601" s="361"/>
      <c r="AF2601" s="362"/>
    </row>
    <row r="2602" spans="1:32" ht="12.75" customHeight="1">
      <c r="R2602" s="1"/>
      <c r="S2602" s="110"/>
      <c r="T2602" s="110"/>
      <c r="U2602" s="110"/>
      <c r="V2602" s="110"/>
      <c r="W2602" s="110"/>
      <c r="X2602" s="111"/>
      <c r="Y2602" s="111"/>
      <c r="Z2602" s="111"/>
      <c r="AA2602" s="111"/>
    </row>
    <row r="2603" spans="1:32" ht="12.75" customHeight="1">
      <c r="F2603" s="246" t="s">
        <v>4929</v>
      </c>
      <c r="G2603" s="246"/>
      <c r="H2603" s="246"/>
      <c r="I2603" s="246"/>
      <c r="R2603" s="1"/>
      <c r="S2603" s="110"/>
      <c r="T2603" s="110"/>
      <c r="U2603" s="110"/>
      <c r="V2603" s="110"/>
      <c r="W2603" s="110"/>
      <c r="X2603" s="111"/>
      <c r="Y2603" s="111"/>
      <c r="Z2603" s="111"/>
      <c r="AA2603" s="111"/>
    </row>
    <row r="2604" spans="1:32" ht="12.75" customHeight="1">
      <c r="F2604" s="246" t="s">
        <v>4930</v>
      </c>
      <c r="G2604" s="246"/>
      <c r="H2604" s="246"/>
      <c r="I2604" s="246"/>
      <c r="R2604" s="1"/>
      <c r="S2604" s="110"/>
      <c r="T2604" s="110"/>
      <c r="U2604" s="110"/>
      <c r="V2604" s="110"/>
      <c r="W2604" s="110"/>
      <c r="X2604" s="111"/>
      <c r="Y2604" s="111"/>
      <c r="Z2604" s="111"/>
      <c r="AA2604" s="111"/>
    </row>
    <row r="2605" spans="1:32" ht="12.75" customHeight="1">
      <c r="K2605" s="281" t="s">
        <v>1244</v>
      </c>
      <c r="L2605" s="281"/>
      <c r="M2605" s="281"/>
      <c r="N2605" s="281"/>
      <c r="O2605" s="281"/>
      <c r="P2605" s="281"/>
      <c r="R2605" s="1"/>
      <c r="S2605" s="110"/>
      <c r="T2605" s="110"/>
      <c r="U2605" s="110"/>
      <c r="V2605" s="110"/>
      <c r="W2605" s="110"/>
      <c r="X2605" s="111"/>
      <c r="Y2605" s="111"/>
      <c r="Z2605" s="111"/>
      <c r="AA2605" s="111"/>
    </row>
    <row r="2606" spans="1:32" ht="12.75" customHeight="1">
      <c r="A2606" s="12" t="s">
        <v>1229</v>
      </c>
      <c r="B2606" s="11"/>
      <c r="C2606" s="11"/>
      <c r="D2606" s="11" t="str">
        <f>Draw!$B$1</f>
        <v>Enter Division Name</v>
      </c>
      <c r="E2606" s="11"/>
      <c r="F2606" s="7"/>
      <c r="G2606" s="6"/>
      <c r="H2606" s="7"/>
      <c r="I2606" s="11"/>
      <c r="J2606" s="11"/>
      <c r="K2606" s="11"/>
      <c r="L2606" s="11"/>
      <c r="M2606" s="281"/>
      <c r="N2606" s="281"/>
      <c r="O2606" s="281"/>
      <c r="P2606" s="281"/>
      <c r="R2606" s="1"/>
      <c r="S2606" s="110"/>
      <c r="T2606" s="110"/>
      <c r="U2606" s="110"/>
      <c r="V2606" s="110"/>
      <c r="W2606" s="110"/>
      <c r="X2606" s="111"/>
      <c r="Y2606" s="111"/>
      <c r="Z2606" s="111"/>
      <c r="AA2606" s="111"/>
    </row>
    <row r="2607" spans="1:32" ht="12.75" customHeight="1">
      <c r="A2607" s="2" t="s">
        <v>1230</v>
      </c>
      <c r="D2607" s="43" t="str">
        <f>Draw!$D$1</f>
        <v>Enter Hosting Location (City, ST)</v>
      </c>
      <c r="J2607" s="43" t="str">
        <f ca="1">$J$6</f>
        <v>[NCTTA Teams Template (v2.06).xlsx]</v>
      </c>
      <c r="R2607" s="1"/>
      <c r="S2607" s="110"/>
      <c r="T2607" s="110"/>
      <c r="U2607" s="110"/>
      <c r="V2607" s="110"/>
      <c r="W2607" s="110"/>
      <c r="X2607" s="111"/>
      <c r="Y2607" s="111"/>
      <c r="Z2607" s="111"/>
      <c r="AA2607" s="111"/>
    </row>
    <row r="2608" spans="1:32" ht="12.75" customHeight="1">
      <c r="A2608" s="2" t="s">
        <v>1231</v>
      </c>
      <c r="D2608" s="337" t="str">
        <f>Draw!$P$1</f>
        <v>Enter Date</v>
      </c>
      <c r="E2608" s="337"/>
      <c r="F2608" s="337"/>
      <c r="G2608" s="337"/>
      <c r="J2608" s="280" t="str">
        <f>CHOOSE(Draw!$T$1,"Round 9, Match 4","","","","","","","","","","Round 11, Match 2")</f>
        <v/>
      </c>
      <c r="K2608" s="280"/>
      <c r="L2608" s="280"/>
      <c r="M2608" s="276" t="str">
        <f>IF(AND($J2608&lt;&gt;"",Draw!$AC$10&lt;&gt;"",Draw!$AC$13&lt;&gt;""),Draw!$AC$10+TIME(0,VALUE(MID($J2608,7,FIND(",",$J2608)-FIND(" ",$J2608)-1)-1)*Draw!$AC$13,0),"")</f>
        <v/>
      </c>
      <c r="N2608" s="276"/>
      <c r="O2608" s="157" t="str">
        <f>$F2651</f>
        <v>E-J</v>
      </c>
      <c r="R2608" s="1"/>
      <c r="S2608" s="110"/>
      <c r="T2608" s="110"/>
      <c r="U2608" s="110"/>
      <c r="V2608" s="110"/>
      <c r="W2608" s="110"/>
      <c r="X2608" s="111"/>
      <c r="Y2608" s="111"/>
      <c r="Z2608" s="111"/>
      <c r="AA2608" s="111"/>
    </row>
    <row r="2609" spans="1:32" ht="12.75" customHeight="1">
      <c r="A2609" s="14"/>
      <c r="B2609" s="15"/>
      <c r="C2609" s="15"/>
      <c r="D2609" s="15"/>
      <c r="E2609" s="15"/>
      <c r="F2609" s="14"/>
      <c r="G2609" s="14"/>
      <c r="H2609" s="16"/>
      <c r="I2609" s="14"/>
      <c r="J2609" s="15"/>
      <c r="K2609" s="15"/>
      <c r="L2609" s="15"/>
      <c r="M2609" s="15"/>
      <c r="N2609" s="15"/>
      <c r="O2609" s="364" t="str">
        <f>IF(OR(AND(VLOOKUP($B2610,$AM$1:$AX$12,12,FALSE)="C",VLOOKUP($K2610,$AM$1:$AX$12,12,FALSE)="C"),AND(VLOOKUP($B2610,$AM$1:$AX$12,12,FALSE)="W",VLOOKUP($K2610,$AM$1:$AX$12,12,FALSE)="W")),"Official",IF(AND($A2611="",$J2611=""),"","Scrimmage"))</f>
        <v/>
      </c>
      <c r="P2609" s="364"/>
      <c r="R2609" s="1"/>
      <c r="S2609" s="110"/>
      <c r="T2609" s="110"/>
      <c r="U2609" s="110"/>
      <c r="V2609" s="110"/>
      <c r="W2609" s="110"/>
      <c r="X2609" s="111"/>
      <c r="Y2609" s="111"/>
      <c r="Z2609" s="111"/>
      <c r="AA2609" s="111"/>
    </row>
    <row r="2610" spans="1:32" ht="12.75" customHeight="1">
      <c r="A2610" s="17" t="s">
        <v>1228</v>
      </c>
      <c r="B2610" s="119" t="str">
        <f>CHOOSE(Draw!$T$1,"G","D","E","F","G","G","G","F","F","D","G")</f>
        <v>E</v>
      </c>
      <c r="C2610" s="135">
        <f>VLOOKUP($B2610,$AM$1:$AN$12,2)</f>
        <v>5</v>
      </c>
      <c r="D2610" s="13"/>
      <c r="E2610" s="13"/>
      <c r="F2610" s="10"/>
      <c r="H2610" s="19" t="s">
        <v>1232</v>
      </c>
      <c r="J2610" s="17" t="s">
        <v>1228</v>
      </c>
      <c r="K2610" s="119" t="str">
        <f>CHOOSE(Draw!$T$1,"L","J","J","G","H","H","H","L","J","K","I")</f>
        <v>J</v>
      </c>
      <c r="L2610" s="135">
        <f>VLOOKUP($K2610,$AM$1:$AN$12,2)</f>
        <v>10</v>
      </c>
      <c r="M2610" s="13"/>
      <c r="N2610" s="13"/>
      <c r="O2610" s="18"/>
      <c r="P2610" s="274"/>
      <c r="Q2610" s="275"/>
      <c r="R2610" s="1"/>
      <c r="S2610" s="110"/>
      <c r="T2610" s="110"/>
      <c r="U2610" s="110"/>
      <c r="V2610" s="110"/>
      <c r="W2610" s="110"/>
      <c r="X2610" s="111"/>
      <c r="Y2610" s="111"/>
      <c r="Z2610" s="111"/>
      <c r="AA2610" s="111"/>
    </row>
    <row r="2611" spans="1:32" ht="12.75" customHeight="1">
      <c r="A2611" s="277" t="str">
        <f>IF(VLOOKUP($B2610,Draw!$A$4:$B$27,2)&lt;&gt;0,VLOOKUP($B2610,Draw!$A$4:$B$27,2),"")</f>
        <v/>
      </c>
      <c r="B2611" s="278"/>
      <c r="C2611" s="278"/>
      <c r="D2611" s="278"/>
      <c r="E2611" s="278"/>
      <c r="F2611" s="279"/>
      <c r="G2611" s="306" t="s">
        <v>4203</v>
      </c>
      <c r="H2611" s="289"/>
      <c r="I2611" s="307"/>
      <c r="J2611" s="277" t="str">
        <f>IF(VLOOKUP($K2610,Draw!$A$4:$B$27,2)&lt;&gt;0,VLOOKUP($K2610,Draw!$A$4:$B$27,2),"")</f>
        <v/>
      </c>
      <c r="K2611" s="278"/>
      <c r="L2611" s="278"/>
      <c r="M2611" s="278"/>
      <c r="N2611" s="278"/>
      <c r="O2611" s="279"/>
      <c r="P2611" s="15"/>
      <c r="R2611" s="1"/>
      <c r="S2611" s="110"/>
      <c r="T2611" s="110"/>
      <c r="U2611" s="110"/>
      <c r="V2611" s="110"/>
      <c r="W2611" s="110"/>
      <c r="X2611" s="111"/>
      <c r="Y2611" s="111"/>
      <c r="Z2611" s="111"/>
      <c r="AA2611" s="111"/>
    </row>
    <row r="2612" spans="1:32" ht="12.75" customHeight="1">
      <c r="A2612" s="14"/>
      <c r="B2612" s="15"/>
      <c r="C2612" s="15"/>
      <c r="D2612" s="15"/>
      <c r="E2612" s="15"/>
      <c r="F2612" s="14"/>
      <c r="G2612" s="288" t="str">
        <f>"Page "&amp;VALUE(RIGHT($G2611,LEN($G2611)-SEARCH("-",$G2611)))/2</f>
        <v>Page 52</v>
      </c>
      <c r="H2612" s="289"/>
      <c r="I2612" s="289"/>
      <c r="J2612" s="15"/>
      <c r="K2612" s="15"/>
      <c r="L2612" s="15"/>
      <c r="M2612" s="15"/>
      <c r="N2612" s="15"/>
      <c r="O2612" s="15"/>
      <c r="P2612" s="15"/>
      <c r="R2612" s="1"/>
      <c r="S2612" s="110"/>
      <c r="T2612" s="110"/>
      <c r="U2612" s="110"/>
      <c r="V2612" s="110"/>
      <c r="W2612" s="110"/>
      <c r="X2612" s="111"/>
      <c r="Y2612" s="111"/>
      <c r="Z2612" s="111"/>
      <c r="AA2612" s="111"/>
      <c r="AF2612" s="27"/>
    </row>
    <row r="2613" spans="1:32" ht="12.75" customHeight="1">
      <c r="A2613" s="327" t="s">
        <v>1245</v>
      </c>
      <c r="B2613" s="327"/>
      <c r="C2613" s="327"/>
      <c r="D2613" s="327"/>
      <c r="E2613" s="327"/>
      <c r="F2613" s="327"/>
      <c r="G2613" s="327"/>
      <c r="H2613" s="327"/>
      <c r="I2613" s="327"/>
      <c r="J2613" s="327"/>
      <c r="K2613" s="327"/>
      <c r="L2613" s="327"/>
      <c r="M2613" s="327"/>
      <c r="N2613" s="327"/>
      <c r="O2613" s="327"/>
      <c r="P2613" s="327"/>
      <c r="Q2613" s="7"/>
      <c r="R2613" s="1"/>
      <c r="S2613" s="110"/>
      <c r="T2613" s="110"/>
      <c r="U2613" s="110"/>
      <c r="V2613" s="110"/>
      <c r="W2613" s="110"/>
      <c r="X2613" s="111"/>
      <c r="Y2613" s="111"/>
      <c r="Z2613" s="111"/>
      <c r="AA2613" s="111"/>
      <c r="AF2613" s="20"/>
    </row>
    <row r="2614" spans="1:32" ht="12.75" customHeight="1">
      <c r="A2614" s="21" t="s">
        <v>1233</v>
      </c>
      <c r="H2614" s="136" t="str">
        <f>IF($Q2616&lt;&gt;"",IF(AND(AND($H2616&gt;-1,$H2618&gt;-1),OR($H2616&gt;10,$H2618&gt;10),ABS($H2616-$H2618)&gt;1,IF(OR($H2616&gt;11,$H2618&gt;11),ABS($H2616-$H2618)=2,TRUE),$H2616=INT($H2616),$H2618=INT($H2618)),"","Error"),"")</f>
        <v/>
      </c>
      <c r="I2614" s="136" t="str">
        <f>IF($Q2616&lt;&gt;"",IF(AND(AND($I2616&gt;-1,$I2618&gt;-1),OR($I2616&gt;10,$I2618&gt;10),ABS($I2616-$I2618)&gt;1,IF(OR($I2616&gt;11,$I2618&gt;11),ABS($I2616-$I2618)=2,TRUE),$I2616=INT($I2616),$I2618=INT($I2618)),"","Error"),"")</f>
        <v/>
      </c>
      <c r="J2614" s="136" t="str">
        <f>IF($Q2616&lt;&gt;"",IF(AND(AND($J2616&gt;-1,$J2618&gt;-1),OR($J2616&gt;10,$J2618&gt;10),ABS($J2616-$J2618)&gt;1,IF(OR($J2616&gt;11,$J2618&gt;11),ABS($J2616-$J2618)=2,TRUE),$J2616=INT($J2616),$J2618=INT($J2618)),"","Error"),"")</f>
        <v/>
      </c>
      <c r="K2614" s="136" t="str">
        <f>IF($Q2616&lt;&gt;"",IF(AND($K2616&lt;&gt;"",$K2618&lt;&gt;""), IF(AND(AND($K2616&gt;-1,$K2618&gt;-1),OR($K2616&gt;10,$K2618&gt;10),ABS($K2616-$K2618)&gt;1,IF(OR($K2616&gt;11,$K2618&gt;11),ABS($K2616-$K2618)=2,TRUE),$K2616=INT($K2616),$K2618=INT($K2618)),"","Error"),""),"")</f>
        <v/>
      </c>
      <c r="L2614" s="136" t="str">
        <f>IF($Q2616&lt;&gt;"",IF(AND($L2616&lt;&gt;"",$L2618&lt;&gt;""), IF(AND(AND($L2616&gt;-1,$L2618&gt;-1),OR($L2616&gt;10,$L2618&gt;10),ABS($L2616-$L2618)&gt;1,IF(OR($L2616&gt;11,$L2618&gt;11),ABS($L2616-$L2618)=2,TRUE),$L2616=INT($L2616),$L2618=INT($L2618)),"","Error"),""),"")</f>
        <v/>
      </c>
      <c r="R2614" s="1"/>
      <c r="S2614" s="110"/>
      <c r="T2614" s="110"/>
      <c r="U2614" s="110"/>
      <c r="V2614" s="110"/>
      <c r="W2614" s="110"/>
      <c r="X2614" s="111"/>
      <c r="Y2614" s="111"/>
      <c r="Z2614" s="111"/>
      <c r="AA2614" s="111"/>
    </row>
    <row r="2615" spans="1:32" ht="12.75" customHeight="1">
      <c r="A2615" s="5" t="s">
        <v>1228</v>
      </c>
      <c r="B2615" s="290" t="s">
        <v>1126</v>
      </c>
      <c r="C2615" s="291"/>
      <c r="D2615" s="291"/>
      <c r="E2615" s="291"/>
      <c r="F2615" s="291"/>
      <c r="G2615" s="292"/>
      <c r="H2615" s="5">
        <v>1</v>
      </c>
      <c r="I2615" s="5">
        <v>2</v>
      </c>
      <c r="J2615" s="5">
        <v>3</v>
      </c>
      <c r="K2615" s="5">
        <v>4</v>
      </c>
      <c r="L2615" s="5">
        <v>5</v>
      </c>
      <c r="M2615" s="271"/>
      <c r="N2615" s="272"/>
      <c r="O2615" s="272"/>
      <c r="P2615" s="273"/>
      <c r="R2615" s="1"/>
      <c r="S2615" s="110"/>
      <c r="T2615" s="110"/>
      <c r="U2615" s="110"/>
      <c r="V2615" s="110"/>
      <c r="W2615" s="110"/>
      <c r="X2615" s="111"/>
      <c r="Y2615" s="111"/>
      <c r="Z2615" s="111"/>
      <c r="AA2615" s="111"/>
    </row>
    <row r="2616" spans="1:32" ht="12.75" customHeight="1">
      <c r="A2616" s="300" t="str">
        <f>B2610</f>
        <v>E</v>
      </c>
      <c r="B2616" s="293" t="str">
        <f ca="1">IF(AND(OFFSET($AO$1,$C2610-1,8,1,1),$A2611&lt;&gt;"",$J2611&lt;&gt;""),CHOOSE($C2610,$AO$1,$AO$2,$AO$3,$AO$4,$AO$5,$AO$6,$AO$7,$AO$8,$AO$9,$AO$10,$AO$11,$AO$12),"")</f>
        <v/>
      </c>
      <c r="C2616" s="294"/>
      <c r="D2616" s="294"/>
      <c r="E2616" s="294"/>
      <c r="F2616" s="294"/>
      <c r="G2616" s="294"/>
      <c r="H2616" s="265"/>
      <c r="I2616" s="265"/>
      <c r="J2616" s="265"/>
      <c r="K2616" s="265"/>
      <c r="L2616" s="265"/>
      <c r="M2616" s="297"/>
      <c r="N2616" s="298"/>
      <c r="O2616" s="298"/>
      <c r="P2616" s="299"/>
      <c r="Q2616" s="137" t="str">
        <f>IF($L2616=$L2618,IF($K2616=$K2618,IF($J2616&lt;&gt;"",IF($J2616&gt;$J2618,"W","L"),""),IF($K2616&gt;$K2618,"W","L")),IF($L2616&gt;$L2618,"W","L"))</f>
        <v/>
      </c>
      <c r="R2616" s="1"/>
      <c r="S2616" s="110"/>
      <c r="T2616" s="110"/>
      <c r="U2616" s="110"/>
      <c r="V2616" s="110"/>
      <c r="W2616" s="110"/>
      <c r="X2616" s="111"/>
      <c r="Y2616" s="111"/>
      <c r="Z2616" s="111"/>
      <c r="AA2616" s="111"/>
    </row>
    <row r="2617" spans="1:32" ht="12.75" customHeight="1">
      <c r="A2617" s="301"/>
      <c r="B2617" s="295"/>
      <c r="C2617" s="296"/>
      <c r="D2617" s="296"/>
      <c r="E2617" s="296"/>
      <c r="F2617" s="296"/>
      <c r="G2617" s="296"/>
      <c r="H2617" s="270"/>
      <c r="I2617" s="270"/>
      <c r="J2617" s="270"/>
      <c r="K2617" s="270"/>
      <c r="L2617" s="270"/>
      <c r="M2617" s="297"/>
      <c r="N2617" s="298"/>
      <c r="O2617" s="298"/>
      <c r="P2617" s="299"/>
      <c r="Q2617" s="139" t="str">
        <f>IF($Q2616&lt;&gt;"",IF($Q2616="W",IF(SUM(IF($H2616&gt;$H2618,1,0),IF($I2616&gt;$I2618,1,0),IF($J2616&gt;$J2618,1,0),IF($K2616&gt;$K2618,1,0),IF($L2616&gt;$L2618,1,0))&lt;&gt;3,"Error",""),""),"")</f>
        <v/>
      </c>
      <c r="R2617" s="328" t="str">
        <f>$A2611</f>
        <v/>
      </c>
      <c r="S2617" s="328"/>
      <c r="T2617" s="328"/>
      <c r="U2617" s="328"/>
      <c r="V2617" s="328"/>
      <c r="W2617" s="328"/>
      <c r="X2617" s="256" t="str">
        <f>CONCATENATE("(",$B2610," vs ",$K2610,")")</f>
        <v>(E vs J)</v>
      </c>
      <c r="Y2617" s="256"/>
      <c r="Z2617" s="328" t="str">
        <f>$J2611</f>
        <v/>
      </c>
      <c r="AA2617" s="328"/>
      <c r="AB2617" s="328"/>
      <c r="AC2617" s="328"/>
      <c r="AD2617" s="328"/>
      <c r="AE2617" s="328"/>
      <c r="AF2617" s="43"/>
    </row>
    <row r="2618" spans="1:32" ht="12.75" customHeight="1">
      <c r="A2618" s="300" t="str">
        <f>K2610</f>
        <v>J</v>
      </c>
      <c r="B2618" s="293" t="str">
        <f ca="1">IF(AND(OFFSET($AO$1,$L2610-1,8,1,1),$A2611&lt;&gt;"",$J2611&lt;&gt;""),CHOOSE($L2610,$AO$1,$AO$2,$AO$3,$AO$4,$AO$5,$AO$6,$AO$7,$AO$8,$AO$9,$AO$10,$AO$11,$AO$12),"")</f>
        <v/>
      </c>
      <c r="C2618" s="294"/>
      <c r="D2618" s="294"/>
      <c r="E2618" s="294"/>
      <c r="F2618" s="294"/>
      <c r="G2618" s="294"/>
      <c r="H2618" s="265"/>
      <c r="I2618" s="265"/>
      <c r="J2618" s="265"/>
      <c r="K2618" s="265"/>
      <c r="L2618" s="265"/>
      <c r="M2618" s="267" t="s">
        <v>1237</v>
      </c>
      <c r="N2618" s="268"/>
      <c r="O2618" s="268"/>
      <c r="P2618" s="269"/>
      <c r="Q2618" s="137" t="str">
        <f>IF($Q2616&lt;&gt;"",IF($Q2616="W","L","W"),"")</f>
        <v/>
      </c>
      <c r="R2618" s="43"/>
      <c r="S2618" s="43"/>
      <c r="T2618" s="43"/>
      <c r="U2618" s="43"/>
      <c r="V2618" s="43"/>
      <c r="W2618" s="43"/>
      <c r="X2618" s="43"/>
      <c r="Y2618" s="43"/>
      <c r="Z2618" s="43"/>
      <c r="AA2618" s="43"/>
      <c r="AB2618" s="43"/>
      <c r="AC2618" s="43"/>
      <c r="AD2618" s="43"/>
      <c r="AE2618" s="43"/>
      <c r="AF2618" s="43"/>
    </row>
    <row r="2619" spans="1:32" ht="12.75" customHeight="1">
      <c r="A2619" s="301"/>
      <c r="B2619" s="295"/>
      <c r="C2619" s="296"/>
      <c r="D2619" s="296"/>
      <c r="E2619" s="296"/>
      <c r="F2619" s="296"/>
      <c r="G2619" s="296"/>
      <c r="H2619" s="270"/>
      <c r="I2619" s="270"/>
      <c r="J2619" s="266"/>
      <c r="K2619" s="266"/>
      <c r="L2619" s="266"/>
      <c r="M2619" s="267"/>
      <c r="N2619" s="268"/>
      <c r="O2619" s="268"/>
      <c r="P2619" s="269"/>
      <c r="Q2619" s="139" t="str">
        <f>IF($Q2618&lt;&gt;"",IF($Q2618="W",IF(SUM(IF($H2618&gt;$H2616,1,0),IF($I2618&gt;$I2616,1,0),IF($J2618&gt;$J2616,1,0),IF($K2618&gt;$K2616,1,0),IF($L2618&gt;$L2616,1,0))&lt;&gt;3,"Error",""),""),"")</f>
        <v/>
      </c>
      <c r="R2619" s="43" t="str">
        <f>$A2621</f>
        <v>2nd Singles</v>
      </c>
      <c r="S2619" s="43"/>
      <c r="T2619" s="43"/>
      <c r="U2619" s="43"/>
      <c r="V2619" s="43"/>
      <c r="W2619" s="43"/>
      <c r="X2619" s="43"/>
      <c r="Y2619" s="43"/>
      <c r="Z2619" s="43"/>
      <c r="AA2619" s="43"/>
      <c r="AB2619" s="43"/>
      <c r="AC2619" s="43"/>
      <c r="AD2619" s="43"/>
      <c r="AE2619" s="43"/>
      <c r="AF2619" s="43"/>
    </row>
    <row r="2620" spans="1:32" ht="12.75" customHeight="1">
      <c r="Q2620" s="7"/>
      <c r="R2620" s="60" t="s">
        <v>1228</v>
      </c>
      <c r="S2620" s="339" t="s">
        <v>1126</v>
      </c>
      <c r="T2620" s="340"/>
      <c r="U2620" s="340"/>
      <c r="V2620" s="340"/>
      <c r="W2620" s="340"/>
      <c r="X2620" s="341"/>
      <c r="Y2620" s="60">
        <v>1</v>
      </c>
      <c r="Z2620" s="60">
        <v>2</v>
      </c>
      <c r="AA2620" s="60">
        <v>3</v>
      </c>
      <c r="AB2620" s="60">
        <v>4</v>
      </c>
      <c r="AC2620" s="60">
        <v>5</v>
      </c>
      <c r="AD2620" s="342"/>
      <c r="AE2620" s="343"/>
      <c r="AF2620" s="344"/>
    </row>
    <row r="2621" spans="1:32" ht="12.75" customHeight="1">
      <c r="A2621" s="21" t="s">
        <v>1234</v>
      </c>
      <c r="H2621" s="136" t="str">
        <f>IF($Q2623&lt;&gt;"",IF(AND(AND($H2623&gt;-1,$H2625&gt;-1),OR($H2623&gt;10,$H2625&gt;10),ABS($H2623-$H2625)&gt;1,IF(OR($H2623&gt;11,$H2625&gt;11),ABS($H2623-$H2625)=2,TRUE),$H2623=INT($H2623),$H2625=INT($H2625)),"","Error"),"")</f>
        <v/>
      </c>
      <c r="I2621" s="136" t="str">
        <f>IF($Q2623&lt;&gt;"",IF(AND(AND($I2623&gt;-1,$I2625&gt;-1),OR($I2623&gt;10,$I2625&gt;10),ABS($I2623-$I2625)&gt;1,IF(OR($I2623&gt;11,$I2625&gt;11),ABS($I2623-$I2625)=2,TRUE),$I2623=INT($I2623),$I2625=INT($I2625)),"","Error"),"")</f>
        <v/>
      </c>
      <c r="J2621" s="136" t="str">
        <f>IF($Q2623&lt;&gt;"",IF(AND(AND($J2623&gt;-1,$J2625&gt;-1),OR($J2623&gt;10,$J2625&gt;10),ABS($J2623-$J2625)&gt;1,IF(OR($J2623&gt;11,$J2625&gt;11),ABS($J2623-$J2625)=2,TRUE),$J2623=INT($J2623),$J2625=INT($J2625)),"","Error"),"")</f>
        <v/>
      </c>
      <c r="K2621" s="136" t="str">
        <f>IF($Q2623&lt;&gt;"",IF(AND($K2623&lt;&gt;"",$K2625&lt;&gt;""), IF(AND(AND($K2623&gt;-1,$K2625&gt;-1),OR($K2623&gt;10,$K2625&gt;10),ABS($K2623-$K2625)&gt;1,IF(OR($K2623&gt;11,$K2625&gt;11),ABS($K2623-$K2625)=2,TRUE),$K2623=INT($K2623),$K2625=INT($K2625)),"","Error"),""),"")</f>
        <v/>
      </c>
      <c r="L2621" s="136" t="str">
        <f>IF($Q2623&lt;&gt;"",IF(AND($L2623&lt;&gt;"",$L2625&lt;&gt;""), IF(AND(AND($L2623&gt;-1,$L2625&gt;-1),OR($L2623&gt;10,$L2625&gt;10),ABS($L2623-$L2625)&gt;1,IF(OR($L2623&gt;11,$L2625&gt;11),ABS($L2623-$L2625)=2,TRUE),$L2623=INT($L2623),$L2625=INT($L2625)),"","Error"),""),"")</f>
        <v/>
      </c>
      <c r="Q2621" s="7"/>
      <c r="R2621" s="300" t="str">
        <f>$B2610</f>
        <v>E</v>
      </c>
      <c r="S2621" s="331" t="str">
        <f ca="1">IF($B2623&lt;&gt;"",$B2623,"")</f>
        <v/>
      </c>
      <c r="T2621" s="332"/>
      <c r="U2621" s="332"/>
      <c r="V2621" s="332"/>
      <c r="W2621" s="332"/>
      <c r="X2621" s="333"/>
      <c r="Y2621" s="329"/>
      <c r="Z2621" s="329"/>
      <c r="AA2621" s="329"/>
      <c r="AB2621" s="329"/>
      <c r="AC2621" s="329"/>
      <c r="AD2621" s="345"/>
      <c r="AE2621" s="358"/>
      <c r="AF2621" s="359"/>
    </row>
    <row r="2622" spans="1:32" ht="12.75" customHeight="1">
      <c r="A2622" s="5" t="s">
        <v>1228</v>
      </c>
      <c r="B2622" s="290" t="s">
        <v>1126</v>
      </c>
      <c r="C2622" s="291"/>
      <c r="D2622" s="291"/>
      <c r="E2622" s="291"/>
      <c r="F2622" s="291"/>
      <c r="G2622" s="292"/>
      <c r="H2622" s="5">
        <v>1</v>
      </c>
      <c r="I2622" s="5">
        <v>2</v>
      </c>
      <c r="J2622" s="5">
        <v>3</v>
      </c>
      <c r="K2622" s="5">
        <v>4</v>
      </c>
      <c r="L2622" s="5">
        <v>5</v>
      </c>
      <c r="M2622" s="271"/>
      <c r="N2622" s="272"/>
      <c r="O2622" s="272"/>
      <c r="P2622" s="273"/>
      <c r="Q2622" s="7"/>
      <c r="R2622" s="330"/>
      <c r="S2622" s="334"/>
      <c r="T2622" s="335"/>
      <c r="U2622" s="335"/>
      <c r="V2622" s="335"/>
      <c r="W2622" s="335"/>
      <c r="X2622" s="336"/>
      <c r="Y2622" s="330"/>
      <c r="Z2622" s="330"/>
      <c r="AA2622" s="330"/>
      <c r="AB2622" s="330"/>
      <c r="AC2622" s="330"/>
      <c r="AD2622" s="360"/>
      <c r="AE2622" s="361"/>
      <c r="AF2622" s="362"/>
    </row>
    <row r="2623" spans="1:32" ht="12.75" customHeight="1">
      <c r="A2623" s="300" t="str">
        <f>B2610</f>
        <v>E</v>
      </c>
      <c r="B2623" s="293" t="str">
        <f ca="1">IF(AND(OFFSET($AO$1,$C2610-1,8,1,1),$A2611&lt;&gt;"",$J2611&lt;&gt;""),CHOOSE($C2610,$AP$1,$AP$2,$AP$3,$AP$4,$AP$5,$AP$6,$AP$7,$AP$8,$AP$9,$AP$10,$AP$11,$AP$12),"")</f>
        <v/>
      </c>
      <c r="C2623" s="294"/>
      <c r="D2623" s="294"/>
      <c r="E2623" s="294"/>
      <c r="F2623" s="294"/>
      <c r="G2623" s="294"/>
      <c r="H2623" s="265"/>
      <c r="I2623" s="265"/>
      <c r="J2623" s="265"/>
      <c r="K2623" s="265"/>
      <c r="L2623" s="265"/>
      <c r="M2623" s="262" t="str">
        <f ca="1">IF(OR(AND($B2616&lt;&gt;"",$B2623&lt;&gt;"",$C2641&lt;=$B2641),AND($B2618&lt;&gt;"",$B2625&lt;&gt;"",$G2641&lt;=$F2641)),"Invalid Lineup","")</f>
        <v/>
      </c>
      <c r="N2623" s="263"/>
      <c r="O2623" s="263"/>
      <c r="P2623" s="264"/>
      <c r="Q2623" s="137" t="str">
        <f>IF($L2623=$L2625,IF($K2623=$K2625,IF($J2623&lt;&gt;"",IF($J2623&gt;$J2625,"W","L"),""),IF($K2623&gt;$K2625,"W","L")),IF($L2623&gt;$L2625,"W","L"))</f>
        <v/>
      </c>
      <c r="R2623" s="300" t="str">
        <f>$K2610</f>
        <v>J</v>
      </c>
      <c r="S2623" s="331" t="str">
        <f ca="1">IF($B2625&lt;&gt;"",$B2625,"")</f>
        <v/>
      </c>
      <c r="T2623" s="332"/>
      <c r="U2623" s="332"/>
      <c r="V2623" s="332"/>
      <c r="W2623" s="332"/>
      <c r="X2623" s="333"/>
      <c r="Y2623" s="329"/>
      <c r="Z2623" s="329"/>
      <c r="AA2623" s="329"/>
      <c r="AB2623" s="329"/>
      <c r="AC2623" s="351"/>
      <c r="AD2623" s="363" t="s">
        <v>1237</v>
      </c>
      <c r="AE2623" s="358"/>
      <c r="AF2623" s="359"/>
    </row>
    <row r="2624" spans="1:32" ht="12.75" customHeight="1">
      <c r="A2624" s="301"/>
      <c r="B2624" s="295"/>
      <c r="C2624" s="296"/>
      <c r="D2624" s="296"/>
      <c r="E2624" s="296"/>
      <c r="F2624" s="296"/>
      <c r="G2624" s="296"/>
      <c r="H2624" s="270"/>
      <c r="I2624" s="270"/>
      <c r="J2624" s="270"/>
      <c r="K2624" s="270"/>
      <c r="L2624" s="270"/>
      <c r="M2624" s="262"/>
      <c r="N2624" s="263"/>
      <c r="O2624" s="263"/>
      <c r="P2624" s="264"/>
      <c r="Q2624" s="139" t="str">
        <f>IF($Q2623&lt;&gt;"",IF($Q2623="W",IF(SUM(IF($H2623&gt;$H2625,1,0),IF($I2623&gt;$I2625,1,0),IF($J2623&gt;$J2625,1,0),IF($K2623&gt;$K2625,1,0),IF($L2623&gt;$L2625,1,0))&lt;&gt;3,"Error",""),""),"")</f>
        <v/>
      </c>
      <c r="R2624" s="330"/>
      <c r="S2624" s="334"/>
      <c r="T2624" s="335"/>
      <c r="U2624" s="335"/>
      <c r="V2624" s="335"/>
      <c r="W2624" s="335"/>
      <c r="X2624" s="336"/>
      <c r="Y2624" s="330"/>
      <c r="Z2624" s="330"/>
      <c r="AA2624" s="330"/>
      <c r="AB2624" s="330"/>
      <c r="AC2624" s="330"/>
      <c r="AD2624" s="360"/>
      <c r="AE2624" s="361"/>
      <c r="AF2624" s="362"/>
    </row>
    <row r="2625" spans="1:32" ht="12.75" customHeight="1">
      <c r="A2625" s="300" t="str">
        <f>K2610</f>
        <v>J</v>
      </c>
      <c r="B2625" s="293" t="str">
        <f ca="1">IF(AND(OFFSET($AO$1,$L2610-1,8,1,1),$A2611&lt;&gt;"",$J2611&lt;&gt;""),CHOOSE($L2610,$AP$1,$AP$2,$AP$3,$AP$4,$AP$5,$AP$6,$AP$7,$AP$8,$AP$9,$AP$10,$AP$11,$AP$12),"")</f>
        <v/>
      </c>
      <c r="C2625" s="294"/>
      <c r="D2625" s="294"/>
      <c r="E2625" s="294"/>
      <c r="F2625" s="294"/>
      <c r="G2625" s="294"/>
      <c r="H2625" s="265"/>
      <c r="I2625" s="265"/>
      <c r="J2625" s="265"/>
      <c r="K2625" s="265"/>
      <c r="L2625" s="265"/>
      <c r="M2625" s="267" t="s">
        <v>1237</v>
      </c>
      <c r="N2625" s="268"/>
      <c r="O2625" s="268"/>
      <c r="P2625" s="269"/>
      <c r="Q2625" s="137" t="str">
        <f>IF($Q2623&lt;&gt;"",IF($Q2623="W","L","W"),"")</f>
        <v/>
      </c>
      <c r="R2625" s="20"/>
      <c r="S2625" s="20"/>
      <c r="T2625" s="20"/>
      <c r="U2625" s="20"/>
      <c r="V2625" s="20"/>
      <c r="W2625" s="20"/>
      <c r="X2625" s="26"/>
      <c r="Y2625" s="26"/>
      <c r="Z2625" s="20"/>
      <c r="AA2625" s="20"/>
      <c r="AB2625" s="20"/>
      <c r="AC2625" s="20"/>
      <c r="AD2625" s="20"/>
      <c r="AE2625" s="20"/>
      <c r="AF2625" s="27"/>
    </row>
    <row r="2626" spans="1:32" ht="12.75" customHeight="1">
      <c r="A2626" s="301"/>
      <c r="B2626" s="295"/>
      <c r="C2626" s="296"/>
      <c r="D2626" s="296"/>
      <c r="E2626" s="296"/>
      <c r="F2626" s="296"/>
      <c r="G2626" s="296"/>
      <c r="H2626" s="270"/>
      <c r="I2626" s="270"/>
      <c r="J2626" s="266"/>
      <c r="K2626" s="266"/>
      <c r="L2626" s="266"/>
      <c r="M2626" s="267"/>
      <c r="N2626" s="268"/>
      <c r="O2626" s="268"/>
      <c r="P2626" s="269"/>
      <c r="Q2626" s="139" t="str">
        <f>IF($Q2625&lt;&gt;"",IF($Q2625="W",IF(SUM(IF($H2625&gt;$H2623,1,0),IF($I2625&gt;$I2623,1,0),IF($J2625&gt;$J2623,1,0),IF($K2625&gt;$K2623,1,0),IF($L2625&gt;$L2623,1,0))&lt;&gt;3,"Error",""),""),"")</f>
        <v/>
      </c>
      <c r="R2626" s="20"/>
      <c r="S2626" s="20"/>
      <c r="T2626" s="20"/>
      <c r="U2626" s="20"/>
      <c r="V2626" s="20"/>
      <c r="W2626" s="20"/>
      <c r="X2626" s="26"/>
      <c r="Y2626" s="26"/>
      <c r="Z2626" s="20"/>
      <c r="AA2626" s="20"/>
      <c r="AB2626" s="20"/>
      <c r="AC2626" s="20"/>
      <c r="AD2626" s="20"/>
      <c r="AE2626" s="20"/>
      <c r="AF2626" s="27"/>
    </row>
    <row r="2627" spans="1:32" ht="12.75" customHeight="1">
      <c r="Q2627" s="7"/>
      <c r="R2627" s="20"/>
      <c r="S2627" s="20"/>
      <c r="T2627" s="20"/>
      <c r="U2627" s="20"/>
      <c r="V2627" s="20"/>
      <c r="W2627" s="20"/>
      <c r="X2627" s="26"/>
      <c r="Y2627" s="26"/>
      <c r="Z2627" s="20"/>
      <c r="AA2627" s="20"/>
      <c r="AB2627" s="20"/>
      <c r="AC2627" s="20"/>
      <c r="AD2627" s="20"/>
      <c r="AE2627" s="20"/>
      <c r="AF2627" s="27"/>
    </row>
    <row r="2628" spans="1:32" ht="12.75" customHeight="1">
      <c r="A2628" s="21" t="s">
        <v>1235</v>
      </c>
      <c r="H2628" s="136" t="str">
        <f>IF($Q2630&lt;&gt;"",IF(AND(AND($H2630&gt;-1,$H2632&gt;-1),OR($H2630&gt;10,$H2632&gt;10),ABS($H2630-$H2632)&gt;1,IF(OR($H2630&gt;11,$H2632&gt;11),ABS($H2630-$H2632)=2,TRUE),$H2630=INT($H2630),$H2632=INT($H2632)),"","Error"),"")</f>
        <v/>
      </c>
      <c r="I2628" s="136" t="str">
        <f>IF($Q2630&lt;&gt;"",IF(AND(AND($I2630&gt;-1,$I2632&gt;-1),OR($I2630&gt;10,$I2632&gt;10),ABS($I2630-$I2632)&gt;1,IF(OR($I2630&gt;11,$I2632&gt;11),ABS($I2630-$I2632)=2,TRUE),$I2630=INT($I2630),$I2632=INT($I2632)),"","Error"),"")</f>
        <v/>
      </c>
      <c r="J2628" s="136" t="str">
        <f>IF($Q2630&lt;&gt;"",IF(AND(AND($J2630&gt;-1,$J2632&gt;-1),OR($J2630&gt;10,$J2632&gt;10),ABS($J2630-$J2632)&gt;1,IF(OR($J2630&gt;11,$J2632&gt;11),ABS($J2630-$J2632)=2,TRUE),$J2630=INT($J2630),$J2632=INT($J2632)),"","Error"),"")</f>
        <v/>
      </c>
      <c r="K2628" s="136" t="str">
        <f>IF($Q2630&lt;&gt;"",IF(AND($K2630&lt;&gt;"",$K2632&lt;&gt;""), IF(AND(AND($K2630&gt;-1,$K2632&gt;-1),OR($K2630&gt;10,$K2632&gt;10),ABS($K2630-$K2632)&gt;1,IF(OR($K2630&gt;11,$K2632&gt;11),ABS($K2630-$K2632)=2,TRUE),$K2630=INT($K2630),$K2632=INT($K2632)),"","Error"),""),"")</f>
        <v/>
      </c>
      <c r="L2628" s="136" t="str">
        <f>IF($Q2630&lt;&gt;"",IF(AND($L2630&lt;&gt;"",$L2632&lt;&gt;""), IF(AND(AND($L2630&gt;-1,$L2632&gt;-1),OR($L2630&gt;10,$L2632&gt;10),ABS($L2630-$L2632)&gt;1,IF(OR($L2630&gt;11,$L2632&gt;11),ABS($L2630-$L2632)=2,TRUE),$L2630=INT($L2630),$L2632=INT($L2632)),"","Error"),""),"")</f>
        <v/>
      </c>
      <c r="Q2628" s="7"/>
      <c r="R2628" s="20"/>
      <c r="S2628" s="20"/>
      <c r="T2628" s="20"/>
      <c r="U2628" s="20"/>
      <c r="V2628" s="20"/>
      <c r="W2628" s="20"/>
      <c r="X2628" s="26"/>
      <c r="Y2628" s="26"/>
      <c r="Z2628" s="20"/>
      <c r="AA2628" s="20"/>
      <c r="AB2628" s="20"/>
      <c r="AC2628" s="20"/>
      <c r="AD2628" s="20"/>
      <c r="AE2628" s="20"/>
      <c r="AF2628" s="27"/>
    </row>
    <row r="2629" spans="1:32" ht="12.75" customHeight="1">
      <c r="A2629" s="5" t="s">
        <v>1228</v>
      </c>
      <c r="B2629" s="290" t="s">
        <v>1126</v>
      </c>
      <c r="C2629" s="291"/>
      <c r="D2629" s="291"/>
      <c r="E2629" s="291"/>
      <c r="F2629" s="291"/>
      <c r="G2629" s="292"/>
      <c r="H2629" s="5">
        <v>1</v>
      </c>
      <c r="I2629" s="5">
        <v>2</v>
      </c>
      <c r="J2629" s="5">
        <v>3</v>
      </c>
      <c r="K2629" s="5">
        <v>4</v>
      </c>
      <c r="L2629" s="5">
        <v>5</v>
      </c>
      <c r="M2629" s="271"/>
      <c r="N2629" s="272"/>
      <c r="O2629" s="272"/>
      <c r="P2629" s="273"/>
      <c r="Q2629" s="7"/>
      <c r="R2629" s="20"/>
      <c r="S2629" s="20"/>
      <c r="T2629" s="20"/>
      <c r="U2629" s="20"/>
      <c r="V2629" s="20"/>
      <c r="W2629" s="20"/>
      <c r="X2629" s="26"/>
      <c r="Y2629" s="26"/>
      <c r="Z2629" s="20"/>
      <c r="AA2629" s="20"/>
      <c r="AB2629" s="20"/>
      <c r="AC2629" s="20"/>
      <c r="AD2629" s="20"/>
      <c r="AE2629" s="20"/>
      <c r="AF2629" s="27"/>
    </row>
    <row r="2630" spans="1:32" ht="12.75" customHeight="1">
      <c r="A2630" s="300" t="str">
        <f>B2610</f>
        <v>E</v>
      </c>
      <c r="B2630" s="293" t="str">
        <f ca="1">IF(AND(OFFSET($AO$1,$C2610-1,8,1,1),$A2611&lt;&gt;"",$J2611&lt;&gt;""),CHOOSE($C2610,$AQ$1,$AQ$2,$AQ$3,$AQ$4,$AQ$5,$AQ$6,$AQ$7,$AQ$8,$AQ$9,$AQ$10,$AQ$11,$AQ$12),"")</f>
        <v/>
      </c>
      <c r="C2630" s="294"/>
      <c r="D2630" s="294"/>
      <c r="E2630" s="294"/>
      <c r="F2630" s="294"/>
      <c r="G2630" s="294"/>
      <c r="H2630" s="265"/>
      <c r="I2630" s="265"/>
      <c r="J2630" s="265"/>
      <c r="K2630" s="265"/>
      <c r="L2630" s="265"/>
      <c r="M2630" s="262" t="str">
        <f ca="1">IF(OR(AND($B2623&lt;&gt;"",$B2630&lt;&gt;"",$D2641&lt;=$C2641),AND($B2625&lt;&gt;"",$B2632&lt;&gt;"",$H2641&lt;=$G2641)),"Invalid Lineup","")</f>
        <v/>
      </c>
      <c r="N2630" s="263"/>
      <c r="O2630" s="263"/>
      <c r="P2630" s="264"/>
      <c r="Q2630" s="137" t="str">
        <f>IF($L2630=$L2632,IF($K2630=$K2632,IF($J2630&lt;&gt;"",IF($J2630&gt;$J2632,"W","L"),""),IF($K2630&gt;$K2632,"W","L")),IF($L2630&gt;$L2632,"W","L"))</f>
        <v/>
      </c>
      <c r="R2630" s="20"/>
      <c r="S2630" s="20"/>
      <c r="T2630" s="20"/>
      <c r="U2630" s="20"/>
      <c r="V2630" s="20"/>
      <c r="W2630" s="20"/>
      <c r="X2630" s="26"/>
      <c r="Y2630" s="26"/>
      <c r="Z2630" s="20"/>
      <c r="AA2630" s="20"/>
      <c r="AB2630" s="20"/>
      <c r="AC2630" s="20"/>
      <c r="AD2630" s="20"/>
      <c r="AE2630" s="20"/>
      <c r="AF2630" s="27"/>
    </row>
    <row r="2631" spans="1:32" ht="12.75" customHeight="1">
      <c r="A2631" s="301"/>
      <c r="B2631" s="295"/>
      <c r="C2631" s="296"/>
      <c r="D2631" s="296"/>
      <c r="E2631" s="296"/>
      <c r="F2631" s="296"/>
      <c r="G2631" s="296"/>
      <c r="H2631" s="270"/>
      <c r="I2631" s="270"/>
      <c r="J2631" s="270"/>
      <c r="K2631" s="270"/>
      <c r="L2631" s="270"/>
      <c r="M2631" s="262"/>
      <c r="N2631" s="263"/>
      <c r="O2631" s="263"/>
      <c r="P2631" s="264"/>
      <c r="Q2631" s="139" t="str">
        <f>IF($Q2630&lt;&gt;"",IF($Q2630="W",IF(SUM(IF($H2630&gt;$H2632,1,0),IF($I2630&gt;$I2632,1,0),IF($J2630&gt;$J2632,1,0),IF($K2630&gt;$K2632,1,0),IF($L2630&gt;$L2632,1,0))&lt;&gt;3,"Error",""),""),"")</f>
        <v/>
      </c>
      <c r="R2631" s="328" t="str">
        <f>$A2611</f>
        <v/>
      </c>
      <c r="S2631" s="328"/>
      <c r="T2631" s="328"/>
      <c r="U2631" s="328"/>
      <c r="V2631" s="328"/>
      <c r="W2631" s="328"/>
      <c r="X2631" s="256" t="str">
        <f>CONCATENATE("(",$B2610," vs ",$K2610,")")</f>
        <v>(E vs J)</v>
      </c>
      <c r="Y2631" s="256"/>
      <c r="Z2631" s="328" t="str">
        <f>$J2611</f>
        <v/>
      </c>
      <c r="AA2631" s="328"/>
      <c r="AB2631" s="328"/>
      <c r="AC2631" s="328"/>
      <c r="AD2631" s="328"/>
      <c r="AE2631" s="328"/>
      <c r="AF2631" s="100"/>
    </row>
    <row r="2632" spans="1:32" ht="12.75" customHeight="1">
      <c r="A2632" s="300" t="str">
        <f>K2610</f>
        <v>J</v>
      </c>
      <c r="B2632" s="293" t="str">
        <f ca="1">IF(AND(OFFSET($AO$1,$L2610-1,8,1,1),$A2611&lt;&gt;"",$J2611&lt;&gt;""),CHOOSE($L2610,$AQ$1,$AQ$2,$AQ$3,$AQ$4,$AQ$5,$AQ$6,$AQ$7,$AQ$8,$AQ$9,$AQ$10,$AQ$11,$AQ$12),"")</f>
        <v/>
      </c>
      <c r="C2632" s="294"/>
      <c r="D2632" s="294"/>
      <c r="E2632" s="294"/>
      <c r="F2632" s="294"/>
      <c r="G2632" s="294"/>
      <c r="H2632" s="265"/>
      <c r="I2632" s="265"/>
      <c r="J2632" s="265"/>
      <c r="K2632" s="265"/>
      <c r="L2632" s="265"/>
      <c r="M2632" s="267" t="s">
        <v>1237</v>
      </c>
      <c r="N2632" s="268"/>
      <c r="O2632" s="268"/>
      <c r="P2632" s="269"/>
      <c r="Q2632" s="137" t="str">
        <f>IF($Q2630&lt;&gt;"",IF($Q2630="W","L","W"),"")</f>
        <v/>
      </c>
      <c r="R2632" s="100"/>
      <c r="S2632" s="100"/>
      <c r="T2632" s="100"/>
      <c r="U2632" s="100"/>
      <c r="V2632" s="100"/>
      <c r="W2632" s="100"/>
      <c r="X2632" s="100"/>
      <c r="Y2632" s="100"/>
      <c r="Z2632" s="100"/>
      <c r="AA2632" s="100"/>
      <c r="AB2632" s="100"/>
      <c r="AC2632" s="100"/>
      <c r="AD2632" s="100"/>
      <c r="AE2632" s="100"/>
      <c r="AF2632" s="100"/>
    </row>
    <row r="2633" spans="1:32" ht="12.75" customHeight="1">
      <c r="A2633" s="301"/>
      <c r="B2633" s="295"/>
      <c r="C2633" s="296"/>
      <c r="D2633" s="296"/>
      <c r="E2633" s="296"/>
      <c r="F2633" s="296"/>
      <c r="G2633" s="296"/>
      <c r="H2633" s="270"/>
      <c r="I2633" s="270"/>
      <c r="J2633" s="266"/>
      <c r="K2633" s="266"/>
      <c r="L2633" s="266"/>
      <c r="M2633" s="267"/>
      <c r="N2633" s="268"/>
      <c r="O2633" s="268"/>
      <c r="P2633" s="269"/>
      <c r="Q2633" s="139" t="str">
        <f>IF($Q2632&lt;&gt;"",IF($Q2632="W",IF(SUM(IF($H2632&gt;$H2630,1,0),IF($I2632&gt;$I2630,1,0),IF($J2632&gt;$J2630,1,0),IF($K2632&gt;$K2630,1,0),IF($L2632&gt;$L2630,1,0))&lt;&gt;3,"Error",""),""),"")</f>
        <v/>
      </c>
      <c r="R2633" s="43" t="str">
        <f>$A2628</f>
        <v>3rd Singles</v>
      </c>
      <c r="S2633" s="43"/>
      <c r="T2633" s="43"/>
      <c r="U2633" s="43"/>
      <c r="V2633" s="43"/>
      <c r="W2633" s="43"/>
      <c r="X2633" s="43"/>
      <c r="Y2633" s="43"/>
      <c r="Z2633" s="43"/>
      <c r="AA2633" s="43"/>
      <c r="AB2633" s="43"/>
      <c r="AC2633" s="43"/>
      <c r="AD2633" s="43"/>
      <c r="AE2633" s="43"/>
      <c r="AF2633" s="43"/>
    </row>
    <row r="2634" spans="1:32" ht="12.75" customHeight="1">
      <c r="Q2634" s="7"/>
      <c r="R2634" s="60" t="s">
        <v>1228</v>
      </c>
      <c r="S2634" s="101" t="s">
        <v>1126</v>
      </c>
      <c r="T2634" s="102"/>
      <c r="U2634" s="102"/>
      <c r="V2634" s="102"/>
      <c r="W2634" s="102"/>
      <c r="X2634" s="103"/>
      <c r="Y2634" s="60">
        <v>1</v>
      </c>
      <c r="Z2634" s="60">
        <v>2</v>
      </c>
      <c r="AA2634" s="60">
        <v>3</v>
      </c>
      <c r="AB2634" s="60">
        <v>4</v>
      </c>
      <c r="AC2634" s="60">
        <v>5</v>
      </c>
      <c r="AD2634" s="104"/>
      <c r="AE2634" s="105"/>
      <c r="AF2634" s="106"/>
    </row>
    <row r="2635" spans="1:32" ht="12.75" customHeight="1">
      <c r="A2635" s="21" t="s">
        <v>1236</v>
      </c>
      <c r="H2635" s="136" t="str">
        <f ca="1">IF($Q2637&lt;&gt;"",IF(AND($B2637&lt;&gt;"Missing Player",$B2639&lt;&gt;"Missing Player"),IF(AND(AND($H2637&gt;-1,$H2639&gt;-1),OR($H2637&gt;10,$H2639&gt;10),ABS($H2637-$H2639)&gt;1,IF(OR($H2637&gt;11,$H2639&gt;11),ABS($H2637-$H2639)=2,TRUE),$H2637=INT($H2637),$H2639=INT($H2639)),"","Error"),""),"")</f>
        <v/>
      </c>
      <c r="I2635" s="136" t="str">
        <f ca="1">IF($Q2637&lt;&gt;"",IF(AND($B2637&lt;&gt;"Missing Player",$B2639&lt;&gt;"Missing Player"),IF(AND(AND($I2637&gt;-1,$I2639&gt;-1),OR($I2637&gt;10,$I2639&gt;10),ABS($I2637-$I2639)&gt;1,IF(OR($I2637&gt;11,$I2639&gt;11),ABS($I2637-$I2639)=2,TRUE),$I2637=INT($I2637),$I2639=INT($I2639)),"","Error"),""),"")</f>
        <v/>
      </c>
      <c r="J2635" s="136" t="str">
        <f ca="1">IF($Q2637&lt;&gt;"",IF(AND($B2637&lt;&gt;"Missing Player",$B2639&lt;&gt;"Missing Player"),IF(AND(AND($J2637&gt;-1,$J2639&gt;-1),OR($J2637&gt;10,$J2639&gt;10),ABS($J2637-$J2639)&gt;1,IF(OR($J2637&gt;11,$J2639&gt;11),ABS($J2637-$J2639)=2,TRUE),$J2637=INT($J2637),$J2639=INT($J2639)),"","Error"),""),"")</f>
        <v/>
      </c>
      <c r="K2635" s="136" t="str">
        <f ca="1">IF($Q2637&lt;&gt;"",IF(AND($K2637&lt;&gt;"",$K2639&lt;&gt;""), IF(AND(AND($K2637&gt;-1,$K2639&gt;-1),OR($K2637&gt;10,$K2639&gt;10),ABS($K2637-$K2639)&gt;1,IF(OR($K2637&gt;11,$K2639&gt;11),ABS($K2637-$K2639)=2,TRUE),$K2637=INT($K2637),$K2639=INT($K2639)),"","Error"),""),"")</f>
        <v/>
      </c>
      <c r="L2635" s="136" t="str">
        <f ca="1">IF($Q2637&lt;&gt;"",IF(AND($L2637&lt;&gt;"",$L2639&lt;&gt;""), IF(AND(AND($L2637&gt;-1,$L2639&gt;-1),OR($L2637&gt;10,$L2639&gt;10),ABS($L2637-$L2639)&gt;1,IF(OR($L2637&gt;11,$L2639&gt;11),ABS($L2637-$L2639)=2,TRUE),$L2637=INT($L2637),$L2639=INT($L2639)),"","Error"),""),"")</f>
        <v/>
      </c>
      <c r="Q2635" s="7"/>
      <c r="R2635" s="300" t="str">
        <f>$B2610</f>
        <v>E</v>
      </c>
      <c r="S2635" s="331" t="str">
        <f ca="1">IF($B2630&lt;&gt;"",$B2630,"")</f>
        <v/>
      </c>
      <c r="T2635" s="332"/>
      <c r="U2635" s="332"/>
      <c r="V2635" s="332"/>
      <c r="W2635" s="332"/>
      <c r="X2635" s="333"/>
      <c r="Y2635" s="329"/>
      <c r="Z2635" s="329"/>
      <c r="AA2635" s="329"/>
      <c r="AB2635" s="329"/>
      <c r="AC2635" s="329"/>
      <c r="AD2635" s="345"/>
      <c r="AE2635" s="358"/>
      <c r="AF2635" s="359"/>
    </row>
    <row r="2636" spans="1:32" ht="12.75" customHeight="1">
      <c r="A2636" s="5" t="s">
        <v>1228</v>
      </c>
      <c r="B2636" s="290" t="s">
        <v>1126</v>
      </c>
      <c r="C2636" s="291"/>
      <c r="D2636" s="291"/>
      <c r="E2636" s="291"/>
      <c r="F2636" s="291"/>
      <c r="G2636" s="292"/>
      <c r="H2636" s="5">
        <v>1</v>
      </c>
      <c r="I2636" s="5">
        <v>2</v>
      </c>
      <c r="J2636" s="5">
        <v>3</v>
      </c>
      <c r="K2636" s="5">
        <v>4</v>
      </c>
      <c r="L2636" s="5">
        <v>5</v>
      </c>
      <c r="M2636" s="271"/>
      <c r="N2636" s="272"/>
      <c r="O2636" s="272"/>
      <c r="P2636" s="273"/>
      <c r="Q2636" s="7"/>
      <c r="R2636" s="330"/>
      <c r="S2636" s="334"/>
      <c r="T2636" s="335"/>
      <c r="U2636" s="335"/>
      <c r="V2636" s="335"/>
      <c r="W2636" s="335"/>
      <c r="X2636" s="336"/>
      <c r="Y2636" s="330"/>
      <c r="Z2636" s="330"/>
      <c r="AA2636" s="330"/>
      <c r="AB2636" s="330"/>
      <c r="AC2636" s="330"/>
      <c r="AD2636" s="360"/>
      <c r="AE2636" s="361"/>
      <c r="AF2636" s="362"/>
    </row>
    <row r="2637" spans="1:32" ht="12.75" customHeight="1">
      <c r="A2637" s="300" t="str">
        <f>B2610</f>
        <v>E</v>
      </c>
      <c r="B2637" s="293" t="str">
        <f ca="1">IF(AND(OFFSET($AO$1,$C2610-1,8,1,1),$A2611&lt;&gt;"",$J2611&lt;&gt;""),CHOOSE($C2610,$AR$1,$AR$2,$AR$3,$AR$4,$AR$5,$AR$6,$AR$7,$AR$8,$AR$9,$AR$10,$AR$11,$AR$12),"")</f>
        <v/>
      </c>
      <c r="C2637" s="294"/>
      <c r="D2637" s="294"/>
      <c r="E2637" s="294"/>
      <c r="F2637" s="294"/>
      <c r="G2637" s="294"/>
      <c r="H2637" s="265"/>
      <c r="I2637" s="265"/>
      <c r="J2637" s="265"/>
      <c r="K2637" s="265"/>
      <c r="L2637" s="265" t="str">
        <f ca="1">IF(AND($B2637&lt;&gt;"",$Q2616&lt;&gt;""),IF($B2637="Missing Player",0,IF($B2639="Missing Player",11,"")),"")</f>
        <v/>
      </c>
      <c r="M2637" s="262" t="str">
        <f ca="1">IF(OR(AND($B2630&lt;&gt;"",$B2637&lt;&gt;"",$E2641&lt;=$D2641),AND($B2632&lt;&gt;"",$B2639&lt;&gt;"",$I2641&lt;=$H2641)),"Invalid Lineup","")</f>
        <v/>
      </c>
      <c r="N2637" s="263"/>
      <c r="O2637" s="263"/>
      <c r="P2637" s="264"/>
      <c r="Q2637" s="137" t="str">
        <f ca="1">IF($L2637=$L2639,IF($K2637=$K2639,IF($J2637&lt;&gt;"",IF($J2637&gt;$J2639,"W","L"),""),IF($K2637&gt;$K2639,"W","L")),IF($L2637&gt;$L2639,"W","L"))</f>
        <v/>
      </c>
      <c r="R2637" s="300" t="str">
        <f>$K2610</f>
        <v>J</v>
      </c>
      <c r="S2637" s="331" t="str">
        <f ca="1">IF($B2632&lt;&gt;"",$B2632,"")</f>
        <v/>
      </c>
      <c r="T2637" s="332"/>
      <c r="U2637" s="332"/>
      <c r="V2637" s="332"/>
      <c r="W2637" s="332"/>
      <c r="X2637" s="333"/>
      <c r="Y2637" s="329"/>
      <c r="Z2637" s="329"/>
      <c r="AA2637" s="329"/>
      <c r="AB2637" s="329"/>
      <c r="AC2637" s="351"/>
      <c r="AD2637" s="363" t="s">
        <v>1237</v>
      </c>
      <c r="AE2637" s="358"/>
      <c r="AF2637" s="359"/>
    </row>
    <row r="2638" spans="1:32" ht="12.75" customHeight="1">
      <c r="A2638" s="301"/>
      <c r="B2638" s="295"/>
      <c r="C2638" s="296"/>
      <c r="D2638" s="296"/>
      <c r="E2638" s="296"/>
      <c r="F2638" s="296"/>
      <c r="G2638" s="296"/>
      <c r="H2638" s="270"/>
      <c r="I2638" s="270"/>
      <c r="J2638" s="270"/>
      <c r="K2638" s="270"/>
      <c r="L2638" s="270"/>
      <c r="M2638" s="262"/>
      <c r="N2638" s="263"/>
      <c r="O2638" s="263"/>
      <c r="P2638" s="264"/>
      <c r="Q2638" s="139" t="str">
        <f ca="1">IF($Q2637&lt;&gt;"",IF($B2639&lt;&gt;"Missing Player",IF($Q2637="W",IF(SUM(IF($H2637&gt;$H2639,1,0),IF($I2637&gt;$I2639,1,0),IF($J2637&gt;$J2639,1,0),IF($K2637&gt;$K2639,1,0),IF($L2637&gt;$L2639,1,0))&lt;&gt;3,"Error",""),""),""),"")</f>
        <v/>
      </c>
      <c r="R2638" s="330"/>
      <c r="S2638" s="334"/>
      <c r="T2638" s="335"/>
      <c r="U2638" s="335"/>
      <c r="V2638" s="335"/>
      <c r="W2638" s="335"/>
      <c r="X2638" s="336"/>
      <c r="Y2638" s="330"/>
      <c r="Z2638" s="330"/>
      <c r="AA2638" s="330"/>
      <c r="AB2638" s="330"/>
      <c r="AC2638" s="330"/>
      <c r="AD2638" s="360"/>
      <c r="AE2638" s="361"/>
      <c r="AF2638" s="362"/>
    </row>
    <row r="2639" spans="1:32" ht="12.75" customHeight="1">
      <c r="A2639" s="300" t="str">
        <f>K2610</f>
        <v>J</v>
      </c>
      <c r="B2639" s="293" t="str">
        <f ca="1">IF(AND(OFFSET($AO$1,$L2610-1,8,1,1),$A2611&lt;&gt;"",$J2611&lt;&gt;""),CHOOSE($L2610,$AR$1,$AR$2,$AR$3,$AR$4,$AR$5,$AR$6,$AR$7,$AR$8,$AR$9,$AR$10,$AR$11,$AR$12),"")</f>
        <v/>
      </c>
      <c r="C2639" s="294"/>
      <c r="D2639" s="294"/>
      <c r="E2639" s="294"/>
      <c r="F2639" s="294"/>
      <c r="G2639" s="294"/>
      <c r="H2639" s="265"/>
      <c r="I2639" s="265"/>
      <c r="J2639" s="265"/>
      <c r="K2639" s="265"/>
      <c r="L2639" s="265" t="str">
        <f ca="1">IF(AND($B2639&lt;&gt;"",$Q2616&lt;&gt;""),IF($B2639="Missing Player",0,IF($B2637="Missing Player",11,"")),"")</f>
        <v/>
      </c>
      <c r="M2639" s="267" t="s">
        <v>1237</v>
      </c>
      <c r="N2639" s="268"/>
      <c r="O2639" s="268"/>
      <c r="P2639" s="269"/>
      <c r="Q2639" s="137" t="str">
        <f ca="1">IF($Q2637&lt;&gt;"",IF($Q2637="W","L","W"),"")</f>
        <v/>
      </c>
      <c r="R2639" s="112"/>
      <c r="S2639" s="98"/>
      <c r="T2639" s="108"/>
      <c r="U2639" s="108"/>
      <c r="V2639" s="108"/>
      <c r="W2639" s="108"/>
      <c r="X2639" s="108"/>
      <c r="Y2639" s="113"/>
      <c r="Z2639" s="113"/>
      <c r="AA2639" s="113"/>
      <c r="AB2639" s="113"/>
      <c r="AC2639" s="113"/>
      <c r="AD2639" s="107"/>
      <c r="AE2639" s="109"/>
      <c r="AF2639" s="109"/>
    </row>
    <row r="2640" spans="1:32" ht="12.75" customHeight="1">
      <c r="A2640" s="301"/>
      <c r="B2640" s="295"/>
      <c r="C2640" s="296"/>
      <c r="D2640" s="296"/>
      <c r="E2640" s="296"/>
      <c r="F2640" s="296"/>
      <c r="G2640" s="296"/>
      <c r="H2640" s="270"/>
      <c r="I2640" s="270"/>
      <c r="J2640" s="266"/>
      <c r="K2640" s="266"/>
      <c r="L2640" s="266"/>
      <c r="M2640" s="267"/>
      <c r="N2640" s="268"/>
      <c r="O2640" s="268"/>
      <c r="P2640" s="269"/>
      <c r="Q2640" s="139" t="str">
        <f ca="1">IF($Q2639&lt;&gt;"",IF($B2637&lt;&gt;"Missing Player",IF($Q2639="W",IF(SUM(IF($H2639&gt;$H2637,1,0),IF($I2639&gt;$I2637,1,0),IF($J2639&gt;$J2637,1,0),IF($K2639&gt;$K2637,1,0),IF($L2639&gt;$L2637,1,0))&lt;&gt;3,"Error",""),""),""),"")</f>
        <v/>
      </c>
      <c r="R2640" s="114"/>
      <c r="S2640" s="115"/>
      <c r="T2640" s="115"/>
      <c r="U2640" s="115"/>
      <c r="V2640" s="115"/>
      <c r="W2640" s="115"/>
      <c r="X2640" s="115"/>
      <c r="Y2640" s="114"/>
      <c r="Z2640" s="114"/>
      <c r="AA2640" s="114"/>
      <c r="AB2640" s="114"/>
      <c r="AC2640" s="114"/>
      <c r="AD2640" s="114"/>
      <c r="AE2640" s="114"/>
      <c r="AF2640" s="114"/>
    </row>
    <row r="2641" spans="1:32" ht="12.75" customHeight="1">
      <c r="B2641" s="140" t="str">
        <f ca="1">IF(ISERROR(VLOOKUP($B2616&amp;"("&amp;$B2610&amp;")",Players!$S$4:$T$132,2,FALSE)),"",VLOOKUP($B2616&amp;"("&amp;$B2610&amp;")",Players!$S$4:$T$132,2,FALSE))</f>
        <v>E1</v>
      </c>
      <c r="C2641" s="140" t="str">
        <f ca="1">IF(ISERROR(VLOOKUP($B2623&amp;"("&amp;$B2610&amp;")",Players!$S$4:$T$132,2,FALSE)),"",VLOOKUP($B2623&amp;"("&amp;$B2610&amp;")",Players!$S$4:$T$132,2,FALSE))</f>
        <v>E1</v>
      </c>
      <c r="D2641" s="141" t="str">
        <f ca="1">IF(ISERROR(VLOOKUP($B2630&amp;"("&amp;$B2610&amp;")",Players!$S$4:$T$132,2,FALSE)),"",VLOOKUP($B2630&amp;"("&amp;$B2610&amp;")",Players!$S$4:$T$132,2,FALSE))</f>
        <v>E1</v>
      </c>
      <c r="E2641" s="141" t="str">
        <f ca="1">IF(ISERROR(VLOOKUP($B2637&amp;"("&amp;$B2610&amp;")",Players!$S$4:$T$132,2,FALSE)),"",VLOOKUP($B2637&amp;"("&amp;$B2610&amp;")",Players!$S$4:$T$132,2,FALSE))</f>
        <v>E1</v>
      </c>
      <c r="F2641" s="141" t="str">
        <f ca="1">IF(ISERROR(VLOOKUP($B2618&amp;"("&amp;$K2610&amp;")",Players!$S$4:$T$132,2,FALSE)),"",VLOOKUP($B2618&amp;"("&amp;$K2610&amp;")",Players!$S$4:$T$132,2,FALSE))</f>
        <v>J1</v>
      </c>
      <c r="G2641" s="141" t="str">
        <f ca="1">IF(ISERROR(VLOOKUP($B2625&amp;"("&amp;$K2610&amp;")",Players!$S$4:$T$132,2,FALSE)),"",VLOOKUP($B2625&amp;"("&amp;$K2610&amp;")",Players!$S$4:$T$132,2,FALSE))</f>
        <v>J1</v>
      </c>
      <c r="H2641" s="141" t="str">
        <f ca="1">IF(ISERROR(VLOOKUP($B2632&amp;"("&amp;$K2610&amp;")",Players!$S$4:$T$132,2,FALSE)),"",VLOOKUP($B2632&amp;"("&amp;$K2610&amp;")",Players!$S$4:$T$132,2,FALSE))</f>
        <v>J1</v>
      </c>
      <c r="I2641" s="141" t="str">
        <f ca="1">IF(ISERROR(VLOOKUP($B2639&amp;"("&amp;$K2610&amp;")",Players!$S$4:$T$132,2,FALSE)),"",VLOOKUP($B2639&amp;"("&amp;$K2610&amp;")",Players!$S$4:$T$132,2,FALSE))</f>
        <v>J1</v>
      </c>
      <c r="Q2641" s="7"/>
      <c r="R2641" s="50"/>
      <c r="S2641" s="116"/>
      <c r="T2641" s="115"/>
      <c r="U2641" s="115"/>
      <c r="V2641" s="115"/>
      <c r="W2641" s="115"/>
      <c r="X2641" s="115"/>
      <c r="Y2641" s="99"/>
      <c r="Z2641" s="99"/>
      <c r="AA2641" s="99"/>
      <c r="AB2641" s="99"/>
      <c r="AC2641" s="117"/>
      <c r="AD2641" s="118"/>
      <c r="AE2641" s="114"/>
      <c r="AF2641" s="114"/>
    </row>
    <row r="2642" spans="1:32" ht="12.75" customHeight="1">
      <c r="A2642" s="21" t="s">
        <v>1225</v>
      </c>
      <c r="H2642" s="136" t="str">
        <f ca="1">IF($Q2644&lt;&gt;"",IF(AND($B2645&lt;&gt;"Missing Player",$B2647&lt;&gt;"Missing Player"),IF(AND(AND($H2644&gt;-1,$H2646&gt;-1),OR($H2644&gt;10,$H2646&gt;10),ABS($H2644-$H2646)&gt;1,IF(OR($H2644&gt;11,$H2646&gt;11),ABS($H2644-$H2646)=2,TRUE),$H2644=INT($H2644),$H2646=INT($H2646)),"","Error"),""),"")</f>
        <v/>
      </c>
      <c r="I2642" s="136" t="str">
        <f ca="1">IF($Q2644&lt;&gt;"",IF(AND($B2645&lt;&gt;"Missing Player",$B2647&lt;&gt;"Missing Player"),IF(AND(AND($I2644&gt;-1,$I2646&gt;-1),OR($I2644&gt;10,$I2646&gt;10),ABS($I2644-$I2646)&gt;1,IF(OR($I2644&gt;11,$I2646&gt;11),ABS($I2644-$I2646)=2,TRUE),$I2644=INT($I2644),$I2646=INT($I2646)),"","Error"),""),"")</f>
        <v/>
      </c>
      <c r="J2642" s="136" t="str">
        <f ca="1">IF($Q2644&lt;&gt;"",IF(AND($B2645&lt;&gt;"Missing Player",$B2647&lt;&gt;"Missing Player"),IF(AND(AND($J2644&gt;-1,$J2646&gt;-1),OR($J2644&gt;10,$J2646&gt;10),ABS($J2644-$J2646)&gt;1,IF(OR($J2644&gt;11,$J2646&gt;11),ABS($J2644-$J2646)=2,TRUE),$J2644=INT($J2644),$J2646=INT($J2646)),"","Error"),""),"")</f>
        <v/>
      </c>
      <c r="K2642" s="136" t="str">
        <f ca="1">IF($Q2644&lt;&gt;"",IF(AND($K2644&lt;&gt;"",$K2646&lt;&gt;""), IF(AND(AND($K2644&gt;-1,$K2646&gt;-1),OR($K2644&gt;10,$K2646&gt;10),ABS($K2644-$K2646)&gt;1,IF(OR($K2644&gt;11,$K2646&gt;11),ABS($K2644-$K2646)=2,TRUE),$K2644=INT($K2644),$K2646=INT($K2646)),"","Error"),""),"")</f>
        <v/>
      </c>
      <c r="L2642" s="136" t="str">
        <f ca="1">IF($Q2644&lt;&gt;"",IF(AND($L2644&lt;&gt;"",$L2646&lt;&gt;""), IF(AND(AND($L2644&gt;-1,$L2646&gt;-1),OR($L2644&gt;10,$L2646&gt;10),ABS($L2644-$L2646)&gt;1,IF(OR($L2644&gt;11,$L2646&gt;11),ABS($L2644-$L2646)=2,TRUE),$L2644=INT($L2644),$L2646=INT($L2646)),"","Error"),""),"")</f>
        <v/>
      </c>
      <c r="Q2642" s="7"/>
      <c r="R2642" s="114"/>
      <c r="S2642" s="115"/>
      <c r="T2642" s="115"/>
      <c r="U2642" s="115"/>
      <c r="V2642" s="115"/>
      <c r="W2642" s="115"/>
      <c r="X2642" s="115"/>
      <c r="Y2642" s="114"/>
      <c r="Z2642" s="114"/>
      <c r="AA2642" s="114"/>
      <c r="AB2642" s="114"/>
      <c r="AC2642" s="114"/>
      <c r="AD2642" s="114"/>
      <c r="AE2642" s="114"/>
      <c r="AF2642" s="114"/>
    </row>
    <row r="2643" spans="1:32" ht="12.75" customHeight="1">
      <c r="A2643" s="5" t="s">
        <v>1228</v>
      </c>
      <c r="B2643" s="290" t="s">
        <v>1126</v>
      </c>
      <c r="C2643" s="291"/>
      <c r="D2643" s="291"/>
      <c r="E2643" s="291"/>
      <c r="F2643" s="291"/>
      <c r="G2643" s="292"/>
      <c r="H2643" s="5">
        <v>1</v>
      </c>
      <c r="I2643" s="5">
        <v>2</v>
      </c>
      <c r="J2643" s="5">
        <v>3</v>
      </c>
      <c r="K2643" s="5">
        <v>4</v>
      </c>
      <c r="L2643" s="5">
        <v>5</v>
      </c>
      <c r="M2643" s="271"/>
      <c r="N2643" s="272"/>
      <c r="O2643" s="272"/>
      <c r="P2643" s="273"/>
      <c r="Q2643" s="8"/>
      <c r="S2643" s="24"/>
      <c r="T2643" s="26"/>
    </row>
    <row r="2644" spans="1:32" ht="12.75" customHeight="1">
      <c r="A2644" s="300" t="str">
        <f>B2610</f>
        <v>E</v>
      </c>
      <c r="B2644" s="311" t="str">
        <f ca="1">IF($B2616&lt;&gt;"",$B2616,"")</f>
        <v/>
      </c>
      <c r="C2644" s="312"/>
      <c r="D2644" s="312"/>
      <c r="E2644" s="312"/>
      <c r="F2644" s="312"/>
      <c r="G2644" s="313"/>
      <c r="H2644" s="265"/>
      <c r="I2644" s="265"/>
      <c r="J2644" s="265"/>
      <c r="K2644" s="265"/>
      <c r="L2644" s="265" t="str">
        <f ca="1">IF($B2637&lt;&gt;"",IF(AND($B2637="Missing Player",$G2648=2,$J2648=2),0,IF(AND($B2639="Missing Player",$G2648=2,$J2648=2),11,"")),"")</f>
        <v/>
      </c>
      <c r="M2644" s="262" t="str">
        <f ca="1">IF(OR(AND($B2644&lt;&gt;"",$B2645&lt;&gt;"",$B2644=$B2645),AND($B2646&lt;&gt;"",$B2647&lt;&gt;"",$B2646=$B2647)),"Invalid Partner","")</f>
        <v/>
      </c>
      <c r="N2644" s="263"/>
      <c r="O2644" s="263"/>
      <c r="P2644" s="264"/>
      <c r="Q2644" s="138" t="str">
        <f ca="1">IF(L2644=L2646,IF(K2644=K2646,IF(J2644&lt;&gt;"",IF(J2644&gt;J2646,"W","L"),""),IF(K2644&gt;K2646,"W","L")),IF(L2644&gt;L2646,"W","L"))</f>
        <v/>
      </c>
      <c r="S2644" s="24"/>
      <c r="T2644" s="26"/>
    </row>
    <row r="2645" spans="1:32" ht="12.75" customHeight="1">
      <c r="A2645" s="324"/>
      <c r="B2645" s="308" t="str">
        <f ca="1">IF($B2637="Missing Player",$B2637,"")</f>
        <v/>
      </c>
      <c r="C2645" s="309"/>
      <c r="D2645" s="309"/>
      <c r="E2645" s="309"/>
      <c r="F2645" s="309"/>
      <c r="G2645" s="310"/>
      <c r="H2645" s="270"/>
      <c r="I2645" s="270"/>
      <c r="J2645" s="270"/>
      <c r="K2645" s="270"/>
      <c r="L2645" s="270"/>
      <c r="M2645" s="262"/>
      <c r="N2645" s="263"/>
      <c r="O2645" s="263"/>
      <c r="P2645" s="264"/>
      <c r="Q2645" s="139" t="str">
        <f ca="1">IF($Q2644&lt;&gt;"",IF($B2647&lt;&gt;"Missing Player",IF($Q2644="W",IF(SUM(IF($H2644&gt;$H2646,1,0),IF($I2644&gt;$I2646,1,0),IF($J2644&gt;$J2646,1,0),IF($K2644&gt;$K2646,1,0),IF($L2644&gt;$L2646,1,0))&lt;&gt;3,"Error",""),""),""),"")</f>
        <v/>
      </c>
      <c r="R2645" s="328" t="str">
        <f>$A2611</f>
        <v/>
      </c>
      <c r="S2645" s="328"/>
      <c r="T2645" s="328"/>
      <c r="U2645" s="328"/>
      <c r="V2645" s="328"/>
      <c r="W2645" s="328"/>
      <c r="X2645" s="256" t="str">
        <f>CONCATENATE("(",$B2610," vs ",$K2610,")")</f>
        <v>(E vs J)</v>
      </c>
      <c r="Y2645" s="256"/>
      <c r="Z2645" s="328" t="str">
        <f>$J2611</f>
        <v/>
      </c>
      <c r="AA2645" s="328"/>
      <c r="AB2645" s="328"/>
      <c r="AC2645" s="328"/>
      <c r="AD2645" s="328"/>
      <c r="AE2645" s="328"/>
      <c r="AF2645" s="43"/>
    </row>
    <row r="2646" spans="1:32" ht="12.75" customHeight="1">
      <c r="A2646" s="325" t="str">
        <f>K2610</f>
        <v>J</v>
      </c>
      <c r="B2646" s="311" t="str">
        <f ca="1">IF($B2618&lt;&gt;"",$B2618,"")</f>
        <v/>
      </c>
      <c r="C2646" s="312"/>
      <c r="D2646" s="312"/>
      <c r="E2646" s="312"/>
      <c r="F2646" s="312"/>
      <c r="G2646" s="313"/>
      <c r="H2646" s="265"/>
      <c r="I2646" s="265"/>
      <c r="J2646" s="265"/>
      <c r="K2646" s="265"/>
      <c r="L2646" s="265" t="str">
        <f ca="1">IF($B2639&lt;&gt;"",IF(AND($B2639="Missing Player",$G2648=2,$J2648=2),0,IF(AND($B2637="Missing Player",$G2648=2,$J2648=2),11,"")),"")</f>
        <v/>
      </c>
      <c r="M2646" s="267" t="s">
        <v>1237</v>
      </c>
      <c r="N2646" s="268"/>
      <c r="O2646" s="268"/>
      <c r="P2646" s="269"/>
      <c r="Q2646" s="138" t="str">
        <f ca="1">IF(Q2644&lt;&gt;"",IF(Q2644="W","L","W"),"")</f>
        <v/>
      </c>
      <c r="R2646" s="43"/>
      <c r="S2646" s="43"/>
      <c r="T2646" s="43"/>
      <c r="U2646" s="43"/>
      <c r="V2646" s="43"/>
      <c r="W2646" s="43"/>
      <c r="X2646" s="43"/>
      <c r="Y2646" s="43"/>
      <c r="Z2646" s="43"/>
      <c r="AA2646" s="43"/>
      <c r="AB2646" s="43"/>
      <c r="AC2646" s="43"/>
      <c r="AD2646" s="43"/>
      <c r="AE2646" s="43"/>
      <c r="AF2646" s="43"/>
    </row>
    <row r="2647" spans="1:32" ht="12.75" customHeight="1">
      <c r="A2647" s="324"/>
      <c r="B2647" s="308" t="str">
        <f ca="1">IF($B2639="Missing Player",$B2639,"")</f>
        <v/>
      </c>
      <c r="C2647" s="309"/>
      <c r="D2647" s="309"/>
      <c r="E2647" s="309"/>
      <c r="F2647" s="309"/>
      <c r="G2647" s="310"/>
      <c r="H2647" s="270"/>
      <c r="I2647" s="270"/>
      <c r="J2647" s="266"/>
      <c r="K2647" s="266"/>
      <c r="L2647" s="266"/>
      <c r="M2647" s="267"/>
      <c r="N2647" s="268"/>
      <c r="O2647" s="268"/>
      <c r="P2647" s="269"/>
      <c r="Q2647" s="139" t="str">
        <f ca="1">IF($Q2646&lt;&gt;"",IF($B2645&lt;&gt;"Missing Player",IF($Q2646="W",IF(SUM(IF($H2646&gt;$H2644,1,0),IF($I2646&gt;$I2644,1,0),IF($J2646&gt;$J2644,1,0),IF($K2646&gt;$K2644,1,0),IF($L2646&gt;$L2644,1,0))&lt;&gt;3,"Error",""),""),""),"")</f>
        <v/>
      </c>
      <c r="R2647" s="43" t="str">
        <f>A2635</f>
        <v>4th Singles</v>
      </c>
      <c r="S2647" s="43"/>
      <c r="T2647" s="43"/>
      <c r="U2647" s="43"/>
      <c r="V2647" s="43"/>
      <c r="W2647" s="43"/>
      <c r="X2647" s="43"/>
      <c r="Y2647" s="43"/>
      <c r="Z2647" s="43"/>
      <c r="AA2647" s="43"/>
      <c r="AB2647" s="43"/>
      <c r="AC2647" s="43"/>
      <c r="AD2647" s="43"/>
      <c r="AE2647" s="43"/>
      <c r="AF2647" s="43"/>
    </row>
    <row r="2648" spans="1:32" ht="12.75" customHeight="1">
      <c r="G2648" s="66">
        <f ca="1">COUNTIF($Q2616:$Q2616,"W")+COUNTIF($Q2623:$Q2623,"W")+COUNTIF($Q2630:$Q2630,"W")+COUNTIF($Q2637:$Q2637,"W")</f>
        <v>0</v>
      </c>
      <c r="J2648" s="66">
        <f ca="1">COUNTIF($Q2618:$Q2618,"W")+COUNTIF($Q2625:$Q2625,"W")+COUNTIF($Q2632:$Q2632,"W")+COUNTIF($Q2639:$Q2639,"W")</f>
        <v>0</v>
      </c>
      <c r="R2648" s="60" t="s">
        <v>1228</v>
      </c>
      <c r="S2648" s="339" t="s">
        <v>1126</v>
      </c>
      <c r="T2648" s="340"/>
      <c r="U2648" s="340"/>
      <c r="V2648" s="340"/>
      <c r="W2648" s="340"/>
      <c r="X2648" s="341"/>
      <c r="Y2648" s="60">
        <v>1</v>
      </c>
      <c r="Z2648" s="60">
        <v>2</v>
      </c>
      <c r="AA2648" s="60">
        <v>3</v>
      </c>
      <c r="AB2648" s="60">
        <v>4</v>
      </c>
      <c r="AC2648" s="60">
        <v>5</v>
      </c>
      <c r="AD2648" s="342"/>
      <c r="AE2648" s="343"/>
      <c r="AF2648" s="344"/>
    </row>
    <row r="2649" spans="1:32" ht="12.75" customHeight="1" thickBot="1">
      <c r="F2649" s="246" t="s">
        <v>1238</v>
      </c>
      <c r="G2649" s="246"/>
      <c r="H2649" s="246"/>
      <c r="I2649" s="246"/>
      <c r="J2649" s="246"/>
      <c r="K2649" s="246"/>
      <c r="R2649" s="300" t="str">
        <f>B2610</f>
        <v>E</v>
      </c>
      <c r="S2649" s="331" t="str">
        <f ca="1">IF($B2637&lt;&gt;"",$B2637,"")</f>
        <v/>
      </c>
      <c r="T2649" s="353"/>
      <c r="U2649" s="353"/>
      <c r="V2649" s="353"/>
      <c r="W2649" s="353"/>
      <c r="X2649" s="354"/>
      <c r="Y2649" s="329"/>
      <c r="Z2649" s="329"/>
      <c r="AA2649" s="351"/>
      <c r="AB2649" s="351"/>
      <c r="AC2649" s="351"/>
      <c r="AD2649" s="345"/>
      <c r="AE2649" s="346"/>
      <c r="AF2649" s="347"/>
    </row>
    <row r="2650" spans="1:32" ht="12.75" customHeight="1">
      <c r="A2650" s="22"/>
      <c r="B2650" s="22"/>
      <c r="C2650" s="22"/>
      <c r="D2650" s="22"/>
      <c r="E2650" s="22"/>
      <c r="G2650" s="304" t="str">
        <f>B2610</f>
        <v>E</v>
      </c>
      <c r="H2650" s="305"/>
      <c r="I2650" s="302" t="str">
        <f>K2610</f>
        <v>J</v>
      </c>
      <c r="J2650" s="303"/>
      <c r="L2650" s="22"/>
      <c r="M2650" s="22"/>
      <c r="N2650" s="22"/>
      <c r="O2650" s="22"/>
      <c r="P2650" s="22"/>
      <c r="R2650" s="301"/>
      <c r="S2650" s="355"/>
      <c r="T2650" s="356"/>
      <c r="U2650" s="356"/>
      <c r="V2650" s="356"/>
      <c r="W2650" s="356"/>
      <c r="X2650" s="357"/>
      <c r="Y2650" s="338"/>
      <c r="Z2650" s="338"/>
      <c r="AA2650" s="352"/>
      <c r="AB2650" s="352"/>
      <c r="AC2650" s="352"/>
      <c r="AD2650" s="348"/>
      <c r="AE2650" s="349"/>
      <c r="AF2650" s="350"/>
    </row>
    <row r="2651" spans="1:32" ht="12.75" customHeight="1" thickBot="1">
      <c r="A2651" s="2" t="s">
        <v>1228</v>
      </c>
      <c r="B2651" s="53" t="str">
        <f>B2610</f>
        <v>E</v>
      </c>
      <c r="C2651" s="3" t="s">
        <v>1226</v>
      </c>
      <c r="F2651" s="66" t="str">
        <f>CONCATENATE($B2610,"-",$K2610)</f>
        <v>E-J</v>
      </c>
      <c r="G2651" s="320" t="str">
        <f ca="1">IF(OR(Q2616&lt;&gt;"",Q2623&lt;&gt;"",Q2630&lt;&gt;"",Q2637&lt;&gt;"",Q2644&lt;&gt;""),COUNTIF(Q2616:Q2616,"W")+COUNTIF(Q2623:Q2623,"W")+COUNTIF(Q2630:Q2630,"W")+COUNTIF(Q2637:Q2637,"W")+COUNTIF(Q2644:Q2644,"W"),"")</f>
        <v/>
      </c>
      <c r="H2651" s="321"/>
      <c r="I2651" s="322" t="str">
        <f ca="1">IF(OR(Q2618&lt;&gt;"",Q2625&lt;&gt;"",Q2632&lt;&gt;"",Q2639&lt;&gt;"",Q2646&lt;&gt;""),COUNTIF(Q2618:Q2618,"W")+COUNTIF(Q2625:Q2625,"W")+COUNTIF(Q2632:Q2632,"W")+COUNTIF(Q2639:Q2639,"W")+COUNTIF(Q2646:Q2646,"W"),"")</f>
        <v/>
      </c>
      <c r="J2651" s="323"/>
      <c r="L2651" s="2" t="s">
        <v>1228</v>
      </c>
      <c r="M2651" s="53" t="str">
        <f>K2610</f>
        <v>J</v>
      </c>
      <c r="N2651" s="3" t="s">
        <v>1226</v>
      </c>
      <c r="R2651" s="300" t="str">
        <f>K2610</f>
        <v>J</v>
      </c>
      <c r="S2651" s="331" t="str">
        <f ca="1">IF($B2639&lt;&gt;"",$B2639,"")</f>
        <v/>
      </c>
      <c r="T2651" s="332"/>
      <c r="U2651" s="332"/>
      <c r="V2651" s="332"/>
      <c r="W2651" s="332"/>
      <c r="X2651" s="333"/>
      <c r="Y2651" s="329"/>
      <c r="Z2651" s="329"/>
      <c r="AA2651" s="351"/>
      <c r="AB2651" s="351"/>
      <c r="AC2651" s="351"/>
      <c r="AD2651" s="363" t="s">
        <v>1237</v>
      </c>
      <c r="AE2651" s="358"/>
      <c r="AF2651" s="359"/>
    </row>
    <row r="2652" spans="1:32" ht="12.75" customHeight="1">
      <c r="F2652" s="25" t="s">
        <v>3996</v>
      </c>
      <c r="G2652" s="23"/>
      <c r="H2652" s="23"/>
      <c r="I2652" s="23"/>
      <c r="J2652" s="23"/>
      <c r="K2652" s="24"/>
      <c r="R2652" s="330"/>
      <c r="S2652" s="334"/>
      <c r="T2652" s="335"/>
      <c r="U2652" s="335"/>
      <c r="V2652" s="335"/>
      <c r="W2652" s="335"/>
      <c r="X2652" s="336"/>
      <c r="Y2652" s="330"/>
      <c r="Z2652" s="330"/>
      <c r="AA2652" s="330"/>
      <c r="AB2652" s="330"/>
      <c r="AC2652" s="330"/>
      <c r="AD2652" s="360"/>
      <c r="AE2652" s="361"/>
      <c r="AF2652" s="362"/>
    </row>
    <row r="2653" spans="1:32" ht="12.75" customHeight="1">
      <c r="R2653" s="1"/>
      <c r="S2653" s="110"/>
      <c r="T2653" s="110"/>
      <c r="U2653" s="110"/>
      <c r="V2653" s="110"/>
      <c r="W2653" s="110"/>
      <c r="X2653" s="111"/>
      <c r="Y2653" s="111"/>
      <c r="Z2653" s="111"/>
      <c r="AA2653" s="111"/>
    </row>
    <row r="2654" spans="1:32" ht="12.75" customHeight="1">
      <c r="F2654" s="246" t="s">
        <v>4929</v>
      </c>
      <c r="G2654" s="246"/>
      <c r="H2654" s="246"/>
      <c r="I2654" s="246"/>
      <c r="R2654" s="1"/>
      <c r="S2654" s="110"/>
      <c r="T2654" s="110"/>
      <c r="U2654" s="110"/>
      <c r="V2654" s="110"/>
      <c r="W2654" s="110"/>
      <c r="X2654" s="111"/>
      <c r="Y2654" s="111"/>
      <c r="Z2654" s="111"/>
      <c r="AA2654" s="111"/>
    </row>
    <row r="2655" spans="1:32" ht="12.75" customHeight="1">
      <c r="F2655" s="246" t="s">
        <v>4930</v>
      </c>
      <c r="G2655" s="246"/>
      <c r="H2655" s="246"/>
      <c r="I2655" s="246"/>
      <c r="R2655" s="1"/>
      <c r="S2655" s="110"/>
      <c r="T2655" s="110"/>
      <c r="U2655" s="110"/>
      <c r="V2655" s="110"/>
      <c r="W2655" s="110"/>
      <c r="X2655" s="111"/>
      <c r="Y2655" s="111"/>
      <c r="Z2655" s="111"/>
      <c r="AA2655" s="111"/>
    </row>
    <row r="2656" spans="1:32" ht="12.75" customHeight="1">
      <c r="K2656" s="281" t="s">
        <v>1244</v>
      </c>
      <c r="L2656" s="281"/>
      <c r="M2656" s="281"/>
      <c r="N2656" s="281"/>
      <c r="O2656" s="281"/>
      <c r="P2656" s="281"/>
      <c r="R2656" s="1"/>
      <c r="S2656" s="110"/>
      <c r="T2656" s="110"/>
      <c r="U2656" s="110"/>
      <c r="V2656" s="110"/>
      <c r="W2656" s="110"/>
      <c r="X2656" s="111"/>
      <c r="Y2656" s="111"/>
      <c r="Z2656" s="111"/>
      <c r="AA2656" s="111"/>
    </row>
    <row r="2657" spans="1:32" ht="12.75" customHeight="1">
      <c r="A2657" s="12" t="s">
        <v>1229</v>
      </c>
      <c r="B2657" s="11"/>
      <c r="C2657" s="11"/>
      <c r="D2657" s="11" t="str">
        <f>Draw!$B$1</f>
        <v>Enter Division Name</v>
      </c>
      <c r="E2657" s="11"/>
      <c r="F2657" s="7"/>
      <c r="G2657" s="6"/>
      <c r="H2657" s="7"/>
      <c r="I2657" s="11"/>
      <c r="J2657" s="11"/>
      <c r="K2657" s="11"/>
      <c r="L2657" s="11"/>
      <c r="M2657" s="281"/>
      <c r="N2657" s="281"/>
      <c r="O2657" s="281"/>
      <c r="P2657" s="281"/>
      <c r="R2657" s="1"/>
      <c r="S2657" s="110"/>
      <c r="T2657" s="110"/>
      <c r="U2657" s="110"/>
      <c r="V2657" s="110"/>
      <c r="W2657" s="110"/>
      <c r="X2657" s="111"/>
      <c r="Y2657" s="111"/>
      <c r="Z2657" s="111"/>
      <c r="AA2657" s="111"/>
    </row>
    <row r="2658" spans="1:32" ht="12.75" customHeight="1">
      <c r="A2658" s="2" t="s">
        <v>1230</v>
      </c>
      <c r="D2658" s="43" t="str">
        <f>Draw!$D$1</f>
        <v>Enter Hosting Location (City, ST)</v>
      </c>
      <c r="J2658" s="43" t="str">
        <f ca="1">$J$6</f>
        <v>[NCTTA Teams Template (v2.06).xlsx]</v>
      </c>
      <c r="R2658" s="1"/>
      <c r="S2658" s="110"/>
      <c r="T2658" s="110"/>
      <c r="U2658" s="110"/>
      <c r="V2658" s="110"/>
      <c r="W2658" s="110"/>
      <c r="X2658" s="111"/>
      <c r="Y2658" s="111"/>
      <c r="Z2658" s="111"/>
      <c r="AA2658" s="111"/>
    </row>
    <row r="2659" spans="1:32" ht="12.75" customHeight="1">
      <c r="A2659" s="2" t="s">
        <v>1231</v>
      </c>
      <c r="D2659" s="337" t="str">
        <f>Draw!$P$1</f>
        <v>Enter Date</v>
      </c>
      <c r="E2659" s="337"/>
      <c r="F2659" s="337"/>
      <c r="G2659" s="337"/>
      <c r="J2659" s="280" t="str">
        <f>CHOOSE(Draw!$T$1,"Round 9, Match 5","","","","","","","","","","Round 11, Match 3")</f>
        <v/>
      </c>
      <c r="K2659" s="280"/>
      <c r="L2659" s="280"/>
      <c r="M2659" s="276" t="str">
        <f>IF(AND($J2659&lt;&gt;"",Draw!$AC$10&lt;&gt;"",Draw!$AC$13&lt;&gt;""),Draw!$AC$10+TIME(0,VALUE(MID($J2659,7,FIND(",",$J2659)-FIND(" ",$J2659)-1)-1)*Draw!$AC$13,0),"")</f>
        <v/>
      </c>
      <c r="N2659" s="276"/>
      <c r="O2659" s="157" t="str">
        <f>$F2702</f>
        <v>E-K</v>
      </c>
      <c r="R2659" s="1"/>
      <c r="S2659" s="110"/>
      <c r="T2659" s="110"/>
      <c r="U2659" s="110"/>
      <c r="V2659" s="110"/>
      <c r="W2659" s="110"/>
      <c r="X2659" s="111"/>
      <c r="Y2659" s="111"/>
      <c r="Z2659" s="111"/>
      <c r="AA2659" s="111"/>
    </row>
    <row r="2660" spans="1:32" ht="12.75" customHeight="1">
      <c r="A2660" s="14"/>
      <c r="B2660" s="15"/>
      <c r="C2660" s="15"/>
      <c r="D2660" s="15"/>
      <c r="E2660" s="15"/>
      <c r="F2660" s="14"/>
      <c r="G2660" s="14"/>
      <c r="H2660" s="16"/>
      <c r="I2660" s="14"/>
      <c r="J2660" s="15"/>
      <c r="K2660" s="15"/>
      <c r="L2660" s="15"/>
      <c r="M2660" s="15"/>
      <c r="N2660" s="15"/>
      <c r="O2660" s="364" t="str">
        <f>IF(OR(AND(VLOOKUP($B2661,$AM$1:$AX$12,12,FALSE)="C",VLOOKUP($K2661,$AM$1:$AX$12,12,FALSE)="C"),AND(VLOOKUP($B2661,$AM$1:$AX$12,12,FALSE)="W",VLOOKUP($K2661,$AM$1:$AX$12,12,FALSE)="W")),"Official",IF(AND($A2662="",$J2662=""),"","Scrimmage"))</f>
        <v/>
      </c>
      <c r="P2660" s="364"/>
      <c r="R2660" s="1"/>
      <c r="S2660" s="110"/>
      <c r="T2660" s="110"/>
      <c r="U2660" s="110"/>
      <c r="V2660" s="110"/>
      <c r="W2660" s="110"/>
      <c r="X2660" s="111"/>
      <c r="Y2660" s="111"/>
      <c r="Z2660" s="111"/>
      <c r="AA2660" s="111"/>
    </row>
    <row r="2661" spans="1:32" ht="12.75" customHeight="1">
      <c r="A2661" s="17" t="s">
        <v>1228</v>
      </c>
      <c r="B2661" s="119" t="str">
        <f>CHOOSE(Draw!$T$1,"H","D","E","F","G","G","G","G","F","D","F")</f>
        <v>E</v>
      </c>
      <c r="C2661" s="135">
        <f>VLOOKUP($B2661,$AM$1:$AN$12,2)</f>
        <v>5</v>
      </c>
      <c r="D2661" s="13"/>
      <c r="E2661" s="13"/>
      <c r="F2661" s="10"/>
      <c r="H2661" s="19" t="s">
        <v>1232</v>
      </c>
      <c r="J2661" s="17" t="s">
        <v>1228</v>
      </c>
      <c r="K2661" s="119" t="str">
        <f>CHOOSE(Draw!$T$1,"K","K","K","H","I","I","I","I","K","L","J")</f>
        <v>K</v>
      </c>
      <c r="L2661" s="135">
        <f>VLOOKUP($K2661,$AM$1:$AN$12,2)</f>
        <v>11</v>
      </c>
      <c r="M2661" s="13"/>
      <c r="N2661" s="13"/>
      <c r="O2661" s="18"/>
      <c r="P2661" s="274"/>
      <c r="Q2661" s="275"/>
      <c r="R2661" s="1"/>
      <c r="S2661" s="110"/>
      <c r="T2661" s="110"/>
      <c r="U2661" s="110"/>
      <c r="V2661" s="110"/>
      <c r="W2661" s="110"/>
      <c r="X2661" s="111"/>
      <c r="Y2661" s="111"/>
      <c r="Z2661" s="111"/>
      <c r="AA2661" s="111"/>
    </row>
    <row r="2662" spans="1:32" ht="12.75" customHeight="1">
      <c r="A2662" s="277" t="str">
        <f>IF(VLOOKUP($B2661,Draw!$A$4:$B$27,2)&lt;&gt;0,VLOOKUP($B2661,Draw!$A$4:$B$27,2),"")</f>
        <v/>
      </c>
      <c r="B2662" s="278"/>
      <c r="C2662" s="278"/>
      <c r="D2662" s="278"/>
      <c r="E2662" s="278"/>
      <c r="F2662" s="279"/>
      <c r="G2662" s="306" t="s">
        <v>4204</v>
      </c>
      <c r="H2662" s="289"/>
      <c r="I2662" s="307"/>
      <c r="J2662" s="277" t="str">
        <f>IF(VLOOKUP($K2661,Draw!$A$4:$B$27,2)&lt;&gt;0,VLOOKUP($K2661,Draw!$A$4:$B$27,2),"")</f>
        <v/>
      </c>
      <c r="K2662" s="278"/>
      <c r="L2662" s="278"/>
      <c r="M2662" s="278"/>
      <c r="N2662" s="278"/>
      <c r="O2662" s="279"/>
      <c r="P2662" s="15"/>
      <c r="R2662" s="1"/>
      <c r="S2662" s="110"/>
      <c r="T2662" s="110"/>
      <c r="U2662" s="110"/>
      <c r="V2662" s="110"/>
      <c r="W2662" s="110"/>
      <c r="X2662" s="111"/>
      <c r="Y2662" s="111"/>
      <c r="Z2662" s="111"/>
      <c r="AA2662" s="111"/>
    </row>
    <row r="2663" spans="1:32" ht="12.75" customHeight="1">
      <c r="A2663" s="14"/>
      <c r="B2663" s="15"/>
      <c r="C2663" s="15"/>
      <c r="D2663" s="15"/>
      <c r="E2663" s="15"/>
      <c r="F2663" s="14"/>
      <c r="G2663" s="288" t="str">
        <f>"Page "&amp;VALUE(RIGHT($G2662,LEN($G2662)-SEARCH("-",$G2662)))/2</f>
        <v>Page 53</v>
      </c>
      <c r="H2663" s="289"/>
      <c r="I2663" s="289"/>
      <c r="J2663" s="15"/>
      <c r="K2663" s="15"/>
      <c r="L2663" s="15"/>
      <c r="M2663" s="15"/>
      <c r="N2663" s="15"/>
      <c r="O2663" s="15"/>
      <c r="P2663" s="15"/>
      <c r="R2663" s="1"/>
      <c r="S2663" s="110"/>
      <c r="T2663" s="110"/>
      <c r="U2663" s="110"/>
      <c r="V2663" s="110"/>
      <c r="W2663" s="110"/>
      <c r="X2663" s="111"/>
      <c r="Y2663" s="111"/>
      <c r="Z2663" s="111"/>
      <c r="AA2663" s="111"/>
      <c r="AF2663" s="27"/>
    </row>
    <row r="2664" spans="1:32" ht="12.75" customHeight="1">
      <c r="A2664" s="327" t="s">
        <v>1245</v>
      </c>
      <c r="B2664" s="327"/>
      <c r="C2664" s="327"/>
      <c r="D2664" s="327"/>
      <c r="E2664" s="327"/>
      <c r="F2664" s="327"/>
      <c r="G2664" s="327"/>
      <c r="H2664" s="327"/>
      <c r="I2664" s="327"/>
      <c r="J2664" s="327"/>
      <c r="K2664" s="327"/>
      <c r="L2664" s="327"/>
      <c r="M2664" s="327"/>
      <c r="N2664" s="327"/>
      <c r="O2664" s="327"/>
      <c r="P2664" s="327"/>
      <c r="Q2664" s="7"/>
      <c r="R2664" s="1"/>
      <c r="S2664" s="110"/>
      <c r="T2664" s="110"/>
      <c r="U2664" s="110"/>
      <c r="V2664" s="110"/>
      <c r="W2664" s="110"/>
      <c r="X2664" s="111"/>
      <c r="Y2664" s="111"/>
      <c r="Z2664" s="111"/>
      <c r="AA2664" s="111"/>
      <c r="AF2664" s="20"/>
    </row>
    <row r="2665" spans="1:32" ht="12.75" customHeight="1">
      <c r="A2665" s="21" t="s">
        <v>1233</v>
      </c>
      <c r="H2665" s="136" t="str">
        <f>IF($Q2667&lt;&gt;"",IF(AND(AND($H2667&gt;-1,$H2669&gt;-1),OR($H2667&gt;10,$H2669&gt;10),ABS($H2667-$H2669)&gt;1,IF(OR($H2667&gt;11,$H2669&gt;11),ABS($H2667-$H2669)=2,TRUE),$H2667=INT($H2667),$H2669=INT($H2669)),"","Error"),"")</f>
        <v/>
      </c>
      <c r="I2665" s="136" t="str">
        <f>IF($Q2667&lt;&gt;"",IF(AND(AND($I2667&gt;-1,$I2669&gt;-1),OR($I2667&gt;10,$I2669&gt;10),ABS($I2667-$I2669)&gt;1,IF(OR($I2667&gt;11,$I2669&gt;11),ABS($I2667-$I2669)=2,TRUE),$I2667=INT($I2667),$I2669=INT($I2669)),"","Error"),"")</f>
        <v/>
      </c>
      <c r="J2665" s="136" t="str">
        <f>IF($Q2667&lt;&gt;"",IF(AND(AND($J2667&gt;-1,$J2669&gt;-1),OR($J2667&gt;10,$J2669&gt;10),ABS($J2667-$J2669)&gt;1,IF(OR($J2667&gt;11,$J2669&gt;11),ABS($J2667-$J2669)=2,TRUE),$J2667=INT($J2667),$J2669=INT($J2669)),"","Error"),"")</f>
        <v/>
      </c>
      <c r="K2665" s="136" t="str">
        <f>IF($Q2667&lt;&gt;"",IF(AND($K2667&lt;&gt;"",$K2669&lt;&gt;""), IF(AND(AND($K2667&gt;-1,$K2669&gt;-1),OR($K2667&gt;10,$K2669&gt;10),ABS($K2667-$K2669)&gt;1,IF(OR($K2667&gt;11,$K2669&gt;11),ABS($K2667-$K2669)=2,TRUE),$K2667=INT($K2667),$K2669=INT($K2669)),"","Error"),""),"")</f>
        <v/>
      </c>
      <c r="L2665" s="136" t="str">
        <f>IF($Q2667&lt;&gt;"",IF(AND($L2667&lt;&gt;"",$L2669&lt;&gt;""), IF(AND(AND($L2667&gt;-1,$L2669&gt;-1),OR($L2667&gt;10,$L2669&gt;10),ABS($L2667-$L2669)&gt;1,IF(OR($L2667&gt;11,$L2669&gt;11),ABS($L2667-$L2669)=2,TRUE),$L2667=INT($L2667),$L2669=INT($L2669)),"","Error"),""),"")</f>
        <v/>
      </c>
      <c r="R2665" s="1"/>
      <c r="S2665" s="110"/>
      <c r="T2665" s="110"/>
      <c r="U2665" s="110"/>
      <c r="V2665" s="110"/>
      <c r="W2665" s="110"/>
      <c r="X2665" s="111"/>
      <c r="Y2665" s="111"/>
      <c r="Z2665" s="111"/>
      <c r="AA2665" s="111"/>
    </row>
    <row r="2666" spans="1:32" ht="12.75" customHeight="1">
      <c r="A2666" s="5" t="s">
        <v>1228</v>
      </c>
      <c r="B2666" s="290" t="s">
        <v>1126</v>
      </c>
      <c r="C2666" s="291"/>
      <c r="D2666" s="291"/>
      <c r="E2666" s="291"/>
      <c r="F2666" s="291"/>
      <c r="G2666" s="292"/>
      <c r="H2666" s="5">
        <v>1</v>
      </c>
      <c r="I2666" s="5">
        <v>2</v>
      </c>
      <c r="J2666" s="5">
        <v>3</v>
      </c>
      <c r="K2666" s="5">
        <v>4</v>
      </c>
      <c r="L2666" s="5">
        <v>5</v>
      </c>
      <c r="M2666" s="271"/>
      <c r="N2666" s="272"/>
      <c r="O2666" s="272"/>
      <c r="P2666" s="273"/>
      <c r="R2666" s="1"/>
      <c r="S2666" s="110"/>
      <c r="T2666" s="110"/>
      <c r="U2666" s="110"/>
      <c r="V2666" s="110"/>
      <c r="W2666" s="110"/>
      <c r="X2666" s="111"/>
      <c r="Y2666" s="111"/>
      <c r="Z2666" s="111"/>
      <c r="AA2666" s="111"/>
    </row>
    <row r="2667" spans="1:32" ht="12.75" customHeight="1">
      <c r="A2667" s="300" t="str">
        <f>B2661</f>
        <v>E</v>
      </c>
      <c r="B2667" s="293" t="str">
        <f ca="1">IF(AND(OFFSET($AO$1,$C2661-1,8,1,1),$A2662&lt;&gt;"",$J2662&lt;&gt;""),CHOOSE($C2661,$AO$1,$AO$2,$AO$3,$AO$4,$AO$5,$AO$6,$AO$7,$AO$8,$AO$9,$AO$10,$AO$11,$AO$12),"")</f>
        <v/>
      </c>
      <c r="C2667" s="294"/>
      <c r="D2667" s="294"/>
      <c r="E2667" s="294"/>
      <c r="F2667" s="294"/>
      <c r="G2667" s="294"/>
      <c r="H2667" s="265"/>
      <c r="I2667" s="265"/>
      <c r="J2667" s="265"/>
      <c r="K2667" s="265"/>
      <c r="L2667" s="265"/>
      <c r="M2667" s="297"/>
      <c r="N2667" s="298"/>
      <c r="O2667" s="298"/>
      <c r="P2667" s="299"/>
      <c r="Q2667" s="137" t="str">
        <f>IF($L2667=$L2669,IF($K2667=$K2669,IF($J2667&lt;&gt;"",IF($J2667&gt;$J2669,"W","L"),""),IF($K2667&gt;$K2669,"W","L")),IF($L2667&gt;$L2669,"W","L"))</f>
        <v/>
      </c>
      <c r="R2667" s="1"/>
      <c r="S2667" s="110"/>
      <c r="T2667" s="110"/>
      <c r="U2667" s="110"/>
      <c r="V2667" s="110"/>
      <c r="W2667" s="110"/>
      <c r="X2667" s="111"/>
      <c r="Y2667" s="111"/>
      <c r="Z2667" s="111"/>
      <c r="AA2667" s="111"/>
    </row>
    <row r="2668" spans="1:32" ht="12.75" customHeight="1">
      <c r="A2668" s="301"/>
      <c r="B2668" s="295"/>
      <c r="C2668" s="296"/>
      <c r="D2668" s="296"/>
      <c r="E2668" s="296"/>
      <c r="F2668" s="296"/>
      <c r="G2668" s="296"/>
      <c r="H2668" s="270"/>
      <c r="I2668" s="270"/>
      <c r="J2668" s="270"/>
      <c r="K2668" s="270"/>
      <c r="L2668" s="270"/>
      <c r="M2668" s="297"/>
      <c r="N2668" s="298"/>
      <c r="O2668" s="298"/>
      <c r="P2668" s="299"/>
      <c r="Q2668" s="139" t="str">
        <f>IF($Q2667&lt;&gt;"",IF($Q2667="W",IF(SUM(IF($H2667&gt;$H2669,1,0),IF($I2667&gt;$I2669,1,0),IF($J2667&gt;$J2669,1,0),IF($K2667&gt;$K2669,1,0),IF($L2667&gt;$L2669,1,0))&lt;&gt;3,"Error",""),""),"")</f>
        <v/>
      </c>
      <c r="R2668" s="328" t="str">
        <f>$A2662</f>
        <v/>
      </c>
      <c r="S2668" s="328"/>
      <c r="T2668" s="328"/>
      <c r="U2668" s="328"/>
      <c r="V2668" s="328"/>
      <c r="W2668" s="328"/>
      <c r="X2668" s="256" t="str">
        <f>CONCATENATE("(",$B2661," vs ",$K2661,")")</f>
        <v>(E vs K)</v>
      </c>
      <c r="Y2668" s="256"/>
      <c r="Z2668" s="328" t="str">
        <f>$J2662</f>
        <v/>
      </c>
      <c r="AA2668" s="328"/>
      <c r="AB2668" s="328"/>
      <c r="AC2668" s="328"/>
      <c r="AD2668" s="328"/>
      <c r="AE2668" s="328"/>
      <c r="AF2668" s="43"/>
    </row>
    <row r="2669" spans="1:32" ht="12.75" customHeight="1">
      <c r="A2669" s="300" t="str">
        <f>K2661</f>
        <v>K</v>
      </c>
      <c r="B2669" s="293" t="str">
        <f ca="1">IF(AND(OFFSET($AO$1,$L2661-1,8,1,1),$A2662&lt;&gt;"",$J2662&lt;&gt;""),CHOOSE($L2661,$AO$1,$AO$2,$AO$3,$AO$4,$AO$5,$AO$6,$AO$7,$AO$8,$AO$9,$AO$10,$AO$11,$AO$12),"")</f>
        <v/>
      </c>
      <c r="C2669" s="294"/>
      <c r="D2669" s="294"/>
      <c r="E2669" s="294"/>
      <c r="F2669" s="294"/>
      <c r="G2669" s="294"/>
      <c r="H2669" s="265"/>
      <c r="I2669" s="265"/>
      <c r="J2669" s="265"/>
      <c r="K2669" s="265"/>
      <c r="L2669" s="265"/>
      <c r="M2669" s="267" t="s">
        <v>1237</v>
      </c>
      <c r="N2669" s="268"/>
      <c r="O2669" s="268"/>
      <c r="P2669" s="269"/>
      <c r="Q2669" s="137" t="str">
        <f>IF($Q2667&lt;&gt;"",IF($Q2667="W","L","W"),"")</f>
        <v/>
      </c>
      <c r="R2669" s="43"/>
      <c r="S2669" s="43"/>
      <c r="T2669" s="43"/>
      <c r="U2669" s="43"/>
      <c r="V2669" s="43"/>
      <c r="W2669" s="43"/>
      <c r="X2669" s="43"/>
      <c r="Y2669" s="43"/>
      <c r="Z2669" s="43"/>
      <c r="AA2669" s="43"/>
      <c r="AB2669" s="43"/>
      <c r="AC2669" s="43"/>
      <c r="AD2669" s="43"/>
      <c r="AE2669" s="43"/>
      <c r="AF2669" s="43"/>
    </row>
    <row r="2670" spans="1:32" ht="12.75" customHeight="1">
      <c r="A2670" s="301"/>
      <c r="B2670" s="295"/>
      <c r="C2670" s="296"/>
      <c r="D2670" s="296"/>
      <c r="E2670" s="296"/>
      <c r="F2670" s="296"/>
      <c r="G2670" s="296"/>
      <c r="H2670" s="270"/>
      <c r="I2670" s="270"/>
      <c r="J2670" s="266"/>
      <c r="K2670" s="266"/>
      <c r="L2670" s="266"/>
      <c r="M2670" s="267"/>
      <c r="N2670" s="268"/>
      <c r="O2670" s="268"/>
      <c r="P2670" s="269"/>
      <c r="Q2670" s="139" t="str">
        <f>IF($Q2669&lt;&gt;"",IF($Q2669="W",IF(SUM(IF($H2669&gt;$H2667,1,0),IF($I2669&gt;$I2667,1,0),IF($J2669&gt;$J2667,1,0),IF($K2669&gt;$K2667,1,0),IF($L2669&gt;$L2667,1,0))&lt;&gt;3,"Error",""),""),"")</f>
        <v/>
      </c>
      <c r="R2670" s="43" t="str">
        <f>$A2672</f>
        <v>2nd Singles</v>
      </c>
      <c r="S2670" s="43"/>
      <c r="T2670" s="43"/>
      <c r="U2670" s="43"/>
      <c r="V2670" s="43"/>
      <c r="W2670" s="43"/>
      <c r="X2670" s="43"/>
      <c r="Y2670" s="43"/>
      <c r="Z2670" s="43"/>
      <c r="AA2670" s="43"/>
      <c r="AB2670" s="43"/>
      <c r="AC2670" s="43"/>
      <c r="AD2670" s="43"/>
      <c r="AE2670" s="43"/>
      <c r="AF2670" s="43"/>
    </row>
    <row r="2671" spans="1:32" ht="12.75" customHeight="1">
      <c r="Q2671" s="7"/>
      <c r="R2671" s="60" t="s">
        <v>1228</v>
      </c>
      <c r="S2671" s="339" t="s">
        <v>1126</v>
      </c>
      <c r="T2671" s="340"/>
      <c r="U2671" s="340"/>
      <c r="V2671" s="340"/>
      <c r="W2671" s="340"/>
      <c r="X2671" s="341"/>
      <c r="Y2671" s="60">
        <v>1</v>
      </c>
      <c r="Z2671" s="60">
        <v>2</v>
      </c>
      <c r="AA2671" s="60">
        <v>3</v>
      </c>
      <c r="AB2671" s="60">
        <v>4</v>
      </c>
      <c r="AC2671" s="60">
        <v>5</v>
      </c>
      <c r="AD2671" s="342"/>
      <c r="AE2671" s="343"/>
      <c r="AF2671" s="344"/>
    </row>
    <row r="2672" spans="1:32" ht="12.75" customHeight="1">
      <c r="A2672" s="21" t="s">
        <v>1234</v>
      </c>
      <c r="H2672" s="136" t="str">
        <f>IF($Q2674&lt;&gt;"",IF(AND(AND($H2674&gt;-1,$H2676&gt;-1),OR($H2674&gt;10,$H2676&gt;10),ABS($H2674-$H2676)&gt;1,IF(OR($H2674&gt;11,$H2676&gt;11),ABS($H2674-$H2676)=2,TRUE),$H2674=INT($H2674),$H2676=INT($H2676)),"","Error"),"")</f>
        <v/>
      </c>
      <c r="I2672" s="136" t="str">
        <f>IF($Q2674&lt;&gt;"",IF(AND(AND($I2674&gt;-1,$I2676&gt;-1),OR($I2674&gt;10,$I2676&gt;10),ABS($I2674-$I2676)&gt;1,IF(OR($I2674&gt;11,$I2676&gt;11),ABS($I2674-$I2676)=2,TRUE),$I2674=INT($I2674),$I2676=INT($I2676)),"","Error"),"")</f>
        <v/>
      </c>
      <c r="J2672" s="136" t="str">
        <f>IF($Q2674&lt;&gt;"",IF(AND(AND($J2674&gt;-1,$J2676&gt;-1),OR($J2674&gt;10,$J2676&gt;10),ABS($J2674-$J2676)&gt;1,IF(OR($J2674&gt;11,$J2676&gt;11),ABS($J2674-$J2676)=2,TRUE),$J2674=INT($J2674),$J2676=INT($J2676)),"","Error"),"")</f>
        <v/>
      </c>
      <c r="K2672" s="136" t="str">
        <f>IF($Q2674&lt;&gt;"",IF(AND($K2674&lt;&gt;"",$K2676&lt;&gt;""), IF(AND(AND($K2674&gt;-1,$K2676&gt;-1),OR($K2674&gt;10,$K2676&gt;10),ABS($K2674-$K2676)&gt;1,IF(OR($K2674&gt;11,$K2676&gt;11),ABS($K2674-$K2676)=2,TRUE),$K2674=INT($K2674),$K2676=INT($K2676)),"","Error"),""),"")</f>
        <v/>
      </c>
      <c r="L2672" s="136" t="str">
        <f>IF($Q2674&lt;&gt;"",IF(AND($L2674&lt;&gt;"",$L2676&lt;&gt;""), IF(AND(AND($L2674&gt;-1,$L2676&gt;-1),OR($L2674&gt;10,$L2676&gt;10),ABS($L2674-$L2676)&gt;1,IF(OR($L2674&gt;11,$L2676&gt;11),ABS($L2674-$L2676)=2,TRUE),$L2674=INT($L2674),$L2676=INT($L2676)),"","Error"),""),"")</f>
        <v/>
      </c>
      <c r="Q2672" s="7"/>
      <c r="R2672" s="300" t="str">
        <f>$B2661</f>
        <v>E</v>
      </c>
      <c r="S2672" s="331" t="str">
        <f ca="1">IF($B2674&lt;&gt;"",$B2674,"")</f>
        <v/>
      </c>
      <c r="T2672" s="332"/>
      <c r="U2672" s="332"/>
      <c r="V2672" s="332"/>
      <c r="W2672" s="332"/>
      <c r="X2672" s="333"/>
      <c r="Y2672" s="329"/>
      <c r="Z2672" s="329"/>
      <c r="AA2672" s="329"/>
      <c r="AB2672" s="329"/>
      <c r="AC2672" s="329"/>
      <c r="AD2672" s="345"/>
      <c r="AE2672" s="358"/>
      <c r="AF2672" s="359"/>
    </row>
    <row r="2673" spans="1:32" ht="12.75" customHeight="1">
      <c r="A2673" s="5" t="s">
        <v>1228</v>
      </c>
      <c r="B2673" s="290" t="s">
        <v>1126</v>
      </c>
      <c r="C2673" s="291"/>
      <c r="D2673" s="291"/>
      <c r="E2673" s="291"/>
      <c r="F2673" s="291"/>
      <c r="G2673" s="292"/>
      <c r="H2673" s="5">
        <v>1</v>
      </c>
      <c r="I2673" s="5">
        <v>2</v>
      </c>
      <c r="J2673" s="5">
        <v>3</v>
      </c>
      <c r="K2673" s="5">
        <v>4</v>
      </c>
      <c r="L2673" s="5">
        <v>5</v>
      </c>
      <c r="M2673" s="271"/>
      <c r="N2673" s="272"/>
      <c r="O2673" s="272"/>
      <c r="P2673" s="273"/>
      <c r="Q2673" s="7"/>
      <c r="R2673" s="330"/>
      <c r="S2673" s="334"/>
      <c r="T2673" s="335"/>
      <c r="U2673" s="335"/>
      <c r="V2673" s="335"/>
      <c r="W2673" s="335"/>
      <c r="X2673" s="336"/>
      <c r="Y2673" s="330"/>
      <c r="Z2673" s="330"/>
      <c r="AA2673" s="330"/>
      <c r="AB2673" s="330"/>
      <c r="AC2673" s="330"/>
      <c r="AD2673" s="360"/>
      <c r="AE2673" s="361"/>
      <c r="AF2673" s="362"/>
    </row>
    <row r="2674" spans="1:32" ht="12.75" customHeight="1">
      <c r="A2674" s="300" t="str">
        <f>B2661</f>
        <v>E</v>
      </c>
      <c r="B2674" s="293" t="str">
        <f ca="1">IF(AND(OFFSET($AO$1,$C2661-1,8,1,1),$A2662&lt;&gt;"",$J2662&lt;&gt;""),CHOOSE($C2661,$AP$1,$AP$2,$AP$3,$AP$4,$AP$5,$AP$6,$AP$7,$AP$8,$AP$9,$AP$10,$AP$11,$AP$12),"")</f>
        <v/>
      </c>
      <c r="C2674" s="294"/>
      <c r="D2674" s="294"/>
      <c r="E2674" s="294"/>
      <c r="F2674" s="294"/>
      <c r="G2674" s="294"/>
      <c r="H2674" s="265"/>
      <c r="I2674" s="265"/>
      <c r="J2674" s="265"/>
      <c r="K2674" s="265"/>
      <c r="L2674" s="265"/>
      <c r="M2674" s="262" t="str">
        <f ca="1">IF(OR(AND($B2667&lt;&gt;"",$B2674&lt;&gt;"",$C2692&lt;=$B2692),AND($B2669&lt;&gt;"",$B2676&lt;&gt;"",$G2692&lt;=$F2692)),"Invalid Lineup","")</f>
        <v/>
      </c>
      <c r="N2674" s="263"/>
      <c r="O2674" s="263"/>
      <c r="P2674" s="264"/>
      <c r="Q2674" s="137" t="str">
        <f>IF($L2674=$L2676,IF($K2674=$K2676,IF($J2674&lt;&gt;"",IF($J2674&gt;$J2676,"W","L"),""),IF($K2674&gt;$K2676,"W","L")),IF($L2674&gt;$L2676,"W","L"))</f>
        <v/>
      </c>
      <c r="R2674" s="300" t="str">
        <f>$K2661</f>
        <v>K</v>
      </c>
      <c r="S2674" s="331" t="str">
        <f ca="1">IF($B2676&lt;&gt;"",$B2676,"")</f>
        <v/>
      </c>
      <c r="T2674" s="332"/>
      <c r="U2674" s="332"/>
      <c r="V2674" s="332"/>
      <c r="W2674" s="332"/>
      <c r="X2674" s="333"/>
      <c r="Y2674" s="329"/>
      <c r="Z2674" s="329"/>
      <c r="AA2674" s="329"/>
      <c r="AB2674" s="329"/>
      <c r="AC2674" s="351"/>
      <c r="AD2674" s="363" t="s">
        <v>1237</v>
      </c>
      <c r="AE2674" s="358"/>
      <c r="AF2674" s="359"/>
    </row>
    <row r="2675" spans="1:32" ht="12.75" customHeight="1">
      <c r="A2675" s="301"/>
      <c r="B2675" s="295"/>
      <c r="C2675" s="296"/>
      <c r="D2675" s="296"/>
      <c r="E2675" s="296"/>
      <c r="F2675" s="296"/>
      <c r="G2675" s="296"/>
      <c r="H2675" s="270"/>
      <c r="I2675" s="270"/>
      <c r="J2675" s="270"/>
      <c r="K2675" s="270"/>
      <c r="L2675" s="270"/>
      <c r="M2675" s="262"/>
      <c r="N2675" s="263"/>
      <c r="O2675" s="263"/>
      <c r="P2675" s="264"/>
      <c r="Q2675" s="139" t="str">
        <f>IF($Q2674&lt;&gt;"",IF($Q2674="W",IF(SUM(IF($H2674&gt;$H2676,1,0),IF($I2674&gt;$I2676,1,0),IF($J2674&gt;$J2676,1,0),IF($K2674&gt;$K2676,1,0),IF($L2674&gt;$L2676,1,0))&lt;&gt;3,"Error",""),""),"")</f>
        <v/>
      </c>
      <c r="R2675" s="330"/>
      <c r="S2675" s="334"/>
      <c r="T2675" s="335"/>
      <c r="U2675" s="335"/>
      <c r="V2675" s="335"/>
      <c r="W2675" s="335"/>
      <c r="X2675" s="336"/>
      <c r="Y2675" s="330"/>
      <c r="Z2675" s="330"/>
      <c r="AA2675" s="330"/>
      <c r="AB2675" s="330"/>
      <c r="AC2675" s="330"/>
      <c r="AD2675" s="360"/>
      <c r="AE2675" s="361"/>
      <c r="AF2675" s="362"/>
    </row>
    <row r="2676" spans="1:32" ht="12.75" customHeight="1">
      <c r="A2676" s="300" t="str">
        <f>K2661</f>
        <v>K</v>
      </c>
      <c r="B2676" s="293" t="str">
        <f ca="1">IF(AND(OFFSET($AO$1,$L2661-1,8,1,1),$A2662&lt;&gt;"",$J2662&lt;&gt;""),CHOOSE($L2661,$AP$1,$AP$2,$AP$3,$AP$4,$AP$5,$AP$6,$AP$7,$AP$8,$AP$9,$AP$10,$AP$11,$AP$12),"")</f>
        <v/>
      </c>
      <c r="C2676" s="294"/>
      <c r="D2676" s="294"/>
      <c r="E2676" s="294"/>
      <c r="F2676" s="294"/>
      <c r="G2676" s="294"/>
      <c r="H2676" s="265"/>
      <c r="I2676" s="265"/>
      <c r="J2676" s="265"/>
      <c r="K2676" s="265"/>
      <c r="L2676" s="265"/>
      <c r="M2676" s="267" t="s">
        <v>1237</v>
      </c>
      <c r="N2676" s="268"/>
      <c r="O2676" s="268"/>
      <c r="P2676" s="269"/>
      <c r="Q2676" s="137" t="str">
        <f>IF($Q2674&lt;&gt;"",IF($Q2674="W","L","W"),"")</f>
        <v/>
      </c>
      <c r="R2676" s="20"/>
      <c r="S2676" s="20"/>
      <c r="T2676" s="20"/>
      <c r="U2676" s="20"/>
      <c r="V2676" s="20"/>
      <c r="W2676" s="20"/>
      <c r="X2676" s="26"/>
      <c r="Y2676" s="26"/>
      <c r="Z2676" s="20"/>
      <c r="AA2676" s="20"/>
      <c r="AB2676" s="20"/>
      <c r="AC2676" s="20"/>
      <c r="AD2676" s="20"/>
      <c r="AE2676" s="20"/>
      <c r="AF2676" s="27"/>
    </row>
    <row r="2677" spans="1:32" ht="12.75" customHeight="1">
      <c r="A2677" s="301"/>
      <c r="B2677" s="295"/>
      <c r="C2677" s="296"/>
      <c r="D2677" s="296"/>
      <c r="E2677" s="296"/>
      <c r="F2677" s="296"/>
      <c r="G2677" s="296"/>
      <c r="H2677" s="270"/>
      <c r="I2677" s="270"/>
      <c r="J2677" s="266"/>
      <c r="K2677" s="266"/>
      <c r="L2677" s="266"/>
      <c r="M2677" s="267"/>
      <c r="N2677" s="268"/>
      <c r="O2677" s="268"/>
      <c r="P2677" s="269"/>
      <c r="Q2677" s="139" t="str">
        <f>IF($Q2676&lt;&gt;"",IF($Q2676="W",IF(SUM(IF($H2676&gt;$H2674,1,0),IF($I2676&gt;$I2674,1,0),IF($J2676&gt;$J2674,1,0),IF($K2676&gt;$K2674,1,0),IF($L2676&gt;$L2674,1,0))&lt;&gt;3,"Error",""),""),"")</f>
        <v/>
      </c>
      <c r="R2677" s="20"/>
      <c r="S2677" s="20"/>
      <c r="T2677" s="20"/>
      <c r="U2677" s="20"/>
      <c r="V2677" s="20"/>
      <c r="W2677" s="20"/>
      <c r="X2677" s="26"/>
      <c r="Y2677" s="26"/>
      <c r="Z2677" s="20"/>
      <c r="AA2677" s="20"/>
      <c r="AB2677" s="20"/>
      <c r="AC2677" s="20"/>
      <c r="AD2677" s="20"/>
      <c r="AE2677" s="20"/>
      <c r="AF2677" s="27"/>
    </row>
    <row r="2678" spans="1:32" ht="12.75" customHeight="1">
      <c r="Q2678" s="7"/>
      <c r="R2678" s="20"/>
      <c r="S2678" s="20"/>
      <c r="T2678" s="20"/>
      <c r="U2678" s="20"/>
      <c r="V2678" s="20"/>
      <c r="W2678" s="20"/>
      <c r="X2678" s="26"/>
      <c r="Y2678" s="26"/>
      <c r="Z2678" s="20"/>
      <c r="AA2678" s="20"/>
      <c r="AB2678" s="20"/>
      <c r="AC2678" s="20"/>
      <c r="AD2678" s="20"/>
      <c r="AE2678" s="20"/>
      <c r="AF2678" s="27"/>
    </row>
    <row r="2679" spans="1:32" ht="12.75" customHeight="1">
      <c r="A2679" s="21" t="s">
        <v>1235</v>
      </c>
      <c r="H2679" s="136" t="str">
        <f>IF($Q2681&lt;&gt;"",IF(AND(AND($H2681&gt;-1,$H2683&gt;-1),OR($H2681&gt;10,$H2683&gt;10),ABS($H2681-$H2683)&gt;1,IF(OR($H2681&gt;11,$H2683&gt;11),ABS($H2681-$H2683)=2,TRUE),$H2681=INT($H2681),$H2683=INT($H2683)),"","Error"),"")</f>
        <v/>
      </c>
      <c r="I2679" s="136" t="str">
        <f>IF($Q2681&lt;&gt;"",IF(AND(AND($I2681&gt;-1,$I2683&gt;-1),OR($I2681&gt;10,$I2683&gt;10),ABS($I2681-$I2683)&gt;1,IF(OR($I2681&gt;11,$I2683&gt;11),ABS($I2681-$I2683)=2,TRUE),$I2681=INT($I2681),$I2683=INT($I2683)),"","Error"),"")</f>
        <v/>
      </c>
      <c r="J2679" s="136" t="str">
        <f>IF($Q2681&lt;&gt;"",IF(AND(AND($J2681&gt;-1,$J2683&gt;-1),OR($J2681&gt;10,$J2683&gt;10),ABS($J2681-$J2683)&gt;1,IF(OR($J2681&gt;11,$J2683&gt;11),ABS($J2681-$J2683)=2,TRUE),$J2681=INT($J2681),$J2683=INT($J2683)),"","Error"),"")</f>
        <v/>
      </c>
      <c r="K2679" s="136" t="str">
        <f>IF($Q2681&lt;&gt;"",IF(AND($K2681&lt;&gt;"",$K2683&lt;&gt;""), IF(AND(AND($K2681&gt;-1,$K2683&gt;-1),OR($K2681&gt;10,$K2683&gt;10),ABS($K2681-$K2683)&gt;1,IF(OR($K2681&gt;11,$K2683&gt;11),ABS($K2681-$K2683)=2,TRUE),$K2681=INT($K2681),$K2683=INT($K2683)),"","Error"),""),"")</f>
        <v/>
      </c>
      <c r="L2679" s="136" t="str">
        <f>IF($Q2681&lt;&gt;"",IF(AND($L2681&lt;&gt;"",$L2683&lt;&gt;""), IF(AND(AND($L2681&gt;-1,$L2683&gt;-1),OR($L2681&gt;10,$L2683&gt;10),ABS($L2681-$L2683)&gt;1,IF(OR($L2681&gt;11,$L2683&gt;11),ABS($L2681-$L2683)=2,TRUE),$L2681=INT($L2681),$L2683=INT($L2683)),"","Error"),""),"")</f>
        <v/>
      </c>
      <c r="Q2679" s="7"/>
      <c r="R2679" s="20"/>
      <c r="S2679" s="20"/>
      <c r="T2679" s="20"/>
      <c r="U2679" s="20"/>
      <c r="V2679" s="20"/>
      <c r="W2679" s="20"/>
      <c r="X2679" s="26"/>
      <c r="Y2679" s="26"/>
      <c r="Z2679" s="20"/>
      <c r="AA2679" s="20"/>
      <c r="AB2679" s="20"/>
      <c r="AC2679" s="20"/>
      <c r="AD2679" s="20"/>
      <c r="AE2679" s="20"/>
      <c r="AF2679" s="27"/>
    </row>
    <row r="2680" spans="1:32" ht="12.75" customHeight="1">
      <c r="A2680" s="5" t="s">
        <v>1228</v>
      </c>
      <c r="B2680" s="290" t="s">
        <v>1126</v>
      </c>
      <c r="C2680" s="291"/>
      <c r="D2680" s="291"/>
      <c r="E2680" s="291"/>
      <c r="F2680" s="291"/>
      <c r="G2680" s="292"/>
      <c r="H2680" s="5">
        <v>1</v>
      </c>
      <c r="I2680" s="5">
        <v>2</v>
      </c>
      <c r="J2680" s="5">
        <v>3</v>
      </c>
      <c r="K2680" s="5">
        <v>4</v>
      </c>
      <c r="L2680" s="5">
        <v>5</v>
      </c>
      <c r="M2680" s="271"/>
      <c r="N2680" s="272"/>
      <c r="O2680" s="272"/>
      <c r="P2680" s="273"/>
      <c r="Q2680" s="7"/>
      <c r="R2680" s="20"/>
      <c r="S2680" s="20"/>
      <c r="T2680" s="20"/>
      <c r="U2680" s="20"/>
      <c r="V2680" s="20"/>
      <c r="W2680" s="20"/>
      <c r="X2680" s="26"/>
      <c r="Y2680" s="26"/>
      <c r="Z2680" s="20"/>
      <c r="AA2680" s="20"/>
      <c r="AB2680" s="20"/>
      <c r="AC2680" s="20"/>
      <c r="AD2680" s="20"/>
      <c r="AE2680" s="20"/>
      <c r="AF2680" s="27"/>
    </row>
    <row r="2681" spans="1:32" ht="12.75" customHeight="1">
      <c r="A2681" s="300" t="str">
        <f>B2661</f>
        <v>E</v>
      </c>
      <c r="B2681" s="293" t="str">
        <f ca="1">IF(AND(OFFSET($AO$1,$C2661-1,8,1,1),$A2662&lt;&gt;"",$J2662&lt;&gt;""),CHOOSE($C2661,$AQ$1,$AQ$2,$AQ$3,$AQ$4,$AQ$5,$AQ$6,$AQ$7,$AQ$8,$AQ$9,$AQ$10,$AQ$11,$AQ$12),"")</f>
        <v/>
      </c>
      <c r="C2681" s="294"/>
      <c r="D2681" s="294"/>
      <c r="E2681" s="294"/>
      <c r="F2681" s="294"/>
      <c r="G2681" s="294"/>
      <c r="H2681" s="265"/>
      <c r="I2681" s="265"/>
      <c r="J2681" s="265"/>
      <c r="K2681" s="265"/>
      <c r="L2681" s="265"/>
      <c r="M2681" s="262" t="str">
        <f ca="1">IF(OR(AND($B2674&lt;&gt;"",$B2681&lt;&gt;"",$D2692&lt;=$C2692),AND($B2676&lt;&gt;"",$B2683&lt;&gt;"",$H2692&lt;=$G2692)),"Invalid Lineup","")</f>
        <v/>
      </c>
      <c r="N2681" s="263"/>
      <c r="O2681" s="263"/>
      <c r="P2681" s="264"/>
      <c r="Q2681" s="137" t="str">
        <f>IF($L2681=$L2683,IF($K2681=$K2683,IF($J2681&lt;&gt;"",IF($J2681&gt;$J2683,"W","L"),""),IF($K2681&gt;$K2683,"W","L")),IF($L2681&gt;$L2683,"W","L"))</f>
        <v/>
      </c>
      <c r="R2681" s="20"/>
      <c r="S2681" s="20"/>
      <c r="T2681" s="20"/>
      <c r="U2681" s="20"/>
      <c r="V2681" s="20"/>
      <c r="W2681" s="20"/>
      <c r="X2681" s="26"/>
      <c r="Y2681" s="26"/>
      <c r="Z2681" s="20"/>
      <c r="AA2681" s="20"/>
      <c r="AB2681" s="20"/>
      <c r="AC2681" s="20"/>
      <c r="AD2681" s="20"/>
      <c r="AE2681" s="20"/>
      <c r="AF2681" s="27"/>
    </row>
    <row r="2682" spans="1:32" ht="12.75" customHeight="1">
      <c r="A2682" s="301"/>
      <c r="B2682" s="295"/>
      <c r="C2682" s="296"/>
      <c r="D2682" s="296"/>
      <c r="E2682" s="296"/>
      <c r="F2682" s="296"/>
      <c r="G2682" s="296"/>
      <c r="H2682" s="270"/>
      <c r="I2682" s="270"/>
      <c r="J2682" s="270"/>
      <c r="K2682" s="270"/>
      <c r="L2682" s="270"/>
      <c r="M2682" s="262"/>
      <c r="N2682" s="263"/>
      <c r="O2682" s="263"/>
      <c r="P2682" s="264"/>
      <c r="Q2682" s="139" t="str">
        <f>IF($Q2681&lt;&gt;"",IF($Q2681="W",IF(SUM(IF($H2681&gt;$H2683,1,0),IF($I2681&gt;$I2683,1,0),IF($J2681&gt;$J2683,1,0),IF($K2681&gt;$K2683,1,0),IF($L2681&gt;$L2683,1,0))&lt;&gt;3,"Error",""),""),"")</f>
        <v/>
      </c>
      <c r="R2682" s="328" t="str">
        <f>$A2662</f>
        <v/>
      </c>
      <c r="S2682" s="328"/>
      <c r="T2682" s="328"/>
      <c r="U2682" s="328"/>
      <c r="V2682" s="328"/>
      <c r="W2682" s="328"/>
      <c r="X2682" s="256" t="str">
        <f>CONCATENATE("(",$B2661," vs ",$K2661,")")</f>
        <v>(E vs K)</v>
      </c>
      <c r="Y2682" s="256"/>
      <c r="Z2682" s="328" t="str">
        <f>$J2662</f>
        <v/>
      </c>
      <c r="AA2682" s="328"/>
      <c r="AB2682" s="328"/>
      <c r="AC2682" s="328"/>
      <c r="AD2682" s="328"/>
      <c r="AE2682" s="328"/>
      <c r="AF2682" s="100"/>
    </row>
    <row r="2683" spans="1:32" ht="12.75" customHeight="1">
      <c r="A2683" s="300" t="str">
        <f>K2661</f>
        <v>K</v>
      </c>
      <c r="B2683" s="293" t="str">
        <f ca="1">IF(AND(OFFSET($AO$1,$L2661-1,8,1,1),$A2662&lt;&gt;"",$J2662&lt;&gt;""),CHOOSE($L2661,$AQ$1,$AQ$2,$AQ$3,$AQ$4,$AQ$5,$AQ$6,$AQ$7,$AQ$8,$AQ$9,$AQ$10,$AQ$11,$AQ$12),"")</f>
        <v/>
      </c>
      <c r="C2683" s="294"/>
      <c r="D2683" s="294"/>
      <c r="E2683" s="294"/>
      <c r="F2683" s="294"/>
      <c r="G2683" s="294"/>
      <c r="H2683" s="265"/>
      <c r="I2683" s="265"/>
      <c r="J2683" s="265"/>
      <c r="K2683" s="265"/>
      <c r="L2683" s="265"/>
      <c r="M2683" s="267" t="s">
        <v>1237</v>
      </c>
      <c r="N2683" s="268"/>
      <c r="O2683" s="268"/>
      <c r="P2683" s="269"/>
      <c r="Q2683" s="137" t="str">
        <f>IF($Q2681&lt;&gt;"",IF($Q2681="W","L","W"),"")</f>
        <v/>
      </c>
      <c r="R2683" s="100"/>
      <c r="S2683" s="100"/>
      <c r="T2683" s="100"/>
      <c r="U2683" s="100"/>
      <c r="V2683" s="100"/>
      <c r="W2683" s="100"/>
      <c r="X2683" s="100"/>
      <c r="Y2683" s="100"/>
      <c r="Z2683" s="100"/>
      <c r="AA2683" s="100"/>
      <c r="AB2683" s="100"/>
      <c r="AC2683" s="100"/>
      <c r="AD2683" s="100"/>
      <c r="AE2683" s="100"/>
      <c r="AF2683" s="100"/>
    </row>
    <row r="2684" spans="1:32" ht="12.75" customHeight="1">
      <c r="A2684" s="301"/>
      <c r="B2684" s="295"/>
      <c r="C2684" s="296"/>
      <c r="D2684" s="296"/>
      <c r="E2684" s="296"/>
      <c r="F2684" s="296"/>
      <c r="G2684" s="296"/>
      <c r="H2684" s="270"/>
      <c r="I2684" s="270"/>
      <c r="J2684" s="266"/>
      <c r="K2684" s="266"/>
      <c r="L2684" s="266"/>
      <c r="M2684" s="267"/>
      <c r="N2684" s="268"/>
      <c r="O2684" s="268"/>
      <c r="P2684" s="269"/>
      <c r="Q2684" s="139" t="str">
        <f>IF($Q2683&lt;&gt;"",IF($Q2683="W",IF(SUM(IF($H2683&gt;$H2681,1,0),IF($I2683&gt;$I2681,1,0),IF($J2683&gt;$J2681,1,0),IF($K2683&gt;$K2681,1,0),IF($L2683&gt;$L2681,1,0))&lt;&gt;3,"Error",""),""),"")</f>
        <v/>
      </c>
      <c r="R2684" s="43" t="str">
        <f>$A2679</f>
        <v>3rd Singles</v>
      </c>
      <c r="S2684" s="43"/>
      <c r="T2684" s="43"/>
      <c r="U2684" s="43"/>
      <c r="V2684" s="43"/>
      <c r="W2684" s="43"/>
      <c r="X2684" s="43"/>
      <c r="Y2684" s="43"/>
      <c r="Z2684" s="43"/>
      <c r="AA2684" s="43"/>
      <c r="AB2684" s="43"/>
      <c r="AC2684" s="43"/>
      <c r="AD2684" s="43"/>
      <c r="AE2684" s="43"/>
      <c r="AF2684" s="43"/>
    </row>
    <row r="2685" spans="1:32" ht="12.75" customHeight="1">
      <c r="Q2685" s="7"/>
      <c r="R2685" s="60" t="s">
        <v>1228</v>
      </c>
      <c r="S2685" s="101" t="s">
        <v>1126</v>
      </c>
      <c r="T2685" s="102"/>
      <c r="U2685" s="102"/>
      <c r="V2685" s="102"/>
      <c r="W2685" s="102"/>
      <c r="X2685" s="103"/>
      <c r="Y2685" s="60">
        <v>1</v>
      </c>
      <c r="Z2685" s="60">
        <v>2</v>
      </c>
      <c r="AA2685" s="60">
        <v>3</v>
      </c>
      <c r="AB2685" s="60">
        <v>4</v>
      </c>
      <c r="AC2685" s="60">
        <v>5</v>
      </c>
      <c r="AD2685" s="104"/>
      <c r="AE2685" s="105"/>
      <c r="AF2685" s="106"/>
    </row>
    <row r="2686" spans="1:32" ht="12.75" customHeight="1">
      <c r="A2686" s="21" t="s">
        <v>1236</v>
      </c>
      <c r="H2686" s="136" t="str">
        <f ca="1">IF($Q2688&lt;&gt;"",IF(AND($B2688&lt;&gt;"Missing Player",$B2690&lt;&gt;"Missing Player"),IF(AND(AND($H2688&gt;-1,$H2690&gt;-1),OR($H2688&gt;10,$H2690&gt;10),ABS($H2688-$H2690)&gt;1,IF(OR($H2688&gt;11,$H2690&gt;11),ABS($H2688-$H2690)=2,TRUE),$H2688=INT($H2688),$H2690=INT($H2690)),"","Error"),""),"")</f>
        <v/>
      </c>
      <c r="I2686" s="136" t="str">
        <f ca="1">IF($Q2688&lt;&gt;"",IF(AND($B2688&lt;&gt;"Missing Player",$B2690&lt;&gt;"Missing Player"),IF(AND(AND($I2688&gt;-1,$I2690&gt;-1),OR($I2688&gt;10,$I2690&gt;10),ABS($I2688-$I2690)&gt;1,IF(OR($I2688&gt;11,$I2690&gt;11),ABS($I2688-$I2690)=2,TRUE),$I2688=INT($I2688),$I2690=INT($I2690)),"","Error"),""),"")</f>
        <v/>
      </c>
      <c r="J2686" s="136" t="str">
        <f ca="1">IF($Q2688&lt;&gt;"",IF(AND($B2688&lt;&gt;"Missing Player",$B2690&lt;&gt;"Missing Player"),IF(AND(AND($J2688&gt;-1,$J2690&gt;-1),OR($J2688&gt;10,$J2690&gt;10),ABS($J2688-$J2690)&gt;1,IF(OR($J2688&gt;11,$J2690&gt;11),ABS($J2688-$J2690)=2,TRUE),$J2688=INT($J2688),$J2690=INT($J2690)),"","Error"),""),"")</f>
        <v/>
      </c>
      <c r="K2686" s="136" t="str">
        <f ca="1">IF($Q2688&lt;&gt;"",IF(AND($K2688&lt;&gt;"",$K2690&lt;&gt;""), IF(AND(AND($K2688&gt;-1,$K2690&gt;-1),OR($K2688&gt;10,$K2690&gt;10),ABS($K2688-$K2690)&gt;1,IF(OR($K2688&gt;11,$K2690&gt;11),ABS($K2688-$K2690)=2,TRUE),$K2688=INT($K2688),$K2690=INT($K2690)),"","Error"),""),"")</f>
        <v/>
      </c>
      <c r="L2686" s="136" t="str">
        <f ca="1">IF($Q2688&lt;&gt;"",IF(AND($L2688&lt;&gt;"",$L2690&lt;&gt;""), IF(AND(AND($L2688&gt;-1,$L2690&gt;-1),OR($L2688&gt;10,$L2690&gt;10),ABS($L2688-$L2690)&gt;1,IF(OR($L2688&gt;11,$L2690&gt;11),ABS($L2688-$L2690)=2,TRUE),$L2688=INT($L2688),$L2690=INT($L2690)),"","Error"),""),"")</f>
        <v/>
      </c>
      <c r="Q2686" s="7"/>
      <c r="R2686" s="300" t="str">
        <f>$B2661</f>
        <v>E</v>
      </c>
      <c r="S2686" s="331" t="str">
        <f ca="1">IF($B2681&lt;&gt;"",$B2681,"")</f>
        <v/>
      </c>
      <c r="T2686" s="332"/>
      <c r="U2686" s="332"/>
      <c r="V2686" s="332"/>
      <c r="W2686" s="332"/>
      <c r="X2686" s="333"/>
      <c r="Y2686" s="329"/>
      <c r="Z2686" s="329"/>
      <c r="AA2686" s="329"/>
      <c r="AB2686" s="329"/>
      <c r="AC2686" s="329"/>
      <c r="AD2686" s="345"/>
      <c r="AE2686" s="358"/>
      <c r="AF2686" s="359"/>
    </row>
    <row r="2687" spans="1:32" ht="12.75" customHeight="1">
      <c r="A2687" s="5" t="s">
        <v>1228</v>
      </c>
      <c r="B2687" s="290" t="s">
        <v>1126</v>
      </c>
      <c r="C2687" s="291"/>
      <c r="D2687" s="291"/>
      <c r="E2687" s="291"/>
      <c r="F2687" s="291"/>
      <c r="G2687" s="292"/>
      <c r="H2687" s="5">
        <v>1</v>
      </c>
      <c r="I2687" s="5">
        <v>2</v>
      </c>
      <c r="J2687" s="5">
        <v>3</v>
      </c>
      <c r="K2687" s="5">
        <v>4</v>
      </c>
      <c r="L2687" s="5">
        <v>5</v>
      </c>
      <c r="M2687" s="271"/>
      <c r="N2687" s="272"/>
      <c r="O2687" s="272"/>
      <c r="P2687" s="273"/>
      <c r="Q2687" s="7"/>
      <c r="R2687" s="330"/>
      <c r="S2687" s="334"/>
      <c r="T2687" s="335"/>
      <c r="U2687" s="335"/>
      <c r="V2687" s="335"/>
      <c r="W2687" s="335"/>
      <c r="X2687" s="336"/>
      <c r="Y2687" s="330"/>
      <c r="Z2687" s="330"/>
      <c r="AA2687" s="330"/>
      <c r="AB2687" s="330"/>
      <c r="AC2687" s="330"/>
      <c r="AD2687" s="360"/>
      <c r="AE2687" s="361"/>
      <c r="AF2687" s="362"/>
    </row>
    <row r="2688" spans="1:32" ht="12.75" customHeight="1">
      <c r="A2688" s="300" t="str">
        <f>B2661</f>
        <v>E</v>
      </c>
      <c r="B2688" s="293" t="str">
        <f ca="1">IF(AND(OFFSET($AO$1,$C2661-1,8,1,1),$A2662&lt;&gt;"",$J2662&lt;&gt;""),CHOOSE($C2661,$AR$1,$AR$2,$AR$3,$AR$4,$AR$5,$AR$6,$AR$7,$AR$8,$AR$9,$AR$10,$AR$11,$AR$12),"")</f>
        <v/>
      </c>
      <c r="C2688" s="294"/>
      <c r="D2688" s="294"/>
      <c r="E2688" s="294"/>
      <c r="F2688" s="294"/>
      <c r="G2688" s="294"/>
      <c r="H2688" s="265"/>
      <c r="I2688" s="265"/>
      <c r="J2688" s="265"/>
      <c r="K2688" s="265"/>
      <c r="L2688" s="265" t="str">
        <f ca="1">IF(AND($B2688&lt;&gt;"",$Q2667&lt;&gt;""),IF($B2688="Missing Player",0,IF($B2690="Missing Player",11,"")),"")</f>
        <v/>
      </c>
      <c r="M2688" s="262" t="str">
        <f ca="1">IF(OR(AND($B2681&lt;&gt;"",$B2688&lt;&gt;"",$E2692&lt;=$D2692),AND($B2683&lt;&gt;"",$B2690&lt;&gt;"",$I2692&lt;=$H2692)),"Invalid Lineup","")</f>
        <v/>
      </c>
      <c r="N2688" s="263"/>
      <c r="O2688" s="263"/>
      <c r="P2688" s="264"/>
      <c r="Q2688" s="137" t="str">
        <f ca="1">IF($L2688=$L2690,IF($K2688=$K2690,IF($J2688&lt;&gt;"",IF($J2688&gt;$J2690,"W","L"),""),IF($K2688&gt;$K2690,"W","L")),IF($L2688&gt;$L2690,"W","L"))</f>
        <v/>
      </c>
      <c r="R2688" s="300" t="str">
        <f>$K2661</f>
        <v>K</v>
      </c>
      <c r="S2688" s="331" t="str">
        <f ca="1">IF($B2683&lt;&gt;"",$B2683,"")</f>
        <v/>
      </c>
      <c r="T2688" s="332"/>
      <c r="U2688" s="332"/>
      <c r="V2688" s="332"/>
      <c r="W2688" s="332"/>
      <c r="X2688" s="333"/>
      <c r="Y2688" s="329"/>
      <c r="Z2688" s="329"/>
      <c r="AA2688" s="329"/>
      <c r="AB2688" s="329"/>
      <c r="AC2688" s="351"/>
      <c r="AD2688" s="363" t="s">
        <v>1237</v>
      </c>
      <c r="AE2688" s="358"/>
      <c r="AF2688" s="359"/>
    </row>
    <row r="2689" spans="1:32" ht="12.75" customHeight="1">
      <c r="A2689" s="301"/>
      <c r="B2689" s="295"/>
      <c r="C2689" s="296"/>
      <c r="D2689" s="296"/>
      <c r="E2689" s="296"/>
      <c r="F2689" s="296"/>
      <c r="G2689" s="296"/>
      <c r="H2689" s="270"/>
      <c r="I2689" s="270"/>
      <c r="J2689" s="270"/>
      <c r="K2689" s="270"/>
      <c r="L2689" s="270"/>
      <c r="M2689" s="262"/>
      <c r="N2689" s="263"/>
      <c r="O2689" s="263"/>
      <c r="P2689" s="264"/>
      <c r="Q2689" s="139" t="str">
        <f ca="1">IF($Q2688&lt;&gt;"",IF($B2690&lt;&gt;"Missing Player",IF($Q2688="W",IF(SUM(IF($H2688&gt;$H2690,1,0),IF($I2688&gt;$I2690,1,0),IF($J2688&gt;$J2690,1,0),IF($K2688&gt;$K2690,1,0),IF($L2688&gt;$L2690,1,0))&lt;&gt;3,"Error",""),""),""),"")</f>
        <v/>
      </c>
      <c r="R2689" s="330"/>
      <c r="S2689" s="334"/>
      <c r="T2689" s="335"/>
      <c r="U2689" s="335"/>
      <c r="V2689" s="335"/>
      <c r="W2689" s="335"/>
      <c r="X2689" s="336"/>
      <c r="Y2689" s="330"/>
      <c r="Z2689" s="330"/>
      <c r="AA2689" s="330"/>
      <c r="AB2689" s="330"/>
      <c r="AC2689" s="330"/>
      <c r="AD2689" s="360"/>
      <c r="AE2689" s="361"/>
      <c r="AF2689" s="362"/>
    </row>
    <row r="2690" spans="1:32" ht="12.75" customHeight="1">
      <c r="A2690" s="300" t="str">
        <f>K2661</f>
        <v>K</v>
      </c>
      <c r="B2690" s="293" t="str">
        <f ca="1">IF(AND(OFFSET($AO$1,$L2661-1,8,1,1),$A2662&lt;&gt;"",$J2662&lt;&gt;""),CHOOSE($L2661,$AR$1,$AR$2,$AR$3,$AR$4,$AR$5,$AR$6,$AR$7,$AR$8,$AR$9,$AR$10,$AR$11,$AR$12),"")</f>
        <v/>
      </c>
      <c r="C2690" s="294"/>
      <c r="D2690" s="294"/>
      <c r="E2690" s="294"/>
      <c r="F2690" s="294"/>
      <c r="G2690" s="294"/>
      <c r="H2690" s="265"/>
      <c r="I2690" s="265"/>
      <c r="J2690" s="265"/>
      <c r="K2690" s="265"/>
      <c r="L2690" s="265" t="str">
        <f ca="1">IF(AND($B2690&lt;&gt;"",$Q2667&lt;&gt;""),IF($B2690="Missing Player",0,IF($B2688="Missing Player",11,"")),"")</f>
        <v/>
      </c>
      <c r="M2690" s="267" t="s">
        <v>1237</v>
      </c>
      <c r="N2690" s="268"/>
      <c r="O2690" s="268"/>
      <c r="P2690" s="269"/>
      <c r="Q2690" s="137" t="str">
        <f ca="1">IF($Q2688&lt;&gt;"",IF($Q2688="W","L","W"),"")</f>
        <v/>
      </c>
      <c r="R2690" s="112"/>
      <c r="S2690" s="98"/>
      <c r="T2690" s="108"/>
      <c r="U2690" s="108"/>
      <c r="V2690" s="108"/>
      <c r="W2690" s="108"/>
      <c r="X2690" s="108"/>
      <c r="Y2690" s="113"/>
      <c r="Z2690" s="113"/>
      <c r="AA2690" s="113"/>
      <c r="AB2690" s="113"/>
      <c r="AC2690" s="113"/>
      <c r="AD2690" s="107"/>
      <c r="AE2690" s="109"/>
      <c r="AF2690" s="109"/>
    </row>
    <row r="2691" spans="1:32" ht="12.75" customHeight="1">
      <c r="A2691" s="301"/>
      <c r="B2691" s="295"/>
      <c r="C2691" s="296"/>
      <c r="D2691" s="296"/>
      <c r="E2691" s="296"/>
      <c r="F2691" s="296"/>
      <c r="G2691" s="296"/>
      <c r="H2691" s="270"/>
      <c r="I2691" s="270"/>
      <c r="J2691" s="266"/>
      <c r="K2691" s="266"/>
      <c r="L2691" s="266"/>
      <c r="M2691" s="267"/>
      <c r="N2691" s="268"/>
      <c r="O2691" s="268"/>
      <c r="P2691" s="269"/>
      <c r="Q2691" s="139" t="str">
        <f ca="1">IF($Q2690&lt;&gt;"",IF($B2688&lt;&gt;"Missing Player",IF($Q2690="W",IF(SUM(IF($H2690&gt;$H2688,1,0),IF($I2690&gt;$I2688,1,0),IF($J2690&gt;$J2688,1,0),IF($K2690&gt;$K2688,1,0),IF($L2690&gt;$L2688,1,0))&lt;&gt;3,"Error",""),""),""),"")</f>
        <v/>
      </c>
      <c r="R2691" s="114"/>
      <c r="S2691" s="115"/>
      <c r="T2691" s="115"/>
      <c r="U2691" s="115"/>
      <c r="V2691" s="115"/>
      <c r="W2691" s="115"/>
      <c r="X2691" s="115"/>
      <c r="Y2691" s="114"/>
      <c r="Z2691" s="114"/>
      <c r="AA2691" s="114"/>
      <c r="AB2691" s="114"/>
      <c r="AC2691" s="114"/>
      <c r="AD2691" s="114"/>
      <c r="AE2691" s="114"/>
      <c r="AF2691" s="114"/>
    </row>
    <row r="2692" spans="1:32" ht="12.75" customHeight="1">
      <c r="B2692" s="140" t="str">
        <f ca="1">IF(ISERROR(VLOOKUP($B2667&amp;"("&amp;$B2661&amp;")",Players!$S$4:$T$132,2,FALSE)),"",VLOOKUP($B2667&amp;"("&amp;$B2661&amp;")",Players!$S$4:$T$132,2,FALSE))</f>
        <v>E1</v>
      </c>
      <c r="C2692" s="140" t="str">
        <f ca="1">IF(ISERROR(VLOOKUP($B2674&amp;"("&amp;$B2661&amp;")",Players!$S$4:$T$132,2,FALSE)),"",VLOOKUP($B2674&amp;"("&amp;$B2661&amp;")",Players!$S$4:$T$132,2,FALSE))</f>
        <v>E1</v>
      </c>
      <c r="D2692" s="141" t="str">
        <f ca="1">IF(ISERROR(VLOOKUP($B2681&amp;"("&amp;$B2661&amp;")",Players!$S$4:$T$132,2,FALSE)),"",VLOOKUP($B2681&amp;"("&amp;$B2661&amp;")",Players!$S$4:$T$132,2,FALSE))</f>
        <v>E1</v>
      </c>
      <c r="E2692" s="141" t="str">
        <f ca="1">IF(ISERROR(VLOOKUP($B2688&amp;"("&amp;$B2661&amp;")",Players!$S$4:$T$132,2,FALSE)),"",VLOOKUP($B2688&amp;"("&amp;$B2661&amp;")",Players!$S$4:$T$132,2,FALSE))</f>
        <v>E1</v>
      </c>
      <c r="F2692" s="141" t="str">
        <f ca="1">IF(ISERROR(VLOOKUP($B2669&amp;"("&amp;$K2661&amp;")",Players!$S$4:$T$132,2,FALSE)),"",VLOOKUP($B2669&amp;"("&amp;$K2661&amp;")",Players!$S$4:$T$132,2,FALSE))</f>
        <v>K1</v>
      </c>
      <c r="G2692" s="141" t="str">
        <f ca="1">IF(ISERROR(VLOOKUP($B2676&amp;"("&amp;$K2661&amp;")",Players!$S$4:$T$132,2,FALSE)),"",VLOOKUP($B2676&amp;"("&amp;$K2661&amp;")",Players!$S$4:$T$132,2,FALSE))</f>
        <v>K1</v>
      </c>
      <c r="H2692" s="141" t="str">
        <f ca="1">IF(ISERROR(VLOOKUP($B2683&amp;"("&amp;$K2661&amp;")",Players!$S$4:$T$132,2,FALSE)),"",VLOOKUP($B2683&amp;"("&amp;$K2661&amp;")",Players!$S$4:$T$132,2,FALSE))</f>
        <v>K1</v>
      </c>
      <c r="I2692" s="141" t="str">
        <f ca="1">IF(ISERROR(VLOOKUP($B2690&amp;"("&amp;$K2661&amp;")",Players!$S$4:$T$132,2,FALSE)),"",VLOOKUP($B2690&amp;"("&amp;$K2661&amp;")",Players!$S$4:$T$132,2,FALSE))</f>
        <v>K1</v>
      </c>
      <c r="Q2692" s="7"/>
      <c r="R2692" s="50"/>
      <c r="S2692" s="116"/>
      <c r="T2692" s="115"/>
      <c r="U2692" s="115"/>
      <c r="V2692" s="115"/>
      <c r="W2692" s="115"/>
      <c r="X2692" s="115"/>
      <c r="Y2692" s="99"/>
      <c r="Z2692" s="99"/>
      <c r="AA2692" s="99"/>
      <c r="AB2692" s="99"/>
      <c r="AC2692" s="117"/>
      <c r="AD2692" s="118"/>
      <c r="AE2692" s="114"/>
      <c r="AF2692" s="114"/>
    </row>
    <row r="2693" spans="1:32" ht="12.75" customHeight="1">
      <c r="A2693" s="21" t="s">
        <v>1225</v>
      </c>
      <c r="H2693" s="136" t="str">
        <f ca="1">IF($Q2695&lt;&gt;"",IF(AND($B2696&lt;&gt;"Missing Player",$B2698&lt;&gt;"Missing Player"),IF(AND(AND($H2695&gt;-1,$H2697&gt;-1),OR($H2695&gt;10,$H2697&gt;10),ABS($H2695-$H2697)&gt;1,IF(OR($H2695&gt;11,$H2697&gt;11),ABS($H2695-$H2697)=2,TRUE),$H2695=INT($H2695),$H2697=INT($H2697)),"","Error"),""),"")</f>
        <v/>
      </c>
      <c r="I2693" s="136" t="str">
        <f ca="1">IF($Q2695&lt;&gt;"",IF(AND($B2696&lt;&gt;"Missing Player",$B2698&lt;&gt;"Missing Player"),IF(AND(AND($I2695&gt;-1,$I2697&gt;-1),OR($I2695&gt;10,$I2697&gt;10),ABS($I2695-$I2697)&gt;1,IF(OR($I2695&gt;11,$I2697&gt;11),ABS($I2695-$I2697)=2,TRUE),$I2695=INT($I2695),$I2697=INT($I2697)),"","Error"),""),"")</f>
        <v/>
      </c>
      <c r="J2693" s="136" t="str">
        <f ca="1">IF($Q2695&lt;&gt;"",IF(AND($B2696&lt;&gt;"Missing Player",$B2698&lt;&gt;"Missing Player"),IF(AND(AND($J2695&gt;-1,$J2697&gt;-1),OR($J2695&gt;10,$J2697&gt;10),ABS($J2695-$J2697)&gt;1,IF(OR($J2695&gt;11,$J2697&gt;11),ABS($J2695-$J2697)=2,TRUE),$J2695=INT($J2695),$J2697=INT($J2697)),"","Error"),""),"")</f>
        <v/>
      </c>
      <c r="K2693" s="136" t="str">
        <f ca="1">IF($Q2695&lt;&gt;"",IF(AND($K2695&lt;&gt;"",$K2697&lt;&gt;""), IF(AND(AND($K2695&gt;-1,$K2697&gt;-1),OR($K2695&gt;10,$K2697&gt;10),ABS($K2695-$K2697)&gt;1,IF(OR($K2695&gt;11,$K2697&gt;11),ABS($K2695-$K2697)=2,TRUE),$K2695=INT($K2695),$K2697=INT($K2697)),"","Error"),""),"")</f>
        <v/>
      </c>
      <c r="L2693" s="136" t="str">
        <f ca="1">IF($Q2695&lt;&gt;"",IF(AND($L2695&lt;&gt;"",$L2697&lt;&gt;""), IF(AND(AND($L2695&gt;-1,$L2697&gt;-1),OR($L2695&gt;10,$L2697&gt;10),ABS($L2695-$L2697)&gt;1,IF(OR($L2695&gt;11,$L2697&gt;11),ABS($L2695-$L2697)=2,TRUE),$L2695=INT($L2695),$L2697=INT($L2697)),"","Error"),""),"")</f>
        <v/>
      </c>
      <c r="Q2693" s="7"/>
      <c r="R2693" s="114"/>
      <c r="S2693" s="115"/>
      <c r="T2693" s="115"/>
      <c r="U2693" s="115"/>
      <c r="V2693" s="115"/>
      <c r="W2693" s="115"/>
      <c r="X2693" s="115"/>
      <c r="Y2693" s="114"/>
      <c r="Z2693" s="114"/>
      <c r="AA2693" s="114"/>
      <c r="AB2693" s="114"/>
      <c r="AC2693" s="114"/>
      <c r="AD2693" s="114"/>
      <c r="AE2693" s="114"/>
      <c r="AF2693" s="114"/>
    </row>
    <row r="2694" spans="1:32" ht="12.75" customHeight="1">
      <c r="A2694" s="5" t="s">
        <v>1228</v>
      </c>
      <c r="B2694" s="290" t="s">
        <v>1126</v>
      </c>
      <c r="C2694" s="291"/>
      <c r="D2694" s="291"/>
      <c r="E2694" s="291"/>
      <c r="F2694" s="291"/>
      <c r="G2694" s="292"/>
      <c r="H2694" s="5">
        <v>1</v>
      </c>
      <c r="I2694" s="5">
        <v>2</v>
      </c>
      <c r="J2694" s="5">
        <v>3</v>
      </c>
      <c r="K2694" s="5">
        <v>4</v>
      </c>
      <c r="L2694" s="5">
        <v>5</v>
      </c>
      <c r="M2694" s="271"/>
      <c r="N2694" s="272"/>
      <c r="O2694" s="272"/>
      <c r="P2694" s="273"/>
      <c r="Q2694" s="8"/>
      <c r="S2694" s="24"/>
      <c r="T2694" s="26"/>
    </row>
    <row r="2695" spans="1:32" ht="12.75" customHeight="1">
      <c r="A2695" s="300" t="str">
        <f>B2661</f>
        <v>E</v>
      </c>
      <c r="B2695" s="311" t="str">
        <f ca="1">IF($B2667&lt;&gt;"",$B2667,"")</f>
        <v/>
      </c>
      <c r="C2695" s="312"/>
      <c r="D2695" s="312"/>
      <c r="E2695" s="312"/>
      <c r="F2695" s="312"/>
      <c r="G2695" s="313"/>
      <c r="H2695" s="265"/>
      <c r="I2695" s="265"/>
      <c r="J2695" s="265"/>
      <c r="K2695" s="265"/>
      <c r="L2695" s="265" t="str">
        <f ca="1">IF($B2688&lt;&gt;"",IF(AND($B2688="Missing Player",$G2699=2,$J2699=2),0,IF(AND($B2690="Missing Player",$G2699=2,$J2699=2),11,"")),"")</f>
        <v/>
      </c>
      <c r="M2695" s="262" t="str">
        <f ca="1">IF(OR(AND($B2695&lt;&gt;"",$B2696&lt;&gt;"",$B2695=$B2696),AND($B2697&lt;&gt;"",$B2698&lt;&gt;"",$B2697=$B2698)),"Invalid Partner","")</f>
        <v/>
      </c>
      <c r="N2695" s="263"/>
      <c r="O2695" s="263"/>
      <c r="P2695" s="264"/>
      <c r="Q2695" s="138" t="str">
        <f ca="1">IF(L2695=L2697,IF(K2695=K2697,IF(J2695&lt;&gt;"",IF(J2695&gt;J2697,"W","L"),""),IF(K2695&gt;K2697,"W","L")),IF(L2695&gt;L2697,"W","L"))</f>
        <v/>
      </c>
      <c r="S2695" s="24"/>
      <c r="T2695" s="26"/>
    </row>
    <row r="2696" spans="1:32" ht="12.75" customHeight="1">
      <c r="A2696" s="324"/>
      <c r="B2696" s="308" t="str">
        <f ca="1">IF($B2688="Missing Player",$B2688,"")</f>
        <v/>
      </c>
      <c r="C2696" s="309"/>
      <c r="D2696" s="309"/>
      <c r="E2696" s="309"/>
      <c r="F2696" s="309"/>
      <c r="G2696" s="310"/>
      <c r="H2696" s="270"/>
      <c r="I2696" s="270"/>
      <c r="J2696" s="270"/>
      <c r="K2696" s="270"/>
      <c r="L2696" s="270"/>
      <c r="M2696" s="262"/>
      <c r="N2696" s="263"/>
      <c r="O2696" s="263"/>
      <c r="P2696" s="264"/>
      <c r="Q2696" s="139" t="str">
        <f ca="1">IF($Q2695&lt;&gt;"",IF($B2698&lt;&gt;"Missing Player",IF($Q2695="W",IF(SUM(IF($H2695&gt;$H2697,1,0),IF($I2695&gt;$I2697,1,0),IF($J2695&gt;$J2697,1,0),IF($K2695&gt;$K2697,1,0),IF($L2695&gt;$L2697,1,0))&lt;&gt;3,"Error",""),""),""),"")</f>
        <v/>
      </c>
      <c r="R2696" s="328" t="str">
        <f>$A2662</f>
        <v/>
      </c>
      <c r="S2696" s="328"/>
      <c r="T2696" s="328"/>
      <c r="U2696" s="328"/>
      <c r="V2696" s="328"/>
      <c r="W2696" s="328"/>
      <c r="X2696" s="256" t="str">
        <f>CONCATENATE("(",$B2661," vs ",$K2661,")")</f>
        <v>(E vs K)</v>
      </c>
      <c r="Y2696" s="256"/>
      <c r="Z2696" s="328" t="str">
        <f>$J2662</f>
        <v/>
      </c>
      <c r="AA2696" s="328"/>
      <c r="AB2696" s="328"/>
      <c r="AC2696" s="328"/>
      <c r="AD2696" s="328"/>
      <c r="AE2696" s="328"/>
      <c r="AF2696" s="43"/>
    </row>
    <row r="2697" spans="1:32" ht="12.75" customHeight="1">
      <c r="A2697" s="325" t="str">
        <f>K2661</f>
        <v>K</v>
      </c>
      <c r="B2697" s="311" t="str">
        <f ca="1">IF($B2669&lt;&gt;"",$B2669,"")</f>
        <v/>
      </c>
      <c r="C2697" s="312"/>
      <c r="D2697" s="312"/>
      <c r="E2697" s="312"/>
      <c r="F2697" s="312"/>
      <c r="G2697" s="313"/>
      <c r="H2697" s="265"/>
      <c r="I2697" s="265"/>
      <c r="J2697" s="265"/>
      <c r="K2697" s="265"/>
      <c r="L2697" s="265" t="str">
        <f ca="1">IF($B2690&lt;&gt;"",IF(AND($B2690="Missing Player",$G2699=2,$J2699=2),0,IF(AND($B2688="Missing Player",$G2699=2,$J2699=2),11,"")),"")</f>
        <v/>
      </c>
      <c r="M2697" s="267" t="s">
        <v>1237</v>
      </c>
      <c r="N2697" s="268"/>
      <c r="O2697" s="268"/>
      <c r="P2697" s="269"/>
      <c r="Q2697" s="138" t="str">
        <f ca="1">IF(Q2695&lt;&gt;"",IF(Q2695="W","L","W"),"")</f>
        <v/>
      </c>
      <c r="R2697" s="43"/>
      <c r="S2697" s="43"/>
      <c r="T2697" s="43"/>
      <c r="U2697" s="43"/>
      <c r="V2697" s="43"/>
      <c r="W2697" s="43"/>
      <c r="X2697" s="43"/>
      <c r="Y2697" s="43"/>
      <c r="Z2697" s="43"/>
      <c r="AA2697" s="43"/>
      <c r="AB2697" s="43"/>
      <c r="AC2697" s="43"/>
      <c r="AD2697" s="43"/>
      <c r="AE2697" s="43"/>
      <c r="AF2697" s="43"/>
    </row>
    <row r="2698" spans="1:32" ht="12.75" customHeight="1">
      <c r="A2698" s="324"/>
      <c r="B2698" s="308" t="str">
        <f ca="1">IF($B2690="Missing Player",$B2690,"")</f>
        <v/>
      </c>
      <c r="C2698" s="309"/>
      <c r="D2698" s="309"/>
      <c r="E2698" s="309"/>
      <c r="F2698" s="309"/>
      <c r="G2698" s="310"/>
      <c r="H2698" s="270"/>
      <c r="I2698" s="270"/>
      <c r="J2698" s="266"/>
      <c r="K2698" s="266"/>
      <c r="L2698" s="266"/>
      <c r="M2698" s="267"/>
      <c r="N2698" s="268"/>
      <c r="O2698" s="268"/>
      <c r="P2698" s="269"/>
      <c r="Q2698" s="139" t="str">
        <f ca="1">IF($Q2697&lt;&gt;"",IF($B2696&lt;&gt;"Missing Player",IF($Q2697="W",IF(SUM(IF($H2697&gt;$H2695,1,0),IF($I2697&gt;$I2695,1,0),IF($J2697&gt;$J2695,1,0),IF($K2697&gt;$K2695,1,0),IF($L2697&gt;$L2695,1,0))&lt;&gt;3,"Error",""),""),""),"")</f>
        <v/>
      </c>
      <c r="R2698" s="43" t="str">
        <f>A2686</f>
        <v>4th Singles</v>
      </c>
      <c r="S2698" s="43"/>
      <c r="T2698" s="43"/>
      <c r="U2698" s="43"/>
      <c r="V2698" s="43"/>
      <c r="W2698" s="43"/>
      <c r="X2698" s="43"/>
      <c r="Y2698" s="43"/>
      <c r="Z2698" s="43"/>
      <c r="AA2698" s="43"/>
      <c r="AB2698" s="43"/>
      <c r="AC2698" s="43"/>
      <c r="AD2698" s="43"/>
      <c r="AE2698" s="43"/>
      <c r="AF2698" s="43"/>
    </row>
    <row r="2699" spans="1:32" ht="12.75" customHeight="1">
      <c r="G2699" s="66">
        <f ca="1">COUNTIF($Q2667:$Q2667,"W")+COUNTIF($Q2674:$Q2674,"W")+COUNTIF($Q2681:$Q2681,"W")+COUNTIF($Q2688:$Q2688,"W")</f>
        <v>0</v>
      </c>
      <c r="J2699" s="66">
        <f ca="1">COUNTIF($Q2669:$Q2669,"W")+COUNTIF($Q2676:$Q2676,"W")+COUNTIF($Q2683:$Q2683,"W")+COUNTIF($Q2690:$Q2690,"W")</f>
        <v>0</v>
      </c>
      <c r="R2699" s="60" t="s">
        <v>1228</v>
      </c>
      <c r="S2699" s="339" t="s">
        <v>1126</v>
      </c>
      <c r="T2699" s="340"/>
      <c r="U2699" s="340"/>
      <c r="V2699" s="340"/>
      <c r="W2699" s="340"/>
      <c r="X2699" s="341"/>
      <c r="Y2699" s="60">
        <v>1</v>
      </c>
      <c r="Z2699" s="60">
        <v>2</v>
      </c>
      <c r="AA2699" s="60">
        <v>3</v>
      </c>
      <c r="AB2699" s="60">
        <v>4</v>
      </c>
      <c r="AC2699" s="60">
        <v>5</v>
      </c>
      <c r="AD2699" s="342"/>
      <c r="AE2699" s="343"/>
      <c r="AF2699" s="344"/>
    </row>
    <row r="2700" spans="1:32" ht="12.75" customHeight="1" thickBot="1">
      <c r="F2700" s="246" t="s">
        <v>1238</v>
      </c>
      <c r="G2700" s="246"/>
      <c r="H2700" s="246"/>
      <c r="I2700" s="246"/>
      <c r="J2700" s="246"/>
      <c r="K2700" s="246"/>
      <c r="R2700" s="300" t="str">
        <f>B2661</f>
        <v>E</v>
      </c>
      <c r="S2700" s="331" t="str">
        <f ca="1">IF($B2688&lt;&gt;"",$B2688,"")</f>
        <v/>
      </c>
      <c r="T2700" s="353"/>
      <c r="U2700" s="353"/>
      <c r="V2700" s="353"/>
      <c r="W2700" s="353"/>
      <c r="X2700" s="354"/>
      <c r="Y2700" s="329"/>
      <c r="Z2700" s="329"/>
      <c r="AA2700" s="351"/>
      <c r="AB2700" s="351"/>
      <c r="AC2700" s="351"/>
      <c r="AD2700" s="345"/>
      <c r="AE2700" s="346"/>
      <c r="AF2700" s="347"/>
    </row>
    <row r="2701" spans="1:32" ht="12.75" customHeight="1">
      <c r="A2701" s="22"/>
      <c r="B2701" s="22"/>
      <c r="C2701" s="22"/>
      <c r="D2701" s="22"/>
      <c r="E2701" s="22"/>
      <c r="G2701" s="304" t="str">
        <f>B2661</f>
        <v>E</v>
      </c>
      <c r="H2701" s="305"/>
      <c r="I2701" s="302" t="str">
        <f>K2661</f>
        <v>K</v>
      </c>
      <c r="J2701" s="303"/>
      <c r="L2701" s="22"/>
      <c r="M2701" s="22"/>
      <c r="N2701" s="22"/>
      <c r="O2701" s="22"/>
      <c r="P2701" s="22"/>
      <c r="R2701" s="301"/>
      <c r="S2701" s="355"/>
      <c r="T2701" s="356"/>
      <c r="U2701" s="356"/>
      <c r="V2701" s="356"/>
      <c r="W2701" s="356"/>
      <c r="X2701" s="357"/>
      <c r="Y2701" s="338"/>
      <c r="Z2701" s="338"/>
      <c r="AA2701" s="352"/>
      <c r="AB2701" s="352"/>
      <c r="AC2701" s="352"/>
      <c r="AD2701" s="348"/>
      <c r="AE2701" s="349"/>
      <c r="AF2701" s="350"/>
    </row>
    <row r="2702" spans="1:32" ht="12.75" customHeight="1" thickBot="1">
      <c r="A2702" s="2" t="s">
        <v>1228</v>
      </c>
      <c r="B2702" s="53" t="str">
        <f>B2661</f>
        <v>E</v>
      </c>
      <c r="C2702" s="3" t="s">
        <v>1226</v>
      </c>
      <c r="F2702" s="66" t="str">
        <f>CONCATENATE($B2661,"-",$K2661)</f>
        <v>E-K</v>
      </c>
      <c r="G2702" s="320" t="str">
        <f ca="1">IF(OR(Q2667&lt;&gt;"",Q2674&lt;&gt;"",Q2681&lt;&gt;"",Q2688&lt;&gt;"",Q2695&lt;&gt;""),COUNTIF(Q2667:Q2667,"W")+COUNTIF(Q2674:Q2674,"W")+COUNTIF(Q2681:Q2681,"W")+COUNTIF(Q2688:Q2688,"W")+COUNTIF(Q2695:Q2695,"W"),"")</f>
        <v/>
      </c>
      <c r="H2702" s="321"/>
      <c r="I2702" s="322" t="str">
        <f ca="1">IF(OR(Q2669&lt;&gt;"",Q2676&lt;&gt;"",Q2683&lt;&gt;"",Q2690&lt;&gt;"",Q2697&lt;&gt;""),COUNTIF(Q2669:Q2669,"W")+COUNTIF(Q2676:Q2676,"W")+COUNTIF(Q2683:Q2683,"W")+COUNTIF(Q2690:Q2690,"W")+COUNTIF(Q2697:Q2697,"W"),"")</f>
        <v/>
      </c>
      <c r="J2702" s="323"/>
      <c r="L2702" s="2" t="s">
        <v>1228</v>
      </c>
      <c r="M2702" s="53" t="str">
        <f>K2661</f>
        <v>K</v>
      </c>
      <c r="N2702" s="3" t="s">
        <v>1226</v>
      </c>
      <c r="R2702" s="300" t="str">
        <f>K2661</f>
        <v>K</v>
      </c>
      <c r="S2702" s="331" t="str">
        <f ca="1">IF($B2690&lt;&gt;"",$B2690,"")</f>
        <v/>
      </c>
      <c r="T2702" s="332"/>
      <c r="U2702" s="332"/>
      <c r="V2702" s="332"/>
      <c r="W2702" s="332"/>
      <c r="X2702" s="333"/>
      <c r="Y2702" s="329"/>
      <c r="Z2702" s="329"/>
      <c r="AA2702" s="351"/>
      <c r="AB2702" s="351"/>
      <c r="AC2702" s="351"/>
      <c r="AD2702" s="363" t="s">
        <v>1237</v>
      </c>
      <c r="AE2702" s="358"/>
      <c r="AF2702" s="359"/>
    </row>
    <row r="2703" spans="1:32" ht="12.75" customHeight="1">
      <c r="F2703" s="25" t="s">
        <v>3996</v>
      </c>
      <c r="G2703" s="23"/>
      <c r="H2703" s="23"/>
      <c r="I2703" s="23"/>
      <c r="J2703" s="23"/>
      <c r="K2703" s="24"/>
      <c r="R2703" s="330"/>
      <c r="S2703" s="334"/>
      <c r="T2703" s="335"/>
      <c r="U2703" s="335"/>
      <c r="V2703" s="335"/>
      <c r="W2703" s="335"/>
      <c r="X2703" s="336"/>
      <c r="Y2703" s="330"/>
      <c r="Z2703" s="330"/>
      <c r="AA2703" s="330"/>
      <c r="AB2703" s="330"/>
      <c r="AC2703" s="330"/>
      <c r="AD2703" s="360"/>
      <c r="AE2703" s="361"/>
      <c r="AF2703" s="362"/>
    </row>
    <row r="2704" spans="1:32" ht="12.75" customHeight="1">
      <c r="R2704" s="1"/>
      <c r="S2704" s="110"/>
      <c r="T2704" s="110"/>
      <c r="U2704" s="110"/>
      <c r="V2704" s="110"/>
      <c r="W2704" s="110"/>
      <c r="X2704" s="111"/>
      <c r="Y2704" s="111"/>
      <c r="Z2704" s="111"/>
      <c r="AA2704" s="111"/>
    </row>
    <row r="2705" spans="1:32" ht="12.75" customHeight="1">
      <c r="F2705" s="246" t="s">
        <v>4929</v>
      </c>
      <c r="G2705" s="246"/>
      <c r="H2705" s="246"/>
      <c r="I2705" s="246"/>
      <c r="R2705" s="1"/>
      <c r="S2705" s="110"/>
      <c r="T2705" s="110"/>
      <c r="U2705" s="110"/>
      <c r="V2705" s="110"/>
      <c r="W2705" s="110"/>
      <c r="X2705" s="111"/>
      <c r="Y2705" s="111"/>
      <c r="Z2705" s="111"/>
      <c r="AA2705" s="111"/>
    </row>
    <row r="2706" spans="1:32" ht="12.75" customHeight="1">
      <c r="F2706" s="246" t="s">
        <v>4930</v>
      </c>
      <c r="G2706" s="246"/>
      <c r="H2706" s="246"/>
      <c r="I2706" s="246"/>
      <c r="R2706" s="1"/>
      <c r="S2706" s="110"/>
      <c r="T2706" s="110"/>
      <c r="U2706" s="110"/>
      <c r="V2706" s="110"/>
      <c r="W2706" s="110"/>
      <c r="X2706" s="111"/>
      <c r="Y2706" s="111"/>
      <c r="Z2706" s="111"/>
      <c r="AA2706" s="111"/>
    </row>
    <row r="2707" spans="1:32" ht="12.75" customHeight="1">
      <c r="K2707" s="281" t="s">
        <v>1244</v>
      </c>
      <c r="L2707" s="281"/>
      <c r="M2707" s="281"/>
      <c r="N2707" s="281"/>
      <c r="O2707" s="281"/>
      <c r="P2707" s="281"/>
      <c r="R2707" s="1"/>
      <c r="S2707" s="110"/>
      <c r="T2707" s="110"/>
      <c r="U2707" s="110"/>
      <c r="V2707" s="110"/>
      <c r="W2707" s="110"/>
      <c r="X2707" s="111"/>
      <c r="Y2707" s="111"/>
      <c r="Z2707" s="111"/>
      <c r="AA2707" s="111"/>
    </row>
    <row r="2708" spans="1:32" ht="12.75" customHeight="1">
      <c r="A2708" s="12" t="s">
        <v>1229</v>
      </c>
      <c r="B2708" s="11"/>
      <c r="C2708" s="11"/>
      <c r="D2708" s="11" t="str">
        <f>Draw!$B$1</f>
        <v>Enter Division Name</v>
      </c>
      <c r="E2708" s="11"/>
      <c r="F2708" s="7"/>
      <c r="G2708" s="6"/>
      <c r="H2708" s="7"/>
      <c r="I2708" s="11"/>
      <c r="J2708" s="11"/>
      <c r="K2708" s="11"/>
      <c r="L2708" s="11"/>
      <c r="M2708" s="281"/>
      <c r="N2708" s="281"/>
      <c r="O2708" s="281"/>
      <c r="P2708" s="281"/>
      <c r="R2708" s="1"/>
      <c r="S2708" s="110"/>
      <c r="T2708" s="110"/>
      <c r="U2708" s="110"/>
      <c r="V2708" s="110"/>
      <c r="W2708" s="110"/>
      <c r="X2708" s="111"/>
      <c r="Y2708" s="111"/>
      <c r="Z2708" s="111"/>
      <c r="AA2708" s="111"/>
    </row>
    <row r="2709" spans="1:32" ht="12.75" customHeight="1">
      <c r="A2709" s="2" t="s">
        <v>1230</v>
      </c>
      <c r="D2709" s="43" t="str">
        <f>Draw!$D$1</f>
        <v>Enter Hosting Location (City, ST)</v>
      </c>
      <c r="J2709" s="43" t="str">
        <f ca="1">$J$6</f>
        <v>[NCTTA Teams Template (v2.06).xlsx]</v>
      </c>
      <c r="R2709" s="1"/>
      <c r="S2709" s="110"/>
      <c r="T2709" s="110"/>
      <c r="U2709" s="110"/>
      <c r="V2709" s="110"/>
      <c r="W2709" s="110"/>
      <c r="X2709" s="111"/>
      <c r="Y2709" s="111"/>
      <c r="Z2709" s="111"/>
      <c r="AA2709" s="111"/>
    </row>
    <row r="2710" spans="1:32" ht="12.75" customHeight="1">
      <c r="A2710" s="2" t="s">
        <v>1231</v>
      </c>
      <c r="D2710" s="337" t="str">
        <f>Draw!$P$1</f>
        <v>Enter Date</v>
      </c>
      <c r="E2710" s="337"/>
      <c r="F2710" s="337"/>
      <c r="G2710" s="337"/>
      <c r="J2710" s="280" t="str">
        <f>CHOOSE(Draw!$T$1,"Round 9, Match 6","","","","","","","","","","Round 11, Match 4")</f>
        <v/>
      </c>
      <c r="K2710" s="280"/>
      <c r="L2710" s="280"/>
      <c r="M2710" s="276" t="str">
        <f>IF(AND($J2710&lt;&gt;"",Draw!$AC$10&lt;&gt;"",Draw!$AC$13&lt;&gt;""),Draw!$AC$10+TIME(0,VALUE(MID($J2710,7,FIND(",",$J2710)-FIND(" ",$J2710)-1)-1)*Draw!$AC$13,0),"")</f>
        <v/>
      </c>
      <c r="N2710" s="276"/>
      <c r="O2710" s="157" t="str">
        <f>$F2753</f>
        <v>E-L</v>
      </c>
      <c r="R2710" s="1"/>
      <c r="S2710" s="110"/>
      <c r="T2710" s="110"/>
      <c r="U2710" s="110"/>
      <c r="V2710" s="110"/>
      <c r="W2710" s="110"/>
      <c r="X2710" s="111"/>
      <c r="Y2710" s="111"/>
      <c r="Z2710" s="111"/>
      <c r="AA2710" s="111"/>
    </row>
    <row r="2711" spans="1:32" ht="12.75" customHeight="1">
      <c r="A2711" s="14"/>
      <c r="B2711" s="15"/>
      <c r="C2711" s="15"/>
      <c r="D2711" s="15"/>
      <c r="E2711" s="15"/>
      <c r="F2711" s="14"/>
      <c r="G2711" s="14"/>
      <c r="H2711" s="16"/>
      <c r="I2711" s="14"/>
      <c r="J2711" s="15"/>
      <c r="K2711" s="15"/>
      <c r="L2711" s="15"/>
      <c r="M2711" s="15"/>
      <c r="N2711" s="15"/>
      <c r="O2711" s="364" t="str">
        <f>IF(OR(AND(VLOOKUP($B2712,$AM$1:$AX$12,12,FALSE)="C",VLOOKUP($K2712,$AM$1:$AX$12,12,FALSE)="C"),AND(VLOOKUP($B2712,$AM$1:$AX$12,12,FALSE)="W",VLOOKUP($K2712,$AM$1:$AX$12,12,FALSE)="W")),"Official",IF(AND($A2713="",$J2713=""),"","Scrimmage"))</f>
        <v/>
      </c>
      <c r="P2711" s="364"/>
      <c r="R2711" s="1"/>
      <c r="S2711" s="110"/>
      <c r="T2711" s="110"/>
      <c r="U2711" s="110"/>
      <c r="V2711" s="110"/>
      <c r="W2711" s="110"/>
      <c r="X2711" s="111"/>
      <c r="Y2711" s="111"/>
      <c r="Z2711" s="111"/>
      <c r="AA2711" s="111"/>
    </row>
    <row r="2712" spans="1:32" ht="12.75" customHeight="1">
      <c r="A2712" s="17" t="s">
        <v>1228</v>
      </c>
      <c r="B2712" s="119" t="str">
        <f>CHOOSE(Draw!$T$1,"I","D","E","F","G","G","G","G","F","E","E")</f>
        <v>E</v>
      </c>
      <c r="C2712" s="135">
        <f>VLOOKUP($B2712,$AM$1:$AN$12,2)</f>
        <v>5</v>
      </c>
      <c r="D2712" s="13"/>
      <c r="E2712" s="13"/>
      <c r="F2712" s="10"/>
      <c r="H2712" s="19" t="s">
        <v>1232</v>
      </c>
      <c r="J2712" s="17" t="s">
        <v>1228</v>
      </c>
      <c r="K2712" s="119" t="str">
        <f>CHOOSE(Draw!$T$1,"J","L","L","I","J","J","J","J","L","K","K")</f>
        <v>L</v>
      </c>
      <c r="L2712" s="135">
        <f>VLOOKUP($K2712,$AM$1:$AN$12,2)</f>
        <v>12</v>
      </c>
      <c r="M2712" s="13"/>
      <c r="N2712" s="13"/>
      <c r="O2712" s="18"/>
      <c r="P2712" s="274"/>
      <c r="Q2712" s="275"/>
      <c r="R2712" s="1"/>
      <c r="S2712" s="110"/>
      <c r="T2712" s="110"/>
      <c r="U2712" s="110"/>
      <c r="V2712" s="110"/>
      <c r="W2712" s="110"/>
      <c r="X2712" s="111"/>
      <c r="Y2712" s="111"/>
      <c r="Z2712" s="111"/>
      <c r="AA2712" s="111"/>
    </row>
    <row r="2713" spans="1:32" ht="12.75" customHeight="1">
      <c r="A2713" s="277" t="str">
        <f>IF(VLOOKUP($B2712,Draw!$A$4:$B$27,2)&lt;&gt;0,VLOOKUP($B2712,Draw!$A$4:$B$27,2),"")</f>
        <v/>
      </c>
      <c r="B2713" s="278"/>
      <c r="C2713" s="278"/>
      <c r="D2713" s="278"/>
      <c r="E2713" s="278"/>
      <c r="F2713" s="279"/>
      <c r="G2713" s="306" t="s">
        <v>4205</v>
      </c>
      <c r="H2713" s="289"/>
      <c r="I2713" s="307"/>
      <c r="J2713" s="277" t="str">
        <f>IF(VLOOKUP($K2712,Draw!$A$4:$B$27,2)&lt;&gt;0,VLOOKUP($K2712,Draw!$A$4:$B$27,2),"")</f>
        <v/>
      </c>
      <c r="K2713" s="278"/>
      <c r="L2713" s="278"/>
      <c r="M2713" s="278"/>
      <c r="N2713" s="278"/>
      <c r="O2713" s="279"/>
      <c r="P2713" s="15"/>
      <c r="R2713" s="1"/>
      <c r="S2713" s="110"/>
      <c r="T2713" s="110"/>
      <c r="U2713" s="110"/>
      <c r="V2713" s="110"/>
      <c r="W2713" s="110"/>
      <c r="X2713" s="111"/>
      <c r="Y2713" s="111"/>
      <c r="Z2713" s="111"/>
      <c r="AA2713" s="111"/>
    </row>
    <row r="2714" spans="1:32" ht="12.75" customHeight="1">
      <c r="A2714" s="14"/>
      <c r="B2714" s="15"/>
      <c r="C2714" s="15"/>
      <c r="D2714" s="15"/>
      <c r="E2714" s="15"/>
      <c r="F2714" s="14"/>
      <c r="G2714" s="288" t="str">
        <f>"Page "&amp;VALUE(RIGHT($G2713,LEN($G2713)-SEARCH("-",$G2713)))/2</f>
        <v>Page 54</v>
      </c>
      <c r="H2714" s="289"/>
      <c r="I2714" s="289"/>
      <c r="J2714" s="15"/>
      <c r="K2714" s="15"/>
      <c r="L2714" s="15"/>
      <c r="M2714" s="15"/>
      <c r="N2714" s="15"/>
      <c r="O2714" s="15"/>
      <c r="P2714" s="15"/>
      <c r="R2714" s="1"/>
      <c r="S2714" s="110"/>
      <c r="T2714" s="110"/>
      <c r="U2714" s="110"/>
      <c r="V2714" s="110"/>
      <c r="W2714" s="110"/>
      <c r="X2714" s="111"/>
      <c r="Y2714" s="111"/>
      <c r="Z2714" s="111"/>
      <c r="AA2714" s="111"/>
      <c r="AF2714" s="27"/>
    </row>
    <row r="2715" spans="1:32" ht="12.75" customHeight="1">
      <c r="A2715" s="327" t="s">
        <v>1245</v>
      </c>
      <c r="B2715" s="327"/>
      <c r="C2715" s="327"/>
      <c r="D2715" s="327"/>
      <c r="E2715" s="327"/>
      <c r="F2715" s="327"/>
      <c r="G2715" s="327"/>
      <c r="H2715" s="327"/>
      <c r="I2715" s="327"/>
      <c r="J2715" s="327"/>
      <c r="K2715" s="327"/>
      <c r="L2715" s="327"/>
      <c r="M2715" s="327"/>
      <c r="N2715" s="327"/>
      <c r="O2715" s="327"/>
      <c r="P2715" s="327"/>
      <c r="Q2715" s="7"/>
      <c r="R2715" s="1"/>
      <c r="S2715" s="110"/>
      <c r="T2715" s="110"/>
      <c r="U2715" s="110"/>
      <c r="V2715" s="110"/>
      <c r="W2715" s="110"/>
      <c r="X2715" s="111"/>
      <c r="Y2715" s="111"/>
      <c r="Z2715" s="111"/>
      <c r="AA2715" s="111"/>
      <c r="AF2715" s="20"/>
    </row>
    <row r="2716" spans="1:32" ht="12.75" customHeight="1">
      <c r="A2716" s="21" t="s">
        <v>1233</v>
      </c>
      <c r="H2716" s="136" t="str">
        <f>IF($Q2718&lt;&gt;"",IF(AND(AND($H2718&gt;-1,$H2720&gt;-1),OR($H2718&gt;10,$H2720&gt;10),ABS($H2718-$H2720)&gt;1,IF(OR($H2718&gt;11,$H2720&gt;11),ABS($H2718-$H2720)=2,TRUE),$H2718=INT($H2718),$H2720=INT($H2720)),"","Error"),"")</f>
        <v/>
      </c>
      <c r="I2716" s="136" t="str">
        <f>IF($Q2718&lt;&gt;"",IF(AND(AND($I2718&gt;-1,$I2720&gt;-1),OR($I2718&gt;10,$I2720&gt;10),ABS($I2718-$I2720)&gt;1,IF(OR($I2718&gt;11,$I2720&gt;11),ABS($I2718-$I2720)=2,TRUE),$I2718=INT($I2718),$I2720=INT($I2720)),"","Error"),"")</f>
        <v/>
      </c>
      <c r="J2716" s="136" t="str">
        <f>IF($Q2718&lt;&gt;"",IF(AND(AND($J2718&gt;-1,$J2720&gt;-1),OR($J2718&gt;10,$J2720&gt;10),ABS($J2718-$J2720)&gt;1,IF(OR($J2718&gt;11,$J2720&gt;11),ABS($J2718-$J2720)=2,TRUE),$J2718=INT($J2718),$J2720=INT($J2720)),"","Error"),"")</f>
        <v/>
      </c>
      <c r="K2716" s="136" t="str">
        <f>IF($Q2718&lt;&gt;"",IF(AND($K2718&lt;&gt;"",$K2720&lt;&gt;""), IF(AND(AND($K2718&gt;-1,$K2720&gt;-1),OR($K2718&gt;10,$K2720&gt;10),ABS($K2718-$K2720)&gt;1,IF(OR($K2718&gt;11,$K2720&gt;11),ABS($K2718-$K2720)=2,TRUE),$K2718=INT($K2718),$K2720=INT($K2720)),"","Error"),""),"")</f>
        <v/>
      </c>
      <c r="L2716" s="136" t="str">
        <f>IF($Q2718&lt;&gt;"",IF(AND($L2718&lt;&gt;"",$L2720&lt;&gt;""), IF(AND(AND($L2718&gt;-1,$L2720&gt;-1),OR($L2718&gt;10,$L2720&gt;10),ABS($L2718-$L2720)&gt;1,IF(OR($L2718&gt;11,$L2720&gt;11),ABS($L2718-$L2720)=2,TRUE),$L2718=INT($L2718),$L2720=INT($L2720)),"","Error"),""),"")</f>
        <v/>
      </c>
      <c r="R2716" s="1"/>
      <c r="S2716" s="110"/>
      <c r="T2716" s="110"/>
      <c r="U2716" s="110"/>
      <c r="V2716" s="110"/>
      <c r="W2716" s="110"/>
      <c r="X2716" s="111"/>
      <c r="Y2716" s="111"/>
      <c r="Z2716" s="111"/>
      <c r="AA2716" s="111"/>
    </row>
    <row r="2717" spans="1:32" ht="12.75" customHeight="1">
      <c r="A2717" s="5" t="s">
        <v>1228</v>
      </c>
      <c r="B2717" s="290" t="s">
        <v>1126</v>
      </c>
      <c r="C2717" s="291"/>
      <c r="D2717" s="291"/>
      <c r="E2717" s="291"/>
      <c r="F2717" s="291"/>
      <c r="G2717" s="292"/>
      <c r="H2717" s="5">
        <v>1</v>
      </c>
      <c r="I2717" s="5">
        <v>2</v>
      </c>
      <c r="J2717" s="5">
        <v>3</v>
      </c>
      <c r="K2717" s="5">
        <v>4</v>
      </c>
      <c r="L2717" s="5">
        <v>5</v>
      </c>
      <c r="M2717" s="271"/>
      <c r="N2717" s="272"/>
      <c r="O2717" s="272"/>
      <c r="P2717" s="273"/>
      <c r="R2717" s="1"/>
      <c r="S2717" s="110"/>
      <c r="T2717" s="110"/>
      <c r="U2717" s="110"/>
      <c r="V2717" s="110"/>
      <c r="W2717" s="110"/>
      <c r="X2717" s="111"/>
      <c r="Y2717" s="111"/>
      <c r="Z2717" s="111"/>
      <c r="AA2717" s="111"/>
    </row>
    <row r="2718" spans="1:32" ht="12.75" customHeight="1">
      <c r="A2718" s="300" t="str">
        <f>B2712</f>
        <v>E</v>
      </c>
      <c r="B2718" s="293" t="str">
        <f ca="1">IF(AND(OFFSET($AO$1,$C2712-1,8,1,1),$A2713&lt;&gt;"",$J2713&lt;&gt;""),CHOOSE($C2712,$AO$1,$AO$2,$AO$3,$AO$4,$AO$5,$AO$6,$AO$7,$AO$8,$AO$9,$AO$10,$AO$11,$AO$12),"")</f>
        <v/>
      </c>
      <c r="C2718" s="294"/>
      <c r="D2718" s="294"/>
      <c r="E2718" s="294"/>
      <c r="F2718" s="294"/>
      <c r="G2718" s="294"/>
      <c r="H2718" s="265"/>
      <c r="I2718" s="265"/>
      <c r="J2718" s="265"/>
      <c r="K2718" s="265"/>
      <c r="L2718" s="265"/>
      <c r="M2718" s="297"/>
      <c r="N2718" s="298"/>
      <c r="O2718" s="298"/>
      <c r="P2718" s="299"/>
      <c r="Q2718" s="137" t="str">
        <f>IF($L2718=$L2720,IF($K2718=$K2720,IF($J2718&lt;&gt;"",IF($J2718&gt;$J2720,"W","L"),""),IF($K2718&gt;$K2720,"W","L")),IF($L2718&gt;$L2720,"W","L"))</f>
        <v/>
      </c>
      <c r="R2718" s="1"/>
      <c r="S2718" s="110"/>
      <c r="T2718" s="110"/>
      <c r="U2718" s="110"/>
      <c r="V2718" s="110"/>
      <c r="W2718" s="110"/>
      <c r="X2718" s="111"/>
      <c r="Y2718" s="111"/>
      <c r="Z2718" s="111"/>
      <c r="AA2718" s="111"/>
    </row>
    <row r="2719" spans="1:32" ht="12.75" customHeight="1">
      <c r="A2719" s="301"/>
      <c r="B2719" s="295"/>
      <c r="C2719" s="296"/>
      <c r="D2719" s="296"/>
      <c r="E2719" s="296"/>
      <c r="F2719" s="296"/>
      <c r="G2719" s="296"/>
      <c r="H2719" s="270"/>
      <c r="I2719" s="270"/>
      <c r="J2719" s="270"/>
      <c r="K2719" s="270"/>
      <c r="L2719" s="270"/>
      <c r="M2719" s="297"/>
      <c r="N2719" s="298"/>
      <c r="O2719" s="298"/>
      <c r="P2719" s="299"/>
      <c r="Q2719" s="139" t="str">
        <f>IF($Q2718&lt;&gt;"",IF($Q2718="W",IF(SUM(IF($H2718&gt;$H2720,1,0),IF($I2718&gt;$I2720,1,0),IF($J2718&gt;$J2720,1,0),IF($K2718&gt;$K2720,1,0),IF($L2718&gt;$L2720,1,0))&lt;&gt;3,"Error",""),""),"")</f>
        <v/>
      </c>
      <c r="R2719" s="328" t="str">
        <f>$A2713</f>
        <v/>
      </c>
      <c r="S2719" s="328"/>
      <c r="T2719" s="328"/>
      <c r="U2719" s="328"/>
      <c r="V2719" s="328"/>
      <c r="W2719" s="328"/>
      <c r="X2719" s="256" t="str">
        <f>CONCATENATE("(",$B2712," vs ",$K2712,")")</f>
        <v>(E vs L)</v>
      </c>
      <c r="Y2719" s="256"/>
      <c r="Z2719" s="328" t="str">
        <f>$J2713</f>
        <v/>
      </c>
      <c r="AA2719" s="328"/>
      <c r="AB2719" s="328"/>
      <c r="AC2719" s="328"/>
      <c r="AD2719" s="328"/>
      <c r="AE2719" s="328"/>
      <c r="AF2719" s="43"/>
    </row>
    <row r="2720" spans="1:32" ht="12.75" customHeight="1">
      <c r="A2720" s="300" t="str">
        <f>K2712</f>
        <v>L</v>
      </c>
      <c r="B2720" s="293" t="str">
        <f ca="1">IF(AND(OFFSET($AO$1,$L2712-1,8,1,1),$A2713&lt;&gt;"",$J2713&lt;&gt;""),CHOOSE($L2712,$AO$1,$AO$2,$AO$3,$AO$4,$AO$5,$AO$6,$AO$7,$AO$8,$AO$9,$AO$10,$AO$11,$AO$12),"")</f>
        <v/>
      </c>
      <c r="C2720" s="294"/>
      <c r="D2720" s="294"/>
      <c r="E2720" s="294"/>
      <c r="F2720" s="294"/>
      <c r="G2720" s="294"/>
      <c r="H2720" s="265"/>
      <c r="I2720" s="265"/>
      <c r="J2720" s="265"/>
      <c r="K2720" s="265"/>
      <c r="L2720" s="265"/>
      <c r="M2720" s="267" t="s">
        <v>1237</v>
      </c>
      <c r="N2720" s="268"/>
      <c r="O2720" s="268"/>
      <c r="P2720" s="269"/>
      <c r="Q2720" s="137" t="str">
        <f>IF($Q2718&lt;&gt;"",IF($Q2718="W","L","W"),"")</f>
        <v/>
      </c>
      <c r="R2720" s="43"/>
      <c r="S2720" s="43"/>
      <c r="T2720" s="43"/>
      <c r="U2720" s="43"/>
      <c r="V2720" s="43"/>
      <c r="W2720" s="43"/>
      <c r="X2720" s="43"/>
      <c r="Y2720" s="43"/>
      <c r="Z2720" s="43"/>
      <c r="AA2720" s="43"/>
      <c r="AB2720" s="43"/>
      <c r="AC2720" s="43"/>
      <c r="AD2720" s="43"/>
      <c r="AE2720" s="43"/>
      <c r="AF2720" s="43"/>
    </row>
    <row r="2721" spans="1:32" ht="12.75" customHeight="1">
      <c r="A2721" s="301"/>
      <c r="B2721" s="295"/>
      <c r="C2721" s="296"/>
      <c r="D2721" s="296"/>
      <c r="E2721" s="296"/>
      <c r="F2721" s="296"/>
      <c r="G2721" s="296"/>
      <c r="H2721" s="270"/>
      <c r="I2721" s="270"/>
      <c r="J2721" s="266"/>
      <c r="K2721" s="266"/>
      <c r="L2721" s="266"/>
      <c r="M2721" s="267"/>
      <c r="N2721" s="268"/>
      <c r="O2721" s="268"/>
      <c r="P2721" s="269"/>
      <c r="Q2721" s="139" t="str">
        <f>IF($Q2720&lt;&gt;"",IF($Q2720="W",IF(SUM(IF($H2720&gt;$H2718,1,0),IF($I2720&gt;$I2718,1,0),IF($J2720&gt;$J2718,1,0),IF($K2720&gt;$K2718,1,0),IF($L2720&gt;$L2718,1,0))&lt;&gt;3,"Error",""),""),"")</f>
        <v/>
      </c>
      <c r="R2721" s="43" t="str">
        <f>$A2723</f>
        <v>2nd Singles</v>
      </c>
      <c r="S2721" s="43"/>
      <c r="T2721" s="43"/>
      <c r="U2721" s="43"/>
      <c r="V2721" s="43"/>
      <c r="W2721" s="43"/>
      <c r="X2721" s="43"/>
      <c r="Y2721" s="43"/>
      <c r="Z2721" s="43"/>
      <c r="AA2721" s="43"/>
      <c r="AB2721" s="43"/>
      <c r="AC2721" s="43"/>
      <c r="AD2721" s="43"/>
      <c r="AE2721" s="43"/>
      <c r="AF2721" s="43"/>
    </row>
    <row r="2722" spans="1:32" ht="12.75" customHeight="1">
      <c r="Q2722" s="7"/>
      <c r="R2722" s="60" t="s">
        <v>1228</v>
      </c>
      <c r="S2722" s="339" t="s">
        <v>1126</v>
      </c>
      <c r="T2722" s="340"/>
      <c r="U2722" s="340"/>
      <c r="V2722" s="340"/>
      <c r="W2722" s="340"/>
      <c r="X2722" s="341"/>
      <c r="Y2722" s="60">
        <v>1</v>
      </c>
      <c r="Z2722" s="60">
        <v>2</v>
      </c>
      <c r="AA2722" s="60">
        <v>3</v>
      </c>
      <c r="AB2722" s="60">
        <v>4</v>
      </c>
      <c r="AC2722" s="60">
        <v>5</v>
      </c>
      <c r="AD2722" s="342"/>
      <c r="AE2722" s="343"/>
      <c r="AF2722" s="344"/>
    </row>
    <row r="2723" spans="1:32" ht="12.75" customHeight="1">
      <c r="A2723" s="21" t="s">
        <v>1234</v>
      </c>
      <c r="H2723" s="136" t="str">
        <f>IF($Q2725&lt;&gt;"",IF(AND(AND($H2725&gt;-1,$H2727&gt;-1),OR($H2725&gt;10,$H2727&gt;10),ABS($H2725-$H2727)&gt;1,IF(OR($H2725&gt;11,$H2727&gt;11),ABS($H2725-$H2727)=2,TRUE),$H2725=INT($H2725),$H2727=INT($H2727)),"","Error"),"")</f>
        <v/>
      </c>
      <c r="I2723" s="136" t="str">
        <f>IF($Q2725&lt;&gt;"",IF(AND(AND($I2725&gt;-1,$I2727&gt;-1),OR($I2725&gt;10,$I2727&gt;10),ABS($I2725-$I2727)&gt;1,IF(OR($I2725&gt;11,$I2727&gt;11),ABS($I2725-$I2727)=2,TRUE),$I2725=INT($I2725),$I2727=INT($I2727)),"","Error"),"")</f>
        <v/>
      </c>
      <c r="J2723" s="136" t="str">
        <f>IF($Q2725&lt;&gt;"",IF(AND(AND($J2725&gt;-1,$J2727&gt;-1),OR($J2725&gt;10,$J2727&gt;10),ABS($J2725-$J2727)&gt;1,IF(OR($J2725&gt;11,$J2727&gt;11),ABS($J2725-$J2727)=2,TRUE),$J2725=INT($J2725),$J2727=INT($J2727)),"","Error"),"")</f>
        <v/>
      </c>
      <c r="K2723" s="136" t="str">
        <f>IF($Q2725&lt;&gt;"",IF(AND($K2725&lt;&gt;"",$K2727&lt;&gt;""), IF(AND(AND($K2725&gt;-1,$K2727&gt;-1),OR($K2725&gt;10,$K2727&gt;10),ABS($K2725-$K2727)&gt;1,IF(OR($K2725&gt;11,$K2727&gt;11),ABS($K2725-$K2727)=2,TRUE),$K2725=INT($K2725),$K2727=INT($K2727)),"","Error"),""),"")</f>
        <v/>
      </c>
      <c r="L2723" s="136" t="str">
        <f>IF($Q2725&lt;&gt;"",IF(AND($L2725&lt;&gt;"",$L2727&lt;&gt;""), IF(AND(AND($L2725&gt;-1,$L2727&gt;-1),OR($L2725&gt;10,$L2727&gt;10),ABS($L2725-$L2727)&gt;1,IF(OR($L2725&gt;11,$L2727&gt;11),ABS($L2725-$L2727)=2,TRUE),$L2725=INT($L2725),$L2727=INT($L2727)),"","Error"),""),"")</f>
        <v/>
      </c>
      <c r="Q2723" s="7"/>
      <c r="R2723" s="300" t="str">
        <f>$B2712</f>
        <v>E</v>
      </c>
      <c r="S2723" s="331" t="str">
        <f ca="1">IF($B2725&lt;&gt;"",$B2725,"")</f>
        <v/>
      </c>
      <c r="T2723" s="332"/>
      <c r="U2723" s="332"/>
      <c r="V2723" s="332"/>
      <c r="W2723" s="332"/>
      <c r="X2723" s="333"/>
      <c r="Y2723" s="329"/>
      <c r="Z2723" s="329"/>
      <c r="AA2723" s="329"/>
      <c r="AB2723" s="329"/>
      <c r="AC2723" s="329"/>
      <c r="AD2723" s="345"/>
      <c r="AE2723" s="358"/>
      <c r="AF2723" s="359"/>
    </row>
    <row r="2724" spans="1:32" ht="12.75" customHeight="1">
      <c r="A2724" s="5" t="s">
        <v>1228</v>
      </c>
      <c r="B2724" s="290" t="s">
        <v>1126</v>
      </c>
      <c r="C2724" s="291"/>
      <c r="D2724" s="291"/>
      <c r="E2724" s="291"/>
      <c r="F2724" s="291"/>
      <c r="G2724" s="292"/>
      <c r="H2724" s="5">
        <v>1</v>
      </c>
      <c r="I2724" s="5">
        <v>2</v>
      </c>
      <c r="J2724" s="5">
        <v>3</v>
      </c>
      <c r="K2724" s="5">
        <v>4</v>
      </c>
      <c r="L2724" s="5">
        <v>5</v>
      </c>
      <c r="M2724" s="271"/>
      <c r="N2724" s="272"/>
      <c r="O2724" s="272"/>
      <c r="P2724" s="273"/>
      <c r="Q2724" s="7"/>
      <c r="R2724" s="330"/>
      <c r="S2724" s="334"/>
      <c r="T2724" s="335"/>
      <c r="U2724" s="335"/>
      <c r="V2724" s="335"/>
      <c r="W2724" s="335"/>
      <c r="X2724" s="336"/>
      <c r="Y2724" s="330"/>
      <c r="Z2724" s="330"/>
      <c r="AA2724" s="330"/>
      <c r="AB2724" s="330"/>
      <c r="AC2724" s="330"/>
      <c r="AD2724" s="360"/>
      <c r="AE2724" s="361"/>
      <c r="AF2724" s="362"/>
    </row>
    <row r="2725" spans="1:32" ht="12.75" customHeight="1">
      <c r="A2725" s="300" t="str">
        <f>B2712</f>
        <v>E</v>
      </c>
      <c r="B2725" s="293" t="str">
        <f ca="1">IF(AND(OFFSET($AO$1,$C2712-1,8,1,1),$A2713&lt;&gt;"",$J2713&lt;&gt;""),CHOOSE($C2712,$AP$1,$AP$2,$AP$3,$AP$4,$AP$5,$AP$6,$AP$7,$AP$8,$AP$9,$AP$10,$AP$11,$AP$12),"")</f>
        <v/>
      </c>
      <c r="C2725" s="294"/>
      <c r="D2725" s="294"/>
      <c r="E2725" s="294"/>
      <c r="F2725" s="294"/>
      <c r="G2725" s="294"/>
      <c r="H2725" s="265"/>
      <c r="I2725" s="265"/>
      <c r="J2725" s="265"/>
      <c r="K2725" s="265"/>
      <c r="L2725" s="265"/>
      <c r="M2725" s="262" t="str">
        <f ca="1">IF(OR(AND($B2718&lt;&gt;"",$B2725&lt;&gt;"",$C2743&lt;=$B2743),AND($B2720&lt;&gt;"",$B2727&lt;&gt;"",$G2743&lt;=$F2743)),"Invalid Lineup","")</f>
        <v/>
      </c>
      <c r="N2725" s="263"/>
      <c r="O2725" s="263"/>
      <c r="P2725" s="264"/>
      <c r="Q2725" s="137" t="str">
        <f>IF($L2725=$L2727,IF($K2725=$K2727,IF($J2725&lt;&gt;"",IF($J2725&gt;$J2727,"W","L"),""),IF($K2725&gt;$K2727,"W","L")),IF($L2725&gt;$L2727,"W","L"))</f>
        <v/>
      </c>
      <c r="R2725" s="300" t="str">
        <f>$K2712</f>
        <v>L</v>
      </c>
      <c r="S2725" s="331" t="str">
        <f ca="1">IF($B2727&lt;&gt;"",$B2727,"")</f>
        <v/>
      </c>
      <c r="T2725" s="332"/>
      <c r="U2725" s="332"/>
      <c r="V2725" s="332"/>
      <c r="W2725" s="332"/>
      <c r="X2725" s="333"/>
      <c r="Y2725" s="329"/>
      <c r="Z2725" s="329"/>
      <c r="AA2725" s="329"/>
      <c r="AB2725" s="329"/>
      <c r="AC2725" s="351"/>
      <c r="AD2725" s="363" t="s">
        <v>1237</v>
      </c>
      <c r="AE2725" s="358"/>
      <c r="AF2725" s="359"/>
    </row>
    <row r="2726" spans="1:32" ht="12.75" customHeight="1">
      <c r="A2726" s="301"/>
      <c r="B2726" s="295"/>
      <c r="C2726" s="296"/>
      <c r="D2726" s="296"/>
      <c r="E2726" s="296"/>
      <c r="F2726" s="296"/>
      <c r="G2726" s="296"/>
      <c r="H2726" s="270"/>
      <c r="I2726" s="270"/>
      <c r="J2726" s="270"/>
      <c r="K2726" s="270"/>
      <c r="L2726" s="270"/>
      <c r="M2726" s="262"/>
      <c r="N2726" s="263"/>
      <c r="O2726" s="263"/>
      <c r="P2726" s="264"/>
      <c r="Q2726" s="139" t="str">
        <f>IF($Q2725&lt;&gt;"",IF($Q2725="W",IF(SUM(IF($H2725&gt;$H2727,1,0),IF($I2725&gt;$I2727,1,0),IF($J2725&gt;$J2727,1,0),IF($K2725&gt;$K2727,1,0),IF($L2725&gt;$L2727,1,0))&lt;&gt;3,"Error",""),""),"")</f>
        <v/>
      </c>
      <c r="R2726" s="330"/>
      <c r="S2726" s="334"/>
      <c r="T2726" s="335"/>
      <c r="U2726" s="335"/>
      <c r="V2726" s="335"/>
      <c r="W2726" s="335"/>
      <c r="X2726" s="336"/>
      <c r="Y2726" s="330"/>
      <c r="Z2726" s="330"/>
      <c r="AA2726" s="330"/>
      <c r="AB2726" s="330"/>
      <c r="AC2726" s="330"/>
      <c r="AD2726" s="360"/>
      <c r="AE2726" s="361"/>
      <c r="AF2726" s="362"/>
    </row>
    <row r="2727" spans="1:32" ht="12.75" customHeight="1">
      <c r="A2727" s="300" t="str">
        <f>K2712</f>
        <v>L</v>
      </c>
      <c r="B2727" s="293" t="str">
        <f ca="1">IF(AND(OFFSET($AO$1,$L2712-1,8,1,1),$A2713&lt;&gt;"",$J2713&lt;&gt;""),CHOOSE($L2712,$AP$1,$AP$2,$AP$3,$AP$4,$AP$5,$AP$6,$AP$7,$AP$8,$AP$9,$AP$10,$AP$11,$AP$12),"")</f>
        <v/>
      </c>
      <c r="C2727" s="294"/>
      <c r="D2727" s="294"/>
      <c r="E2727" s="294"/>
      <c r="F2727" s="294"/>
      <c r="G2727" s="294"/>
      <c r="H2727" s="265"/>
      <c r="I2727" s="265"/>
      <c r="J2727" s="265"/>
      <c r="K2727" s="265"/>
      <c r="L2727" s="265"/>
      <c r="M2727" s="267" t="s">
        <v>1237</v>
      </c>
      <c r="N2727" s="268"/>
      <c r="O2727" s="268"/>
      <c r="P2727" s="269"/>
      <c r="Q2727" s="137" t="str">
        <f>IF($Q2725&lt;&gt;"",IF($Q2725="W","L","W"),"")</f>
        <v/>
      </c>
      <c r="R2727" s="20"/>
      <c r="S2727" s="20"/>
      <c r="T2727" s="20"/>
      <c r="U2727" s="20"/>
      <c r="V2727" s="20"/>
      <c r="W2727" s="20"/>
      <c r="X2727" s="26"/>
      <c r="Y2727" s="26"/>
      <c r="Z2727" s="20"/>
      <c r="AA2727" s="20"/>
      <c r="AB2727" s="20"/>
      <c r="AC2727" s="20"/>
      <c r="AD2727" s="20"/>
      <c r="AE2727" s="20"/>
      <c r="AF2727" s="27"/>
    </row>
    <row r="2728" spans="1:32" ht="12.75" customHeight="1">
      <c r="A2728" s="301"/>
      <c r="B2728" s="295"/>
      <c r="C2728" s="296"/>
      <c r="D2728" s="296"/>
      <c r="E2728" s="296"/>
      <c r="F2728" s="296"/>
      <c r="G2728" s="296"/>
      <c r="H2728" s="270"/>
      <c r="I2728" s="270"/>
      <c r="J2728" s="266"/>
      <c r="K2728" s="266"/>
      <c r="L2728" s="266"/>
      <c r="M2728" s="267"/>
      <c r="N2728" s="268"/>
      <c r="O2728" s="268"/>
      <c r="P2728" s="269"/>
      <c r="Q2728" s="139" t="str">
        <f>IF($Q2727&lt;&gt;"",IF($Q2727="W",IF(SUM(IF($H2727&gt;$H2725,1,0),IF($I2727&gt;$I2725,1,0),IF($J2727&gt;$J2725,1,0),IF($K2727&gt;$K2725,1,0),IF($L2727&gt;$L2725,1,0))&lt;&gt;3,"Error",""),""),"")</f>
        <v/>
      </c>
      <c r="R2728" s="20"/>
      <c r="S2728" s="20"/>
      <c r="T2728" s="20"/>
      <c r="U2728" s="20"/>
      <c r="V2728" s="20"/>
      <c r="W2728" s="20"/>
      <c r="X2728" s="26"/>
      <c r="Y2728" s="26"/>
      <c r="Z2728" s="20"/>
      <c r="AA2728" s="20"/>
      <c r="AB2728" s="20"/>
      <c r="AC2728" s="20"/>
      <c r="AD2728" s="20"/>
      <c r="AE2728" s="20"/>
      <c r="AF2728" s="27"/>
    </row>
    <row r="2729" spans="1:32" ht="12.75" customHeight="1">
      <c r="Q2729" s="7"/>
      <c r="R2729" s="20"/>
      <c r="S2729" s="20"/>
      <c r="T2729" s="20"/>
      <c r="U2729" s="20"/>
      <c r="V2729" s="20"/>
      <c r="W2729" s="20"/>
      <c r="X2729" s="26"/>
      <c r="Y2729" s="26"/>
      <c r="Z2729" s="20"/>
      <c r="AA2729" s="20"/>
      <c r="AB2729" s="20"/>
      <c r="AC2729" s="20"/>
      <c r="AD2729" s="20"/>
      <c r="AE2729" s="20"/>
      <c r="AF2729" s="27"/>
    </row>
    <row r="2730" spans="1:32" ht="12.75" customHeight="1">
      <c r="A2730" s="21" t="s">
        <v>1235</v>
      </c>
      <c r="H2730" s="136" t="str">
        <f>IF($Q2732&lt;&gt;"",IF(AND(AND($H2732&gt;-1,$H2734&gt;-1),OR($H2732&gt;10,$H2734&gt;10),ABS($H2732-$H2734)&gt;1,IF(OR($H2732&gt;11,$H2734&gt;11),ABS($H2732-$H2734)=2,TRUE),$H2732=INT($H2732),$H2734=INT($H2734)),"","Error"),"")</f>
        <v/>
      </c>
      <c r="I2730" s="136" t="str">
        <f>IF($Q2732&lt;&gt;"",IF(AND(AND($I2732&gt;-1,$I2734&gt;-1),OR($I2732&gt;10,$I2734&gt;10),ABS($I2732-$I2734)&gt;1,IF(OR($I2732&gt;11,$I2734&gt;11),ABS($I2732-$I2734)=2,TRUE),$I2732=INT($I2732),$I2734=INT($I2734)),"","Error"),"")</f>
        <v/>
      </c>
      <c r="J2730" s="136" t="str">
        <f>IF($Q2732&lt;&gt;"",IF(AND(AND($J2732&gt;-1,$J2734&gt;-1),OR($J2732&gt;10,$J2734&gt;10),ABS($J2732-$J2734)&gt;1,IF(OR($J2732&gt;11,$J2734&gt;11),ABS($J2732-$J2734)=2,TRUE),$J2732=INT($J2732),$J2734=INT($J2734)),"","Error"),"")</f>
        <v/>
      </c>
      <c r="K2730" s="136" t="str">
        <f>IF($Q2732&lt;&gt;"",IF(AND($K2732&lt;&gt;"",$K2734&lt;&gt;""), IF(AND(AND($K2732&gt;-1,$K2734&gt;-1),OR($K2732&gt;10,$K2734&gt;10),ABS($K2732-$K2734)&gt;1,IF(OR($K2732&gt;11,$K2734&gt;11),ABS($K2732-$K2734)=2,TRUE),$K2732=INT($K2732),$K2734=INT($K2734)),"","Error"),""),"")</f>
        <v/>
      </c>
      <c r="L2730" s="136" t="str">
        <f>IF($Q2732&lt;&gt;"",IF(AND($L2732&lt;&gt;"",$L2734&lt;&gt;""), IF(AND(AND($L2732&gt;-1,$L2734&gt;-1),OR($L2732&gt;10,$L2734&gt;10),ABS($L2732-$L2734)&gt;1,IF(OR($L2732&gt;11,$L2734&gt;11),ABS($L2732-$L2734)=2,TRUE),$L2732=INT($L2732),$L2734=INT($L2734)),"","Error"),""),"")</f>
        <v/>
      </c>
      <c r="Q2730" s="7"/>
      <c r="R2730" s="20"/>
      <c r="S2730" s="20"/>
      <c r="T2730" s="20"/>
      <c r="U2730" s="20"/>
      <c r="V2730" s="20"/>
      <c r="W2730" s="20"/>
      <c r="X2730" s="26"/>
      <c r="Y2730" s="26"/>
      <c r="Z2730" s="20"/>
      <c r="AA2730" s="20"/>
      <c r="AB2730" s="20"/>
      <c r="AC2730" s="20"/>
      <c r="AD2730" s="20"/>
      <c r="AE2730" s="20"/>
      <c r="AF2730" s="27"/>
    </row>
    <row r="2731" spans="1:32" ht="12.75" customHeight="1">
      <c r="A2731" s="5" t="s">
        <v>1228</v>
      </c>
      <c r="B2731" s="290" t="s">
        <v>1126</v>
      </c>
      <c r="C2731" s="291"/>
      <c r="D2731" s="291"/>
      <c r="E2731" s="291"/>
      <c r="F2731" s="291"/>
      <c r="G2731" s="292"/>
      <c r="H2731" s="5">
        <v>1</v>
      </c>
      <c r="I2731" s="5">
        <v>2</v>
      </c>
      <c r="J2731" s="5">
        <v>3</v>
      </c>
      <c r="K2731" s="5">
        <v>4</v>
      </c>
      <c r="L2731" s="5">
        <v>5</v>
      </c>
      <c r="M2731" s="271"/>
      <c r="N2731" s="272"/>
      <c r="O2731" s="272"/>
      <c r="P2731" s="273"/>
      <c r="Q2731" s="7"/>
      <c r="R2731" s="20"/>
      <c r="S2731" s="20"/>
      <c r="T2731" s="20"/>
      <c r="U2731" s="20"/>
      <c r="V2731" s="20"/>
      <c r="W2731" s="20"/>
      <c r="X2731" s="26"/>
      <c r="Y2731" s="26"/>
      <c r="Z2731" s="20"/>
      <c r="AA2731" s="20"/>
      <c r="AB2731" s="20"/>
      <c r="AC2731" s="20"/>
      <c r="AD2731" s="20"/>
      <c r="AE2731" s="20"/>
      <c r="AF2731" s="27"/>
    </row>
    <row r="2732" spans="1:32" ht="12.75" customHeight="1">
      <c r="A2732" s="300" t="str">
        <f>B2712</f>
        <v>E</v>
      </c>
      <c r="B2732" s="293" t="str">
        <f ca="1">IF(AND(OFFSET($AO$1,$C2712-1,8,1,1),$A2713&lt;&gt;"",$J2713&lt;&gt;""),CHOOSE($C2712,$AQ$1,$AQ$2,$AQ$3,$AQ$4,$AQ$5,$AQ$6,$AQ$7,$AQ$8,$AQ$9,$AQ$10,$AQ$11,$AQ$12),"")</f>
        <v/>
      </c>
      <c r="C2732" s="294"/>
      <c r="D2732" s="294"/>
      <c r="E2732" s="294"/>
      <c r="F2732" s="294"/>
      <c r="G2732" s="294"/>
      <c r="H2732" s="265"/>
      <c r="I2732" s="265"/>
      <c r="J2732" s="265"/>
      <c r="K2732" s="265"/>
      <c r="L2732" s="265"/>
      <c r="M2732" s="262" t="str">
        <f ca="1">IF(OR(AND($B2725&lt;&gt;"",$B2732&lt;&gt;"",$D2743&lt;=$C2743),AND($B2727&lt;&gt;"",$B2734&lt;&gt;"",$H2743&lt;=$G2743)),"Invalid Lineup","")</f>
        <v/>
      </c>
      <c r="N2732" s="263"/>
      <c r="O2732" s="263"/>
      <c r="P2732" s="264"/>
      <c r="Q2732" s="137" t="str">
        <f>IF($L2732=$L2734,IF($K2732=$K2734,IF($J2732&lt;&gt;"",IF($J2732&gt;$J2734,"W","L"),""),IF($K2732&gt;$K2734,"W","L")),IF($L2732&gt;$L2734,"W","L"))</f>
        <v/>
      </c>
      <c r="R2732" s="20"/>
      <c r="S2732" s="20"/>
      <c r="T2732" s="20"/>
      <c r="U2732" s="20"/>
      <c r="V2732" s="20"/>
      <c r="W2732" s="20"/>
      <c r="X2732" s="26"/>
      <c r="Y2732" s="26"/>
      <c r="Z2732" s="20"/>
      <c r="AA2732" s="20"/>
      <c r="AB2732" s="20"/>
      <c r="AC2732" s="20"/>
      <c r="AD2732" s="20"/>
      <c r="AE2732" s="20"/>
      <c r="AF2732" s="27"/>
    </row>
    <row r="2733" spans="1:32" ht="12.75" customHeight="1">
      <c r="A2733" s="301"/>
      <c r="B2733" s="295"/>
      <c r="C2733" s="296"/>
      <c r="D2733" s="296"/>
      <c r="E2733" s="296"/>
      <c r="F2733" s="296"/>
      <c r="G2733" s="296"/>
      <c r="H2733" s="270"/>
      <c r="I2733" s="270"/>
      <c r="J2733" s="270"/>
      <c r="K2733" s="270"/>
      <c r="L2733" s="270"/>
      <c r="M2733" s="262"/>
      <c r="N2733" s="263"/>
      <c r="O2733" s="263"/>
      <c r="P2733" s="264"/>
      <c r="Q2733" s="139" t="str">
        <f>IF($Q2732&lt;&gt;"",IF($Q2732="W",IF(SUM(IF($H2732&gt;$H2734,1,0),IF($I2732&gt;$I2734,1,0),IF($J2732&gt;$J2734,1,0),IF($K2732&gt;$K2734,1,0),IF($L2732&gt;$L2734,1,0))&lt;&gt;3,"Error",""),""),"")</f>
        <v/>
      </c>
      <c r="R2733" s="328" t="str">
        <f>$A2713</f>
        <v/>
      </c>
      <c r="S2733" s="328"/>
      <c r="T2733" s="328"/>
      <c r="U2733" s="328"/>
      <c r="V2733" s="328"/>
      <c r="W2733" s="328"/>
      <c r="X2733" s="256" t="str">
        <f>CONCATENATE("(",$B2712," vs ",$K2712,")")</f>
        <v>(E vs L)</v>
      </c>
      <c r="Y2733" s="256"/>
      <c r="Z2733" s="328" t="str">
        <f>$J2713</f>
        <v/>
      </c>
      <c r="AA2733" s="328"/>
      <c r="AB2733" s="328"/>
      <c r="AC2733" s="328"/>
      <c r="AD2733" s="328"/>
      <c r="AE2733" s="328"/>
      <c r="AF2733" s="100"/>
    </row>
    <row r="2734" spans="1:32" ht="12.75" customHeight="1">
      <c r="A2734" s="300" t="str">
        <f>K2712</f>
        <v>L</v>
      </c>
      <c r="B2734" s="293" t="str">
        <f ca="1">IF(AND(OFFSET($AO$1,$L2712-1,8,1,1),$A2713&lt;&gt;"",$J2713&lt;&gt;""),CHOOSE($L2712,$AQ$1,$AQ$2,$AQ$3,$AQ$4,$AQ$5,$AQ$6,$AQ$7,$AQ$8,$AQ$9,$AQ$10,$AQ$11,$AQ$12),"")</f>
        <v/>
      </c>
      <c r="C2734" s="294"/>
      <c r="D2734" s="294"/>
      <c r="E2734" s="294"/>
      <c r="F2734" s="294"/>
      <c r="G2734" s="294"/>
      <c r="H2734" s="265"/>
      <c r="I2734" s="265"/>
      <c r="J2734" s="265"/>
      <c r="K2734" s="265"/>
      <c r="L2734" s="265"/>
      <c r="M2734" s="267" t="s">
        <v>1237</v>
      </c>
      <c r="N2734" s="268"/>
      <c r="O2734" s="268"/>
      <c r="P2734" s="269"/>
      <c r="Q2734" s="137" t="str">
        <f>IF($Q2732&lt;&gt;"",IF($Q2732="W","L","W"),"")</f>
        <v/>
      </c>
      <c r="R2734" s="100"/>
      <c r="S2734" s="100"/>
      <c r="T2734" s="100"/>
      <c r="U2734" s="100"/>
      <c r="V2734" s="100"/>
      <c r="W2734" s="100"/>
      <c r="X2734" s="100"/>
      <c r="Y2734" s="100"/>
      <c r="Z2734" s="100"/>
      <c r="AA2734" s="100"/>
      <c r="AB2734" s="100"/>
      <c r="AC2734" s="100"/>
      <c r="AD2734" s="100"/>
      <c r="AE2734" s="100"/>
      <c r="AF2734" s="100"/>
    </row>
    <row r="2735" spans="1:32" ht="12.75" customHeight="1">
      <c r="A2735" s="301"/>
      <c r="B2735" s="295"/>
      <c r="C2735" s="296"/>
      <c r="D2735" s="296"/>
      <c r="E2735" s="296"/>
      <c r="F2735" s="296"/>
      <c r="G2735" s="296"/>
      <c r="H2735" s="270"/>
      <c r="I2735" s="270"/>
      <c r="J2735" s="266"/>
      <c r="K2735" s="266"/>
      <c r="L2735" s="266"/>
      <c r="M2735" s="267"/>
      <c r="N2735" s="268"/>
      <c r="O2735" s="268"/>
      <c r="P2735" s="269"/>
      <c r="Q2735" s="139" t="str">
        <f>IF($Q2734&lt;&gt;"",IF($Q2734="W",IF(SUM(IF($H2734&gt;$H2732,1,0),IF($I2734&gt;$I2732,1,0),IF($J2734&gt;$J2732,1,0),IF($K2734&gt;$K2732,1,0),IF($L2734&gt;$L2732,1,0))&lt;&gt;3,"Error",""),""),"")</f>
        <v/>
      </c>
      <c r="R2735" s="43" t="str">
        <f>$A2730</f>
        <v>3rd Singles</v>
      </c>
      <c r="S2735" s="43"/>
      <c r="T2735" s="43"/>
      <c r="U2735" s="43"/>
      <c r="V2735" s="43"/>
      <c r="W2735" s="43"/>
      <c r="X2735" s="43"/>
      <c r="Y2735" s="43"/>
      <c r="Z2735" s="43"/>
      <c r="AA2735" s="43"/>
      <c r="AB2735" s="43"/>
      <c r="AC2735" s="43"/>
      <c r="AD2735" s="43"/>
      <c r="AE2735" s="43"/>
      <c r="AF2735" s="43"/>
    </row>
    <row r="2736" spans="1:32" ht="12.75" customHeight="1">
      <c r="Q2736" s="7"/>
      <c r="R2736" s="60" t="s">
        <v>1228</v>
      </c>
      <c r="S2736" s="101" t="s">
        <v>1126</v>
      </c>
      <c r="T2736" s="102"/>
      <c r="U2736" s="102"/>
      <c r="V2736" s="102"/>
      <c r="W2736" s="102"/>
      <c r="X2736" s="103"/>
      <c r="Y2736" s="60">
        <v>1</v>
      </c>
      <c r="Z2736" s="60">
        <v>2</v>
      </c>
      <c r="AA2736" s="60">
        <v>3</v>
      </c>
      <c r="AB2736" s="60">
        <v>4</v>
      </c>
      <c r="AC2736" s="60">
        <v>5</v>
      </c>
      <c r="AD2736" s="104"/>
      <c r="AE2736" s="105"/>
      <c r="AF2736" s="106"/>
    </row>
    <row r="2737" spans="1:32" ht="12.75" customHeight="1">
      <c r="A2737" s="21" t="s">
        <v>1236</v>
      </c>
      <c r="H2737" s="136" t="str">
        <f ca="1">IF($Q2739&lt;&gt;"",IF(AND($B2739&lt;&gt;"Missing Player",$B2741&lt;&gt;"Missing Player"),IF(AND(AND($H2739&gt;-1,$H2741&gt;-1),OR($H2739&gt;10,$H2741&gt;10),ABS($H2739-$H2741)&gt;1,IF(OR($H2739&gt;11,$H2741&gt;11),ABS($H2739-$H2741)=2,TRUE),$H2739=INT($H2739),$H2741=INT($H2741)),"","Error"),""),"")</f>
        <v/>
      </c>
      <c r="I2737" s="136" t="str">
        <f ca="1">IF($Q2739&lt;&gt;"",IF(AND($B2739&lt;&gt;"Missing Player",$B2741&lt;&gt;"Missing Player"),IF(AND(AND($I2739&gt;-1,$I2741&gt;-1),OR($I2739&gt;10,$I2741&gt;10),ABS($I2739-$I2741)&gt;1,IF(OR($I2739&gt;11,$I2741&gt;11),ABS($I2739-$I2741)=2,TRUE),$I2739=INT($I2739),$I2741=INT($I2741)),"","Error"),""),"")</f>
        <v/>
      </c>
      <c r="J2737" s="136" t="str">
        <f ca="1">IF($Q2739&lt;&gt;"",IF(AND($B2739&lt;&gt;"Missing Player",$B2741&lt;&gt;"Missing Player"),IF(AND(AND($J2739&gt;-1,$J2741&gt;-1),OR($J2739&gt;10,$J2741&gt;10),ABS($J2739-$J2741)&gt;1,IF(OR($J2739&gt;11,$J2741&gt;11),ABS($J2739-$J2741)=2,TRUE),$J2739=INT($J2739),$J2741=INT($J2741)),"","Error"),""),"")</f>
        <v/>
      </c>
      <c r="K2737" s="136" t="str">
        <f ca="1">IF($Q2739&lt;&gt;"",IF(AND($K2739&lt;&gt;"",$K2741&lt;&gt;""), IF(AND(AND($K2739&gt;-1,$K2741&gt;-1),OR($K2739&gt;10,$K2741&gt;10),ABS($K2739-$K2741)&gt;1,IF(OR($K2739&gt;11,$K2741&gt;11),ABS($K2739-$K2741)=2,TRUE),$K2739=INT($K2739),$K2741=INT($K2741)),"","Error"),""),"")</f>
        <v/>
      </c>
      <c r="L2737" s="136" t="str">
        <f ca="1">IF($Q2739&lt;&gt;"",IF(AND($L2739&lt;&gt;"",$L2741&lt;&gt;""), IF(AND(AND($L2739&gt;-1,$L2741&gt;-1),OR($L2739&gt;10,$L2741&gt;10),ABS($L2739-$L2741)&gt;1,IF(OR($L2739&gt;11,$L2741&gt;11),ABS($L2739-$L2741)=2,TRUE),$L2739=INT($L2739),$L2741=INT($L2741)),"","Error"),""),"")</f>
        <v/>
      </c>
      <c r="Q2737" s="7"/>
      <c r="R2737" s="300" t="str">
        <f>$B2712</f>
        <v>E</v>
      </c>
      <c r="S2737" s="331" t="str">
        <f ca="1">IF($B2732&lt;&gt;"",$B2732,"")</f>
        <v/>
      </c>
      <c r="T2737" s="332"/>
      <c r="U2737" s="332"/>
      <c r="V2737" s="332"/>
      <c r="W2737" s="332"/>
      <c r="X2737" s="333"/>
      <c r="Y2737" s="329"/>
      <c r="Z2737" s="329"/>
      <c r="AA2737" s="329"/>
      <c r="AB2737" s="329"/>
      <c r="AC2737" s="329"/>
      <c r="AD2737" s="345"/>
      <c r="AE2737" s="358"/>
      <c r="AF2737" s="359"/>
    </row>
    <row r="2738" spans="1:32" ht="12.75" customHeight="1">
      <c r="A2738" s="5" t="s">
        <v>1228</v>
      </c>
      <c r="B2738" s="290" t="s">
        <v>1126</v>
      </c>
      <c r="C2738" s="291"/>
      <c r="D2738" s="291"/>
      <c r="E2738" s="291"/>
      <c r="F2738" s="291"/>
      <c r="G2738" s="292"/>
      <c r="H2738" s="5">
        <v>1</v>
      </c>
      <c r="I2738" s="5">
        <v>2</v>
      </c>
      <c r="J2738" s="5">
        <v>3</v>
      </c>
      <c r="K2738" s="5">
        <v>4</v>
      </c>
      <c r="L2738" s="5">
        <v>5</v>
      </c>
      <c r="M2738" s="271"/>
      <c r="N2738" s="272"/>
      <c r="O2738" s="272"/>
      <c r="P2738" s="273"/>
      <c r="Q2738" s="7"/>
      <c r="R2738" s="330"/>
      <c r="S2738" s="334"/>
      <c r="T2738" s="335"/>
      <c r="U2738" s="335"/>
      <c r="V2738" s="335"/>
      <c r="W2738" s="335"/>
      <c r="X2738" s="336"/>
      <c r="Y2738" s="330"/>
      <c r="Z2738" s="330"/>
      <c r="AA2738" s="330"/>
      <c r="AB2738" s="330"/>
      <c r="AC2738" s="330"/>
      <c r="AD2738" s="360"/>
      <c r="AE2738" s="361"/>
      <c r="AF2738" s="362"/>
    </row>
    <row r="2739" spans="1:32" ht="12.75" customHeight="1">
      <c r="A2739" s="300" t="str">
        <f>B2712</f>
        <v>E</v>
      </c>
      <c r="B2739" s="293" t="str">
        <f ca="1">IF(AND(OFFSET($AO$1,$C2712-1,8,1,1),$A2713&lt;&gt;"",$J2713&lt;&gt;""),CHOOSE($C2712,$AR$1,$AR$2,$AR$3,$AR$4,$AR$5,$AR$6,$AR$7,$AR$8,$AR$9,$AR$10,$AR$11,$AR$12),"")</f>
        <v/>
      </c>
      <c r="C2739" s="294"/>
      <c r="D2739" s="294"/>
      <c r="E2739" s="294"/>
      <c r="F2739" s="294"/>
      <c r="G2739" s="294"/>
      <c r="H2739" s="265"/>
      <c r="I2739" s="265"/>
      <c r="J2739" s="265"/>
      <c r="K2739" s="265"/>
      <c r="L2739" s="265" t="str">
        <f ca="1">IF(AND($B2739&lt;&gt;"",$Q2718&lt;&gt;""),IF($B2739="Missing Player",0,IF($B2741="Missing Player",11,"")),"")</f>
        <v/>
      </c>
      <c r="M2739" s="262" t="str">
        <f ca="1">IF(OR(AND($B2732&lt;&gt;"",$B2739&lt;&gt;"",$E2743&lt;=$D2743),AND($B2734&lt;&gt;"",$B2741&lt;&gt;"",$I2743&lt;=$H2743)),"Invalid Lineup","")</f>
        <v/>
      </c>
      <c r="N2739" s="263"/>
      <c r="O2739" s="263"/>
      <c r="P2739" s="264"/>
      <c r="Q2739" s="137" t="str">
        <f ca="1">IF($L2739=$L2741,IF($K2739=$K2741,IF($J2739&lt;&gt;"",IF($J2739&gt;$J2741,"W","L"),""),IF($K2739&gt;$K2741,"W","L")),IF($L2739&gt;$L2741,"W","L"))</f>
        <v/>
      </c>
      <c r="R2739" s="300" t="str">
        <f>$K2712</f>
        <v>L</v>
      </c>
      <c r="S2739" s="331" t="str">
        <f ca="1">IF($B2734&lt;&gt;"",$B2734,"")</f>
        <v/>
      </c>
      <c r="T2739" s="332"/>
      <c r="U2739" s="332"/>
      <c r="V2739" s="332"/>
      <c r="W2739" s="332"/>
      <c r="X2739" s="333"/>
      <c r="Y2739" s="329"/>
      <c r="Z2739" s="329"/>
      <c r="AA2739" s="329"/>
      <c r="AB2739" s="329"/>
      <c r="AC2739" s="351"/>
      <c r="AD2739" s="363" t="s">
        <v>1237</v>
      </c>
      <c r="AE2739" s="358"/>
      <c r="AF2739" s="359"/>
    </row>
    <row r="2740" spans="1:32" ht="12.75" customHeight="1">
      <c r="A2740" s="301"/>
      <c r="B2740" s="295"/>
      <c r="C2740" s="296"/>
      <c r="D2740" s="296"/>
      <c r="E2740" s="296"/>
      <c r="F2740" s="296"/>
      <c r="G2740" s="296"/>
      <c r="H2740" s="270"/>
      <c r="I2740" s="270"/>
      <c r="J2740" s="270"/>
      <c r="K2740" s="270"/>
      <c r="L2740" s="270"/>
      <c r="M2740" s="262"/>
      <c r="N2740" s="263"/>
      <c r="O2740" s="263"/>
      <c r="P2740" s="264"/>
      <c r="Q2740" s="139" t="str">
        <f ca="1">IF($Q2739&lt;&gt;"",IF($B2741&lt;&gt;"Missing Player",IF($Q2739="W",IF(SUM(IF($H2739&gt;$H2741,1,0),IF($I2739&gt;$I2741,1,0),IF($J2739&gt;$J2741,1,0),IF($K2739&gt;$K2741,1,0),IF($L2739&gt;$L2741,1,0))&lt;&gt;3,"Error",""),""),""),"")</f>
        <v/>
      </c>
      <c r="R2740" s="330"/>
      <c r="S2740" s="334"/>
      <c r="T2740" s="335"/>
      <c r="U2740" s="335"/>
      <c r="V2740" s="335"/>
      <c r="W2740" s="335"/>
      <c r="X2740" s="336"/>
      <c r="Y2740" s="330"/>
      <c r="Z2740" s="330"/>
      <c r="AA2740" s="330"/>
      <c r="AB2740" s="330"/>
      <c r="AC2740" s="330"/>
      <c r="AD2740" s="360"/>
      <c r="AE2740" s="361"/>
      <c r="AF2740" s="362"/>
    </row>
    <row r="2741" spans="1:32" ht="12.75" customHeight="1">
      <c r="A2741" s="300" t="str">
        <f>K2712</f>
        <v>L</v>
      </c>
      <c r="B2741" s="293" t="str">
        <f ca="1">IF(AND(OFFSET($AO$1,$L2712-1,8,1,1),$A2713&lt;&gt;"",$J2713&lt;&gt;""),CHOOSE($L2712,$AR$1,$AR$2,$AR$3,$AR$4,$AR$5,$AR$6,$AR$7,$AR$8,$AR$9,$AR$10,$AR$11,$AR$12),"")</f>
        <v/>
      </c>
      <c r="C2741" s="294"/>
      <c r="D2741" s="294"/>
      <c r="E2741" s="294"/>
      <c r="F2741" s="294"/>
      <c r="G2741" s="294"/>
      <c r="H2741" s="265"/>
      <c r="I2741" s="265"/>
      <c r="J2741" s="265"/>
      <c r="K2741" s="265"/>
      <c r="L2741" s="265" t="str">
        <f ca="1">IF(AND($B2741&lt;&gt;"",$Q2718&lt;&gt;""),IF($B2741="Missing Player",0,IF($B2739="Missing Player",11,"")),"")</f>
        <v/>
      </c>
      <c r="M2741" s="267" t="s">
        <v>1237</v>
      </c>
      <c r="N2741" s="268"/>
      <c r="O2741" s="268"/>
      <c r="P2741" s="269"/>
      <c r="Q2741" s="137" t="str">
        <f ca="1">IF($Q2739&lt;&gt;"",IF($Q2739="W","L","W"),"")</f>
        <v/>
      </c>
      <c r="R2741" s="112"/>
      <c r="S2741" s="98"/>
      <c r="T2741" s="108"/>
      <c r="U2741" s="108"/>
      <c r="V2741" s="108"/>
      <c r="W2741" s="108"/>
      <c r="X2741" s="108"/>
      <c r="Y2741" s="113"/>
      <c r="Z2741" s="113"/>
      <c r="AA2741" s="113"/>
      <c r="AB2741" s="113"/>
      <c r="AC2741" s="113"/>
      <c r="AD2741" s="107"/>
      <c r="AE2741" s="109"/>
      <c r="AF2741" s="109"/>
    </row>
    <row r="2742" spans="1:32" ht="12.75" customHeight="1">
      <c r="A2742" s="301"/>
      <c r="B2742" s="295"/>
      <c r="C2742" s="296"/>
      <c r="D2742" s="296"/>
      <c r="E2742" s="296"/>
      <c r="F2742" s="296"/>
      <c r="G2742" s="296"/>
      <c r="H2742" s="270"/>
      <c r="I2742" s="270"/>
      <c r="J2742" s="266"/>
      <c r="K2742" s="266"/>
      <c r="L2742" s="266"/>
      <c r="M2742" s="267"/>
      <c r="N2742" s="268"/>
      <c r="O2742" s="268"/>
      <c r="P2742" s="269"/>
      <c r="Q2742" s="139" t="str">
        <f ca="1">IF($Q2741&lt;&gt;"",IF($B2739&lt;&gt;"Missing Player",IF($Q2741="W",IF(SUM(IF($H2741&gt;$H2739,1,0),IF($I2741&gt;$I2739,1,0),IF($J2741&gt;$J2739,1,0),IF($K2741&gt;$K2739,1,0),IF($L2741&gt;$L2739,1,0))&lt;&gt;3,"Error",""),""),""),"")</f>
        <v/>
      </c>
      <c r="R2742" s="114"/>
      <c r="S2742" s="115"/>
      <c r="T2742" s="115"/>
      <c r="U2742" s="115"/>
      <c r="V2742" s="115"/>
      <c r="W2742" s="115"/>
      <c r="X2742" s="115"/>
      <c r="Y2742" s="114"/>
      <c r="Z2742" s="114"/>
      <c r="AA2742" s="114"/>
      <c r="AB2742" s="114"/>
      <c r="AC2742" s="114"/>
      <c r="AD2742" s="114"/>
      <c r="AE2742" s="114"/>
      <c r="AF2742" s="114"/>
    </row>
    <row r="2743" spans="1:32" ht="12.75" customHeight="1">
      <c r="B2743" s="140" t="str">
        <f ca="1">IF(ISERROR(VLOOKUP($B2718&amp;"("&amp;$B2712&amp;")",Players!$S$4:$T$132,2,FALSE)),"",VLOOKUP($B2718&amp;"("&amp;$B2712&amp;")",Players!$S$4:$T$132,2,FALSE))</f>
        <v>E1</v>
      </c>
      <c r="C2743" s="140" t="str">
        <f ca="1">IF(ISERROR(VLOOKUP($B2725&amp;"("&amp;$B2712&amp;")",Players!$S$4:$T$132,2,FALSE)),"",VLOOKUP($B2725&amp;"("&amp;$B2712&amp;")",Players!$S$4:$T$132,2,FALSE))</f>
        <v>E1</v>
      </c>
      <c r="D2743" s="141" t="str">
        <f ca="1">IF(ISERROR(VLOOKUP($B2732&amp;"("&amp;$B2712&amp;")",Players!$S$4:$T$132,2,FALSE)),"",VLOOKUP($B2732&amp;"("&amp;$B2712&amp;")",Players!$S$4:$T$132,2,FALSE))</f>
        <v>E1</v>
      </c>
      <c r="E2743" s="141" t="str">
        <f ca="1">IF(ISERROR(VLOOKUP($B2739&amp;"("&amp;$B2712&amp;")",Players!$S$4:$T$132,2,FALSE)),"",VLOOKUP($B2739&amp;"("&amp;$B2712&amp;")",Players!$S$4:$T$132,2,FALSE))</f>
        <v>E1</v>
      </c>
      <c r="F2743" s="141" t="str">
        <f ca="1">IF(ISERROR(VLOOKUP($B2720&amp;"("&amp;$K2712&amp;")",Players!$S$4:$T$132,2,FALSE)),"",VLOOKUP($B2720&amp;"("&amp;$K2712&amp;")",Players!$S$4:$T$132,2,FALSE))</f>
        <v>L1</v>
      </c>
      <c r="G2743" s="141" t="str">
        <f ca="1">IF(ISERROR(VLOOKUP($B2727&amp;"("&amp;$K2712&amp;")",Players!$S$4:$T$132,2,FALSE)),"",VLOOKUP($B2727&amp;"("&amp;$K2712&amp;")",Players!$S$4:$T$132,2,FALSE))</f>
        <v>L1</v>
      </c>
      <c r="H2743" s="141" t="str">
        <f ca="1">IF(ISERROR(VLOOKUP($B2734&amp;"("&amp;$K2712&amp;")",Players!$S$4:$T$132,2,FALSE)),"",VLOOKUP($B2734&amp;"("&amp;$K2712&amp;")",Players!$S$4:$T$132,2,FALSE))</f>
        <v>L1</v>
      </c>
      <c r="I2743" s="141" t="str">
        <f ca="1">IF(ISERROR(VLOOKUP($B2741&amp;"("&amp;$K2712&amp;")",Players!$S$4:$T$132,2,FALSE)),"",VLOOKUP($B2741&amp;"("&amp;$K2712&amp;")",Players!$S$4:$T$132,2,FALSE))</f>
        <v>L1</v>
      </c>
      <c r="Q2743" s="7"/>
      <c r="R2743" s="50"/>
      <c r="S2743" s="116"/>
      <c r="T2743" s="115"/>
      <c r="U2743" s="115"/>
      <c r="V2743" s="115"/>
      <c r="W2743" s="115"/>
      <c r="X2743" s="115"/>
      <c r="Y2743" s="99"/>
      <c r="Z2743" s="99"/>
      <c r="AA2743" s="99"/>
      <c r="AB2743" s="99"/>
      <c r="AC2743" s="117"/>
      <c r="AD2743" s="118"/>
      <c r="AE2743" s="114"/>
      <c r="AF2743" s="114"/>
    </row>
    <row r="2744" spans="1:32" ht="12.75" customHeight="1">
      <c r="A2744" s="21" t="s">
        <v>1225</v>
      </c>
      <c r="H2744" s="136" t="str">
        <f ca="1">IF($Q2746&lt;&gt;"",IF(AND($B2747&lt;&gt;"Missing Player",$B2749&lt;&gt;"Missing Player"),IF(AND(AND($H2746&gt;-1,$H2748&gt;-1),OR($H2746&gt;10,$H2748&gt;10),ABS($H2746-$H2748)&gt;1,IF(OR($H2746&gt;11,$H2748&gt;11),ABS($H2746-$H2748)=2,TRUE),$H2746=INT($H2746),$H2748=INT($H2748)),"","Error"),""),"")</f>
        <v/>
      </c>
      <c r="I2744" s="136" t="str">
        <f ca="1">IF($Q2746&lt;&gt;"",IF(AND($B2747&lt;&gt;"Missing Player",$B2749&lt;&gt;"Missing Player"),IF(AND(AND($I2746&gt;-1,$I2748&gt;-1),OR($I2746&gt;10,$I2748&gt;10),ABS($I2746-$I2748)&gt;1,IF(OR($I2746&gt;11,$I2748&gt;11),ABS($I2746-$I2748)=2,TRUE),$I2746=INT($I2746),$I2748=INT($I2748)),"","Error"),""),"")</f>
        <v/>
      </c>
      <c r="J2744" s="136" t="str">
        <f ca="1">IF($Q2746&lt;&gt;"",IF(AND($B2747&lt;&gt;"Missing Player",$B2749&lt;&gt;"Missing Player"),IF(AND(AND($J2746&gt;-1,$J2748&gt;-1),OR($J2746&gt;10,$J2748&gt;10),ABS($J2746-$J2748)&gt;1,IF(OR($J2746&gt;11,$J2748&gt;11),ABS($J2746-$J2748)=2,TRUE),$J2746=INT($J2746),$J2748=INT($J2748)),"","Error"),""),"")</f>
        <v/>
      </c>
      <c r="K2744" s="136" t="str">
        <f ca="1">IF($Q2746&lt;&gt;"",IF(AND($K2746&lt;&gt;"",$K2748&lt;&gt;""), IF(AND(AND($K2746&gt;-1,$K2748&gt;-1),OR($K2746&gt;10,$K2748&gt;10),ABS($K2746-$K2748)&gt;1,IF(OR($K2746&gt;11,$K2748&gt;11),ABS($K2746-$K2748)=2,TRUE),$K2746=INT($K2746),$K2748=INT($K2748)),"","Error"),""),"")</f>
        <v/>
      </c>
      <c r="L2744" s="136" t="str">
        <f ca="1">IF($Q2746&lt;&gt;"",IF(AND($L2746&lt;&gt;"",$L2748&lt;&gt;""), IF(AND(AND($L2746&gt;-1,$L2748&gt;-1),OR($L2746&gt;10,$L2748&gt;10),ABS($L2746-$L2748)&gt;1,IF(OR($L2746&gt;11,$L2748&gt;11),ABS($L2746-$L2748)=2,TRUE),$L2746=INT($L2746),$L2748=INT($L2748)),"","Error"),""),"")</f>
        <v/>
      </c>
      <c r="Q2744" s="7"/>
      <c r="R2744" s="114"/>
      <c r="S2744" s="115"/>
      <c r="T2744" s="115"/>
      <c r="U2744" s="115"/>
      <c r="V2744" s="115"/>
      <c r="W2744" s="115"/>
      <c r="X2744" s="115"/>
      <c r="Y2744" s="114"/>
      <c r="Z2744" s="114"/>
      <c r="AA2744" s="114"/>
      <c r="AB2744" s="114"/>
      <c r="AC2744" s="114"/>
      <c r="AD2744" s="114"/>
      <c r="AE2744" s="114"/>
      <c r="AF2744" s="114"/>
    </row>
    <row r="2745" spans="1:32" ht="12.75" customHeight="1">
      <c r="A2745" s="5" t="s">
        <v>1228</v>
      </c>
      <c r="B2745" s="290" t="s">
        <v>1126</v>
      </c>
      <c r="C2745" s="291"/>
      <c r="D2745" s="291"/>
      <c r="E2745" s="291"/>
      <c r="F2745" s="291"/>
      <c r="G2745" s="292"/>
      <c r="H2745" s="5">
        <v>1</v>
      </c>
      <c r="I2745" s="5">
        <v>2</v>
      </c>
      <c r="J2745" s="5">
        <v>3</v>
      </c>
      <c r="K2745" s="5">
        <v>4</v>
      </c>
      <c r="L2745" s="5">
        <v>5</v>
      </c>
      <c r="M2745" s="271"/>
      <c r="N2745" s="272"/>
      <c r="O2745" s="272"/>
      <c r="P2745" s="273"/>
      <c r="Q2745" s="8"/>
      <c r="S2745" s="24"/>
      <c r="T2745" s="26"/>
    </row>
    <row r="2746" spans="1:32" ht="12.75" customHeight="1">
      <c r="A2746" s="300" t="str">
        <f>B2712</f>
        <v>E</v>
      </c>
      <c r="B2746" s="311" t="str">
        <f ca="1">IF($B2718&lt;&gt;"",$B2718,"")</f>
        <v/>
      </c>
      <c r="C2746" s="312"/>
      <c r="D2746" s="312"/>
      <c r="E2746" s="312"/>
      <c r="F2746" s="312"/>
      <c r="G2746" s="313"/>
      <c r="H2746" s="265"/>
      <c r="I2746" s="265"/>
      <c r="J2746" s="265"/>
      <c r="K2746" s="265"/>
      <c r="L2746" s="265" t="str">
        <f ca="1">IF($B2739&lt;&gt;"",IF(AND($B2739="Missing Player",$G2750=2,$J2750=2),0,IF(AND($B2741="Missing Player",$G2750=2,$J2750=2),11,"")),"")</f>
        <v/>
      </c>
      <c r="M2746" s="262" t="str">
        <f ca="1">IF(OR(AND($B2746&lt;&gt;"",$B2747&lt;&gt;"",$B2746=$B2747),AND($B2748&lt;&gt;"",$B2749&lt;&gt;"",$B2748=$B2749)),"Invalid Partner","")</f>
        <v/>
      </c>
      <c r="N2746" s="263"/>
      <c r="O2746" s="263"/>
      <c r="P2746" s="264"/>
      <c r="Q2746" s="138" t="str">
        <f ca="1">IF(L2746=L2748,IF(K2746=K2748,IF(J2746&lt;&gt;"",IF(J2746&gt;J2748,"W","L"),""),IF(K2746&gt;K2748,"W","L")),IF(L2746&gt;L2748,"W","L"))</f>
        <v/>
      </c>
      <c r="S2746" s="24"/>
      <c r="T2746" s="26"/>
    </row>
    <row r="2747" spans="1:32" ht="12.75" customHeight="1">
      <c r="A2747" s="324"/>
      <c r="B2747" s="308" t="str">
        <f ca="1">IF($B2739="Missing Player",$B2739,"")</f>
        <v/>
      </c>
      <c r="C2747" s="309"/>
      <c r="D2747" s="309"/>
      <c r="E2747" s="309"/>
      <c r="F2747" s="309"/>
      <c r="G2747" s="310"/>
      <c r="H2747" s="270"/>
      <c r="I2747" s="270"/>
      <c r="J2747" s="270"/>
      <c r="K2747" s="270"/>
      <c r="L2747" s="270"/>
      <c r="M2747" s="262"/>
      <c r="N2747" s="263"/>
      <c r="O2747" s="263"/>
      <c r="P2747" s="264"/>
      <c r="Q2747" s="139" t="str">
        <f ca="1">IF($Q2746&lt;&gt;"",IF($B2749&lt;&gt;"Missing Player",IF($Q2746="W",IF(SUM(IF($H2746&gt;$H2748,1,0),IF($I2746&gt;$I2748,1,0),IF($J2746&gt;$J2748,1,0),IF($K2746&gt;$K2748,1,0),IF($L2746&gt;$L2748,1,0))&lt;&gt;3,"Error",""),""),""),"")</f>
        <v/>
      </c>
      <c r="R2747" s="328" t="str">
        <f>$A2713</f>
        <v/>
      </c>
      <c r="S2747" s="328"/>
      <c r="T2747" s="328"/>
      <c r="U2747" s="328"/>
      <c r="V2747" s="328"/>
      <c r="W2747" s="328"/>
      <c r="X2747" s="256" t="str">
        <f>CONCATENATE("(",$B2712," vs ",$K2712,")")</f>
        <v>(E vs L)</v>
      </c>
      <c r="Y2747" s="256"/>
      <c r="Z2747" s="328" t="str">
        <f>$J2713</f>
        <v/>
      </c>
      <c r="AA2747" s="328"/>
      <c r="AB2747" s="328"/>
      <c r="AC2747" s="328"/>
      <c r="AD2747" s="328"/>
      <c r="AE2747" s="328"/>
      <c r="AF2747" s="43"/>
    </row>
    <row r="2748" spans="1:32" ht="12.75" customHeight="1">
      <c r="A2748" s="325" t="str">
        <f>K2712</f>
        <v>L</v>
      </c>
      <c r="B2748" s="311" t="str">
        <f ca="1">IF($B2720&lt;&gt;"",$B2720,"")</f>
        <v/>
      </c>
      <c r="C2748" s="312"/>
      <c r="D2748" s="312"/>
      <c r="E2748" s="312"/>
      <c r="F2748" s="312"/>
      <c r="G2748" s="313"/>
      <c r="H2748" s="265"/>
      <c r="I2748" s="265"/>
      <c r="J2748" s="265"/>
      <c r="K2748" s="265"/>
      <c r="L2748" s="265" t="str">
        <f ca="1">IF($B2741&lt;&gt;"",IF(AND($B2741="Missing Player",$G2750=2,$J2750=2),0,IF(AND($B2739="Missing Player",$G2750=2,$J2750=2),11,"")),"")</f>
        <v/>
      </c>
      <c r="M2748" s="267" t="s">
        <v>1237</v>
      </c>
      <c r="N2748" s="268"/>
      <c r="O2748" s="268"/>
      <c r="P2748" s="269"/>
      <c r="Q2748" s="138" t="str">
        <f ca="1">IF(Q2746&lt;&gt;"",IF(Q2746="W","L","W"),"")</f>
        <v/>
      </c>
      <c r="R2748" s="43"/>
      <c r="S2748" s="43"/>
      <c r="T2748" s="43"/>
      <c r="U2748" s="43"/>
      <c r="V2748" s="43"/>
      <c r="W2748" s="43"/>
      <c r="X2748" s="43"/>
      <c r="Y2748" s="43"/>
      <c r="Z2748" s="43"/>
      <c r="AA2748" s="43"/>
      <c r="AB2748" s="43"/>
      <c r="AC2748" s="43"/>
      <c r="AD2748" s="43"/>
      <c r="AE2748" s="43"/>
      <c r="AF2748" s="43"/>
    </row>
    <row r="2749" spans="1:32" ht="12.75" customHeight="1">
      <c r="A2749" s="324"/>
      <c r="B2749" s="308" t="str">
        <f ca="1">IF($B2741="Missing Player",$B2741,"")</f>
        <v/>
      </c>
      <c r="C2749" s="309"/>
      <c r="D2749" s="309"/>
      <c r="E2749" s="309"/>
      <c r="F2749" s="309"/>
      <c r="G2749" s="310"/>
      <c r="H2749" s="270"/>
      <c r="I2749" s="270"/>
      <c r="J2749" s="266"/>
      <c r="K2749" s="266"/>
      <c r="L2749" s="266"/>
      <c r="M2749" s="267"/>
      <c r="N2749" s="268"/>
      <c r="O2749" s="268"/>
      <c r="P2749" s="269"/>
      <c r="Q2749" s="139" t="str">
        <f ca="1">IF($Q2748&lt;&gt;"",IF($B2747&lt;&gt;"Missing Player",IF($Q2748="W",IF(SUM(IF($H2748&gt;$H2746,1,0),IF($I2748&gt;$I2746,1,0),IF($J2748&gt;$J2746,1,0),IF($K2748&gt;$K2746,1,0),IF($L2748&gt;$L2746,1,0))&lt;&gt;3,"Error",""),""),""),"")</f>
        <v/>
      </c>
      <c r="R2749" s="43" t="str">
        <f>A2737</f>
        <v>4th Singles</v>
      </c>
      <c r="S2749" s="43"/>
      <c r="T2749" s="43"/>
      <c r="U2749" s="43"/>
      <c r="V2749" s="43"/>
      <c r="W2749" s="43"/>
      <c r="X2749" s="43"/>
      <c r="Y2749" s="43"/>
      <c r="Z2749" s="43"/>
      <c r="AA2749" s="43"/>
      <c r="AB2749" s="43"/>
      <c r="AC2749" s="43"/>
      <c r="AD2749" s="43"/>
      <c r="AE2749" s="43"/>
      <c r="AF2749" s="43"/>
    </row>
    <row r="2750" spans="1:32" ht="12.75" customHeight="1">
      <c r="G2750" s="66">
        <f ca="1">COUNTIF($Q2718:$Q2718,"W")+COUNTIF($Q2725:$Q2725,"W")+COUNTIF($Q2732:$Q2732,"W")+COUNTIF($Q2739:$Q2739,"W")</f>
        <v>0</v>
      </c>
      <c r="J2750" s="66">
        <f ca="1">COUNTIF($Q2720:$Q2720,"W")+COUNTIF($Q2727:$Q2727,"W")+COUNTIF($Q2734:$Q2734,"W")+COUNTIF($Q2741:$Q2741,"W")</f>
        <v>0</v>
      </c>
      <c r="R2750" s="60" t="s">
        <v>1228</v>
      </c>
      <c r="S2750" s="339" t="s">
        <v>1126</v>
      </c>
      <c r="T2750" s="340"/>
      <c r="U2750" s="340"/>
      <c r="V2750" s="340"/>
      <c r="W2750" s="340"/>
      <c r="X2750" s="341"/>
      <c r="Y2750" s="60">
        <v>1</v>
      </c>
      <c r="Z2750" s="60">
        <v>2</v>
      </c>
      <c r="AA2750" s="60">
        <v>3</v>
      </c>
      <c r="AB2750" s="60">
        <v>4</v>
      </c>
      <c r="AC2750" s="60">
        <v>5</v>
      </c>
      <c r="AD2750" s="342"/>
      <c r="AE2750" s="343"/>
      <c r="AF2750" s="344"/>
    </row>
    <row r="2751" spans="1:32" ht="12.75" customHeight="1" thickBot="1">
      <c r="F2751" s="246" t="s">
        <v>1238</v>
      </c>
      <c r="G2751" s="246"/>
      <c r="H2751" s="246"/>
      <c r="I2751" s="246"/>
      <c r="J2751" s="246"/>
      <c r="K2751" s="246"/>
      <c r="R2751" s="300" t="str">
        <f>B2712</f>
        <v>E</v>
      </c>
      <c r="S2751" s="331" t="str">
        <f ca="1">IF($B2739&lt;&gt;"",$B2739,"")</f>
        <v/>
      </c>
      <c r="T2751" s="353"/>
      <c r="U2751" s="353"/>
      <c r="V2751" s="353"/>
      <c r="W2751" s="353"/>
      <c r="X2751" s="354"/>
      <c r="Y2751" s="329"/>
      <c r="Z2751" s="329"/>
      <c r="AA2751" s="351"/>
      <c r="AB2751" s="351"/>
      <c r="AC2751" s="351"/>
      <c r="AD2751" s="345"/>
      <c r="AE2751" s="346"/>
      <c r="AF2751" s="347"/>
    </row>
    <row r="2752" spans="1:32" ht="12.75" customHeight="1">
      <c r="A2752" s="22"/>
      <c r="B2752" s="22"/>
      <c r="C2752" s="22"/>
      <c r="D2752" s="22"/>
      <c r="E2752" s="22"/>
      <c r="G2752" s="304" t="str">
        <f>B2712</f>
        <v>E</v>
      </c>
      <c r="H2752" s="305"/>
      <c r="I2752" s="302" t="str">
        <f>K2712</f>
        <v>L</v>
      </c>
      <c r="J2752" s="303"/>
      <c r="L2752" s="22"/>
      <c r="M2752" s="22"/>
      <c r="N2752" s="22"/>
      <c r="O2752" s="22"/>
      <c r="P2752" s="22"/>
      <c r="R2752" s="301"/>
      <c r="S2752" s="355"/>
      <c r="T2752" s="356"/>
      <c r="U2752" s="356"/>
      <c r="V2752" s="356"/>
      <c r="W2752" s="356"/>
      <c r="X2752" s="357"/>
      <c r="Y2752" s="338"/>
      <c r="Z2752" s="338"/>
      <c r="AA2752" s="352"/>
      <c r="AB2752" s="352"/>
      <c r="AC2752" s="352"/>
      <c r="AD2752" s="348"/>
      <c r="AE2752" s="349"/>
      <c r="AF2752" s="350"/>
    </row>
    <row r="2753" spans="1:32" ht="12.75" customHeight="1" thickBot="1">
      <c r="A2753" s="2" t="s">
        <v>1228</v>
      </c>
      <c r="B2753" s="53" t="str">
        <f>B2712</f>
        <v>E</v>
      </c>
      <c r="C2753" s="3" t="s">
        <v>1226</v>
      </c>
      <c r="F2753" s="66" t="str">
        <f>CONCATENATE($B2712,"-",$K2712)</f>
        <v>E-L</v>
      </c>
      <c r="G2753" s="320" t="str">
        <f ca="1">IF(OR(Q2718&lt;&gt;"",Q2725&lt;&gt;"",Q2732&lt;&gt;"",Q2739&lt;&gt;"",Q2746&lt;&gt;""),COUNTIF(Q2718:Q2718,"W")+COUNTIF(Q2725:Q2725,"W")+COUNTIF(Q2732:Q2732,"W")+COUNTIF(Q2739:Q2739,"W")+COUNTIF(Q2746:Q2746,"W"),"")</f>
        <v/>
      </c>
      <c r="H2753" s="321"/>
      <c r="I2753" s="322" t="str">
        <f ca="1">IF(OR(Q2720&lt;&gt;"",Q2727&lt;&gt;"",Q2734&lt;&gt;"",Q2741&lt;&gt;"",Q2748&lt;&gt;""),COUNTIF(Q2720:Q2720,"W")+COUNTIF(Q2727:Q2727,"W")+COUNTIF(Q2734:Q2734,"W")+COUNTIF(Q2741:Q2741,"W")+COUNTIF(Q2748:Q2748,"W"),"")</f>
        <v/>
      </c>
      <c r="J2753" s="323"/>
      <c r="L2753" s="2" t="s">
        <v>1228</v>
      </c>
      <c r="M2753" s="53" t="str">
        <f>K2712</f>
        <v>L</v>
      </c>
      <c r="N2753" s="3" t="s">
        <v>1226</v>
      </c>
      <c r="R2753" s="300" t="str">
        <f>K2712</f>
        <v>L</v>
      </c>
      <c r="S2753" s="331" t="str">
        <f ca="1">IF($B2741&lt;&gt;"",$B2741,"")</f>
        <v/>
      </c>
      <c r="T2753" s="332"/>
      <c r="U2753" s="332"/>
      <c r="V2753" s="332"/>
      <c r="W2753" s="332"/>
      <c r="X2753" s="333"/>
      <c r="Y2753" s="329"/>
      <c r="Z2753" s="329"/>
      <c r="AA2753" s="351"/>
      <c r="AB2753" s="351"/>
      <c r="AC2753" s="351"/>
      <c r="AD2753" s="363" t="s">
        <v>1237</v>
      </c>
      <c r="AE2753" s="358"/>
      <c r="AF2753" s="359"/>
    </row>
    <row r="2754" spans="1:32" ht="12.75" customHeight="1">
      <c r="F2754" s="25" t="s">
        <v>3996</v>
      </c>
      <c r="G2754" s="23"/>
      <c r="H2754" s="23"/>
      <c r="I2754" s="23"/>
      <c r="J2754" s="23"/>
      <c r="K2754" s="24"/>
      <c r="R2754" s="330"/>
      <c r="S2754" s="334"/>
      <c r="T2754" s="335"/>
      <c r="U2754" s="335"/>
      <c r="V2754" s="335"/>
      <c r="W2754" s="335"/>
      <c r="X2754" s="336"/>
      <c r="Y2754" s="330"/>
      <c r="Z2754" s="330"/>
      <c r="AA2754" s="330"/>
      <c r="AB2754" s="330"/>
      <c r="AC2754" s="330"/>
      <c r="AD2754" s="360"/>
      <c r="AE2754" s="361"/>
      <c r="AF2754" s="362"/>
    </row>
    <row r="2755" spans="1:32" ht="12.75" customHeight="1">
      <c r="R2755" s="1"/>
      <c r="S2755" s="110"/>
      <c r="T2755" s="110"/>
      <c r="U2755" s="110"/>
      <c r="V2755" s="110"/>
      <c r="W2755" s="110"/>
      <c r="X2755" s="111"/>
      <c r="Y2755" s="111"/>
      <c r="Z2755" s="111"/>
      <c r="AA2755" s="111"/>
    </row>
    <row r="2756" spans="1:32" ht="12.75" customHeight="1">
      <c r="F2756" s="246" t="s">
        <v>4929</v>
      </c>
      <c r="G2756" s="246"/>
      <c r="H2756" s="246"/>
      <c r="I2756" s="246"/>
      <c r="R2756" s="1"/>
      <c r="S2756" s="110"/>
      <c r="T2756" s="110"/>
      <c r="U2756" s="110"/>
      <c r="V2756" s="110"/>
      <c r="W2756" s="110"/>
      <c r="X2756" s="111"/>
      <c r="Y2756" s="111"/>
      <c r="Z2756" s="111"/>
      <c r="AA2756" s="111"/>
    </row>
    <row r="2757" spans="1:32" ht="12.75" customHeight="1">
      <c r="F2757" s="246" t="s">
        <v>4930</v>
      </c>
      <c r="G2757" s="246"/>
      <c r="H2757" s="246"/>
      <c r="I2757" s="246"/>
      <c r="R2757" s="1"/>
      <c r="S2757" s="110"/>
      <c r="T2757" s="110"/>
      <c r="U2757" s="110"/>
      <c r="V2757" s="110"/>
      <c r="W2757" s="110"/>
      <c r="X2757" s="111"/>
      <c r="Y2757" s="111"/>
      <c r="Z2757" s="111"/>
      <c r="AA2757" s="111"/>
    </row>
    <row r="2758" spans="1:32" ht="12.75" customHeight="1">
      <c r="K2758" s="281" t="s">
        <v>1244</v>
      </c>
      <c r="L2758" s="281"/>
      <c r="M2758" s="281"/>
      <c r="N2758" s="281"/>
      <c r="O2758" s="281"/>
      <c r="P2758" s="281"/>
      <c r="R2758" s="1"/>
      <c r="S2758" s="110"/>
      <c r="T2758" s="110"/>
      <c r="U2758" s="110"/>
      <c r="V2758" s="110"/>
      <c r="W2758" s="110"/>
      <c r="X2758" s="111"/>
      <c r="Y2758" s="111"/>
      <c r="Z2758" s="111"/>
      <c r="AA2758" s="111"/>
    </row>
    <row r="2759" spans="1:32" ht="12.75" customHeight="1">
      <c r="A2759" s="12" t="s">
        <v>1229</v>
      </c>
      <c r="B2759" s="11"/>
      <c r="C2759" s="11"/>
      <c r="D2759" s="11" t="str">
        <f>Draw!$B$1</f>
        <v>Enter Division Name</v>
      </c>
      <c r="E2759" s="11"/>
      <c r="F2759" s="7"/>
      <c r="G2759" s="6"/>
      <c r="H2759" s="7"/>
      <c r="I2759" s="11"/>
      <c r="J2759" s="11"/>
      <c r="K2759" s="11"/>
      <c r="L2759" s="11"/>
      <c r="M2759" s="281"/>
      <c r="N2759" s="281"/>
      <c r="O2759" s="281"/>
      <c r="P2759" s="281"/>
      <c r="R2759" s="1"/>
      <c r="S2759" s="110"/>
      <c r="T2759" s="110"/>
      <c r="U2759" s="110"/>
      <c r="V2759" s="110"/>
      <c r="W2759" s="110"/>
      <c r="X2759" s="111"/>
      <c r="Y2759" s="111"/>
      <c r="Z2759" s="111"/>
      <c r="AA2759" s="111"/>
    </row>
    <row r="2760" spans="1:32" ht="12.75" customHeight="1">
      <c r="A2760" s="2" t="s">
        <v>1230</v>
      </c>
      <c r="D2760" s="43" t="str">
        <f>Draw!$D$1</f>
        <v>Enter Hosting Location (City, ST)</v>
      </c>
      <c r="J2760" s="43" t="str">
        <f ca="1">$J$6</f>
        <v>[NCTTA Teams Template (v2.06).xlsx]</v>
      </c>
      <c r="R2760" s="1"/>
      <c r="S2760" s="110"/>
      <c r="T2760" s="110"/>
      <c r="U2760" s="110"/>
      <c r="V2760" s="110"/>
      <c r="W2760" s="110"/>
      <c r="X2760" s="111"/>
      <c r="Y2760" s="111"/>
      <c r="Z2760" s="111"/>
      <c r="AA2760" s="111"/>
    </row>
    <row r="2761" spans="1:32" ht="12.75" customHeight="1">
      <c r="A2761" s="2" t="s">
        <v>1231</v>
      </c>
      <c r="D2761" s="337" t="str">
        <f>Draw!$P$1</f>
        <v>Enter Date</v>
      </c>
      <c r="E2761" s="337"/>
      <c r="F2761" s="337"/>
      <c r="G2761" s="337"/>
      <c r="J2761" s="280" t="str">
        <f>CHOOSE(Draw!$T$1,"Round 10, Match 1","","","","","","","","","","Round 11, Match 5")</f>
        <v/>
      </c>
      <c r="K2761" s="280"/>
      <c r="L2761" s="280"/>
      <c r="M2761" s="276" t="str">
        <f>IF(AND($J2761&lt;&gt;"",Draw!$AC$10&lt;&gt;"",Draw!$AC$13&lt;&gt;""),Draw!$AC$10+TIME(0,VALUE(MID($J2761,7,FIND(",",$J2761)-FIND(" ",$J2761)-1)-1)*Draw!$AC$13,0),"")</f>
        <v/>
      </c>
      <c r="N2761" s="276"/>
      <c r="O2761" s="157" t="str">
        <f>$F2804</f>
        <v>F-I</v>
      </c>
      <c r="R2761" s="1"/>
      <c r="S2761" s="110"/>
      <c r="T2761" s="110"/>
      <c r="U2761" s="110"/>
      <c r="V2761" s="110"/>
      <c r="W2761" s="110"/>
      <c r="X2761" s="111"/>
      <c r="Y2761" s="111"/>
      <c r="Z2761" s="111"/>
      <c r="AA2761" s="111"/>
    </row>
    <row r="2762" spans="1:32" ht="12.75" customHeight="1">
      <c r="A2762" s="14"/>
      <c r="B2762" s="15"/>
      <c r="C2762" s="15"/>
      <c r="D2762" s="15"/>
      <c r="E2762" s="15"/>
      <c r="F2762" s="14"/>
      <c r="G2762" s="14"/>
      <c r="H2762" s="16"/>
      <c r="I2762" s="14"/>
      <c r="J2762" s="15"/>
      <c r="K2762" s="15"/>
      <c r="L2762" s="15"/>
      <c r="M2762" s="15"/>
      <c r="N2762" s="15"/>
      <c r="O2762" s="364" t="str">
        <f>IF(OR(AND(VLOOKUP($B2763,$AM$1:$AX$12,12,FALSE)="C",VLOOKUP($K2763,$AM$1:$AX$12,12,FALSE)="C"),AND(VLOOKUP($B2763,$AM$1:$AX$12,12,FALSE)="W",VLOOKUP($K2763,$AM$1:$AX$12,12,FALSE)="W")),"Official",IF(AND($A2764="",$J2764=""),"","Scrimmage"))</f>
        <v/>
      </c>
      <c r="P2762" s="364"/>
      <c r="R2762" s="1"/>
      <c r="S2762" s="110"/>
      <c r="T2762" s="110"/>
      <c r="U2762" s="110"/>
      <c r="V2762" s="110"/>
      <c r="W2762" s="110"/>
      <c r="X2762" s="111"/>
      <c r="Y2762" s="111"/>
      <c r="Z2762" s="111"/>
      <c r="AA2762" s="111"/>
    </row>
    <row r="2763" spans="1:32" ht="12.75" customHeight="1">
      <c r="A2763" s="17" t="s">
        <v>1228</v>
      </c>
      <c r="B2763" s="119" t="str">
        <f>CHOOSE(Draw!$T$1,"A","E","F","F","G","G","G","G","G","E","B")</f>
        <v>F</v>
      </c>
      <c r="C2763" s="135">
        <f>VLOOKUP($B2763,$AM$1:$AN$12,2)</f>
        <v>6</v>
      </c>
      <c r="D2763" s="13"/>
      <c r="E2763" s="13"/>
      <c r="F2763" s="10"/>
      <c r="H2763" s="19" t="s">
        <v>1232</v>
      </c>
      <c r="J2763" s="17" t="s">
        <v>1228</v>
      </c>
      <c r="K2763" s="119" t="str">
        <f>CHOOSE(Draw!$T$1,"C","G","I","J","K","K","K","K","J","L","C")</f>
        <v>I</v>
      </c>
      <c r="L2763" s="135">
        <f>VLOOKUP($K2763,$AM$1:$AN$12,2)</f>
        <v>9</v>
      </c>
      <c r="M2763" s="13"/>
      <c r="N2763" s="13"/>
      <c r="O2763" s="18"/>
      <c r="P2763" s="274"/>
      <c r="Q2763" s="275"/>
      <c r="R2763" s="1"/>
      <c r="S2763" s="110"/>
      <c r="T2763" s="110"/>
      <c r="U2763" s="110"/>
      <c r="V2763" s="110"/>
      <c r="W2763" s="110"/>
      <c r="X2763" s="111"/>
      <c r="Y2763" s="111"/>
      <c r="Z2763" s="111"/>
      <c r="AA2763" s="111"/>
    </row>
    <row r="2764" spans="1:32" ht="12.75" customHeight="1">
      <c r="A2764" s="277" t="str">
        <f>IF(VLOOKUP($B2763,Draw!$A$4:$B$27,2)&lt;&gt;0,VLOOKUP($B2763,Draw!$A$4:$B$27,2),"")</f>
        <v/>
      </c>
      <c r="B2764" s="278"/>
      <c r="C2764" s="278"/>
      <c r="D2764" s="278"/>
      <c r="E2764" s="278"/>
      <c r="F2764" s="279"/>
      <c r="G2764" s="306" t="s">
        <v>4206</v>
      </c>
      <c r="H2764" s="289"/>
      <c r="I2764" s="307"/>
      <c r="J2764" s="277" t="str">
        <f>IF(VLOOKUP($K2763,Draw!$A$4:$B$27,2)&lt;&gt;0,VLOOKUP($K2763,Draw!$A$4:$B$27,2),"")</f>
        <v/>
      </c>
      <c r="K2764" s="278"/>
      <c r="L2764" s="278"/>
      <c r="M2764" s="278"/>
      <c r="N2764" s="278"/>
      <c r="O2764" s="279"/>
      <c r="P2764" s="15"/>
      <c r="R2764" s="1"/>
      <c r="S2764" s="110"/>
      <c r="T2764" s="110"/>
      <c r="U2764" s="110"/>
      <c r="V2764" s="110"/>
      <c r="W2764" s="110"/>
      <c r="X2764" s="111"/>
      <c r="Y2764" s="111"/>
      <c r="Z2764" s="111"/>
      <c r="AA2764" s="111"/>
    </row>
    <row r="2765" spans="1:32" ht="12.75" customHeight="1">
      <c r="A2765" s="14"/>
      <c r="B2765" s="15"/>
      <c r="C2765" s="15"/>
      <c r="D2765" s="15"/>
      <c r="E2765" s="15"/>
      <c r="F2765" s="14"/>
      <c r="G2765" s="288" t="str">
        <f>"Page "&amp;VALUE(RIGHT($G2764,LEN($G2764)-SEARCH("-",$G2764)))/2</f>
        <v>Page 55</v>
      </c>
      <c r="H2765" s="289"/>
      <c r="I2765" s="289"/>
      <c r="J2765" s="15"/>
      <c r="K2765" s="15"/>
      <c r="L2765" s="15"/>
      <c r="M2765" s="15"/>
      <c r="N2765" s="15"/>
      <c r="O2765" s="15"/>
      <c r="P2765" s="15"/>
      <c r="R2765" s="1"/>
      <c r="S2765" s="110"/>
      <c r="T2765" s="110"/>
      <c r="U2765" s="110"/>
      <c r="V2765" s="110"/>
      <c r="W2765" s="110"/>
      <c r="X2765" s="111"/>
      <c r="Y2765" s="111"/>
      <c r="Z2765" s="111"/>
      <c r="AA2765" s="111"/>
      <c r="AF2765" s="27"/>
    </row>
    <row r="2766" spans="1:32" ht="12.75" customHeight="1">
      <c r="A2766" s="327" t="s">
        <v>1245</v>
      </c>
      <c r="B2766" s="327"/>
      <c r="C2766" s="327"/>
      <c r="D2766" s="327"/>
      <c r="E2766" s="327"/>
      <c r="F2766" s="327"/>
      <c r="G2766" s="327"/>
      <c r="H2766" s="327"/>
      <c r="I2766" s="327"/>
      <c r="J2766" s="327"/>
      <c r="K2766" s="327"/>
      <c r="L2766" s="327"/>
      <c r="M2766" s="327"/>
      <c r="N2766" s="327"/>
      <c r="O2766" s="327"/>
      <c r="P2766" s="327"/>
      <c r="Q2766" s="7"/>
      <c r="R2766" s="1"/>
      <c r="S2766" s="110"/>
      <c r="T2766" s="110"/>
      <c r="U2766" s="110"/>
      <c r="V2766" s="110"/>
      <c r="W2766" s="110"/>
      <c r="X2766" s="111"/>
      <c r="Y2766" s="111"/>
      <c r="Z2766" s="111"/>
      <c r="AA2766" s="111"/>
      <c r="AF2766" s="20"/>
    </row>
    <row r="2767" spans="1:32" ht="12.75" customHeight="1">
      <c r="A2767" s="21" t="s">
        <v>1233</v>
      </c>
      <c r="H2767" s="136" t="str">
        <f>IF($Q2769&lt;&gt;"",IF(AND(AND($H2769&gt;-1,$H2771&gt;-1),OR($H2769&gt;10,$H2771&gt;10),ABS($H2769-$H2771)&gt;1,IF(OR($H2769&gt;11,$H2771&gt;11),ABS($H2769-$H2771)=2,TRUE),$H2769=INT($H2769),$H2771=INT($H2771)),"","Error"),"")</f>
        <v/>
      </c>
      <c r="I2767" s="136" t="str">
        <f>IF($Q2769&lt;&gt;"",IF(AND(AND($I2769&gt;-1,$I2771&gt;-1),OR($I2769&gt;10,$I2771&gt;10),ABS($I2769-$I2771)&gt;1,IF(OR($I2769&gt;11,$I2771&gt;11),ABS($I2769-$I2771)=2,TRUE),$I2769=INT($I2769),$I2771=INT($I2771)),"","Error"),"")</f>
        <v/>
      </c>
      <c r="J2767" s="136" t="str">
        <f>IF($Q2769&lt;&gt;"",IF(AND(AND($J2769&gt;-1,$J2771&gt;-1),OR($J2769&gt;10,$J2771&gt;10),ABS($J2769-$J2771)&gt;1,IF(OR($J2769&gt;11,$J2771&gt;11),ABS($J2769-$J2771)=2,TRUE),$J2769=INT($J2769),$J2771=INT($J2771)),"","Error"),"")</f>
        <v/>
      </c>
      <c r="K2767" s="136" t="str">
        <f>IF($Q2769&lt;&gt;"",IF(AND($K2769&lt;&gt;"",$K2771&lt;&gt;""), IF(AND(AND($K2769&gt;-1,$K2771&gt;-1),OR($K2769&gt;10,$K2771&gt;10),ABS($K2769-$K2771)&gt;1,IF(OR($K2769&gt;11,$K2771&gt;11),ABS($K2769-$K2771)=2,TRUE),$K2769=INT($K2769),$K2771=INT($K2771)),"","Error"),""),"")</f>
        <v/>
      </c>
      <c r="L2767" s="136" t="str">
        <f>IF($Q2769&lt;&gt;"",IF(AND($L2769&lt;&gt;"",$L2771&lt;&gt;""), IF(AND(AND($L2769&gt;-1,$L2771&gt;-1),OR($L2769&gt;10,$L2771&gt;10),ABS($L2769-$L2771)&gt;1,IF(OR($L2769&gt;11,$L2771&gt;11),ABS($L2769-$L2771)=2,TRUE),$L2769=INT($L2769),$L2771=INT($L2771)),"","Error"),""),"")</f>
        <v/>
      </c>
      <c r="R2767" s="1"/>
      <c r="S2767" s="110"/>
      <c r="T2767" s="110"/>
      <c r="U2767" s="110"/>
      <c r="V2767" s="110"/>
      <c r="W2767" s="110"/>
      <c r="X2767" s="111"/>
      <c r="Y2767" s="111"/>
      <c r="Z2767" s="111"/>
      <c r="AA2767" s="111"/>
    </row>
    <row r="2768" spans="1:32" ht="12.75" customHeight="1">
      <c r="A2768" s="5" t="s">
        <v>1228</v>
      </c>
      <c r="B2768" s="290" t="s">
        <v>1126</v>
      </c>
      <c r="C2768" s="291"/>
      <c r="D2768" s="291"/>
      <c r="E2768" s="291"/>
      <c r="F2768" s="291"/>
      <c r="G2768" s="292"/>
      <c r="H2768" s="5">
        <v>1</v>
      </c>
      <c r="I2768" s="5">
        <v>2</v>
      </c>
      <c r="J2768" s="5">
        <v>3</v>
      </c>
      <c r="K2768" s="5">
        <v>4</v>
      </c>
      <c r="L2768" s="5">
        <v>5</v>
      </c>
      <c r="M2768" s="271"/>
      <c r="N2768" s="272"/>
      <c r="O2768" s="272"/>
      <c r="P2768" s="273"/>
      <c r="R2768" s="1"/>
      <c r="S2768" s="110"/>
      <c r="T2768" s="110"/>
      <c r="U2768" s="110"/>
      <c r="V2768" s="110"/>
      <c r="W2768" s="110"/>
      <c r="X2768" s="111"/>
      <c r="Y2768" s="111"/>
      <c r="Z2768" s="111"/>
      <c r="AA2768" s="111"/>
    </row>
    <row r="2769" spans="1:32" ht="12.75" customHeight="1">
      <c r="A2769" s="300" t="str">
        <f>B2763</f>
        <v>F</v>
      </c>
      <c r="B2769" s="293" t="str">
        <f ca="1">IF(AND(OFFSET($AO$1,$C2763-1,8,1,1),$A2764&lt;&gt;"",$J2764&lt;&gt;""),CHOOSE($C2763,$AO$1,$AO$2,$AO$3,$AO$4,$AO$5,$AO$6,$AO$7,$AO$8,$AO$9,$AO$10,$AO$11,$AO$12),"")</f>
        <v/>
      </c>
      <c r="C2769" s="294"/>
      <c r="D2769" s="294"/>
      <c r="E2769" s="294"/>
      <c r="F2769" s="294"/>
      <c r="G2769" s="294"/>
      <c r="H2769" s="265"/>
      <c r="I2769" s="265"/>
      <c r="J2769" s="265"/>
      <c r="K2769" s="265"/>
      <c r="L2769" s="265"/>
      <c r="M2769" s="297"/>
      <c r="N2769" s="298"/>
      <c r="O2769" s="298"/>
      <c r="P2769" s="299"/>
      <c r="Q2769" s="137" t="str">
        <f>IF($L2769=$L2771,IF($K2769=$K2771,IF($J2769&lt;&gt;"",IF($J2769&gt;$J2771,"W","L"),""),IF($K2769&gt;$K2771,"W","L")),IF($L2769&gt;$L2771,"W","L"))</f>
        <v/>
      </c>
      <c r="R2769" s="1"/>
      <c r="S2769" s="110"/>
      <c r="T2769" s="110"/>
      <c r="U2769" s="110"/>
      <c r="V2769" s="110"/>
      <c r="W2769" s="110"/>
      <c r="X2769" s="111"/>
      <c r="Y2769" s="111"/>
      <c r="Z2769" s="111"/>
      <c r="AA2769" s="111"/>
    </row>
    <row r="2770" spans="1:32" ht="12.75" customHeight="1">
      <c r="A2770" s="301"/>
      <c r="B2770" s="295"/>
      <c r="C2770" s="296"/>
      <c r="D2770" s="296"/>
      <c r="E2770" s="296"/>
      <c r="F2770" s="296"/>
      <c r="G2770" s="296"/>
      <c r="H2770" s="270"/>
      <c r="I2770" s="270"/>
      <c r="J2770" s="270"/>
      <c r="K2770" s="270"/>
      <c r="L2770" s="270"/>
      <c r="M2770" s="297"/>
      <c r="N2770" s="298"/>
      <c r="O2770" s="298"/>
      <c r="P2770" s="299"/>
      <c r="Q2770" s="139" t="str">
        <f>IF($Q2769&lt;&gt;"",IF($Q2769="W",IF(SUM(IF($H2769&gt;$H2771,1,0),IF($I2769&gt;$I2771,1,0),IF($J2769&gt;$J2771,1,0),IF($K2769&gt;$K2771,1,0),IF($L2769&gt;$L2771,1,0))&lt;&gt;3,"Error",""),""),"")</f>
        <v/>
      </c>
      <c r="R2770" s="328" t="str">
        <f>$A2764</f>
        <v/>
      </c>
      <c r="S2770" s="328"/>
      <c r="T2770" s="328"/>
      <c r="U2770" s="328"/>
      <c r="V2770" s="328"/>
      <c r="W2770" s="328"/>
      <c r="X2770" s="256" t="str">
        <f>CONCATENATE("(",$B2763," vs ",$K2763,")")</f>
        <v>(F vs I)</v>
      </c>
      <c r="Y2770" s="256"/>
      <c r="Z2770" s="328" t="str">
        <f>$J2764</f>
        <v/>
      </c>
      <c r="AA2770" s="328"/>
      <c r="AB2770" s="328"/>
      <c r="AC2770" s="328"/>
      <c r="AD2770" s="328"/>
      <c r="AE2770" s="328"/>
      <c r="AF2770" s="43"/>
    </row>
    <row r="2771" spans="1:32" ht="12.75" customHeight="1">
      <c r="A2771" s="300" t="str">
        <f>K2763</f>
        <v>I</v>
      </c>
      <c r="B2771" s="293" t="str">
        <f ca="1">IF(AND(OFFSET($AO$1,$L2763-1,8,1,1),$A2764&lt;&gt;"",$J2764&lt;&gt;""),CHOOSE($L2763,$AO$1,$AO$2,$AO$3,$AO$4,$AO$5,$AO$6,$AO$7,$AO$8,$AO$9,$AO$10,$AO$11,$AO$12),"")</f>
        <v/>
      </c>
      <c r="C2771" s="294"/>
      <c r="D2771" s="294"/>
      <c r="E2771" s="294"/>
      <c r="F2771" s="294"/>
      <c r="G2771" s="294"/>
      <c r="H2771" s="265"/>
      <c r="I2771" s="265"/>
      <c r="J2771" s="265"/>
      <c r="K2771" s="265"/>
      <c r="L2771" s="265"/>
      <c r="M2771" s="267" t="s">
        <v>1237</v>
      </c>
      <c r="N2771" s="268"/>
      <c r="O2771" s="268"/>
      <c r="P2771" s="269"/>
      <c r="Q2771" s="137" t="str">
        <f>IF($Q2769&lt;&gt;"",IF($Q2769="W","L","W"),"")</f>
        <v/>
      </c>
      <c r="R2771" s="43"/>
      <c r="S2771" s="43"/>
      <c r="T2771" s="43"/>
      <c r="U2771" s="43"/>
      <c r="V2771" s="43"/>
      <c r="W2771" s="43"/>
      <c r="X2771" s="43"/>
      <c r="Y2771" s="43"/>
      <c r="Z2771" s="43"/>
      <c r="AA2771" s="43"/>
      <c r="AB2771" s="43"/>
      <c r="AC2771" s="43"/>
      <c r="AD2771" s="43"/>
      <c r="AE2771" s="43"/>
      <c r="AF2771" s="43"/>
    </row>
    <row r="2772" spans="1:32" ht="12.75" customHeight="1">
      <c r="A2772" s="301"/>
      <c r="B2772" s="295"/>
      <c r="C2772" s="296"/>
      <c r="D2772" s="296"/>
      <c r="E2772" s="296"/>
      <c r="F2772" s="296"/>
      <c r="G2772" s="296"/>
      <c r="H2772" s="270"/>
      <c r="I2772" s="270"/>
      <c r="J2772" s="266"/>
      <c r="K2772" s="266"/>
      <c r="L2772" s="266"/>
      <c r="M2772" s="267"/>
      <c r="N2772" s="268"/>
      <c r="O2772" s="268"/>
      <c r="P2772" s="269"/>
      <c r="Q2772" s="139" t="str">
        <f>IF($Q2771&lt;&gt;"",IF($Q2771="W",IF(SUM(IF($H2771&gt;$H2769,1,0),IF($I2771&gt;$I2769,1,0),IF($J2771&gt;$J2769,1,0),IF($K2771&gt;$K2769,1,0),IF($L2771&gt;$L2769,1,0))&lt;&gt;3,"Error",""),""),"")</f>
        <v/>
      </c>
      <c r="R2772" s="43" t="str">
        <f>$A2774</f>
        <v>2nd Singles</v>
      </c>
      <c r="S2772" s="43"/>
      <c r="T2772" s="43"/>
      <c r="U2772" s="43"/>
      <c r="V2772" s="43"/>
      <c r="W2772" s="43"/>
      <c r="X2772" s="43"/>
      <c r="Y2772" s="43"/>
      <c r="Z2772" s="43"/>
      <c r="AA2772" s="43"/>
      <c r="AB2772" s="43"/>
      <c r="AC2772" s="43"/>
      <c r="AD2772" s="43"/>
      <c r="AE2772" s="43"/>
      <c r="AF2772" s="43"/>
    </row>
    <row r="2773" spans="1:32" ht="12.75" customHeight="1">
      <c r="Q2773" s="7"/>
      <c r="R2773" s="60" t="s">
        <v>1228</v>
      </c>
      <c r="S2773" s="339" t="s">
        <v>1126</v>
      </c>
      <c r="T2773" s="340"/>
      <c r="U2773" s="340"/>
      <c r="V2773" s="340"/>
      <c r="W2773" s="340"/>
      <c r="X2773" s="341"/>
      <c r="Y2773" s="60">
        <v>1</v>
      </c>
      <c r="Z2773" s="60">
        <v>2</v>
      </c>
      <c r="AA2773" s="60">
        <v>3</v>
      </c>
      <c r="AB2773" s="60">
        <v>4</v>
      </c>
      <c r="AC2773" s="60">
        <v>5</v>
      </c>
      <c r="AD2773" s="342"/>
      <c r="AE2773" s="343"/>
      <c r="AF2773" s="344"/>
    </row>
    <row r="2774" spans="1:32" ht="12.75" customHeight="1">
      <c r="A2774" s="21" t="s">
        <v>1234</v>
      </c>
      <c r="H2774" s="136" t="str">
        <f>IF($Q2776&lt;&gt;"",IF(AND(AND($H2776&gt;-1,$H2778&gt;-1),OR($H2776&gt;10,$H2778&gt;10),ABS($H2776-$H2778)&gt;1,IF(OR($H2776&gt;11,$H2778&gt;11),ABS($H2776-$H2778)=2,TRUE),$H2776=INT($H2776),$H2778=INT($H2778)),"","Error"),"")</f>
        <v/>
      </c>
      <c r="I2774" s="136" t="str">
        <f>IF($Q2776&lt;&gt;"",IF(AND(AND($I2776&gt;-1,$I2778&gt;-1),OR($I2776&gt;10,$I2778&gt;10),ABS($I2776-$I2778)&gt;1,IF(OR($I2776&gt;11,$I2778&gt;11),ABS($I2776-$I2778)=2,TRUE),$I2776=INT($I2776),$I2778=INT($I2778)),"","Error"),"")</f>
        <v/>
      </c>
      <c r="J2774" s="136" t="str">
        <f>IF($Q2776&lt;&gt;"",IF(AND(AND($J2776&gt;-1,$J2778&gt;-1),OR($J2776&gt;10,$J2778&gt;10),ABS($J2776-$J2778)&gt;1,IF(OR($J2776&gt;11,$J2778&gt;11),ABS($J2776-$J2778)=2,TRUE),$J2776=INT($J2776),$J2778=INT($J2778)),"","Error"),"")</f>
        <v/>
      </c>
      <c r="K2774" s="136" t="str">
        <f>IF($Q2776&lt;&gt;"",IF(AND($K2776&lt;&gt;"",$K2778&lt;&gt;""), IF(AND(AND($K2776&gt;-1,$K2778&gt;-1),OR($K2776&gt;10,$K2778&gt;10),ABS($K2776-$K2778)&gt;1,IF(OR($K2776&gt;11,$K2778&gt;11),ABS($K2776-$K2778)=2,TRUE),$K2776=INT($K2776),$K2778=INT($K2778)),"","Error"),""),"")</f>
        <v/>
      </c>
      <c r="L2774" s="136" t="str">
        <f>IF($Q2776&lt;&gt;"",IF(AND($L2776&lt;&gt;"",$L2778&lt;&gt;""), IF(AND(AND($L2776&gt;-1,$L2778&gt;-1),OR($L2776&gt;10,$L2778&gt;10),ABS($L2776-$L2778)&gt;1,IF(OR($L2776&gt;11,$L2778&gt;11),ABS($L2776-$L2778)=2,TRUE),$L2776=INT($L2776),$L2778=INT($L2778)),"","Error"),""),"")</f>
        <v/>
      </c>
      <c r="Q2774" s="7"/>
      <c r="R2774" s="300" t="str">
        <f>$B2763</f>
        <v>F</v>
      </c>
      <c r="S2774" s="331" t="str">
        <f ca="1">IF($B2776&lt;&gt;"",$B2776,"")</f>
        <v/>
      </c>
      <c r="T2774" s="332"/>
      <c r="U2774" s="332"/>
      <c r="V2774" s="332"/>
      <c r="W2774" s="332"/>
      <c r="X2774" s="333"/>
      <c r="Y2774" s="329"/>
      <c r="Z2774" s="329"/>
      <c r="AA2774" s="329"/>
      <c r="AB2774" s="329"/>
      <c r="AC2774" s="329"/>
      <c r="AD2774" s="345"/>
      <c r="AE2774" s="358"/>
      <c r="AF2774" s="359"/>
    </row>
    <row r="2775" spans="1:32" ht="12.75" customHeight="1">
      <c r="A2775" s="5" t="s">
        <v>1228</v>
      </c>
      <c r="B2775" s="290" t="s">
        <v>1126</v>
      </c>
      <c r="C2775" s="291"/>
      <c r="D2775" s="291"/>
      <c r="E2775" s="291"/>
      <c r="F2775" s="291"/>
      <c r="G2775" s="292"/>
      <c r="H2775" s="5">
        <v>1</v>
      </c>
      <c r="I2775" s="5">
        <v>2</v>
      </c>
      <c r="J2775" s="5">
        <v>3</v>
      </c>
      <c r="K2775" s="5">
        <v>4</v>
      </c>
      <c r="L2775" s="5">
        <v>5</v>
      </c>
      <c r="M2775" s="271"/>
      <c r="N2775" s="272"/>
      <c r="O2775" s="272"/>
      <c r="P2775" s="273"/>
      <c r="Q2775" s="7"/>
      <c r="R2775" s="330"/>
      <c r="S2775" s="334"/>
      <c r="T2775" s="335"/>
      <c r="U2775" s="335"/>
      <c r="V2775" s="335"/>
      <c r="W2775" s="335"/>
      <c r="X2775" s="336"/>
      <c r="Y2775" s="330"/>
      <c r="Z2775" s="330"/>
      <c r="AA2775" s="330"/>
      <c r="AB2775" s="330"/>
      <c r="AC2775" s="330"/>
      <c r="AD2775" s="360"/>
      <c r="AE2775" s="361"/>
      <c r="AF2775" s="362"/>
    </row>
    <row r="2776" spans="1:32" ht="12.75" customHeight="1">
      <c r="A2776" s="300" t="str">
        <f>B2763</f>
        <v>F</v>
      </c>
      <c r="B2776" s="293" t="str">
        <f ca="1">IF(AND(OFFSET($AO$1,$C2763-1,8,1,1),$A2764&lt;&gt;"",$J2764&lt;&gt;""),CHOOSE($C2763,$AP$1,$AP$2,$AP$3,$AP$4,$AP$5,$AP$6,$AP$7,$AP$8,$AP$9,$AP$10,$AP$11,$AP$12),"")</f>
        <v/>
      </c>
      <c r="C2776" s="294"/>
      <c r="D2776" s="294"/>
      <c r="E2776" s="294"/>
      <c r="F2776" s="294"/>
      <c r="G2776" s="294"/>
      <c r="H2776" s="265"/>
      <c r="I2776" s="265"/>
      <c r="J2776" s="265"/>
      <c r="K2776" s="265"/>
      <c r="L2776" s="265"/>
      <c r="M2776" s="262" t="str">
        <f ca="1">IF(OR(AND($B2769&lt;&gt;"",$B2776&lt;&gt;"",$C2794&lt;=$B2794),AND($B2771&lt;&gt;"",$B2778&lt;&gt;"",$G2794&lt;=$F2794)),"Invalid Lineup","")</f>
        <v/>
      </c>
      <c r="N2776" s="263"/>
      <c r="O2776" s="263"/>
      <c r="P2776" s="264"/>
      <c r="Q2776" s="137" t="str">
        <f>IF($L2776=$L2778,IF($K2776=$K2778,IF($J2776&lt;&gt;"",IF($J2776&gt;$J2778,"W","L"),""),IF($K2776&gt;$K2778,"W","L")),IF($L2776&gt;$L2778,"W","L"))</f>
        <v/>
      </c>
      <c r="R2776" s="300" t="str">
        <f>$K2763</f>
        <v>I</v>
      </c>
      <c r="S2776" s="331" t="str">
        <f ca="1">IF($B2778&lt;&gt;"",$B2778,"")</f>
        <v/>
      </c>
      <c r="T2776" s="332"/>
      <c r="U2776" s="332"/>
      <c r="V2776" s="332"/>
      <c r="W2776" s="332"/>
      <c r="X2776" s="333"/>
      <c r="Y2776" s="329"/>
      <c r="Z2776" s="329"/>
      <c r="AA2776" s="329"/>
      <c r="AB2776" s="329"/>
      <c r="AC2776" s="351"/>
      <c r="AD2776" s="363" t="s">
        <v>1237</v>
      </c>
      <c r="AE2776" s="358"/>
      <c r="AF2776" s="359"/>
    </row>
    <row r="2777" spans="1:32" ht="12.75" customHeight="1">
      <c r="A2777" s="301"/>
      <c r="B2777" s="295"/>
      <c r="C2777" s="296"/>
      <c r="D2777" s="296"/>
      <c r="E2777" s="296"/>
      <c r="F2777" s="296"/>
      <c r="G2777" s="296"/>
      <c r="H2777" s="270"/>
      <c r="I2777" s="270"/>
      <c r="J2777" s="270"/>
      <c r="K2777" s="270"/>
      <c r="L2777" s="270"/>
      <c r="M2777" s="262"/>
      <c r="N2777" s="263"/>
      <c r="O2777" s="263"/>
      <c r="P2777" s="264"/>
      <c r="Q2777" s="139" t="str">
        <f>IF($Q2776&lt;&gt;"",IF($Q2776="W",IF(SUM(IF($H2776&gt;$H2778,1,0),IF($I2776&gt;$I2778,1,0),IF($J2776&gt;$J2778,1,0),IF($K2776&gt;$K2778,1,0),IF($L2776&gt;$L2778,1,0))&lt;&gt;3,"Error",""),""),"")</f>
        <v/>
      </c>
      <c r="R2777" s="330"/>
      <c r="S2777" s="334"/>
      <c r="T2777" s="335"/>
      <c r="U2777" s="335"/>
      <c r="V2777" s="335"/>
      <c r="W2777" s="335"/>
      <c r="X2777" s="336"/>
      <c r="Y2777" s="330"/>
      <c r="Z2777" s="330"/>
      <c r="AA2777" s="330"/>
      <c r="AB2777" s="330"/>
      <c r="AC2777" s="330"/>
      <c r="AD2777" s="360"/>
      <c r="AE2777" s="361"/>
      <c r="AF2777" s="362"/>
    </row>
    <row r="2778" spans="1:32" ht="12.75" customHeight="1">
      <c r="A2778" s="300" t="str">
        <f>K2763</f>
        <v>I</v>
      </c>
      <c r="B2778" s="293" t="str">
        <f ca="1">IF(AND(OFFSET($AO$1,$L2763-1,8,1,1),$A2764&lt;&gt;"",$J2764&lt;&gt;""),CHOOSE($L2763,$AP$1,$AP$2,$AP$3,$AP$4,$AP$5,$AP$6,$AP$7,$AP$8,$AP$9,$AP$10,$AP$11,$AP$12),"")</f>
        <v/>
      </c>
      <c r="C2778" s="294"/>
      <c r="D2778" s="294"/>
      <c r="E2778" s="294"/>
      <c r="F2778" s="294"/>
      <c r="G2778" s="294"/>
      <c r="H2778" s="265"/>
      <c r="I2778" s="265"/>
      <c r="J2778" s="265"/>
      <c r="K2778" s="265"/>
      <c r="L2778" s="265"/>
      <c r="M2778" s="267" t="s">
        <v>1237</v>
      </c>
      <c r="N2778" s="268"/>
      <c r="O2778" s="268"/>
      <c r="P2778" s="269"/>
      <c r="Q2778" s="137" t="str">
        <f>IF($Q2776&lt;&gt;"",IF($Q2776="W","L","W"),"")</f>
        <v/>
      </c>
      <c r="R2778" s="20"/>
      <c r="S2778" s="20"/>
      <c r="T2778" s="20"/>
      <c r="U2778" s="20"/>
      <c r="V2778" s="20"/>
      <c r="W2778" s="20"/>
      <c r="X2778" s="26"/>
      <c r="Y2778" s="26"/>
      <c r="Z2778" s="20"/>
      <c r="AA2778" s="20"/>
      <c r="AB2778" s="20"/>
      <c r="AC2778" s="20"/>
      <c r="AD2778" s="20"/>
      <c r="AE2778" s="20"/>
      <c r="AF2778" s="27"/>
    </row>
    <row r="2779" spans="1:32" ht="12.75" customHeight="1">
      <c r="A2779" s="301"/>
      <c r="B2779" s="295"/>
      <c r="C2779" s="296"/>
      <c r="D2779" s="296"/>
      <c r="E2779" s="296"/>
      <c r="F2779" s="296"/>
      <c r="G2779" s="296"/>
      <c r="H2779" s="270"/>
      <c r="I2779" s="270"/>
      <c r="J2779" s="266"/>
      <c r="K2779" s="266"/>
      <c r="L2779" s="266"/>
      <c r="M2779" s="267"/>
      <c r="N2779" s="268"/>
      <c r="O2779" s="268"/>
      <c r="P2779" s="269"/>
      <c r="Q2779" s="139" t="str">
        <f>IF($Q2778&lt;&gt;"",IF($Q2778="W",IF(SUM(IF($H2778&gt;$H2776,1,0),IF($I2778&gt;$I2776,1,0),IF($J2778&gt;$J2776,1,0),IF($K2778&gt;$K2776,1,0),IF($L2778&gt;$L2776,1,0))&lt;&gt;3,"Error",""),""),"")</f>
        <v/>
      </c>
      <c r="R2779" s="20"/>
      <c r="S2779" s="20"/>
      <c r="T2779" s="20"/>
      <c r="U2779" s="20"/>
      <c r="V2779" s="20"/>
      <c r="W2779" s="20"/>
      <c r="X2779" s="26"/>
      <c r="Y2779" s="26"/>
      <c r="Z2779" s="20"/>
      <c r="AA2779" s="20"/>
      <c r="AB2779" s="20"/>
      <c r="AC2779" s="20"/>
      <c r="AD2779" s="20"/>
      <c r="AE2779" s="20"/>
      <c r="AF2779" s="27"/>
    </row>
    <row r="2780" spans="1:32" ht="12.75" customHeight="1">
      <c r="Q2780" s="7"/>
      <c r="R2780" s="20"/>
      <c r="S2780" s="20"/>
      <c r="T2780" s="20"/>
      <c r="U2780" s="20"/>
      <c r="V2780" s="20"/>
      <c r="W2780" s="20"/>
      <c r="X2780" s="26"/>
      <c r="Y2780" s="26"/>
      <c r="Z2780" s="20"/>
      <c r="AA2780" s="20"/>
      <c r="AB2780" s="20"/>
      <c r="AC2780" s="20"/>
      <c r="AD2780" s="20"/>
      <c r="AE2780" s="20"/>
      <c r="AF2780" s="27"/>
    </row>
    <row r="2781" spans="1:32" ht="12.75" customHeight="1">
      <c r="A2781" s="21" t="s">
        <v>1235</v>
      </c>
      <c r="H2781" s="136" t="str">
        <f>IF($Q2783&lt;&gt;"",IF(AND(AND($H2783&gt;-1,$H2785&gt;-1),OR($H2783&gt;10,$H2785&gt;10),ABS($H2783-$H2785)&gt;1,IF(OR($H2783&gt;11,$H2785&gt;11),ABS($H2783-$H2785)=2,TRUE),$H2783=INT($H2783),$H2785=INT($H2785)),"","Error"),"")</f>
        <v/>
      </c>
      <c r="I2781" s="136" t="str">
        <f>IF($Q2783&lt;&gt;"",IF(AND(AND($I2783&gt;-1,$I2785&gt;-1),OR($I2783&gt;10,$I2785&gt;10),ABS($I2783-$I2785)&gt;1,IF(OR($I2783&gt;11,$I2785&gt;11),ABS($I2783-$I2785)=2,TRUE),$I2783=INT($I2783),$I2785=INT($I2785)),"","Error"),"")</f>
        <v/>
      </c>
      <c r="J2781" s="136" t="str">
        <f>IF($Q2783&lt;&gt;"",IF(AND(AND($J2783&gt;-1,$J2785&gt;-1),OR($J2783&gt;10,$J2785&gt;10),ABS($J2783-$J2785)&gt;1,IF(OR($J2783&gt;11,$J2785&gt;11),ABS($J2783-$J2785)=2,TRUE),$J2783=INT($J2783),$J2785=INT($J2785)),"","Error"),"")</f>
        <v/>
      </c>
      <c r="K2781" s="136" t="str">
        <f>IF($Q2783&lt;&gt;"",IF(AND($K2783&lt;&gt;"",$K2785&lt;&gt;""), IF(AND(AND($K2783&gt;-1,$K2785&gt;-1),OR($K2783&gt;10,$K2785&gt;10),ABS($K2783-$K2785)&gt;1,IF(OR($K2783&gt;11,$K2785&gt;11),ABS($K2783-$K2785)=2,TRUE),$K2783=INT($K2783),$K2785=INT($K2785)),"","Error"),""),"")</f>
        <v/>
      </c>
      <c r="L2781" s="136" t="str">
        <f>IF($Q2783&lt;&gt;"",IF(AND($L2783&lt;&gt;"",$L2785&lt;&gt;""), IF(AND(AND($L2783&gt;-1,$L2785&gt;-1),OR($L2783&gt;10,$L2785&gt;10),ABS($L2783-$L2785)&gt;1,IF(OR($L2783&gt;11,$L2785&gt;11),ABS($L2783-$L2785)=2,TRUE),$L2783=INT($L2783),$L2785=INT($L2785)),"","Error"),""),"")</f>
        <v/>
      </c>
      <c r="Q2781" s="7"/>
      <c r="R2781" s="20"/>
      <c r="S2781" s="20"/>
      <c r="T2781" s="20"/>
      <c r="U2781" s="20"/>
      <c r="V2781" s="20"/>
      <c r="W2781" s="20"/>
      <c r="X2781" s="26"/>
      <c r="Y2781" s="26"/>
      <c r="Z2781" s="20"/>
      <c r="AA2781" s="20"/>
      <c r="AB2781" s="20"/>
      <c r="AC2781" s="20"/>
      <c r="AD2781" s="20"/>
      <c r="AE2781" s="20"/>
      <c r="AF2781" s="27"/>
    </row>
    <row r="2782" spans="1:32" ht="12.75" customHeight="1">
      <c r="A2782" s="5" t="s">
        <v>1228</v>
      </c>
      <c r="B2782" s="290" t="s">
        <v>1126</v>
      </c>
      <c r="C2782" s="291"/>
      <c r="D2782" s="291"/>
      <c r="E2782" s="291"/>
      <c r="F2782" s="291"/>
      <c r="G2782" s="292"/>
      <c r="H2782" s="5">
        <v>1</v>
      </c>
      <c r="I2782" s="5">
        <v>2</v>
      </c>
      <c r="J2782" s="5">
        <v>3</v>
      </c>
      <c r="K2782" s="5">
        <v>4</v>
      </c>
      <c r="L2782" s="5">
        <v>5</v>
      </c>
      <c r="M2782" s="271"/>
      <c r="N2782" s="272"/>
      <c r="O2782" s="272"/>
      <c r="P2782" s="273"/>
      <c r="Q2782" s="7"/>
      <c r="R2782" s="20"/>
      <c r="S2782" s="20"/>
      <c r="T2782" s="20"/>
      <c r="U2782" s="20"/>
      <c r="V2782" s="20"/>
      <c r="W2782" s="20"/>
      <c r="X2782" s="26"/>
      <c r="Y2782" s="26"/>
      <c r="Z2782" s="20"/>
      <c r="AA2782" s="20"/>
      <c r="AB2782" s="20"/>
      <c r="AC2782" s="20"/>
      <c r="AD2782" s="20"/>
      <c r="AE2782" s="20"/>
      <c r="AF2782" s="27"/>
    </row>
    <row r="2783" spans="1:32" ht="12.75" customHeight="1">
      <c r="A2783" s="300" t="str">
        <f>B2763</f>
        <v>F</v>
      </c>
      <c r="B2783" s="293" t="str">
        <f ca="1">IF(AND(OFFSET($AO$1,$C2763-1,8,1,1),$A2764&lt;&gt;"",$J2764&lt;&gt;""),CHOOSE($C2763,$AQ$1,$AQ$2,$AQ$3,$AQ$4,$AQ$5,$AQ$6,$AQ$7,$AQ$8,$AQ$9,$AQ$10,$AQ$11,$AQ$12),"")</f>
        <v/>
      </c>
      <c r="C2783" s="294"/>
      <c r="D2783" s="294"/>
      <c r="E2783" s="294"/>
      <c r="F2783" s="294"/>
      <c r="G2783" s="294"/>
      <c r="H2783" s="265"/>
      <c r="I2783" s="265"/>
      <c r="J2783" s="265"/>
      <c r="K2783" s="265"/>
      <c r="L2783" s="265"/>
      <c r="M2783" s="262" t="str">
        <f ca="1">IF(OR(AND($B2776&lt;&gt;"",$B2783&lt;&gt;"",$D2794&lt;=$C2794),AND($B2778&lt;&gt;"",$B2785&lt;&gt;"",$H2794&lt;=$G2794)),"Invalid Lineup","")</f>
        <v/>
      </c>
      <c r="N2783" s="263"/>
      <c r="O2783" s="263"/>
      <c r="P2783" s="264"/>
      <c r="Q2783" s="137" t="str">
        <f>IF($L2783=$L2785,IF($K2783=$K2785,IF($J2783&lt;&gt;"",IF($J2783&gt;$J2785,"W","L"),""),IF($K2783&gt;$K2785,"W","L")),IF($L2783&gt;$L2785,"W","L"))</f>
        <v/>
      </c>
      <c r="R2783" s="20"/>
      <c r="S2783" s="20"/>
      <c r="T2783" s="20"/>
      <c r="U2783" s="20"/>
      <c r="V2783" s="20"/>
      <c r="W2783" s="20"/>
      <c r="X2783" s="26"/>
      <c r="Y2783" s="26"/>
      <c r="Z2783" s="20"/>
      <c r="AA2783" s="20"/>
      <c r="AB2783" s="20"/>
      <c r="AC2783" s="20"/>
      <c r="AD2783" s="20"/>
      <c r="AE2783" s="20"/>
      <c r="AF2783" s="27"/>
    </row>
    <row r="2784" spans="1:32" ht="12.75" customHeight="1">
      <c r="A2784" s="301"/>
      <c r="B2784" s="295"/>
      <c r="C2784" s="296"/>
      <c r="D2784" s="296"/>
      <c r="E2784" s="296"/>
      <c r="F2784" s="296"/>
      <c r="G2784" s="296"/>
      <c r="H2784" s="270"/>
      <c r="I2784" s="270"/>
      <c r="J2784" s="270"/>
      <c r="K2784" s="270"/>
      <c r="L2784" s="270"/>
      <c r="M2784" s="262"/>
      <c r="N2784" s="263"/>
      <c r="O2784" s="263"/>
      <c r="P2784" s="264"/>
      <c r="Q2784" s="139" t="str">
        <f>IF($Q2783&lt;&gt;"",IF($Q2783="W",IF(SUM(IF($H2783&gt;$H2785,1,0),IF($I2783&gt;$I2785,1,0),IF($J2783&gt;$J2785,1,0),IF($K2783&gt;$K2785,1,0),IF($L2783&gt;$L2785,1,0))&lt;&gt;3,"Error",""),""),"")</f>
        <v/>
      </c>
      <c r="R2784" s="328" t="str">
        <f>$A2764</f>
        <v/>
      </c>
      <c r="S2784" s="328"/>
      <c r="T2784" s="328"/>
      <c r="U2784" s="328"/>
      <c r="V2784" s="328"/>
      <c r="W2784" s="328"/>
      <c r="X2784" s="256" t="str">
        <f>CONCATENATE("(",$B2763," vs ",$K2763,")")</f>
        <v>(F vs I)</v>
      </c>
      <c r="Y2784" s="256"/>
      <c r="Z2784" s="328" t="str">
        <f>$J2764</f>
        <v/>
      </c>
      <c r="AA2784" s="328"/>
      <c r="AB2784" s="328"/>
      <c r="AC2784" s="328"/>
      <c r="AD2784" s="328"/>
      <c r="AE2784" s="328"/>
      <c r="AF2784" s="100"/>
    </row>
    <row r="2785" spans="1:32" ht="12.75" customHeight="1">
      <c r="A2785" s="300" t="str">
        <f>K2763</f>
        <v>I</v>
      </c>
      <c r="B2785" s="293" t="str">
        <f ca="1">IF(AND(OFFSET($AO$1,$L2763-1,8,1,1),$A2764&lt;&gt;"",$J2764&lt;&gt;""),CHOOSE($L2763,$AQ$1,$AQ$2,$AQ$3,$AQ$4,$AQ$5,$AQ$6,$AQ$7,$AQ$8,$AQ$9,$AQ$10,$AQ$11,$AQ$12),"")</f>
        <v/>
      </c>
      <c r="C2785" s="294"/>
      <c r="D2785" s="294"/>
      <c r="E2785" s="294"/>
      <c r="F2785" s="294"/>
      <c r="G2785" s="294"/>
      <c r="H2785" s="265"/>
      <c r="I2785" s="265"/>
      <c r="J2785" s="265"/>
      <c r="K2785" s="265"/>
      <c r="L2785" s="265"/>
      <c r="M2785" s="267" t="s">
        <v>1237</v>
      </c>
      <c r="N2785" s="268"/>
      <c r="O2785" s="268"/>
      <c r="P2785" s="269"/>
      <c r="Q2785" s="137" t="str">
        <f>IF($Q2783&lt;&gt;"",IF($Q2783="W","L","W"),"")</f>
        <v/>
      </c>
      <c r="R2785" s="100"/>
      <c r="S2785" s="100"/>
      <c r="T2785" s="100"/>
      <c r="U2785" s="100"/>
      <c r="V2785" s="100"/>
      <c r="W2785" s="100"/>
      <c r="X2785" s="100"/>
      <c r="Y2785" s="100"/>
      <c r="Z2785" s="100"/>
      <c r="AA2785" s="100"/>
      <c r="AB2785" s="100"/>
      <c r="AC2785" s="100"/>
      <c r="AD2785" s="100"/>
      <c r="AE2785" s="100"/>
      <c r="AF2785" s="100"/>
    </row>
    <row r="2786" spans="1:32" ht="12.75" customHeight="1">
      <c r="A2786" s="301"/>
      <c r="B2786" s="295"/>
      <c r="C2786" s="296"/>
      <c r="D2786" s="296"/>
      <c r="E2786" s="296"/>
      <c r="F2786" s="296"/>
      <c r="G2786" s="296"/>
      <c r="H2786" s="270"/>
      <c r="I2786" s="270"/>
      <c r="J2786" s="266"/>
      <c r="K2786" s="266"/>
      <c r="L2786" s="266"/>
      <c r="M2786" s="267"/>
      <c r="N2786" s="268"/>
      <c r="O2786" s="268"/>
      <c r="P2786" s="269"/>
      <c r="Q2786" s="139" t="str">
        <f>IF($Q2785&lt;&gt;"",IF($Q2785="W",IF(SUM(IF($H2785&gt;$H2783,1,0),IF($I2785&gt;$I2783,1,0),IF($J2785&gt;$J2783,1,0),IF($K2785&gt;$K2783,1,0),IF($L2785&gt;$L2783,1,0))&lt;&gt;3,"Error",""),""),"")</f>
        <v/>
      </c>
      <c r="R2786" s="43" t="str">
        <f>$A2781</f>
        <v>3rd Singles</v>
      </c>
      <c r="S2786" s="43"/>
      <c r="T2786" s="43"/>
      <c r="U2786" s="43"/>
      <c r="V2786" s="43"/>
      <c r="W2786" s="43"/>
      <c r="X2786" s="43"/>
      <c r="Y2786" s="43"/>
      <c r="Z2786" s="43"/>
      <c r="AA2786" s="43"/>
      <c r="AB2786" s="43"/>
      <c r="AC2786" s="43"/>
      <c r="AD2786" s="43"/>
      <c r="AE2786" s="43"/>
      <c r="AF2786" s="43"/>
    </row>
    <row r="2787" spans="1:32" ht="12.75" customHeight="1">
      <c r="Q2787" s="7"/>
      <c r="R2787" s="60" t="s">
        <v>1228</v>
      </c>
      <c r="S2787" s="101" t="s">
        <v>1126</v>
      </c>
      <c r="T2787" s="102"/>
      <c r="U2787" s="102"/>
      <c r="V2787" s="102"/>
      <c r="W2787" s="102"/>
      <c r="X2787" s="103"/>
      <c r="Y2787" s="60">
        <v>1</v>
      </c>
      <c r="Z2787" s="60">
        <v>2</v>
      </c>
      <c r="AA2787" s="60">
        <v>3</v>
      </c>
      <c r="AB2787" s="60">
        <v>4</v>
      </c>
      <c r="AC2787" s="60">
        <v>5</v>
      </c>
      <c r="AD2787" s="104"/>
      <c r="AE2787" s="105"/>
      <c r="AF2787" s="106"/>
    </row>
    <row r="2788" spans="1:32" ht="12.75" customHeight="1">
      <c r="A2788" s="21" t="s">
        <v>1236</v>
      </c>
      <c r="H2788" s="136" t="str">
        <f ca="1">IF($Q2790&lt;&gt;"",IF(AND($B2790&lt;&gt;"Missing Player",$B2792&lt;&gt;"Missing Player"),IF(AND(AND($H2790&gt;-1,$H2792&gt;-1),OR($H2790&gt;10,$H2792&gt;10),ABS($H2790-$H2792)&gt;1,IF(OR($H2790&gt;11,$H2792&gt;11),ABS($H2790-$H2792)=2,TRUE),$H2790=INT($H2790),$H2792=INT($H2792)),"","Error"),""),"")</f>
        <v/>
      </c>
      <c r="I2788" s="136" t="str">
        <f ca="1">IF($Q2790&lt;&gt;"",IF(AND($B2790&lt;&gt;"Missing Player",$B2792&lt;&gt;"Missing Player"),IF(AND(AND($I2790&gt;-1,$I2792&gt;-1),OR($I2790&gt;10,$I2792&gt;10),ABS($I2790-$I2792)&gt;1,IF(OR($I2790&gt;11,$I2792&gt;11),ABS($I2790-$I2792)=2,TRUE),$I2790=INT($I2790),$I2792=INT($I2792)),"","Error"),""),"")</f>
        <v/>
      </c>
      <c r="J2788" s="136" t="str">
        <f ca="1">IF($Q2790&lt;&gt;"",IF(AND($B2790&lt;&gt;"Missing Player",$B2792&lt;&gt;"Missing Player"),IF(AND(AND($J2790&gt;-1,$J2792&gt;-1),OR($J2790&gt;10,$J2792&gt;10),ABS($J2790-$J2792)&gt;1,IF(OR($J2790&gt;11,$J2792&gt;11),ABS($J2790-$J2792)=2,TRUE),$J2790=INT($J2790),$J2792=INT($J2792)),"","Error"),""),"")</f>
        <v/>
      </c>
      <c r="K2788" s="136" t="str">
        <f ca="1">IF($Q2790&lt;&gt;"",IF(AND($K2790&lt;&gt;"",$K2792&lt;&gt;""), IF(AND(AND($K2790&gt;-1,$K2792&gt;-1),OR($K2790&gt;10,$K2792&gt;10),ABS($K2790-$K2792)&gt;1,IF(OR($K2790&gt;11,$K2792&gt;11),ABS($K2790-$K2792)=2,TRUE),$K2790=INT($K2790),$K2792=INT($K2792)),"","Error"),""),"")</f>
        <v/>
      </c>
      <c r="L2788" s="136" t="str">
        <f ca="1">IF($Q2790&lt;&gt;"",IF(AND($L2790&lt;&gt;"",$L2792&lt;&gt;""), IF(AND(AND($L2790&gt;-1,$L2792&gt;-1),OR($L2790&gt;10,$L2792&gt;10),ABS($L2790-$L2792)&gt;1,IF(OR($L2790&gt;11,$L2792&gt;11),ABS($L2790-$L2792)=2,TRUE),$L2790=INT($L2790),$L2792=INT($L2792)),"","Error"),""),"")</f>
        <v/>
      </c>
      <c r="Q2788" s="7"/>
      <c r="R2788" s="300" t="str">
        <f>$B2763</f>
        <v>F</v>
      </c>
      <c r="S2788" s="331" t="str">
        <f ca="1">IF($B2783&lt;&gt;"",$B2783,"")</f>
        <v/>
      </c>
      <c r="T2788" s="332"/>
      <c r="U2788" s="332"/>
      <c r="V2788" s="332"/>
      <c r="W2788" s="332"/>
      <c r="X2788" s="333"/>
      <c r="Y2788" s="329"/>
      <c r="Z2788" s="329"/>
      <c r="AA2788" s="329"/>
      <c r="AB2788" s="329"/>
      <c r="AC2788" s="329"/>
      <c r="AD2788" s="345"/>
      <c r="AE2788" s="358"/>
      <c r="AF2788" s="359"/>
    </row>
    <row r="2789" spans="1:32" ht="12.75" customHeight="1">
      <c r="A2789" s="5" t="s">
        <v>1228</v>
      </c>
      <c r="B2789" s="290" t="s">
        <v>1126</v>
      </c>
      <c r="C2789" s="291"/>
      <c r="D2789" s="291"/>
      <c r="E2789" s="291"/>
      <c r="F2789" s="291"/>
      <c r="G2789" s="292"/>
      <c r="H2789" s="5">
        <v>1</v>
      </c>
      <c r="I2789" s="5">
        <v>2</v>
      </c>
      <c r="J2789" s="5">
        <v>3</v>
      </c>
      <c r="K2789" s="5">
        <v>4</v>
      </c>
      <c r="L2789" s="5">
        <v>5</v>
      </c>
      <c r="M2789" s="271"/>
      <c r="N2789" s="272"/>
      <c r="O2789" s="272"/>
      <c r="P2789" s="273"/>
      <c r="Q2789" s="7"/>
      <c r="R2789" s="330"/>
      <c r="S2789" s="334"/>
      <c r="T2789" s="335"/>
      <c r="U2789" s="335"/>
      <c r="V2789" s="335"/>
      <c r="W2789" s="335"/>
      <c r="X2789" s="336"/>
      <c r="Y2789" s="330"/>
      <c r="Z2789" s="330"/>
      <c r="AA2789" s="330"/>
      <c r="AB2789" s="330"/>
      <c r="AC2789" s="330"/>
      <c r="AD2789" s="360"/>
      <c r="AE2789" s="361"/>
      <c r="AF2789" s="362"/>
    </row>
    <row r="2790" spans="1:32" ht="12.75" customHeight="1">
      <c r="A2790" s="300" t="str">
        <f>B2763</f>
        <v>F</v>
      </c>
      <c r="B2790" s="293" t="str">
        <f ca="1">IF(AND(OFFSET($AO$1,$C2763-1,8,1,1),$A2764&lt;&gt;"",$J2764&lt;&gt;""),CHOOSE($C2763,$AR$1,$AR$2,$AR$3,$AR$4,$AR$5,$AR$6,$AR$7,$AR$8,$AR$9,$AR$10,$AR$11,$AR$12),"")</f>
        <v/>
      </c>
      <c r="C2790" s="294"/>
      <c r="D2790" s="294"/>
      <c r="E2790" s="294"/>
      <c r="F2790" s="294"/>
      <c r="G2790" s="294"/>
      <c r="H2790" s="265"/>
      <c r="I2790" s="265"/>
      <c r="J2790" s="265"/>
      <c r="K2790" s="265"/>
      <c r="L2790" s="265" t="str">
        <f ca="1">IF(AND($B2790&lt;&gt;"",$Q2769&lt;&gt;""),IF($B2790="Missing Player",0,IF($B2792="Missing Player",11,"")),"")</f>
        <v/>
      </c>
      <c r="M2790" s="262" t="str">
        <f ca="1">IF(OR(AND($B2783&lt;&gt;"",$B2790&lt;&gt;"",$E2794&lt;=$D2794),AND($B2785&lt;&gt;"",$B2792&lt;&gt;"",$I2794&lt;=$H2794)),"Invalid Lineup","")</f>
        <v/>
      </c>
      <c r="N2790" s="263"/>
      <c r="O2790" s="263"/>
      <c r="P2790" s="264"/>
      <c r="Q2790" s="137" t="str">
        <f ca="1">IF($L2790=$L2792,IF($K2790=$K2792,IF($J2790&lt;&gt;"",IF($J2790&gt;$J2792,"W","L"),""),IF($K2790&gt;$K2792,"W","L")),IF($L2790&gt;$L2792,"W","L"))</f>
        <v/>
      </c>
      <c r="R2790" s="300" t="str">
        <f>$K2763</f>
        <v>I</v>
      </c>
      <c r="S2790" s="331" t="str">
        <f ca="1">IF($B2785&lt;&gt;"",$B2785,"")</f>
        <v/>
      </c>
      <c r="T2790" s="332"/>
      <c r="U2790" s="332"/>
      <c r="V2790" s="332"/>
      <c r="W2790" s="332"/>
      <c r="X2790" s="333"/>
      <c r="Y2790" s="329"/>
      <c r="Z2790" s="329"/>
      <c r="AA2790" s="329"/>
      <c r="AB2790" s="329"/>
      <c r="AC2790" s="351"/>
      <c r="AD2790" s="363" t="s">
        <v>1237</v>
      </c>
      <c r="AE2790" s="358"/>
      <c r="AF2790" s="359"/>
    </row>
    <row r="2791" spans="1:32" ht="12.75" customHeight="1">
      <c r="A2791" s="301"/>
      <c r="B2791" s="295"/>
      <c r="C2791" s="296"/>
      <c r="D2791" s="296"/>
      <c r="E2791" s="296"/>
      <c r="F2791" s="296"/>
      <c r="G2791" s="296"/>
      <c r="H2791" s="270"/>
      <c r="I2791" s="270"/>
      <c r="J2791" s="270"/>
      <c r="K2791" s="270"/>
      <c r="L2791" s="270"/>
      <c r="M2791" s="262"/>
      <c r="N2791" s="263"/>
      <c r="O2791" s="263"/>
      <c r="P2791" s="264"/>
      <c r="Q2791" s="139" t="str">
        <f ca="1">IF($Q2790&lt;&gt;"",IF($B2792&lt;&gt;"Missing Player",IF($Q2790="W",IF(SUM(IF($H2790&gt;$H2792,1,0),IF($I2790&gt;$I2792,1,0),IF($J2790&gt;$J2792,1,0),IF($K2790&gt;$K2792,1,0),IF($L2790&gt;$L2792,1,0))&lt;&gt;3,"Error",""),""),""),"")</f>
        <v/>
      </c>
      <c r="R2791" s="330"/>
      <c r="S2791" s="334"/>
      <c r="T2791" s="335"/>
      <c r="U2791" s="335"/>
      <c r="V2791" s="335"/>
      <c r="W2791" s="335"/>
      <c r="X2791" s="336"/>
      <c r="Y2791" s="330"/>
      <c r="Z2791" s="330"/>
      <c r="AA2791" s="330"/>
      <c r="AB2791" s="330"/>
      <c r="AC2791" s="330"/>
      <c r="AD2791" s="360"/>
      <c r="AE2791" s="361"/>
      <c r="AF2791" s="362"/>
    </row>
    <row r="2792" spans="1:32" ht="12.75" customHeight="1">
      <c r="A2792" s="300" t="str">
        <f>K2763</f>
        <v>I</v>
      </c>
      <c r="B2792" s="293" t="str">
        <f ca="1">IF(AND(OFFSET($AO$1,$L2763-1,8,1,1),$A2764&lt;&gt;"",$J2764&lt;&gt;""),CHOOSE($L2763,$AR$1,$AR$2,$AR$3,$AR$4,$AR$5,$AR$6,$AR$7,$AR$8,$AR$9,$AR$10,$AR$11,$AR$12),"")</f>
        <v/>
      </c>
      <c r="C2792" s="294"/>
      <c r="D2792" s="294"/>
      <c r="E2792" s="294"/>
      <c r="F2792" s="294"/>
      <c r="G2792" s="294"/>
      <c r="H2792" s="265"/>
      <c r="I2792" s="265"/>
      <c r="J2792" s="265"/>
      <c r="K2792" s="265"/>
      <c r="L2792" s="265" t="str">
        <f ca="1">IF(AND($B2792&lt;&gt;"",$Q2769&lt;&gt;""),IF($B2792="Missing Player",0,IF($B2790="Missing Player",11,"")),"")</f>
        <v/>
      </c>
      <c r="M2792" s="267" t="s">
        <v>1237</v>
      </c>
      <c r="N2792" s="268"/>
      <c r="O2792" s="268"/>
      <c r="P2792" s="269"/>
      <c r="Q2792" s="137" t="str">
        <f ca="1">IF($Q2790&lt;&gt;"",IF($Q2790="W","L","W"),"")</f>
        <v/>
      </c>
      <c r="R2792" s="112"/>
      <c r="S2792" s="98"/>
      <c r="T2792" s="108"/>
      <c r="U2792" s="108"/>
      <c r="V2792" s="108"/>
      <c r="W2792" s="108"/>
      <c r="X2792" s="108"/>
      <c r="Y2792" s="113"/>
      <c r="Z2792" s="113"/>
      <c r="AA2792" s="113"/>
      <c r="AB2792" s="113"/>
      <c r="AC2792" s="113"/>
      <c r="AD2792" s="107"/>
      <c r="AE2792" s="109"/>
      <c r="AF2792" s="109"/>
    </row>
    <row r="2793" spans="1:32" ht="12.75" customHeight="1">
      <c r="A2793" s="301"/>
      <c r="B2793" s="295"/>
      <c r="C2793" s="296"/>
      <c r="D2793" s="296"/>
      <c r="E2793" s="296"/>
      <c r="F2793" s="296"/>
      <c r="G2793" s="296"/>
      <c r="H2793" s="270"/>
      <c r="I2793" s="270"/>
      <c r="J2793" s="266"/>
      <c r="K2793" s="266"/>
      <c r="L2793" s="266"/>
      <c r="M2793" s="267"/>
      <c r="N2793" s="268"/>
      <c r="O2793" s="268"/>
      <c r="P2793" s="269"/>
      <c r="Q2793" s="139" t="str">
        <f ca="1">IF($Q2792&lt;&gt;"",IF($B2790&lt;&gt;"Missing Player",IF($Q2792="W",IF(SUM(IF($H2792&gt;$H2790,1,0),IF($I2792&gt;$I2790,1,0),IF($J2792&gt;$J2790,1,0),IF($K2792&gt;$K2790,1,0),IF($L2792&gt;$L2790,1,0))&lt;&gt;3,"Error",""),""),""),"")</f>
        <v/>
      </c>
      <c r="R2793" s="114"/>
      <c r="S2793" s="115"/>
      <c r="T2793" s="115"/>
      <c r="U2793" s="115"/>
      <c r="V2793" s="115"/>
      <c r="W2793" s="115"/>
      <c r="X2793" s="115"/>
      <c r="Y2793" s="114"/>
      <c r="Z2793" s="114"/>
      <c r="AA2793" s="114"/>
      <c r="AB2793" s="114"/>
      <c r="AC2793" s="114"/>
      <c r="AD2793" s="114"/>
      <c r="AE2793" s="114"/>
      <c r="AF2793" s="114"/>
    </row>
    <row r="2794" spans="1:32" ht="12.75" customHeight="1">
      <c r="B2794" s="140" t="str">
        <f ca="1">IF(ISERROR(VLOOKUP($B2769&amp;"("&amp;$B2763&amp;")",Players!$S$4:$T$132,2,FALSE)),"",VLOOKUP($B2769&amp;"("&amp;$B2763&amp;")",Players!$S$4:$T$132,2,FALSE))</f>
        <v>F1</v>
      </c>
      <c r="C2794" s="140" t="str">
        <f ca="1">IF(ISERROR(VLOOKUP($B2776&amp;"("&amp;$B2763&amp;")",Players!$S$4:$T$132,2,FALSE)),"",VLOOKUP($B2776&amp;"("&amp;$B2763&amp;")",Players!$S$4:$T$132,2,FALSE))</f>
        <v>F1</v>
      </c>
      <c r="D2794" s="141" t="str">
        <f ca="1">IF(ISERROR(VLOOKUP($B2783&amp;"("&amp;$B2763&amp;")",Players!$S$4:$T$132,2,FALSE)),"",VLOOKUP($B2783&amp;"("&amp;$B2763&amp;")",Players!$S$4:$T$132,2,FALSE))</f>
        <v>F1</v>
      </c>
      <c r="E2794" s="141" t="str">
        <f ca="1">IF(ISERROR(VLOOKUP($B2790&amp;"("&amp;$B2763&amp;")",Players!$S$4:$T$132,2,FALSE)),"",VLOOKUP($B2790&amp;"("&amp;$B2763&amp;")",Players!$S$4:$T$132,2,FALSE))</f>
        <v>F1</v>
      </c>
      <c r="F2794" s="141" t="str">
        <f ca="1">IF(ISERROR(VLOOKUP($B2771&amp;"("&amp;$K2763&amp;")",Players!$S$4:$T$132,2,FALSE)),"",VLOOKUP($B2771&amp;"("&amp;$K2763&amp;")",Players!$S$4:$T$132,2,FALSE))</f>
        <v>I1</v>
      </c>
      <c r="G2794" s="141" t="str">
        <f ca="1">IF(ISERROR(VLOOKUP($B2778&amp;"("&amp;$K2763&amp;")",Players!$S$4:$T$132,2,FALSE)),"",VLOOKUP($B2778&amp;"("&amp;$K2763&amp;")",Players!$S$4:$T$132,2,FALSE))</f>
        <v>I1</v>
      </c>
      <c r="H2794" s="141" t="str">
        <f ca="1">IF(ISERROR(VLOOKUP($B2785&amp;"("&amp;$K2763&amp;")",Players!$S$4:$T$132,2,FALSE)),"",VLOOKUP($B2785&amp;"("&amp;$K2763&amp;")",Players!$S$4:$T$132,2,FALSE))</f>
        <v>I1</v>
      </c>
      <c r="I2794" s="141" t="str">
        <f ca="1">IF(ISERROR(VLOOKUP($B2792&amp;"("&amp;$K2763&amp;")",Players!$S$4:$T$132,2,FALSE)),"",VLOOKUP($B2792&amp;"("&amp;$K2763&amp;")",Players!$S$4:$T$132,2,FALSE))</f>
        <v>I1</v>
      </c>
      <c r="Q2794" s="7"/>
      <c r="R2794" s="50"/>
      <c r="S2794" s="116"/>
      <c r="T2794" s="115"/>
      <c r="U2794" s="115"/>
      <c r="V2794" s="115"/>
      <c r="W2794" s="115"/>
      <c r="X2794" s="115"/>
      <c r="Y2794" s="99"/>
      <c r="Z2794" s="99"/>
      <c r="AA2794" s="99"/>
      <c r="AB2794" s="99"/>
      <c r="AC2794" s="117"/>
      <c r="AD2794" s="118"/>
      <c r="AE2794" s="114"/>
      <c r="AF2794" s="114"/>
    </row>
    <row r="2795" spans="1:32" ht="12.75" customHeight="1">
      <c r="A2795" s="21" t="s">
        <v>1225</v>
      </c>
      <c r="H2795" s="136" t="str">
        <f ca="1">IF($Q2797&lt;&gt;"",IF(AND($B2798&lt;&gt;"Missing Player",$B2800&lt;&gt;"Missing Player"),IF(AND(AND($H2797&gt;-1,$H2799&gt;-1),OR($H2797&gt;10,$H2799&gt;10),ABS($H2797-$H2799)&gt;1,IF(OR($H2797&gt;11,$H2799&gt;11),ABS($H2797-$H2799)=2,TRUE),$H2797=INT($H2797),$H2799=INT($H2799)),"","Error"),""),"")</f>
        <v/>
      </c>
      <c r="I2795" s="136" t="str">
        <f ca="1">IF($Q2797&lt;&gt;"",IF(AND($B2798&lt;&gt;"Missing Player",$B2800&lt;&gt;"Missing Player"),IF(AND(AND($I2797&gt;-1,$I2799&gt;-1),OR($I2797&gt;10,$I2799&gt;10),ABS($I2797-$I2799)&gt;1,IF(OR($I2797&gt;11,$I2799&gt;11),ABS($I2797-$I2799)=2,TRUE),$I2797=INT($I2797),$I2799=INT($I2799)),"","Error"),""),"")</f>
        <v/>
      </c>
      <c r="J2795" s="136" t="str">
        <f ca="1">IF($Q2797&lt;&gt;"",IF(AND($B2798&lt;&gt;"Missing Player",$B2800&lt;&gt;"Missing Player"),IF(AND(AND($J2797&gt;-1,$J2799&gt;-1),OR($J2797&gt;10,$J2799&gt;10),ABS($J2797-$J2799)&gt;1,IF(OR($J2797&gt;11,$J2799&gt;11),ABS($J2797-$J2799)=2,TRUE),$J2797=INT($J2797),$J2799=INT($J2799)),"","Error"),""),"")</f>
        <v/>
      </c>
      <c r="K2795" s="136" t="str">
        <f ca="1">IF($Q2797&lt;&gt;"",IF(AND($K2797&lt;&gt;"",$K2799&lt;&gt;""), IF(AND(AND($K2797&gt;-1,$K2799&gt;-1),OR($K2797&gt;10,$K2799&gt;10),ABS($K2797-$K2799)&gt;1,IF(OR($K2797&gt;11,$K2799&gt;11),ABS($K2797-$K2799)=2,TRUE),$K2797=INT($K2797),$K2799=INT($K2799)),"","Error"),""),"")</f>
        <v/>
      </c>
      <c r="L2795" s="136" t="str">
        <f ca="1">IF($Q2797&lt;&gt;"",IF(AND($L2797&lt;&gt;"",$L2799&lt;&gt;""), IF(AND(AND($L2797&gt;-1,$L2799&gt;-1),OR($L2797&gt;10,$L2799&gt;10),ABS($L2797-$L2799)&gt;1,IF(OR($L2797&gt;11,$L2799&gt;11),ABS($L2797-$L2799)=2,TRUE),$L2797=INT($L2797),$L2799=INT($L2799)),"","Error"),""),"")</f>
        <v/>
      </c>
      <c r="Q2795" s="7"/>
      <c r="R2795" s="114"/>
      <c r="S2795" s="115"/>
      <c r="T2795" s="115"/>
      <c r="U2795" s="115"/>
      <c r="V2795" s="115"/>
      <c r="W2795" s="115"/>
      <c r="X2795" s="115"/>
      <c r="Y2795" s="114"/>
      <c r="Z2795" s="114"/>
      <c r="AA2795" s="114"/>
      <c r="AB2795" s="114"/>
      <c r="AC2795" s="114"/>
      <c r="AD2795" s="114"/>
      <c r="AE2795" s="114"/>
      <c r="AF2795" s="114"/>
    </row>
    <row r="2796" spans="1:32" ht="12.75" customHeight="1">
      <c r="A2796" s="5" t="s">
        <v>1228</v>
      </c>
      <c r="B2796" s="290" t="s">
        <v>1126</v>
      </c>
      <c r="C2796" s="291"/>
      <c r="D2796" s="291"/>
      <c r="E2796" s="291"/>
      <c r="F2796" s="291"/>
      <c r="G2796" s="292"/>
      <c r="H2796" s="5">
        <v>1</v>
      </c>
      <c r="I2796" s="5">
        <v>2</v>
      </c>
      <c r="J2796" s="5">
        <v>3</v>
      </c>
      <c r="K2796" s="5">
        <v>4</v>
      </c>
      <c r="L2796" s="5">
        <v>5</v>
      </c>
      <c r="M2796" s="271"/>
      <c r="N2796" s="272"/>
      <c r="O2796" s="272"/>
      <c r="P2796" s="273"/>
      <c r="Q2796" s="8"/>
      <c r="S2796" s="24"/>
      <c r="T2796" s="26"/>
    </row>
    <row r="2797" spans="1:32" ht="12.75" customHeight="1">
      <c r="A2797" s="300" t="str">
        <f>B2763</f>
        <v>F</v>
      </c>
      <c r="B2797" s="311" t="str">
        <f ca="1">IF($B2769&lt;&gt;"",$B2769,"")</f>
        <v/>
      </c>
      <c r="C2797" s="312"/>
      <c r="D2797" s="312"/>
      <c r="E2797" s="312"/>
      <c r="F2797" s="312"/>
      <c r="G2797" s="313"/>
      <c r="H2797" s="265"/>
      <c r="I2797" s="265"/>
      <c r="J2797" s="265"/>
      <c r="K2797" s="265"/>
      <c r="L2797" s="265" t="str">
        <f ca="1">IF($B2790&lt;&gt;"",IF(AND($B2790="Missing Player",$G2801=2,$J2801=2),0,IF(AND($B2792="Missing Player",$G2801=2,$J2801=2),11,"")),"")</f>
        <v/>
      </c>
      <c r="M2797" s="262" t="str">
        <f ca="1">IF(OR(AND($B2797&lt;&gt;"",$B2798&lt;&gt;"",$B2797=$B2798),AND($B2799&lt;&gt;"",$B2800&lt;&gt;"",$B2799=$B2800)),"Invalid Partner","")</f>
        <v/>
      </c>
      <c r="N2797" s="263"/>
      <c r="O2797" s="263"/>
      <c r="P2797" s="264"/>
      <c r="Q2797" s="138" t="str">
        <f ca="1">IF(L2797=L2799,IF(K2797=K2799,IF(J2797&lt;&gt;"",IF(J2797&gt;J2799,"W","L"),""),IF(K2797&gt;K2799,"W","L")),IF(L2797&gt;L2799,"W","L"))</f>
        <v/>
      </c>
      <c r="S2797" s="24"/>
      <c r="T2797" s="26"/>
    </row>
    <row r="2798" spans="1:32" ht="12.75" customHeight="1">
      <c r="A2798" s="324"/>
      <c r="B2798" s="308" t="str">
        <f ca="1">IF($B2790="Missing Player",$B2790,"")</f>
        <v/>
      </c>
      <c r="C2798" s="309"/>
      <c r="D2798" s="309"/>
      <c r="E2798" s="309"/>
      <c r="F2798" s="309"/>
      <c r="G2798" s="310"/>
      <c r="H2798" s="270"/>
      <c r="I2798" s="270"/>
      <c r="J2798" s="270"/>
      <c r="K2798" s="270"/>
      <c r="L2798" s="270"/>
      <c r="M2798" s="262"/>
      <c r="N2798" s="263"/>
      <c r="O2798" s="263"/>
      <c r="P2798" s="264"/>
      <c r="Q2798" s="139" t="str">
        <f ca="1">IF($Q2797&lt;&gt;"",IF($B2800&lt;&gt;"Missing Player",IF($Q2797="W",IF(SUM(IF($H2797&gt;$H2799,1,0),IF($I2797&gt;$I2799,1,0),IF($J2797&gt;$J2799,1,0),IF($K2797&gt;$K2799,1,0),IF($L2797&gt;$L2799,1,0))&lt;&gt;3,"Error",""),""),""),"")</f>
        <v/>
      </c>
      <c r="R2798" s="328" t="str">
        <f>$A2764</f>
        <v/>
      </c>
      <c r="S2798" s="328"/>
      <c r="T2798" s="328"/>
      <c r="U2798" s="328"/>
      <c r="V2798" s="328"/>
      <c r="W2798" s="328"/>
      <c r="X2798" s="256" t="str">
        <f>CONCATENATE("(",$B2763," vs ",$K2763,")")</f>
        <v>(F vs I)</v>
      </c>
      <c r="Y2798" s="256"/>
      <c r="Z2798" s="328" t="str">
        <f>$J2764</f>
        <v/>
      </c>
      <c r="AA2798" s="328"/>
      <c r="AB2798" s="328"/>
      <c r="AC2798" s="328"/>
      <c r="AD2798" s="328"/>
      <c r="AE2798" s="328"/>
      <c r="AF2798" s="43"/>
    </row>
    <row r="2799" spans="1:32" ht="12.75" customHeight="1">
      <c r="A2799" s="325" t="str">
        <f>K2763</f>
        <v>I</v>
      </c>
      <c r="B2799" s="311" t="str">
        <f ca="1">IF($B2771&lt;&gt;"",$B2771,"")</f>
        <v/>
      </c>
      <c r="C2799" s="312"/>
      <c r="D2799" s="312"/>
      <c r="E2799" s="312"/>
      <c r="F2799" s="312"/>
      <c r="G2799" s="313"/>
      <c r="H2799" s="265"/>
      <c r="I2799" s="265"/>
      <c r="J2799" s="265"/>
      <c r="K2799" s="265"/>
      <c r="L2799" s="265" t="str">
        <f ca="1">IF($B2792&lt;&gt;"",IF(AND($B2792="Missing Player",$G2801=2,$J2801=2),0,IF(AND($B2790="Missing Player",$G2801=2,$J2801=2),11,"")),"")</f>
        <v/>
      </c>
      <c r="M2799" s="267" t="s">
        <v>1237</v>
      </c>
      <c r="N2799" s="268"/>
      <c r="O2799" s="268"/>
      <c r="P2799" s="269"/>
      <c r="Q2799" s="138" t="str">
        <f ca="1">IF(Q2797&lt;&gt;"",IF(Q2797="W","L","W"),"")</f>
        <v/>
      </c>
      <c r="R2799" s="43"/>
      <c r="S2799" s="43"/>
      <c r="T2799" s="43"/>
      <c r="U2799" s="43"/>
      <c r="V2799" s="43"/>
      <c r="W2799" s="43"/>
      <c r="X2799" s="43"/>
      <c r="Y2799" s="43"/>
      <c r="Z2799" s="43"/>
      <c r="AA2799" s="43"/>
      <c r="AB2799" s="43"/>
      <c r="AC2799" s="43"/>
      <c r="AD2799" s="43"/>
      <c r="AE2799" s="43"/>
      <c r="AF2799" s="43"/>
    </row>
    <row r="2800" spans="1:32" ht="12.75" customHeight="1">
      <c r="A2800" s="324"/>
      <c r="B2800" s="308" t="str">
        <f ca="1">IF($B2792="Missing Player",$B2792,"")</f>
        <v/>
      </c>
      <c r="C2800" s="309"/>
      <c r="D2800" s="309"/>
      <c r="E2800" s="309"/>
      <c r="F2800" s="309"/>
      <c r="G2800" s="310"/>
      <c r="H2800" s="270"/>
      <c r="I2800" s="270"/>
      <c r="J2800" s="266"/>
      <c r="K2800" s="266"/>
      <c r="L2800" s="266"/>
      <c r="M2800" s="267"/>
      <c r="N2800" s="268"/>
      <c r="O2800" s="268"/>
      <c r="P2800" s="269"/>
      <c r="Q2800" s="139" t="str">
        <f ca="1">IF($Q2799&lt;&gt;"",IF($B2798&lt;&gt;"Missing Player",IF($Q2799="W",IF(SUM(IF($H2799&gt;$H2797,1,0),IF($I2799&gt;$I2797,1,0),IF($J2799&gt;$J2797,1,0),IF($K2799&gt;$K2797,1,0),IF($L2799&gt;$L2797,1,0))&lt;&gt;3,"Error",""),""),""),"")</f>
        <v/>
      </c>
      <c r="R2800" s="43" t="str">
        <f>A2788</f>
        <v>4th Singles</v>
      </c>
      <c r="S2800" s="43"/>
      <c r="T2800" s="43"/>
      <c r="U2800" s="43"/>
      <c r="V2800" s="43"/>
      <c r="W2800" s="43"/>
      <c r="X2800" s="43"/>
      <c r="Y2800" s="43"/>
      <c r="Z2800" s="43"/>
      <c r="AA2800" s="43"/>
      <c r="AB2800" s="43"/>
      <c r="AC2800" s="43"/>
      <c r="AD2800" s="43"/>
      <c r="AE2800" s="43"/>
      <c r="AF2800" s="43"/>
    </row>
    <row r="2801" spans="1:32" ht="12.75" customHeight="1">
      <c r="G2801" s="66">
        <f ca="1">COUNTIF($Q2769:$Q2769,"W")+COUNTIF($Q2776:$Q2776,"W")+COUNTIF($Q2783:$Q2783,"W")+COUNTIF($Q2790:$Q2790,"W")</f>
        <v>0</v>
      </c>
      <c r="J2801" s="66">
        <f ca="1">COUNTIF($Q2771:$Q2771,"W")+COUNTIF($Q2778:$Q2778,"W")+COUNTIF($Q2785:$Q2785,"W")+COUNTIF($Q2792:$Q2792,"W")</f>
        <v>0</v>
      </c>
      <c r="R2801" s="60" t="s">
        <v>1228</v>
      </c>
      <c r="S2801" s="339" t="s">
        <v>1126</v>
      </c>
      <c r="T2801" s="340"/>
      <c r="U2801" s="340"/>
      <c r="V2801" s="340"/>
      <c r="W2801" s="340"/>
      <c r="X2801" s="341"/>
      <c r="Y2801" s="60">
        <v>1</v>
      </c>
      <c r="Z2801" s="60">
        <v>2</v>
      </c>
      <c r="AA2801" s="60">
        <v>3</v>
      </c>
      <c r="AB2801" s="60">
        <v>4</v>
      </c>
      <c r="AC2801" s="60">
        <v>5</v>
      </c>
      <c r="AD2801" s="342"/>
      <c r="AE2801" s="343"/>
      <c r="AF2801" s="344"/>
    </row>
    <row r="2802" spans="1:32" ht="12.75" customHeight="1" thickBot="1">
      <c r="F2802" s="246" t="s">
        <v>1238</v>
      </c>
      <c r="G2802" s="246"/>
      <c r="H2802" s="246"/>
      <c r="I2802" s="246"/>
      <c r="J2802" s="246"/>
      <c r="K2802" s="246"/>
      <c r="R2802" s="300" t="str">
        <f>B2763</f>
        <v>F</v>
      </c>
      <c r="S2802" s="331" t="str">
        <f ca="1">IF($B2790&lt;&gt;"",$B2790,"")</f>
        <v/>
      </c>
      <c r="T2802" s="353"/>
      <c r="U2802" s="353"/>
      <c r="V2802" s="353"/>
      <c r="W2802" s="353"/>
      <c r="X2802" s="354"/>
      <c r="Y2802" s="329"/>
      <c r="Z2802" s="329"/>
      <c r="AA2802" s="351"/>
      <c r="AB2802" s="351"/>
      <c r="AC2802" s="351"/>
      <c r="AD2802" s="345"/>
      <c r="AE2802" s="346"/>
      <c r="AF2802" s="347"/>
    </row>
    <row r="2803" spans="1:32" ht="12.75" customHeight="1">
      <c r="A2803" s="22"/>
      <c r="B2803" s="22"/>
      <c r="C2803" s="22"/>
      <c r="D2803" s="22"/>
      <c r="E2803" s="22"/>
      <c r="G2803" s="304" t="str">
        <f>B2763</f>
        <v>F</v>
      </c>
      <c r="H2803" s="305"/>
      <c r="I2803" s="302" t="str">
        <f>K2763</f>
        <v>I</v>
      </c>
      <c r="J2803" s="303"/>
      <c r="L2803" s="22"/>
      <c r="M2803" s="22"/>
      <c r="N2803" s="22"/>
      <c r="O2803" s="22"/>
      <c r="P2803" s="22"/>
      <c r="R2803" s="301"/>
      <c r="S2803" s="355"/>
      <c r="T2803" s="356"/>
      <c r="U2803" s="356"/>
      <c r="V2803" s="356"/>
      <c r="W2803" s="356"/>
      <c r="X2803" s="357"/>
      <c r="Y2803" s="338"/>
      <c r="Z2803" s="338"/>
      <c r="AA2803" s="352"/>
      <c r="AB2803" s="352"/>
      <c r="AC2803" s="352"/>
      <c r="AD2803" s="348"/>
      <c r="AE2803" s="349"/>
      <c r="AF2803" s="350"/>
    </row>
    <row r="2804" spans="1:32" ht="12.75" customHeight="1" thickBot="1">
      <c r="A2804" s="2" t="s">
        <v>1228</v>
      </c>
      <c r="B2804" s="53" t="str">
        <f>B2763</f>
        <v>F</v>
      </c>
      <c r="C2804" s="3" t="s">
        <v>1226</v>
      </c>
      <c r="F2804" s="66" t="str">
        <f>CONCATENATE($B2763,"-",$K2763)</f>
        <v>F-I</v>
      </c>
      <c r="G2804" s="320" t="str">
        <f ca="1">IF(OR(Q2769&lt;&gt;"",Q2776&lt;&gt;"",Q2783&lt;&gt;"",Q2790&lt;&gt;"",Q2797&lt;&gt;""),COUNTIF(Q2769:Q2769,"W")+COUNTIF(Q2776:Q2776,"W")+COUNTIF(Q2783:Q2783,"W")+COUNTIF(Q2790:Q2790,"W")+COUNTIF(Q2797:Q2797,"W"),"")</f>
        <v/>
      </c>
      <c r="H2804" s="321"/>
      <c r="I2804" s="322" t="str">
        <f ca="1">IF(OR(Q2771&lt;&gt;"",Q2778&lt;&gt;"",Q2785&lt;&gt;"",Q2792&lt;&gt;"",Q2799&lt;&gt;""),COUNTIF(Q2771:Q2771,"W")+COUNTIF(Q2778:Q2778,"W")+COUNTIF(Q2785:Q2785,"W")+COUNTIF(Q2792:Q2792,"W")+COUNTIF(Q2799:Q2799,"W"),"")</f>
        <v/>
      </c>
      <c r="J2804" s="323"/>
      <c r="L2804" s="2" t="s">
        <v>1228</v>
      </c>
      <c r="M2804" s="53" t="str">
        <f>K2763</f>
        <v>I</v>
      </c>
      <c r="N2804" s="3" t="s">
        <v>1226</v>
      </c>
      <c r="R2804" s="300" t="str">
        <f>K2763</f>
        <v>I</v>
      </c>
      <c r="S2804" s="331" t="str">
        <f ca="1">IF($B2792&lt;&gt;"",$B2792,"")</f>
        <v/>
      </c>
      <c r="T2804" s="332"/>
      <c r="U2804" s="332"/>
      <c r="V2804" s="332"/>
      <c r="W2804" s="332"/>
      <c r="X2804" s="333"/>
      <c r="Y2804" s="329"/>
      <c r="Z2804" s="329"/>
      <c r="AA2804" s="351"/>
      <c r="AB2804" s="351"/>
      <c r="AC2804" s="351"/>
      <c r="AD2804" s="363" t="s">
        <v>1237</v>
      </c>
      <c r="AE2804" s="358"/>
      <c r="AF2804" s="359"/>
    </row>
    <row r="2805" spans="1:32" ht="12.75" customHeight="1">
      <c r="F2805" s="25" t="s">
        <v>3996</v>
      </c>
      <c r="G2805" s="23"/>
      <c r="H2805" s="23"/>
      <c r="I2805" s="23"/>
      <c r="J2805" s="23"/>
      <c r="K2805" s="24"/>
      <c r="R2805" s="330"/>
      <c r="S2805" s="334"/>
      <c r="T2805" s="335"/>
      <c r="U2805" s="335"/>
      <c r="V2805" s="335"/>
      <c r="W2805" s="335"/>
      <c r="X2805" s="336"/>
      <c r="Y2805" s="330"/>
      <c r="Z2805" s="330"/>
      <c r="AA2805" s="330"/>
      <c r="AB2805" s="330"/>
      <c r="AC2805" s="330"/>
      <c r="AD2805" s="360"/>
      <c r="AE2805" s="361"/>
      <c r="AF2805" s="362"/>
    </row>
    <row r="2806" spans="1:32" ht="12.75" customHeight="1">
      <c r="R2806" s="1"/>
      <c r="S2806" s="110"/>
      <c r="T2806" s="110"/>
      <c r="U2806" s="110"/>
      <c r="V2806" s="110"/>
      <c r="W2806" s="110"/>
      <c r="X2806" s="111"/>
      <c r="Y2806" s="111"/>
      <c r="Z2806" s="111"/>
      <c r="AA2806" s="111"/>
    </row>
    <row r="2807" spans="1:32" ht="12.75" customHeight="1">
      <c r="F2807" s="246" t="s">
        <v>4929</v>
      </c>
      <c r="G2807" s="246"/>
      <c r="H2807" s="246"/>
      <c r="I2807" s="246"/>
      <c r="R2807" s="1"/>
      <c r="S2807" s="110"/>
      <c r="T2807" s="110"/>
      <c r="U2807" s="110"/>
      <c r="V2807" s="110"/>
      <c r="W2807" s="110"/>
      <c r="X2807" s="111"/>
      <c r="Y2807" s="111"/>
      <c r="Z2807" s="111"/>
      <c r="AA2807" s="111"/>
    </row>
    <row r="2808" spans="1:32" ht="12.75" customHeight="1">
      <c r="F2808" s="246" t="s">
        <v>4930</v>
      </c>
      <c r="G2808" s="246"/>
      <c r="H2808" s="246"/>
      <c r="I2808" s="246"/>
      <c r="R2808" s="1"/>
      <c r="S2808" s="110"/>
      <c r="T2808" s="110"/>
      <c r="U2808" s="110"/>
      <c r="V2808" s="110"/>
      <c r="W2808" s="110"/>
      <c r="X2808" s="111"/>
      <c r="Y2808" s="111"/>
      <c r="Z2808" s="111"/>
      <c r="AA2808" s="111"/>
    </row>
    <row r="2809" spans="1:32" ht="12.75" customHeight="1">
      <c r="K2809" s="281" t="s">
        <v>1244</v>
      </c>
      <c r="L2809" s="281"/>
      <c r="M2809" s="281"/>
      <c r="N2809" s="281"/>
      <c r="O2809" s="281"/>
      <c r="P2809" s="281"/>
      <c r="R2809" s="1"/>
      <c r="S2809" s="110"/>
      <c r="T2809" s="110"/>
      <c r="U2809" s="110"/>
      <c r="V2809" s="110"/>
      <c r="W2809" s="110"/>
      <c r="X2809" s="111"/>
      <c r="Y2809" s="111"/>
      <c r="Z2809" s="111"/>
      <c r="AA2809" s="111"/>
    </row>
    <row r="2810" spans="1:32" ht="12.75" customHeight="1">
      <c r="A2810" s="12" t="s">
        <v>1229</v>
      </c>
      <c r="B2810" s="11"/>
      <c r="C2810" s="11"/>
      <c r="D2810" s="11" t="str">
        <f>Draw!$B$1</f>
        <v>Enter Division Name</v>
      </c>
      <c r="E2810" s="11"/>
      <c r="F2810" s="7"/>
      <c r="G2810" s="6"/>
      <c r="H2810" s="7"/>
      <c r="I2810" s="11"/>
      <c r="J2810" s="11"/>
      <c r="K2810" s="11"/>
      <c r="L2810" s="11"/>
      <c r="M2810" s="281"/>
      <c r="N2810" s="281"/>
      <c r="O2810" s="281"/>
      <c r="P2810" s="281"/>
      <c r="R2810" s="1"/>
      <c r="S2810" s="110"/>
      <c r="T2810" s="110"/>
      <c r="U2810" s="110"/>
      <c r="V2810" s="110"/>
      <c r="W2810" s="110"/>
      <c r="X2810" s="111"/>
      <c r="Y2810" s="111"/>
      <c r="Z2810" s="111"/>
      <c r="AA2810" s="111"/>
    </row>
    <row r="2811" spans="1:32" ht="12.75" customHeight="1">
      <c r="A2811" s="2" t="s">
        <v>1230</v>
      </c>
      <c r="D2811" s="43" t="str">
        <f>Draw!$D$1</f>
        <v>Enter Hosting Location (City, ST)</v>
      </c>
      <c r="J2811" s="43" t="str">
        <f ca="1">$J$6</f>
        <v>[NCTTA Teams Template (v2.06).xlsx]</v>
      </c>
      <c r="R2811" s="1"/>
      <c r="S2811" s="110"/>
      <c r="T2811" s="110"/>
      <c r="U2811" s="110"/>
      <c r="V2811" s="110"/>
      <c r="W2811" s="110"/>
      <c r="X2811" s="111"/>
      <c r="Y2811" s="111"/>
      <c r="Z2811" s="111"/>
      <c r="AA2811" s="111"/>
    </row>
    <row r="2812" spans="1:32" ht="12.75" customHeight="1">
      <c r="A2812" s="2" t="s">
        <v>1231</v>
      </c>
      <c r="D2812" s="337" t="str">
        <f>Draw!$P$1</f>
        <v>Enter Date</v>
      </c>
      <c r="E2812" s="337"/>
      <c r="F2812" s="337"/>
      <c r="G2812" s="337"/>
      <c r="J2812" s="280" t="str">
        <f>CHOOSE(Draw!$T$1,"Round 10, Match 2","","","","","","","","","","")</f>
        <v/>
      </c>
      <c r="K2812" s="280"/>
      <c r="L2812" s="280"/>
      <c r="M2812" s="276" t="str">
        <f>IF(AND($J2812&lt;&gt;"",Draw!$AC$10&lt;&gt;"",Draw!$AC$13&lt;&gt;""),Draw!$AC$10+TIME(0,VALUE(MID($J2812,7,FIND(",",$J2812)-FIND(" ",$J2812)-1)-1)*Draw!$AC$13,0),"")</f>
        <v/>
      </c>
      <c r="N2812" s="276"/>
      <c r="O2812" s="157" t="str">
        <f>$F2855</f>
        <v>F-J</v>
      </c>
      <c r="R2812" s="1"/>
      <c r="S2812" s="110"/>
      <c r="T2812" s="110"/>
      <c r="U2812" s="110"/>
      <c r="V2812" s="110"/>
      <c r="W2812" s="110"/>
      <c r="X2812" s="111"/>
      <c r="Y2812" s="111"/>
      <c r="Z2812" s="111"/>
      <c r="AA2812" s="111"/>
    </row>
    <row r="2813" spans="1:32" ht="12.75" customHeight="1">
      <c r="A2813" s="14"/>
      <c r="B2813" s="15"/>
      <c r="C2813" s="15"/>
      <c r="D2813" s="15"/>
      <c r="E2813" s="15"/>
      <c r="F2813" s="14"/>
      <c r="G2813" s="14"/>
      <c r="H2813" s="16"/>
      <c r="I2813" s="14"/>
      <c r="J2813" s="15"/>
      <c r="K2813" s="15"/>
      <c r="L2813" s="15"/>
      <c r="M2813" s="15"/>
      <c r="N2813" s="15"/>
      <c r="O2813" s="364" t="str">
        <f>IF(OR(AND(VLOOKUP($B2814,$AM$1:$AX$12,12,FALSE)="C",VLOOKUP($K2814,$AM$1:$AX$12,12,FALSE)="C"),AND(VLOOKUP($B2814,$AM$1:$AX$12,12,FALSE)="W",VLOOKUP($K2814,$AM$1:$AX$12,12,FALSE)="W")),"Official",IF(AND($A2815="",$J2815=""),"","Scrimmage"))</f>
        <v/>
      </c>
      <c r="P2813" s="364"/>
      <c r="R2813" s="1"/>
      <c r="S2813" s="110"/>
      <c r="T2813" s="110"/>
      <c r="U2813" s="110"/>
      <c r="V2813" s="110"/>
      <c r="W2813" s="110"/>
      <c r="X2813" s="111"/>
      <c r="Y2813" s="111"/>
      <c r="Z2813" s="111"/>
      <c r="AA2813" s="111"/>
    </row>
    <row r="2814" spans="1:32" ht="12.75" customHeight="1">
      <c r="A2814" s="17" t="s">
        <v>1228</v>
      </c>
      <c r="B2814" s="119" t="str">
        <f>CHOOSE(Draw!$T$1,"B","E","F","F","G","G","G","G","G","F","A")</f>
        <v>F</v>
      </c>
      <c r="C2814" s="135">
        <f>VLOOKUP($B2814,$AM$1:$AN$12,2)</f>
        <v>6</v>
      </c>
      <c r="D2814" s="13"/>
      <c r="E2814" s="13"/>
      <c r="F2814" s="10"/>
      <c r="H2814" s="19" t="s">
        <v>1232</v>
      </c>
      <c r="J2814" s="17" t="s">
        <v>1228</v>
      </c>
      <c r="K2814" s="119" t="str">
        <f>CHOOSE(Draw!$T$1,"D","H","J","K","L","L","L","L","K","K","L")</f>
        <v>J</v>
      </c>
      <c r="L2814" s="135">
        <f>VLOOKUP($K2814,$AM$1:$AN$12,2)</f>
        <v>10</v>
      </c>
      <c r="M2814" s="13"/>
      <c r="N2814" s="13"/>
      <c r="O2814" s="18"/>
      <c r="P2814" s="274"/>
      <c r="Q2814" s="275"/>
      <c r="R2814" s="1"/>
      <c r="S2814" s="110"/>
      <c r="T2814" s="110"/>
      <c r="U2814" s="110"/>
      <c r="V2814" s="110"/>
      <c r="W2814" s="110"/>
      <c r="X2814" s="111"/>
      <c r="Y2814" s="111"/>
      <c r="Z2814" s="111"/>
      <c r="AA2814" s="111"/>
    </row>
    <row r="2815" spans="1:32" ht="12.75" customHeight="1">
      <c r="A2815" s="277" t="str">
        <f>IF(VLOOKUP($B2814,Draw!$A$4:$B$27,2)&lt;&gt;0,VLOOKUP($B2814,Draw!$A$4:$B$27,2),"")</f>
        <v/>
      </c>
      <c r="B2815" s="278"/>
      <c r="C2815" s="278"/>
      <c r="D2815" s="278"/>
      <c r="E2815" s="278"/>
      <c r="F2815" s="279"/>
      <c r="G2815" s="306" t="s">
        <v>4207</v>
      </c>
      <c r="H2815" s="289"/>
      <c r="I2815" s="307"/>
      <c r="J2815" s="277" t="str">
        <f>IF(VLOOKUP($K2814,Draw!$A$4:$B$27,2)&lt;&gt;0,VLOOKUP($K2814,Draw!$A$4:$B$27,2),"")</f>
        <v/>
      </c>
      <c r="K2815" s="278"/>
      <c r="L2815" s="278"/>
      <c r="M2815" s="278"/>
      <c r="N2815" s="278"/>
      <c r="O2815" s="279"/>
      <c r="P2815" s="15"/>
      <c r="R2815" s="1"/>
      <c r="S2815" s="110"/>
      <c r="T2815" s="110"/>
      <c r="U2815" s="110"/>
      <c r="V2815" s="110"/>
      <c r="W2815" s="110"/>
      <c r="X2815" s="111"/>
      <c r="Y2815" s="111"/>
      <c r="Z2815" s="111"/>
      <c r="AA2815" s="111"/>
    </row>
    <row r="2816" spans="1:32" ht="12.75" customHeight="1">
      <c r="A2816" s="14"/>
      <c r="B2816" s="15"/>
      <c r="C2816" s="15"/>
      <c r="D2816" s="15"/>
      <c r="E2816" s="15"/>
      <c r="F2816" s="14"/>
      <c r="G2816" s="288" t="str">
        <f>"Page "&amp;VALUE(RIGHT($G2815,LEN($G2815)-SEARCH("-",$G2815)))/2</f>
        <v>Page 56</v>
      </c>
      <c r="H2816" s="289"/>
      <c r="I2816" s="289"/>
      <c r="J2816" s="15"/>
      <c r="K2816" s="15"/>
      <c r="L2816" s="15"/>
      <c r="M2816" s="15"/>
      <c r="N2816" s="15"/>
      <c r="O2816" s="15"/>
      <c r="P2816" s="15"/>
      <c r="R2816" s="1"/>
      <c r="S2816" s="110"/>
      <c r="T2816" s="110"/>
      <c r="U2816" s="110"/>
      <c r="V2816" s="110"/>
      <c r="W2816" s="110"/>
      <c r="X2816" s="111"/>
      <c r="Y2816" s="111"/>
      <c r="Z2816" s="111"/>
      <c r="AA2816" s="111"/>
      <c r="AF2816" s="27"/>
    </row>
    <row r="2817" spans="1:32" ht="12.75" customHeight="1">
      <c r="A2817" s="327" t="s">
        <v>1245</v>
      </c>
      <c r="B2817" s="327"/>
      <c r="C2817" s="327"/>
      <c r="D2817" s="327"/>
      <c r="E2817" s="327"/>
      <c r="F2817" s="327"/>
      <c r="G2817" s="327"/>
      <c r="H2817" s="327"/>
      <c r="I2817" s="327"/>
      <c r="J2817" s="327"/>
      <c r="K2817" s="327"/>
      <c r="L2817" s="327"/>
      <c r="M2817" s="327"/>
      <c r="N2817" s="327"/>
      <c r="O2817" s="327"/>
      <c r="P2817" s="327"/>
      <c r="Q2817" s="7"/>
      <c r="R2817" s="1"/>
      <c r="S2817" s="110"/>
      <c r="T2817" s="110"/>
      <c r="U2817" s="110"/>
      <c r="V2817" s="110"/>
      <c r="W2817" s="110"/>
      <c r="X2817" s="111"/>
      <c r="Y2817" s="111"/>
      <c r="Z2817" s="111"/>
      <c r="AA2817" s="111"/>
      <c r="AF2817" s="20"/>
    </row>
    <row r="2818" spans="1:32" ht="12.75" customHeight="1">
      <c r="A2818" s="21" t="s">
        <v>1233</v>
      </c>
      <c r="H2818" s="136" t="str">
        <f>IF($Q2820&lt;&gt;"",IF(AND(AND($H2820&gt;-1,$H2822&gt;-1),OR($H2820&gt;10,$H2822&gt;10),ABS($H2820-$H2822)&gt;1,IF(OR($H2820&gt;11,$H2822&gt;11),ABS($H2820-$H2822)=2,TRUE),$H2820=INT($H2820),$H2822=INT($H2822)),"","Error"),"")</f>
        <v/>
      </c>
      <c r="I2818" s="136" t="str">
        <f>IF($Q2820&lt;&gt;"",IF(AND(AND($I2820&gt;-1,$I2822&gt;-1),OR($I2820&gt;10,$I2822&gt;10),ABS($I2820-$I2822)&gt;1,IF(OR($I2820&gt;11,$I2822&gt;11),ABS($I2820-$I2822)=2,TRUE),$I2820=INT($I2820),$I2822=INT($I2822)),"","Error"),"")</f>
        <v/>
      </c>
      <c r="J2818" s="136" t="str">
        <f>IF($Q2820&lt;&gt;"",IF(AND(AND($J2820&gt;-1,$J2822&gt;-1),OR($J2820&gt;10,$J2822&gt;10),ABS($J2820-$J2822)&gt;1,IF(OR($J2820&gt;11,$J2822&gt;11),ABS($J2820-$J2822)=2,TRUE),$J2820=INT($J2820),$J2822=INT($J2822)),"","Error"),"")</f>
        <v/>
      </c>
      <c r="K2818" s="136" t="str">
        <f>IF($Q2820&lt;&gt;"",IF(AND($K2820&lt;&gt;"",$K2822&lt;&gt;""), IF(AND(AND($K2820&gt;-1,$K2822&gt;-1),OR($K2820&gt;10,$K2822&gt;10),ABS($K2820-$K2822)&gt;1,IF(OR($K2820&gt;11,$K2822&gt;11),ABS($K2820-$K2822)=2,TRUE),$K2820=INT($K2820),$K2822=INT($K2822)),"","Error"),""),"")</f>
        <v/>
      </c>
      <c r="L2818" s="136" t="str">
        <f>IF($Q2820&lt;&gt;"",IF(AND($L2820&lt;&gt;"",$L2822&lt;&gt;""), IF(AND(AND($L2820&gt;-1,$L2822&gt;-1),OR($L2820&gt;10,$L2822&gt;10),ABS($L2820-$L2822)&gt;1,IF(OR($L2820&gt;11,$L2822&gt;11),ABS($L2820-$L2822)=2,TRUE),$L2820=INT($L2820),$L2822=INT($L2822)),"","Error"),""),"")</f>
        <v/>
      </c>
      <c r="R2818" s="1"/>
      <c r="S2818" s="110"/>
      <c r="T2818" s="110"/>
      <c r="U2818" s="110"/>
      <c r="V2818" s="110"/>
      <c r="W2818" s="110"/>
      <c r="X2818" s="111"/>
      <c r="Y2818" s="111"/>
      <c r="Z2818" s="111"/>
      <c r="AA2818" s="111"/>
    </row>
    <row r="2819" spans="1:32" ht="12.75" customHeight="1">
      <c r="A2819" s="5" t="s">
        <v>1228</v>
      </c>
      <c r="B2819" s="290" t="s">
        <v>1126</v>
      </c>
      <c r="C2819" s="291"/>
      <c r="D2819" s="291"/>
      <c r="E2819" s="291"/>
      <c r="F2819" s="291"/>
      <c r="G2819" s="292"/>
      <c r="H2819" s="5">
        <v>1</v>
      </c>
      <c r="I2819" s="5">
        <v>2</v>
      </c>
      <c r="J2819" s="5">
        <v>3</v>
      </c>
      <c r="K2819" s="5">
        <v>4</v>
      </c>
      <c r="L2819" s="5">
        <v>5</v>
      </c>
      <c r="M2819" s="271"/>
      <c r="N2819" s="272"/>
      <c r="O2819" s="272"/>
      <c r="P2819" s="273"/>
      <c r="R2819" s="1"/>
      <c r="S2819" s="110"/>
      <c r="T2819" s="110"/>
      <c r="U2819" s="110"/>
      <c r="V2819" s="110"/>
      <c r="W2819" s="110"/>
      <c r="X2819" s="111"/>
      <c r="Y2819" s="111"/>
      <c r="Z2819" s="111"/>
      <c r="AA2819" s="111"/>
    </row>
    <row r="2820" spans="1:32" ht="12.75" customHeight="1">
      <c r="A2820" s="300" t="str">
        <f>B2814</f>
        <v>F</v>
      </c>
      <c r="B2820" s="293" t="str">
        <f ca="1">IF(AND(OFFSET($AO$1,$C2814-1,8,1,1),$A2815&lt;&gt;"",$J2815&lt;&gt;""),CHOOSE($C2814,$AO$1,$AO$2,$AO$3,$AO$4,$AO$5,$AO$6,$AO$7,$AO$8,$AO$9,$AO$10,$AO$11,$AO$12),"")</f>
        <v/>
      </c>
      <c r="C2820" s="294"/>
      <c r="D2820" s="294"/>
      <c r="E2820" s="294"/>
      <c r="F2820" s="294"/>
      <c r="G2820" s="294"/>
      <c r="H2820" s="265"/>
      <c r="I2820" s="265"/>
      <c r="J2820" s="265"/>
      <c r="K2820" s="265"/>
      <c r="L2820" s="265"/>
      <c r="M2820" s="297"/>
      <c r="N2820" s="298"/>
      <c r="O2820" s="298"/>
      <c r="P2820" s="299"/>
      <c r="Q2820" s="137" t="str">
        <f>IF($L2820=$L2822,IF($K2820=$K2822,IF($J2820&lt;&gt;"",IF($J2820&gt;$J2822,"W","L"),""),IF($K2820&gt;$K2822,"W","L")),IF($L2820&gt;$L2822,"W","L"))</f>
        <v/>
      </c>
      <c r="R2820" s="1"/>
      <c r="S2820" s="110"/>
      <c r="T2820" s="110"/>
      <c r="U2820" s="110"/>
      <c r="V2820" s="110"/>
      <c r="W2820" s="110"/>
      <c r="X2820" s="111"/>
      <c r="Y2820" s="111"/>
      <c r="Z2820" s="111"/>
      <c r="AA2820" s="111"/>
    </row>
    <row r="2821" spans="1:32" ht="12.75" customHeight="1">
      <c r="A2821" s="301"/>
      <c r="B2821" s="295"/>
      <c r="C2821" s="296"/>
      <c r="D2821" s="296"/>
      <c r="E2821" s="296"/>
      <c r="F2821" s="296"/>
      <c r="G2821" s="296"/>
      <c r="H2821" s="270"/>
      <c r="I2821" s="270"/>
      <c r="J2821" s="270"/>
      <c r="K2821" s="270"/>
      <c r="L2821" s="270"/>
      <c r="M2821" s="297"/>
      <c r="N2821" s="298"/>
      <c r="O2821" s="298"/>
      <c r="P2821" s="299"/>
      <c r="Q2821" s="139" t="str">
        <f>IF($Q2820&lt;&gt;"",IF($Q2820="W",IF(SUM(IF($H2820&gt;$H2822,1,0),IF($I2820&gt;$I2822,1,0),IF($J2820&gt;$J2822,1,0),IF($K2820&gt;$K2822,1,0),IF($L2820&gt;$L2822,1,0))&lt;&gt;3,"Error",""),""),"")</f>
        <v/>
      </c>
      <c r="R2821" s="328" t="str">
        <f>$A2815</f>
        <v/>
      </c>
      <c r="S2821" s="328"/>
      <c r="T2821" s="328"/>
      <c r="U2821" s="328"/>
      <c r="V2821" s="328"/>
      <c r="W2821" s="328"/>
      <c r="X2821" s="256" t="str">
        <f>CONCATENATE("(",$B2814," vs ",$K2814,")")</f>
        <v>(F vs J)</v>
      </c>
      <c r="Y2821" s="256"/>
      <c r="Z2821" s="328" t="str">
        <f>$J2815</f>
        <v/>
      </c>
      <c r="AA2821" s="328"/>
      <c r="AB2821" s="328"/>
      <c r="AC2821" s="328"/>
      <c r="AD2821" s="328"/>
      <c r="AE2821" s="328"/>
      <c r="AF2821" s="43"/>
    </row>
    <row r="2822" spans="1:32" ht="12.75" customHeight="1">
      <c r="A2822" s="300" t="str">
        <f>K2814</f>
        <v>J</v>
      </c>
      <c r="B2822" s="293" t="str">
        <f ca="1">IF(AND(OFFSET($AO$1,$L2814-1,8,1,1),$A2815&lt;&gt;"",$J2815&lt;&gt;""),CHOOSE($L2814,$AO$1,$AO$2,$AO$3,$AO$4,$AO$5,$AO$6,$AO$7,$AO$8,$AO$9,$AO$10,$AO$11,$AO$12),"")</f>
        <v/>
      </c>
      <c r="C2822" s="294"/>
      <c r="D2822" s="294"/>
      <c r="E2822" s="294"/>
      <c r="F2822" s="294"/>
      <c r="G2822" s="294"/>
      <c r="H2822" s="265"/>
      <c r="I2822" s="265"/>
      <c r="J2822" s="265"/>
      <c r="K2822" s="265"/>
      <c r="L2822" s="265"/>
      <c r="M2822" s="267" t="s">
        <v>1237</v>
      </c>
      <c r="N2822" s="268"/>
      <c r="O2822" s="268"/>
      <c r="P2822" s="269"/>
      <c r="Q2822" s="137" t="str">
        <f>IF($Q2820&lt;&gt;"",IF($Q2820="W","L","W"),"")</f>
        <v/>
      </c>
      <c r="R2822" s="43"/>
      <c r="S2822" s="43"/>
      <c r="T2822" s="43"/>
      <c r="U2822" s="43"/>
      <c r="V2822" s="43"/>
      <c r="W2822" s="43"/>
      <c r="X2822" s="43"/>
      <c r="Y2822" s="43"/>
      <c r="Z2822" s="43"/>
      <c r="AA2822" s="43"/>
      <c r="AB2822" s="43"/>
      <c r="AC2822" s="43"/>
      <c r="AD2822" s="43"/>
      <c r="AE2822" s="43"/>
      <c r="AF2822" s="43"/>
    </row>
    <row r="2823" spans="1:32" ht="12.75" customHeight="1">
      <c r="A2823" s="301"/>
      <c r="B2823" s="295"/>
      <c r="C2823" s="296"/>
      <c r="D2823" s="296"/>
      <c r="E2823" s="296"/>
      <c r="F2823" s="296"/>
      <c r="G2823" s="296"/>
      <c r="H2823" s="270"/>
      <c r="I2823" s="270"/>
      <c r="J2823" s="266"/>
      <c r="K2823" s="266"/>
      <c r="L2823" s="266"/>
      <c r="M2823" s="267"/>
      <c r="N2823" s="268"/>
      <c r="O2823" s="268"/>
      <c r="P2823" s="269"/>
      <c r="Q2823" s="139" t="str">
        <f>IF($Q2822&lt;&gt;"",IF($Q2822="W",IF(SUM(IF($H2822&gt;$H2820,1,0),IF($I2822&gt;$I2820,1,0),IF($J2822&gt;$J2820,1,0),IF($K2822&gt;$K2820,1,0),IF($L2822&gt;$L2820,1,0))&lt;&gt;3,"Error",""),""),"")</f>
        <v/>
      </c>
      <c r="R2823" s="43" t="str">
        <f>$A2825</f>
        <v>2nd Singles</v>
      </c>
      <c r="S2823" s="43"/>
      <c r="T2823" s="43"/>
      <c r="U2823" s="43"/>
      <c r="V2823" s="43"/>
      <c r="W2823" s="43"/>
      <c r="X2823" s="43"/>
      <c r="Y2823" s="43"/>
      <c r="Z2823" s="43"/>
      <c r="AA2823" s="43"/>
      <c r="AB2823" s="43"/>
      <c r="AC2823" s="43"/>
      <c r="AD2823" s="43"/>
      <c r="AE2823" s="43"/>
      <c r="AF2823" s="43"/>
    </row>
    <row r="2824" spans="1:32" ht="12.75" customHeight="1">
      <c r="Q2824" s="7"/>
      <c r="R2824" s="60" t="s">
        <v>1228</v>
      </c>
      <c r="S2824" s="339" t="s">
        <v>1126</v>
      </c>
      <c r="T2824" s="340"/>
      <c r="U2824" s="340"/>
      <c r="V2824" s="340"/>
      <c r="W2824" s="340"/>
      <c r="X2824" s="341"/>
      <c r="Y2824" s="60">
        <v>1</v>
      </c>
      <c r="Z2824" s="60">
        <v>2</v>
      </c>
      <c r="AA2824" s="60">
        <v>3</v>
      </c>
      <c r="AB2824" s="60">
        <v>4</v>
      </c>
      <c r="AC2824" s="60">
        <v>5</v>
      </c>
      <c r="AD2824" s="342"/>
      <c r="AE2824" s="343"/>
      <c r="AF2824" s="344"/>
    </row>
    <row r="2825" spans="1:32" ht="12.75" customHeight="1">
      <c r="A2825" s="21" t="s">
        <v>1234</v>
      </c>
      <c r="H2825" s="136" t="str">
        <f>IF($Q2827&lt;&gt;"",IF(AND(AND($H2827&gt;-1,$H2829&gt;-1),OR($H2827&gt;10,$H2829&gt;10),ABS($H2827-$H2829)&gt;1,IF(OR($H2827&gt;11,$H2829&gt;11),ABS($H2827-$H2829)=2,TRUE),$H2827=INT($H2827),$H2829=INT($H2829)),"","Error"),"")</f>
        <v/>
      </c>
      <c r="I2825" s="136" t="str">
        <f>IF($Q2827&lt;&gt;"",IF(AND(AND($I2827&gt;-1,$I2829&gt;-1),OR($I2827&gt;10,$I2829&gt;10),ABS($I2827-$I2829)&gt;1,IF(OR($I2827&gt;11,$I2829&gt;11),ABS($I2827-$I2829)=2,TRUE),$I2827=INT($I2827),$I2829=INT($I2829)),"","Error"),"")</f>
        <v/>
      </c>
      <c r="J2825" s="136" t="str">
        <f>IF($Q2827&lt;&gt;"",IF(AND(AND($J2827&gt;-1,$J2829&gt;-1),OR($J2827&gt;10,$J2829&gt;10),ABS($J2827-$J2829)&gt;1,IF(OR($J2827&gt;11,$J2829&gt;11),ABS($J2827-$J2829)=2,TRUE),$J2827=INT($J2827),$J2829=INT($J2829)),"","Error"),"")</f>
        <v/>
      </c>
      <c r="K2825" s="136" t="str">
        <f>IF($Q2827&lt;&gt;"",IF(AND($K2827&lt;&gt;"",$K2829&lt;&gt;""), IF(AND(AND($K2827&gt;-1,$K2829&gt;-1),OR($K2827&gt;10,$K2829&gt;10),ABS($K2827-$K2829)&gt;1,IF(OR($K2827&gt;11,$K2829&gt;11),ABS($K2827-$K2829)=2,TRUE),$K2827=INT($K2827),$K2829=INT($K2829)),"","Error"),""),"")</f>
        <v/>
      </c>
      <c r="L2825" s="136" t="str">
        <f>IF($Q2827&lt;&gt;"",IF(AND($L2827&lt;&gt;"",$L2829&lt;&gt;""), IF(AND(AND($L2827&gt;-1,$L2829&gt;-1),OR($L2827&gt;10,$L2829&gt;10),ABS($L2827-$L2829)&gt;1,IF(OR($L2827&gt;11,$L2829&gt;11),ABS($L2827-$L2829)=2,TRUE),$L2827=INT($L2827),$L2829=INT($L2829)),"","Error"),""),"")</f>
        <v/>
      </c>
      <c r="Q2825" s="7"/>
      <c r="R2825" s="300" t="str">
        <f>$B2814</f>
        <v>F</v>
      </c>
      <c r="S2825" s="331" t="str">
        <f ca="1">IF($B2827&lt;&gt;"",$B2827,"")</f>
        <v/>
      </c>
      <c r="T2825" s="332"/>
      <c r="U2825" s="332"/>
      <c r="V2825" s="332"/>
      <c r="W2825" s="332"/>
      <c r="X2825" s="333"/>
      <c r="Y2825" s="329"/>
      <c r="Z2825" s="329"/>
      <c r="AA2825" s="329"/>
      <c r="AB2825" s="329"/>
      <c r="AC2825" s="329"/>
      <c r="AD2825" s="345"/>
      <c r="AE2825" s="358"/>
      <c r="AF2825" s="359"/>
    </row>
    <row r="2826" spans="1:32" ht="12.75" customHeight="1">
      <c r="A2826" s="5" t="s">
        <v>1228</v>
      </c>
      <c r="B2826" s="290" t="s">
        <v>1126</v>
      </c>
      <c r="C2826" s="291"/>
      <c r="D2826" s="291"/>
      <c r="E2826" s="291"/>
      <c r="F2826" s="291"/>
      <c r="G2826" s="292"/>
      <c r="H2826" s="5">
        <v>1</v>
      </c>
      <c r="I2826" s="5">
        <v>2</v>
      </c>
      <c r="J2826" s="5">
        <v>3</v>
      </c>
      <c r="K2826" s="5">
        <v>4</v>
      </c>
      <c r="L2826" s="5">
        <v>5</v>
      </c>
      <c r="M2826" s="271"/>
      <c r="N2826" s="272"/>
      <c r="O2826" s="272"/>
      <c r="P2826" s="273"/>
      <c r="Q2826" s="7"/>
      <c r="R2826" s="330"/>
      <c r="S2826" s="334"/>
      <c r="T2826" s="335"/>
      <c r="U2826" s="335"/>
      <c r="V2826" s="335"/>
      <c r="W2826" s="335"/>
      <c r="X2826" s="336"/>
      <c r="Y2826" s="330"/>
      <c r="Z2826" s="330"/>
      <c r="AA2826" s="330"/>
      <c r="AB2826" s="330"/>
      <c r="AC2826" s="330"/>
      <c r="AD2826" s="360"/>
      <c r="AE2826" s="361"/>
      <c r="AF2826" s="362"/>
    </row>
    <row r="2827" spans="1:32" ht="12.75" customHeight="1">
      <c r="A2827" s="300" t="str">
        <f>B2814</f>
        <v>F</v>
      </c>
      <c r="B2827" s="293" t="str">
        <f ca="1">IF(AND(OFFSET($AO$1,$C2814-1,8,1,1),$A2815&lt;&gt;"",$J2815&lt;&gt;""),CHOOSE($C2814,$AP$1,$AP$2,$AP$3,$AP$4,$AP$5,$AP$6,$AP$7,$AP$8,$AP$9,$AP$10,$AP$11,$AP$12),"")</f>
        <v/>
      </c>
      <c r="C2827" s="294"/>
      <c r="D2827" s="294"/>
      <c r="E2827" s="294"/>
      <c r="F2827" s="294"/>
      <c r="G2827" s="294"/>
      <c r="H2827" s="265"/>
      <c r="I2827" s="265"/>
      <c r="J2827" s="265"/>
      <c r="K2827" s="265"/>
      <c r="L2827" s="265"/>
      <c r="M2827" s="262" t="str">
        <f ca="1">IF(OR(AND($B2820&lt;&gt;"",$B2827&lt;&gt;"",$C2845&lt;=$B2845),AND($B2822&lt;&gt;"",$B2829&lt;&gt;"",$G2845&lt;=$F2845)),"Invalid Lineup","")</f>
        <v/>
      </c>
      <c r="N2827" s="263"/>
      <c r="O2827" s="263"/>
      <c r="P2827" s="264"/>
      <c r="Q2827" s="137" t="str">
        <f>IF($L2827=$L2829,IF($K2827=$K2829,IF($J2827&lt;&gt;"",IF($J2827&gt;$J2829,"W","L"),""),IF($K2827&gt;$K2829,"W","L")),IF($L2827&gt;$L2829,"W","L"))</f>
        <v/>
      </c>
      <c r="R2827" s="300" t="str">
        <f>$K2814</f>
        <v>J</v>
      </c>
      <c r="S2827" s="331" t="str">
        <f ca="1">IF($B2829&lt;&gt;"",$B2829,"")</f>
        <v/>
      </c>
      <c r="T2827" s="332"/>
      <c r="U2827" s="332"/>
      <c r="V2827" s="332"/>
      <c r="W2827" s="332"/>
      <c r="X2827" s="333"/>
      <c r="Y2827" s="329"/>
      <c r="Z2827" s="329"/>
      <c r="AA2827" s="329"/>
      <c r="AB2827" s="329"/>
      <c r="AC2827" s="351"/>
      <c r="AD2827" s="363" t="s">
        <v>1237</v>
      </c>
      <c r="AE2827" s="358"/>
      <c r="AF2827" s="359"/>
    </row>
    <row r="2828" spans="1:32" ht="12.75" customHeight="1">
      <c r="A2828" s="301"/>
      <c r="B2828" s="295"/>
      <c r="C2828" s="296"/>
      <c r="D2828" s="296"/>
      <c r="E2828" s="296"/>
      <c r="F2828" s="296"/>
      <c r="G2828" s="296"/>
      <c r="H2828" s="270"/>
      <c r="I2828" s="270"/>
      <c r="J2828" s="270"/>
      <c r="K2828" s="270"/>
      <c r="L2828" s="270"/>
      <c r="M2828" s="262"/>
      <c r="N2828" s="263"/>
      <c r="O2828" s="263"/>
      <c r="P2828" s="264"/>
      <c r="Q2828" s="139" t="str">
        <f>IF($Q2827&lt;&gt;"",IF($Q2827="W",IF(SUM(IF($H2827&gt;$H2829,1,0),IF($I2827&gt;$I2829,1,0),IF($J2827&gt;$J2829,1,0),IF($K2827&gt;$K2829,1,0),IF($L2827&gt;$L2829,1,0))&lt;&gt;3,"Error",""),""),"")</f>
        <v/>
      </c>
      <c r="R2828" s="330"/>
      <c r="S2828" s="334"/>
      <c r="T2828" s="335"/>
      <c r="U2828" s="335"/>
      <c r="V2828" s="335"/>
      <c r="W2828" s="335"/>
      <c r="X2828" s="336"/>
      <c r="Y2828" s="330"/>
      <c r="Z2828" s="330"/>
      <c r="AA2828" s="330"/>
      <c r="AB2828" s="330"/>
      <c r="AC2828" s="330"/>
      <c r="AD2828" s="360"/>
      <c r="AE2828" s="361"/>
      <c r="AF2828" s="362"/>
    </row>
    <row r="2829" spans="1:32" ht="12.75" customHeight="1">
      <c r="A2829" s="300" t="str">
        <f>K2814</f>
        <v>J</v>
      </c>
      <c r="B2829" s="293" t="str">
        <f ca="1">IF(AND(OFFSET($AO$1,$L2814-1,8,1,1),$A2815&lt;&gt;"",$J2815&lt;&gt;""),CHOOSE($L2814,$AP$1,$AP$2,$AP$3,$AP$4,$AP$5,$AP$6,$AP$7,$AP$8,$AP$9,$AP$10,$AP$11,$AP$12),"")</f>
        <v/>
      </c>
      <c r="C2829" s="294"/>
      <c r="D2829" s="294"/>
      <c r="E2829" s="294"/>
      <c r="F2829" s="294"/>
      <c r="G2829" s="294"/>
      <c r="H2829" s="265"/>
      <c r="I2829" s="265"/>
      <c r="J2829" s="265"/>
      <c r="K2829" s="265"/>
      <c r="L2829" s="265"/>
      <c r="M2829" s="267" t="s">
        <v>1237</v>
      </c>
      <c r="N2829" s="268"/>
      <c r="O2829" s="268"/>
      <c r="P2829" s="269"/>
      <c r="Q2829" s="137" t="str">
        <f>IF($Q2827&lt;&gt;"",IF($Q2827="W","L","W"),"")</f>
        <v/>
      </c>
      <c r="R2829" s="20"/>
      <c r="S2829" s="20"/>
      <c r="T2829" s="20"/>
      <c r="U2829" s="20"/>
      <c r="V2829" s="20"/>
      <c r="W2829" s="20"/>
      <c r="X2829" s="26"/>
      <c r="Y2829" s="26"/>
      <c r="Z2829" s="20"/>
      <c r="AA2829" s="20"/>
      <c r="AB2829" s="20"/>
      <c r="AC2829" s="20"/>
      <c r="AD2829" s="20"/>
      <c r="AE2829" s="20"/>
      <c r="AF2829" s="27"/>
    </row>
    <row r="2830" spans="1:32" ht="12.75" customHeight="1">
      <c r="A2830" s="301"/>
      <c r="B2830" s="295"/>
      <c r="C2830" s="296"/>
      <c r="D2830" s="296"/>
      <c r="E2830" s="296"/>
      <c r="F2830" s="296"/>
      <c r="G2830" s="296"/>
      <c r="H2830" s="270"/>
      <c r="I2830" s="270"/>
      <c r="J2830" s="266"/>
      <c r="K2830" s="266"/>
      <c r="L2830" s="266"/>
      <c r="M2830" s="267"/>
      <c r="N2830" s="268"/>
      <c r="O2830" s="268"/>
      <c r="P2830" s="269"/>
      <c r="Q2830" s="139" t="str">
        <f>IF($Q2829&lt;&gt;"",IF($Q2829="W",IF(SUM(IF($H2829&gt;$H2827,1,0),IF($I2829&gt;$I2827,1,0),IF($J2829&gt;$J2827,1,0),IF($K2829&gt;$K2827,1,0),IF($L2829&gt;$L2827,1,0))&lt;&gt;3,"Error",""),""),"")</f>
        <v/>
      </c>
      <c r="R2830" s="20"/>
      <c r="S2830" s="20"/>
      <c r="T2830" s="20"/>
      <c r="U2830" s="20"/>
      <c r="V2830" s="20"/>
      <c r="W2830" s="20"/>
      <c r="X2830" s="26"/>
      <c r="Y2830" s="26"/>
      <c r="Z2830" s="20"/>
      <c r="AA2830" s="20"/>
      <c r="AB2830" s="20"/>
      <c r="AC2830" s="20"/>
      <c r="AD2830" s="20"/>
      <c r="AE2830" s="20"/>
      <c r="AF2830" s="27"/>
    </row>
    <row r="2831" spans="1:32" ht="12.75" customHeight="1">
      <c r="Q2831" s="7"/>
      <c r="R2831" s="20"/>
      <c r="S2831" s="20"/>
      <c r="T2831" s="20"/>
      <c r="U2831" s="20"/>
      <c r="V2831" s="20"/>
      <c r="W2831" s="20"/>
      <c r="X2831" s="26"/>
      <c r="Y2831" s="26"/>
      <c r="Z2831" s="20"/>
      <c r="AA2831" s="20"/>
      <c r="AB2831" s="20"/>
      <c r="AC2831" s="20"/>
      <c r="AD2831" s="20"/>
      <c r="AE2831" s="20"/>
      <c r="AF2831" s="27"/>
    </row>
    <row r="2832" spans="1:32" ht="12.75" customHeight="1">
      <c r="A2832" s="21" t="s">
        <v>1235</v>
      </c>
      <c r="H2832" s="136" t="str">
        <f>IF($Q2834&lt;&gt;"",IF(AND(AND($H2834&gt;-1,$H2836&gt;-1),OR($H2834&gt;10,$H2836&gt;10),ABS($H2834-$H2836)&gt;1,IF(OR($H2834&gt;11,$H2836&gt;11),ABS($H2834-$H2836)=2,TRUE),$H2834=INT($H2834),$H2836=INT($H2836)),"","Error"),"")</f>
        <v/>
      </c>
      <c r="I2832" s="136" t="str">
        <f>IF($Q2834&lt;&gt;"",IF(AND(AND($I2834&gt;-1,$I2836&gt;-1),OR($I2834&gt;10,$I2836&gt;10),ABS($I2834-$I2836)&gt;1,IF(OR($I2834&gt;11,$I2836&gt;11),ABS($I2834-$I2836)=2,TRUE),$I2834=INT($I2834),$I2836=INT($I2836)),"","Error"),"")</f>
        <v/>
      </c>
      <c r="J2832" s="136" t="str">
        <f>IF($Q2834&lt;&gt;"",IF(AND(AND($J2834&gt;-1,$J2836&gt;-1),OR($J2834&gt;10,$J2836&gt;10),ABS($J2834-$J2836)&gt;1,IF(OR($J2834&gt;11,$J2836&gt;11),ABS($J2834-$J2836)=2,TRUE),$J2834=INT($J2834),$J2836=INT($J2836)),"","Error"),"")</f>
        <v/>
      </c>
      <c r="K2832" s="136" t="str">
        <f>IF($Q2834&lt;&gt;"",IF(AND($K2834&lt;&gt;"",$K2836&lt;&gt;""), IF(AND(AND($K2834&gt;-1,$K2836&gt;-1),OR($K2834&gt;10,$K2836&gt;10),ABS($K2834-$K2836)&gt;1,IF(OR($K2834&gt;11,$K2836&gt;11),ABS($K2834-$K2836)=2,TRUE),$K2834=INT($K2834),$K2836=INT($K2836)),"","Error"),""),"")</f>
        <v/>
      </c>
      <c r="L2832" s="136" t="str">
        <f>IF($Q2834&lt;&gt;"",IF(AND($L2834&lt;&gt;"",$L2836&lt;&gt;""), IF(AND(AND($L2834&gt;-1,$L2836&gt;-1),OR($L2834&gt;10,$L2836&gt;10),ABS($L2834-$L2836)&gt;1,IF(OR($L2834&gt;11,$L2836&gt;11),ABS($L2834-$L2836)=2,TRUE),$L2834=INT($L2834),$L2836=INT($L2836)),"","Error"),""),"")</f>
        <v/>
      </c>
      <c r="Q2832" s="7"/>
      <c r="R2832" s="20"/>
      <c r="S2832" s="20"/>
      <c r="T2832" s="20"/>
      <c r="U2832" s="20"/>
      <c r="V2832" s="20"/>
      <c r="W2832" s="20"/>
      <c r="X2832" s="26"/>
      <c r="Y2832" s="26"/>
      <c r="Z2832" s="20"/>
      <c r="AA2832" s="20"/>
      <c r="AB2832" s="20"/>
      <c r="AC2832" s="20"/>
      <c r="AD2832" s="20"/>
      <c r="AE2832" s="20"/>
      <c r="AF2832" s="27"/>
    </row>
    <row r="2833" spans="1:32" ht="12.75" customHeight="1">
      <c r="A2833" s="5" t="s">
        <v>1228</v>
      </c>
      <c r="B2833" s="290" t="s">
        <v>1126</v>
      </c>
      <c r="C2833" s="291"/>
      <c r="D2833" s="291"/>
      <c r="E2833" s="291"/>
      <c r="F2833" s="291"/>
      <c r="G2833" s="292"/>
      <c r="H2833" s="5">
        <v>1</v>
      </c>
      <c r="I2833" s="5">
        <v>2</v>
      </c>
      <c r="J2833" s="5">
        <v>3</v>
      </c>
      <c r="K2833" s="5">
        <v>4</v>
      </c>
      <c r="L2833" s="5">
        <v>5</v>
      </c>
      <c r="M2833" s="271"/>
      <c r="N2833" s="272"/>
      <c r="O2833" s="272"/>
      <c r="P2833" s="273"/>
      <c r="Q2833" s="7"/>
      <c r="R2833" s="20"/>
      <c r="S2833" s="20"/>
      <c r="T2833" s="20"/>
      <c r="U2833" s="20"/>
      <c r="V2833" s="20"/>
      <c r="W2833" s="20"/>
      <c r="X2833" s="26"/>
      <c r="Y2833" s="26"/>
      <c r="Z2833" s="20"/>
      <c r="AA2833" s="20"/>
      <c r="AB2833" s="20"/>
      <c r="AC2833" s="20"/>
      <c r="AD2833" s="20"/>
      <c r="AE2833" s="20"/>
      <c r="AF2833" s="27"/>
    </row>
    <row r="2834" spans="1:32" ht="12.75" customHeight="1">
      <c r="A2834" s="300" t="str">
        <f>B2814</f>
        <v>F</v>
      </c>
      <c r="B2834" s="293" t="str">
        <f ca="1">IF(AND(OFFSET($AO$1,$C2814-1,8,1,1),$A2815&lt;&gt;"",$J2815&lt;&gt;""),CHOOSE($C2814,$AQ$1,$AQ$2,$AQ$3,$AQ$4,$AQ$5,$AQ$6,$AQ$7,$AQ$8,$AQ$9,$AQ$10,$AQ$11,$AQ$12),"")</f>
        <v/>
      </c>
      <c r="C2834" s="294"/>
      <c r="D2834" s="294"/>
      <c r="E2834" s="294"/>
      <c r="F2834" s="294"/>
      <c r="G2834" s="294"/>
      <c r="H2834" s="265"/>
      <c r="I2834" s="265"/>
      <c r="J2834" s="265"/>
      <c r="K2834" s="265"/>
      <c r="L2834" s="265"/>
      <c r="M2834" s="262" t="str">
        <f ca="1">IF(OR(AND($B2827&lt;&gt;"",$B2834&lt;&gt;"",$D2845&lt;=$C2845),AND($B2829&lt;&gt;"",$B2836&lt;&gt;"",$H2845&lt;=$G2845)),"Invalid Lineup","")</f>
        <v/>
      </c>
      <c r="N2834" s="263"/>
      <c r="O2834" s="263"/>
      <c r="P2834" s="264"/>
      <c r="Q2834" s="137" t="str">
        <f>IF($L2834=$L2836,IF($K2834=$K2836,IF($J2834&lt;&gt;"",IF($J2834&gt;$J2836,"W","L"),""),IF($K2834&gt;$K2836,"W","L")),IF($L2834&gt;$L2836,"W","L"))</f>
        <v/>
      </c>
      <c r="R2834" s="20"/>
      <c r="S2834" s="20"/>
      <c r="T2834" s="20"/>
      <c r="U2834" s="20"/>
      <c r="V2834" s="20"/>
      <c r="W2834" s="20"/>
      <c r="X2834" s="26"/>
      <c r="Y2834" s="26"/>
      <c r="Z2834" s="20"/>
      <c r="AA2834" s="20"/>
      <c r="AB2834" s="20"/>
      <c r="AC2834" s="20"/>
      <c r="AD2834" s="20"/>
      <c r="AE2834" s="20"/>
      <c r="AF2834" s="27"/>
    </row>
    <row r="2835" spans="1:32" ht="12.75" customHeight="1">
      <c r="A2835" s="301"/>
      <c r="B2835" s="295"/>
      <c r="C2835" s="296"/>
      <c r="D2835" s="296"/>
      <c r="E2835" s="296"/>
      <c r="F2835" s="296"/>
      <c r="G2835" s="296"/>
      <c r="H2835" s="270"/>
      <c r="I2835" s="270"/>
      <c r="J2835" s="270"/>
      <c r="K2835" s="270"/>
      <c r="L2835" s="270"/>
      <c r="M2835" s="262"/>
      <c r="N2835" s="263"/>
      <c r="O2835" s="263"/>
      <c r="P2835" s="264"/>
      <c r="Q2835" s="139" t="str">
        <f>IF($Q2834&lt;&gt;"",IF($Q2834="W",IF(SUM(IF($H2834&gt;$H2836,1,0),IF($I2834&gt;$I2836,1,0),IF($J2834&gt;$J2836,1,0),IF($K2834&gt;$K2836,1,0),IF($L2834&gt;$L2836,1,0))&lt;&gt;3,"Error",""),""),"")</f>
        <v/>
      </c>
      <c r="R2835" s="328" t="str">
        <f>$A2815</f>
        <v/>
      </c>
      <c r="S2835" s="328"/>
      <c r="T2835" s="328"/>
      <c r="U2835" s="328"/>
      <c r="V2835" s="328"/>
      <c r="W2835" s="328"/>
      <c r="X2835" s="256" t="str">
        <f>CONCATENATE("(",$B2814," vs ",$K2814,")")</f>
        <v>(F vs J)</v>
      </c>
      <c r="Y2835" s="256"/>
      <c r="Z2835" s="328" t="str">
        <f>$J2815</f>
        <v/>
      </c>
      <c r="AA2835" s="328"/>
      <c r="AB2835" s="328"/>
      <c r="AC2835" s="328"/>
      <c r="AD2835" s="328"/>
      <c r="AE2835" s="328"/>
      <c r="AF2835" s="100"/>
    </row>
    <row r="2836" spans="1:32" ht="12.75" customHeight="1">
      <c r="A2836" s="300" t="str">
        <f>K2814</f>
        <v>J</v>
      </c>
      <c r="B2836" s="293" t="str">
        <f ca="1">IF(AND(OFFSET($AO$1,$L2814-1,8,1,1),$A2815&lt;&gt;"",$J2815&lt;&gt;""),CHOOSE($L2814,$AQ$1,$AQ$2,$AQ$3,$AQ$4,$AQ$5,$AQ$6,$AQ$7,$AQ$8,$AQ$9,$AQ$10,$AQ$11,$AQ$12),"")</f>
        <v/>
      </c>
      <c r="C2836" s="294"/>
      <c r="D2836" s="294"/>
      <c r="E2836" s="294"/>
      <c r="F2836" s="294"/>
      <c r="G2836" s="294"/>
      <c r="H2836" s="265"/>
      <c r="I2836" s="265"/>
      <c r="J2836" s="265"/>
      <c r="K2836" s="265"/>
      <c r="L2836" s="265"/>
      <c r="M2836" s="267" t="s">
        <v>1237</v>
      </c>
      <c r="N2836" s="268"/>
      <c r="O2836" s="268"/>
      <c r="P2836" s="269"/>
      <c r="Q2836" s="137" t="str">
        <f>IF($Q2834&lt;&gt;"",IF($Q2834="W","L","W"),"")</f>
        <v/>
      </c>
      <c r="R2836" s="100"/>
      <c r="S2836" s="100"/>
      <c r="T2836" s="100"/>
      <c r="U2836" s="100"/>
      <c r="V2836" s="100"/>
      <c r="W2836" s="100"/>
      <c r="X2836" s="100"/>
      <c r="Y2836" s="100"/>
      <c r="Z2836" s="100"/>
      <c r="AA2836" s="100"/>
      <c r="AB2836" s="100"/>
      <c r="AC2836" s="100"/>
      <c r="AD2836" s="100"/>
      <c r="AE2836" s="100"/>
      <c r="AF2836" s="100"/>
    </row>
    <row r="2837" spans="1:32" ht="12.75" customHeight="1">
      <c r="A2837" s="301"/>
      <c r="B2837" s="295"/>
      <c r="C2837" s="296"/>
      <c r="D2837" s="296"/>
      <c r="E2837" s="296"/>
      <c r="F2837" s="296"/>
      <c r="G2837" s="296"/>
      <c r="H2837" s="270"/>
      <c r="I2837" s="270"/>
      <c r="J2837" s="266"/>
      <c r="K2837" s="266"/>
      <c r="L2837" s="266"/>
      <c r="M2837" s="267"/>
      <c r="N2837" s="268"/>
      <c r="O2837" s="268"/>
      <c r="P2837" s="269"/>
      <c r="Q2837" s="139" t="str">
        <f>IF($Q2836&lt;&gt;"",IF($Q2836="W",IF(SUM(IF($H2836&gt;$H2834,1,0),IF($I2836&gt;$I2834,1,0),IF($J2836&gt;$J2834,1,0),IF($K2836&gt;$K2834,1,0),IF($L2836&gt;$L2834,1,0))&lt;&gt;3,"Error",""),""),"")</f>
        <v/>
      </c>
      <c r="R2837" s="43" t="str">
        <f>$A2832</f>
        <v>3rd Singles</v>
      </c>
      <c r="S2837" s="43"/>
      <c r="T2837" s="43"/>
      <c r="U2837" s="43"/>
      <c r="V2837" s="43"/>
      <c r="W2837" s="43"/>
      <c r="X2837" s="43"/>
      <c r="Y2837" s="43"/>
      <c r="Z2837" s="43"/>
      <c r="AA2837" s="43"/>
      <c r="AB2837" s="43"/>
      <c r="AC2837" s="43"/>
      <c r="AD2837" s="43"/>
      <c r="AE2837" s="43"/>
      <c r="AF2837" s="43"/>
    </row>
    <row r="2838" spans="1:32" ht="12.75" customHeight="1">
      <c r="Q2838" s="7"/>
      <c r="R2838" s="60" t="s">
        <v>1228</v>
      </c>
      <c r="S2838" s="101" t="s">
        <v>1126</v>
      </c>
      <c r="T2838" s="102"/>
      <c r="U2838" s="102"/>
      <c r="V2838" s="102"/>
      <c r="W2838" s="102"/>
      <c r="X2838" s="103"/>
      <c r="Y2838" s="60">
        <v>1</v>
      </c>
      <c r="Z2838" s="60">
        <v>2</v>
      </c>
      <c r="AA2838" s="60">
        <v>3</v>
      </c>
      <c r="AB2838" s="60">
        <v>4</v>
      </c>
      <c r="AC2838" s="60">
        <v>5</v>
      </c>
      <c r="AD2838" s="104"/>
      <c r="AE2838" s="105"/>
      <c r="AF2838" s="106"/>
    </row>
    <row r="2839" spans="1:32" ht="12.75" customHeight="1">
      <c r="A2839" s="21" t="s">
        <v>1236</v>
      </c>
      <c r="H2839" s="136" t="str">
        <f ca="1">IF($Q2841&lt;&gt;"",IF(AND($B2841&lt;&gt;"Missing Player",$B2843&lt;&gt;"Missing Player"),IF(AND(AND($H2841&gt;-1,$H2843&gt;-1),OR($H2841&gt;10,$H2843&gt;10),ABS($H2841-$H2843)&gt;1,IF(OR($H2841&gt;11,$H2843&gt;11),ABS($H2841-$H2843)=2,TRUE),$H2841=INT($H2841),$H2843=INT($H2843)),"","Error"),""),"")</f>
        <v/>
      </c>
      <c r="I2839" s="136" t="str">
        <f ca="1">IF($Q2841&lt;&gt;"",IF(AND($B2841&lt;&gt;"Missing Player",$B2843&lt;&gt;"Missing Player"),IF(AND(AND($I2841&gt;-1,$I2843&gt;-1),OR($I2841&gt;10,$I2843&gt;10),ABS($I2841-$I2843)&gt;1,IF(OR($I2841&gt;11,$I2843&gt;11),ABS($I2841-$I2843)=2,TRUE),$I2841=INT($I2841),$I2843=INT($I2843)),"","Error"),""),"")</f>
        <v/>
      </c>
      <c r="J2839" s="136" t="str">
        <f ca="1">IF($Q2841&lt;&gt;"",IF(AND($B2841&lt;&gt;"Missing Player",$B2843&lt;&gt;"Missing Player"),IF(AND(AND($J2841&gt;-1,$J2843&gt;-1),OR($J2841&gt;10,$J2843&gt;10),ABS($J2841-$J2843)&gt;1,IF(OR($J2841&gt;11,$J2843&gt;11),ABS($J2841-$J2843)=2,TRUE),$J2841=INT($J2841),$J2843=INT($J2843)),"","Error"),""),"")</f>
        <v/>
      </c>
      <c r="K2839" s="136" t="str">
        <f ca="1">IF($Q2841&lt;&gt;"",IF(AND($K2841&lt;&gt;"",$K2843&lt;&gt;""), IF(AND(AND($K2841&gt;-1,$K2843&gt;-1),OR($K2841&gt;10,$K2843&gt;10),ABS($K2841-$K2843)&gt;1,IF(OR($K2841&gt;11,$K2843&gt;11),ABS($K2841-$K2843)=2,TRUE),$K2841=INT($K2841),$K2843=INT($K2843)),"","Error"),""),"")</f>
        <v/>
      </c>
      <c r="L2839" s="136" t="str">
        <f ca="1">IF($Q2841&lt;&gt;"",IF(AND($L2841&lt;&gt;"",$L2843&lt;&gt;""), IF(AND(AND($L2841&gt;-1,$L2843&gt;-1),OR($L2841&gt;10,$L2843&gt;10),ABS($L2841-$L2843)&gt;1,IF(OR($L2841&gt;11,$L2843&gt;11),ABS($L2841-$L2843)=2,TRUE),$L2841=INT($L2841),$L2843=INT($L2843)),"","Error"),""),"")</f>
        <v/>
      </c>
      <c r="Q2839" s="7"/>
      <c r="R2839" s="300" t="str">
        <f>$B2814</f>
        <v>F</v>
      </c>
      <c r="S2839" s="331" t="str">
        <f ca="1">IF($B2834&lt;&gt;"",$B2834,"")</f>
        <v/>
      </c>
      <c r="T2839" s="332"/>
      <c r="U2839" s="332"/>
      <c r="V2839" s="332"/>
      <c r="W2839" s="332"/>
      <c r="X2839" s="333"/>
      <c r="Y2839" s="329"/>
      <c r="Z2839" s="329"/>
      <c r="AA2839" s="329"/>
      <c r="AB2839" s="329"/>
      <c r="AC2839" s="329"/>
      <c r="AD2839" s="345"/>
      <c r="AE2839" s="358"/>
      <c r="AF2839" s="359"/>
    </row>
    <row r="2840" spans="1:32" ht="12.75" customHeight="1">
      <c r="A2840" s="5" t="s">
        <v>1228</v>
      </c>
      <c r="B2840" s="290" t="s">
        <v>1126</v>
      </c>
      <c r="C2840" s="291"/>
      <c r="D2840" s="291"/>
      <c r="E2840" s="291"/>
      <c r="F2840" s="291"/>
      <c r="G2840" s="292"/>
      <c r="H2840" s="5">
        <v>1</v>
      </c>
      <c r="I2840" s="5">
        <v>2</v>
      </c>
      <c r="J2840" s="5">
        <v>3</v>
      </c>
      <c r="K2840" s="5">
        <v>4</v>
      </c>
      <c r="L2840" s="5">
        <v>5</v>
      </c>
      <c r="M2840" s="271"/>
      <c r="N2840" s="272"/>
      <c r="O2840" s="272"/>
      <c r="P2840" s="273"/>
      <c r="Q2840" s="7"/>
      <c r="R2840" s="330"/>
      <c r="S2840" s="334"/>
      <c r="T2840" s="335"/>
      <c r="U2840" s="335"/>
      <c r="V2840" s="335"/>
      <c r="W2840" s="335"/>
      <c r="X2840" s="336"/>
      <c r="Y2840" s="330"/>
      <c r="Z2840" s="330"/>
      <c r="AA2840" s="330"/>
      <c r="AB2840" s="330"/>
      <c r="AC2840" s="330"/>
      <c r="AD2840" s="360"/>
      <c r="AE2840" s="361"/>
      <c r="AF2840" s="362"/>
    </row>
    <row r="2841" spans="1:32" ht="12.75" customHeight="1">
      <c r="A2841" s="300" t="str">
        <f>B2814</f>
        <v>F</v>
      </c>
      <c r="B2841" s="293" t="str">
        <f ca="1">IF(AND(OFFSET($AO$1,$C2814-1,8,1,1),$A2815&lt;&gt;"",$J2815&lt;&gt;""),CHOOSE($C2814,$AR$1,$AR$2,$AR$3,$AR$4,$AR$5,$AR$6,$AR$7,$AR$8,$AR$9,$AR$10,$AR$11,$AR$12),"")</f>
        <v/>
      </c>
      <c r="C2841" s="294"/>
      <c r="D2841" s="294"/>
      <c r="E2841" s="294"/>
      <c r="F2841" s="294"/>
      <c r="G2841" s="294"/>
      <c r="H2841" s="265"/>
      <c r="I2841" s="265"/>
      <c r="J2841" s="265"/>
      <c r="K2841" s="265"/>
      <c r="L2841" s="265" t="str">
        <f ca="1">IF(AND($B2841&lt;&gt;"",$Q2820&lt;&gt;""),IF($B2841="Missing Player",0,IF($B2843="Missing Player",11,"")),"")</f>
        <v/>
      </c>
      <c r="M2841" s="262" t="str">
        <f ca="1">IF(OR(AND($B2834&lt;&gt;"",$B2841&lt;&gt;"",$E2845&lt;=$D2845),AND($B2836&lt;&gt;"",$B2843&lt;&gt;"",$I2845&lt;=$H2845)),"Invalid Lineup","")</f>
        <v/>
      </c>
      <c r="N2841" s="263"/>
      <c r="O2841" s="263"/>
      <c r="P2841" s="264"/>
      <c r="Q2841" s="137" t="str">
        <f ca="1">IF($L2841=$L2843,IF($K2841=$K2843,IF($J2841&lt;&gt;"",IF($J2841&gt;$J2843,"W","L"),""),IF($K2841&gt;$K2843,"W","L")),IF($L2841&gt;$L2843,"W","L"))</f>
        <v/>
      </c>
      <c r="R2841" s="300" t="str">
        <f>$K2814</f>
        <v>J</v>
      </c>
      <c r="S2841" s="331" t="str">
        <f ca="1">IF($B2836&lt;&gt;"",$B2836,"")</f>
        <v/>
      </c>
      <c r="T2841" s="332"/>
      <c r="U2841" s="332"/>
      <c r="V2841" s="332"/>
      <c r="W2841" s="332"/>
      <c r="X2841" s="333"/>
      <c r="Y2841" s="329"/>
      <c r="Z2841" s="329"/>
      <c r="AA2841" s="329"/>
      <c r="AB2841" s="329"/>
      <c r="AC2841" s="351"/>
      <c r="AD2841" s="363" t="s">
        <v>1237</v>
      </c>
      <c r="AE2841" s="358"/>
      <c r="AF2841" s="359"/>
    </row>
    <row r="2842" spans="1:32" ht="12.75" customHeight="1">
      <c r="A2842" s="301"/>
      <c r="B2842" s="295"/>
      <c r="C2842" s="296"/>
      <c r="D2842" s="296"/>
      <c r="E2842" s="296"/>
      <c r="F2842" s="296"/>
      <c r="G2842" s="296"/>
      <c r="H2842" s="270"/>
      <c r="I2842" s="270"/>
      <c r="J2842" s="270"/>
      <c r="K2842" s="270"/>
      <c r="L2842" s="270"/>
      <c r="M2842" s="262"/>
      <c r="N2842" s="263"/>
      <c r="O2842" s="263"/>
      <c r="P2842" s="264"/>
      <c r="Q2842" s="139" t="str">
        <f ca="1">IF($Q2841&lt;&gt;"",IF($B2843&lt;&gt;"Missing Player",IF($Q2841="W",IF(SUM(IF($H2841&gt;$H2843,1,0),IF($I2841&gt;$I2843,1,0),IF($J2841&gt;$J2843,1,0),IF($K2841&gt;$K2843,1,0),IF($L2841&gt;$L2843,1,0))&lt;&gt;3,"Error",""),""),""),"")</f>
        <v/>
      </c>
      <c r="R2842" s="330"/>
      <c r="S2842" s="334"/>
      <c r="T2842" s="335"/>
      <c r="U2842" s="335"/>
      <c r="V2842" s="335"/>
      <c r="W2842" s="335"/>
      <c r="X2842" s="336"/>
      <c r="Y2842" s="330"/>
      <c r="Z2842" s="330"/>
      <c r="AA2842" s="330"/>
      <c r="AB2842" s="330"/>
      <c r="AC2842" s="330"/>
      <c r="AD2842" s="360"/>
      <c r="AE2842" s="361"/>
      <c r="AF2842" s="362"/>
    </row>
    <row r="2843" spans="1:32" ht="12.75" customHeight="1">
      <c r="A2843" s="300" t="str">
        <f>K2814</f>
        <v>J</v>
      </c>
      <c r="B2843" s="293" t="str">
        <f ca="1">IF(AND(OFFSET($AO$1,$L2814-1,8,1,1),$A2815&lt;&gt;"",$J2815&lt;&gt;""),CHOOSE($L2814,$AR$1,$AR$2,$AR$3,$AR$4,$AR$5,$AR$6,$AR$7,$AR$8,$AR$9,$AR$10,$AR$11,$AR$12),"")</f>
        <v/>
      </c>
      <c r="C2843" s="294"/>
      <c r="D2843" s="294"/>
      <c r="E2843" s="294"/>
      <c r="F2843" s="294"/>
      <c r="G2843" s="294"/>
      <c r="H2843" s="265"/>
      <c r="I2843" s="265"/>
      <c r="J2843" s="265"/>
      <c r="K2843" s="265"/>
      <c r="L2843" s="265" t="str">
        <f ca="1">IF(AND($B2843&lt;&gt;"",$Q2820&lt;&gt;""),IF($B2843="Missing Player",0,IF($B2841="Missing Player",11,"")),"")</f>
        <v/>
      </c>
      <c r="M2843" s="267" t="s">
        <v>1237</v>
      </c>
      <c r="N2843" s="268"/>
      <c r="O2843" s="268"/>
      <c r="P2843" s="269"/>
      <c r="Q2843" s="137" t="str">
        <f ca="1">IF($Q2841&lt;&gt;"",IF($Q2841="W","L","W"),"")</f>
        <v/>
      </c>
      <c r="R2843" s="112"/>
      <c r="S2843" s="98"/>
      <c r="T2843" s="108"/>
      <c r="U2843" s="108"/>
      <c r="V2843" s="108"/>
      <c r="W2843" s="108"/>
      <c r="X2843" s="108"/>
      <c r="Y2843" s="113"/>
      <c r="Z2843" s="113"/>
      <c r="AA2843" s="113"/>
      <c r="AB2843" s="113"/>
      <c r="AC2843" s="113"/>
      <c r="AD2843" s="107"/>
      <c r="AE2843" s="109"/>
      <c r="AF2843" s="109"/>
    </row>
    <row r="2844" spans="1:32" ht="12.75" customHeight="1">
      <c r="A2844" s="301"/>
      <c r="B2844" s="295"/>
      <c r="C2844" s="296"/>
      <c r="D2844" s="296"/>
      <c r="E2844" s="296"/>
      <c r="F2844" s="296"/>
      <c r="G2844" s="296"/>
      <c r="H2844" s="270"/>
      <c r="I2844" s="270"/>
      <c r="J2844" s="266"/>
      <c r="K2844" s="266"/>
      <c r="L2844" s="266"/>
      <c r="M2844" s="267"/>
      <c r="N2844" s="268"/>
      <c r="O2844" s="268"/>
      <c r="P2844" s="269"/>
      <c r="Q2844" s="139" t="str">
        <f ca="1">IF($Q2843&lt;&gt;"",IF($B2841&lt;&gt;"Missing Player",IF($Q2843="W",IF(SUM(IF($H2843&gt;$H2841,1,0),IF($I2843&gt;$I2841,1,0),IF($J2843&gt;$J2841,1,0),IF($K2843&gt;$K2841,1,0),IF($L2843&gt;$L2841,1,0))&lt;&gt;3,"Error",""),""),""),"")</f>
        <v/>
      </c>
      <c r="R2844" s="114"/>
      <c r="S2844" s="115"/>
      <c r="T2844" s="115"/>
      <c r="U2844" s="115"/>
      <c r="V2844" s="115"/>
      <c r="W2844" s="115"/>
      <c r="X2844" s="115"/>
      <c r="Y2844" s="114"/>
      <c r="Z2844" s="114"/>
      <c r="AA2844" s="114"/>
      <c r="AB2844" s="114"/>
      <c r="AC2844" s="114"/>
      <c r="AD2844" s="114"/>
      <c r="AE2844" s="114"/>
      <c r="AF2844" s="114"/>
    </row>
    <row r="2845" spans="1:32" ht="12.75" customHeight="1">
      <c r="B2845" s="140" t="str">
        <f ca="1">IF(ISERROR(VLOOKUP($B2820&amp;"("&amp;$B2814&amp;")",Players!$S$4:$T$132,2,FALSE)),"",VLOOKUP($B2820&amp;"("&amp;$B2814&amp;")",Players!$S$4:$T$132,2,FALSE))</f>
        <v>F1</v>
      </c>
      <c r="C2845" s="140" t="str">
        <f ca="1">IF(ISERROR(VLOOKUP($B2827&amp;"("&amp;$B2814&amp;")",Players!$S$4:$T$132,2,FALSE)),"",VLOOKUP($B2827&amp;"("&amp;$B2814&amp;")",Players!$S$4:$T$132,2,FALSE))</f>
        <v>F1</v>
      </c>
      <c r="D2845" s="141" t="str">
        <f ca="1">IF(ISERROR(VLOOKUP($B2834&amp;"("&amp;$B2814&amp;")",Players!$S$4:$T$132,2,FALSE)),"",VLOOKUP($B2834&amp;"("&amp;$B2814&amp;")",Players!$S$4:$T$132,2,FALSE))</f>
        <v>F1</v>
      </c>
      <c r="E2845" s="141" t="str">
        <f ca="1">IF(ISERROR(VLOOKUP($B2841&amp;"("&amp;$B2814&amp;")",Players!$S$4:$T$132,2,FALSE)),"",VLOOKUP($B2841&amp;"("&amp;$B2814&amp;")",Players!$S$4:$T$132,2,FALSE))</f>
        <v>F1</v>
      </c>
      <c r="F2845" s="141" t="str">
        <f ca="1">IF(ISERROR(VLOOKUP($B2822&amp;"("&amp;$K2814&amp;")",Players!$S$4:$T$132,2,FALSE)),"",VLOOKUP($B2822&amp;"("&amp;$K2814&amp;")",Players!$S$4:$T$132,2,FALSE))</f>
        <v>J1</v>
      </c>
      <c r="G2845" s="141" t="str">
        <f ca="1">IF(ISERROR(VLOOKUP($B2829&amp;"("&amp;$K2814&amp;")",Players!$S$4:$T$132,2,FALSE)),"",VLOOKUP($B2829&amp;"("&amp;$K2814&amp;")",Players!$S$4:$T$132,2,FALSE))</f>
        <v>J1</v>
      </c>
      <c r="H2845" s="141" t="str">
        <f ca="1">IF(ISERROR(VLOOKUP($B2836&amp;"("&amp;$K2814&amp;")",Players!$S$4:$T$132,2,FALSE)),"",VLOOKUP($B2836&amp;"("&amp;$K2814&amp;")",Players!$S$4:$T$132,2,FALSE))</f>
        <v>J1</v>
      </c>
      <c r="I2845" s="141" t="str">
        <f ca="1">IF(ISERROR(VLOOKUP($B2843&amp;"("&amp;$K2814&amp;")",Players!$S$4:$T$132,2,FALSE)),"",VLOOKUP($B2843&amp;"("&amp;$K2814&amp;")",Players!$S$4:$T$132,2,FALSE))</f>
        <v>J1</v>
      </c>
      <c r="Q2845" s="7"/>
      <c r="R2845" s="50"/>
      <c r="S2845" s="116"/>
      <c r="T2845" s="115"/>
      <c r="U2845" s="115"/>
      <c r="V2845" s="115"/>
      <c r="W2845" s="115"/>
      <c r="X2845" s="115"/>
      <c r="Y2845" s="99"/>
      <c r="Z2845" s="99"/>
      <c r="AA2845" s="99"/>
      <c r="AB2845" s="99"/>
      <c r="AC2845" s="117"/>
      <c r="AD2845" s="118"/>
      <c r="AE2845" s="114"/>
      <c r="AF2845" s="114"/>
    </row>
    <row r="2846" spans="1:32" ht="12.75" customHeight="1">
      <c r="A2846" s="21" t="s">
        <v>1225</v>
      </c>
      <c r="H2846" s="136" t="str">
        <f ca="1">IF($Q2848&lt;&gt;"",IF(AND($B2849&lt;&gt;"Missing Player",$B2851&lt;&gt;"Missing Player"),IF(AND(AND($H2848&gt;-1,$H2850&gt;-1),OR($H2848&gt;10,$H2850&gt;10),ABS($H2848-$H2850)&gt;1,IF(OR($H2848&gt;11,$H2850&gt;11),ABS($H2848-$H2850)=2,TRUE),$H2848=INT($H2848),$H2850=INT($H2850)),"","Error"),""),"")</f>
        <v/>
      </c>
      <c r="I2846" s="136" t="str">
        <f ca="1">IF($Q2848&lt;&gt;"",IF(AND($B2849&lt;&gt;"Missing Player",$B2851&lt;&gt;"Missing Player"),IF(AND(AND($I2848&gt;-1,$I2850&gt;-1),OR($I2848&gt;10,$I2850&gt;10),ABS($I2848-$I2850)&gt;1,IF(OR($I2848&gt;11,$I2850&gt;11),ABS($I2848-$I2850)=2,TRUE),$I2848=INT($I2848),$I2850=INT($I2850)),"","Error"),""),"")</f>
        <v/>
      </c>
      <c r="J2846" s="136" t="str">
        <f ca="1">IF($Q2848&lt;&gt;"",IF(AND($B2849&lt;&gt;"Missing Player",$B2851&lt;&gt;"Missing Player"),IF(AND(AND($J2848&gt;-1,$J2850&gt;-1),OR($J2848&gt;10,$J2850&gt;10),ABS($J2848-$J2850)&gt;1,IF(OR($J2848&gt;11,$J2850&gt;11),ABS($J2848-$J2850)=2,TRUE),$J2848=INT($J2848),$J2850=INT($J2850)),"","Error"),""),"")</f>
        <v/>
      </c>
      <c r="K2846" s="136" t="str">
        <f ca="1">IF($Q2848&lt;&gt;"",IF(AND($K2848&lt;&gt;"",$K2850&lt;&gt;""), IF(AND(AND($K2848&gt;-1,$K2850&gt;-1),OR($K2848&gt;10,$K2850&gt;10),ABS($K2848-$K2850)&gt;1,IF(OR($K2848&gt;11,$K2850&gt;11),ABS($K2848-$K2850)=2,TRUE),$K2848=INT($K2848),$K2850=INT($K2850)),"","Error"),""),"")</f>
        <v/>
      </c>
      <c r="L2846" s="136" t="str">
        <f ca="1">IF($Q2848&lt;&gt;"",IF(AND($L2848&lt;&gt;"",$L2850&lt;&gt;""), IF(AND(AND($L2848&gt;-1,$L2850&gt;-1),OR($L2848&gt;10,$L2850&gt;10),ABS($L2848-$L2850)&gt;1,IF(OR($L2848&gt;11,$L2850&gt;11),ABS($L2848-$L2850)=2,TRUE),$L2848=INT($L2848),$L2850=INT($L2850)),"","Error"),""),"")</f>
        <v/>
      </c>
      <c r="Q2846" s="7"/>
      <c r="R2846" s="114"/>
      <c r="S2846" s="115"/>
      <c r="T2846" s="115"/>
      <c r="U2846" s="115"/>
      <c r="V2846" s="115"/>
      <c r="W2846" s="115"/>
      <c r="X2846" s="115"/>
      <c r="Y2846" s="114"/>
      <c r="Z2846" s="114"/>
      <c r="AA2846" s="114"/>
      <c r="AB2846" s="114"/>
      <c r="AC2846" s="114"/>
      <c r="AD2846" s="114"/>
      <c r="AE2846" s="114"/>
      <c r="AF2846" s="114"/>
    </row>
    <row r="2847" spans="1:32" ht="12.75" customHeight="1">
      <c r="A2847" s="5" t="s">
        <v>1228</v>
      </c>
      <c r="B2847" s="290" t="s">
        <v>1126</v>
      </c>
      <c r="C2847" s="291"/>
      <c r="D2847" s="291"/>
      <c r="E2847" s="291"/>
      <c r="F2847" s="291"/>
      <c r="G2847" s="292"/>
      <c r="H2847" s="5">
        <v>1</v>
      </c>
      <c r="I2847" s="5">
        <v>2</v>
      </c>
      <c r="J2847" s="5">
        <v>3</v>
      </c>
      <c r="K2847" s="5">
        <v>4</v>
      </c>
      <c r="L2847" s="5">
        <v>5</v>
      </c>
      <c r="M2847" s="271"/>
      <c r="N2847" s="272"/>
      <c r="O2847" s="272"/>
      <c r="P2847" s="273"/>
      <c r="Q2847" s="8"/>
      <c r="S2847" s="24"/>
      <c r="T2847" s="26"/>
    </row>
    <row r="2848" spans="1:32" ht="12.75" customHeight="1">
      <c r="A2848" s="300" t="str">
        <f>B2814</f>
        <v>F</v>
      </c>
      <c r="B2848" s="311" t="str">
        <f ca="1">IF($B2820&lt;&gt;"",$B2820,"")</f>
        <v/>
      </c>
      <c r="C2848" s="312"/>
      <c r="D2848" s="312"/>
      <c r="E2848" s="312"/>
      <c r="F2848" s="312"/>
      <c r="G2848" s="313"/>
      <c r="H2848" s="265"/>
      <c r="I2848" s="265"/>
      <c r="J2848" s="265"/>
      <c r="K2848" s="265"/>
      <c r="L2848" s="265" t="str">
        <f ca="1">IF($B2841&lt;&gt;"",IF(AND($B2841="Missing Player",$G2852=2,$J2852=2),0,IF(AND($B2843="Missing Player",$G2852=2,$J2852=2),11,"")),"")</f>
        <v/>
      </c>
      <c r="M2848" s="262" t="str">
        <f ca="1">IF(OR(AND($B2848&lt;&gt;"",$B2849&lt;&gt;"",$B2848=$B2849),AND($B2850&lt;&gt;"",$B2851&lt;&gt;"",$B2850=$B2851)),"Invalid Partner","")</f>
        <v/>
      </c>
      <c r="N2848" s="263"/>
      <c r="O2848" s="263"/>
      <c r="P2848" s="264"/>
      <c r="Q2848" s="138" t="str">
        <f ca="1">IF(L2848=L2850,IF(K2848=K2850,IF(J2848&lt;&gt;"",IF(J2848&gt;J2850,"W","L"),""),IF(K2848&gt;K2850,"W","L")),IF(L2848&gt;L2850,"W","L"))</f>
        <v/>
      </c>
      <c r="S2848" s="24"/>
      <c r="T2848" s="26"/>
    </row>
    <row r="2849" spans="1:32" ht="12.75" customHeight="1">
      <c r="A2849" s="324"/>
      <c r="B2849" s="308" t="str">
        <f ca="1">IF($B2841="Missing Player",$B2841,"")</f>
        <v/>
      </c>
      <c r="C2849" s="309"/>
      <c r="D2849" s="309"/>
      <c r="E2849" s="309"/>
      <c r="F2849" s="309"/>
      <c r="G2849" s="310"/>
      <c r="H2849" s="270"/>
      <c r="I2849" s="270"/>
      <c r="J2849" s="270"/>
      <c r="K2849" s="270"/>
      <c r="L2849" s="270"/>
      <c r="M2849" s="262"/>
      <c r="N2849" s="263"/>
      <c r="O2849" s="263"/>
      <c r="P2849" s="264"/>
      <c r="Q2849" s="139" t="str">
        <f ca="1">IF($Q2848&lt;&gt;"",IF($B2851&lt;&gt;"Missing Player",IF($Q2848="W",IF(SUM(IF($H2848&gt;$H2850,1,0),IF($I2848&gt;$I2850,1,0),IF($J2848&gt;$J2850,1,0),IF($K2848&gt;$K2850,1,0),IF($L2848&gt;$L2850,1,0))&lt;&gt;3,"Error",""),""),""),"")</f>
        <v/>
      </c>
      <c r="R2849" s="328" t="str">
        <f>$A2815</f>
        <v/>
      </c>
      <c r="S2849" s="328"/>
      <c r="T2849" s="328"/>
      <c r="U2849" s="328"/>
      <c r="V2849" s="328"/>
      <c r="W2849" s="328"/>
      <c r="X2849" s="256" t="str">
        <f>CONCATENATE("(",$B2814," vs ",$K2814,")")</f>
        <v>(F vs J)</v>
      </c>
      <c r="Y2849" s="256"/>
      <c r="Z2849" s="328" t="str">
        <f>$J2815</f>
        <v/>
      </c>
      <c r="AA2849" s="328"/>
      <c r="AB2849" s="328"/>
      <c r="AC2849" s="328"/>
      <c r="AD2849" s="328"/>
      <c r="AE2849" s="328"/>
      <c r="AF2849" s="43"/>
    </row>
    <row r="2850" spans="1:32" ht="12.75" customHeight="1">
      <c r="A2850" s="325" t="str">
        <f>K2814</f>
        <v>J</v>
      </c>
      <c r="B2850" s="311" t="str">
        <f ca="1">IF($B2822&lt;&gt;"",$B2822,"")</f>
        <v/>
      </c>
      <c r="C2850" s="312"/>
      <c r="D2850" s="312"/>
      <c r="E2850" s="312"/>
      <c r="F2850" s="312"/>
      <c r="G2850" s="313"/>
      <c r="H2850" s="265"/>
      <c r="I2850" s="265"/>
      <c r="J2850" s="265"/>
      <c r="K2850" s="265"/>
      <c r="L2850" s="265" t="str">
        <f ca="1">IF($B2843&lt;&gt;"",IF(AND($B2843="Missing Player",$G2852=2,$J2852=2),0,IF(AND($B2841="Missing Player",$G2852=2,$J2852=2),11,"")),"")</f>
        <v/>
      </c>
      <c r="M2850" s="267" t="s">
        <v>1237</v>
      </c>
      <c r="N2850" s="268"/>
      <c r="O2850" s="268"/>
      <c r="P2850" s="269"/>
      <c r="Q2850" s="138" t="str">
        <f ca="1">IF(Q2848&lt;&gt;"",IF(Q2848="W","L","W"),"")</f>
        <v/>
      </c>
      <c r="R2850" s="43"/>
      <c r="S2850" s="43"/>
      <c r="T2850" s="43"/>
      <c r="U2850" s="43"/>
      <c r="V2850" s="43"/>
      <c r="W2850" s="43"/>
      <c r="X2850" s="43"/>
      <c r="Y2850" s="43"/>
      <c r="Z2850" s="43"/>
      <c r="AA2850" s="43"/>
      <c r="AB2850" s="43"/>
      <c r="AC2850" s="43"/>
      <c r="AD2850" s="43"/>
      <c r="AE2850" s="43"/>
      <c r="AF2850" s="43"/>
    </row>
    <row r="2851" spans="1:32" ht="12.75" customHeight="1">
      <c r="A2851" s="324"/>
      <c r="B2851" s="308" t="str">
        <f ca="1">IF($B2843="Missing Player",$B2843,"")</f>
        <v/>
      </c>
      <c r="C2851" s="309"/>
      <c r="D2851" s="309"/>
      <c r="E2851" s="309"/>
      <c r="F2851" s="309"/>
      <c r="G2851" s="310"/>
      <c r="H2851" s="270"/>
      <c r="I2851" s="270"/>
      <c r="J2851" s="266"/>
      <c r="K2851" s="266"/>
      <c r="L2851" s="266"/>
      <c r="M2851" s="267"/>
      <c r="N2851" s="268"/>
      <c r="O2851" s="268"/>
      <c r="P2851" s="269"/>
      <c r="Q2851" s="139" t="str">
        <f ca="1">IF($Q2850&lt;&gt;"",IF($B2849&lt;&gt;"Missing Player",IF($Q2850="W",IF(SUM(IF($H2850&gt;$H2848,1,0),IF($I2850&gt;$I2848,1,0),IF($J2850&gt;$J2848,1,0),IF($K2850&gt;$K2848,1,0),IF($L2850&gt;$L2848,1,0))&lt;&gt;3,"Error",""),""),""),"")</f>
        <v/>
      </c>
      <c r="R2851" s="43" t="str">
        <f>A2839</f>
        <v>4th Singles</v>
      </c>
      <c r="S2851" s="43"/>
      <c r="T2851" s="43"/>
      <c r="U2851" s="43"/>
      <c r="V2851" s="43"/>
      <c r="W2851" s="43"/>
      <c r="X2851" s="43"/>
      <c r="Y2851" s="43"/>
      <c r="Z2851" s="43"/>
      <c r="AA2851" s="43"/>
      <c r="AB2851" s="43"/>
      <c r="AC2851" s="43"/>
      <c r="AD2851" s="43"/>
      <c r="AE2851" s="43"/>
      <c r="AF2851" s="43"/>
    </row>
    <row r="2852" spans="1:32" ht="12.75" customHeight="1">
      <c r="G2852" s="66">
        <f ca="1">COUNTIF($Q2820:$Q2820,"W")+COUNTIF($Q2827:$Q2827,"W")+COUNTIF($Q2834:$Q2834,"W")+COUNTIF($Q2841:$Q2841,"W")</f>
        <v>0</v>
      </c>
      <c r="J2852" s="66">
        <f ca="1">COUNTIF($Q2822:$Q2822,"W")+COUNTIF($Q2829:$Q2829,"W")+COUNTIF($Q2836:$Q2836,"W")+COUNTIF($Q2843:$Q2843,"W")</f>
        <v>0</v>
      </c>
      <c r="R2852" s="60" t="s">
        <v>1228</v>
      </c>
      <c r="S2852" s="339" t="s">
        <v>1126</v>
      </c>
      <c r="T2852" s="340"/>
      <c r="U2852" s="340"/>
      <c r="V2852" s="340"/>
      <c r="W2852" s="340"/>
      <c r="X2852" s="341"/>
      <c r="Y2852" s="60">
        <v>1</v>
      </c>
      <c r="Z2852" s="60">
        <v>2</v>
      </c>
      <c r="AA2852" s="60">
        <v>3</v>
      </c>
      <c r="AB2852" s="60">
        <v>4</v>
      </c>
      <c r="AC2852" s="60">
        <v>5</v>
      </c>
      <c r="AD2852" s="342"/>
      <c r="AE2852" s="343"/>
      <c r="AF2852" s="344"/>
    </row>
    <row r="2853" spans="1:32" ht="12.75" customHeight="1" thickBot="1">
      <c r="F2853" s="246" t="s">
        <v>1238</v>
      </c>
      <c r="G2853" s="246"/>
      <c r="H2853" s="246"/>
      <c r="I2853" s="246"/>
      <c r="J2853" s="246"/>
      <c r="K2853" s="246"/>
      <c r="R2853" s="300" t="str">
        <f>B2814</f>
        <v>F</v>
      </c>
      <c r="S2853" s="331" t="str">
        <f ca="1">IF($B2841&lt;&gt;"",$B2841,"")</f>
        <v/>
      </c>
      <c r="T2853" s="353"/>
      <c r="U2853" s="353"/>
      <c r="V2853" s="353"/>
      <c r="W2853" s="353"/>
      <c r="X2853" s="354"/>
      <c r="Y2853" s="329"/>
      <c r="Z2853" s="329"/>
      <c r="AA2853" s="351"/>
      <c r="AB2853" s="351"/>
      <c r="AC2853" s="351"/>
      <c r="AD2853" s="345"/>
      <c r="AE2853" s="346"/>
      <c r="AF2853" s="347"/>
    </row>
    <row r="2854" spans="1:32" ht="12.75" customHeight="1">
      <c r="A2854" s="22"/>
      <c r="B2854" s="22"/>
      <c r="C2854" s="22"/>
      <c r="D2854" s="22"/>
      <c r="E2854" s="22"/>
      <c r="G2854" s="304" t="str">
        <f>B2814</f>
        <v>F</v>
      </c>
      <c r="H2854" s="305"/>
      <c r="I2854" s="302" t="str">
        <f>K2814</f>
        <v>J</v>
      </c>
      <c r="J2854" s="303"/>
      <c r="L2854" s="22"/>
      <c r="M2854" s="22"/>
      <c r="N2854" s="22"/>
      <c r="O2854" s="22"/>
      <c r="P2854" s="22"/>
      <c r="R2854" s="301"/>
      <c r="S2854" s="355"/>
      <c r="T2854" s="356"/>
      <c r="U2854" s="356"/>
      <c r="V2854" s="356"/>
      <c r="W2854" s="356"/>
      <c r="X2854" s="357"/>
      <c r="Y2854" s="338"/>
      <c r="Z2854" s="338"/>
      <c r="AA2854" s="352"/>
      <c r="AB2854" s="352"/>
      <c r="AC2854" s="352"/>
      <c r="AD2854" s="348"/>
      <c r="AE2854" s="349"/>
      <c r="AF2854" s="350"/>
    </row>
    <row r="2855" spans="1:32" ht="12.75" customHeight="1" thickBot="1">
      <c r="A2855" s="2" t="s">
        <v>1228</v>
      </c>
      <c r="B2855" s="53" t="str">
        <f>B2814</f>
        <v>F</v>
      </c>
      <c r="C2855" s="3" t="s">
        <v>1226</v>
      </c>
      <c r="F2855" s="66" t="str">
        <f>CONCATENATE($B2814,"-",$K2814)</f>
        <v>F-J</v>
      </c>
      <c r="G2855" s="320" t="str">
        <f ca="1">IF(OR(Q2820&lt;&gt;"",Q2827&lt;&gt;"",Q2834&lt;&gt;"",Q2841&lt;&gt;"",Q2848&lt;&gt;""),COUNTIF(Q2820:Q2820,"W")+COUNTIF(Q2827:Q2827,"W")+COUNTIF(Q2834:Q2834,"W")+COUNTIF(Q2841:Q2841,"W")+COUNTIF(Q2848:Q2848,"W"),"")</f>
        <v/>
      </c>
      <c r="H2855" s="321"/>
      <c r="I2855" s="322" t="str">
        <f ca="1">IF(OR(Q2822&lt;&gt;"",Q2829&lt;&gt;"",Q2836&lt;&gt;"",Q2843&lt;&gt;"",Q2850&lt;&gt;""),COUNTIF(Q2822:Q2822,"W")+COUNTIF(Q2829:Q2829,"W")+COUNTIF(Q2836:Q2836,"W")+COUNTIF(Q2843:Q2843,"W")+COUNTIF(Q2850:Q2850,"W"),"")</f>
        <v/>
      </c>
      <c r="J2855" s="323"/>
      <c r="L2855" s="2" t="s">
        <v>1228</v>
      </c>
      <c r="M2855" s="53" t="str">
        <f>K2814</f>
        <v>J</v>
      </c>
      <c r="N2855" s="3" t="s">
        <v>1226</v>
      </c>
      <c r="R2855" s="300" t="str">
        <f>K2814</f>
        <v>J</v>
      </c>
      <c r="S2855" s="331" t="str">
        <f ca="1">IF($B2843&lt;&gt;"",$B2843,"")</f>
        <v/>
      </c>
      <c r="T2855" s="332"/>
      <c r="U2855" s="332"/>
      <c r="V2855" s="332"/>
      <c r="W2855" s="332"/>
      <c r="X2855" s="333"/>
      <c r="Y2855" s="329"/>
      <c r="Z2855" s="329"/>
      <c r="AA2855" s="351"/>
      <c r="AB2855" s="351"/>
      <c r="AC2855" s="351"/>
      <c r="AD2855" s="363" t="s">
        <v>1237</v>
      </c>
      <c r="AE2855" s="358"/>
      <c r="AF2855" s="359"/>
    </row>
    <row r="2856" spans="1:32" ht="12.75" customHeight="1">
      <c r="F2856" s="25" t="s">
        <v>3996</v>
      </c>
      <c r="G2856" s="23"/>
      <c r="H2856" s="23"/>
      <c r="I2856" s="23"/>
      <c r="J2856" s="23"/>
      <c r="K2856" s="24"/>
      <c r="R2856" s="330"/>
      <c r="S2856" s="334"/>
      <c r="T2856" s="335"/>
      <c r="U2856" s="335"/>
      <c r="V2856" s="335"/>
      <c r="W2856" s="335"/>
      <c r="X2856" s="336"/>
      <c r="Y2856" s="330"/>
      <c r="Z2856" s="330"/>
      <c r="AA2856" s="330"/>
      <c r="AB2856" s="330"/>
      <c r="AC2856" s="330"/>
      <c r="AD2856" s="360"/>
      <c r="AE2856" s="361"/>
      <c r="AF2856" s="362"/>
    </row>
    <row r="2857" spans="1:32" ht="12.75" customHeight="1">
      <c r="R2857" s="1"/>
      <c r="S2857" s="110"/>
      <c r="T2857" s="110"/>
      <c r="U2857" s="110"/>
      <c r="V2857" s="110"/>
      <c r="W2857" s="110"/>
      <c r="X2857" s="111"/>
      <c r="Y2857" s="111"/>
      <c r="Z2857" s="111"/>
      <c r="AA2857" s="111"/>
    </row>
    <row r="2858" spans="1:32" ht="12.75" customHeight="1">
      <c r="F2858" s="246" t="s">
        <v>4929</v>
      </c>
      <c r="G2858" s="246"/>
      <c r="H2858" s="246"/>
      <c r="I2858" s="246"/>
      <c r="R2858" s="1"/>
      <c r="S2858" s="110"/>
      <c r="T2858" s="110"/>
      <c r="U2858" s="110"/>
      <c r="V2858" s="110"/>
      <c r="W2858" s="110"/>
      <c r="X2858" s="111"/>
      <c r="Y2858" s="111"/>
      <c r="Z2858" s="111"/>
      <c r="AA2858" s="111"/>
    </row>
    <row r="2859" spans="1:32" ht="12.75" customHeight="1">
      <c r="F2859" s="246" t="s">
        <v>4930</v>
      </c>
      <c r="G2859" s="246"/>
      <c r="H2859" s="246"/>
      <c r="I2859" s="246"/>
      <c r="R2859" s="1"/>
      <c r="S2859" s="110"/>
      <c r="T2859" s="110"/>
      <c r="U2859" s="110"/>
      <c r="V2859" s="110"/>
      <c r="W2859" s="110"/>
      <c r="X2859" s="111"/>
      <c r="Y2859" s="111"/>
      <c r="Z2859" s="111"/>
      <c r="AA2859" s="111"/>
    </row>
    <row r="2860" spans="1:32" ht="12.75" customHeight="1">
      <c r="K2860" s="281" t="s">
        <v>1244</v>
      </c>
      <c r="L2860" s="281"/>
      <c r="M2860" s="281"/>
      <c r="N2860" s="281"/>
      <c r="O2860" s="281"/>
      <c r="P2860" s="281"/>
      <c r="R2860" s="1"/>
      <c r="S2860" s="110"/>
      <c r="T2860" s="110"/>
      <c r="U2860" s="110"/>
      <c r="V2860" s="110"/>
      <c r="W2860" s="110"/>
      <c r="X2860" s="111"/>
      <c r="Y2860" s="111"/>
      <c r="Z2860" s="111"/>
      <c r="AA2860" s="111"/>
    </row>
    <row r="2861" spans="1:32" ht="12.75" customHeight="1">
      <c r="A2861" s="12" t="s">
        <v>1229</v>
      </c>
      <c r="B2861" s="11"/>
      <c r="C2861" s="11"/>
      <c r="D2861" s="11" t="str">
        <f>Draw!$B$1</f>
        <v>Enter Division Name</v>
      </c>
      <c r="E2861" s="11"/>
      <c r="F2861" s="7"/>
      <c r="G2861" s="6"/>
      <c r="H2861" s="7"/>
      <c r="I2861" s="11"/>
      <c r="J2861" s="11"/>
      <c r="K2861" s="11"/>
      <c r="L2861" s="11"/>
      <c r="M2861" s="281"/>
      <c r="N2861" s="281"/>
      <c r="O2861" s="281"/>
      <c r="P2861" s="281"/>
      <c r="R2861" s="1"/>
      <c r="S2861" s="110"/>
      <c r="T2861" s="110"/>
      <c r="U2861" s="110"/>
      <c r="V2861" s="110"/>
      <c r="W2861" s="110"/>
      <c r="X2861" s="111"/>
      <c r="Y2861" s="111"/>
      <c r="Z2861" s="111"/>
      <c r="AA2861" s="111"/>
    </row>
    <row r="2862" spans="1:32" ht="12.75" customHeight="1">
      <c r="A2862" s="2" t="s">
        <v>1230</v>
      </c>
      <c r="D2862" s="43" t="str">
        <f>Draw!$D$1</f>
        <v>Enter Hosting Location (City, ST)</v>
      </c>
      <c r="J2862" s="43" t="str">
        <f ca="1">$J$6</f>
        <v>[NCTTA Teams Template (v2.06).xlsx]</v>
      </c>
      <c r="R2862" s="1"/>
      <c r="S2862" s="110"/>
      <c r="T2862" s="110"/>
      <c r="U2862" s="110"/>
      <c r="V2862" s="110"/>
      <c r="W2862" s="110"/>
      <c r="X2862" s="111"/>
      <c r="Y2862" s="111"/>
      <c r="Z2862" s="111"/>
      <c r="AA2862" s="111"/>
    </row>
    <row r="2863" spans="1:32" ht="12.75" customHeight="1">
      <c r="A2863" s="2" t="s">
        <v>1231</v>
      </c>
      <c r="D2863" s="337" t="str">
        <f>Draw!$P$1</f>
        <v>Enter Date</v>
      </c>
      <c r="E2863" s="337"/>
      <c r="F2863" s="337"/>
      <c r="G2863" s="337"/>
      <c r="J2863" s="280" t="str">
        <f>CHOOSE(Draw!$T$1,"Round 10, Match 3","","","","","","","","","","")</f>
        <v/>
      </c>
      <c r="K2863" s="280"/>
      <c r="L2863" s="280"/>
      <c r="M2863" s="276" t="str">
        <f>IF(AND($J2863&lt;&gt;"",Draw!$AC$10&lt;&gt;"",Draw!$AC$13&lt;&gt;""),Draw!$AC$10+TIME(0,VALUE(MID($J2863,7,FIND(",",$J2863)-FIND(" ",$J2863)-1)-1)*Draw!$AC$13,0),"")</f>
        <v/>
      </c>
      <c r="N2863" s="276"/>
      <c r="O2863" s="157" t="str">
        <f>$F2906</f>
        <v>F-K</v>
      </c>
      <c r="R2863" s="1"/>
      <c r="S2863" s="110"/>
      <c r="T2863" s="110"/>
      <c r="U2863" s="110"/>
      <c r="V2863" s="110"/>
      <c r="W2863" s="110"/>
      <c r="X2863" s="111"/>
      <c r="Y2863" s="111"/>
      <c r="Z2863" s="111"/>
      <c r="AA2863" s="111"/>
    </row>
    <row r="2864" spans="1:32" ht="12.75" customHeight="1">
      <c r="A2864" s="14"/>
      <c r="B2864" s="15"/>
      <c r="C2864" s="15"/>
      <c r="D2864" s="15"/>
      <c r="E2864" s="15"/>
      <c r="F2864" s="14"/>
      <c r="G2864" s="14"/>
      <c r="H2864" s="16"/>
      <c r="I2864" s="14"/>
      <c r="J2864" s="15"/>
      <c r="K2864" s="15"/>
      <c r="L2864" s="15"/>
      <c r="M2864" s="15"/>
      <c r="N2864" s="15"/>
      <c r="O2864" s="364" t="str">
        <f>IF(OR(AND(VLOOKUP($B2865,$AM$1:$AX$12,12,FALSE)="C",VLOOKUP($K2865,$AM$1:$AX$12,12,FALSE)="C"),AND(VLOOKUP($B2865,$AM$1:$AX$12,12,FALSE)="W",VLOOKUP($K2865,$AM$1:$AX$12,12,FALSE)="W")),"Official",IF(AND($A2866="",$J2866=""),"","Scrimmage"))</f>
        <v/>
      </c>
      <c r="P2864" s="364"/>
      <c r="R2864" s="1"/>
      <c r="S2864" s="110"/>
      <c r="T2864" s="110"/>
      <c r="U2864" s="110"/>
      <c r="V2864" s="110"/>
      <c r="W2864" s="110"/>
      <c r="X2864" s="111"/>
      <c r="Y2864" s="111"/>
      <c r="Z2864" s="111"/>
      <c r="AA2864" s="111"/>
    </row>
    <row r="2865" spans="1:32" ht="12.75" customHeight="1">
      <c r="A2865" s="17" t="s">
        <v>1228</v>
      </c>
      <c r="B2865" s="119" t="str">
        <f>CHOOSE(Draw!$T$1,"E","E","F","F","H","H","H","H","G","F","B")</f>
        <v>F</v>
      </c>
      <c r="C2865" s="135">
        <f>VLOOKUP($B2865,$AM$1:$AN$12,2)</f>
        <v>6</v>
      </c>
      <c r="D2865" s="13"/>
      <c r="E2865" s="13"/>
      <c r="F2865" s="10"/>
      <c r="H2865" s="19" t="s">
        <v>1232</v>
      </c>
      <c r="J2865" s="17" t="s">
        <v>1228</v>
      </c>
      <c r="K2865" s="119" t="str">
        <f>CHOOSE(Draw!$T$1,"L","I","K","L","I","I","I","I","L","L","L")</f>
        <v>K</v>
      </c>
      <c r="L2865" s="135">
        <f>VLOOKUP($K2865,$AM$1:$AN$12,2)</f>
        <v>11</v>
      </c>
      <c r="M2865" s="13"/>
      <c r="N2865" s="13"/>
      <c r="O2865" s="18"/>
      <c r="P2865" s="274"/>
      <c r="Q2865" s="275"/>
      <c r="R2865" s="1"/>
      <c r="S2865" s="110"/>
      <c r="T2865" s="110"/>
      <c r="U2865" s="110"/>
      <c r="V2865" s="110"/>
      <c r="W2865" s="110"/>
      <c r="X2865" s="111"/>
      <c r="Y2865" s="111"/>
      <c r="Z2865" s="111"/>
      <c r="AA2865" s="111"/>
    </row>
    <row r="2866" spans="1:32" ht="12.75" customHeight="1">
      <c r="A2866" s="277" t="str">
        <f>IF(VLOOKUP($B2865,Draw!$A$4:$B$27,2)&lt;&gt;0,VLOOKUP($B2865,Draw!$A$4:$B$27,2),"")</f>
        <v/>
      </c>
      <c r="B2866" s="278"/>
      <c r="C2866" s="278"/>
      <c r="D2866" s="278"/>
      <c r="E2866" s="278"/>
      <c r="F2866" s="279"/>
      <c r="G2866" s="306" t="s">
        <v>4208</v>
      </c>
      <c r="H2866" s="289"/>
      <c r="I2866" s="307"/>
      <c r="J2866" s="277" t="str">
        <f>IF(VLOOKUP($K2865,Draw!$A$4:$B$27,2)&lt;&gt;0,VLOOKUP($K2865,Draw!$A$4:$B$27,2),"")</f>
        <v/>
      </c>
      <c r="K2866" s="278"/>
      <c r="L2866" s="278"/>
      <c r="M2866" s="278"/>
      <c r="N2866" s="278"/>
      <c r="O2866" s="279"/>
      <c r="P2866" s="15"/>
      <c r="R2866" s="1"/>
      <c r="S2866" s="110"/>
      <c r="T2866" s="110"/>
      <c r="U2866" s="110"/>
      <c r="V2866" s="110"/>
      <c r="W2866" s="110"/>
      <c r="X2866" s="111"/>
      <c r="Y2866" s="111"/>
      <c r="Z2866" s="111"/>
      <c r="AA2866" s="111"/>
    </row>
    <row r="2867" spans="1:32" ht="12.75" customHeight="1">
      <c r="A2867" s="14"/>
      <c r="B2867" s="15"/>
      <c r="C2867" s="15"/>
      <c r="D2867" s="15"/>
      <c r="E2867" s="15"/>
      <c r="F2867" s="14"/>
      <c r="G2867" s="288" t="str">
        <f>"Page "&amp;VALUE(RIGHT($G2866,LEN($G2866)-SEARCH("-",$G2866)))/2</f>
        <v>Page 57</v>
      </c>
      <c r="H2867" s="289"/>
      <c r="I2867" s="289"/>
      <c r="J2867" s="15"/>
      <c r="K2867" s="15"/>
      <c r="L2867" s="15"/>
      <c r="M2867" s="15"/>
      <c r="N2867" s="15"/>
      <c r="O2867" s="15"/>
      <c r="P2867" s="15"/>
      <c r="R2867" s="1"/>
      <c r="S2867" s="110"/>
      <c r="T2867" s="110"/>
      <c r="U2867" s="110"/>
      <c r="V2867" s="110"/>
      <c r="W2867" s="110"/>
      <c r="X2867" s="111"/>
      <c r="Y2867" s="111"/>
      <c r="Z2867" s="111"/>
      <c r="AA2867" s="111"/>
      <c r="AF2867" s="27"/>
    </row>
    <row r="2868" spans="1:32" ht="12.75" customHeight="1">
      <c r="A2868" s="327" t="s">
        <v>1245</v>
      </c>
      <c r="B2868" s="327"/>
      <c r="C2868" s="327"/>
      <c r="D2868" s="327"/>
      <c r="E2868" s="327"/>
      <c r="F2868" s="327"/>
      <c r="G2868" s="327"/>
      <c r="H2868" s="327"/>
      <c r="I2868" s="327"/>
      <c r="J2868" s="327"/>
      <c r="K2868" s="327"/>
      <c r="L2868" s="327"/>
      <c r="M2868" s="327"/>
      <c r="N2868" s="327"/>
      <c r="O2868" s="327"/>
      <c r="P2868" s="327"/>
      <c r="Q2868" s="7"/>
      <c r="R2868" s="1"/>
      <c r="S2868" s="110"/>
      <c r="T2868" s="110"/>
      <c r="U2868" s="110"/>
      <c r="V2868" s="110"/>
      <c r="W2868" s="110"/>
      <c r="X2868" s="111"/>
      <c r="Y2868" s="111"/>
      <c r="Z2868" s="111"/>
      <c r="AA2868" s="111"/>
      <c r="AF2868" s="20"/>
    </row>
    <row r="2869" spans="1:32" ht="12.75" customHeight="1">
      <c r="A2869" s="21" t="s">
        <v>1233</v>
      </c>
      <c r="H2869" s="136" t="str">
        <f>IF($Q2871&lt;&gt;"",IF(AND(AND($H2871&gt;-1,$H2873&gt;-1),OR($H2871&gt;10,$H2873&gt;10),ABS($H2871-$H2873)&gt;1,IF(OR($H2871&gt;11,$H2873&gt;11),ABS($H2871-$H2873)=2,TRUE),$H2871=INT($H2871),$H2873=INT($H2873)),"","Error"),"")</f>
        <v/>
      </c>
      <c r="I2869" s="136" t="str">
        <f>IF($Q2871&lt;&gt;"",IF(AND(AND($I2871&gt;-1,$I2873&gt;-1),OR($I2871&gt;10,$I2873&gt;10),ABS($I2871-$I2873)&gt;1,IF(OR($I2871&gt;11,$I2873&gt;11),ABS($I2871-$I2873)=2,TRUE),$I2871=INT($I2871),$I2873=INT($I2873)),"","Error"),"")</f>
        <v/>
      </c>
      <c r="J2869" s="136" t="str">
        <f>IF($Q2871&lt;&gt;"",IF(AND(AND($J2871&gt;-1,$J2873&gt;-1),OR($J2871&gt;10,$J2873&gt;10),ABS($J2871-$J2873)&gt;1,IF(OR($J2871&gt;11,$J2873&gt;11),ABS($J2871-$J2873)=2,TRUE),$J2871=INT($J2871),$J2873=INT($J2873)),"","Error"),"")</f>
        <v/>
      </c>
      <c r="K2869" s="136" t="str">
        <f>IF($Q2871&lt;&gt;"",IF(AND($K2871&lt;&gt;"",$K2873&lt;&gt;""), IF(AND(AND($K2871&gt;-1,$K2873&gt;-1),OR($K2871&gt;10,$K2873&gt;10),ABS($K2871-$K2873)&gt;1,IF(OR($K2871&gt;11,$K2873&gt;11),ABS($K2871-$K2873)=2,TRUE),$K2871=INT($K2871),$K2873=INT($K2873)),"","Error"),""),"")</f>
        <v/>
      </c>
      <c r="L2869" s="136" t="str">
        <f>IF($Q2871&lt;&gt;"",IF(AND($L2871&lt;&gt;"",$L2873&lt;&gt;""), IF(AND(AND($L2871&gt;-1,$L2873&gt;-1),OR($L2871&gt;10,$L2873&gt;10),ABS($L2871-$L2873)&gt;1,IF(OR($L2871&gt;11,$L2873&gt;11),ABS($L2871-$L2873)=2,TRUE),$L2871=INT($L2871),$L2873=INT($L2873)),"","Error"),""),"")</f>
        <v/>
      </c>
      <c r="R2869" s="1"/>
      <c r="S2869" s="110"/>
      <c r="T2869" s="110"/>
      <c r="U2869" s="110"/>
      <c r="V2869" s="110"/>
      <c r="W2869" s="110"/>
      <c r="X2869" s="111"/>
      <c r="Y2869" s="111"/>
      <c r="Z2869" s="111"/>
      <c r="AA2869" s="111"/>
    </row>
    <row r="2870" spans="1:32" ht="12.75" customHeight="1">
      <c r="A2870" s="5" t="s">
        <v>1228</v>
      </c>
      <c r="B2870" s="290" t="s">
        <v>1126</v>
      </c>
      <c r="C2870" s="291"/>
      <c r="D2870" s="291"/>
      <c r="E2870" s="291"/>
      <c r="F2870" s="291"/>
      <c r="G2870" s="292"/>
      <c r="H2870" s="5">
        <v>1</v>
      </c>
      <c r="I2870" s="5">
        <v>2</v>
      </c>
      <c r="J2870" s="5">
        <v>3</v>
      </c>
      <c r="K2870" s="5">
        <v>4</v>
      </c>
      <c r="L2870" s="5">
        <v>5</v>
      </c>
      <c r="M2870" s="271"/>
      <c r="N2870" s="272"/>
      <c r="O2870" s="272"/>
      <c r="P2870" s="273"/>
      <c r="R2870" s="1"/>
      <c r="S2870" s="110"/>
      <c r="T2870" s="110"/>
      <c r="U2870" s="110"/>
      <c r="V2870" s="110"/>
      <c r="W2870" s="110"/>
      <c r="X2870" s="111"/>
      <c r="Y2870" s="111"/>
      <c r="Z2870" s="111"/>
      <c r="AA2870" s="111"/>
    </row>
    <row r="2871" spans="1:32" ht="12.75" customHeight="1">
      <c r="A2871" s="300" t="str">
        <f>B2865</f>
        <v>F</v>
      </c>
      <c r="B2871" s="293" t="str">
        <f ca="1">IF(AND(OFFSET($AO$1,$C2865-1,8,1,1),$A2866&lt;&gt;"",$J2866&lt;&gt;""),CHOOSE($C2865,$AO$1,$AO$2,$AO$3,$AO$4,$AO$5,$AO$6,$AO$7,$AO$8,$AO$9,$AO$10,$AO$11,$AO$12),"")</f>
        <v/>
      </c>
      <c r="C2871" s="294"/>
      <c r="D2871" s="294"/>
      <c r="E2871" s="294"/>
      <c r="F2871" s="294"/>
      <c r="G2871" s="294"/>
      <c r="H2871" s="265"/>
      <c r="I2871" s="265"/>
      <c r="J2871" s="265"/>
      <c r="K2871" s="265"/>
      <c r="L2871" s="265"/>
      <c r="M2871" s="297"/>
      <c r="N2871" s="298"/>
      <c r="O2871" s="298"/>
      <c r="P2871" s="299"/>
      <c r="Q2871" s="137" t="str">
        <f>IF($L2871=$L2873,IF($K2871=$K2873,IF($J2871&lt;&gt;"",IF($J2871&gt;$J2873,"W","L"),""),IF($K2871&gt;$K2873,"W","L")),IF($L2871&gt;$L2873,"W","L"))</f>
        <v/>
      </c>
      <c r="R2871" s="1"/>
      <c r="S2871" s="110"/>
      <c r="T2871" s="110"/>
      <c r="U2871" s="110"/>
      <c r="V2871" s="110"/>
      <c r="W2871" s="110"/>
      <c r="X2871" s="111"/>
      <c r="Y2871" s="111"/>
      <c r="Z2871" s="111"/>
      <c r="AA2871" s="111"/>
    </row>
    <row r="2872" spans="1:32" ht="12.75" customHeight="1">
      <c r="A2872" s="301"/>
      <c r="B2872" s="295"/>
      <c r="C2872" s="296"/>
      <c r="D2872" s="296"/>
      <c r="E2872" s="296"/>
      <c r="F2872" s="296"/>
      <c r="G2872" s="296"/>
      <c r="H2872" s="270"/>
      <c r="I2872" s="270"/>
      <c r="J2872" s="270"/>
      <c r="K2872" s="270"/>
      <c r="L2872" s="270"/>
      <c r="M2872" s="297"/>
      <c r="N2872" s="298"/>
      <c r="O2872" s="298"/>
      <c r="P2872" s="299"/>
      <c r="Q2872" s="139" t="str">
        <f>IF($Q2871&lt;&gt;"",IF($Q2871="W",IF(SUM(IF($H2871&gt;$H2873,1,0),IF($I2871&gt;$I2873,1,0),IF($J2871&gt;$J2873,1,0),IF($K2871&gt;$K2873,1,0),IF($L2871&gt;$L2873,1,0))&lt;&gt;3,"Error",""),""),"")</f>
        <v/>
      </c>
      <c r="R2872" s="328" t="str">
        <f>$A2866</f>
        <v/>
      </c>
      <c r="S2872" s="328"/>
      <c r="T2872" s="328"/>
      <c r="U2872" s="328"/>
      <c r="V2872" s="328"/>
      <c r="W2872" s="328"/>
      <c r="X2872" s="256" t="str">
        <f>CONCATENATE("(",$B2865," vs ",$K2865,")")</f>
        <v>(F vs K)</v>
      </c>
      <c r="Y2872" s="256"/>
      <c r="Z2872" s="328" t="str">
        <f>$J2866</f>
        <v/>
      </c>
      <c r="AA2872" s="328"/>
      <c r="AB2872" s="328"/>
      <c r="AC2872" s="328"/>
      <c r="AD2872" s="328"/>
      <c r="AE2872" s="328"/>
      <c r="AF2872" s="43"/>
    </row>
    <row r="2873" spans="1:32" ht="12.75" customHeight="1">
      <c r="A2873" s="300" t="str">
        <f>K2865</f>
        <v>K</v>
      </c>
      <c r="B2873" s="293" t="str">
        <f ca="1">IF(AND(OFFSET($AO$1,$L2865-1,8,1,1),$A2866&lt;&gt;"",$J2866&lt;&gt;""),CHOOSE($L2865,$AO$1,$AO$2,$AO$3,$AO$4,$AO$5,$AO$6,$AO$7,$AO$8,$AO$9,$AO$10,$AO$11,$AO$12),"")</f>
        <v/>
      </c>
      <c r="C2873" s="294"/>
      <c r="D2873" s="294"/>
      <c r="E2873" s="294"/>
      <c r="F2873" s="294"/>
      <c r="G2873" s="294"/>
      <c r="H2873" s="265"/>
      <c r="I2873" s="265"/>
      <c r="J2873" s="265"/>
      <c r="K2873" s="265"/>
      <c r="L2873" s="265"/>
      <c r="M2873" s="267" t="s">
        <v>1237</v>
      </c>
      <c r="N2873" s="268"/>
      <c r="O2873" s="268"/>
      <c r="P2873" s="269"/>
      <c r="Q2873" s="137" t="str">
        <f>IF($Q2871&lt;&gt;"",IF($Q2871="W","L","W"),"")</f>
        <v/>
      </c>
      <c r="R2873" s="43"/>
      <c r="S2873" s="43"/>
      <c r="T2873" s="43"/>
      <c r="U2873" s="43"/>
      <c r="V2873" s="43"/>
      <c r="W2873" s="43"/>
      <c r="X2873" s="43"/>
      <c r="Y2873" s="43"/>
      <c r="Z2873" s="43"/>
      <c r="AA2873" s="43"/>
      <c r="AB2873" s="43"/>
      <c r="AC2873" s="43"/>
      <c r="AD2873" s="43"/>
      <c r="AE2873" s="43"/>
      <c r="AF2873" s="43"/>
    </row>
    <row r="2874" spans="1:32" ht="12.75" customHeight="1">
      <c r="A2874" s="301"/>
      <c r="B2874" s="295"/>
      <c r="C2874" s="296"/>
      <c r="D2874" s="296"/>
      <c r="E2874" s="296"/>
      <c r="F2874" s="296"/>
      <c r="G2874" s="296"/>
      <c r="H2874" s="270"/>
      <c r="I2874" s="270"/>
      <c r="J2874" s="266"/>
      <c r="K2874" s="266"/>
      <c r="L2874" s="266"/>
      <c r="M2874" s="267"/>
      <c r="N2874" s="268"/>
      <c r="O2874" s="268"/>
      <c r="P2874" s="269"/>
      <c r="Q2874" s="139" t="str">
        <f>IF($Q2873&lt;&gt;"",IF($Q2873="W",IF(SUM(IF($H2873&gt;$H2871,1,0),IF($I2873&gt;$I2871,1,0),IF($J2873&gt;$J2871,1,0),IF($K2873&gt;$K2871,1,0),IF($L2873&gt;$L2871,1,0))&lt;&gt;3,"Error",""),""),"")</f>
        <v/>
      </c>
      <c r="R2874" s="43" t="str">
        <f>$A2876</f>
        <v>2nd Singles</v>
      </c>
      <c r="S2874" s="43"/>
      <c r="T2874" s="43"/>
      <c r="U2874" s="43"/>
      <c r="V2874" s="43"/>
      <c r="W2874" s="43"/>
      <c r="X2874" s="43"/>
      <c r="Y2874" s="43"/>
      <c r="Z2874" s="43"/>
      <c r="AA2874" s="43"/>
      <c r="AB2874" s="43"/>
      <c r="AC2874" s="43"/>
      <c r="AD2874" s="43"/>
      <c r="AE2874" s="43"/>
      <c r="AF2874" s="43"/>
    </row>
    <row r="2875" spans="1:32" ht="12.75" customHeight="1">
      <c r="Q2875" s="7"/>
      <c r="R2875" s="60" t="s">
        <v>1228</v>
      </c>
      <c r="S2875" s="339" t="s">
        <v>1126</v>
      </c>
      <c r="T2875" s="340"/>
      <c r="U2875" s="340"/>
      <c r="V2875" s="340"/>
      <c r="W2875" s="340"/>
      <c r="X2875" s="341"/>
      <c r="Y2875" s="60">
        <v>1</v>
      </c>
      <c r="Z2875" s="60">
        <v>2</v>
      </c>
      <c r="AA2875" s="60">
        <v>3</v>
      </c>
      <c r="AB2875" s="60">
        <v>4</v>
      </c>
      <c r="AC2875" s="60">
        <v>5</v>
      </c>
      <c r="AD2875" s="342"/>
      <c r="AE2875" s="343"/>
      <c r="AF2875" s="344"/>
    </row>
    <row r="2876" spans="1:32" ht="12.75" customHeight="1">
      <c r="A2876" s="21" t="s">
        <v>1234</v>
      </c>
      <c r="H2876" s="136" t="str">
        <f>IF($Q2878&lt;&gt;"",IF(AND(AND($H2878&gt;-1,$H2880&gt;-1),OR($H2878&gt;10,$H2880&gt;10),ABS($H2878-$H2880)&gt;1,IF(OR($H2878&gt;11,$H2880&gt;11),ABS($H2878-$H2880)=2,TRUE),$H2878=INT($H2878),$H2880=INT($H2880)),"","Error"),"")</f>
        <v/>
      </c>
      <c r="I2876" s="136" t="str">
        <f>IF($Q2878&lt;&gt;"",IF(AND(AND($I2878&gt;-1,$I2880&gt;-1),OR($I2878&gt;10,$I2880&gt;10),ABS($I2878-$I2880)&gt;1,IF(OR($I2878&gt;11,$I2880&gt;11),ABS($I2878-$I2880)=2,TRUE),$I2878=INT($I2878),$I2880=INT($I2880)),"","Error"),"")</f>
        <v/>
      </c>
      <c r="J2876" s="136" t="str">
        <f>IF($Q2878&lt;&gt;"",IF(AND(AND($J2878&gt;-1,$J2880&gt;-1),OR($J2878&gt;10,$J2880&gt;10),ABS($J2878-$J2880)&gt;1,IF(OR($J2878&gt;11,$J2880&gt;11),ABS($J2878-$J2880)=2,TRUE),$J2878=INT($J2878),$J2880=INT($J2880)),"","Error"),"")</f>
        <v/>
      </c>
      <c r="K2876" s="136" t="str">
        <f>IF($Q2878&lt;&gt;"",IF(AND($K2878&lt;&gt;"",$K2880&lt;&gt;""), IF(AND(AND($K2878&gt;-1,$K2880&gt;-1),OR($K2878&gt;10,$K2880&gt;10),ABS($K2878-$K2880)&gt;1,IF(OR($K2878&gt;11,$K2880&gt;11),ABS($K2878-$K2880)=2,TRUE),$K2878=INT($K2878),$K2880=INT($K2880)),"","Error"),""),"")</f>
        <v/>
      </c>
      <c r="L2876" s="136" t="str">
        <f>IF($Q2878&lt;&gt;"",IF(AND($L2878&lt;&gt;"",$L2880&lt;&gt;""), IF(AND(AND($L2878&gt;-1,$L2880&gt;-1),OR($L2878&gt;10,$L2880&gt;10),ABS($L2878-$L2880)&gt;1,IF(OR($L2878&gt;11,$L2880&gt;11),ABS($L2878-$L2880)=2,TRUE),$L2878=INT($L2878),$L2880=INT($L2880)),"","Error"),""),"")</f>
        <v/>
      </c>
      <c r="Q2876" s="7"/>
      <c r="R2876" s="300" t="str">
        <f>$B2865</f>
        <v>F</v>
      </c>
      <c r="S2876" s="331" t="str">
        <f ca="1">IF($B2878&lt;&gt;"",$B2878,"")</f>
        <v/>
      </c>
      <c r="T2876" s="332"/>
      <c r="U2876" s="332"/>
      <c r="V2876" s="332"/>
      <c r="W2876" s="332"/>
      <c r="X2876" s="333"/>
      <c r="Y2876" s="329"/>
      <c r="Z2876" s="329"/>
      <c r="AA2876" s="329"/>
      <c r="AB2876" s="329"/>
      <c r="AC2876" s="329"/>
      <c r="AD2876" s="345"/>
      <c r="AE2876" s="358"/>
      <c r="AF2876" s="359"/>
    </row>
    <row r="2877" spans="1:32" ht="12.75" customHeight="1">
      <c r="A2877" s="5" t="s">
        <v>1228</v>
      </c>
      <c r="B2877" s="290" t="s">
        <v>1126</v>
      </c>
      <c r="C2877" s="291"/>
      <c r="D2877" s="291"/>
      <c r="E2877" s="291"/>
      <c r="F2877" s="291"/>
      <c r="G2877" s="292"/>
      <c r="H2877" s="5">
        <v>1</v>
      </c>
      <c r="I2877" s="5">
        <v>2</v>
      </c>
      <c r="J2877" s="5">
        <v>3</v>
      </c>
      <c r="K2877" s="5">
        <v>4</v>
      </c>
      <c r="L2877" s="5">
        <v>5</v>
      </c>
      <c r="M2877" s="271"/>
      <c r="N2877" s="272"/>
      <c r="O2877" s="272"/>
      <c r="P2877" s="273"/>
      <c r="Q2877" s="7"/>
      <c r="R2877" s="330"/>
      <c r="S2877" s="334"/>
      <c r="T2877" s="335"/>
      <c r="U2877" s="335"/>
      <c r="V2877" s="335"/>
      <c r="W2877" s="335"/>
      <c r="X2877" s="336"/>
      <c r="Y2877" s="330"/>
      <c r="Z2877" s="330"/>
      <c r="AA2877" s="330"/>
      <c r="AB2877" s="330"/>
      <c r="AC2877" s="330"/>
      <c r="AD2877" s="360"/>
      <c r="AE2877" s="361"/>
      <c r="AF2877" s="362"/>
    </row>
    <row r="2878" spans="1:32" ht="12.75" customHeight="1">
      <c r="A2878" s="300" t="str">
        <f>B2865</f>
        <v>F</v>
      </c>
      <c r="B2878" s="293" t="str">
        <f ca="1">IF(AND(OFFSET($AO$1,$C2865-1,8,1,1),$A2866&lt;&gt;"",$J2866&lt;&gt;""),CHOOSE($C2865,$AP$1,$AP$2,$AP$3,$AP$4,$AP$5,$AP$6,$AP$7,$AP$8,$AP$9,$AP$10,$AP$11,$AP$12),"")</f>
        <v/>
      </c>
      <c r="C2878" s="294"/>
      <c r="D2878" s="294"/>
      <c r="E2878" s="294"/>
      <c r="F2878" s="294"/>
      <c r="G2878" s="294"/>
      <c r="H2878" s="265"/>
      <c r="I2878" s="265"/>
      <c r="J2878" s="265"/>
      <c r="K2878" s="265"/>
      <c r="L2878" s="265"/>
      <c r="M2878" s="262" t="str">
        <f ca="1">IF(OR(AND($B2871&lt;&gt;"",$B2878&lt;&gt;"",$C2896&lt;=$B2896),AND($B2873&lt;&gt;"",$B2880&lt;&gt;"",$G2896&lt;=$F2896)),"Invalid Lineup","")</f>
        <v/>
      </c>
      <c r="N2878" s="263"/>
      <c r="O2878" s="263"/>
      <c r="P2878" s="264"/>
      <c r="Q2878" s="137" t="str">
        <f>IF($L2878=$L2880,IF($K2878=$K2880,IF($J2878&lt;&gt;"",IF($J2878&gt;$J2880,"W","L"),""),IF($K2878&gt;$K2880,"W","L")),IF($L2878&gt;$L2880,"W","L"))</f>
        <v/>
      </c>
      <c r="R2878" s="300" t="str">
        <f>$K2865</f>
        <v>K</v>
      </c>
      <c r="S2878" s="331" t="str">
        <f ca="1">IF($B2880&lt;&gt;"",$B2880,"")</f>
        <v/>
      </c>
      <c r="T2878" s="332"/>
      <c r="U2878" s="332"/>
      <c r="V2878" s="332"/>
      <c r="W2878" s="332"/>
      <c r="X2878" s="333"/>
      <c r="Y2878" s="329"/>
      <c r="Z2878" s="329"/>
      <c r="AA2878" s="329"/>
      <c r="AB2878" s="329"/>
      <c r="AC2878" s="351"/>
      <c r="AD2878" s="363" t="s">
        <v>1237</v>
      </c>
      <c r="AE2878" s="358"/>
      <c r="AF2878" s="359"/>
    </row>
    <row r="2879" spans="1:32" ht="12.75" customHeight="1">
      <c r="A2879" s="301"/>
      <c r="B2879" s="295"/>
      <c r="C2879" s="296"/>
      <c r="D2879" s="296"/>
      <c r="E2879" s="296"/>
      <c r="F2879" s="296"/>
      <c r="G2879" s="296"/>
      <c r="H2879" s="270"/>
      <c r="I2879" s="270"/>
      <c r="J2879" s="270"/>
      <c r="K2879" s="270"/>
      <c r="L2879" s="270"/>
      <c r="M2879" s="262"/>
      <c r="N2879" s="263"/>
      <c r="O2879" s="263"/>
      <c r="P2879" s="264"/>
      <c r="Q2879" s="139" t="str">
        <f>IF($Q2878&lt;&gt;"",IF($Q2878="W",IF(SUM(IF($H2878&gt;$H2880,1,0),IF($I2878&gt;$I2880,1,0),IF($J2878&gt;$J2880,1,0),IF($K2878&gt;$K2880,1,0),IF($L2878&gt;$L2880,1,0))&lt;&gt;3,"Error",""),""),"")</f>
        <v/>
      </c>
      <c r="R2879" s="330"/>
      <c r="S2879" s="334"/>
      <c r="T2879" s="335"/>
      <c r="U2879" s="335"/>
      <c r="V2879" s="335"/>
      <c r="W2879" s="335"/>
      <c r="X2879" s="336"/>
      <c r="Y2879" s="330"/>
      <c r="Z2879" s="330"/>
      <c r="AA2879" s="330"/>
      <c r="AB2879" s="330"/>
      <c r="AC2879" s="330"/>
      <c r="AD2879" s="360"/>
      <c r="AE2879" s="361"/>
      <c r="AF2879" s="362"/>
    </row>
    <row r="2880" spans="1:32" ht="12.75" customHeight="1">
      <c r="A2880" s="300" t="str">
        <f>K2865</f>
        <v>K</v>
      </c>
      <c r="B2880" s="293" t="str">
        <f ca="1">IF(AND(OFFSET($AO$1,$L2865-1,8,1,1),$A2866&lt;&gt;"",$J2866&lt;&gt;""),CHOOSE($L2865,$AP$1,$AP$2,$AP$3,$AP$4,$AP$5,$AP$6,$AP$7,$AP$8,$AP$9,$AP$10,$AP$11,$AP$12),"")</f>
        <v/>
      </c>
      <c r="C2880" s="294"/>
      <c r="D2880" s="294"/>
      <c r="E2880" s="294"/>
      <c r="F2880" s="294"/>
      <c r="G2880" s="294"/>
      <c r="H2880" s="265"/>
      <c r="I2880" s="265"/>
      <c r="J2880" s="265"/>
      <c r="K2880" s="265"/>
      <c r="L2880" s="265"/>
      <c r="M2880" s="267" t="s">
        <v>1237</v>
      </c>
      <c r="N2880" s="268"/>
      <c r="O2880" s="268"/>
      <c r="P2880" s="269"/>
      <c r="Q2880" s="137" t="str">
        <f>IF($Q2878&lt;&gt;"",IF($Q2878="W","L","W"),"")</f>
        <v/>
      </c>
      <c r="R2880" s="20"/>
      <c r="S2880" s="20"/>
      <c r="T2880" s="20"/>
      <c r="U2880" s="20"/>
      <c r="V2880" s="20"/>
      <c r="W2880" s="20"/>
      <c r="X2880" s="26"/>
      <c r="Y2880" s="26"/>
      <c r="Z2880" s="20"/>
      <c r="AA2880" s="20"/>
      <c r="AB2880" s="20"/>
      <c r="AC2880" s="20"/>
      <c r="AD2880" s="20"/>
      <c r="AE2880" s="20"/>
      <c r="AF2880" s="27"/>
    </row>
    <row r="2881" spans="1:32" ht="12.75" customHeight="1">
      <c r="A2881" s="301"/>
      <c r="B2881" s="295"/>
      <c r="C2881" s="296"/>
      <c r="D2881" s="296"/>
      <c r="E2881" s="296"/>
      <c r="F2881" s="296"/>
      <c r="G2881" s="296"/>
      <c r="H2881" s="270"/>
      <c r="I2881" s="270"/>
      <c r="J2881" s="266"/>
      <c r="K2881" s="266"/>
      <c r="L2881" s="266"/>
      <c r="M2881" s="267"/>
      <c r="N2881" s="268"/>
      <c r="O2881" s="268"/>
      <c r="P2881" s="269"/>
      <c r="Q2881" s="139" t="str">
        <f>IF($Q2880&lt;&gt;"",IF($Q2880="W",IF(SUM(IF($H2880&gt;$H2878,1,0),IF($I2880&gt;$I2878,1,0),IF($J2880&gt;$J2878,1,0),IF($K2880&gt;$K2878,1,0),IF($L2880&gt;$L2878,1,0))&lt;&gt;3,"Error",""),""),"")</f>
        <v/>
      </c>
      <c r="R2881" s="20"/>
      <c r="S2881" s="20"/>
      <c r="T2881" s="20"/>
      <c r="U2881" s="20"/>
      <c r="V2881" s="20"/>
      <c r="W2881" s="20"/>
      <c r="X2881" s="26"/>
      <c r="Y2881" s="26"/>
      <c r="Z2881" s="20"/>
      <c r="AA2881" s="20"/>
      <c r="AB2881" s="20"/>
      <c r="AC2881" s="20"/>
      <c r="AD2881" s="20"/>
      <c r="AE2881" s="20"/>
      <c r="AF2881" s="27"/>
    </row>
    <row r="2882" spans="1:32" ht="12.75" customHeight="1">
      <c r="Q2882" s="7"/>
      <c r="R2882" s="20"/>
      <c r="S2882" s="20"/>
      <c r="T2882" s="20"/>
      <c r="U2882" s="20"/>
      <c r="V2882" s="20"/>
      <c r="W2882" s="20"/>
      <c r="X2882" s="26"/>
      <c r="Y2882" s="26"/>
      <c r="Z2882" s="20"/>
      <c r="AA2882" s="20"/>
      <c r="AB2882" s="20"/>
      <c r="AC2882" s="20"/>
      <c r="AD2882" s="20"/>
      <c r="AE2882" s="20"/>
      <c r="AF2882" s="27"/>
    </row>
    <row r="2883" spans="1:32" ht="12.75" customHeight="1">
      <c r="A2883" s="21" t="s">
        <v>1235</v>
      </c>
      <c r="H2883" s="136" t="str">
        <f>IF($Q2885&lt;&gt;"",IF(AND(AND($H2885&gt;-1,$H2887&gt;-1),OR($H2885&gt;10,$H2887&gt;10),ABS($H2885-$H2887)&gt;1,IF(OR($H2885&gt;11,$H2887&gt;11),ABS($H2885-$H2887)=2,TRUE),$H2885=INT($H2885),$H2887=INT($H2887)),"","Error"),"")</f>
        <v/>
      </c>
      <c r="I2883" s="136" t="str">
        <f>IF($Q2885&lt;&gt;"",IF(AND(AND($I2885&gt;-1,$I2887&gt;-1),OR($I2885&gt;10,$I2887&gt;10),ABS($I2885-$I2887)&gt;1,IF(OR($I2885&gt;11,$I2887&gt;11),ABS($I2885-$I2887)=2,TRUE),$I2885=INT($I2885),$I2887=INT($I2887)),"","Error"),"")</f>
        <v/>
      </c>
      <c r="J2883" s="136" t="str">
        <f>IF($Q2885&lt;&gt;"",IF(AND(AND($J2885&gt;-1,$J2887&gt;-1),OR($J2885&gt;10,$J2887&gt;10),ABS($J2885-$J2887)&gt;1,IF(OR($J2885&gt;11,$J2887&gt;11),ABS($J2885-$J2887)=2,TRUE),$J2885=INT($J2885),$J2887=INT($J2887)),"","Error"),"")</f>
        <v/>
      </c>
      <c r="K2883" s="136" t="str">
        <f>IF($Q2885&lt;&gt;"",IF(AND($K2885&lt;&gt;"",$K2887&lt;&gt;""), IF(AND(AND($K2885&gt;-1,$K2887&gt;-1),OR($K2885&gt;10,$K2887&gt;10),ABS($K2885-$K2887)&gt;1,IF(OR($K2885&gt;11,$K2887&gt;11),ABS($K2885-$K2887)=2,TRUE),$K2885=INT($K2885),$K2887=INT($K2887)),"","Error"),""),"")</f>
        <v/>
      </c>
      <c r="L2883" s="136" t="str">
        <f>IF($Q2885&lt;&gt;"",IF(AND($L2885&lt;&gt;"",$L2887&lt;&gt;""), IF(AND(AND($L2885&gt;-1,$L2887&gt;-1),OR($L2885&gt;10,$L2887&gt;10),ABS($L2885-$L2887)&gt;1,IF(OR($L2885&gt;11,$L2887&gt;11),ABS($L2885-$L2887)=2,TRUE),$L2885=INT($L2885),$L2887=INT($L2887)),"","Error"),""),"")</f>
        <v/>
      </c>
      <c r="Q2883" s="7"/>
      <c r="R2883" s="20"/>
      <c r="S2883" s="20"/>
      <c r="T2883" s="20"/>
      <c r="U2883" s="20"/>
      <c r="V2883" s="20"/>
      <c r="W2883" s="20"/>
      <c r="X2883" s="26"/>
      <c r="Y2883" s="26"/>
      <c r="Z2883" s="20"/>
      <c r="AA2883" s="20"/>
      <c r="AB2883" s="20"/>
      <c r="AC2883" s="20"/>
      <c r="AD2883" s="20"/>
      <c r="AE2883" s="20"/>
      <c r="AF2883" s="27"/>
    </row>
    <row r="2884" spans="1:32" ht="12.75" customHeight="1">
      <c r="A2884" s="5" t="s">
        <v>1228</v>
      </c>
      <c r="B2884" s="290" t="s">
        <v>1126</v>
      </c>
      <c r="C2884" s="291"/>
      <c r="D2884" s="291"/>
      <c r="E2884" s="291"/>
      <c r="F2884" s="291"/>
      <c r="G2884" s="292"/>
      <c r="H2884" s="5">
        <v>1</v>
      </c>
      <c r="I2884" s="5">
        <v>2</v>
      </c>
      <c r="J2884" s="5">
        <v>3</v>
      </c>
      <c r="K2884" s="5">
        <v>4</v>
      </c>
      <c r="L2884" s="5">
        <v>5</v>
      </c>
      <c r="M2884" s="271"/>
      <c r="N2884" s="272"/>
      <c r="O2884" s="272"/>
      <c r="P2884" s="273"/>
      <c r="Q2884" s="7"/>
      <c r="R2884" s="20"/>
      <c r="S2884" s="20"/>
      <c r="T2884" s="20"/>
      <c r="U2884" s="20"/>
      <c r="V2884" s="20"/>
      <c r="W2884" s="20"/>
      <c r="X2884" s="26"/>
      <c r="Y2884" s="26"/>
      <c r="Z2884" s="20"/>
      <c r="AA2884" s="20"/>
      <c r="AB2884" s="20"/>
      <c r="AC2884" s="20"/>
      <c r="AD2884" s="20"/>
      <c r="AE2884" s="20"/>
      <c r="AF2884" s="27"/>
    </row>
    <row r="2885" spans="1:32" ht="12.75" customHeight="1">
      <c r="A2885" s="300" t="str">
        <f>B2865</f>
        <v>F</v>
      </c>
      <c r="B2885" s="293" t="str">
        <f ca="1">IF(AND(OFFSET($AO$1,$C2865-1,8,1,1),$A2866&lt;&gt;"",$J2866&lt;&gt;""),CHOOSE($C2865,$AQ$1,$AQ$2,$AQ$3,$AQ$4,$AQ$5,$AQ$6,$AQ$7,$AQ$8,$AQ$9,$AQ$10,$AQ$11,$AQ$12),"")</f>
        <v/>
      </c>
      <c r="C2885" s="294"/>
      <c r="D2885" s="294"/>
      <c r="E2885" s="294"/>
      <c r="F2885" s="294"/>
      <c r="G2885" s="294"/>
      <c r="H2885" s="265"/>
      <c r="I2885" s="265"/>
      <c r="J2885" s="265"/>
      <c r="K2885" s="265"/>
      <c r="L2885" s="265"/>
      <c r="M2885" s="262" t="str">
        <f ca="1">IF(OR(AND($B2878&lt;&gt;"",$B2885&lt;&gt;"",$D2896&lt;=$C2896),AND($B2880&lt;&gt;"",$B2887&lt;&gt;"",$H2896&lt;=$G2896)),"Invalid Lineup","")</f>
        <v/>
      </c>
      <c r="N2885" s="263"/>
      <c r="O2885" s="263"/>
      <c r="P2885" s="264"/>
      <c r="Q2885" s="137" t="str">
        <f>IF($L2885=$L2887,IF($K2885=$K2887,IF($J2885&lt;&gt;"",IF($J2885&gt;$J2887,"W","L"),""),IF($K2885&gt;$K2887,"W","L")),IF($L2885&gt;$L2887,"W","L"))</f>
        <v/>
      </c>
      <c r="R2885" s="20"/>
      <c r="S2885" s="20"/>
      <c r="T2885" s="20"/>
      <c r="U2885" s="20"/>
      <c r="V2885" s="20"/>
      <c r="W2885" s="20"/>
      <c r="X2885" s="26"/>
      <c r="Y2885" s="26"/>
      <c r="Z2885" s="20"/>
      <c r="AA2885" s="20"/>
      <c r="AB2885" s="20"/>
      <c r="AC2885" s="20"/>
      <c r="AD2885" s="20"/>
      <c r="AE2885" s="20"/>
      <c r="AF2885" s="27"/>
    </row>
    <row r="2886" spans="1:32" ht="12.75" customHeight="1">
      <c r="A2886" s="301"/>
      <c r="B2886" s="295"/>
      <c r="C2886" s="296"/>
      <c r="D2886" s="296"/>
      <c r="E2886" s="296"/>
      <c r="F2886" s="296"/>
      <c r="G2886" s="296"/>
      <c r="H2886" s="270"/>
      <c r="I2886" s="270"/>
      <c r="J2886" s="270"/>
      <c r="K2886" s="270"/>
      <c r="L2886" s="270"/>
      <c r="M2886" s="262"/>
      <c r="N2886" s="263"/>
      <c r="O2886" s="263"/>
      <c r="P2886" s="264"/>
      <c r="Q2886" s="139" t="str">
        <f>IF($Q2885&lt;&gt;"",IF($Q2885="W",IF(SUM(IF($H2885&gt;$H2887,1,0),IF($I2885&gt;$I2887,1,0),IF($J2885&gt;$J2887,1,0),IF($K2885&gt;$K2887,1,0),IF($L2885&gt;$L2887,1,0))&lt;&gt;3,"Error",""),""),"")</f>
        <v/>
      </c>
      <c r="R2886" s="328" t="str">
        <f>$A2866</f>
        <v/>
      </c>
      <c r="S2886" s="328"/>
      <c r="T2886" s="328"/>
      <c r="U2886" s="328"/>
      <c r="V2886" s="328"/>
      <c r="W2886" s="328"/>
      <c r="X2886" s="256" t="str">
        <f>CONCATENATE("(",$B2865," vs ",$K2865,")")</f>
        <v>(F vs K)</v>
      </c>
      <c r="Y2886" s="256"/>
      <c r="Z2886" s="328" t="str">
        <f>$J2866</f>
        <v/>
      </c>
      <c r="AA2886" s="328"/>
      <c r="AB2886" s="328"/>
      <c r="AC2886" s="328"/>
      <c r="AD2886" s="328"/>
      <c r="AE2886" s="328"/>
      <c r="AF2886" s="100"/>
    </row>
    <row r="2887" spans="1:32" ht="12.75" customHeight="1">
      <c r="A2887" s="300" t="str">
        <f>K2865</f>
        <v>K</v>
      </c>
      <c r="B2887" s="293" t="str">
        <f ca="1">IF(AND(OFFSET($AO$1,$L2865-1,8,1,1),$A2866&lt;&gt;"",$J2866&lt;&gt;""),CHOOSE($L2865,$AQ$1,$AQ$2,$AQ$3,$AQ$4,$AQ$5,$AQ$6,$AQ$7,$AQ$8,$AQ$9,$AQ$10,$AQ$11,$AQ$12),"")</f>
        <v/>
      </c>
      <c r="C2887" s="294"/>
      <c r="D2887" s="294"/>
      <c r="E2887" s="294"/>
      <c r="F2887" s="294"/>
      <c r="G2887" s="294"/>
      <c r="H2887" s="265"/>
      <c r="I2887" s="265"/>
      <c r="J2887" s="265"/>
      <c r="K2887" s="265"/>
      <c r="L2887" s="265"/>
      <c r="M2887" s="267" t="s">
        <v>1237</v>
      </c>
      <c r="N2887" s="268"/>
      <c r="O2887" s="268"/>
      <c r="P2887" s="269"/>
      <c r="Q2887" s="137" t="str">
        <f>IF($Q2885&lt;&gt;"",IF($Q2885="W","L","W"),"")</f>
        <v/>
      </c>
      <c r="R2887" s="100"/>
      <c r="S2887" s="100"/>
      <c r="T2887" s="100"/>
      <c r="U2887" s="100"/>
      <c r="V2887" s="100"/>
      <c r="W2887" s="100"/>
      <c r="X2887" s="100"/>
      <c r="Y2887" s="100"/>
      <c r="Z2887" s="100"/>
      <c r="AA2887" s="100"/>
      <c r="AB2887" s="100"/>
      <c r="AC2887" s="100"/>
      <c r="AD2887" s="100"/>
      <c r="AE2887" s="100"/>
      <c r="AF2887" s="100"/>
    </row>
    <row r="2888" spans="1:32" ht="12.75" customHeight="1">
      <c r="A2888" s="301"/>
      <c r="B2888" s="295"/>
      <c r="C2888" s="296"/>
      <c r="D2888" s="296"/>
      <c r="E2888" s="296"/>
      <c r="F2888" s="296"/>
      <c r="G2888" s="296"/>
      <c r="H2888" s="270"/>
      <c r="I2888" s="270"/>
      <c r="J2888" s="266"/>
      <c r="K2888" s="266"/>
      <c r="L2888" s="266"/>
      <c r="M2888" s="267"/>
      <c r="N2888" s="268"/>
      <c r="O2888" s="268"/>
      <c r="P2888" s="269"/>
      <c r="Q2888" s="139" t="str">
        <f>IF($Q2887&lt;&gt;"",IF($Q2887="W",IF(SUM(IF($H2887&gt;$H2885,1,0),IF($I2887&gt;$I2885,1,0),IF($J2887&gt;$J2885,1,0),IF($K2887&gt;$K2885,1,0),IF($L2887&gt;$L2885,1,0))&lt;&gt;3,"Error",""),""),"")</f>
        <v/>
      </c>
      <c r="R2888" s="43" t="str">
        <f>$A2883</f>
        <v>3rd Singles</v>
      </c>
      <c r="S2888" s="43"/>
      <c r="T2888" s="43"/>
      <c r="U2888" s="43"/>
      <c r="V2888" s="43"/>
      <c r="W2888" s="43"/>
      <c r="X2888" s="43"/>
      <c r="Y2888" s="43"/>
      <c r="Z2888" s="43"/>
      <c r="AA2888" s="43"/>
      <c r="AB2888" s="43"/>
      <c r="AC2888" s="43"/>
      <c r="AD2888" s="43"/>
      <c r="AE2888" s="43"/>
      <c r="AF2888" s="43"/>
    </row>
    <row r="2889" spans="1:32" ht="12.75" customHeight="1">
      <c r="Q2889" s="7"/>
      <c r="R2889" s="60" t="s">
        <v>1228</v>
      </c>
      <c r="S2889" s="101" t="s">
        <v>1126</v>
      </c>
      <c r="T2889" s="102"/>
      <c r="U2889" s="102"/>
      <c r="V2889" s="102"/>
      <c r="W2889" s="102"/>
      <c r="X2889" s="103"/>
      <c r="Y2889" s="60">
        <v>1</v>
      </c>
      <c r="Z2889" s="60">
        <v>2</v>
      </c>
      <c r="AA2889" s="60">
        <v>3</v>
      </c>
      <c r="AB2889" s="60">
        <v>4</v>
      </c>
      <c r="AC2889" s="60">
        <v>5</v>
      </c>
      <c r="AD2889" s="104"/>
      <c r="AE2889" s="105"/>
      <c r="AF2889" s="106"/>
    </row>
    <row r="2890" spans="1:32" ht="12.75" customHeight="1">
      <c r="A2890" s="21" t="s">
        <v>1236</v>
      </c>
      <c r="H2890" s="136" t="str">
        <f ca="1">IF($Q2892&lt;&gt;"",IF(AND($B2892&lt;&gt;"Missing Player",$B2894&lt;&gt;"Missing Player"),IF(AND(AND($H2892&gt;-1,$H2894&gt;-1),OR($H2892&gt;10,$H2894&gt;10),ABS($H2892-$H2894)&gt;1,IF(OR($H2892&gt;11,$H2894&gt;11),ABS($H2892-$H2894)=2,TRUE),$H2892=INT($H2892),$H2894=INT($H2894)),"","Error"),""),"")</f>
        <v/>
      </c>
      <c r="I2890" s="136" t="str">
        <f ca="1">IF($Q2892&lt;&gt;"",IF(AND($B2892&lt;&gt;"Missing Player",$B2894&lt;&gt;"Missing Player"),IF(AND(AND($I2892&gt;-1,$I2894&gt;-1),OR($I2892&gt;10,$I2894&gt;10),ABS($I2892-$I2894)&gt;1,IF(OR($I2892&gt;11,$I2894&gt;11),ABS($I2892-$I2894)=2,TRUE),$I2892=INT($I2892),$I2894=INT($I2894)),"","Error"),""),"")</f>
        <v/>
      </c>
      <c r="J2890" s="136" t="str">
        <f ca="1">IF($Q2892&lt;&gt;"",IF(AND($B2892&lt;&gt;"Missing Player",$B2894&lt;&gt;"Missing Player"),IF(AND(AND($J2892&gt;-1,$J2894&gt;-1),OR($J2892&gt;10,$J2894&gt;10),ABS($J2892-$J2894)&gt;1,IF(OR($J2892&gt;11,$J2894&gt;11),ABS($J2892-$J2894)=2,TRUE),$J2892=INT($J2892),$J2894=INT($J2894)),"","Error"),""),"")</f>
        <v/>
      </c>
      <c r="K2890" s="136" t="str">
        <f ca="1">IF($Q2892&lt;&gt;"",IF(AND($K2892&lt;&gt;"",$K2894&lt;&gt;""), IF(AND(AND($K2892&gt;-1,$K2894&gt;-1),OR($K2892&gt;10,$K2894&gt;10),ABS($K2892-$K2894)&gt;1,IF(OR($K2892&gt;11,$K2894&gt;11),ABS($K2892-$K2894)=2,TRUE),$K2892=INT($K2892),$K2894=INT($K2894)),"","Error"),""),"")</f>
        <v/>
      </c>
      <c r="L2890" s="136" t="str">
        <f ca="1">IF($Q2892&lt;&gt;"",IF(AND($L2892&lt;&gt;"",$L2894&lt;&gt;""), IF(AND(AND($L2892&gt;-1,$L2894&gt;-1),OR($L2892&gt;10,$L2894&gt;10),ABS($L2892-$L2894)&gt;1,IF(OR($L2892&gt;11,$L2894&gt;11),ABS($L2892-$L2894)=2,TRUE),$L2892=INT($L2892),$L2894=INT($L2894)),"","Error"),""),"")</f>
        <v/>
      </c>
      <c r="Q2890" s="7"/>
      <c r="R2890" s="300" t="str">
        <f>$B2865</f>
        <v>F</v>
      </c>
      <c r="S2890" s="331" t="str">
        <f ca="1">IF($B2885&lt;&gt;"",$B2885,"")</f>
        <v/>
      </c>
      <c r="T2890" s="332"/>
      <c r="U2890" s="332"/>
      <c r="V2890" s="332"/>
      <c r="W2890" s="332"/>
      <c r="X2890" s="333"/>
      <c r="Y2890" s="329"/>
      <c r="Z2890" s="329"/>
      <c r="AA2890" s="329"/>
      <c r="AB2890" s="329"/>
      <c r="AC2890" s="329"/>
      <c r="AD2890" s="345"/>
      <c r="AE2890" s="358"/>
      <c r="AF2890" s="359"/>
    </row>
    <row r="2891" spans="1:32" ht="12.75" customHeight="1">
      <c r="A2891" s="5" t="s">
        <v>1228</v>
      </c>
      <c r="B2891" s="290" t="s">
        <v>1126</v>
      </c>
      <c r="C2891" s="291"/>
      <c r="D2891" s="291"/>
      <c r="E2891" s="291"/>
      <c r="F2891" s="291"/>
      <c r="G2891" s="292"/>
      <c r="H2891" s="5">
        <v>1</v>
      </c>
      <c r="I2891" s="5">
        <v>2</v>
      </c>
      <c r="J2891" s="5">
        <v>3</v>
      </c>
      <c r="K2891" s="5">
        <v>4</v>
      </c>
      <c r="L2891" s="5">
        <v>5</v>
      </c>
      <c r="M2891" s="271"/>
      <c r="N2891" s="272"/>
      <c r="O2891" s="272"/>
      <c r="P2891" s="273"/>
      <c r="Q2891" s="7"/>
      <c r="R2891" s="330"/>
      <c r="S2891" s="334"/>
      <c r="T2891" s="335"/>
      <c r="U2891" s="335"/>
      <c r="V2891" s="335"/>
      <c r="W2891" s="335"/>
      <c r="X2891" s="336"/>
      <c r="Y2891" s="330"/>
      <c r="Z2891" s="330"/>
      <c r="AA2891" s="330"/>
      <c r="AB2891" s="330"/>
      <c r="AC2891" s="330"/>
      <c r="AD2891" s="360"/>
      <c r="AE2891" s="361"/>
      <c r="AF2891" s="362"/>
    </row>
    <row r="2892" spans="1:32" ht="12.75" customHeight="1">
      <c r="A2892" s="300" t="str">
        <f>B2865</f>
        <v>F</v>
      </c>
      <c r="B2892" s="293" t="str">
        <f ca="1">IF(AND(OFFSET($AO$1,$C2865-1,8,1,1),$A2866&lt;&gt;"",$J2866&lt;&gt;""),CHOOSE($C2865,$AR$1,$AR$2,$AR$3,$AR$4,$AR$5,$AR$6,$AR$7,$AR$8,$AR$9,$AR$10,$AR$11,$AR$12),"")</f>
        <v/>
      </c>
      <c r="C2892" s="294"/>
      <c r="D2892" s="294"/>
      <c r="E2892" s="294"/>
      <c r="F2892" s="294"/>
      <c r="G2892" s="294"/>
      <c r="H2892" s="265"/>
      <c r="I2892" s="265"/>
      <c r="J2892" s="265"/>
      <c r="K2892" s="265"/>
      <c r="L2892" s="265" t="str">
        <f ca="1">IF(AND($B2892&lt;&gt;"",$Q2871&lt;&gt;""),IF($B2892="Missing Player",0,IF($B2894="Missing Player",11,"")),"")</f>
        <v/>
      </c>
      <c r="M2892" s="262" t="str">
        <f ca="1">IF(OR(AND($B2885&lt;&gt;"",$B2892&lt;&gt;"",$E2896&lt;=$D2896),AND($B2887&lt;&gt;"",$B2894&lt;&gt;"",$I2896&lt;=$H2896)),"Invalid Lineup","")</f>
        <v/>
      </c>
      <c r="N2892" s="263"/>
      <c r="O2892" s="263"/>
      <c r="P2892" s="264"/>
      <c r="Q2892" s="137" t="str">
        <f ca="1">IF($L2892=$L2894,IF($K2892=$K2894,IF($J2892&lt;&gt;"",IF($J2892&gt;$J2894,"W","L"),""),IF($K2892&gt;$K2894,"W","L")),IF($L2892&gt;$L2894,"W","L"))</f>
        <v/>
      </c>
      <c r="R2892" s="300" t="str">
        <f>$K2865</f>
        <v>K</v>
      </c>
      <c r="S2892" s="331" t="str">
        <f ca="1">IF($B2887&lt;&gt;"",$B2887,"")</f>
        <v/>
      </c>
      <c r="T2892" s="332"/>
      <c r="U2892" s="332"/>
      <c r="V2892" s="332"/>
      <c r="W2892" s="332"/>
      <c r="X2892" s="333"/>
      <c r="Y2892" s="329"/>
      <c r="Z2892" s="329"/>
      <c r="AA2892" s="329"/>
      <c r="AB2892" s="329"/>
      <c r="AC2892" s="351"/>
      <c r="AD2892" s="363" t="s">
        <v>1237</v>
      </c>
      <c r="AE2892" s="358"/>
      <c r="AF2892" s="359"/>
    </row>
    <row r="2893" spans="1:32" ht="12.75" customHeight="1">
      <c r="A2893" s="301"/>
      <c r="B2893" s="295"/>
      <c r="C2893" s="296"/>
      <c r="D2893" s="296"/>
      <c r="E2893" s="296"/>
      <c r="F2893" s="296"/>
      <c r="G2893" s="296"/>
      <c r="H2893" s="270"/>
      <c r="I2893" s="270"/>
      <c r="J2893" s="270"/>
      <c r="K2893" s="270"/>
      <c r="L2893" s="270"/>
      <c r="M2893" s="262"/>
      <c r="N2893" s="263"/>
      <c r="O2893" s="263"/>
      <c r="P2893" s="264"/>
      <c r="Q2893" s="139" t="str">
        <f ca="1">IF($Q2892&lt;&gt;"",IF($B2894&lt;&gt;"Missing Player",IF($Q2892="W",IF(SUM(IF($H2892&gt;$H2894,1,0),IF($I2892&gt;$I2894,1,0),IF($J2892&gt;$J2894,1,0),IF($K2892&gt;$K2894,1,0),IF($L2892&gt;$L2894,1,0))&lt;&gt;3,"Error",""),""),""),"")</f>
        <v/>
      </c>
      <c r="R2893" s="330"/>
      <c r="S2893" s="334"/>
      <c r="T2893" s="335"/>
      <c r="U2893" s="335"/>
      <c r="V2893" s="335"/>
      <c r="W2893" s="335"/>
      <c r="X2893" s="336"/>
      <c r="Y2893" s="330"/>
      <c r="Z2893" s="330"/>
      <c r="AA2893" s="330"/>
      <c r="AB2893" s="330"/>
      <c r="AC2893" s="330"/>
      <c r="AD2893" s="360"/>
      <c r="AE2893" s="361"/>
      <c r="AF2893" s="362"/>
    </row>
    <row r="2894" spans="1:32" ht="12.75" customHeight="1">
      <c r="A2894" s="300" t="str">
        <f>K2865</f>
        <v>K</v>
      </c>
      <c r="B2894" s="293" t="str">
        <f ca="1">IF(AND(OFFSET($AO$1,$L2865-1,8,1,1),$A2866&lt;&gt;"",$J2866&lt;&gt;""),CHOOSE($L2865,$AR$1,$AR$2,$AR$3,$AR$4,$AR$5,$AR$6,$AR$7,$AR$8,$AR$9,$AR$10,$AR$11,$AR$12),"")</f>
        <v/>
      </c>
      <c r="C2894" s="294"/>
      <c r="D2894" s="294"/>
      <c r="E2894" s="294"/>
      <c r="F2894" s="294"/>
      <c r="G2894" s="294"/>
      <c r="H2894" s="265"/>
      <c r="I2894" s="265"/>
      <c r="J2894" s="265"/>
      <c r="K2894" s="265"/>
      <c r="L2894" s="265" t="str">
        <f ca="1">IF(AND($B2894&lt;&gt;"",$Q2871&lt;&gt;""),IF($B2894="Missing Player",0,IF($B2892="Missing Player",11,"")),"")</f>
        <v/>
      </c>
      <c r="M2894" s="267" t="s">
        <v>1237</v>
      </c>
      <c r="N2894" s="268"/>
      <c r="O2894" s="268"/>
      <c r="P2894" s="269"/>
      <c r="Q2894" s="137" t="str">
        <f ca="1">IF($Q2892&lt;&gt;"",IF($Q2892="W","L","W"),"")</f>
        <v/>
      </c>
      <c r="R2894" s="112"/>
      <c r="S2894" s="98"/>
      <c r="T2894" s="108"/>
      <c r="U2894" s="108"/>
      <c r="V2894" s="108"/>
      <c r="W2894" s="108"/>
      <c r="X2894" s="108"/>
      <c r="Y2894" s="113"/>
      <c r="Z2894" s="113"/>
      <c r="AA2894" s="113"/>
      <c r="AB2894" s="113"/>
      <c r="AC2894" s="113"/>
      <c r="AD2894" s="107"/>
      <c r="AE2894" s="109"/>
      <c r="AF2894" s="109"/>
    </row>
    <row r="2895" spans="1:32" ht="12.75" customHeight="1">
      <c r="A2895" s="301"/>
      <c r="B2895" s="295"/>
      <c r="C2895" s="296"/>
      <c r="D2895" s="296"/>
      <c r="E2895" s="296"/>
      <c r="F2895" s="296"/>
      <c r="G2895" s="296"/>
      <c r="H2895" s="270"/>
      <c r="I2895" s="270"/>
      <c r="J2895" s="266"/>
      <c r="K2895" s="266"/>
      <c r="L2895" s="266"/>
      <c r="M2895" s="267"/>
      <c r="N2895" s="268"/>
      <c r="O2895" s="268"/>
      <c r="P2895" s="269"/>
      <c r="Q2895" s="139" t="str">
        <f ca="1">IF($Q2894&lt;&gt;"",IF($B2892&lt;&gt;"Missing Player",IF($Q2894="W",IF(SUM(IF($H2894&gt;$H2892,1,0),IF($I2894&gt;$I2892,1,0),IF($J2894&gt;$J2892,1,0),IF($K2894&gt;$K2892,1,0),IF($L2894&gt;$L2892,1,0))&lt;&gt;3,"Error",""),""),""),"")</f>
        <v/>
      </c>
      <c r="R2895" s="114"/>
      <c r="S2895" s="115"/>
      <c r="T2895" s="115"/>
      <c r="U2895" s="115"/>
      <c r="V2895" s="115"/>
      <c r="W2895" s="115"/>
      <c r="X2895" s="115"/>
      <c r="Y2895" s="114"/>
      <c r="Z2895" s="114"/>
      <c r="AA2895" s="114"/>
      <c r="AB2895" s="114"/>
      <c r="AC2895" s="114"/>
      <c r="AD2895" s="114"/>
      <c r="AE2895" s="114"/>
      <c r="AF2895" s="114"/>
    </row>
    <row r="2896" spans="1:32" ht="12.75" customHeight="1">
      <c r="B2896" s="140" t="str">
        <f ca="1">IF(ISERROR(VLOOKUP($B2871&amp;"("&amp;$B2865&amp;")",Players!$S$4:$T$132,2,FALSE)),"",VLOOKUP($B2871&amp;"("&amp;$B2865&amp;")",Players!$S$4:$T$132,2,FALSE))</f>
        <v>F1</v>
      </c>
      <c r="C2896" s="140" t="str">
        <f ca="1">IF(ISERROR(VLOOKUP($B2878&amp;"("&amp;$B2865&amp;")",Players!$S$4:$T$132,2,FALSE)),"",VLOOKUP($B2878&amp;"("&amp;$B2865&amp;")",Players!$S$4:$T$132,2,FALSE))</f>
        <v>F1</v>
      </c>
      <c r="D2896" s="141" t="str">
        <f ca="1">IF(ISERROR(VLOOKUP($B2885&amp;"("&amp;$B2865&amp;")",Players!$S$4:$T$132,2,FALSE)),"",VLOOKUP($B2885&amp;"("&amp;$B2865&amp;")",Players!$S$4:$T$132,2,FALSE))</f>
        <v>F1</v>
      </c>
      <c r="E2896" s="141" t="str">
        <f ca="1">IF(ISERROR(VLOOKUP($B2892&amp;"("&amp;$B2865&amp;")",Players!$S$4:$T$132,2,FALSE)),"",VLOOKUP($B2892&amp;"("&amp;$B2865&amp;")",Players!$S$4:$T$132,2,FALSE))</f>
        <v>F1</v>
      </c>
      <c r="F2896" s="141" t="str">
        <f ca="1">IF(ISERROR(VLOOKUP($B2873&amp;"("&amp;$K2865&amp;")",Players!$S$4:$T$132,2,FALSE)),"",VLOOKUP($B2873&amp;"("&amp;$K2865&amp;")",Players!$S$4:$T$132,2,FALSE))</f>
        <v>K1</v>
      </c>
      <c r="G2896" s="141" t="str">
        <f ca="1">IF(ISERROR(VLOOKUP($B2880&amp;"("&amp;$K2865&amp;")",Players!$S$4:$T$132,2,FALSE)),"",VLOOKUP($B2880&amp;"("&amp;$K2865&amp;")",Players!$S$4:$T$132,2,FALSE))</f>
        <v>K1</v>
      </c>
      <c r="H2896" s="141" t="str">
        <f ca="1">IF(ISERROR(VLOOKUP($B2887&amp;"("&amp;$K2865&amp;")",Players!$S$4:$T$132,2,FALSE)),"",VLOOKUP($B2887&amp;"("&amp;$K2865&amp;")",Players!$S$4:$T$132,2,FALSE))</f>
        <v>K1</v>
      </c>
      <c r="I2896" s="141" t="str">
        <f ca="1">IF(ISERROR(VLOOKUP($B2894&amp;"("&amp;$K2865&amp;")",Players!$S$4:$T$132,2,FALSE)),"",VLOOKUP($B2894&amp;"("&amp;$K2865&amp;")",Players!$S$4:$T$132,2,FALSE))</f>
        <v>K1</v>
      </c>
      <c r="Q2896" s="7"/>
      <c r="R2896" s="50"/>
      <c r="S2896" s="116"/>
      <c r="T2896" s="115"/>
      <c r="U2896" s="115"/>
      <c r="V2896" s="115"/>
      <c r="W2896" s="115"/>
      <c r="X2896" s="115"/>
      <c r="Y2896" s="99"/>
      <c r="Z2896" s="99"/>
      <c r="AA2896" s="99"/>
      <c r="AB2896" s="99"/>
      <c r="AC2896" s="117"/>
      <c r="AD2896" s="118"/>
      <c r="AE2896" s="114"/>
      <c r="AF2896" s="114"/>
    </row>
    <row r="2897" spans="1:32" ht="12.75" customHeight="1">
      <c r="A2897" s="21" t="s">
        <v>1225</v>
      </c>
      <c r="H2897" s="136" t="str">
        <f ca="1">IF($Q2899&lt;&gt;"",IF(AND($B2900&lt;&gt;"Missing Player",$B2902&lt;&gt;"Missing Player"),IF(AND(AND($H2899&gt;-1,$H2901&gt;-1),OR($H2899&gt;10,$H2901&gt;10),ABS($H2899-$H2901)&gt;1,IF(OR($H2899&gt;11,$H2901&gt;11),ABS($H2899-$H2901)=2,TRUE),$H2899=INT($H2899),$H2901=INT($H2901)),"","Error"),""),"")</f>
        <v/>
      </c>
      <c r="I2897" s="136" t="str">
        <f ca="1">IF($Q2899&lt;&gt;"",IF(AND($B2900&lt;&gt;"Missing Player",$B2902&lt;&gt;"Missing Player"),IF(AND(AND($I2899&gt;-1,$I2901&gt;-1),OR($I2899&gt;10,$I2901&gt;10),ABS($I2899-$I2901)&gt;1,IF(OR($I2899&gt;11,$I2901&gt;11),ABS($I2899-$I2901)=2,TRUE),$I2899=INT($I2899),$I2901=INT($I2901)),"","Error"),""),"")</f>
        <v/>
      </c>
      <c r="J2897" s="136" t="str">
        <f ca="1">IF($Q2899&lt;&gt;"",IF(AND($B2900&lt;&gt;"Missing Player",$B2902&lt;&gt;"Missing Player"),IF(AND(AND($J2899&gt;-1,$J2901&gt;-1),OR($J2899&gt;10,$J2901&gt;10),ABS($J2899-$J2901)&gt;1,IF(OR($J2899&gt;11,$J2901&gt;11),ABS($J2899-$J2901)=2,TRUE),$J2899=INT($J2899),$J2901=INT($J2901)),"","Error"),""),"")</f>
        <v/>
      </c>
      <c r="K2897" s="136" t="str">
        <f ca="1">IF($Q2899&lt;&gt;"",IF(AND($K2899&lt;&gt;"",$K2901&lt;&gt;""), IF(AND(AND($K2899&gt;-1,$K2901&gt;-1),OR($K2899&gt;10,$K2901&gt;10),ABS($K2899-$K2901)&gt;1,IF(OR($K2899&gt;11,$K2901&gt;11),ABS($K2899-$K2901)=2,TRUE),$K2899=INT($K2899),$K2901=INT($K2901)),"","Error"),""),"")</f>
        <v/>
      </c>
      <c r="L2897" s="136" t="str">
        <f ca="1">IF($Q2899&lt;&gt;"",IF(AND($L2899&lt;&gt;"",$L2901&lt;&gt;""), IF(AND(AND($L2899&gt;-1,$L2901&gt;-1),OR($L2899&gt;10,$L2901&gt;10),ABS($L2899-$L2901)&gt;1,IF(OR($L2899&gt;11,$L2901&gt;11),ABS($L2899-$L2901)=2,TRUE),$L2899=INT($L2899),$L2901=INT($L2901)),"","Error"),""),"")</f>
        <v/>
      </c>
      <c r="Q2897" s="7"/>
      <c r="R2897" s="114"/>
      <c r="S2897" s="115"/>
      <c r="T2897" s="115"/>
      <c r="U2897" s="115"/>
      <c r="V2897" s="115"/>
      <c r="W2897" s="115"/>
      <c r="X2897" s="115"/>
      <c r="Y2897" s="114"/>
      <c r="Z2897" s="114"/>
      <c r="AA2897" s="114"/>
      <c r="AB2897" s="114"/>
      <c r="AC2897" s="114"/>
      <c r="AD2897" s="114"/>
      <c r="AE2897" s="114"/>
      <c r="AF2897" s="114"/>
    </row>
    <row r="2898" spans="1:32" ht="12.75" customHeight="1">
      <c r="A2898" s="5" t="s">
        <v>1228</v>
      </c>
      <c r="B2898" s="290" t="s">
        <v>1126</v>
      </c>
      <c r="C2898" s="291"/>
      <c r="D2898" s="291"/>
      <c r="E2898" s="291"/>
      <c r="F2898" s="291"/>
      <c r="G2898" s="292"/>
      <c r="H2898" s="5">
        <v>1</v>
      </c>
      <c r="I2898" s="5">
        <v>2</v>
      </c>
      <c r="J2898" s="5">
        <v>3</v>
      </c>
      <c r="K2898" s="5">
        <v>4</v>
      </c>
      <c r="L2898" s="5">
        <v>5</v>
      </c>
      <c r="M2898" s="271"/>
      <c r="N2898" s="272"/>
      <c r="O2898" s="272"/>
      <c r="P2898" s="273"/>
      <c r="Q2898" s="8"/>
      <c r="S2898" s="24"/>
      <c r="T2898" s="26"/>
    </row>
    <row r="2899" spans="1:32" ht="12.75" customHeight="1">
      <c r="A2899" s="300" t="str">
        <f>B2865</f>
        <v>F</v>
      </c>
      <c r="B2899" s="311" t="str">
        <f ca="1">IF($B2871&lt;&gt;"",$B2871,"")</f>
        <v/>
      </c>
      <c r="C2899" s="312"/>
      <c r="D2899" s="312"/>
      <c r="E2899" s="312"/>
      <c r="F2899" s="312"/>
      <c r="G2899" s="313"/>
      <c r="H2899" s="265"/>
      <c r="I2899" s="265"/>
      <c r="J2899" s="265"/>
      <c r="K2899" s="265"/>
      <c r="L2899" s="265" t="str">
        <f ca="1">IF($B2892&lt;&gt;"",IF(AND($B2892="Missing Player",$G2903=2,$J2903=2),0,IF(AND($B2894="Missing Player",$G2903=2,$J2903=2),11,"")),"")</f>
        <v/>
      </c>
      <c r="M2899" s="262" t="str">
        <f ca="1">IF(OR(AND($B2899&lt;&gt;"",$B2900&lt;&gt;"",$B2899=$B2900),AND($B2901&lt;&gt;"",$B2902&lt;&gt;"",$B2901=$B2902)),"Invalid Partner","")</f>
        <v/>
      </c>
      <c r="N2899" s="263"/>
      <c r="O2899" s="263"/>
      <c r="P2899" s="264"/>
      <c r="Q2899" s="138" t="str">
        <f ca="1">IF(L2899=L2901,IF(K2899=K2901,IF(J2899&lt;&gt;"",IF(J2899&gt;J2901,"W","L"),""),IF(K2899&gt;K2901,"W","L")),IF(L2899&gt;L2901,"W","L"))</f>
        <v/>
      </c>
      <c r="S2899" s="24"/>
      <c r="T2899" s="26"/>
    </row>
    <row r="2900" spans="1:32" ht="12.75" customHeight="1">
      <c r="A2900" s="324"/>
      <c r="B2900" s="308" t="str">
        <f ca="1">IF($B2892="Missing Player",$B2892,"")</f>
        <v/>
      </c>
      <c r="C2900" s="309"/>
      <c r="D2900" s="309"/>
      <c r="E2900" s="309"/>
      <c r="F2900" s="309"/>
      <c r="G2900" s="310"/>
      <c r="H2900" s="270"/>
      <c r="I2900" s="270"/>
      <c r="J2900" s="270"/>
      <c r="K2900" s="270"/>
      <c r="L2900" s="270"/>
      <c r="M2900" s="262"/>
      <c r="N2900" s="263"/>
      <c r="O2900" s="263"/>
      <c r="P2900" s="264"/>
      <c r="Q2900" s="139" t="str">
        <f ca="1">IF($Q2899&lt;&gt;"",IF($B2902&lt;&gt;"Missing Player",IF($Q2899="W",IF(SUM(IF($H2899&gt;$H2901,1,0),IF($I2899&gt;$I2901,1,0),IF($J2899&gt;$J2901,1,0),IF($K2899&gt;$K2901,1,0),IF($L2899&gt;$L2901,1,0))&lt;&gt;3,"Error",""),""),""),"")</f>
        <v/>
      </c>
      <c r="R2900" s="328" t="str">
        <f>$A2866</f>
        <v/>
      </c>
      <c r="S2900" s="328"/>
      <c r="T2900" s="328"/>
      <c r="U2900" s="328"/>
      <c r="V2900" s="328"/>
      <c r="W2900" s="328"/>
      <c r="X2900" s="256" t="str">
        <f>CONCATENATE("(",$B2865," vs ",$K2865,")")</f>
        <v>(F vs K)</v>
      </c>
      <c r="Y2900" s="256"/>
      <c r="Z2900" s="328" t="str">
        <f>$J2866</f>
        <v/>
      </c>
      <c r="AA2900" s="328"/>
      <c r="AB2900" s="328"/>
      <c r="AC2900" s="328"/>
      <c r="AD2900" s="328"/>
      <c r="AE2900" s="328"/>
      <c r="AF2900" s="43"/>
    </row>
    <row r="2901" spans="1:32" ht="12.75" customHeight="1">
      <c r="A2901" s="325" t="str">
        <f>K2865</f>
        <v>K</v>
      </c>
      <c r="B2901" s="311" t="str">
        <f ca="1">IF($B2873&lt;&gt;"",$B2873,"")</f>
        <v/>
      </c>
      <c r="C2901" s="312"/>
      <c r="D2901" s="312"/>
      <c r="E2901" s="312"/>
      <c r="F2901" s="312"/>
      <c r="G2901" s="313"/>
      <c r="H2901" s="265"/>
      <c r="I2901" s="265"/>
      <c r="J2901" s="265"/>
      <c r="K2901" s="265"/>
      <c r="L2901" s="265" t="str">
        <f ca="1">IF($B2894&lt;&gt;"",IF(AND($B2894="Missing Player",$G2903=2,$J2903=2),0,IF(AND($B2892="Missing Player",$G2903=2,$J2903=2),11,"")),"")</f>
        <v/>
      </c>
      <c r="M2901" s="267" t="s">
        <v>1237</v>
      </c>
      <c r="N2901" s="268"/>
      <c r="O2901" s="268"/>
      <c r="P2901" s="269"/>
      <c r="Q2901" s="138" t="str">
        <f ca="1">IF(Q2899&lt;&gt;"",IF(Q2899="W","L","W"),"")</f>
        <v/>
      </c>
      <c r="R2901" s="43"/>
      <c r="S2901" s="43"/>
      <c r="T2901" s="43"/>
      <c r="U2901" s="43"/>
      <c r="V2901" s="43"/>
      <c r="W2901" s="43"/>
      <c r="X2901" s="43"/>
      <c r="Y2901" s="43"/>
      <c r="Z2901" s="43"/>
      <c r="AA2901" s="43"/>
      <c r="AB2901" s="43"/>
      <c r="AC2901" s="43"/>
      <c r="AD2901" s="43"/>
      <c r="AE2901" s="43"/>
      <c r="AF2901" s="43"/>
    </row>
    <row r="2902" spans="1:32" ht="12.75" customHeight="1">
      <c r="A2902" s="324"/>
      <c r="B2902" s="308" t="str">
        <f ca="1">IF($B2894="Missing Player",$B2894,"")</f>
        <v/>
      </c>
      <c r="C2902" s="309"/>
      <c r="D2902" s="309"/>
      <c r="E2902" s="309"/>
      <c r="F2902" s="309"/>
      <c r="G2902" s="310"/>
      <c r="H2902" s="270"/>
      <c r="I2902" s="270"/>
      <c r="J2902" s="266"/>
      <c r="K2902" s="266"/>
      <c r="L2902" s="266"/>
      <c r="M2902" s="267"/>
      <c r="N2902" s="268"/>
      <c r="O2902" s="268"/>
      <c r="P2902" s="269"/>
      <c r="Q2902" s="139" t="str">
        <f ca="1">IF($Q2901&lt;&gt;"",IF($B2900&lt;&gt;"Missing Player",IF($Q2901="W",IF(SUM(IF($H2901&gt;$H2899,1,0),IF($I2901&gt;$I2899,1,0),IF($J2901&gt;$J2899,1,0),IF($K2901&gt;$K2899,1,0),IF($L2901&gt;$L2899,1,0))&lt;&gt;3,"Error",""),""),""),"")</f>
        <v/>
      </c>
      <c r="R2902" s="43" t="str">
        <f>A2890</f>
        <v>4th Singles</v>
      </c>
      <c r="S2902" s="43"/>
      <c r="T2902" s="43"/>
      <c r="U2902" s="43"/>
      <c r="V2902" s="43"/>
      <c r="W2902" s="43"/>
      <c r="X2902" s="43"/>
      <c r="Y2902" s="43"/>
      <c r="Z2902" s="43"/>
      <c r="AA2902" s="43"/>
      <c r="AB2902" s="43"/>
      <c r="AC2902" s="43"/>
      <c r="AD2902" s="43"/>
      <c r="AE2902" s="43"/>
      <c r="AF2902" s="43"/>
    </row>
    <row r="2903" spans="1:32" ht="12.75" customHeight="1">
      <c r="G2903" s="66">
        <f ca="1">COUNTIF($Q2871:$Q2871,"W")+COUNTIF($Q2878:$Q2878,"W")+COUNTIF($Q2885:$Q2885,"W")+COUNTIF($Q2892:$Q2892,"W")</f>
        <v>0</v>
      </c>
      <c r="J2903" s="66">
        <f ca="1">COUNTIF($Q2873:$Q2873,"W")+COUNTIF($Q2880:$Q2880,"W")+COUNTIF($Q2887:$Q2887,"W")+COUNTIF($Q2894:$Q2894,"W")</f>
        <v>0</v>
      </c>
      <c r="R2903" s="60" t="s">
        <v>1228</v>
      </c>
      <c r="S2903" s="339" t="s">
        <v>1126</v>
      </c>
      <c r="T2903" s="340"/>
      <c r="U2903" s="340"/>
      <c r="V2903" s="340"/>
      <c r="W2903" s="340"/>
      <c r="X2903" s="341"/>
      <c r="Y2903" s="60">
        <v>1</v>
      </c>
      <c r="Z2903" s="60">
        <v>2</v>
      </c>
      <c r="AA2903" s="60">
        <v>3</v>
      </c>
      <c r="AB2903" s="60">
        <v>4</v>
      </c>
      <c r="AC2903" s="60">
        <v>5</v>
      </c>
      <c r="AD2903" s="342"/>
      <c r="AE2903" s="343"/>
      <c r="AF2903" s="344"/>
    </row>
    <row r="2904" spans="1:32" ht="12.75" customHeight="1" thickBot="1">
      <c r="F2904" s="246" t="s">
        <v>1238</v>
      </c>
      <c r="G2904" s="246"/>
      <c r="H2904" s="246"/>
      <c r="I2904" s="246"/>
      <c r="J2904" s="246"/>
      <c r="K2904" s="246"/>
      <c r="R2904" s="300" t="str">
        <f>B2865</f>
        <v>F</v>
      </c>
      <c r="S2904" s="331" t="str">
        <f ca="1">IF($B2892&lt;&gt;"",$B2892,"")</f>
        <v/>
      </c>
      <c r="T2904" s="353"/>
      <c r="U2904" s="353"/>
      <c r="V2904" s="353"/>
      <c r="W2904" s="353"/>
      <c r="X2904" s="354"/>
      <c r="Y2904" s="329"/>
      <c r="Z2904" s="329"/>
      <c r="AA2904" s="351"/>
      <c r="AB2904" s="351"/>
      <c r="AC2904" s="351"/>
      <c r="AD2904" s="345"/>
      <c r="AE2904" s="346"/>
      <c r="AF2904" s="347"/>
    </row>
    <row r="2905" spans="1:32" ht="12.75" customHeight="1">
      <c r="A2905" s="22"/>
      <c r="B2905" s="22"/>
      <c r="C2905" s="22"/>
      <c r="D2905" s="22"/>
      <c r="E2905" s="22"/>
      <c r="G2905" s="304" t="str">
        <f>B2865</f>
        <v>F</v>
      </c>
      <c r="H2905" s="305"/>
      <c r="I2905" s="302" t="str">
        <f>K2865</f>
        <v>K</v>
      </c>
      <c r="J2905" s="303"/>
      <c r="L2905" s="22"/>
      <c r="M2905" s="22"/>
      <c r="N2905" s="22"/>
      <c r="O2905" s="22"/>
      <c r="P2905" s="22"/>
      <c r="R2905" s="301"/>
      <c r="S2905" s="355"/>
      <c r="T2905" s="356"/>
      <c r="U2905" s="356"/>
      <c r="V2905" s="356"/>
      <c r="W2905" s="356"/>
      <c r="X2905" s="357"/>
      <c r="Y2905" s="338"/>
      <c r="Z2905" s="338"/>
      <c r="AA2905" s="352"/>
      <c r="AB2905" s="352"/>
      <c r="AC2905" s="352"/>
      <c r="AD2905" s="348"/>
      <c r="AE2905" s="349"/>
      <c r="AF2905" s="350"/>
    </row>
    <row r="2906" spans="1:32" ht="12.75" customHeight="1" thickBot="1">
      <c r="A2906" s="2" t="s">
        <v>1228</v>
      </c>
      <c r="B2906" s="53" t="str">
        <f>B2865</f>
        <v>F</v>
      </c>
      <c r="C2906" s="3" t="s">
        <v>1226</v>
      </c>
      <c r="F2906" s="66" t="str">
        <f>CONCATENATE($B2865,"-",$K2865)</f>
        <v>F-K</v>
      </c>
      <c r="G2906" s="320" t="str">
        <f ca="1">IF(OR(Q2871&lt;&gt;"",Q2878&lt;&gt;"",Q2885&lt;&gt;"",Q2892&lt;&gt;"",Q2899&lt;&gt;""),COUNTIF(Q2871:Q2871,"W")+COUNTIF(Q2878:Q2878,"W")+COUNTIF(Q2885:Q2885,"W")+COUNTIF(Q2892:Q2892,"W")+COUNTIF(Q2899:Q2899,"W"),"")</f>
        <v/>
      </c>
      <c r="H2906" s="321"/>
      <c r="I2906" s="322" t="str">
        <f ca="1">IF(OR(Q2873&lt;&gt;"",Q2880&lt;&gt;"",Q2887&lt;&gt;"",Q2894&lt;&gt;"",Q2901&lt;&gt;""),COUNTIF(Q2873:Q2873,"W")+COUNTIF(Q2880:Q2880,"W")+COUNTIF(Q2887:Q2887,"W")+COUNTIF(Q2894:Q2894,"W")+COUNTIF(Q2901:Q2901,"W"),"")</f>
        <v/>
      </c>
      <c r="J2906" s="323"/>
      <c r="L2906" s="2" t="s">
        <v>1228</v>
      </c>
      <c r="M2906" s="53" t="str">
        <f>K2865</f>
        <v>K</v>
      </c>
      <c r="N2906" s="3" t="s">
        <v>1226</v>
      </c>
      <c r="R2906" s="300" t="str">
        <f>K2865</f>
        <v>K</v>
      </c>
      <c r="S2906" s="331" t="str">
        <f ca="1">IF($B2894&lt;&gt;"",$B2894,"")</f>
        <v/>
      </c>
      <c r="T2906" s="332"/>
      <c r="U2906" s="332"/>
      <c r="V2906" s="332"/>
      <c r="W2906" s="332"/>
      <c r="X2906" s="333"/>
      <c r="Y2906" s="329"/>
      <c r="Z2906" s="329"/>
      <c r="AA2906" s="351"/>
      <c r="AB2906" s="351"/>
      <c r="AC2906" s="351"/>
      <c r="AD2906" s="363" t="s">
        <v>1237</v>
      </c>
      <c r="AE2906" s="358"/>
      <c r="AF2906" s="359"/>
    </row>
    <row r="2907" spans="1:32" ht="12.75" customHeight="1">
      <c r="F2907" s="25" t="s">
        <v>3996</v>
      </c>
      <c r="G2907" s="23"/>
      <c r="H2907" s="23"/>
      <c r="I2907" s="23"/>
      <c r="J2907" s="23"/>
      <c r="K2907" s="24"/>
      <c r="R2907" s="330"/>
      <c r="S2907" s="334"/>
      <c r="T2907" s="335"/>
      <c r="U2907" s="335"/>
      <c r="V2907" s="335"/>
      <c r="W2907" s="335"/>
      <c r="X2907" s="336"/>
      <c r="Y2907" s="330"/>
      <c r="Z2907" s="330"/>
      <c r="AA2907" s="330"/>
      <c r="AB2907" s="330"/>
      <c r="AC2907" s="330"/>
      <c r="AD2907" s="360"/>
      <c r="AE2907" s="361"/>
      <c r="AF2907" s="362"/>
    </row>
    <row r="2908" spans="1:32" ht="12.75" customHeight="1">
      <c r="R2908" s="1"/>
      <c r="S2908" s="110"/>
      <c r="T2908" s="110"/>
      <c r="U2908" s="110"/>
      <c r="V2908" s="110"/>
      <c r="W2908" s="110"/>
      <c r="X2908" s="111"/>
      <c r="Y2908" s="111"/>
      <c r="Z2908" s="111"/>
      <c r="AA2908" s="111"/>
    </row>
    <row r="2909" spans="1:32" ht="12.75" customHeight="1">
      <c r="F2909" s="246" t="s">
        <v>4929</v>
      </c>
      <c r="G2909" s="246"/>
      <c r="H2909" s="246"/>
      <c r="I2909" s="246"/>
      <c r="R2909" s="1"/>
      <c r="S2909" s="110"/>
      <c r="T2909" s="110"/>
      <c r="U2909" s="110"/>
      <c r="V2909" s="110"/>
      <c r="W2909" s="110"/>
      <c r="X2909" s="111"/>
      <c r="Y2909" s="111"/>
      <c r="Z2909" s="111"/>
      <c r="AA2909" s="111"/>
    </row>
    <row r="2910" spans="1:32" ht="12.75" customHeight="1">
      <c r="F2910" s="246" t="s">
        <v>4930</v>
      </c>
      <c r="G2910" s="246"/>
      <c r="H2910" s="246"/>
      <c r="I2910" s="246"/>
      <c r="R2910" s="1"/>
      <c r="S2910" s="110"/>
      <c r="T2910" s="110"/>
      <c r="U2910" s="110"/>
      <c r="V2910" s="110"/>
      <c r="W2910" s="110"/>
      <c r="X2910" s="111"/>
      <c r="Y2910" s="111"/>
      <c r="Z2910" s="111"/>
      <c r="AA2910" s="111"/>
    </row>
    <row r="2911" spans="1:32" ht="12.75" customHeight="1">
      <c r="K2911" s="281" t="s">
        <v>1244</v>
      </c>
      <c r="L2911" s="281"/>
      <c r="M2911" s="281"/>
      <c r="N2911" s="281"/>
      <c r="O2911" s="281"/>
      <c r="P2911" s="281"/>
      <c r="R2911" s="1"/>
      <c r="S2911" s="110"/>
      <c r="T2911" s="110"/>
      <c r="U2911" s="110"/>
      <c r="V2911" s="110"/>
      <c r="W2911" s="110"/>
      <c r="X2911" s="111"/>
      <c r="Y2911" s="111"/>
      <c r="Z2911" s="111"/>
      <c r="AA2911" s="111"/>
    </row>
    <row r="2912" spans="1:32" ht="12.75" customHeight="1">
      <c r="A2912" s="12" t="s">
        <v>1229</v>
      </c>
      <c r="B2912" s="11"/>
      <c r="C2912" s="11"/>
      <c r="D2912" s="11" t="str">
        <f>Draw!$B$1</f>
        <v>Enter Division Name</v>
      </c>
      <c r="E2912" s="11"/>
      <c r="F2912" s="7"/>
      <c r="G2912" s="6"/>
      <c r="H2912" s="7"/>
      <c r="I2912" s="11"/>
      <c r="J2912" s="11"/>
      <c r="K2912" s="11"/>
      <c r="L2912" s="11"/>
      <c r="M2912" s="281"/>
      <c r="N2912" s="281"/>
      <c r="O2912" s="281"/>
      <c r="P2912" s="281"/>
      <c r="R2912" s="1"/>
      <c r="S2912" s="110"/>
      <c r="T2912" s="110"/>
      <c r="U2912" s="110"/>
      <c r="V2912" s="110"/>
      <c r="W2912" s="110"/>
      <c r="X2912" s="111"/>
      <c r="Y2912" s="111"/>
      <c r="Z2912" s="111"/>
      <c r="AA2912" s="111"/>
    </row>
    <row r="2913" spans="1:32" ht="12.75" customHeight="1">
      <c r="A2913" s="2" t="s">
        <v>1230</v>
      </c>
      <c r="D2913" s="43" t="str">
        <f>Draw!$D$1</f>
        <v>Enter Hosting Location (City, ST)</v>
      </c>
      <c r="J2913" s="43" t="str">
        <f ca="1">$J$6</f>
        <v>[NCTTA Teams Template (v2.06).xlsx]</v>
      </c>
      <c r="R2913" s="1"/>
      <c r="S2913" s="110"/>
      <c r="T2913" s="110"/>
      <c r="U2913" s="110"/>
      <c r="V2913" s="110"/>
      <c r="W2913" s="110"/>
      <c r="X2913" s="111"/>
      <c r="Y2913" s="111"/>
      <c r="Z2913" s="111"/>
      <c r="AA2913" s="111"/>
    </row>
    <row r="2914" spans="1:32" ht="12.75" customHeight="1">
      <c r="A2914" s="2" t="s">
        <v>1231</v>
      </c>
      <c r="D2914" s="337" t="str">
        <f>Draw!$P$1</f>
        <v>Enter Date</v>
      </c>
      <c r="E2914" s="337"/>
      <c r="F2914" s="337"/>
      <c r="G2914" s="337"/>
      <c r="J2914" s="280" t="str">
        <f>CHOOSE(Draw!$T$1,"Round 10, Match 4","","","","","","","","","","")</f>
        <v/>
      </c>
      <c r="K2914" s="280"/>
      <c r="L2914" s="280"/>
      <c r="M2914" s="276" t="str">
        <f>IF(AND($J2914&lt;&gt;"",Draw!$AC$10&lt;&gt;"",Draw!$AC$13&lt;&gt;""),Draw!$AC$10+TIME(0,VALUE(MID($J2914,7,FIND(",",$J2914)-FIND(" ",$J2914)-1)-1)*Draw!$AC$13,0),"")</f>
        <v/>
      </c>
      <c r="N2914" s="276"/>
      <c r="O2914" s="157" t="str">
        <f>$F2957</f>
        <v>F-L</v>
      </c>
      <c r="R2914" s="1"/>
      <c r="S2914" s="110"/>
      <c r="T2914" s="110"/>
      <c r="U2914" s="110"/>
      <c r="V2914" s="110"/>
      <c r="W2914" s="110"/>
      <c r="X2914" s="111"/>
      <c r="Y2914" s="111"/>
      <c r="Z2914" s="111"/>
      <c r="AA2914" s="111"/>
    </row>
    <row r="2915" spans="1:32" ht="12.75" customHeight="1">
      <c r="A2915" s="14"/>
      <c r="B2915" s="15"/>
      <c r="C2915" s="15"/>
      <c r="D2915" s="15"/>
      <c r="E2915" s="15"/>
      <c r="F2915" s="14"/>
      <c r="G2915" s="14"/>
      <c r="H2915" s="16"/>
      <c r="I2915" s="14"/>
      <c r="J2915" s="15"/>
      <c r="K2915" s="15"/>
      <c r="L2915" s="15"/>
      <c r="M2915" s="15"/>
      <c r="N2915" s="15"/>
      <c r="O2915" s="364" t="str">
        <f>IF(OR(AND(VLOOKUP($B2916,$AM$1:$AX$12,12,FALSE)="C",VLOOKUP($K2916,$AM$1:$AX$12,12,FALSE)="C"),AND(VLOOKUP($B2916,$AM$1:$AX$12,12,FALSE)="W",VLOOKUP($K2916,$AM$1:$AX$12,12,FALSE)="W")),"Official",IF(AND($A2917="",$J2917=""),"","Scrimmage"))</f>
        <v/>
      </c>
      <c r="P2915" s="364"/>
      <c r="R2915" s="1"/>
      <c r="S2915" s="110"/>
      <c r="T2915" s="110"/>
      <c r="U2915" s="110"/>
      <c r="V2915" s="110"/>
      <c r="W2915" s="110"/>
      <c r="X2915" s="111"/>
      <c r="Y2915" s="111"/>
      <c r="Z2915" s="111"/>
      <c r="AA2915" s="111"/>
    </row>
    <row r="2916" spans="1:32" ht="12.75" customHeight="1">
      <c r="A2916" s="17" t="s">
        <v>1228</v>
      </c>
      <c r="B2916" s="119" t="str">
        <f>CHOOSE(Draw!$T$1,"F","E","F","G","H","H","H","H","H","G","C")</f>
        <v>F</v>
      </c>
      <c r="C2916" s="135">
        <f>VLOOKUP($B2916,$AM$1:$AN$12,2)</f>
        <v>6</v>
      </c>
      <c r="D2916" s="13"/>
      <c r="E2916" s="13"/>
      <c r="F2916" s="10"/>
      <c r="H2916" s="19" t="s">
        <v>1232</v>
      </c>
      <c r="J2916" s="17" t="s">
        <v>1228</v>
      </c>
      <c r="K2916" s="119" t="str">
        <f>CHOOSE(Draw!$T$1,"K","J","L","J","J","J","J","J","J","K","L")</f>
        <v>L</v>
      </c>
      <c r="L2916" s="135">
        <f>VLOOKUP($K2916,$AM$1:$AN$12,2)</f>
        <v>12</v>
      </c>
      <c r="M2916" s="13"/>
      <c r="N2916" s="13"/>
      <c r="O2916" s="18"/>
      <c r="P2916" s="274"/>
      <c r="Q2916" s="275"/>
      <c r="R2916" s="1"/>
      <c r="S2916" s="110"/>
      <c r="T2916" s="110"/>
      <c r="U2916" s="110"/>
      <c r="V2916" s="110"/>
      <c r="W2916" s="110"/>
      <c r="X2916" s="111"/>
      <c r="Y2916" s="111"/>
      <c r="Z2916" s="111"/>
      <c r="AA2916" s="111"/>
    </row>
    <row r="2917" spans="1:32" ht="12.75" customHeight="1">
      <c r="A2917" s="277" t="str">
        <f>IF(VLOOKUP($B2916,Draw!$A$4:$B$27,2)&lt;&gt;0,VLOOKUP($B2916,Draw!$A$4:$B$27,2),"")</f>
        <v/>
      </c>
      <c r="B2917" s="278"/>
      <c r="C2917" s="278"/>
      <c r="D2917" s="278"/>
      <c r="E2917" s="278"/>
      <c r="F2917" s="279"/>
      <c r="G2917" s="306" t="s">
        <v>4209</v>
      </c>
      <c r="H2917" s="289"/>
      <c r="I2917" s="307"/>
      <c r="J2917" s="277" t="str">
        <f>IF(VLOOKUP($K2916,Draw!$A$4:$B$27,2)&lt;&gt;0,VLOOKUP($K2916,Draw!$A$4:$B$27,2),"")</f>
        <v/>
      </c>
      <c r="K2917" s="278"/>
      <c r="L2917" s="278"/>
      <c r="M2917" s="278"/>
      <c r="N2917" s="278"/>
      <c r="O2917" s="279"/>
      <c r="P2917" s="15"/>
      <c r="R2917" s="1"/>
      <c r="S2917" s="110"/>
      <c r="T2917" s="110"/>
      <c r="U2917" s="110"/>
      <c r="V2917" s="110"/>
      <c r="W2917" s="110"/>
      <c r="X2917" s="111"/>
      <c r="Y2917" s="111"/>
      <c r="Z2917" s="111"/>
      <c r="AA2917" s="111"/>
    </row>
    <row r="2918" spans="1:32" ht="12.75" customHeight="1">
      <c r="A2918" s="14"/>
      <c r="B2918" s="15"/>
      <c r="C2918" s="15"/>
      <c r="D2918" s="15"/>
      <c r="E2918" s="15"/>
      <c r="F2918" s="14"/>
      <c r="G2918" s="288" t="str">
        <f>"Page "&amp;VALUE(RIGHT($G2917,LEN($G2917)-SEARCH("-",$G2917)))/2</f>
        <v>Page 58</v>
      </c>
      <c r="H2918" s="289"/>
      <c r="I2918" s="289"/>
      <c r="J2918" s="15"/>
      <c r="K2918" s="15"/>
      <c r="L2918" s="15"/>
      <c r="M2918" s="15"/>
      <c r="N2918" s="15"/>
      <c r="O2918" s="15"/>
      <c r="P2918" s="15"/>
      <c r="R2918" s="1"/>
      <c r="S2918" s="110"/>
      <c r="T2918" s="110"/>
      <c r="U2918" s="110"/>
      <c r="V2918" s="110"/>
      <c r="W2918" s="110"/>
      <c r="X2918" s="111"/>
      <c r="Y2918" s="111"/>
      <c r="Z2918" s="111"/>
      <c r="AA2918" s="111"/>
      <c r="AF2918" s="27"/>
    </row>
    <row r="2919" spans="1:32" ht="12.75" customHeight="1">
      <c r="A2919" s="327" t="s">
        <v>1245</v>
      </c>
      <c r="B2919" s="327"/>
      <c r="C2919" s="327"/>
      <c r="D2919" s="327"/>
      <c r="E2919" s="327"/>
      <c r="F2919" s="327"/>
      <c r="G2919" s="327"/>
      <c r="H2919" s="327"/>
      <c r="I2919" s="327"/>
      <c r="J2919" s="327"/>
      <c r="K2919" s="327"/>
      <c r="L2919" s="327"/>
      <c r="M2919" s="327"/>
      <c r="N2919" s="327"/>
      <c r="O2919" s="327"/>
      <c r="P2919" s="327"/>
      <c r="Q2919" s="7"/>
      <c r="R2919" s="1"/>
      <c r="S2919" s="110"/>
      <c r="T2919" s="110"/>
      <c r="U2919" s="110"/>
      <c r="V2919" s="110"/>
      <c r="W2919" s="110"/>
      <c r="X2919" s="111"/>
      <c r="Y2919" s="111"/>
      <c r="Z2919" s="111"/>
      <c r="AA2919" s="111"/>
      <c r="AF2919" s="20"/>
    </row>
    <row r="2920" spans="1:32" ht="12.75" customHeight="1">
      <c r="A2920" s="21" t="s">
        <v>1233</v>
      </c>
      <c r="H2920" s="136" t="str">
        <f>IF($Q2922&lt;&gt;"",IF(AND(AND($H2922&gt;-1,$H2924&gt;-1),OR($H2922&gt;10,$H2924&gt;10),ABS($H2922-$H2924)&gt;1,IF(OR($H2922&gt;11,$H2924&gt;11),ABS($H2922-$H2924)=2,TRUE),$H2922=INT($H2922),$H2924=INT($H2924)),"","Error"),"")</f>
        <v/>
      </c>
      <c r="I2920" s="136" t="str">
        <f>IF($Q2922&lt;&gt;"",IF(AND(AND($I2922&gt;-1,$I2924&gt;-1),OR($I2922&gt;10,$I2924&gt;10),ABS($I2922-$I2924)&gt;1,IF(OR($I2922&gt;11,$I2924&gt;11),ABS($I2922-$I2924)=2,TRUE),$I2922=INT($I2922),$I2924=INT($I2924)),"","Error"),"")</f>
        <v/>
      </c>
      <c r="J2920" s="136" t="str">
        <f>IF($Q2922&lt;&gt;"",IF(AND(AND($J2922&gt;-1,$J2924&gt;-1),OR($J2922&gt;10,$J2924&gt;10),ABS($J2922-$J2924)&gt;1,IF(OR($J2922&gt;11,$J2924&gt;11),ABS($J2922-$J2924)=2,TRUE),$J2922=INT($J2922),$J2924=INT($J2924)),"","Error"),"")</f>
        <v/>
      </c>
      <c r="K2920" s="136" t="str">
        <f>IF($Q2922&lt;&gt;"",IF(AND($K2922&lt;&gt;"",$K2924&lt;&gt;""), IF(AND(AND($K2922&gt;-1,$K2924&gt;-1),OR($K2922&gt;10,$K2924&gt;10),ABS($K2922-$K2924)&gt;1,IF(OR($K2922&gt;11,$K2924&gt;11),ABS($K2922-$K2924)=2,TRUE),$K2922=INT($K2922),$K2924=INT($K2924)),"","Error"),""),"")</f>
        <v/>
      </c>
      <c r="L2920" s="136" t="str">
        <f>IF($Q2922&lt;&gt;"",IF(AND($L2922&lt;&gt;"",$L2924&lt;&gt;""), IF(AND(AND($L2922&gt;-1,$L2924&gt;-1),OR($L2922&gt;10,$L2924&gt;10),ABS($L2922-$L2924)&gt;1,IF(OR($L2922&gt;11,$L2924&gt;11),ABS($L2922-$L2924)=2,TRUE),$L2922=INT($L2922),$L2924=INT($L2924)),"","Error"),""),"")</f>
        <v/>
      </c>
      <c r="R2920" s="1"/>
      <c r="S2920" s="110"/>
      <c r="T2920" s="110"/>
      <c r="U2920" s="110"/>
      <c r="V2920" s="110"/>
      <c r="W2920" s="110"/>
      <c r="X2920" s="111"/>
      <c r="Y2920" s="111"/>
      <c r="Z2920" s="111"/>
      <c r="AA2920" s="111"/>
    </row>
    <row r="2921" spans="1:32" ht="12.75" customHeight="1">
      <c r="A2921" s="5" t="s">
        <v>1228</v>
      </c>
      <c r="B2921" s="290" t="s">
        <v>1126</v>
      </c>
      <c r="C2921" s="291"/>
      <c r="D2921" s="291"/>
      <c r="E2921" s="291"/>
      <c r="F2921" s="291"/>
      <c r="G2921" s="292"/>
      <c r="H2921" s="5">
        <v>1</v>
      </c>
      <c r="I2921" s="5">
        <v>2</v>
      </c>
      <c r="J2921" s="5">
        <v>3</v>
      </c>
      <c r="K2921" s="5">
        <v>4</v>
      </c>
      <c r="L2921" s="5">
        <v>5</v>
      </c>
      <c r="M2921" s="271"/>
      <c r="N2921" s="272"/>
      <c r="O2921" s="272"/>
      <c r="P2921" s="273"/>
      <c r="R2921" s="1"/>
      <c r="S2921" s="110"/>
      <c r="T2921" s="110"/>
      <c r="U2921" s="110"/>
      <c r="V2921" s="110"/>
      <c r="W2921" s="110"/>
      <c r="X2921" s="111"/>
      <c r="Y2921" s="111"/>
      <c r="Z2921" s="111"/>
      <c r="AA2921" s="111"/>
    </row>
    <row r="2922" spans="1:32" ht="12.75" customHeight="1">
      <c r="A2922" s="300" t="str">
        <f>B2916</f>
        <v>F</v>
      </c>
      <c r="B2922" s="293" t="str">
        <f ca="1">IF(AND(OFFSET($AO$1,$C2916-1,8,1,1),$A2917&lt;&gt;"",$J2917&lt;&gt;""),CHOOSE($C2916,$AO$1,$AO$2,$AO$3,$AO$4,$AO$5,$AO$6,$AO$7,$AO$8,$AO$9,$AO$10,$AO$11,$AO$12),"")</f>
        <v/>
      </c>
      <c r="C2922" s="294"/>
      <c r="D2922" s="294"/>
      <c r="E2922" s="294"/>
      <c r="F2922" s="294"/>
      <c r="G2922" s="294"/>
      <c r="H2922" s="265"/>
      <c r="I2922" s="265"/>
      <c r="J2922" s="265"/>
      <c r="K2922" s="265"/>
      <c r="L2922" s="265"/>
      <c r="M2922" s="297"/>
      <c r="N2922" s="298"/>
      <c r="O2922" s="298"/>
      <c r="P2922" s="299"/>
      <c r="Q2922" s="137" t="str">
        <f>IF($L2922=$L2924,IF($K2922=$K2924,IF($J2922&lt;&gt;"",IF($J2922&gt;$J2924,"W","L"),""),IF($K2922&gt;$K2924,"W","L")),IF($L2922&gt;$L2924,"W","L"))</f>
        <v/>
      </c>
      <c r="R2922" s="1"/>
      <c r="S2922" s="110"/>
      <c r="T2922" s="110"/>
      <c r="U2922" s="110"/>
      <c r="V2922" s="110"/>
      <c r="W2922" s="110"/>
      <c r="X2922" s="111"/>
      <c r="Y2922" s="111"/>
      <c r="Z2922" s="111"/>
      <c r="AA2922" s="111"/>
    </row>
    <row r="2923" spans="1:32" ht="12.75" customHeight="1">
      <c r="A2923" s="301"/>
      <c r="B2923" s="295"/>
      <c r="C2923" s="296"/>
      <c r="D2923" s="296"/>
      <c r="E2923" s="296"/>
      <c r="F2923" s="296"/>
      <c r="G2923" s="296"/>
      <c r="H2923" s="270"/>
      <c r="I2923" s="270"/>
      <c r="J2923" s="270"/>
      <c r="K2923" s="270"/>
      <c r="L2923" s="270"/>
      <c r="M2923" s="297"/>
      <c r="N2923" s="298"/>
      <c r="O2923" s="298"/>
      <c r="P2923" s="299"/>
      <c r="Q2923" s="139" t="str">
        <f>IF($Q2922&lt;&gt;"",IF($Q2922="W",IF(SUM(IF($H2922&gt;$H2924,1,0),IF($I2922&gt;$I2924,1,0),IF($J2922&gt;$J2924,1,0),IF($K2922&gt;$K2924,1,0),IF($L2922&gt;$L2924,1,0))&lt;&gt;3,"Error",""),""),"")</f>
        <v/>
      </c>
      <c r="R2923" s="328" t="str">
        <f>$A2917</f>
        <v/>
      </c>
      <c r="S2923" s="328"/>
      <c r="T2923" s="328"/>
      <c r="U2923" s="328"/>
      <c r="V2923" s="328"/>
      <c r="W2923" s="328"/>
      <c r="X2923" s="256" t="str">
        <f>CONCATENATE("(",$B2916," vs ",$K2916,")")</f>
        <v>(F vs L)</v>
      </c>
      <c r="Y2923" s="256"/>
      <c r="Z2923" s="328" t="str">
        <f>$J2917</f>
        <v/>
      </c>
      <c r="AA2923" s="328"/>
      <c r="AB2923" s="328"/>
      <c r="AC2923" s="328"/>
      <c r="AD2923" s="328"/>
      <c r="AE2923" s="328"/>
      <c r="AF2923" s="43"/>
    </row>
    <row r="2924" spans="1:32" ht="12.75" customHeight="1">
      <c r="A2924" s="300" t="str">
        <f>K2916</f>
        <v>L</v>
      </c>
      <c r="B2924" s="293" t="str">
        <f ca="1">IF(AND(OFFSET($AO$1,$L2916-1,8,1,1),$A2917&lt;&gt;"",$J2917&lt;&gt;""),CHOOSE($L2916,$AO$1,$AO$2,$AO$3,$AO$4,$AO$5,$AO$6,$AO$7,$AO$8,$AO$9,$AO$10,$AO$11,$AO$12),"")</f>
        <v/>
      </c>
      <c r="C2924" s="294"/>
      <c r="D2924" s="294"/>
      <c r="E2924" s="294"/>
      <c r="F2924" s="294"/>
      <c r="G2924" s="294"/>
      <c r="H2924" s="265"/>
      <c r="I2924" s="265"/>
      <c r="J2924" s="265"/>
      <c r="K2924" s="265"/>
      <c r="L2924" s="265"/>
      <c r="M2924" s="267" t="s">
        <v>1237</v>
      </c>
      <c r="N2924" s="268"/>
      <c r="O2924" s="268"/>
      <c r="P2924" s="269"/>
      <c r="Q2924" s="137" t="str">
        <f>IF($Q2922&lt;&gt;"",IF($Q2922="W","L","W"),"")</f>
        <v/>
      </c>
      <c r="R2924" s="43"/>
      <c r="S2924" s="43"/>
      <c r="T2924" s="43"/>
      <c r="U2924" s="43"/>
      <c r="V2924" s="43"/>
      <c r="W2924" s="43"/>
      <c r="X2924" s="43"/>
      <c r="Y2924" s="43"/>
      <c r="Z2924" s="43"/>
      <c r="AA2924" s="43"/>
      <c r="AB2924" s="43"/>
      <c r="AC2924" s="43"/>
      <c r="AD2924" s="43"/>
      <c r="AE2924" s="43"/>
      <c r="AF2924" s="43"/>
    </row>
    <row r="2925" spans="1:32" ht="12.75" customHeight="1">
      <c r="A2925" s="301"/>
      <c r="B2925" s="295"/>
      <c r="C2925" s="296"/>
      <c r="D2925" s="296"/>
      <c r="E2925" s="296"/>
      <c r="F2925" s="296"/>
      <c r="G2925" s="296"/>
      <c r="H2925" s="270"/>
      <c r="I2925" s="270"/>
      <c r="J2925" s="266"/>
      <c r="K2925" s="266"/>
      <c r="L2925" s="266"/>
      <c r="M2925" s="267"/>
      <c r="N2925" s="268"/>
      <c r="O2925" s="268"/>
      <c r="P2925" s="269"/>
      <c r="Q2925" s="139" t="str">
        <f>IF($Q2924&lt;&gt;"",IF($Q2924="W",IF(SUM(IF($H2924&gt;$H2922,1,0),IF($I2924&gt;$I2922,1,0),IF($J2924&gt;$J2922,1,0),IF($K2924&gt;$K2922,1,0),IF($L2924&gt;$L2922,1,0))&lt;&gt;3,"Error",""),""),"")</f>
        <v/>
      </c>
      <c r="R2925" s="43" t="str">
        <f>$A2927</f>
        <v>2nd Singles</v>
      </c>
      <c r="S2925" s="43"/>
      <c r="T2925" s="43"/>
      <c r="U2925" s="43"/>
      <c r="V2925" s="43"/>
      <c r="W2925" s="43"/>
      <c r="X2925" s="43"/>
      <c r="Y2925" s="43"/>
      <c r="Z2925" s="43"/>
      <c r="AA2925" s="43"/>
      <c r="AB2925" s="43"/>
      <c r="AC2925" s="43"/>
      <c r="AD2925" s="43"/>
      <c r="AE2925" s="43"/>
      <c r="AF2925" s="43"/>
    </row>
    <row r="2926" spans="1:32" ht="12.75" customHeight="1">
      <c r="Q2926" s="7"/>
      <c r="R2926" s="60" t="s">
        <v>1228</v>
      </c>
      <c r="S2926" s="339" t="s">
        <v>1126</v>
      </c>
      <c r="T2926" s="340"/>
      <c r="U2926" s="340"/>
      <c r="V2926" s="340"/>
      <c r="W2926" s="340"/>
      <c r="X2926" s="341"/>
      <c r="Y2926" s="60">
        <v>1</v>
      </c>
      <c r="Z2926" s="60">
        <v>2</v>
      </c>
      <c r="AA2926" s="60">
        <v>3</v>
      </c>
      <c r="AB2926" s="60">
        <v>4</v>
      </c>
      <c r="AC2926" s="60">
        <v>5</v>
      </c>
      <c r="AD2926" s="342"/>
      <c r="AE2926" s="343"/>
      <c r="AF2926" s="344"/>
    </row>
    <row r="2927" spans="1:32" ht="12.75" customHeight="1">
      <c r="A2927" s="21" t="s">
        <v>1234</v>
      </c>
      <c r="H2927" s="136" t="str">
        <f>IF($Q2929&lt;&gt;"",IF(AND(AND($H2929&gt;-1,$H2931&gt;-1),OR($H2929&gt;10,$H2931&gt;10),ABS($H2929-$H2931)&gt;1,IF(OR($H2929&gt;11,$H2931&gt;11),ABS($H2929-$H2931)=2,TRUE),$H2929=INT($H2929),$H2931=INT($H2931)),"","Error"),"")</f>
        <v/>
      </c>
      <c r="I2927" s="136" t="str">
        <f>IF($Q2929&lt;&gt;"",IF(AND(AND($I2929&gt;-1,$I2931&gt;-1),OR($I2929&gt;10,$I2931&gt;10),ABS($I2929-$I2931)&gt;1,IF(OR($I2929&gt;11,$I2931&gt;11),ABS($I2929-$I2931)=2,TRUE),$I2929=INT($I2929),$I2931=INT($I2931)),"","Error"),"")</f>
        <v/>
      </c>
      <c r="J2927" s="136" t="str">
        <f>IF($Q2929&lt;&gt;"",IF(AND(AND($J2929&gt;-1,$J2931&gt;-1),OR($J2929&gt;10,$J2931&gt;10),ABS($J2929-$J2931)&gt;1,IF(OR($J2929&gt;11,$J2931&gt;11),ABS($J2929-$J2931)=2,TRUE),$J2929=INT($J2929),$J2931=INT($J2931)),"","Error"),"")</f>
        <v/>
      </c>
      <c r="K2927" s="136" t="str">
        <f>IF($Q2929&lt;&gt;"",IF(AND($K2929&lt;&gt;"",$K2931&lt;&gt;""), IF(AND(AND($K2929&gt;-1,$K2931&gt;-1),OR($K2929&gt;10,$K2931&gt;10),ABS($K2929-$K2931)&gt;1,IF(OR($K2929&gt;11,$K2931&gt;11),ABS($K2929-$K2931)=2,TRUE),$K2929=INT($K2929),$K2931=INT($K2931)),"","Error"),""),"")</f>
        <v/>
      </c>
      <c r="L2927" s="136" t="str">
        <f>IF($Q2929&lt;&gt;"",IF(AND($L2929&lt;&gt;"",$L2931&lt;&gt;""), IF(AND(AND($L2929&gt;-1,$L2931&gt;-1),OR($L2929&gt;10,$L2931&gt;10),ABS($L2929-$L2931)&gt;1,IF(OR($L2929&gt;11,$L2931&gt;11),ABS($L2929-$L2931)=2,TRUE),$L2929=INT($L2929),$L2931=INT($L2931)),"","Error"),""),"")</f>
        <v/>
      </c>
      <c r="Q2927" s="7"/>
      <c r="R2927" s="300" t="str">
        <f>$B2916</f>
        <v>F</v>
      </c>
      <c r="S2927" s="331" t="str">
        <f ca="1">IF($B2929&lt;&gt;"",$B2929,"")</f>
        <v/>
      </c>
      <c r="T2927" s="332"/>
      <c r="U2927" s="332"/>
      <c r="V2927" s="332"/>
      <c r="W2927" s="332"/>
      <c r="X2927" s="333"/>
      <c r="Y2927" s="329"/>
      <c r="Z2927" s="329"/>
      <c r="AA2927" s="329"/>
      <c r="AB2927" s="329"/>
      <c r="AC2927" s="329"/>
      <c r="AD2927" s="345"/>
      <c r="AE2927" s="358"/>
      <c r="AF2927" s="359"/>
    </row>
    <row r="2928" spans="1:32" ht="12.75" customHeight="1">
      <c r="A2928" s="5" t="s">
        <v>1228</v>
      </c>
      <c r="B2928" s="290" t="s">
        <v>1126</v>
      </c>
      <c r="C2928" s="291"/>
      <c r="D2928" s="291"/>
      <c r="E2928" s="291"/>
      <c r="F2928" s="291"/>
      <c r="G2928" s="292"/>
      <c r="H2928" s="5">
        <v>1</v>
      </c>
      <c r="I2928" s="5">
        <v>2</v>
      </c>
      <c r="J2928" s="5">
        <v>3</v>
      </c>
      <c r="K2928" s="5">
        <v>4</v>
      </c>
      <c r="L2928" s="5">
        <v>5</v>
      </c>
      <c r="M2928" s="271"/>
      <c r="N2928" s="272"/>
      <c r="O2928" s="272"/>
      <c r="P2928" s="273"/>
      <c r="Q2928" s="7"/>
      <c r="R2928" s="330"/>
      <c r="S2928" s="334"/>
      <c r="T2928" s="335"/>
      <c r="U2928" s="335"/>
      <c r="V2928" s="335"/>
      <c r="W2928" s="335"/>
      <c r="X2928" s="336"/>
      <c r="Y2928" s="330"/>
      <c r="Z2928" s="330"/>
      <c r="AA2928" s="330"/>
      <c r="AB2928" s="330"/>
      <c r="AC2928" s="330"/>
      <c r="AD2928" s="360"/>
      <c r="AE2928" s="361"/>
      <c r="AF2928" s="362"/>
    </row>
    <row r="2929" spans="1:32" ht="12.75" customHeight="1">
      <c r="A2929" s="300" t="str">
        <f>B2916</f>
        <v>F</v>
      </c>
      <c r="B2929" s="293" t="str">
        <f ca="1">IF(AND(OFFSET($AO$1,$C2916-1,8,1,1),$A2917&lt;&gt;"",$J2917&lt;&gt;""),CHOOSE($C2916,$AP$1,$AP$2,$AP$3,$AP$4,$AP$5,$AP$6,$AP$7,$AP$8,$AP$9,$AP$10,$AP$11,$AP$12),"")</f>
        <v/>
      </c>
      <c r="C2929" s="294"/>
      <c r="D2929" s="294"/>
      <c r="E2929" s="294"/>
      <c r="F2929" s="294"/>
      <c r="G2929" s="294"/>
      <c r="H2929" s="265"/>
      <c r="I2929" s="265"/>
      <c r="J2929" s="265"/>
      <c r="K2929" s="265"/>
      <c r="L2929" s="265"/>
      <c r="M2929" s="262" t="str">
        <f ca="1">IF(OR(AND($B2922&lt;&gt;"",$B2929&lt;&gt;"",$C2947&lt;=$B2947),AND($B2924&lt;&gt;"",$B2931&lt;&gt;"",$G2947&lt;=$F2947)),"Invalid Lineup","")</f>
        <v/>
      </c>
      <c r="N2929" s="263"/>
      <c r="O2929" s="263"/>
      <c r="P2929" s="264"/>
      <c r="Q2929" s="137" t="str">
        <f>IF($L2929=$L2931,IF($K2929=$K2931,IF($J2929&lt;&gt;"",IF($J2929&gt;$J2931,"W","L"),""),IF($K2929&gt;$K2931,"W","L")),IF($L2929&gt;$L2931,"W","L"))</f>
        <v/>
      </c>
      <c r="R2929" s="300" t="str">
        <f>$K2916</f>
        <v>L</v>
      </c>
      <c r="S2929" s="331" t="str">
        <f ca="1">IF($B2931&lt;&gt;"",$B2931,"")</f>
        <v/>
      </c>
      <c r="T2929" s="332"/>
      <c r="U2929" s="332"/>
      <c r="V2929" s="332"/>
      <c r="W2929" s="332"/>
      <c r="X2929" s="333"/>
      <c r="Y2929" s="329"/>
      <c r="Z2929" s="329"/>
      <c r="AA2929" s="329"/>
      <c r="AB2929" s="329"/>
      <c r="AC2929" s="351"/>
      <c r="AD2929" s="363" t="s">
        <v>1237</v>
      </c>
      <c r="AE2929" s="358"/>
      <c r="AF2929" s="359"/>
    </row>
    <row r="2930" spans="1:32" ht="12.75" customHeight="1">
      <c r="A2930" s="301"/>
      <c r="B2930" s="295"/>
      <c r="C2930" s="296"/>
      <c r="D2930" s="296"/>
      <c r="E2930" s="296"/>
      <c r="F2930" s="296"/>
      <c r="G2930" s="296"/>
      <c r="H2930" s="270"/>
      <c r="I2930" s="270"/>
      <c r="J2930" s="270"/>
      <c r="K2930" s="270"/>
      <c r="L2930" s="270"/>
      <c r="M2930" s="262"/>
      <c r="N2930" s="263"/>
      <c r="O2930" s="263"/>
      <c r="P2930" s="264"/>
      <c r="Q2930" s="139" t="str">
        <f>IF($Q2929&lt;&gt;"",IF($Q2929="W",IF(SUM(IF($H2929&gt;$H2931,1,0),IF($I2929&gt;$I2931,1,0),IF($J2929&gt;$J2931,1,0),IF($K2929&gt;$K2931,1,0),IF($L2929&gt;$L2931,1,0))&lt;&gt;3,"Error",""),""),"")</f>
        <v/>
      </c>
      <c r="R2930" s="330"/>
      <c r="S2930" s="334"/>
      <c r="T2930" s="335"/>
      <c r="U2930" s="335"/>
      <c r="V2930" s="335"/>
      <c r="W2930" s="335"/>
      <c r="X2930" s="336"/>
      <c r="Y2930" s="330"/>
      <c r="Z2930" s="330"/>
      <c r="AA2930" s="330"/>
      <c r="AB2930" s="330"/>
      <c r="AC2930" s="330"/>
      <c r="AD2930" s="360"/>
      <c r="AE2930" s="361"/>
      <c r="AF2930" s="362"/>
    </row>
    <row r="2931" spans="1:32" ht="12.75" customHeight="1">
      <c r="A2931" s="300" t="str">
        <f>K2916</f>
        <v>L</v>
      </c>
      <c r="B2931" s="293" t="str">
        <f ca="1">IF(AND(OFFSET($AO$1,$L2916-1,8,1,1),$A2917&lt;&gt;"",$J2917&lt;&gt;""),CHOOSE($L2916,$AP$1,$AP$2,$AP$3,$AP$4,$AP$5,$AP$6,$AP$7,$AP$8,$AP$9,$AP$10,$AP$11,$AP$12),"")</f>
        <v/>
      </c>
      <c r="C2931" s="294"/>
      <c r="D2931" s="294"/>
      <c r="E2931" s="294"/>
      <c r="F2931" s="294"/>
      <c r="G2931" s="294"/>
      <c r="H2931" s="265"/>
      <c r="I2931" s="265"/>
      <c r="J2931" s="265"/>
      <c r="K2931" s="265"/>
      <c r="L2931" s="265"/>
      <c r="M2931" s="267" t="s">
        <v>1237</v>
      </c>
      <c r="N2931" s="268"/>
      <c r="O2931" s="268"/>
      <c r="P2931" s="269"/>
      <c r="Q2931" s="137" t="str">
        <f>IF($Q2929&lt;&gt;"",IF($Q2929="W","L","W"),"")</f>
        <v/>
      </c>
      <c r="R2931" s="20"/>
      <c r="S2931" s="20"/>
      <c r="T2931" s="20"/>
      <c r="U2931" s="20"/>
      <c r="V2931" s="20"/>
      <c r="W2931" s="20"/>
      <c r="X2931" s="26"/>
      <c r="Y2931" s="26"/>
      <c r="Z2931" s="20"/>
      <c r="AA2931" s="20"/>
      <c r="AB2931" s="20"/>
      <c r="AC2931" s="20"/>
      <c r="AD2931" s="20"/>
      <c r="AE2931" s="20"/>
      <c r="AF2931" s="27"/>
    </row>
    <row r="2932" spans="1:32" ht="12.75" customHeight="1">
      <c r="A2932" s="301"/>
      <c r="B2932" s="295"/>
      <c r="C2932" s="296"/>
      <c r="D2932" s="296"/>
      <c r="E2932" s="296"/>
      <c r="F2932" s="296"/>
      <c r="G2932" s="296"/>
      <c r="H2932" s="270"/>
      <c r="I2932" s="270"/>
      <c r="J2932" s="266"/>
      <c r="K2932" s="266"/>
      <c r="L2932" s="266"/>
      <c r="M2932" s="267"/>
      <c r="N2932" s="268"/>
      <c r="O2932" s="268"/>
      <c r="P2932" s="269"/>
      <c r="Q2932" s="139" t="str">
        <f>IF($Q2931&lt;&gt;"",IF($Q2931="W",IF(SUM(IF($H2931&gt;$H2929,1,0),IF($I2931&gt;$I2929,1,0),IF($J2931&gt;$J2929,1,0),IF($K2931&gt;$K2929,1,0),IF($L2931&gt;$L2929,1,0))&lt;&gt;3,"Error",""),""),"")</f>
        <v/>
      </c>
      <c r="R2932" s="20"/>
      <c r="S2932" s="20"/>
      <c r="T2932" s="20"/>
      <c r="U2932" s="20"/>
      <c r="V2932" s="20"/>
      <c r="W2932" s="20"/>
      <c r="X2932" s="26"/>
      <c r="Y2932" s="26"/>
      <c r="Z2932" s="20"/>
      <c r="AA2932" s="20"/>
      <c r="AB2932" s="20"/>
      <c r="AC2932" s="20"/>
      <c r="AD2932" s="20"/>
      <c r="AE2932" s="20"/>
      <c r="AF2932" s="27"/>
    </row>
    <row r="2933" spans="1:32" ht="12.75" customHeight="1">
      <c r="Q2933" s="7"/>
      <c r="R2933" s="20"/>
      <c r="S2933" s="20"/>
      <c r="T2933" s="20"/>
      <c r="U2933" s="20"/>
      <c r="V2933" s="20"/>
      <c r="W2933" s="20"/>
      <c r="X2933" s="26"/>
      <c r="Y2933" s="26"/>
      <c r="Z2933" s="20"/>
      <c r="AA2933" s="20"/>
      <c r="AB2933" s="20"/>
      <c r="AC2933" s="20"/>
      <c r="AD2933" s="20"/>
      <c r="AE2933" s="20"/>
      <c r="AF2933" s="27"/>
    </row>
    <row r="2934" spans="1:32" ht="12.75" customHeight="1">
      <c r="A2934" s="21" t="s">
        <v>1235</v>
      </c>
      <c r="H2934" s="136" t="str">
        <f>IF($Q2936&lt;&gt;"",IF(AND(AND($H2936&gt;-1,$H2938&gt;-1),OR($H2936&gt;10,$H2938&gt;10),ABS($H2936-$H2938)&gt;1,IF(OR($H2936&gt;11,$H2938&gt;11),ABS($H2936-$H2938)=2,TRUE),$H2936=INT($H2936),$H2938=INT($H2938)),"","Error"),"")</f>
        <v/>
      </c>
      <c r="I2934" s="136" t="str">
        <f>IF($Q2936&lt;&gt;"",IF(AND(AND($I2936&gt;-1,$I2938&gt;-1),OR($I2936&gt;10,$I2938&gt;10),ABS($I2936-$I2938)&gt;1,IF(OR($I2936&gt;11,$I2938&gt;11),ABS($I2936-$I2938)=2,TRUE),$I2936=INT($I2936),$I2938=INT($I2938)),"","Error"),"")</f>
        <v/>
      </c>
      <c r="J2934" s="136" t="str">
        <f>IF($Q2936&lt;&gt;"",IF(AND(AND($J2936&gt;-1,$J2938&gt;-1),OR($J2936&gt;10,$J2938&gt;10),ABS($J2936-$J2938)&gt;1,IF(OR($J2936&gt;11,$J2938&gt;11),ABS($J2936-$J2938)=2,TRUE),$J2936=INT($J2936),$J2938=INT($J2938)),"","Error"),"")</f>
        <v/>
      </c>
      <c r="K2934" s="136" t="str">
        <f>IF($Q2936&lt;&gt;"",IF(AND($K2936&lt;&gt;"",$K2938&lt;&gt;""), IF(AND(AND($K2936&gt;-1,$K2938&gt;-1),OR($K2936&gt;10,$K2938&gt;10),ABS($K2936-$K2938)&gt;1,IF(OR($K2936&gt;11,$K2938&gt;11),ABS($K2936-$K2938)=2,TRUE),$K2936=INT($K2936),$K2938=INT($K2938)),"","Error"),""),"")</f>
        <v/>
      </c>
      <c r="L2934" s="136" t="str">
        <f>IF($Q2936&lt;&gt;"",IF(AND($L2936&lt;&gt;"",$L2938&lt;&gt;""), IF(AND(AND($L2936&gt;-1,$L2938&gt;-1),OR($L2936&gt;10,$L2938&gt;10),ABS($L2936-$L2938)&gt;1,IF(OR($L2936&gt;11,$L2938&gt;11),ABS($L2936-$L2938)=2,TRUE),$L2936=INT($L2936),$L2938=INT($L2938)),"","Error"),""),"")</f>
        <v/>
      </c>
      <c r="Q2934" s="7"/>
      <c r="R2934" s="20"/>
      <c r="S2934" s="20"/>
      <c r="T2934" s="20"/>
      <c r="U2934" s="20"/>
      <c r="V2934" s="20"/>
      <c r="W2934" s="20"/>
      <c r="X2934" s="26"/>
      <c r="Y2934" s="26"/>
      <c r="Z2934" s="20"/>
      <c r="AA2934" s="20"/>
      <c r="AB2934" s="20"/>
      <c r="AC2934" s="20"/>
      <c r="AD2934" s="20"/>
      <c r="AE2934" s="20"/>
      <c r="AF2934" s="27"/>
    </row>
    <row r="2935" spans="1:32" ht="12.75" customHeight="1">
      <c r="A2935" s="5" t="s">
        <v>1228</v>
      </c>
      <c r="B2935" s="290" t="s">
        <v>1126</v>
      </c>
      <c r="C2935" s="291"/>
      <c r="D2935" s="291"/>
      <c r="E2935" s="291"/>
      <c r="F2935" s="291"/>
      <c r="G2935" s="292"/>
      <c r="H2935" s="5">
        <v>1</v>
      </c>
      <c r="I2935" s="5">
        <v>2</v>
      </c>
      <c r="J2935" s="5">
        <v>3</v>
      </c>
      <c r="K2935" s="5">
        <v>4</v>
      </c>
      <c r="L2935" s="5">
        <v>5</v>
      </c>
      <c r="M2935" s="271"/>
      <c r="N2935" s="272"/>
      <c r="O2935" s="272"/>
      <c r="P2935" s="273"/>
      <c r="Q2935" s="7"/>
      <c r="R2935" s="20"/>
      <c r="S2935" s="20"/>
      <c r="T2935" s="20"/>
      <c r="U2935" s="20"/>
      <c r="V2935" s="20"/>
      <c r="W2935" s="20"/>
      <c r="X2935" s="26"/>
      <c r="Y2935" s="26"/>
      <c r="Z2935" s="20"/>
      <c r="AA2935" s="20"/>
      <c r="AB2935" s="20"/>
      <c r="AC2935" s="20"/>
      <c r="AD2935" s="20"/>
      <c r="AE2935" s="20"/>
      <c r="AF2935" s="27"/>
    </row>
    <row r="2936" spans="1:32" ht="12.75" customHeight="1">
      <c r="A2936" s="300" t="str">
        <f>B2916</f>
        <v>F</v>
      </c>
      <c r="B2936" s="293" t="str">
        <f ca="1">IF(AND(OFFSET($AO$1,$C2916-1,8,1,1),$A2917&lt;&gt;"",$J2917&lt;&gt;""),CHOOSE($C2916,$AQ$1,$AQ$2,$AQ$3,$AQ$4,$AQ$5,$AQ$6,$AQ$7,$AQ$8,$AQ$9,$AQ$10,$AQ$11,$AQ$12),"")</f>
        <v/>
      </c>
      <c r="C2936" s="294"/>
      <c r="D2936" s="294"/>
      <c r="E2936" s="294"/>
      <c r="F2936" s="294"/>
      <c r="G2936" s="294"/>
      <c r="H2936" s="265"/>
      <c r="I2936" s="265"/>
      <c r="J2936" s="265"/>
      <c r="K2936" s="265"/>
      <c r="L2936" s="265"/>
      <c r="M2936" s="262" t="str">
        <f ca="1">IF(OR(AND($B2929&lt;&gt;"",$B2936&lt;&gt;"",$D2947&lt;=$C2947),AND($B2931&lt;&gt;"",$B2938&lt;&gt;"",$H2947&lt;=$G2947)),"Invalid Lineup","")</f>
        <v/>
      </c>
      <c r="N2936" s="263"/>
      <c r="O2936" s="263"/>
      <c r="P2936" s="264"/>
      <c r="Q2936" s="137" t="str">
        <f>IF($L2936=$L2938,IF($K2936=$K2938,IF($J2936&lt;&gt;"",IF($J2936&gt;$J2938,"W","L"),""),IF($K2936&gt;$K2938,"W","L")),IF($L2936&gt;$L2938,"W","L"))</f>
        <v/>
      </c>
      <c r="R2936" s="20"/>
      <c r="S2936" s="20"/>
      <c r="T2936" s="20"/>
      <c r="U2936" s="20"/>
      <c r="V2936" s="20"/>
      <c r="W2936" s="20"/>
      <c r="X2936" s="26"/>
      <c r="Y2936" s="26"/>
      <c r="Z2936" s="20"/>
      <c r="AA2936" s="20"/>
      <c r="AB2936" s="20"/>
      <c r="AC2936" s="20"/>
      <c r="AD2936" s="20"/>
      <c r="AE2936" s="20"/>
      <c r="AF2936" s="27"/>
    </row>
    <row r="2937" spans="1:32" ht="12.75" customHeight="1">
      <c r="A2937" s="301"/>
      <c r="B2937" s="295"/>
      <c r="C2937" s="296"/>
      <c r="D2937" s="296"/>
      <c r="E2937" s="296"/>
      <c r="F2937" s="296"/>
      <c r="G2937" s="296"/>
      <c r="H2937" s="270"/>
      <c r="I2937" s="270"/>
      <c r="J2937" s="270"/>
      <c r="K2937" s="270"/>
      <c r="L2937" s="270"/>
      <c r="M2937" s="262"/>
      <c r="N2937" s="263"/>
      <c r="O2937" s="263"/>
      <c r="P2937" s="264"/>
      <c r="Q2937" s="139" t="str">
        <f>IF($Q2936&lt;&gt;"",IF($Q2936="W",IF(SUM(IF($H2936&gt;$H2938,1,0),IF($I2936&gt;$I2938,1,0),IF($J2936&gt;$J2938,1,0),IF($K2936&gt;$K2938,1,0),IF($L2936&gt;$L2938,1,0))&lt;&gt;3,"Error",""),""),"")</f>
        <v/>
      </c>
      <c r="R2937" s="328" t="str">
        <f>$A2917</f>
        <v/>
      </c>
      <c r="S2937" s="328"/>
      <c r="T2937" s="328"/>
      <c r="U2937" s="328"/>
      <c r="V2937" s="328"/>
      <c r="W2937" s="328"/>
      <c r="X2937" s="256" t="str">
        <f>CONCATENATE("(",$B2916," vs ",$K2916,")")</f>
        <v>(F vs L)</v>
      </c>
      <c r="Y2937" s="256"/>
      <c r="Z2937" s="328" t="str">
        <f>$J2917</f>
        <v/>
      </c>
      <c r="AA2937" s="328"/>
      <c r="AB2937" s="328"/>
      <c r="AC2937" s="328"/>
      <c r="AD2937" s="328"/>
      <c r="AE2937" s="328"/>
      <c r="AF2937" s="100"/>
    </row>
    <row r="2938" spans="1:32" ht="12.75" customHeight="1">
      <c r="A2938" s="300" t="str">
        <f>K2916</f>
        <v>L</v>
      </c>
      <c r="B2938" s="293" t="str">
        <f ca="1">IF(AND(OFFSET($AO$1,$L2916-1,8,1,1),$A2917&lt;&gt;"",$J2917&lt;&gt;""),CHOOSE($L2916,$AQ$1,$AQ$2,$AQ$3,$AQ$4,$AQ$5,$AQ$6,$AQ$7,$AQ$8,$AQ$9,$AQ$10,$AQ$11,$AQ$12),"")</f>
        <v/>
      </c>
      <c r="C2938" s="294"/>
      <c r="D2938" s="294"/>
      <c r="E2938" s="294"/>
      <c r="F2938" s="294"/>
      <c r="G2938" s="294"/>
      <c r="H2938" s="265"/>
      <c r="I2938" s="265"/>
      <c r="J2938" s="265"/>
      <c r="K2938" s="265"/>
      <c r="L2938" s="265"/>
      <c r="M2938" s="267" t="s">
        <v>1237</v>
      </c>
      <c r="N2938" s="268"/>
      <c r="O2938" s="268"/>
      <c r="P2938" s="269"/>
      <c r="Q2938" s="137" t="str">
        <f>IF($Q2936&lt;&gt;"",IF($Q2936="W","L","W"),"")</f>
        <v/>
      </c>
      <c r="R2938" s="100"/>
      <c r="S2938" s="100"/>
      <c r="T2938" s="100"/>
      <c r="U2938" s="100"/>
      <c r="V2938" s="100"/>
      <c r="W2938" s="100"/>
      <c r="X2938" s="100"/>
      <c r="Y2938" s="100"/>
      <c r="Z2938" s="100"/>
      <c r="AA2938" s="100"/>
      <c r="AB2938" s="100"/>
      <c r="AC2938" s="100"/>
      <c r="AD2938" s="100"/>
      <c r="AE2938" s="100"/>
      <c r="AF2938" s="100"/>
    </row>
    <row r="2939" spans="1:32" ht="12.75" customHeight="1">
      <c r="A2939" s="301"/>
      <c r="B2939" s="295"/>
      <c r="C2939" s="296"/>
      <c r="D2939" s="296"/>
      <c r="E2939" s="296"/>
      <c r="F2939" s="296"/>
      <c r="G2939" s="296"/>
      <c r="H2939" s="270"/>
      <c r="I2939" s="270"/>
      <c r="J2939" s="266"/>
      <c r="K2939" s="266"/>
      <c r="L2939" s="266"/>
      <c r="M2939" s="267"/>
      <c r="N2939" s="268"/>
      <c r="O2939" s="268"/>
      <c r="P2939" s="269"/>
      <c r="Q2939" s="139" t="str">
        <f>IF($Q2938&lt;&gt;"",IF($Q2938="W",IF(SUM(IF($H2938&gt;$H2936,1,0),IF($I2938&gt;$I2936,1,0),IF($J2938&gt;$J2936,1,0),IF($K2938&gt;$K2936,1,0),IF($L2938&gt;$L2936,1,0))&lt;&gt;3,"Error",""),""),"")</f>
        <v/>
      </c>
      <c r="R2939" s="43" t="str">
        <f>$A2934</f>
        <v>3rd Singles</v>
      </c>
      <c r="S2939" s="43"/>
      <c r="T2939" s="43"/>
      <c r="U2939" s="43"/>
      <c r="V2939" s="43"/>
      <c r="W2939" s="43"/>
      <c r="X2939" s="43"/>
      <c r="Y2939" s="43"/>
      <c r="Z2939" s="43"/>
      <c r="AA2939" s="43"/>
      <c r="AB2939" s="43"/>
      <c r="AC2939" s="43"/>
      <c r="AD2939" s="43"/>
      <c r="AE2939" s="43"/>
      <c r="AF2939" s="43"/>
    </row>
    <row r="2940" spans="1:32" ht="12.75" customHeight="1">
      <c r="Q2940" s="7"/>
      <c r="R2940" s="60" t="s">
        <v>1228</v>
      </c>
      <c r="S2940" s="101" t="s">
        <v>1126</v>
      </c>
      <c r="T2940" s="102"/>
      <c r="U2940" s="102"/>
      <c r="V2940" s="102"/>
      <c r="W2940" s="102"/>
      <c r="X2940" s="103"/>
      <c r="Y2940" s="60">
        <v>1</v>
      </c>
      <c r="Z2940" s="60">
        <v>2</v>
      </c>
      <c r="AA2940" s="60">
        <v>3</v>
      </c>
      <c r="AB2940" s="60">
        <v>4</v>
      </c>
      <c r="AC2940" s="60">
        <v>5</v>
      </c>
      <c r="AD2940" s="104"/>
      <c r="AE2940" s="105"/>
      <c r="AF2940" s="106"/>
    </row>
    <row r="2941" spans="1:32" ht="12.75" customHeight="1">
      <c r="A2941" s="21" t="s">
        <v>1236</v>
      </c>
      <c r="H2941" s="136" t="str">
        <f ca="1">IF($Q2943&lt;&gt;"",IF(AND($B2943&lt;&gt;"Missing Player",$B2945&lt;&gt;"Missing Player"),IF(AND(AND($H2943&gt;-1,$H2945&gt;-1),OR($H2943&gt;10,$H2945&gt;10),ABS($H2943-$H2945)&gt;1,IF(OR($H2943&gt;11,$H2945&gt;11),ABS($H2943-$H2945)=2,TRUE),$H2943=INT($H2943),$H2945=INT($H2945)),"","Error"),""),"")</f>
        <v/>
      </c>
      <c r="I2941" s="136" t="str">
        <f ca="1">IF($Q2943&lt;&gt;"",IF(AND($B2943&lt;&gt;"Missing Player",$B2945&lt;&gt;"Missing Player"),IF(AND(AND($I2943&gt;-1,$I2945&gt;-1),OR($I2943&gt;10,$I2945&gt;10),ABS($I2943-$I2945)&gt;1,IF(OR($I2943&gt;11,$I2945&gt;11),ABS($I2943-$I2945)=2,TRUE),$I2943=INT($I2943),$I2945=INT($I2945)),"","Error"),""),"")</f>
        <v/>
      </c>
      <c r="J2941" s="136" t="str">
        <f ca="1">IF($Q2943&lt;&gt;"",IF(AND($B2943&lt;&gt;"Missing Player",$B2945&lt;&gt;"Missing Player"),IF(AND(AND($J2943&gt;-1,$J2945&gt;-1),OR($J2943&gt;10,$J2945&gt;10),ABS($J2943-$J2945)&gt;1,IF(OR($J2943&gt;11,$J2945&gt;11),ABS($J2943-$J2945)=2,TRUE),$J2943=INT($J2943),$J2945=INT($J2945)),"","Error"),""),"")</f>
        <v/>
      </c>
      <c r="K2941" s="136" t="str">
        <f ca="1">IF($Q2943&lt;&gt;"",IF(AND($K2943&lt;&gt;"",$K2945&lt;&gt;""), IF(AND(AND($K2943&gt;-1,$K2945&gt;-1),OR($K2943&gt;10,$K2945&gt;10),ABS($K2943-$K2945)&gt;1,IF(OR($K2943&gt;11,$K2945&gt;11),ABS($K2943-$K2945)=2,TRUE),$K2943=INT($K2943),$K2945=INT($K2945)),"","Error"),""),"")</f>
        <v/>
      </c>
      <c r="L2941" s="136" t="str">
        <f ca="1">IF($Q2943&lt;&gt;"",IF(AND($L2943&lt;&gt;"",$L2945&lt;&gt;""), IF(AND(AND($L2943&gt;-1,$L2945&gt;-1),OR($L2943&gt;10,$L2945&gt;10),ABS($L2943-$L2945)&gt;1,IF(OR($L2943&gt;11,$L2945&gt;11),ABS($L2943-$L2945)=2,TRUE),$L2943=INT($L2943),$L2945=INT($L2945)),"","Error"),""),"")</f>
        <v/>
      </c>
      <c r="Q2941" s="7"/>
      <c r="R2941" s="300" t="str">
        <f>$B2916</f>
        <v>F</v>
      </c>
      <c r="S2941" s="331" t="str">
        <f ca="1">IF($B2936&lt;&gt;"",$B2936,"")</f>
        <v/>
      </c>
      <c r="T2941" s="332"/>
      <c r="U2941" s="332"/>
      <c r="V2941" s="332"/>
      <c r="W2941" s="332"/>
      <c r="X2941" s="333"/>
      <c r="Y2941" s="329"/>
      <c r="Z2941" s="329"/>
      <c r="AA2941" s="329"/>
      <c r="AB2941" s="329"/>
      <c r="AC2941" s="329"/>
      <c r="AD2941" s="345"/>
      <c r="AE2941" s="358"/>
      <c r="AF2941" s="359"/>
    </row>
    <row r="2942" spans="1:32" ht="12.75" customHeight="1">
      <c r="A2942" s="5" t="s">
        <v>1228</v>
      </c>
      <c r="B2942" s="290" t="s">
        <v>1126</v>
      </c>
      <c r="C2942" s="291"/>
      <c r="D2942" s="291"/>
      <c r="E2942" s="291"/>
      <c r="F2942" s="291"/>
      <c r="G2942" s="292"/>
      <c r="H2942" s="5">
        <v>1</v>
      </c>
      <c r="I2942" s="5">
        <v>2</v>
      </c>
      <c r="J2942" s="5">
        <v>3</v>
      </c>
      <c r="K2942" s="5">
        <v>4</v>
      </c>
      <c r="L2942" s="5">
        <v>5</v>
      </c>
      <c r="M2942" s="271"/>
      <c r="N2942" s="272"/>
      <c r="O2942" s="272"/>
      <c r="P2942" s="273"/>
      <c r="Q2942" s="7"/>
      <c r="R2942" s="330"/>
      <c r="S2942" s="334"/>
      <c r="T2942" s="335"/>
      <c r="U2942" s="335"/>
      <c r="V2942" s="335"/>
      <c r="W2942" s="335"/>
      <c r="X2942" s="336"/>
      <c r="Y2942" s="330"/>
      <c r="Z2942" s="330"/>
      <c r="AA2942" s="330"/>
      <c r="AB2942" s="330"/>
      <c r="AC2942" s="330"/>
      <c r="AD2942" s="360"/>
      <c r="AE2942" s="361"/>
      <c r="AF2942" s="362"/>
    </row>
    <row r="2943" spans="1:32" ht="12.75" customHeight="1">
      <c r="A2943" s="300" t="str">
        <f>B2916</f>
        <v>F</v>
      </c>
      <c r="B2943" s="293" t="str">
        <f ca="1">IF(AND(OFFSET($AO$1,$C2916-1,8,1,1),$A2917&lt;&gt;"",$J2917&lt;&gt;""),CHOOSE($C2916,$AR$1,$AR$2,$AR$3,$AR$4,$AR$5,$AR$6,$AR$7,$AR$8,$AR$9,$AR$10,$AR$11,$AR$12),"")</f>
        <v/>
      </c>
      <c r="C2943" s="294"/>
      <c r="D2943" s="294"/>
      <c r="E2943" s="294"/>
      <c r="F2943" s="294"/>
      <c r="G2943" s="294"/>
      <c r="H2943" s="265"/>
      <c r="I2943" s="265"/>
      <c r="J2943" s="265"/>
      <c r="K2943" s="265"/>
      <c r="L2943" s="265" t="str">
        <f ca="1">IF(AND($B2943&lt;&gt;"",$Q2922&lt;&gt;""),IF($B2943="Missing Player",0,IF($B2945="Missing Player",11,"")),"")</f>
        <v/>
      </c>
      <c r="M2943" s="262" t="str">
        <f ca="1">IF(OR(AND($B2936&lt;&gt;"",$B2943&lt;&gt;"",$E2947&lt;=$D2947),AND($B2938&lt;&gt;"",$B2945&lt;&gt;"",$I2947&lt;=$H2947)),"Invalid Lineup","")</f>
        <v/>
      </c>
      <c r="N2943" s="263"/>
      <c r="O2943" s="263"/>
      <c r="P2943" s="264"/>
      <c r="Q2943" s="137" t="str">
        <f ca="1">IF($L2943=$L2945,IF($K2943=$K2945,IF($J2943&lt;&gt;"",IF($J2943&gt;$J2945,"W","L"),""),IF($K2943&gt;$K2945,"W","L")),IF($L2943&gt;$L2945,"W","L"))</f>
        <v/>
      </c>
      <c r="R2943" s="300" t="str">
        <f>$K2916</f>
        <v>L</v>
      </c>
      <c r="S2943" s="331" t="str">
        <f ca="1">IF($B2938&lt;&gt;"",$B2938,"")</f>
        <v/>
      </c>
      <c r="T2943" s="332"/>
      <c r="U2943" s="332"/>
      <c r="V2943" s="332"/>
      <c r="W2943" s="332"/>
      <c r="X2943" s="333"/>
      <c r="Y2943" s="329"/>
      <c r="Z2943" s="329"/>
      <c r="AA2943" s="329"/>
      <c r="AB2943" s="329"/>
      <c r="AC2943" s="351"/>
      <c r="AD2943" s="363" t="s">
        <v>1237</v>
      </c>
      <c r="AE2943" s="358"/>
      <c r="AF2943" s="359"/>
    </row>
    <row r="2944" spans="1:32" ht="12.75" customHeight="1">
      <c r="A2944" s="301"/>
      <c r="B2944" s="295"/>
      <c r="C2944" s="296"/>
      <c r="D2944" s="296"/>
      <c r="E2944" s="296"/>
      <c r="F2944" s="296"/>
      <c r="G2944" s="296"/>
      <c r="H2944" s="270"/>
      <c r="I2944" s="270"/>
      <c r="J2944" s="270"/>
      <c r="K2944" s="270"/>
      <c r="L2944" s="270"/>
      <c r="M2944" s="262"/>
      <c r="N2944" s="263"/>
      <c r="O2944" s="263"/>
      <c r="P2944" s="264"/>
      <c r="Q2944" s="139" t="str">
        <f ca="1">IF($Q2943&lt;&gt;"",IF($B2945&lt;&gt;"Missing Player",IF($Q2943="W",IF(SUM(IF($H2943&gt;$H2945,1,0),IF($I2943&gt;$I2945,1,0),IF($J2943&gt;$J2945,1,0),IF($K2943&gt;$K2945,1,0),IF($L2943&gt;$L2945,1,0))&lt;&gt;3,"Error",""),""),""),"")</f>
        <v/>
      </c>
      <c r="R2944" s="330"/>
      <c r="S2944" s="334"/>
      <c r="T2944" s="335"/>
      <c r="U2944" s="335"/>
      <c r="V2944" s="335"/>
      <c r="W2944" s="335"/>
      <c r="X2944" s="336"/>
      <c r="Y2944" s="330"/>
      <c r="Z2944" s="330"/>
      <c r="AA2944" s="330"/>
      <c r="AB2944" s="330"/>
      <c r="AC2944" s="330"/>
      <c r="AD2944" s="360"/>
      <c r="AE2944" s="361"/>
      <c r="AF2944" s="362"/>
    </row>
    <row r="2945" spans="1:32" ht="12.75" customHeight="1">
      <c r="A2945" s="300" t="str">
        <f>K2916</f>
        <v>L</v>
      </c>
      <c r="B2945" s="293" t="str">
        <f ca="1">IF(AND(OFFSET($AO$1,$L2916-1,8,1,1),$A2917&lt;&gt;"",$J2917&lt;&gt;""),CHOOSE($L2916,$AR$1,$AR$2,$AR$3,$AR$4,$AR$5,$AR$6,$AR$7,$AR$8,$AR$9,$AR$10,$AR$11,$AR$12),"")</f>
        <v/>
      </c>
      <c r="C2945" s="294"/>
      <c r="D2945" s="294"/>
      <c r="E2945" s="294"/>
      <c r="F2945" s="294"/>
      <c r="G2945" s="294"/>
      <c r="H2945" s="265"/>
      <c r="I2945" s="265"/>
      <c r="J2945" s="265"/>
      <c r="K2945" s="265"/>
      <c r="L2945" s="265" t="str">
        <f ca="1">IF(AND($B2945&lt;&gt;"",$Q2922&lt;&gt;""),IF($B2945="Missing Player",0,IF($B2943="Missing Player",11,"")),"")</f>
        <v/>
      </c>
      <c r="M2945" s="267" t="s">
        <v>1237</v>
      </c>
      <c r="N2945" s="268"/>
      <c r="O2945" s="268"/>
      <c r="P2945" s="269"/>
      <c r="Q2945" s="137" t="str">
        <f ca="1">IF($Q2943&lt;&gt;"",IF($Q2943="W","L","W"),"")</f>
        <v/>
      </c>
      <c r="R2945" s="112"/>
      <c r="S2945" s="98"/>
      <c r="T2945" s="108"/>
      <c r="U2945" s="108"/>
      <c r="V2945" s="108"/>
      <c r="W2945" s="108"/>
      <c r="X2945" s="108"/>
      <c r="Y2945" s="113"/>
      <c r="Z2945" s="113"/>
      <c r="AA2945" s="113"/>
      <c r="AB2945" s="113"/>
      <c r="AC2945" s="113"/>
      <c r="AD2945" s="107"/>
      <c r="AE2945" s="109"/>
      <c r="AF2945" s="109"/>
    </row>
    <row r="2946" spans="1:32" ht="12.75" customHeight="1">
      <c r="A2946" s="301"/>
      <c r="B2946" s="295"/>
      <c r="C2946" s="296"/>
      <c r="D2946" s="296"/>
      <c r="E2946" s="296"/>
      <c r="F2946" s="296"/>
      <c r="G2946" s="296"/>
      <c r="H2946" s="270"/>
      <c r="I2946" s="270"/>
      <c r="J2946" s="266"/>
      <c r="K2946" s="266"/>
      <c r="L2946" s="266"/>
      <c r="M2946" s="267"/>
      <c r="N2946" s="268"/>
      <c r="O2946" s="268"/>
      <c r="P2946" s="269"/>
      <c r="Q2946" s="139" t="str">
        <f ca="1">IF($Q2945&lt;&gt;"",IF($B2943&lt;&gt;"Missing Player",IF($Q2945="W",IF(SUM(IF($H2945&gt;$H2943,1,0),IF($I2945&gt;$I2943,1,0),IF($J2945&gt;$J2943,1,0),IF($K2945&gt;$K2943,1,0),IF($L2945&gt;$L2943,1,0))&lt;&gt;3,"Error",""),""),""),"")</f>
        <v/>
      </c>
      <c r="R2946" s="114"/>
      <c r="S2946" s="115"/>
      <c r="T2946" s="115"/>
      <c r="U2946" s="115"/>
      <c r="V2946" s="115"/>
      <c r="W2946" s="115"/>
      <c r="X2946" s="115"/>
      <c r="Y2946" s="114"/>
      <c r="Z2946" s="114"/>
      <c r="AA2946" s="114"/>
      <c r="AB2946" s="114"/>
      <c r="AC2946" s="114"/>
      <c r="AD2946" s="114"/>
      <c r="AE2946" s="114"/>
      <c r="AF2946" s="114"/>
    </row>
    <row r="2947" spans="1:32" ht="12.75" customHeight="1">
      <c r="B2947" s="140" t="str">
        <f ca="1">IF(ISERROR(VLOOKUP($B2922&amp;"("&amp;$B2916&amp;")",Players!$S$4:$T$132,2,FALSE)),"",VLOOKUP($B2922&amp;"("&amp;$B2916&amp;")",Players!$S$4:$T$132,2,FALSE))</f>
        <v>F1</v>
      </c>
      <c r="C2947" s="140" t="str">
        <f ca="1">IF(ISERROR(VLOOKUP($B2929&amp;"("&amp;$B2916&amp;")",Players!$S$4:$T$132,2,FALSE)),"",VLOOKUP($B2929&amp;"("&amp;$B2916&amp;")",Players!$S$4:$T$132,2,FALSE))</f>
        <v>F1</v>
      </c>
      <c r="D2947" s="141" t="str">
        <f ca="1">IF(ISERROR(VLOOKUP($B2936&amp;"("&amp;$B2916&amp;")",Players!$S$4:$T$132,2,FALSE)),"",VLOOKUP($B2936&amp;"("&amp;$B2916&amp;")",Players!$S$4:$T$132,2,FALSE))</f>
        <v>F1</v>
      </c>
      <c r="E2947" s="141" t="str">
        <f ca="1">IF(ISERROR(VLOOKUP($B2943&amp;"("&amp;$B2916&amp;")",Players!$S$4:$T$132,2,FALSE)),"",VLOOKUP($B2943&amp;"("&amp;$B2916&amp;")",Players!$S$4:$T$132,2,FALSE))</f>
        <v>F1</v>
      </c>
      <c r="F2947" s="141" t="str">
        <f ca="1">IF(ISERROR(VLOOKUP($B2924&amp;"("&amp;$K2916&amp;")",Players!$S$4:$T$132,2,FALSE)),"",VLOOKUP($B2924&amp;"("&amp;$K2916&amp;")",Players!$S$4:$T$132,2,FALSE))</f>
        <v>L1</v>
      </c>
      <c r="G2947" s="141" t="str">
        <f ca="1">IF(ISERROR(VLOOKUP($B2931&amp;"("&amp;$K2916&amp;")",Players!$S$4:$T$132,2,FALSE)),"",VLOOKUP($B2931&amp;"("&amp;$K2916&amp;")",Players!$S$4:$T$132,2,FALSE))</f>
        <v>L1</v>
      </c>
      <c r="H2947" s="141" t="str">
        <f ca="1">IF(ISERROR(VLOOKUP($B2938&amp;"("&amp;$K2916&amp;")",Players!$S$4:$T$132,2,FALSE)),"",VLOOKUP($B2938&amp;"("&amp;$K2916&amp;")",Players!$S$4:$T$132,2,FALSE))</f>
        <v>L1</v>
      </c>
      <c r="I2947" s="141" t="str">
        <f ca="1">IF(ISERROR(VLOOKUP($B2945&amp;"("&amp;$K2916&amp;")",Players!$S$4:$T$132,2,FALSE)),"",VLOOKUP($B2945&amp;"("&amp;$K2916&amp;")",Players!$S$4:$T$132,2,FALSE))</f>
        <v>L1</v>
      </c>
      <c r="Q2947" s="7"/>
      <c r="R2947" s="50"/>
      <c r="S2947" s="116"/>
      <c r="T2947" s="115"/>
      <c r="U2947" s="115"/>
      <c r="V2947" s="115"/>
      <c r="W2947" s="115"/>
      <c r="X2947" s="115"/>
      <c r="Y2947" s="99"/>
      <c r="Z2947" s="99"/>
      <c r="AA2947" s="99"/>
      <c r="AB2947" s="99"/>
      <c r="AC2947" s="117"/>
      <c r="AD2947" s="118"/>
      <c r="AE2947" s="114"/>
      <c r="AF2947" s="114"/>
    </row>
    <row r="2948" spans="1:32" ht="12.75" customHeight="1">
      <c r="A2948" s="21" t="s">
        <v>1225</v>
      </c>
      <c r="H2948" s="136" t="str">
        <f ca="1">IF($Q2950&lt;&gt;"",IF(AND($B2951&lt;&gt;"Missing Player",$B2953&lt;&gt;"Missing Player"),IF(AND(AND($H2950&gt;-1,$H2952&gt;-1),OR($H2950&gt;10,$H2952&gt;10),ABS($H2950-$H2952)&gt;1,IF(OR($H2950&gt;11,$H2952&gt;11),ABS($H2950-$H2952)=2,TRUE),$H2950=INT($H2950),$H2952=INT($H2952)),"","Error"),""),"")</f>
        <v/>
      </c>
      <c r="I2948" s="136" t="str">
        <f ca="1">IF($Q2950&lt;&gt;"",IF(AND($B2951&lt;&gt;"Missing Player",$B2953&lt;&gt;"Missing Player"),IF(AND(AND($I2950&gt;-1,$I2952&gt;-1),OR($I2950&gt;10,$I2952&gt;10),ABS($I2950-$I2952)&gt;1,IF(OR($I2950&gt;11,$I2952&gt;11),ABS($I2950-$I2952)=2,TRUE),$I2950=INT($I2950),$I2952=INT($I2952)),"","Error"),""),"")</f>
        <v/>
      </c>
      <c r="J2948" s="136" t="str">
        <f ca="1">IF($Q2950&lt;&gt;"",IF(AND($B2951&lt;&gt;"Missing Player",$B2953&lt;&gt;"Missing Player"),IF(AND(AND($J2950&gt;-1,$J2952&gt;-1),OR($J2950&gt;10,$J2952&gt;10),ABS($J2950-$J2952)&gt;1,IF(OR($J2950&gt;11,$J2952&gt;11),ABS($J2950-$J2952)=2,TRUE),$J2950=INT($J2950),$J2952=INT($J2952)),"","Error"),""),"")</f>
        <v/>
      </c>
      <c r="K2948" s="136" t="str">
        <f ca="1">IF($Q2950&lt;&gt;"",IF(AND($K2950&lt;&gt;"",$K2952&lt;&gt;""), IF(AND(AND($K2950&gt;-1,$K2952&gt;-1),OR($K2950&gt;10,$K2952&gt;10),ABS($K2950-$K2952)&gt;1,IF(OR($K2950&gt;11,$K2952&gt;11),ABS($K2950-$K2952)=2,TRUE),$K2950=INT($K2950),$K2952=INT($K2952)),"","Error"),""),"")</f>
        <v/>
      </c>
      <c r="L2948" s="136" t="str">
        <f ca="1">IF($Q2950&lt;&gt;"",IF(AND($L2950&lt;&gt;"",$L2952&lt;&gt;""), IF(AND(AND($L2950&gt;-1,$L2952&gt;-1),OR($L2950&gt;10,$L2952&gt;10),ABS($L2950-$L2952)&gt;1,IF(OR($L2950&gt;11,$L2952&gt;11),ABS($L2950-$L2952)=2,TRUE),$L2950=INT($L2950),$L2952=INT($L2952)),"","Error"),""),"")</f>
        <v/>
      </c>
      <c r="Q2948" s="7"/>
      <c r="R2948" s="114"/>
      <c r="S2948" s="115"/>
      <c r="T2948" s="115"/>
      <c r="U2948" s="115"/>
      <c r="V2948" s="115"/>
      <c r="W2948" s="115"/>
      <c r="X2948" s="115"/>
      <c r="Y2948" s="114"/>
      <c r="Z2948" s="114"/>
      <c r="AA2948" s="114"/>
      <c r="AB2948" s="114"/>
      <c r="AC2948" s="114"/>
      <c r="AD2948" s="114"/>
      <c r="AE2948" s="114"/>
      <c r="AF2948" s="114"/>
    </row>
    <row r="2949" spans="1:32" ht="12.75" customHeight="1">
      <c r="A2949" s="5" t="s">
        <v>1228</v>
      </c>
      <c r="B2949" s="290" t="s">
        <v>1126</v>
      </c>
      <c r="C2949" s="291"/>
      <c r="D2949" s="291"/>
      <c r="E2949" s="291"/>
      <c r="F2949" s="291"/>
      <c r="G2949" s="292"/>
      <c r="H2949" s="5">
        <v>1</v>
      </c>
      <c r="I2949" s="5">
        <v>2</v>
      </c>
      <c r="J2949" s="5">
        <v>3</v>
      </c>
      <c r="K2949" s="5">
        <v>4</v>
      </c>
      <c r="L2949" s="5">
        <v>5</v>
      </c>
      <c r="M2949" s="271"/>
      <c r="N2949" s="272"/>
      <c r="O2949" s="272"/>
      <c r="P2949" s="273"/>
      <c r="Q2949" s="8"/>
      <c r="S2949" s="24"/>
      <c r="T2949" s="26"/>
    </row>
    <row r="2950" spans="1:32" ht="12.75" customHeight="1">
      <c r="A2950" s="300" t="str">
        <f>B2916</f>
        <v>F</v>
      </c>
      <c r="B2950" s="311" t="str">
        <f ca="1">IF($B2922&lt;&gt;"",$B2922,"")</f>
        <v/>
      </c>
      <c r="C2950" s="312"/>
      <c r="D2950" s="312"/>
      <c r="E2950" s="312"/>
      <c r="F2950" s="312"/>
      <c r="G2950" s="313"/>
      <c r="H2950" s="265"/>
      <c r="I2950" s="265"/>
      <c r="J2950" s="265"/>
      <c r="K2950" s="265"/>
      <c r="L2950" s="265" t="str">
        <f ca="1">IF($B2943&lt;&gt;"",IF(AND($B2943="Missing Player",$G2954=2,$J2954=2),0,IF(AND($B2945="Missing Player",$G2954=2,$J2954=2),11,"")),"")</f>
        <v/>
      </c>
      <c r="M2950" s="262" t="str">
        <f ca="1">IF(OR(AND($B2950&lt;&gt;"",$B2951&lt;&gt;"",$B2950=$B2951),AND($B2952&lt;&gt;"",$B2953&lt;&gt;"",$B2952=$B2953)),"Invalid Partner","")</f>
        <v/>
      </c>
      <c r="N2950" s="263"/>
      <c r="O2950" s="263"/>
      <c r="P2950" s="264"/>
      <c r="Q2950" s="138" t="str">
        <f ca="1">IF(L2950=L2952,IF(K2950=K2952,IF(J2950&lt;&gt;"",IF(J2950&gt;J2952,"W","L"),""),IF(K2950&gt;K2952,"W","L")),IF(L2950&gt;L2952,"W","L"))</f>
        <v/>
      </c>
      <c r="S2950" s="24"/>
      <c r="T2950" s="26"/>
    </row>
    <row r="2951" spans="1:32" ht="12.75" customHeight="1">
      <c r="A2951" s="324"/>
      <c r="B2951" s="308" t="str">
        <f ca="1">IF($B2943="Missing Player",$B2943,"")</f>
        <v/>
      </c>
      <c r="C2951" s="309"/>
      <c r="D2951" s="309"/>
      <c r="E2951" s="309"/>
      <c r="F2951" s="309"/>
      <c r="G2951" s="310"/>
      <c r="H2951" s="270"/>
      <c r="I2951" s="270"/>
      <c r="J2951" s="270"/>
      <c r="K2951" s="270"/>
      <c r="L2951" s="270"/>
      <c r="M2951" s="262"/>
      <c r="N2951" s="263"/>
      <c r="O2951" s="263"/>
      <c r="P2951" s="264"/>
      <c r="Q2951" s="139" t="str">
        <f ca="1">IF($Q2950&lt;&gt;"",IF($B2953&lt;&gt;"Missing Player",IF($Q2950="W",IF(SUM(IF($H2950&gt;$H2952,1,0),IF($I2950&gt;$I2952,1,0),IF($J2950&gt;$J2952,1,0),IF($K2950&gt;$K2952,1,0),IF($L2950&gt;$L2952,1,0))&lt;&gt;3,"Error",""),""),""),"")</f>
        <v/>
      </c>
      <c r="R2951" s="328" t="str">
        <f>$A2917</f>
        <v/>
      </c>
      <c r="S2951" s="328"/>
      <c r="T2951" s="328"/>
      <c r="U2951" s="328"/>
      <c r="V2951" s="328"/>
      <c r="W2951" s="328"/>
      <c r="X2951" s="256" t="str">
        <f>CONCATENATE("(",$B2916," vs ",$K2916,")")</f>
        <v>(F vs L)</v>
      </c>
      <c r="Y2951" s="256"/>
      <c r="Z2951" s="328" t="str">
        <f>$J2917</f>
        <v/>
      </c>
      <c r="AA2951" s="328"/>
      <c r="AB2951" s="328"/>
      <c r="AC2951" s="328"/>
      <c r="AD2951" s="328"/>
      <c r="AE2951" s="328"/>
      <c r="AF2951" s="43"/>
    </row>
    <row r="2952" spans="1:32" ht="12.75" customHeight="1">
      <c r="A2952" s="325" t="str">
        <f>K2916</f>
        <v>L</v>
      </c>
      <c r="B2952" s="311" t="str">
        <f ca="1">IF($B2924&lt;&gt;"",$B2924,"")</f>
        <v/>
      </c>
      <c r="C2952" s="312"/>
      <c r="D2952" s="312"/>
      <c r="E2952" s="312"/>
      <c r="F2952" s="312"/>
      <c r="G2952" s="313"/>
      <c r="H2952" s="265"/>
      <c r="I2952" s="265"/>
      <c r="J2952" s="265"/>
      <c r="K2952" s="265"/>
      <c r="L2952" s="265" t="str">
        <f ca="1">IF($B2945&lt;&gt;"",IF(AND($B2945="Missing Player",$G2954=2,$J2954=2),0,IF(AND($B2943="Missing Player",$G2954=2,$J2954=2),11,"")),"")</f>
        <v/>
      </c>
      <c r="M2952" s="267" t="s">
        <v>1237</v>
      </c>
      <c r="N2952" s="268"/>
      <c r="O2952" s="268"/>
      <c r="P2952" s="269"/>
      <c r="Q2952" s="138" t="str">
        <f ca="1">IF(Q2950&lt;&gt;"",IF(Q2950="W","L","W"),"")</f>
        <v/>
      </c>
      <c r="R2952" s="43"/>
      <c r="S2952" s="43"/>
      <c r="T2952" s="43"/>
      <c r="U2952" s="43"/>
      <c r="V2952" s="43"/>
      <c r="W2952" s="43"/>
      <c r="X2952" s="43"/>
      <c r="Y2952" s="43"/>
      <c r="Z2952" s="43"/>
      <c r="AA2952" s="43"/>
      <c r="AB2952" s="43"/>
      <c r="AC2952" s="43"/>
      <c r="AD2952" s="43"/>
      <c r="AE2952" s="43"/>
      <c r="AF2952" s="43"/>
    </row>
    <row r="2953" spans="1:32" ht="12.75" customHeight="1">
      <c r="A2953" s="324"/>
      <c r="B2953" s="308" t="str">
        <f ca="1">IF($B2945="Missing Player",$B2945,"")</f>
        <v/>
      </c>
      <c r="C2953" s="309"/>
      <c r="D2953" s="309"/>
      <c r="E2953" s="309"/>
      <c r="F2953" s="309"/>
      <c r="G2953" s="310"/>
      <c r="H2953" s="270"/>
      <c r="I2953" s="270"/>
      <c r="J2953" s="266"/>
      <c r="K2953" s="266"/>
      <c r="L2953" s="266"/>
      <c r="M2953" s="267"/>
      <c r="N2953" s="268"/>
      <c r="O2953" s="268"/>
      <c r="P2953" s="269"/>
      <c r="Q2953" s="139" t="str">
        <f ca="1">IF($Q2952&lt;&gt;"",IF($B2951&lt;&gt;"Missing Player",IF($Q2952="W",IF(SUM(IF($H2952&gt;$H2950,1,0),IF($I2952&gt;$I2950,1,0),IF($J2952&gt;$J2950,1,0),IF($K2952&gt;$K2950,1,0),IF($L2952&gt;$L2950,1,0))&lt;&gt;3,"Error",""),""),""),"")</f>
        <v/>
      </c>
      <c r="R2953" s="43" t="str">
        <f>A2941</f>
        <v>4th Singles</v>
      </c>
      <c r="S2953" s="43"/>
      <c r="T2953" s="43"/>
      <c r="U2953" s="43"/>
      <c r="V2953" s="43"/>
      <c r="W2953" s="43"/>
      <c r="X2953" s="43"/>
      <c r="Y2953" s="43"/>
      <c r="Z2953" s="43"/>
      <c r="AA2953" s="43"/>
      <c r="AB2953" s="43"/>
      <c r="AC2953" s="43"/>
      <c r="AD2953" s="43"/>
      <c r="AE2953" s="43"/>
      <c r="AF2953" s="43"/>
    </row>
    <row r="2954" spans="1:32" ht="12.75" customHeight="1">
      <c r="G2954" s="66">
        <f ca="1">COUNTIF($Q2922:$Q2922,"W")+COUNTIF($Q2929:$Q2929,"W")+COUNTIF($Q2936:$Q2936,"W")+COUNTIF($Q2943:$Q2943,"W")</f>
        <v>0</v>
      </c>
      <c r="J2954" s="66">
        <f ca="1">COUNTIF($Q2924:$Q2924,"W")+COUNTIF($Q2931:$Q2931,"W")+COUNTIF($Q2938:$Q2938,"W")+COUNTIF($Q2945:$Q2945,"W")</f>
        <v>0</v>
      </c>
      <c r="R2954" s="60" t="s">
        <v>1228</v>
      </c>
      <c r="S2954" s="339" t="s">
        <v>1126</v>
      </c>
      <c r="T2954" s="340"/>
      <c r="U2954" s="340"/>
      <c r="V2954" s="340"/>
      <c r="W2954" s="340"/>
      <c r="X2954" s="341"/>
      <c r="Y2954" s="60">
        <v>1</v>
      </c>
      <c r="Z2954" s="60">
        <v>2</v>
      </c>
      <c r="AA2954" s="60">
        <v>3</v>
      </c>
      <c r="AB2954" s="60">
        <v>4</v>
      </c>
      <c r="AC2954" s="60">
        <v>5</v>
      </c>
      <c r="AD2954" s="342"/>
      <c r="AE2954" s="343"/>
      <c r="AF2954" s="344"/>
    </row>
    <row r="2955" spans="1:32" ht="12.75" customHeight="1" thickBot="1">
      <c r="F2955" s="246" t="s">
        <v>1238</v>
      </c>
      <c r="G2955" s="246"/>
      <c r="H2955" s="246"/>
      <c r="I2955" s="246"/>
      <c r="J2955" s="246"/>
      <c r="K2955" s="246"/>
      <c r="R2955" s="300" t="str">
        <f>B2916</f>
        <v>F</v>
      </c>
      <c r="S2955" s="331" t="str">
        <f ca="1">IF($B2943&lt;&gt;"",$B2943,"")</f>
        <v/>
      </c>
      <c r="T2955" s="353"/>
      <c r="U2955" s="353"/>
      <c r="V2955" s="353"/>
      <c r="W2955" s="353"/>
      <c r="X2955" s="354"/>
      <c r="Y2955" s="329"/>
      <c r="Z2955" s="329"/>
      <c r="AA2955" s="351"/>
      <c r="AB2955" s="351"/>
      <c r="AC2955" s="351"/>
      <c r="AD2955" s="345"/>
      <c r="AE2955" s="346"/>
      <c r="AF2955" s="347"/>
    </row>
    <row r="2956" spans="1:32" ht="12.75" customHeight="1">
      <c r="A2956" s="22"/>
      <c r="B2956" s="22"/>
      <c r="C2956" s="22"/>
      <c r="D2956" s="22"/>
      <c r="E2956" s="22"/>
      <c r="G2956" s="304" t="str">
        <f>B2916</f>
        <v>F</v>
      </c>
      <c r="H2956" s="305"/>
      <c r="I2956" s="302" t="str">
        <f>K2916</f>
        <v>L</v>
      </c>
      <c r="J2956" s="303"/>
      <c r="L2956" s="22"/>
      <c r="M2956" s="22"/>
      <c r="N2956" s="22"/>
      <c r="O2956" s="22"/>
      <c r="P2956" s="22"/>
      <c r="R2956" s="301"/>
      <c r="S2956" s="355"/>
      <c r="T2956" s="356"/>
      <c r="U2956" s="356"/>
      <c r="V2956" s="356"/>
      <c r="W2956" s="356"/>
      <c r="X2956" s="357"/>
      <c r="Y2956" s="338"/>
      <c r="Z2956" s="338"/>
      <c r="AA2956" s="352"/>
      <c r="AB2956" s="352"/>
      <c r="AC2956" s="352"/>
      <c r="AD2956" s="348"/>
      <c r="AE2956" s="349"/>
      <c r="AF2956" s="350"/>
    </row>
    <row r="2957" spans="1:32" ht="12.75" customHeight="1" thickBot="1">
      <c r="A2957" s="2" t="s">
        <v>1228</v>
      </c>
      <c r="B2957" s="53" t="str">
        <f>B2916</f>
        <v>F</v>
      </c>
      <c r="C2957" s="3" t="s">
        <v>1226</v>
      </c>
      <c r="F2957" s="66" t="str">
        <f>CONCATENATE($B2916,"-",$K2916)</f>
        <v>F-L</v>
      </c>
      <c r="G2957" s="320" t="str">
        <f ca="1">IF(OR(Q2922&lt;&gt;"",Q2929&lt;&gt;"",Q2936&lt;&gt;"",Q2943&lt;&gt;"",Q2950&lt;&gt;""),COUNTIF(Q2922:Q2922,"W")+COUNTIF(Q2929:Q2929,"W")+COUNTIF(Q2936:Q2936,"W")+COUNTIF(Q2943:Q2943,"W")+COUNTIF(Q2950:Q2950,"W"),"")</f>
        <v/>
      </c>
      <c r="H2957" s="321"/>
      <c r="I2957" s="322" t="str">
        <f ca="1">IF(OR(Q2924&lt;&gt;"",Q2931&lt;&gt;"",Q2938&lt;&gt;"",Q2945&lt;&gt;"",Q2952&lt;&gt;""),COUNTIF(Q2924:Q2924,"W")+COUNTIF(Q2931:Q2931,"W")+COUNTIF(Q2938:Q2938,"W")+COUNTIF(Q2945:Q2945,"W")+COUNTIF(Q2952:Q2952,"W"),"")</f>
        <v/>
      </c>
      <c r="J2957" s="323"/>
      <c r="L2957" s="2" t="s">
        <v>1228</v>
      </c>
      <c r="M2957" s="53" t="str">
        <f>K2916</f>
        <v>L</v>
      </c>
      <c r="N2957" s="3" t="s">
        <v>1226</v>
      </c>
      <c r="R2957" s="300" t="str">
        <f>K2916</f>
        <v>L</v>
      </c>
      <c r="S2957" s="331" t="str">
        <f ca="1">IF($B2945&lt;&gt;"",$B2945,"")</f>
        <v/>
      </c>
      <c r="T2957" s="332"/>
      <c r="U2957" s="332"/>
      <c r="V2957" s="332"/>
      <c r="W2957" s="332"/>
      <c r="X2957" s="333"/>
      <c r="Y2957" s="329"/>
      <c r="Z2957" s="329"/>
      <c r="AA2957" s="351"/>
      <c r="AB2957" s="351"/>
      <c r="AC2957" s="351"/>
      <c r="AD2957" s="363" t="s">
        <v>1237</v>
      </c>
      <c r="AE2957" s="358"/>
      <c r="AF2957" s="359"/>
    </row>
    <row r="2958" spans="1:32" ht="12.75" customHeight="1">
      <c r="F2958" s="25" t="s">
        <v>3996</v>
      </c>
      <c r="G2958" s="23"/>
      <c r="H2958" s="23"/>
      <c r="I2958" s="23"/>
      <c r="J2958" s="23"/>
      <c r="K2958" s="24"/>
      <c r="R2958" s="330"/>
      <c r="S2958" s="334"/>
      <c r="T2958" s="335"/>
      <c r="U2958" s="335"/>
      <c r="V2958" s="335"/>
      <c r="W2958" s="335"/>
      <c r="X2958" s="336"/>
      <c r="Y2958" s="330"/>
      <c r="Z2958" s="330"/>
      <c r="AA2958" s="330"/>
      <c r="AB2958" s="330"/>
      <c r="AC2958" s="330"/>
      <c r="AD2958" s="360"/>
      <c r="AE2958" s="361"/>
      <c r="AF2958" s="362"/>
    </row>
    <row r="2959" spans="1:32" ht="12.75" customHeight="1">
      <c r="R2959" s="1"/>
      <c r="S2959" s="110"/>
      <c r="T2959" s="110"/>
      <c r="U2959" s="110"/>
      <c r="V2959" s="110"/>
      <c r="W2959" s="110"/>
      <c r="X2959" s="111"/>
      <c r="Y2959" s="111"/>
      <c r="Z2959" s="111"/>
      <c r="AA2959" s="111"/>
    </row>
    <row r="2960" spans="1:32" ht="12.75" customHeight="1">
      <c r="F2960" s="246" t="s">
        <v>4929</v>
      </c>
      <c r="G2960" s="246"/>
      <c r="H2960" s="246"/>
      <c r="I2960" s="246"/>
      <c r="R2960" s="1"/>
      <c r="S2960" s="110"/>
      <c r="T2960" s="110"/>
      <c r="U2960" s="110"/>
      <c r="V2960" s="110"/>
      <c r="W2960" s="110"/>
      <c r="X2960" s="111"/>
      <c r="Y2960" s="111"/>
      <c r="Z2960" s="111"/>
      <c r="AA2960" s="111"/>
    </row>
    <row r="2961" spans="1:32" ht="12.75" customHeight="1">
      <c r="F2961" s="246" t="s">
        <v>4930</v>
      </c>
      <c r="G2961" s="246"/>
      <c r="H2961" s="246"/>
      <c r="I2961" s="246"/>
      <c r="R2961" s="1"/>
      <c r="S2961" s="110"/>
      <c r="T2961" s="110"/>
      <c r="U2961" s="110"/>
      <c r="V2961" s="110"/>
      <c r="W2961" s="110"/>
      <c r="X2961" s="111"/>
      <c r="Y2961" s="111"/>
      <c r="Z2961" s="111"/>
      <c r="AA2961" s="111"/>
    </row>
    <row r="2962" spans="1:32" ht="12.75" customHeight="1">
      <c r="K2962" s="281" t="s">
        <v>1244</v>
      </c>
      <c r="L2962" s="281"/>
      <c r="M2962" s="281"/>
      <c r="N2962" s="281"/>
      <c r="O2962" s="281"/>
      <c r="P2962" s="281"/>
      <c r="R2962" s="1"/>
      <c r="S2962" s="110"/>
      <c r="T2962" s="110"/>
      <c r="U2962" s="110"/>
      <c r="V2962" s="110"/>
      <c r="W2962" s="110"/>
      <c r="X2962" s="111"/>
      <c r="Y2962" s="111"/>
      <c r="Z2962" s="111"/>
      <c r="AA2962" s="111"/>
    </row>
    <row r="2963" spans="1:32" ht="12.75" customHeight="1">
      <c r="A2963" s="12" t="s">
        <v>1229</v>
      </c>
      <c r="B2963" s="11"/>
      <c r="C2963" s="11"/>
      <c r="D2963" s="11" t="str">
        <f>Draw!$B$1</f>
        <v>Enter Division Name</v>
      </c>
      <c r="E2963" s="11"/>
      <c r="F2963" s="7"/>
      <c r="G2963" s="6"/>
      <c r="H2963" s="7"/>
      <c r="I2963" s="11"/>
      <c r="J2963" s="11"/>
      <c r="K2963" s="11"/>
      <c r="L2963" s="11"/>
      <c r="M2963" s="281"/>
      <c r="N2963" s="281"/>
      <c r="O2963" s="281"/>
      <c r="P2963" s="281"/>
      <c r="R2963" s="1"/>
      <c r="S2963" s="110"/>
      <c r="T2963" s="110"/>
      <c r="U2963" s="110"/>
      <c r="V2963" s="110"/>
      <c r="W2963" s="110"/>
      <c r="X2963" s="111"/>
      <c r="Y2963" s="111"/>
      <c r="Z2963" s="111"/>
      <c r="AA2963" s="111"/>
    </row>
    <row r="2964" spans="1:32" ht="12.75" customHeight="1">
      <c r="A2964" s="2" t="s">
        <v>1230</v>
      </c>
      <c r="D2964" s="43" t="str">
        <f>Draw!$D$1</f>
        <v>Enter Hosting Location (City, ST)</v>
      </c>
      <c r="J2964" s="43" t="str">
        <f ca="1">$J$6</f>
        <v>[NCTTA Teams Template (v2.06).xlsx]</v>
      </c>
      <c r="R2964" s="1"/>
      <c r="S2964" s="110"/>
      <c r="T2964" s="110"/>
      <c r="U2964" s="110"/>
      <c r="V2964" s="110"/>
      <c r="W2964" s="110"/>
      <c r="X2964" s="111"/>
      <c r="Y2964" s="111"/>
      <c r="Z2964" s="111"/>
      <c r="AA2964" s="111"/>
    </row>
    <row r="2965" spans="1:32" ht="12.75" customHeight="1">
      <c r="A2965" s="2" t="s">
        <v>1231</v>
      </c>
      <c r="D2965" s="337" t="str">
        <f>Draw!$P$1</f>
        <v>Enter Date</v>
      </c>
      <c r="E2965" s="337"/>
      <c r="F2965" s="337"/>
      <c r="G2965" s="337"/>
      <c r="J2965" s="280" t="str">
        <f>CHOOSE(Draw!$T$1,"Round 10, Match 5","","","","","","","","","","")</f>
        <v/>
      </c>
      <c r="K2965" s="280"/>
      <c r="L2965" s="280"/>
      <c r="M2965" s="276" t="str">
        <f>IF(AND($J2965&lt;&gt;"",Draw!$AC$10&lt;&gt;"",Draw!$AC$13&lt;&gt;""),Draw!$AC$10+TIME(0,VALUE(MID($J2965,7,FIND(",",$J2965)-FIND(" ",$J2965)-1)-1)*Draw!$AC$13,0),"")</f>
        <v/>
      </c>
      <c r="N2965" s="276"/>
      <c r="O2965" s="157" t="str">
        <f>$F3008</f>
        <v>G-I</v>
      </c>
      <c r="R2965" s="1"/>
      <c r="S2965" s="110"/>
      <c r="T2965" s="110"/>
      <c r="U2965" s="110"/>
      <c r="V2965" s="110"/>
      <c r="W2965" s="110"/>
      <c r="X2965" s="111"/>
      <c r="Y2965" s="111"/>
      <c r="Z2965" s="111"/>
      <c r="AA2965" s="111"/>
    </row>
    <row r="2966" spans="1:32" ht="12.75" customHeight="1">
      <c r="A2966" s="14"/>
      <c r="B2966" s="15"/>
      <c r="C2966" s="15"/>
      <c r="D2966" s="15"/>
      <c r="E2966" s="15"/>
      <c r="F2966" s="14"/>
      <c r="G2966" s="14"/>
      <c r="H2966" s="16"/>
      <c r="I2966" s="14"/>
      <c r="J2966" s="15"/>
      <c r="K2966" s="15"/>
      <c r="L2966" s="15"/>
      <c r="M2966" s="15"/>
      <c r="N2966" s="15"/>
      <c r="O2966" s="364" t="str">
        <f>IF(OR(AND(VLOOKUP($B2967,$AM$1:$AX$12,12,FALSE)="C",VLOOKUP($K2967,$AM$1:$AX$12,12,FALSE)="C"),AND(VLOOKUP($B2967,$AM$1:$AX$12,12,FALSE)="W",VLOOKUP($K2967,$AM$1:$AX$12,12,FALSE)="W")),"Official",IF(AND($A2968="",$J2968=""),"","Scrimmage"))</f>
        <v/>
      </c>
      <c r="P2966" s="364"/>
      <c r="R2966" s="1"/>
      <c r="S2966" s="110"/>
      <c r="T2966" s="110"/>
      <c r="U2966" s="110"/>
      <c r="V2966" s="110"/>
      <c r="W2966" s="110"/>
      <c r="X2966" s="111"/>
      <c r="Y2966" s="111"/>
      <c r="Z2966" s="111"/>
      <c r="AA2966" s="111"/>
    </row>
    <row r="2967" spans="1:32" ht="12.75" customHeight="1">
      <c r="A2967" s="17" t="s">
        <v>1228</v>
      </c>
      <c r="B2967" s="119" t="str">
        <f>CHOOSE(Draw!$T$1,"G","E","G","G","H","H","H","H","H","G","D")</f>
        <v>G</v>
      </c>
      <c r="C2967" s="135">
        <f>VLOOKUP($B2967,$AM$1:$AN$12,2)</f>
        <v>7</v>
      </c>
      <c r="D2967" s="13"/>
      <c r="E2967" s="13"/>
      <c r="F2967" s="10"/>
      <c r="H2967" s="19" t="s">
        <v>1232</v>
      </c>
      <c r="J2967" s="17" t="s">
        <v>1228</v>
      </c>
      <c r="K2967" s="119" t="str">
        <f>CHOOSE(Draw!$T$1,"J","K","I","K","K","K","K","K","K","L","L")</f>
        <v>I</v>
      </c>
      <c r="L2967" s="135">
        <f>VLOOKUP($K2967,$AM$1:$AN$12,2)</f>
        <v>9</v>
      </c>
      <c r="M2967" s="13"/>
      <c r="N2967" s="13"/>
      <c r="O2967" s="18"/>
      <c r="P2967" s="274"/>
      <c r="Q2967" s="275"/>
      <c r="R2967" s="1"/>
      <c r="S2967" s="110"/>
      <c r="T2967" s="110"/>
      <c r="U2967" s="110"/>
      <c r="V2967" s="110"/>
      <c r="W2967" s="110"/>
      <c r="X2967" s="111"/>
      <c r="Y2967" s="111"/>
      <c r="Z2967" s="111"/>
      <c r="AA2967" s="111"/>
    </row>
    <row r="2968" spans="1:32" ht="12.75" customHeight="1">
      <c r="A2968" s="277" t="str">
        <f>IF(VLOOKUP($B2967,Draw!$A$4:$B$27,2)&lt;&gt;0,VLOOKUP($B2967,Draw!$A$4:$B$27,2),"")</f>
        <v/>
      </c>
      <c r="B2968" s="278"/>
      <c r="C2968" s="278"/>
      <c r="D2968" s="278"/>
      <c r="E2968" s="278"/>
      <c r="F2968" s="279"/>
      <c r="G2968" s="306" t="s">
        <v>4210</v>
      </c>
      <c r="H2968" s="289"/>
      <c r="I2968" s="307"/>
      <c r="J2968" s="277" t="str">
        <f>IF(VLOOKUP($K2967,Draw!$A$4:$B$27,2)&lt;&gt;0,VLOOKUP($K2967,Draw!$A$4:$B$27,2),"")</f>
        <v/>
      </c>
      <c r="K2968" s="278"/>
      <c r="L2968" s="278"/>
      <c r="M2968" s="278"/>
      <c r="N2968" s="278"/>
      <c r="O2968" s="279"/>
      <c r="P2968" s="15"/>
      <c r="R2968" s="1"/>
      <c r="S2968" s="110"/>
      <c r="T2968" s="110"/>
      <c r="U2968" s="110"/>
      <c r="V2968" s="110"/>
      <c r="W2968" s="110"/>
      <c r="X2968" s="111"/>
      <c r="Y2968" s="111"/>
      <c r="Z2968" s="111"/>
      <c r="AA2968" s="111"/>
    </row>
    <row r="2969" spans="1:32" ht="12.75" customHeight="1">
      <c r="A2969" s="14"/>
      <c r="B2969" s="15"/>
      <c r="C2969" s="15"/>
      <c r="D2969" s="15"/>
      <c r="E2969" s="15"/>
      <c r="F2969" s="14"/>
      <c r="G2969" s="288" t="str">
        <f>"Page "&amp;VALUE(RIGHT($G2968,LEN($G2968)-SEARCH("-",$G2968)))/2</f>
        <v>Page 59</v>
      </c>
      <c r="H2969" s="289"/>
      <c r="I2969" s="289"/>
      <c r="J2969" s="15"/>
      <c r="K2969" s="15"/>
      <c r="L2969" s="15"/>
      <c r="M2969" s="15"/>
      <c r="N2969" s="15"/>
      <c r="O2969" s="15"/>
      <c r="P2969" s="15"/>
      <c r="R2969" s="1"/>
      <c r="S2969" s="110"/>
      <c r="T2969" s="110"/>
      <c r="U2969" s="110"/>
      <c r="V2969" s="110"/>
      <c r="W2969" s="110"/>
      <c r="X2969" s="111"/>
      <c r="Y2969" s="111"/>
      <c r="Z2969" s="111"/>
      <c r="AA2969" s="111"/>
      <c r="AF2969" s="27"/>
    </row>
    <row r="2970" spans="1:32" ht="12.75" customHeight="1">
      <c r="A2970" s="327" t="s">
        <v>1245</v>
      </c>
      <c r="B2970" s="327"/>
      <c r="C2970" s="327"/>
      <c r="D2970" s="327"/>
      <c r="E2970" s="327"/>
      <c r="F2970" s="327"/>
      <c r="G2970" s="327"/>
      <c r="H2970" s="327"/>
      <c r="I2970" s="327"/>
      <c r="J2970" s="327"/>
      <c r="K2970" s="327"/>
      <c r="L2970" s="327"/>
      <c r="M2970" s="327"/>
      <c r="N2970" s="327"/>
      <c r="O2970" s="327"/>
      <c r="P2970" s="327"/>
      <c r="Q2970" s="7"/>
      <c r="R2970" s="1"/>
      <c r="S2970" s="110"/>
      <c r="T2970" s="110"/>
      <c r="U2970" s="110"/>
      <c r="V2970" s="110"/>
      <c r="W2970" s="110"/>
      <c r="X2970" s="111"/>
      <c r="Y2970" s="111"/>
      <c r="Z2970" s="111"/>
      <c r="AA2970" s="111"/>
      <c r="AF2970" s="20"/>
    </row>
    <row r="2971" spans="1:32" ht="12.75" customHeight="1">
      <c r="A2971" s="21" t="s">
        <v>1233</v>
      </c>
      <c r="H2971" s="136" t="str">
        <f>IF($Q2973&lt;&gt;"",IF(AND(AND($H2973&gt;-1,$H2975&gt;-1),OR($H2973&gt;10,$H2975&gt;10),ABS($H2973-$H2975)&gt;1,IF(OR($H2973&gt;11,$H2975&gt;11),ABS($H2973-$H2975)=2,TRUE),$H2973=INT($H2973),$H2975=INT($H2975)),"","Error"),"")</f>
        <v/>
      </c>
      <c r="I2971" s="136" t="str">
        <f>IF($Q2973&lt;&gt;"",IF(AND(AND($I2973&gt;-1,$I2975&gt;-1),OR($I2973&gt;10,$I2975&gt;10),ABS($I2973-$I2975)&gt;1,IF(OR($I2973&gt;11,$I2975&gt;11),ABS($I2973-$I2975)=2,TRUE),$I2973=INT($I2973),$I2975=INT($I2975)),"","Error"),"")</f>
        <v/>
      </c>
      <c r="J2971" s="136" t="str">
        <f>IF($Q2973&lt;&gt;"",IF(AND(AND($J2973&gt;-1,$J2975&gt;-1),OR($J2973&gt;10,$J2975&gt;10),ABS($J2973-$J2975)&gt;1,IF(OR($J2973&gt;11,$J2975&gt;11),ABS($J2973-$J2975)=2,TRUE),$J2973=INT($J2973),$J2975=INT($J2975)),"","Error"),"")</f>
        <v/>
      </c>
      <c r="K2971" s="136" t="str">
        <f>IF($Q2973&lt;&gt;"",IF(AND($K2973&lt;&gt;"",$K2975&lt;&gt;""), IF(AND(AND($K2973&gt;-1,$K2975&gt;-1),OR($K2973&gt;10,$K2975&gt;10),ABS($K2973-$K2975)&gt;1,IF(OR($K2973&gt;11,$K2975&gt;11),ABS($K2973-$K2975)=2,TRUE),$K2973=INT($K2973),$K2975=INT($K2975)),"","Error"),""),"")</f>
        <v/>
      </c>
      <c r="L2971" s="136" t="str">
        <f>IF($Q2973&lt;&gt;"",IF(AND($L2973&lt;&gt;"",$L2975&lt;&gt;""), IF(AND(AND($L2973&gt;-1,$L2975&gt;-1),OR($L2973&gt;10,$L2975&gt;10),ABS($L2973-$L2975)&gt;1,IF(OR($L2973&gt;11,$L2975&gt;11),ABS($L2973-$L2975)=2,TRUE),$L2973=INT($L2973),$L2975=INT($L2975)),"","Error"),""),"")</f>
        <v/>
      </c>
      <c r="R2971" s="1"/>
      <c r="S2971" s="110"/>
      <c r="T2971" s="110"/>
      <c r="U2971" s="110"/>
      <c r="V2971" s="110"/>
      <c r="W2971" s="110"/>
      <c r="X2971" s="111"/>
      <c r="Y2971" s="111"/>
      <c r="Z2971" s="111"/>
      <c r="AA2971" s="111"/>
    </row>
    <row r="2972" spans="1:32" ht="12.75" customHeight="1">
      <c r="A2972" s="5" t="s">
        <v>1228</v>
      </c>
      <c r="B2972" s="290" t="s">
        <v>1126</v>
      </c>
      <c r="C2972" s="291"/>
      <c r="D2972" s="291"/>
      <c r="E2972" s="291"/>
      <c r="F2972" s="291"/>
      <c r="G2972" s="292"/>
      <c r="H2972" s="5">
        <v>1</v>
      </c>
      <c r="I2972" s="5">
        <v>2</v>
      </c>
      <c r="J2972" s="5">
        <v>3</v>
      </c>
      <c r="K2972" s="5">
        <v>4</v>
      </c>
      <c r="L2972" s="5">
        <v>5</v>
      </c>
      <c r="M2972" s="271"/>
      <c r="N2972" s="272"/>
      <c r="O2972" s="272"/>
      <c r="P2972" s="273"/>
      <c r="R2972" s="1"/>
      <c r="S2972" s="110"/>
      <c r="T2972" s="110"/>
      <c r="U2972" s="110"/>
      <c r="V2972" s="110"/>
      <c r="W2972" s="110"/>
      <c r="X2972" s="111"/>
      <c r="Y2972" s="111"/>
      <c r="Z2972" s="111"/>
      <c r="AA2972" s="111"/>
    </row>
    <row r="2973" spans="1:32" ht="12.75" customHeight="1">
      <c r="A2973" s="300" t="str">
        <f>B2967</f>
        <v>G</v>
      </c>
      <c r="B2973" s="293" t="str">
        <f ca="1">IF(AND(OFFSET($AO$1,$C2967-1,8,1,1),$A2968&lt;&gt;"",$J2968&lt;&gt;""),CHOOSE($C2967,$AO$1,$AO$2,$AO$3,$AO$4,$AO$5,$AO$6,$AO$7,$AO$8,$AO$9,$AO$10,$AO$11,$AO$12),"")</f>
        <v/>
      </c>
      <c r="C2973" s="294"/>
      <c r="D2973" s="294"/>
      <c r="E2973" s="294"/>
      <c r="F2973" s="294"/>
      <c r="G2973" s="294"/>
      <c r="H2973" s="265"/>
      <c r="I2973" s="265"/>
      <c r="J2973" s="265"/>
      <c r="K2973" s="265"/>
      <c r="L2973" s="265"/>
      <c r="M2973" s="297"/>
      <c r="N2973" s="298"/>
      <c r="O2973" s="298"/>
      <c r="P2973" s="299"/>
      <c r="Q2973" s="137" t="str">
        <f>IF($L2973=$L2975,IF($K2973=$K2975,IF($J2973&lt;&gt;"",IF($J2973&gt;$J2975,"W","L"),""),IF($K2973&gt;$K2975,"W","L")),IF($L2973&gt;$L2975,"W","L"))</f>
        <v/>
      </c>
      <c r="R2973" s="1"/>
      <c r="S2973" s="110"/>
      <c r="T2973" s="110"/>
      <c r="U2973" s="110"/>
      <c r="V2973" s="110"/>
      <c r="W2973" s="110"/>
      <c r="X2973" s="111"/>
      <c r="Y2973" s="111"/>
      <c r="Z2973" s="111"/>
      <c r="AA2973" s="111"/>
    </row>
    <row r="2974" spans="1:32" ht="12.75" customHeight="1">
      <c r="A2974" s="301"/>
      <c r="B2974" s="295"/>
      <c r="C2974" s="296"/>
      <c r="D2974" s="296"/>
      <c r="E2974" s="296"/>
      <c r="F2974" s="296"/>
      <c r="G2974" s="296"/>
      <c r="H2974" s="270"/>
      <c r="I2974" s="270"/>
      <c r="J2974" s="270"/>
      <c r="K2974" s="270"/>
      <c r="L2974" s="270"/>
      <c r="M2974" s="297"/>
      <c r="N2974" s="298"/>
      <c r="O2974" s="298"/>
      <c r="P2974" s="299"/>
      <c r="Q2974" s="139" t="str">
        <f>IF($Q2973&lt;&gt;"",IF($Q2973="W",IF(SUM(IF($H2973&gt;$H2975,1,0),IF($I2973&gt;$I2975,1,0),IF($J2973&gt;$J2975,1,0),IF($K2973&gt;$K2975,1,0),IF($L2973&gt;$L2975,1,0))&lt;&gt;3,"Error",""),""),"")</f>
        <v/>
      </c>
      <c r="R2974" s="328" t="str">
        <f>$A2968</f>
        <v/>
      </c>
      <c r="S2974" s="328"/>
      <c r="T2974" s="328"/>
      <c r="U2974" s="328"/>
      <c r="V2974" s="328"/>
      <c r="W2974" s="328"/>
      <c r="X2974" s="256" t="str">
        <f>CONCATENATE("(",$B2967," vs ",$K2967,")")</f>
        <v>(G vs I)</v>
      </c>
      <c r="Y2974" s="256"/>
      <c r="Z2974" s="328" t="str">
        <f>$J2968</f>
        <v/>
      </c>
      <c r="AA2974" s="328"/>
      <c r="AB2974" s="328"/>
      <c r="AC2974" s="328"/>
      <c r="AD2974" s="328"/>
      <c r="AE2974" s="328"/>
      <c r="AF2974" s="43"/>
    </row>
    <row r="2975" spans="1:32" ht="12.75" customHeight="1">
      <c r="A2975" s="300" t="str">
        <f>K2967</f>
        <v>I</v>
      </c>
      <c r="B2975" s="293" t="str">
        <f ca="1">IF(AND(OFFSET($AO$1,$L2967-1,8,1,1),$A2968&lt;&gt;"",$J2968&lt;&gt;""),CHOOSE($L2967,$AO$1,$AO$2,$AO$3,$AO$4,$AO$5,$AO$6,$AO$7,$AO$8,$AO$9,$AO$10,$AO$11,$AO$12),"")</f>
        <v/>
      </c>
      <c r="C2975" s="294"/>
      <c r="D2975" s="294"/>
      <c r="E2975" s="294"/>
      <c r="F2975" s="294"/>
      <c r="G2975" s="294"/>
      <c r="H2975" s="265"/>
      <c r="I2975" s="265"/>
      <c r="J2975" s="265"/>
      <c r="K2975" s="265"/>
      <c r="L2975" s="265"/>
      <c r="M2975" s="267" t="s">
        <v>1237</v>
      </c>
      <c r="N2975" s="268"/>
      <c r="O2975" s="268"/>
      <c r="P2975" s="269"/>
      <c r="Q2975" s="137" t="str">
        <f>IF($Q2973&lt;&gt;"",IF($Q2973="W","L","W"),"")</f>
        <v/>
      </c>
      <c r="R2975" s="43"/>
      <c r="S2975" s="43"/>
      <c r="T2975" s="43"/>
      <c r="U2975" s="43"/>
      <c r="V2975" s="43"/>
      <c r="W2975" s="43"/>
      <c r="X2975" s="43"/>
      <c r="Y2975" s="43"/>
      <c r="Z2975" s="43"/>
      <c r="AA2975" s="43"/>
      <c r="AB2975" s="43"/>
      <c r="AC2975" s="43"/>
      <c r="AD2975" s="43"/>
      <c r="AE2975" s="43"/>
      <c r="AF2975" s="43"/>
    </row>
    <row r="2976" spans="1:32" ht="12.75" customHeight="1">
      <c r="A2976" s="301"/>
      <c r="B2976" s="295"/>
      <c r="C2976" s="296"/>
      <c r="D2976" s="296"/>
      <c r="E2976" s="296"/>
      <c r="F2976" s="296"/>
      <c r="G2976" s="296"/>
      <c r="H2976" s="270"/>
      <c r="I2976" s="270"/>
      <c r="J2976" s="266"/>
      <c r="K2976" s="266"/>
      <c r="L2976" s="266"/>
      <c r="M2976" s="267"/>
      <c r="N2976" s="268"/>
      <c r="O2976" s="268"/>
      <c r="P2976" s="269"/>
      <c r="Q2976" s="139" t="str">
        <f>IF($Q2975&lt;&gt;"",IF($Q2975="W",IF(SUM(IF($H2975&gt;$H2973,1,0),IF($I2975&gt;$I2973,1,0),IF($J2975&gt;$J2973,1,0),IF($K2975&gt;$K2973,1,0),IF($L2975&gt;$L2973,1,0))&lt;&gt;3,"Error",""),""),"")</f>
        <v/>
      </c>
      <c r="R2976" s="43" t="str">
        <f>$A2978</f>
        <v>2nd Singles</v>
      </c>
      <c r="S2976" s="43"/>
      <c r="T2976" s="43"/>
      <c r="U2976" s="43"/>
      <c r="V2976" s="43"/>
      <c r="W2976" s="43"/>
      <c r="X2976" s="43"/>
      <c r="Y2976" s="43"/>
      <c r="Z2976" s="43"/>
      <c r="AA2976" s="43"/>
      <c r="AB2976" s="43"/>
      <c r="AC2976" s="43"/>
      <c r="AD2976" s="43"/>
      <c r="AE2976" s="43"/>
      <c r="AF2976" s="43"/>
    </row>
    <row r="2977" spans="1:32" ht="12.75" customHeight="1">
      <c r="Q2977" s="7"/>
      <c r="R2977" s="60" t="s">
        <v>1228</v>
      </c>
      <c r="S2977" s="339" t="s">
        <v>1126</v>
      </c>
      <c r="T2977" s="340"/>
      <c r="U2977" s="340"/>
      <c r="V2977" s="340"/>
      <c r="W2977" s="340"/>
      <c r="X2977" s="341"/>
      <c r="Y2977" s="60">
        <v>1</v>
      </c>
      <c r="Z2977" s="60">
        <v>2</v>
      </c>
      <c r="AA2977" s="60">
        <v>3</v>
      </c>
      <c r="AB2977" s="60">
        <v>4</v>
      </c>
      <c r="AC2977" s="60">
        <v>5</v>
      </c>
      <c r="AD2977" s="342"/>
      <c r="AE2977" s="343"/>
      <c r="AF2977" s="344"/>
    </row>
    <row r="2978" spans="1:32" ht="12.75" customHeight="1">
      <c r="A2978" s="21" t="s">
        <v>1234</v>
      </c>
      <c r="H2978" s="136" t="str">
        <f>IF($Q2980&lt;&gt;"",IF(AND(AND($H2980&gt;-1,$H2982&gt;-1),OR($H2980&gt;10,$H2982&gt;10),ABS($H2980-$H2982)&gt;1,IF(OR($H2980&gt;11,$H2982&gt;11),ABS($H2980-$H2982)=2,TRUE),$H2980=INT($H2980),$H2982=INT($H2982)),"","Error"),"")</f>
        <v/>
      </c>
      <c r="I2978" s="136" t="str">
        <f>IF($Q2980&lt;&gt;"",IF(AND(AND($I2980&gt;-1,$I2982&gt;-1),OR($I2980&gt;10,$I2982&gt;10),ABS($I2980-$I2982)&gt;1,IF(OR($I2980&gt;11,$I2982&gt;11),ABS($I2980-$I2982)=2,TRUE),$I2980=INT($I2980),$I2982=INT($I2982)),"","Error"),"")</f>
        <v/>
      </c>
      <c r="J2978" s="136" t="str">
        <f>IF($Q2980&lt;&gt;"",IF(AND(AND($J2980&gt;-1,$J2982&gt;-1),OR($J2980&gt;10,$J2982&gt;10),ABS($J2980-$J2982)&gt;1,IF(OR($J2980&gt;11,$J2982&gt;11),ABS($J2980-$J2982)=2,TRUE),$J2980=INT($J2980),$J2982=INT($J2982)),"","Error"),"")</f>
        <v/>
      </c>
      <c r="K2978" s="136" t="str">
        <f>IF($Q2980&lt;&gt;"",IF(AND($K2980&lt;&gt;"",$K2982&lt;&gt;""), IF(AND(AND($K2980&gt;-1,$K2982&gt;-1),OR($K2980&gt;10,$K2982&gt;10),ABS($K2980-$K2982)&gt;1,IF(OR($K2980&gt;11,$K2982&gt;11),ABS($K2980-$K2982)=2,TRUE),$K2980=INT($K2980),$K2982=INT($K2982)),"","Error"),""),"")</f>
        <v/>
      </c>
      <c r="L2978" s="136" t="str">
        <f>IF($Q2980&lt;&gt;"",IF(AND($L2980&lt;&gt;"",$L2982&lt;&gt;""), IF(AND(AND($L2980&gt;-1,$L2982&gt;-1),OR($L2980&gt;10,$L2982&gt;10),ABS($L2980-$L2982)&gt;1,IF(OR($L2980&gt;11,$L2982&gt;11),ABS($L2980-$L2982)=2,TRUE),$L2980=INT($L2980),$L2982=INT($L2982)),"","Error"),""),"")</f>
        <v/>
      </c>
      <c r="Q2978" s="7"/>
      <c r="R2978" s="300" t="str">
        <f>$B2967</f>
        <v>G</v>
      </c>
      <c r="S2978" s="331" t="str">
        <f ca="1">IF($B2980&lt;&gt;"",$B2980,"")</f>
        <v/>
      </c>
      <c r="T2978" s="332"/>
      <c r="U2978" s="332"/>
      <c r="V2978" s="332"/>
      <c r="W2978" s="332"/>
      <c r="X2978" s="333"/>
      <c r="Y2978" s="329"/>
      <c r="Z2978" s="329"/>
      <c r="AA2978" s="329"/>
      <c r="AB2978" s="329"/>
      <c r="AC2978" s="329"/>
      <c r="AD2978" s="345"/>
      <c r="AE2978" s="358"/>
      <c r="AF2978" s="359"/>
    </row>
    <row r="2979" spans="1:32" ht="12.75" customHeight="1">
      <c r="A2979" s="5" t="s">
        <v>1228</v>
      </c>
      <c r="B2979" s="290" t="s">
        <v>1126</v>
      </c>
      <c r="C2979" s="291"/>
      <c r="D2979" s="291"/>
      <c r="E2979" s="291"/>
      <c r="F2979" s="291"/>
      <c r="G2979" s="292"/>
      <c r="H2979" s="5">
        <v>1</v>
      </c>
      <c r="I2979" s="5">
        <v>2</v>
      </c>
      <c r="J2979" s="5">
        <v>3</v>
      </c>
      <c r="K2979" s="5">
        <v>4</v>
      </c>
      <c r="L2979" s="5">
        <v>5</v>
      </c>
      <c r="M2979" s="271"/>
      <c r="N2979" s="272"/>
      <c r="O2979" s="272"/>
      <c r="P2979" s="273"/>
      <c r="Q2979" s="7"/>
      <c r="R2979" s="330"/>
      <c r="S2979" s="334"/>
      <c r="T2979" s="335"/>
      <c r="U2979" s="335"/>
      <c r="V2979" s="335"/>
      <c r="W2979" s="335"/>
      <c r="X2979" s="336"/>
      <c r="Y2979" s="330"/>
      <c r="Z2979" s="330"/>
      <c r="AA2979" s="330"/>
      <c r="AB2979" s="330"/>
      <c r="AC2979" s="330"/>
      <c r="AD2979" s="360"/>
      <c r="AE2979" s="361"/>
      <c r="AF2979" s="362"/>
    </row>
    <row r="2980" spans="1:32" ht="12.75" customHeight="1">
      <c r="A2980" s="300" t="str">
        <f>B2967</f>
        <v>G</v>
      </c>
      <c r="B2980" s="293" t="str">
        <f ca="1">IF(AND(OFFSET($AO$1,$C2967-1,8,1,1),$A2968&lt;&gt;"",$J2968&lt;&gt;""),CHOOSE($C2967,$AP$1,$AP$2,$AP$3,$AP$4,$AP$5,$AP$6,$AP$7,$AP$8,$AP$9,$AP$10,$AP$11,$AP$12),"")</f>
        <v/>
      </c>
      <c r="C2980" s="294"/>
      <c r="D2980" s="294"/>
      <c r="E2980" s="294"/>
      <c r="F2980" s="294"/>
      <c r="G2980" s="294"/>
      <c r="H2980" s="265"/>
      <c r="I2980" s="265"/>
      <c r="J2980" s="265"/>
      <c r="K2980" s="265"/>
      <c r="L2980" s="265"/>
      <c r="M2980" s="262" t="str">
        <f ca="1">IF(OR(AND($B2973&lt;&gt;"",$B2980&lt;&gt;"",$C2998&lt;=$B2998),AND($B2975&lt;&gt;"",$B2982&lt;&gt;"",$G2998&lt;=$F2998)),"Invalid Lineup","")</f>
        <v/>
      </c>
      <c r="N2980" s="263"/>
      <c r="O2980" s="263"/>
      <c r="P2980" s="264"/>
      <c r="Q2980" s="137" t="str">
        <f>IF($L2980=$L2982,IF($K2980=$K2982,IF($J2980&lt;&gt;"",IF($J2980&gt;$J2982,"W","L"),""),IF($K2980&gt;$K2982,"W","L")),IF($L2980&gt;$L2982,"W","L"))</f>
        <v/>
      </c>
      <c r="R2980" s="300" t="str">
        <f>$K2967</f>
        <v>I</v>
      </c>
      <c r="S2980" s="331" t="str">
        <f ca="1">IF($B2982&lt;&gt;"",$B2982,"")</f>
        <v/>
      </c>
      <c r="T2980" s="332"/>
      <c r="U2980" s="332"/>
      <c r="V2980" s="332"/>
      <c r="W2980" s="332"/>
      <c r="X2980" s="333"/>
      <c r="Y2980" s="329"/>
      <c r="Z2980" s="329"/>
      <c r="AA2980" s="329"/>
      <c r="AB2980" s="329"/>
      <c r="AC2980" s="351"/>
      <c r="AD2980" s="363" t="s">
        <v>1237</v>
      </c>
      <c r="AE2980" s="358"/>
      <c r="AF2980" s="359"/>
    </row>
    <row r="2981" spans="1:32" ht="12.75" customHeight="1">
      <c r="A2981" s="301"/>
      <c r="B2981" s="295"/>
      <c r="C2981" s="296"/>
      <c r="D2981" s="296"/>
      <c r="E2981" s="296"/>
      <c r="F2981" s="296"/>
      <c r="G2981" s="296"/>
      <c r="H2981" s="270"/>
      <c r="I2981" s="270"/>
      <c r="J2981" s="270"/>
      <c r="K2981" s="270"/>
      <c r="L2981" s="270"/>
      <c r="M2981" s="262"/>
      <c r="N2981" s="263"/>
      <c r="O2981" s="263"/>
      <c r="P2981" s="264"/>
      <c r="Q2981" s="139" t="str">
        <f>IF($Q2980&lt;&gt;"",IF($Q2980="W",IF(SUM(IF($H2980&gt;$H2982,1,0),IF($I2980&gt;$I2982,1,0),IF($J2980&gt;$J2982,1,0),IF($K2980&gt;$K2982,1,0),IF($L2980&gt;$L2982,1,0))&lt;&gt;3,"Error",""),""),"")</f>
        <v/>
      </c>
      <c r="R2981" s="330"/>
      <c r="S2981" s="334"/>
      <c r="T2981" s="335"/>
      <c r="U2981" s="335"/>
      <c r="V2981" s="335"/>
      <c r="W2981" s="335"/>
      <c r="X2981" s="336"/>
      <c r="Y2981" s="330"/>
      <c r="Z2981" s="330"/>
      <c r="AA2981" s="330"/>
      <c r="AB2981" s="330"/>
      <c r="AC2981" s="330"/>
      <c r="AD2981" s="360"/>
      <c r="AE2981" s="361"/>
      <c r="AF2981" s="362"/>
    </row>
    <row r="2982" spans="1:32" ht="12.75" customHeight="1">
      <c r="A2982" s="300" t="str">
        <f>K2967</f>
        <v>I</v>
      </c>
      <c r="B2982" s="293" t="str">
        <f ca="1">IF(AND(OFFSET($AO$1,$L2967-1,8,1,1),$A2968&lt;&gt;"",$J2968&lt;&gt;""),CHOOSE($L2967,$AP$1,$AP$2,$AP$3,$AP$4,$AP$5,$AP$6,$AP$7,$AP$8,$AP$9,$AP$10,$AP$11,$AP$12),"")</f>
        <v/>
      </c>
      <c r="C2982" s="294"/>
      <c r="D2982" s="294"/>
      <c r="E2982" s="294"/>
      <c r="F2982" s="294"/>
      <c r="G2982" s="294"/>
      <c r="H2982" s="265"/>
      <c r="I2982" s="265"/>
      <c r="J2982" s="265"/>
      <c r="K2982" s="265"/>
      <c r="L2982" s="265"/>
      <c r="M2982" s="267" t="s">
        <v>1237</v>
      </c>
      <c r="N2982" s="268"/>
      <c r="O2982" s="268"/>
      <c r="P2982" s="269"/>
      <c r="Q2982" s="137" t="str">
        <f>IF($Q2980&lt;&gt;"",IF($Q2980="W","L","W"),"")</f>
        <v/>
      </c>
      <c r="R2982" s="20"/>
      <c r="S2982" s="20"/>
      <c r="T2982" s="20"/>
      <c r="U2982" s="20"/>
      <c r="V2982" s="20"/>
      <c r="W2982" s="20"/>
      <c r="X2982" s="26"/>
      <c r="Y2982" s="26"/>
      <c r="Z2982" s="20"/>
      <c r="AA2982" s="20"/>
      <c r="AB2982" s="20"/>
      <c r="AC2982" s="20"/>
      <c r="AD2982" s="20"/>
      <c r="AE2982" s="20"/>
      <c r="AF2982" s="27"/>
    </row>
    <row r="2983" spans="1:32" ht="12.75" customHeight="1">
      <c r="A2983" s="301"/>
      <c r="B2983" s="295"/>
      <c r="C2983" s="296"/>
      <c r="D2983" s="296"/>
      <c r="E2983" s="296"/>
      <c r="F2983" s="296"/>
      <c r="G2983" s="296"/>
      <c r="H2983" s="270"/>
      <c r="I2983" s="270"/>
      <c r="J2983" s="266"/>
      <c r="K2983" s="266"/>
      <c r="L2983" s="266"/>
      <c r="M2983" s="267"/>
      <c r="N2983" s="268"/>
      <c r="O2983" s="268"/>
      <c r="P2983" s="269"/>
      <c r="Q2983" s="139" t="str">
        <f>IF($Q2982&lt;&gt;"",IF($Q2982="W",IF(SUM(IF($H2982&gt;$H2980,1,0),IF($I2982&gt;$I2980,1,0),IF($J2982&gt;$J2980,1,0),IF($K2982&gt;$K2980,1,0),IF($L2982&gt;$L2980,1,0))&lt;&gt;3,"Error",""),""),"")</f>
        <v/>
      </c>
      <c r="R2983" s="20"/>
      <c r="S2983" s="20"/>
      <c r="T2983" s="20"/>
      <c r="U2983" s="20"/>
      <c r="V2983" s="20"/>
      <c r="W2983" s="20"/>
      <c r="X2983" s="26"/>
      <c r="Y2983" s="26"/>
      <c r="Z2983" s="20"/>
      <c r="AA2983" s="20"/>
      <c r="AB2983" s="20"/>
      <c r="AC2983" s="20"/>
      <c r="AD2983" s="20"/>
      <c r="AE2983" s="20"/>
      <c r="AF2983" s="27"/>
    </row>
    <row r="2984" spans="1:32" ht="12.75" customHeight="1">
      <c r="Q2984" s="7"/>
      <c r="R2984" s="20"/>
      <c r="S2984" s="20"/>
      <c r="T2984" s="20"/>
      <c r="U2984" s="20"/>
      <c r="V2984" s="20"/>
      <c r="W2984" s="20"/>
      <c r="X2984" s="26"/>
      <c r="Y2984" s="26"/>
      <c r="Z2984" s="20"/>
      <c r="AA2984" s="20"/>
      <c r="AB2984" s="20"/>
      <c r="AC2984" s="20"/>
      <c r="AD2984" s="20"/>
      <c r="AE2984" s="20"/>
      <c r="AF2984" s="27"/>
    </row>
    <row r="2985" spans="1:32" ht="12.75" customHeight="1">
      <c r="A2985" s="21" t="s">
        <v>1235</v>
      </c>
      <c r="H2985" s="136" t="str">
        <f>IF($Q2987&lt;&gt;"",IF(AND(AND($H2987&gt;-1,$H2989&gt;-1),OR($H2987&gt;10,$H2989&gt;10),ABS($H2987-$H2989)&gt;1,IF(OR($H2987&gt;11,$H2989&gt;11),ABS($H2987-$H2989)=2,TRUE),$H2987=INT($H2987),$H2989=INT($H2989)),"","Error"),"")</f>
        <v/>
      </c>
      <c r="I2985" s="136" t="str">
        <f>IF($Q2987&lt;&gt;"",IF(AND(AND($I2987&gt;-1,$I2989&gt;-1),OR($I2987&gt;10,$I2989&gt;10),ABS($I2987-$I2989)&gt;1,IF(OR($I2987&gt;11,$I2989&gt;11),ABS($I2987-$I2989)=2,TRUE),$I2987=INT($I2987),$I2989=INT($I2989)),"","Error"),"")</f>
        <v/>
      </c>
      <c r="J2985" s="136" t="str">
        <f>IF($Q2987&lt;&gt;"",IF(AND(AND($J2987&gt;-1,$J2989&gt;-1),OR($J2987&gt;10,$J2989&gt;10),ABS($J2987-$J2989)&gt;1,IF(OR($J2987&gt;11,$J2989&gt;11),ABS($J2987-$J2989)=2,TRUE),$J2987=INT($J2987),$J2989=INT($J2989)),"","Error"),"")</f>
        <v/>
      </c>
      <c r="K2985" s="136" t="str">
        <f>IF($Q2987&lt;&gt;"",IF(AND($K2987&lt;&gt;"",$K2989&lt;&gt;""), IF(AND(AND($K2987&gt;-1,$K2989&gt;-1),OR($K2987&gt;10,$K2989&gt;10),ABS($K2987-$K2989)&gt;1,IF(OR($K2987&gt;11,$K2989&gt;11),ABS($K2987-$K2989)=2,TRUE),$K2987=INT($K2987),$K2989=INT($K2989)),"","Error"),""),"")</f>
        <v/>
      </c>
      <c r="L2985" s="136" t="str">
        <f>IF($Q2987&lt;&gt;"",IF(AND($L2987&lt;&gt;"",$L2989&lt;&gt;""), IF(AND(AND($L2987&gt;-1,$L2989&gt;-1),OR($L2987&gt;10,$L2989&gt;10),ABS($L2987-$L2989)&gt;1,IF(OR($L2987&gt;11,$L2989&gt;11),ABS($L2987-$L2989)=2,TRUE),$L2987=INT($L2987),$L2989=INT($L2989)),"","Error"),""),"")</f>
        <v/>
      </c>
      <c r="Q2985" s="7"/>
      <c r="R2985" s="20"/>
      <c r="S2985" s="20"/>
      <c r="T2985" s="20"/>
      <c r="U2985" s="20"/>
      <c r="V2985" s="20"/>
      <c r="W2985" s="20"/>
      <c r="X2985" s="26"/>
      <c r="Y2985" s="26"/>
      <c r="Z2985" s="20"/>
      <c r="AA2985" s="20"/>
      <c r="AB2985" s="20"/>
      <c r="AC2985" s="20"/>
      <c r="AD2985" s="20"/>
      <c r="AE2985" s="20"/>
      <c r="AF2985" s="27"/>
    </row>
    <row r="2986" spans="1:32" ht="12.75" customHeight="1">
      <c r="A2986" s="5" t="s">
        <v>1228</v>
      </c>
      <c r="B2986" s="290" t="s">
        <v>1126</v>
      </c>
      <c r="C2986" s="291"/>
      <c r="D2986" s="291"/>
      <c r="E2986" s="291"/>
      <c r="F2986" s="291"/>
      <c r="G2986" s="292"/>
      <c r="H2986" s="5">
        <v>1</v>
      </c>
      <c r="I2986" s="5">
        <v>2</v>
      </c>
      <c r="J2986" s="5">
        <v>3</v>
      </c>
      <c r="K2986" s="5">
        <v>4</v>
      </c>
      <c r="L2986" s="5">
        <v>5</v>
      </c>
      <c r="M2986" s="271"/>
      <c r="N2986" s="272"/>
      <c r="O2986" s="272"/>
      <c r="P2986" s="273"/>
      <c r="Q2986" s="7"/>
      <c r="R2986" s="20"/>
      <c r="S2986" s="20"/>
      <c r="T2986" s="20"/>
      <c r="U2986" s="20"/>
      <c r="V2986" s="20"/>
      <c r="W2986" s="20"/>
      <c r="X2986" s="26"/>
      <c r="Y2986" s="26"/>
      <c r="Z2986" s="20"/>
      <c r="AA2986" s="20"/>
      <c r="AB2986" s="20"/>
      <c r="AC2986" s="20"/>
      <c r="AD2986" s="20"/>
      <c r="AE2986" s="20"/>
      <c r="AF2986" s="27"/>
    </row>
    <row r="2987" spans="1:32" ht="12.75" customHeight="1">
      <c r="A2987" s="300" t="str">
        <f>B2967</f>
        <v>G</v>
      </c>
      <c r="B2987" s="293" t="str">
        <f ca="1">IF(AND(OFFSET($AO$1,$C2967-1,8,1,1),$A2968&lt;&gt;"",$J2968&lt;&gt;""),CHOOSE($C2967,$AQ$1,$AQ$2,$AQ$3,$AQ$4,$AQ$5,$AQ$6,$AQ$7,$AQ$8,$AQ$9,$AQ$10,$AQ$11,$AQ$12),"")</f>
        <v/>
      </c>
      <c r="C2987" s="294"/>
      <c r="D2987" s="294"/>
      <c r="E2987" s="294"/>
      <c r="F2987" s="294"/>
      <c r="G2987" s="294"/>
      <c r="H2987" s="265"/>
      <c r="I2987" s="265"/>
      <c r="J2987" s="265"/>
      <c r="K2987" s="265"/>
      <c r="L2987" s="265"/>
      <c r="M2987" s="262" t="str">
        <f ca="1">IF(OR(AND($B2980&lt;&gt;"",$B2987&lt;&gt;"",$D2998&lt;=$C2998),AND($B2982&lt;&gt;"",$B2989&lt;&gt;"",$H2998&lt;=$G2998)),"Invalid Lineup","")</f>
        <v/>
      </c>
      <c r="N2987" s="263"/>
      <c r="O2987" s="263"/>
      <c r="P2987" s="264"/>
      <c r="Q2987" s="137" t="str">
        <f>IF($L2987=$L2989,IF($K2987=$K2989,IF($J2987&lt;&gt;"",IF($J2987&gt;$J2989,"W","L"),""),IF($K2987&gt;$K2989,"W","L")),IF($L2987&gt;$L2989,"W","L"))</f>
        <v/>
      </c>
      <c r="R2987" s="20"/>
      <c r="S2987" s="20"/>
      <c r="T2987" s="20"/>
      <c r="U2987" s="20"/>
      <c r="V2987" s="20"/>
      <c r="W2987" s="20"/>
      <c r="X2987" s="26"/>
      <c r="Y2987" s="26"/>
      <c r="Z2987" s="20"/>
      <c r="AA2987" s="20"/>
      <c r="AB2987" s="20"/>
      <c r="AC2987" s="20"/>
      <c r="AD2987" s="20"/>
      <c r="AE2987" s="20"/>
      <c r="AF2987" s="27"/>
    </row>
    <row r="2988" spans="1:32" ht="12.75" customHeight="1">
      <c r="A2988" s="301"/>
      <c r="B2988" s="295"/>
      <c r="C2988" s="296"/>
      <c r="D2988" s="296"/>
      <c r="E2988" s="296"/>
      <c r="F2988" s="296"/>
      <c r="G2988" s="296"/>
      <c r="H2988" s="270"/>
      <c r="I2988" s="270"/>
      <c r="J2988" s="270"/>
      <c r="K2988" s="270"/>
      <c r="L2988" s="270"/>
      <c r="M2988" s="262"/>
      <c r="N2988" s="263"/>
      <c r="O2988" s="263"/>
      <c r="P2988" s="264"/>
      <c r="Q2988" s="139" t="str">
        <f>IF($Q2987&lt;&gt;"",IF($Q2987="W",IF(SUM(IF($H2987&gt;$H2989,1,0),IF($I2987&gt;$I2989,1,0),IF($J2987&gt;$J2989,1,0),IF($K2987&gt;$K2989,1,0),IF($L2987&gt;$L2989,1,0))&lt;&gt;3,"Error",""),""),"")</f>
        <v/>
      </c>
      <c r="R2988" s="328" t="str">
        <f>$A2968</f>
        <v/>
      </c>
      <c r="S2988" s="328"/>
      <c r="T2988" s="328"/>
      <c r="U2988" s="328"/>
      <c r="V2988" s="328"/>
      <c r="W2988" s="328"/>
      <c r="X2988" s="256" t="str">
        <f>CONCATENATE("(",$B2967," vs ",$K2967,")")</f>
        <v>(G vs I)</v>
      </c>
      <c r="Y2988" s="256"/>
      <c r="Z2988" s="328" t="str">
        <f>$J2968</f>
        <v/>
      </c>
      <c r="AA2988" s="328"/>
      <c r="AB2988" s="328"/>
      <c r="AC2988" s="328"/>
      <c r="AD2988" s="328"/>
      <c r="AE2988" s="328"/>
      <c r="AF2988" s="100"/>
    </row>
    <row r="2989" spans="1:32" ht="12.75" customHeight="1">
      <c r="A2989" s="300" t="str">
        <f>K2967</f>
        <v>I</v>
      </c>
      <c r="B2989" s="293" t="str">
        <f ca="1">IF(AND(OFFSET($AO$1,$L2967-1,8,1,1),$A2968&lt;&gt;"",$J2968&lt;&gt;""),CHOOSE($L2967,$AQ$1,$AQ$2,$AQ$3,$AQ$4,$AQ$5,$AQ$6,$AQ$7,$AQ$8,$AQ$9,$AQ$10,$AQ$11,$AQ$12),"")</f>
        <v/>
      </c>
      <c r="C2989" s="294"/>
      <c r="D2989" s="294"/>
      <c r="E2989" s="294"/>
      <c r="F2989" s="294"/>
      <c r="G2989" s="294"/>
      <c r="H2989" s="265"/>
      <c r="I2989" s="265"/>
      <c r="J2989" s="265"/>
      <c r="K2989" s="265"/>
      <c r="L2989" s="265"/>
      <c r="M2989" s="267" t="s">
        <v>1237</v>
      </c>
      <c r="N2989" s="268"/>
      <c r="O2989" s="268"/>
      <c r="P2989" s="269"/>
      <c r="Q2989" s="137" t="str">
        <f>IF($Q2987&lt;&gt;"",IF($Q2987="W","L","W"),"")</f>
        <v/>
      </c>
      <c r="R2989" s="100"/>
      <c r="S2989" s="100"/>
      <c r="T2989" s="100"/>
      <c r="U2989" s="100"/>
      <c r="V2989" s="100"/>
      <c r="W2989" s="100"/>
      <c r="X2989" s="100"/>
      <c r="Y2989" s="100"/>
      <c r="Z2989" s="100"/>
      <c r="AA2989" s="100"/>
      <c r="AB2989" s="100"/>
      <c r="AC2989" s="100"/>
      <c r="AD2989" s="100"/>
      <c r="AE2989" s="100"/>
      <c r="AF2989" s="100"/>
    </row>
    <row r="2990" spans="1:32" ht="12.75" customHeight="1">
      <c r="A2990" s="301"/>
      <c r="B2990" s="295"/>
      <c r="C2990" s="296"/>
      <c r="D2990" s="296"/>
      <c r="E2990" s="296"/>
      <c r="F2990" s="296"/>
      <c r="G2990" s="296"/>
      <c r="H2990" s="270"/>
      <c r="I2990" s="270"/>
      <c r="J2990" s="266"/>
      <c r="K2990" s="266"/>
      <c r="L2990" s="266"/>
      <c r="M2990" s="267"/>
      <c r="N2990" s="268"/>
      <c r="O2990" s="268"/>
      <c r="P2990" s="269"/>
      <c r="Q2990" s="139" t="str">
        <f>IF($Q2989&lt;&gt;"",IF($Q2989="W",IF(SUM(IF($H2989&gt;$H2987,1,0),IF($I2989&gt;$I2987,1,0),IF($J2989&gt;$J2987,1,0),IF($K2989&gt;$K2987,1,0),IF($L2989&gt;$L2987,1,0))&lt;&gt;3,"Error",""),""),"")</f>
        <v/>
      </c>
      <c r="R2990" s="43" t="str">
        <f>$A2985</f>
        <v>3rd Singles</v>
      </c>
      <c r="S2990" s="43"/>
      <c r="T2990" s="43"/>
      <c r="U2990" s="43"/>
      <c r="V2990" s="43"/>
      <c r="W2990" s="43"/>
      <c r="X2990" s="43"/>
      <c r="Y2990" s="43"/>
      <c r="Z2990" s="43"/>
      <c r="AA2990" s="43"/>
      <c r="AB2990" s="43"/>
      <c r="AC2990" s="43"/>
      <c r="AD2990" s="43"/>
      <c r="AE2990" s="43"/>
      <c r="AF2990" s="43"/>
    </row>
    <row r="2991" spans="1:32" ht="12.75" customHeight="1">
      <c r="Q2991" s="7"/>
      <c r="R2991" s="60" t="s">
        <v>1228</v>
      </c>
      <c r="S2991" s="101" t="s">
        <v>1126</v>
      </c>
      <c r="T2991" s="102"/>
      <c r="U2991" s="102"/>
      <c r="V2991" s="102"/>
      <c r="W2991" s="102"/>
      <c r="X2991" s="103"/>
      <c r="Y2991" s="60">
        <v>1</v>
      </c>
      <c r="Z2991" s="60">
        <v>2</v>
      </c>
      <c r="AA2991" s="60">
        <v>3</v>
      </c>
      <c r="AB2991" s="60">
        <v>4</v>
      </c>
      <c r="AC2991" s="60">
        <v>5</v>
      </c>
      <c r="AD2991" s="104"/>
      <c r="AE2991" s="105"/>
      <c r="AF2991" s="106"/>
    </row>
    <row r="2992" spans="1:32" ht="12.75" customHeight="1">
      <c r="A2992" s="21" t="s">
        <v>1236</v>
      </c>
      <c r="H2992" s="136" t="str">
        <f ca="1">IF($Q2994&lt;&gt;"",IF(AND($B2994&lt;&gt;"Missing Player",$B2996&lt;&gt;"Missing Player"),IF(AND(AND($H2994&gt;-1,$H2996&gt;-1),OR($H2994&gt;10,$H2996&gt;10),ABS($H2994-$H2996)&gt;1,IF(OR($H2994&gt;11,$H2996&gt;11),ABS($H2994-$H2996)=2,TRUE),$H2994=INT($H2994),$H2996=INT($H2996)),"","Error"),""),"")</f>
        <v/>
      </c>
      <c r="I2992" s="136" t="str">
        <f ca="1">IF($Q2994&lt;&gt;"",IF(AND($B2994&lt;&gt;"Missing Player",$B2996&lt;&gt;"Missing Player"),IF(AND(AND($I2994&gt;-1,$I2996&gt;-1),OR($I2994&gt;10,$I2996&gt;10),ABS($I2994-$I2996)&gt;1,IF(OR($I2994&gt;11,$I2996&gt;11),ABS($I2994-$I2996)=2,TRUE),$I2994=INT($I2994),$I2996=INT($I2996)),"","Error"),""),"")</f>
        <v/>
      </c>
      <c r="J2992" s="136" t="str">
        <f ca="1">IF($Q2994&lt;&gt;"",IF(AND($B2994&lt;&gt;"Missing Player",$B2996&lt;&gt;"Missing Player"),IF(AND(AND($J2994&gt;-1,$J2996&gt;-1),OR($J2994&gt;10,$J2996&gt;10),ABS($J2994-$J2996)&gt;1,IF(OR($J2994&gt;11,$J2996&gt;11),ABS($J2994-$J2996)=2,TRUE),$J2994=INT($J2994),$J2996=INT($J2996)),"","Error"),""),"")</f>
        <v/>
      </c>
      <c r="K2992" s="136" t="str">
        <f ca="1">IF($Q2994&lt;&gt;"",IF(AND($K2994&lt;&gt;"",$K2996&lt;&gt;""), IF(AND(AND($K2994&gt;-1,$K2996&gt;-1),OR($K2994&gt;10,$K2996&gt;10),ABS($K2994-$K2996)&gt;1,IF(OR($K2994&gt;11,$K2996&gt;11),ABS($K2994-$K2996)=2,TRUE),$K2994=INT($K2994),$K2996=INT($K2996)),"","Error"),""),"")</f>
        <v/>
      </c>
      <c r="L2992" s="136" t="str">
        <f ca="1">IF($Q2994&lt;&gt;"",IF(AND($L2994&lt;&gt;"",$L2996&lt;&gt;""), IF(AND(AND($L2994&gt;-1,$L2996&gt;-1),OR($L2994&gt;10,$L2996&gt;10),ABS($L2994-$L2996)&gt;1,IF(OR($L2994&gt;11,$L2996&gt;11),ABS($L2994-$L2996)=2,TRUE),$L2994=INT($L2994),$L2996=INT($L2996)),"","Error"),""),"")</f>
        <v/>
      </c>
      <c r="Q2992" s="7"/>
      <c r="R2992" s="300" t="str">
        <f>$B2967</f>
        <v>G</v>
      </c>
      <c r="S2992" s="331" t="str">
        <f ca="1">IF($B2987&lt;&gt;"",$B2987,"")</f>
        <v/>
      </c>
      <c r="T2992" s="332"/>
      <c r="U2992" s="332"/>
      <c r="V2992" s="332"/>
      <c r="W2992" s="332"/>
      <c r="X2992" s="333"/>
      <c r="Y2992" s="329"/>
      <c r="Z2992" s="329"/>
      <c r="AA2992" s="329"/>
      <c r="AB2992" s="329"/>
      <c r="AC2992" s="329"/>
      <c r="AD2992" s="345"/>
      <c r="AE2992" s="358"/>
      <c r="AF2992" s="359"/>
    </row>
    <row r="2993" spans="1:32" ht="12.75" customHeight="1">
      <c r="A2993" s="5" t="s">
        <v>1228</v>
      </c>
      <c r="B2993" s="290" t="s">
        <v>1126</v>
      </c>
      <c r="C2993" s="291"/>
      <c r="D2993" s="291"/>
      <c r="E2993" s="291"/>
      <c r="F2993" s="291"/>
      <c r="G2993" s="292"/>
      <c r="H2993" s="5">
        <v>1</v>
      </c>
      <c r="I2993" s="5">
        <v>2</v>
      </c>
      <c r="J2993" s="5">
        <v>3</v>
      </c>
      <c r="K2993" s="5">
        <v>4</v>
      </c>
      <c r="L2993" s="5">
        <v>5</v>
      </c>
      <c r="M2993" s="271"/>
      <c r="N2993" s="272"/>
      <c r="O2993" s="272"/>
      <c r="P2993" s="273"/>
      <c r="Q2993" s="7"/>
      <c r="R2993" s="330"/>
      <c r="S2993" s="334"/>
      <c r="T2993" s="335"/>
      <c r="U2993" s="335"/>
      <c r="V2993" s="335"/>
      <c r="W2993" s="335"/>
      <c r="X2993" s="336"/>
      <c r="Y2993" s="330"/>
      <c r="Z2993" s="330"/>
      <c r="AA2993" s="330"/>
      <c r="AB2993" s="330"/>
      <c r="AC2993" s="330"/>
      <c r="AD2993" s="360"/>
      <c r="AE2993" s="361"/>
      <c r="AF2993" s="362"/>
    </row>
    <row r="2994" spans="1:32" ht="12.75" customHeight="1">
      <c r="A2994" s="300" t="str">
        <f>B2967</f>
        <v>G</v>
      </c>
      <c r="B2994" s="293" t="str">
        <f ca="1">IF(AND(OFFSET($AO$1,$C2967-1,8,1,1),$A2968&lt;&gt;"",$J2968&lt;&gt;""),CHOOSE($C2967,$AR$1,$AR$2,$AR$3,$AR$4,$AR$5,$AR$6,$AR$7,$AR$8,$AR$9,$AR$10,$AR$11,$AR$12),"")</f>
        <v/>
      </c>
      <c r="C2994" s="294"/>
      <c r="D2994" s="294"/>
      <c r="E2994" s="294"/>
      <c r="F2994" s="294"/>
      <c r="G2994" s="294"/>
      <c r="H2994" s="265"/>
      <c r="I2994" s="265"/>
      <c r="J2994" s="265"/>
      <c r="K2994" s="265"/>
      <c r="L2994" s="265" t="str">
        <f ca="1">IF(AND($B2994&lt;&gt;"",$Q2973&lt;&gt;""),IF($B2994="Missing Player",0,IF($B2996="Missing Player",11,"")),"")</f>
        <v/>
      </c>
      <c r="M2994" s="262" t="str">
        <f ca="1">IF(OR(AND($B2987&lt;&gt;"",$B2994&lt;&gt;"",$E2998&lt;=$D2998),AND($B2989&lt;&gt;"",$B2996&lt;&gt;"",$I2998&lt;=$H2998)),"Invalid Lineup","")</f>
        <v/>
      </c>
      <c r="N2994" s="263"/>
      <c r="O2994" s="263"/>
      <c r="P2994" s="264"/>
      <c r="Q2994" s="137" t="str">
        <f ca="1">IF($L2994=$L2996,IF($K2994=$K2996,IF($J2994&lt;&gt;"",IF($J2994&gt;$J2996,"W","L"),""),IF($K2994&gt;$K2996,"W","L")),IF($L2994&gt;$L2996,"W","L"))</f>
        <v/>
      </c>
      <c r="R2994" s="300" t="str">
        <f>$K2967</f>
        <v>I</v>
      </c>
      <c r="S2994" s="331" t="str">
        <f ca="1">IF($B2989&lt;&gt;"",$B2989,"")</f>
        <v/>
      </c>
      <c r="T2994" s="332"/>
      <c r="U2994" s="332"/>
      <c r="V2994" s="332"/>
      <c r="W2994" s="332"/>
      <c r="X2994" s="333"/>
      <c r="Y2994" s="329"/>
      <c r="Z2994" s="329"/>
      <c r="AA2994" s="329"/>
      <c r="AB2994" s="329"/>
      <c r="AC2994" s="351"/>
      <c r="AD2994" s="363" t="s">
        <v>1237</v>
      </c>
      <c r="AE2994" s="358"/>
      <c r="AF2994" s="359"/>
    </row>
    <row r="2995" spans="1:32" ht="12.75" customHeight="1">
      <c r="A2995" s="301"/>
      <c r="B2995" s="295"/>
      <c r="C2995" s="296"/>
      <c r="D2995" s="296"/>
      <c r="E2995" s="296"/>
      <c r="F2995" s="296"/>
      <c r="G2995" s="296"/>
      <c r="H2995" s="270"/>
      <c r="I2995" s="270"/>
      <c r="J2995" s="270"/>
      <c r="K2995" s="270"/>
      <c r="L2995" s="270"/>
      <c r="M2995" s="262"/>
      <c r="N2995" s="263"/>
      <c r="O2995" s="263"/>
      <c r="P2995" s="264"/>
      <c r="Q2995" s="139" t="str">
        <f ca="1">IF($Q2994&lt;&gt;"",IF($B2996&lt;&gt;"Missing Player",IF($Q2994="W",IF(SUM(IF($H2994&gt;$H2996,1,0),IF($I2994&gt;$I2996,1,0),IF($J2994&gt;$J2996,1,0),IF($K2994&gt;$K2996,1,0),IF($L2994&gt;$L2996,1,0))&lt;&gt;3,"Error",""),""),""),"")</f>
        <v/>
      </c>
      <c r="R2995" s="330"/>
      <c r="S2995" s="334"/>
      <c r="T2995" s="335"/>
      <c r="U2995" s="335"/>
      <c r="V2995" s="335"/>
      <c r="W2995" s="335"/>
      <c r="X2995" s="336"/>
      <c r="Y2995" s="330"/>
      <c r="Z2995" s="330"/>
      <c r="AA2995" s="330"/>
      <c r="AB2995" s="330"/>
      <c r="AC2995" s="330"/>
      <c r="AD2995" s="360"/>
      <c r="AE2995" s="361"/>
      <c r="AF2995" s="362"/>
    </row>
    <row r="2996" spans="1:32" ht="12.75" customHeight="1">
      <c r="A2996" s="300" t="str">
        <f>K2967</f>
        <v>I</v>
      </c>
      <c r="B2996" s="293" t="str">
        <f ca="1">IF(AND(OFFSET($AO$1,$L2967-1,8,1,1),$A2968&lt;&gt;"",$J2968&lt;&gt;""),CHOOSE($L2967,$AR$1,$AR$2,$AR$3,$AR$4,$AR$5,$AR$6,$AR$7,$AR$8,$AR$9,$AR$10,$AR$11,$AR$12),"")</f>
        <v/>
      </c>
      <c r="C2996" s="294"/>
      <c r="D2996" s="294"/>
      <c r="E2996" s="294"/>
      <c r="F2996" s="294"/>
      <c r="G2996" s="294"/>
      <c r="H2996" s="265"/>
      <c r="I2996" s="265"/>
      <c r="J2996" s="265"/>
      <c r="K2996" s="265"/>
      <c r="L2996" s="265" t="str">
        <f ca="1">IF(AND($B2996&lt;&gt;"",$Q2973&lt;&gt;""),IF($B2996="Missing Player",0,IF($B2994="Missing Player",11,"")),"")</f>
        <v/>
      </c>
      <c r="M2996" s="267" t="s">
        <v>1237</v>
      </c>
      <c r="N2996" s="268"/>
      <c r="O2996" s="268"/>
      <c r="P2996" s="269"/>
      <c r="Q2996" s="137" t="str">
        <f ca="1">IF($Q2994&lt;&gt;"",IF($Q2994="W","L","W"),"")</f>
        <v/>
      </c>
      <c r="R2996" s="112"/>
      <c r="S2996" s="98"/>
      <c r="T2996" s="108"/>
      <c r="U2996" s="108"/>
      <c r="V2996" s="108"/>
      <c r="W2996" s="108"/>
      <c r="X2996" s="108"/>
      <c r="Y2996" s="113"/>
      <c r="Z2996" s="113"/>
      <c r="AA2996" s="113"/>
      <c r="AB2996" s="113"/>
      <c r="AC2996" s="113"/>
      <c r="AD2996" s="107"/>
      <c r="AE2996" s="109"/>
      <c r="AF2996" s="109"/>
    </row>
    <row r="2997" spans="1:32" ht="12.75" customHeight="1">
      <c r="A2997" s="301"/>
      <c r="B2997" s="295"/>
      <c r="C2997" s="296"/>
      <c r="D2997" s="296"/>
      <c r="E2997" s="296"/>
      <c r="F2997" s="296"/>
      <c r="G2997" s="296"/>
      <c r="H2997" s="270"/>
      <c r="I2997" s="270"/>
      <c r="J2997" s="266"/>
      <c r="K2997" s="266"/>
      <c r="L2997" s="266"/>
      <c r="M2997" s="267"/>
      <c r="N2997" s="268"/>
      <c r="O2997" s="268"/>
      <c r="P2997" s="269"/>
      <c r="Q2997" s="139" t="str">
        <f ca="1">IF($Q2996&lt;&gt;"",IF($B2994&lt;&gt;"Missing Player",IF($Q2996="W",IF(SUM(IF($H2996&gt;$H2994,1,0),IF($I2996&gt;$I2994,1,0),IF($J2996&gt;$J2994,1,0),IF($K2996&gt;$K2994,1,0),IF($L2996&gt;$L2994,1,0))&lt;&gt;3,"Error",""),""),""),"")</f>
        <v/>
      </c>
      <c r="R2997" s="114"/>
      <c r="S2997" s="115"/>
      <c r="T2997" s="115"/>
      <c r="U2997" s="115"/>
      <c r="V2997" s="115"/>
      <c r="W2997" s="115"/>
      <c r="X2997" s="115"/>
      <c r="Y2997" s="114"/>
      <c r="Z2997" s="114"/>
      <c r="AA2997" s="114"/>
      <c r="AB2997" s="114"/>
      <c r="AC2997" s="114"/>
      <c r="AD2997" s="114"/>
      <c r="AE2997" s="114"/>
      <c r="AF2997" s="114"/>
    </row>
    <row r="2998" spans="1:32" ht="12.75" customHeight="1">
      <c r="B2998" s="140" t="str">
        <f ca="1">IF(ISERROR(VLOOKUP($B2973&amp;"("&amp;$B2967&amp;")",Players!$S$4:$T$132,2,FALSE)),"",VLOOKUP($B2973&amp;"("&amp;$B2967&amp;")",Players!$S$4:$T$132,2,FALSE))</f>
        <v>G1</v>
      </c>
      <c r="C2998" s="140" t="str">
        <f ca="1">IF(ISERROR(VLOOKUP($B2980&amp;"("&amp;$B2967&amp;")",Players!$S$4:$T$132,2,FALSE)),"",VLOOKUP($B2980&amp;"("&amp;$B2967&amp;")",Players!$S$4:$T$132,2,FALSE))</f>
        <v>G1</v>
      </c>
      <c r="D2998" s="141" t="str">
        <f ca="1">IF(ISERROR(VLOOKUP($B2987&amp;"("&amp;$B2967&amp;")",Players!$S$4:$T$132,2,FALSE)),"",VLOOKUP($B2987&amp;"("&amp;$B2967&amp;")",Players!$S$4:$T$132,2,FALSE))</f>
        <v>G1</v>
      </c>
      <c r="E2998" s="141" t="str">
        <f ca="1">IF(ISERROR(VLOOKUP($B2994&amp;"("&amp;$B2967&amp;")",Players!$S$4:$T$132,2,FALSE)),"",VLOOKUP($B2994&amp;"("&amp;$B2967&amp;")",Players!$S$4:$T$132,2,FALSE))</f>
        <v>G1</v>
      </c>
      <c r="F2998" s="141" t="str">
        <f ca="1">IF(ISERROR(VLOOKUP($B2975&amp;"("&amp;$K2967&amp;")",Players!$S$4:$T$132,2,FALSE)),"",VLOOKUP($B2975&amp;"("&amp;$K2967&amp;")",Players!$S$4:$T$132,2,FALSE))</f>
        <v>I1</v>
      </c>
      <c r="G2998" s="141" t="str">
        <f ca="1">IF(ISERROR(VLOOKUP($B2982&amp;"("&amp;$K2967&amp;")",Players!$S$4:$T$132,2,FALSE)),"",VLOOKUP($B2982&amp;"("&amp;$K2967&amp;")",Players!$S$4:$T$132,2,FALSE))</f>
        <v>I1</v>
      </c>
      <c r="H2998" s="141" t="str">
        <f ca="1">IF(ISERROR(VLOOKUP($B2989&amp;"("&amp;$K2967&amp;")",Players!$S$4:$T$132,2,FALSE)),"",VLOOKUP($B2989&amp;"("&amp;$K2967&amp;")",Players!$S$4:$T$132,2,FALSE))</f>
        <v>I1</v>
      </c>
      <c r="I2998" s="141" t="str">
        <f ca="1">IF(ISERROR(VLOOKUP($B2996&amp;"("&amp;$K2967&amp;")",Players!$S$4:$T$132,2,FALSE)),"",VLOOKUP($B2996&amp;"("&amp;$K2967&amp;")",Players!$S$4:$T$132,2,FALSE))</f>
        <v>I1</v>
      </c>
      <c r="Q2998" s="7"/>
      <c r="R2998" s="50"/>
      <c r="S2998" s="116"/>
      <c r="T2998" s="115"/>
      <c r="U2998" s="115"/>
      <c r="V2998" s="115"/>
      <c r="W2998" s="115"/>
      <c r="X2998" s="115"/>
      <c r="Y2998" s="99"/>
      <c r="Z2998" s="99"/>
      <c r="AA2998" s="99"/>
      <c r="AB2998" s="99"/>
      <c r="AC2998" s="117"/>
      <c r="AD2998" s="118"/>
      <c r="AE2998" s="114"/>
      <c r="AF2998" s="114"/>
    </row>
    <row r="2999" spans="1:32" ht="12.75" customHeight="1">
      <c r="A2999" s="21" t="s">
        <v>1225</v>
      </c>
      <c r="H2999" s="136" t="str">
        <f ca="1">IF($Q3001&lt;&gt;"",IF(AND($B3002&lt;&gt;"Missing Player",$B3004&lt;&gt;"Missing Player"),IF(AND(AND($H3001&gt;-1,$H3003&gt;-1),OR($H3001&gt;10,$H3003&gt;10),ABS($H3001-$H3003)&gt;1,IF(OR($H3001&gt;11,$H3003&gt;11),ABS($H3001-$H3003)=2,TRUE),$H3001=INT($H3001),$H3003=INT($H3003)),"","Error"),""),"")</f>
        <v/>
      </c>
      <c r="I2999" s="136" t="str">
        <f ca="1">IF($Q3001&lt;&gt;"",IF(AND($B3002&lt;&gt;"Missing Player",$B3004&lt;&gt;"Missing Player"),IF(AND(AND($I3001&gt;-1,$I3003&gt;-1),OR($I3001&gt;10,$I3003&gt;10),ABS($I3001-$I3003)&gt;1,IF(OR($I3001&gt;11,$I3003&gt;11),ABS($I3001-$I3003)=2,TRUE),$I3001=INT($I3001),$I3003=INT($I3003)),"","Error"),""),"")</f>
        <v/>
      </c>
      <c r="J2999" s="136" t="str">
        <f ca="1">IF($Q3001&lt;&gt;"",IF(AND($B3002&lt;&gt;"Missing Player",$B3004&lt;&gt;"Missing Player"),IF(AND(AND($J3001&gt;-1,$J3003&gt;-1),OR($J3001&gt;10,$J3003&gt;10),ABS($J3001-$J3003)&gt;1,IF(OR($J3001&gt;11,$J3003&gt;11),ABS($J3001-$J3003)=2,TRUE),$J3001=INT($J3001),$J3003=INT($J3003)),"","Error"),""),"")</f>
        <v/>
      </c>
      <c r="K2999" s="136" t="str">
        <f ca="1">IF($Q3001&lt;&gt;"",IF(AND($K3001&lt;&gt;"",$K3003&lt;&gt;""), IF(AND(AND($K3001&gt;-1,$K3003&gt;-1),OR($K3001&gt;10,$K3003&gt;10),ABS($K3001-$K3003)&gt;1,IF(OR($K3001&gt;11,$K3003&gt;11),ABS($K3001-$K3003)=2,TRUE),$K3001=INT($K3001),$K3003=INT($K3003)),"","Error"),""),"")</f>
        <v/>
      </c>
      <c r="L2999" s="136" t="str">
        <f ca="1">IF($Q3001&lt;&gt;"",IF(AND($L3001&lt;&gt;"",$L3003&lt;&gt;""), IF(AND(AND($L3001&gt;-1,$L3003&gt;-1),OR($L3001&gt;10,$L3003&gt;10),ABS($L3001-$L3003)&gt;1,IF(OR($L3001&gt;11,$L3003&gt;11),ABS($L3001-$L3003)=2,TRUE),$L3001=INT($L3001),$L3003=INT($L3003)),"","Error"),""),"")</f>
        <v/>
      </c>
      <c r="Q2999" s="7"/>
      <c r="R2999" s="114"/>
      <c r="S2999" s="115"/>
      <c r="T2999" s="115"/>
      <c r="U2999" s="115"/>
      <c r="V2999" s="115"/>
      <c r="W2999" s="115"/>
      <c r="X2999" s="115"/>
      <c r="Y2999" s="114"/>
      <c r="Z2999" s="114"/>
      <c r="AA2999" s="114"/>
      <c r="AB2999" s="114"/>
      <c r="AC2999" s="114"/>
      <c r="AD2999" s="114"/>
      <c r="AE2999" s="114"/>
      <c r="AF2999" s="114"/>
    </row>
    <row r="3000" spans="1:32" ht="12.75" customHeight="1">
      <c r="A3000" s="5" t="s">
        <v>1228</v>
      </c>
      <c r="B3000" s="290" t="s">
        <v>1126</v>
      </c>
      <c r="C3000" s="291"/>
      <c r="D3000" s="291"/>
      <c r="E3000" s="291"/>
      <c r="F3000" s="291"/>
      <c r="G3000" s="292"/>
      <c r="H3000" s="5">
        <v>1</v>
      </c>
      <c r="I3000" s="5">
        <v>2</v>
      </c>
      <c r="J3000" s="5">
        <v>3</v>
      </c>
      <c r="K3000" s="5">
        <v>4</v>
      </c>
      <c r="L3000" s="5">
        <v>5</v>
      </c>
      <c r="M3000" s="271"/>
      <c r="N3000" s="272"/>
      <c r="O3000" s="272"/>
      <c r="P3000" s="273"/>
      <c r="Q3000" s="8"/>
      <c r="S3000" s="24"/>
      <c r="T3000" s="26"/>
    </row>
    <row r="3001" spans="1:32" ht="12.75" customHeight="1">
      <c r="A3001" s="300" t="str">
        <f>B2967</f>
        <v>G</v>
      </c>
      <c r="B3001" s="311" t="str">
        <f ca="1">IF($B2973&lt;&gt;"",$B2973,"")</f>
        <v/>
      </c>
      <c r="C3001" s="312"/>
      <c r="D3001" s="312"/>
      <c r="E3001" s="312"/>
      <c r="F3001" s="312"/>
      <c r="G3001" s="313"/>
      <c r="H3001" s="265"/>
      <c r="I3001" s="265"/>
      <c r="J3001" s="265"/>
      <c r="K3001" s="265"/>
      <c r="L3001" s="265" t="str">
        <f ca="1">IF($B2994&lt;&gt;"",IF(AND($B2994="Missing Player",$G3005=2,$J3005=2),0,IF(AND($B2996="Missing Player",$G3005=2,$J3005=2),11,"")),"")</f>
        <v/>
      </c>
      <c r="M3001" s="262" t="str">
        <f ca="1">IF(OR(AND($B3001&lt;&gt;"",$B3002&lt;&gt;"",$B3001=$B3002),AND($B3003&lt;&gt;"",$B3004&lt;&gt;"",$B3003=$B3004)),"Invalid Partner","")</f>
        <v/>
      </c>
      <c r="N3001" s="263"/>
      <c r="O3001" s="263"/>
      <c r="P3001" s="264"/>
      <c r="Q3001" s="138" t="str">
        <f ca="1">IF(L3001=L3003,IF(K3001=K3003,IF(J3001&lt;&gt;"",IF(J3001&gt;J3003,"W","L"),""),IF(K3001&gt;K3003,"W","L")),IF(L3001&gt;L3003,"W","L"))</f>
        <v/>
      </c>
      <c r="S3001" s="24"/>
      <c r="T3001" s="26"/>
    </row>
    <row r="3002" spans="1:32" ht="12.75" customHeight="1">
      <c r="A3002" s="324"/>
      <c r="B3002" s="308" t="str">
        <f ca="1">IF($B2994="Missing Player",$B2994,"")</f>
        <v/>
      </c>
      <c r="C3002" s="309"/>
      <c r="D3002" s="309"/>
      <c r="E3002" s="309"/>
      <c r="F3002" s="309"/>
      <c r="G3002" s="310"/>
      <c r="H3002" s="270"/>
      <c r="I3002" s="270"/>
      <c r="J3002" s="270"/>
      <c r="K3002" s="270"/>
      <c r="L3002" s="270"/>
      <c r="M3002" s="262"/>
      <c r="N3002" s="263"/>
      <c r="O3002" s="263"/>
      <c r="P3002" s="264"/>
      <c r="Q3002" s="139" t="str">
        <f ca="1">IF($Q3001&lt;&gt;"",IF($B3004&lt;&gt;"Missing Player",IF($Q3001="W",IF(SUM(IF($H3001&gt;$H3003,1,0),IF($I3001&gt;$I3003,1,0),IF($J3001&gt;$J3003,1,0),IF($K3001&gt;$K3003,1,0),IF($L3001&gt;$L3003,1,0))&lt;&gt;3,"Error",""),""),""),"")</f>
        <v/>
      </c>
      <c r="R3002" s="328" t="str">
        <f>$A2968</f>
        <v/>
      </c>
      <c r="S3002" s="328"/>
      <c r="T3002" s="328"/>
      <c r="U3002" s="328"/>
      <c r="V3002" s="328"/>
      <c r="W3002" s="328"/>
      <c r="X3002" s="256" t="str">
        <f>CONCATENATE("(",$B2967," vs ",$K2967,")")</f>
        <v>(G vs I)</v>
      </c>
      <c r="Y3002" s="256"/>
      <c r="Z3002" s="328" t="str">
        <f>$J2968</f>
        <v/>
      </c>
      <c r="AA3002" s="328"/>
      <c r="AB3002" s="328"/>
      <c r="AC3002" s="328"/>
      <c r="AD3002" s="328"/>
      <c r="AE3002" s="328"/>
      <c r="AF3002" s="43"/>
    </row>
    <row r="3003" spans="1:32" ht="12.75" customHeight="1">
      <c r="A3003" s="325" t="str">
        <f>K2967</f>
        <v>I</v>
      </c>
      <c r="B3003" s="311" t="str">
        <f ca="1">IF($B2975&lt;&gt;"",$B2975,"")</f>
        <v/>
      </c>
      <c r="C3003" s="312"/>
      <c r="D3003" s="312"/>
      <c r="E3003" s="312"/>
      <c r="F3003" s="312"/>
      <c r="G3003" s="313"/>
      <c r="H3003" s="265"/>
      <c r="I3003" s="265"/>
      <c r="J3003" s="265"/>
      <c r="K3003" s="265"/>
      <c r="L3003" s="265" t="str">
        <f ca="1">IF($B2996&lt;&gt;"",IF(AND($B2996="Missing Player",$G3005=2,$J3005=2),0,IF(AND($B2994="Missing Player",$G3005=2,$J3005=2),11,"")),"")</f>
        <v/>
      </c>
      <c r="M3003" s="267" t="s">
        <v>1237</v>
      </c>
      <c r="N3003" s="268"/>
      <c r="O3003" s="268"/>
      <c r="P3003" s="269"/>
      <c r="Q3003" s="138" t="str">
        <f ca="1">IF(Q3001&lt;&gt;"",IF(Q3001="W","L","W"),"")</f>
        <v/>
      </c>
      <c r="R3003" s="43"/>
      <c r="S3003" s="43"/>
      <c r="T3003" s="43"/>
      <c r="U3003" s="43"/>
      <c r="V3003" s="43"/>
      <c r="W3003" s="43"/>
      <c r="X3003" s="43"/>
      <c r="Y3003" s="43"/>
      <c r="Z3003" s="43"/>
      <c r="AA3003" s="43"/>
      <c r="AB3003" s="43"/>
      <c r="AC3003" s="43"/>
      <c r="AD3003" s="43"/>
      <c r="AE3003" s="43"/>
      <c r="AF3003" s="43"/>
    </row>
    <row r="3004" spans="1:32" ht="12.75" customHeight="1">
      <c r="A3004" s="324"/>
      <c r="B3004" s="308" t="str">
        <f ca="1">IF($B2996="Missing Player",$B2996,"")</f>
        <v/>
      </c>
      <c r="C3004" s="309"/>
      <c r="D3004" s="309"/>
      <c r="E3004" s="309"/>
      <c r="F3004" s="309"/>
      <c r="G3004" s="310"/>
      <c r="H3004" s="270"/>
      <c r="I3004" s="270"/>
      <c r="J3004" s="266"/>
      <c r="K3004" s="266"/>
      <c r="L3004" s="266"/>
      <c r="M3004" s="267"/>
      <c r="N3004" s="268"/>
      <c r="O3004" s="268"/>
      <c r="P3004" s="269"/>
      <c r="Q3004" s="139" t="str">
        <f ca="1">IF($Q3003&lt;&gt;"",IF($B3002&lt;&gt;"Missing Player",IF($Q3003="W",IF(SUM(IF($H3003&gt;$H3001,1,0),IF($I3003&gt;$I3001,1,0),IF($J3003&gt;$J3001,1,0),IF($K3003&gt;$K3001,1,0),IF($L3003&gt;$L3001,1,0))&lt;&gt;3,"Error",""),""),""),"")</f>
        <v/>
      </c>
      <c r="R3004" s="43" t="str">
        <f>A2992</f>
        <v>4th Singles</v>
      </c>
      <c r="S3004" s="43"/>
      <c r="T3004" s="43"/>
      <c r="U3004" s="43"/>
      <c r="V3004" s="43"/>
      <c r="W3004" s="43"/>
      <c r="X3004" s="43"/>
      <c r="Y3004" s="43"/>
      <c r="Z3004" s="43"/>
      <c r="AA3004" s="43"/>
      <c r="AB3004" s="43"/>
      <c r="AC3004" s="43"/>
      <c r="AD3004" s="43"/>
      <c r="AE3004" s="43"/>
      <c r="AF3004" s="43"/>
    </row>
    <row r="3005" spans="1:32" ht="12.75" customHeight="1">
      <c r="G3005" s="66">
        <f ca="1">COUNTIF($Q2973:$Q2973,"W")+COUNTIF($Q2980:$Q2980,"W")+COUNTIF($Q2987:$Q2987,"W")+COUNTIF($Q2994:$Q2994,"W")</f>
        <v>0</v>
      </c>
      <c r="J3005" s="66">
        <f ca="1">COUNTIF($Q2975:$Q2975,"W")+COUNTIF($Q2982:$Q2982,"W")+COUNTIF($Q2989:$Q2989,"W")+COUNTIF($Q2996:$Q2996,"W")</f>
        <v>0</v>
      </c>
      <c r="R3005" s="60" t="s">
        <v>1228</v>
      </c>
      <c r="S3005" s="339" t="s">
        <v>1126</v>
      </c>
      <c r="T3005" s="340"/>
      <c r="U3005" s="340"/>
      <c r="V3005" s="340"/>
      <c r="W3005" s="340"/>
      <c r="X3005" s="341"/>
      <c r="Y3005" s="60">
        <v>1</v>
      </c>
      <c r="Z3005" s="60">
        <v>2</v>
      </c>
      <c r="AA3005" s="60">
        <v>3</v>
      </c>
      <c r="AB3005" s="60">
        <v>4</v>
      </c>
      <c r="AC3005" s="60">
        <v>5</v>
      </c>
      <c r="AD3005" s="342"/>
      <c r="AE3005" s="343"/>
      <c r="AF3005" s="344"/>
    </row>
    <row r="3006" spans="1:32" ht="12.75" customHeight="1" thickBot="1">
      <c r="F3006" s="246" t="s">
        <v>1238</v>
      </c>
      <c r="G3006" s="246"/>
      <c r="H3006" s="246"/>
      <c r="I3006" s="246"/>
      <c r="J3006" s="246"/>
      <c r="K3006" s="246"/>
      <c r="R3006" s="300" t="str">
        <f>B2967</f>
        <v>G</v>
      </c>
      <c r="S3006" s="331" t="str">
        <f ca="1">IF($B2994&lt;&gt;"",$B2994,"")</f>
        <v/>
      </c>
      <c r="T3006" s="353"/>
      <c r="U3006" s="353"/>
      <c r="V3006" s="353"/>
      <c r="W3006" s="353"/>
      <c r="X3006" s="354"/>
      <c r="Y3006" s="329"/>
      <c r="Z3006" s="329"/>
      <c r="AA3006" s="351"/>
      <c r="AB3006" s="351"/>
      <c r="AC3006" s="351"/>
      <c r="AD3006" s="345"/>
      <c r="AE3006" s="346"/>
      <c r="AF3006" s="347"/>
    </row>
    <row r="3007" spans="1:32" ht="12.75" customHeight="1">
      <c r="A3007" s="22"/>
      <c r="B3007" s="22"/>
      <c r="C3007" s="22"/>
      <c r="D3007" s="22"/>
      <c r="E3007" s="22"/>
      <c r="G3007" s="304" t="str">
        <f>B2967</f>
        <v>G</v>
      </c>
      <c r="H3007" s="305"/>
      <c r="I3007" s="302" t="str">
        <f>K2967</f>
        <v>I</v>
      </c>
      <c r="J3007" s="303"/>
      <c r="L3007" s="22"/>
      <c r="M3007" s="22"/>
      <c r="N3007" s="22"/>
      <c r="O3007" s="22"/>
      <c r="P3007" s="22"/>
      <c r="R3007" s="301"/>
      <c r="S3007" s="355"/>
      <c r="T3007" s="356"/>
      <c r="U3007" s="356"/>
      <c r="V3007" s="356"/>
      <c r="W3007" s="356"/>
      <c r="X3007" s="357"/>
      <c r="Y3007" s="338"/>
      <c r="Z3007" s="338"/>
      <c r="AA3007" s="352"/>
      <c r="AB3007" s="352"/>
      <c r="AC3007" s="352"/>
      <c r="AD3007" s="348"/>
      <c r="AE3007" s="349"/>
      <c r="AF3007" s="350"/>
    </row>
    <row r="3008" spans="1:32" ht="12.75" customHeight="1" thickBot="1">
      <c r="A3008" s="2" t="s">
        <v>1228</v>
      </c>
      <c r="B3008" s="53" t="str">
        <f>B2967</f>
        <v>G</v>
      </c>
      <c r="C3008" s="3" t="s">
        <v>1226</v>
      </c>
      <c r="F3008" s="66" t="str">
        <f>CONCATENATE($B2967,"-",$K2967)</f>
        <v>G-I</v>
      </c>
      <c r="G3008" s="320" t="str">
        <f ca="1">IF(OR(Q2973&lt;&gt;"",Q2980&lt;&gt;"",Q2987&lt;&gt;"",Q2994&lt;&gt;"",Q3001&lt;&gt;""),COUNTIF(Q2973:Q2973,"W")+COUNTIF(Q2980:Q2980,"W")+COUNTIF(Q2987:Q2987,"W")+COUNTIF(Q2994:Q2994,"W")+COUNTIF(Q3001:Q3001,"W"),"")</f>
        <v/>
      </c>
      <c r="H3008" s="321"/>
      <c r="I3008" s="322" t="str">
        <f ca="1">IF(OR(Q2975&lt;&gt;"",Q2982&lt;&gt;"",Q2989&lt;&gt;"",Q2996&lt;&gt;"",Q3003&lt;&gt;""),COUNTIF(Q2975:Q2975,"W")+COUNTIF(Q2982:Q2982,"W")+COUNTIF(Q2989:Q2989,"W")+COUNTIF(Q2996:Q2996,"W")+COUNTIF(Q3003:Q3003,"W"),"")</f>
        <v/>
      </c>
      <c r="J3008" s="323"/>
      <c r="L3008" s="2" t="s">
        <v>1228</v>
      </c>
      <c r="M3008" s="53" t="str">
        <f>K2967</f>
        <v>I</v>
      </c>
      <c r="N3008" s="3" t="s">
        <v>1226</v>
      </c>
      <c r="R3008" s="300" t="str">
        <f>K2967</f>
        <v>I</v>
      </c>
      <c r="S3008" s="331" t="str">
        <f ca="1">IF($B2996&lt;&gt;"",$B2996,"")</f>
        <v/>
      </c>
      <c r="T3008" s="332"/>
      <c r="U3008" s="332"/>
      <c r="V3008" s="332"/>
      <c r="W3008" s="332"/>
      <c r="X3008" s="333"/>
      <c r="Y3008" s="329"/>
      <c r="Z3008" s="329"/>
      <c r="AA3008" s="351"/>
      <c r="AB3008" s="351"/>
      <c r="AC3008" s="351"/>
      <c r="AD3008" s="363" t="s">
        <v>1237</v>
      </c>
      <c r="AE3008" s="358"/>
      <c r="AF3008" s="359"/>
    </row>
    <row r="3009" spans="1:32" ht="12.75" customHeight="1">
      <c r="F3009" s="25" t="s">
        <v>3996</v>
      </c>
      <c r="G3009" s="23"/>
      <c r="H3009" s="23"/>
      <c r="I3009" s="23"/>
      <c r="J3009" s="23"/>
      <c r="K3009" s="24"/>
      <c r="R3009" s="330"/>
      <c r="S3009" s="334"/>
      <c r="T3009" s="335"/>
      <c r="U3009" s="335"/>
      <c r="V3009" s="335"/>
      <c r="W3009" s="335"/>
      <c r="X3009" s="336"/>
      <c r="Y3009" s="330"/>
      <c r="Z3009" s="330"/>
      <c r="AA3009" s="330"/>
      <c r="AB3009" s="330"/>
      <c r="AC3009" s="330"/>
      <c r="AD3009" s="360"/>
      <c r="AE3009" s="361"/>
      <c r="AF3009" s="362"/>
    </row>
    <row r="3010" spans="1:32" ht="12.75" customHeight="1">
      <c r="R3010" s="1"/>
      <c r="S3010" s="110"/>
      <c r="T3010" s="110"/>
      <c r="U3010" s="110"/>
      <c r="V3010" s="110"/>
      <c r="W3010" s="110"/>
      <c r="X3010" s="111"/>
      <c r="Y3010" s="111"/>
      <c r="Z3010" s="111"/>
      <c r="AA3010" s="111"/>
    </row>
    <row r="3011" spans="1:32" ht="12.75" customHeight="1">
      <c r="F3011" s="246" t="s">
        <v>4929</v>
      </c>
      <c r="G3011" s="246"/>
      <c r="H3011" s="246"/>
      <c r="I3011" s="246"/>
      <c r="R3011" s="1"/>
      <c r="S3011" s="110"/>
      <c r="T3011" s="110"/>
      <c r="U3011" s="110"/>
      <c r="V3011" s="110"/>
      <c r="W3011" s="110"/>
      <c r="X3011" s="111"/>
      <c r="Y3011" s="111"/>
      <c r="Z3011" s="111"/>
      <c r="AA3011" s="111"/>
    </row>
    <row r="3012" spans="1:32" ht="12.75" customHeight="1">
      <c r="F3012" s="246" t="s">
        <v>4930</v>
      </c>
      <c r="G3012" s="246"/>
      <c r="H3012" s="246"/>
      <c r="I3012" s="246"/>
      <c r="R3012" s="1"/>
      <c r="S3012" s="110"/>
      <c r="T3012" s="110"/>
      <c r="U3012" s="110"/>
      <c r="V3012" s="110"/>
      <c r="W3012" s="110"/>
      <c r="X3012" s="111"/>
      <c r="Y3012" s="111"/>
      <c r="Z3012" s="111"/>
      <c r="AA3012" s="111"/>
    </row>
    <row r="3013" spans="1:32" ht="12.75" customHeight="1">
      <c r="K3013" s="281" t="s">
        <v>1244</v>
      </c>
      <c r="L3013" s="281"/>
      <c r="M3013" s="281"/>
      <c r="N3013" s="281"/>
      <c r="O3013" s="281"/>
      <c r="P3013" s="281"/>
      <c r="R3013" s="1"/>
      <c r="S3013" s="110"/>
      <c r="T3013" s="110"/>
      <c r="U3013" s="110"/>
      <c r="V3013" s="110"/>
      <c r="W3013" s="110"/>
      <c r="X3013" s="111"/>
      <c r="Y3013" s="111"/>
      <c r="Z3013" s="111"/>
      <c r="AA3013" s="111"/>
    </row>
    <row r="3014" spans="1:32" ht="12.75" customHeight="1">
      <c r="A3014" s="12" t="s">
        <v>1229</v>
      </c>
      <c r="B3014" s="11"/>
      <c r="C3014" s="11"/>
      <c r="D3014" s="11" t="str">
        <f>Draw!$B$1</f>
        <v>Enter Division Name</v>
      </c>
      <c r="E3014" s="11"/>
      <c r="F3014" s="7"/>
      <c r="G3014" s="6"/>
      <c r="H3014" s="7"/>
      <c r="I3014" s="11"/>
      <c r="J3014" s="11"/>
      <c r="K3014" s="11"/>
      <c r="L3014" s="11"/>
      <c r="M3014" s="281"/>
      <c r="N3014" s="281"/>
      <c r="O3014" s="281"/>
      <c r="P3014" s="281"/>
      <c r="R3014" s="1"/>
      <c r="S3014" s="110"/>
      <c r="T3014" s="110"/>
      <c r="U3014" s="110"/>
      <c r="V3014" s="110"/>
      <c r="W3014" s="110"/>
      <c r="X3014" s="111"/>
      <c r="Y3014" s="111"/>
      <c r="Z3014" s="111"/>
      <c r="AA3014" s="111"/>
    </row>
    <row r="3015" spans="1:32" ht="12.75" customHeight="1">
      <c r="A3015" s="2" t="s">
        <v>1230</v>
      </c>
      <c r="D3015" s="43" t="str">
        <f>Draw!$D$1</f>
        <v>Enter Hosting Location (City, ST)</v>
      </c>
      <c r="J3015" s="43" t="str">
        <f ca="1">$J$6</f>
        <v>[NCTTA Teams Template (v2.06).xlsx]</v>
      </c>
      <c r="R3015" s="1"/>
      <c r="S3015" s="110"/>
      <c r="T3015" s="110"/>
      <c r="U3015" s="110"/>
      <c r="V3015" s="110"/>
      <c r="W3015" s="110"/>
      <c r="X3015" s="111"/>
      <c r="Y3015" s="111"/>
      <c r="Z3015" s="111"/>
      <c r="AA3015" s="111"/>
    </row>
    <row r="3016" spans="1:32" ht="12.75" customHeight="1">
      <c r="A3016" s="2" t="s">
        <v>1231</v>
      </c>
      <c r="D3016" s="337" t="str">
        <f>Draw!$P$1</f>
        <v>Enter Date</v>
      </c>
      <c r="E3016" s="337"/>
      <c r="F3016" s="337"/>
      <c r="G3016" s="337"/>
      <c r="J3016" s="280" t="str">
        <f>CHOOSE(Draw!$T$1,"Round 10, Match 6","","","","","","","","","","")</f>
        <v/>
      </c>
      <c r="K3016" s="280"/>
      <c r="L3016" s="280"/>
      <c r="M3016" s="276" t="str">
        <f>IF(AND($J3016&lt;&gt;"",Draw!$AC$10&lt;&gt;"",Draw!$AC$13&lt;&gt;""),Draw!$AC$10+TIME(0,VALUE(MID($J3016,7,FIND(",",$J3016)-FIND(" ",$J3016)-1)-1)*Draw!$AC$13,0),"")</f>
        <v/>
      </c>
      <c r="N3016" s="276"/>
      <c r="O3016" s="157" t="str">
        <f>$F3059</f>
        <v>G-J</v>
      </c>
      <c r="R3016" s="1"/>
      <c r="S3016" s="110"/>
      <c r="T3016" s="110"/>
      <c r="U3016" s="110"/>
      <c r="V3016" s="110"/>
      <c r="W3016" s="110"/>
      <c r="X3016" s="111"/>
      <c r="Y3016" s="111"/>
      <c r="Z3016" s="111"/>
      <c r="AA3016" s="111"/>
    </row>
    <row r="3017" spans="1:32" ht="12.75" customHeight="1">
      <c r="A3017" s="14"/>
      <c r="B3017" s="15"/>
      <c r="C3017" s="15"/>
      <c r="D3017" s="15"/>
      <c r="E3017" s="15"/>
      <c r="F3017" s="14"/>
      <c r="G3017" s="14"/>
      <c r="H3017" s="16"/>
      <c r="I3017" s="14"/>
      <c r="J3017" s="15"/>
      <c r="K3017" s="15"/>
      <c r="L3017" s="15"/>
      <c r="M3017" s="15"/>
      <c r="N3017" s="15"/>
      <c r="O3017" s="364" t="str">
        <f>IF(OR(AND(VLOOKUP($B3018,$AM$1:$AX$12,12,FALSE)="C",VLOOKUP($K3018,$AM$1:$AX$12,12,FALSE)="C"),AND(VLOOKUP($B3018,$AM$1:$AX$12,12,FALSE)="W",VLOOKUP($K3018,$AM$1:$AX$12,12,FALSE)="W")),"Official",IF(AND($A3019="",$J3019=""),"","Scrimmage"))</f>
        <v/>
      </c>
      <c r="P3017" s="364"/>
      <c r="R3017" s="1"/>
      <c r="S3017" s="110"/>
      <c r="T3017" s="110"/>
      <c r="U3017" s="110"/>
      <c r="V3017" s="110"/>
      <c r="W3017" s="110"/>
      <c r="X3017" s="111"/>
      <c r="Y3017" s="111"/>
      <c r="Z3017" s="111"/>
      <c r="AA3017" s="111"/>
    </row>
    <row r="3018" spans="1:32" ht="12.75" customHeight="1">
      <c r="A3018" s="17" t="s">
        <v>1228</v>
      </c>
      <c r="B3018" s="119" t="str">
        <f>CHOOSE(Draw!$T$1,"H","E","G","G","H","H","H","H","H","H","E")</f>
        <v>G</v>
      </c>
      <c r="C3018" s="135">
        <f>VLOOKUP($B3018,$AM$1:$AN$12,2)</f>
        <v>7</v>
      </c>
      <c r="D3018" s="13"/>
      <c r="E3018" s="13"/>
      <c r="F3018" s="10"/>
      <c r="H3018" s="19" t="s">
        <v>1232</v>
      </c>
      <c r="J3018" s="17" t="s">
        <v>1228</v>
      </c>
      <c r="K3018" s="119" t="str">
        <f>CHOOSE(Draw!$T$1,"I","L","J","L","L","L","L","L","L","K","L")</f>
        <v>J</v>
      </c>
      <c r="L3018" s="135">
        <f>VLOOKUP($K3018,$AM$1:$AN$12,2)</f>
        <v>10</v>
      </c>
      <c r="M3018" s="13"/>
      <c r="N3018" s="13"/>
      <c r="O3018" s="18"/>
      <c r="P3018" s="274"/>
      <c r="Q3018" s="275"/>
      <c r="R3018" s="1"/>
      <c r="S3018" s="110"/>
      <c r="T3018" s="110"/>
      <c r="U3018" s="110"/>
      <c r="V3018" s="110"/>
      <c r="W3018" s="110"/>
      <c r="X3018" s="111"/>
      <c r="Y3018" s="111"/>
      <c r="Z3018" s="111"/>
      <c r="AA3018" s="111"/>
    </row>
    <row r="3019" spans="1:32" ht="12.75" customHeight="1">
      <c r="A3019" s="277" t="str">
        <f>IF(VLOOKUP($B3018,Draw!$A$4:$B$27,2)&lt;&gt;0,VLOOKUP($B3018,Draw!$A$4:$B$27,2),"")</f>
        <v/>
      </c>
      <c r="B3019" s="278"/>
      <c r="C3019" s="278"/>
      <c r="D3019" s="278"/>
      <c r="E3019" s="278"/>
      <c r="F3019" s="279"/>
      <c r="G3019" s="306" t="s">
        <v>4211</v>
      </c>
      <c r="H3019" s="289"/>
      <c r="I3019" s="307"/>
      <c r="J3019" s="277" t="str">
        <f>IF(VLOOKUP($K3018,Draw!$A$4:$B$27,2)&lt;&gt;0,VLOOKUP($K3018,Draw!$A$4:$B$27,2),"")</f>
        <v/>
      </c>
      <c r="K3019" s="278"/>
      <c r="L3019" s="278"/>
      <c r="M3019" s="278"/>
      <c r="N3019" s="278"/>
      <c r="O3019" s="279"/>
      <c r="P3019" s="15"/>
      <c r="R3019" s="1"/>
      <c r="S3019" s="110"/>
      <c r="T3019" s="110"/>
      <c r="U3019" s="110"/>
      <c r="V3019" s="110"/>
      <c r="W3019" s="110"/>
      <c r="X3019" s="111"/>
      <c r="Y3019" s="111"/>
      <c r="Z3019" s="111"/>
      <c r="AA3019" s="111"/>
    </row>
    <row r="3020" spans="1:32" ht="12.75" customHeight="1">
      <c r="A3020" s="14"/>
      <c r="B3020" s="15"/>
      <c r="C3020" s="15"/>
      <c r="D3020" s="15"/>
      <c r="E3020" s="15"/>
      <c r="F3020" s="14"/>
      <c r="G3020" s="288" t="str">
        <f>"Page "&amp;VALUE(RIGHT($G3019,LEN($G3019)-SEARCH("-",$G3019)))/2</f>
        <v>Page 60</v>
      </c>
      <c r="H3020" s="289"/>
      <c r="I3020" s="289"/>
      <c r="J3020" s="15"/>
      <c r="K3020" s="15"/>
      <c r="L3020" s="15"/>
      <c r="M3020" s="15"/>
      <c r="N3020" s="15"/>
      <c r="O3020" s="15"/>
      <c r="P3020" s="15"/>
      <c r="R3020" s="1"/>
      <c r="S3020" s="110"/>
      <c r="T3020" s="110"/>
      <c r="U3020" s="110"/>
      <c r="V3020" s="110"/>
      <c r="W3020" s="110"/>
      <c r="X3020" s="111"/>
      <c r="Y3020" s="111"/>
      <c r="Z3020" s="111"/>
      <c r="AA3020" s="111"/>
      <c r="AF3020" s="27"/>
    </row>
    <row r="3021" spans="1:32" ht="12.75" customHeight="1">
      <c r="A3021" s="327" t="s">
        <v>1245</v>
      </c>
      <c r="B3021" s="327"/>
      <c r="C3021" s="327"/>
      <c r="D3021" s="327"/>
      <c r="E3021" s="327"/>
      <c r="F3021" s="327"/>
      <c r="G3021" s="327"/>
      <c r="H3021" s="327"/>
      <c r="I3021" s="327"/>
      <c r="J3021" s="327"/>
      <c r="K3021" s="327"/>
      <c r="L3021" s="327"/>
      <c r="M3021" s="327"/>
      <c r="N3021" s="327"/>
      <c r="O3021" s="327"/>
      <c r="P3021" s="327"/>
      <c r="Q3021" s="7"/>
      <c r="R3021" s="1"/>
      <c r="S3021" s="110"/>
      <c r="T3021" s="110"/>
      <c r="U3021" s="110"/>
      <c r="V3021" s="110"/>
      <c r="W3021" s="110"/>
      <c r="X3021" s="111"/>
      <c r="Y3021" s="111"/>
      <c r="Z3021" s="111"/>
      <c r="AA3021" s="111"/>
      <c r="AF3021" s="20"/>
    </row>
    <row r="3022" spans="1:32" ht="12.75" customHeight="1">
      <c r="A3022" s="21" t="s">
        <v>1233</v>
      </c>
      <c r="H3022" s="136" t="str">
        <f>IF($Q3024&lt;&gt;"",IF(AND(AND($H3024&gt;-1,$H3026&gt;-1),OR($H3024&gt;10,$H3026&gt;10),ABS($H3024-$H3026)&gt;1,IF(OR($H3024&gt;11,$H3026&gt;11),ABS($H3024-$H3026)=2,TRUE),$H3024=INT($H3024),$H3026=INT($H3026)),"","Error"),"")</f>
        <v/>
      </c>
      <c r="I3022" s="136" t="str">
        <f>IF($Q3024&lt;&gt;"",IF(AND(AND($I3024&gt;-1,$I3026&gt;-1),OR($I3024&gt;10,$I3026&gt;10),ABS($I3024-$I3026)&gt;1,IF(OR($I3024&gt;11,$I3026&gt;11),ABS($I3024-$I3026)=2,TRUE),$I3024=INT($I3024),$I3026=INT($I3026)),"","Error"),"")</f>
        <v/>
      </c>
      <c r="J3022" s="136" t="str">
        <f>IF($Q3024&lt;&gt;"",IF(AND(AND($J3024&gt;-1,$J3026&gt;-1),OR($J3024&gt;10,$J3026&gt;10),ABS($J3024-$J3026)&gt;1,IF(OR($J3024&gt;11,$J3026&gt;11),ABS($J3024-$J3026)=2,TRUE),$J3024=INT($J3024),$J3026=INT($J3026)),"","Error"),"")</f>
        <v/>
      </c>
      <c r="K3022" s="136" t="str">
        <f>IF($Q3024&lt;&gt;"",IF(AND($K3024&lt;&gt;"",$K3026&lt;&gt;""), IF(AND(AND($K3024&gt;-1,$K3026&gt;-1),OR($K3024&gt;10,$K3026&gt;10),ABS($K3024-$K3026)&gt;1,IF(OR($K3024&gt;11,$K3026&gt;11),ABS($K3024-$K3026)=2,TRUE),$K3024=INT($K3024),$K3026=INT($K3026)),"","Error"),""),"")</f>
        <v/>
      </c>
      <c r="L3022" s="136" t="str">
        <f>IF($Q3024&lt;&gt;"",IF(AND($L3024&lt;&gt;"",$L3026&lt;&gt;""), IF(AND(AND($L3024&gt;-1,$L3026&gt;-1),OR($L3024&gt;10,$L3026&gt;10),ABS($L3024-$L3026)&gt;1,IF(OR($L3024&gt;11,$L3026&gt;11),ABS($L3024-$L3026)=2,TRUE),$L3024=INT($L3024),$L3026=INT($L3026)),"","Error"),""),"")</f>
        <v/>
      </c>
      <c r="R3022" s="1"/>
      <c r="S3022" s="110"/>
      <c r="T3022" s="110"/>
      <c r="U3022" s="110"/>
      <c r="V3022" s="110"/>
      <c r="W3022" s="110"/>
      <c r="X3022" s="111"/>
      <c r="Y3022" s="111"/>
      <c r="Z3022" s="111"/>
      <c r="AA3022" s="111"/>
    </row>
    <row r="3023" spans="1:32" ht="12.75" customHeight="1">
      <c r="A3023" s="5" t="s">
        <v>1228</v>
      </c>
      <c r="B3023" s="290" t="s">
        <v>1126</v>
      </c>
      <c r="C3023" s="291"/>
      <c r="D3023" s="291"/>
      <c r="E3023" s="291"/>
      <c r="F3023" s="291"/>
      <c r="G3023" s="292"/>
      <c r="H3023" s="5">
        <v>1</v>
      </c>
      <c r="I3023" s="5">
        <v>2</v>
      </c>
      <c r="J3023" s="5">
        <v>3</v>
      </c>
      <c r="K3023" s="5">
        <v>4</v>
      </c>
      <c r="L3023" s="5">
        <v>5</v>
      </c>
      <c r="M3023" s="271"/>
      <c r="N3023" s="272"/>
      <c r="O3023" s="272"/>
      <c r="P3023" s="273"/>
      <c r="R3023" s="1"/>
      <c r="S3023" s="110"/>
      <c r="T3023" s="110"/>
      <c r="U3023" s="110"/>
      <c r="V3023" s="110"/>
      <c r="W3023" s="110"/>
      <c r="X3023" s="111"/>
      <c r="Y3023" s="111"/>
      <c r="Z3023" s="111"/>
      <c r="AA3023" s="111"/>
    </row>
    <row r="3024" spans="1:32" ht="12.75" customHeight="1">
      <c r="A3024" s="300" t="str">
        <f>B3018</f>
        <v>G</v>
      </c>
      <c r="B3024" s="293" t="str">
        <f ca="1">IF(AND(OFFSET($AO$1,$C3018-1,8,1,1),$A3019&lt;&gt;"",$J3019&lt;&gt;""),CHOOSE($C3018,$AO$1,$AO$2,$AO$3,$AO$4,$AO$5,$AO$6,$AO$7,$AO$8,$AO$9,$AO$10,$AO$11,$AO$12),"")</f>
        <v/>
      </c>
      <c r="C3024" s="294"/>
      <c r="D3024" s="294"/>
      <c r="E3024" s="294"/>
      <c r="F3024" s="294"/>
      <c r="G3024" s="294"/>
      <c r="H3024" s="265"/>
      <c r="I3024" s="265"/>
      <c r="J3024" s="265"/>
      <c r="K3024" s="265"/>
      <c r="L3024" s="265"/>
      <c r="M3024" s="297"/>
      <c r="N3024" s="298"/>
      <c r="O3024" s="298"/>
      <c r="P3024" s="299"/>
      <c r="Q3024" s="137" t="str">
        <f>IF($L3024=$L3026,IF($K3024=$K3026,IF($J3024&lt;&gt;"",IF($J3024&gt;$J3026,"W","L"),""),IF($K3024&gt;$K3026,"W","L")),IF($L3024&gt;$L3026,"W","L"))</f>
        <v/>
      </c>
      <c r="R3024" s="1"/>
      <c r="S3024" s="110"/>
      <c r="T3024" s="110"/>
      <c r="U3024" s="110"/>
      <c r="V3024" s="110"/>
      <c r="W3024" s="110"/>
      <c r="X3024" s="111"/>
      <c r="Y3024" s="111"/>
      <c r="Z3024" s="111"/>
      <c r="AA3024" s="111"/>
    </row>
    <row r="3025" spans="1:32" ht="12.75" customHeight="1">
      <c r="A3025" s="301"/>
      <c r="B3025" s="295"/>
      <c r="C3025" s="296"/>
      <c r="D3025" s="296"/>
      <c r="E3025" s="296"/>
      <c r="F3025" s="296"/>
      <c r="G3025" s="296"/>
      <c r="H3025" s="270"/>
      <c r="I3025" s="270"/>
      <c r="J3025" s="270"/>
      <c r="K3025" s="270"/>
      <c r="L3025" s="270"/>
      <c r="M3025" s="297"/>
      <c r="N3025" s="298"/>
      <c r="O3025" s="298"/>
      <c r="P3025" s="299"/>
      <c r="Q3025" s="139" t="str">
        <f>IF($Q3024&lt;&gt;"",IF($Q3024="W",IF(SUM(IF($H3024&gt;$H3026,1,0),IF($I3024&gt;$I3026,1,0),IF($J3024&gt;$J3026,1,0),IF($K3024&gt;$K3026,1,0),IF($L3024&gt;$L3026,1,0))&lt;&gt;3,"Error",""),""),"")</f>
        <v/>
      </c>
      <c r="R3025" s="328" t="str">
        <f>$A3019</f>
        <v/>
      </c>
      <c r="S3025" s="328"/>
      <c r="T3025" s="328"/>
      <c r="U3025" s="328"/>
      <c r="V3025" s="328"/>
      <c r="W3025" s="328"/>
      <c r="X3025" s="256" t="str">
        <f>CONCATENATE("(",$B3018," vs ",$K3018,")")</f>
        <v>(G vs J)</v>
      </c>
      <c r="Y3025" s="256"/>
      <c r="Z3025" s="328" t="str">
        <f>$J3019</f>
        <v/>
      </c>
      <c r="AA3025" s="328"/>
      <c r="AB3025" s="328"/>
      <c r="AC3025" s="328"/>
      <c r="AD3025" s="328"/>
      <c r="AE3025" s="328"/>
      <c r="AF3025" s="43"/>
    </row>
    <row r="3026" spans="1:32" ht="12.75" customHeight="1">
      <c r="A3026" s="300" t="str">
        <f>K3018</f>
        <v>J</v>
      </c>
      <c r="B3026" s="293" t="str">
        <f ca="1">IF(AND(OFFSET($AO$1,$L3018-1,8,1,1),$A3019&lt;&gt;"",$J3019&lt;&gt;""),CHOOSE($L3018,$AO$1,$AO$2,$AO$3,$AO$4,$AO$5,$AO$6,$AO$7,$AO$8,$AO$9,$AO$10,$AO$11,$AO$12),"")</f>
        <v/>
      </c>
      <c r="C3026" s="294"/>
      <c r="D3026" s="294"/>
      <c r="E3026" s="294"/>
      <c r="F3026" s="294"/>
      <c r="G3026" s="294"/>
      <c r="H3026" s="265"/>
      <c r="I3026" s="265"/>
      <c r="J3026" s="265"/>
      <c r="K3026" s="265"/>
      <c r="L3026" s="265"/>
      <c r="M3026" s="267" t="s">
        <v>1237</v>
      </c>
      <c r="N3026" s="268"/>
      <c r="O3026" s="268"/>
      <c r="P3026" s="269"/>
      <c r="Q3026" s="137" t="str">
        <f>IF($Q3024&lt;&gt;"",IF($Q3024="W","L","W"),"")</f>
        <v/>
      </c>
      <c r="R3026" s="43"/>
      <c r="S3026" s="43"/>
      <c r="T3026" s="43"/>
      <c r="U3026" s="43"/>
      <c r="V3026" s="43"/>
      <c r="W3026" s="43"/>
      <c r="X3026" s="43"/>
      <c r="Y3026" s="43"/>
      <c r="Z3026" s="43"/>
      <c r="AA3026" s="43"/>
      <c r="AB3026" s="43"/>
      <c r="AC3026" s="43"/>
      <c r="AD3026" s="43"/>
      <c r="AE3026" s="43"/>
      <c r="AF3026" s="43"/>
    </row>
    <row r="3027" spans="1:32" ht="12.75" customHeight="1">
      <c r="A3027" s="301"/>
      <c r="B3027" s="295"/>
      <c r="C3027" s="296"/>
      <c r="D3027" s="296"/>
      <c r="E3027" s="296"/>
      <c r="F3027" s="296"/>
      <c r="G3027" s="296"/>
      <c r="H3027" s="270"/>
      <c r="I3027" s="270"/>
      <c r="J3027" s="266"/>
      <c r="K3027" s="266"/>
      <c r="L3027" s="266"/>
      <c r="M3027" s="267"/>
      <c r="N3027" s="268"/>
      <c r="O3027" s="268"/>
      <c r="P3027" s="269"/>
      <c r="Q3027" s="139" t="str">
        <f>IF($Q3026&lt;&gt;"",IF($Q3026="W",IF(SUM(IF($H3026&gt;$H3024,1,0),IF($I3026&gt;$I3024,1,0),IF($J3026&gt;$J3024,1,0),IF($K3026&gt;$K3024,1,0),IF($L3026&gt;$L3024,1,0))&lt;&gt;3,"Error",""),""),"")</f>
        <v/>
      </c>
      <c r="R3027" s="43" t="str">
        <f>$A3029</f>
        <v>2nd Singles</v>
      </c>
      <c r="S3027" s="43"/>
      <c r="T3027" s="43"/>
      <c r="U3027" s="43"/>
      <c r="V3027" s="43"/>
      <c r="W3027" s="43"/>
      <c r="X3027" s="43"/>
      <c r="Y3027" s="43"/>
      <c r="Z3027" s="43"/>
      <c r="AA3027" s="43"/>
      <c r="AB3027" s="43"/>
      <c r="AC3027" s="43"/>
      <c r="AD3027" s="43"/>
      <c r="AE3027" s="43"/>
      <c r="AF3027" s="43"/>
    </row>
    <row r="3028" spans="1:32" ht="12.75" customHeight="1">
      <c r="Q3028" s="7"/>
      <c r="R3028" s="60" t="s">
        <v>1228</v>
      </c>
      <c r="S3028" s="339" t="s">
        <v>1126</v>
      </c>
      <c r="T3028" s="340"/>
      <c r="U3028" s="340"/>
      <c r="V3028" s="340"/>
      <c r="W3028" s="340"/>
      <c r="X3028" s="341"/>
      <c r="Y3028" s="60">
        <v>1</v>
      </c>
      <c r="Z3028" s="60">
        <v>2</v>
      </c>
      <c r="AA3028" s="60">
        <v>3</v>
      </c>
      <c r="AB3028" s="60">
        <v>4</v>
      </c>
      <c r="AC3028" s="60">
        <v>5</v>
      </c>
      <c r="AD3028" s="342"/>
      <c r="AE3028" s="343"/>
      <c r="AF3028" s="344"/>
    </row>
    <row r="3029" spans="1:32" ht="12.75" customHeight="1">
      <c r="A3029" s="21" t="s">
        <v>1234</v>
      </c>
      <c r="H3029" s="136" t="str">
        <f>IF($Q3031&lt;&gt;"",IF(AND(AND($H3031&gt;-1,$H3033&gt;-1),OR($H3031&gt;10,$H3033&gt;10),ABS($H3031-$H3033)&gt;1,IF(OR($H3031&gt;11,$H3033&gt;11),ABS($H3031-$H3033)=2,TRUE),$H3031=INT($H3031),$H3033=INT($H3033)),"","Error"),"")</f>
        <v/>
      </c>
      <c r="I3029" s="136" t="str">
        <f>IF($Q3031&lt;&gt;"",IF(AND(AND($I3031&gt;-1,$I3033&gt;-1),OR($I3031&gt;10,$I3033&gt;10),ABS($I3031-$I3033)&gt;1,IF(OR($I3031&gt;11,$I3033&gt;11),ABS($I3031-$I3033)=2,TRUE),$I3031=INT($I3031),$I3033=INT($I3033)),"","Error"),"")</f>
        <v/>
      </c>
      <c r="J3029" s="136" t="str">
        <f>IF($Q3031&lt;&gt;"",IF(AND(AND($J3031&gt;-1,$J3033&gt;-1),OR($J3031&gt;10,$J3033&gt;10),ABS($J3031-$J3033)&gt;1,IF(OR($J3031&gt;11,$J3033&gt;11),ABS($J3031-$J3033)=2,TRUE),$J3031=INT($J3031),$J3033=INT($J3033)),"","Error"),"")</f>
        <v/>
      </c>
      <c r="K3029" s="136" t="str">
        <f>IF($Q3031&lt;&gt;"",IF(AND($K3031&lt;&gt;"",$K3033&lt;&gt;""), IF(AND(AND($K3031&gt;-1,$K3033&gt;-1),OR($K3031&gt;10,$K3033&gt;10),ABS($K3031-$K3033)&gt;1,IF(OR($K3031&gt;11,$K3033&gt;11),ABS($K3031-$K3033)=2,TRUE),$K3031=INT($K3031),$K3033=INT($K3033)),"","Error"),""),"")</f>
        <v/>
      </c>
      <c r="L3029" s="136" t="str">
        <f>IF($Q3031&lt;&gt;"",IF(AND($L3031&lt;&gt;"",$L3033&lt;&gt;""), IF(AND(AND($L3031&gt;-1,$L3033&gt;-1),OR($L3031&gt;10,$L3033&gt;10),ABS($L3031-$L3033)&gt;1,IF(OR($L3031&gt;11,$L3033&gt;11),ABS($L3031-$L3033)=2,TRUE),$L3031=INT($L3031),$L3033=INT($L3033)),"","Error"),""),"")</f>
        <v/>
      </c>
      <c r="Q3029" s="7"/>
      <c r="R3029" s="300" t="str">
        <f>$B3018</f>
        <v>G</v>
      </c>
      <c r="S3029" s="331" t="str">
        <f ca="1">IF($B3031&lt;&gt;"",$B3031,"")</f>
        <v/>
      </c>
      <c r="T3029" s="332"/>
      <c r="U3029" s="332"/>
      <c r="V3029" s="332"/>
      <c r="W3029" s="332"/>
      <c r="X3029" s="333"/>
      <c r="Y3029" s="329"/>
      <c r="Z3029" s="329"/>
      <c r="AA3029" s="329"/>
      <c r="AB3029" s="329"/>
      <c r="AC3029" s="329"/>
      <c r="AD3029" s="345"/>
      <c r="AE3029" s="358"/>
      <c r="AF3029" s="359"/>
    </row>
    <row r="3030" spans="1:32" ht="12.75" customHeight="1">
      <c r="A3030" s="5" t="s">
        <v>1228</v>
      </c>
      <c r="B3030" s="290" t="s">
        <v>1126</v>
      </c>
      <c r="C3030" s="291"/>
      <c r="D3030" s="291"/>
      <c r="E3030" s="291"/>
      <c r="F3030" s="291"/>
      <c r="G3030" s="292"/>
      <c r="H3030" s="5">
        <v>1</v>
      </c>
      <c r="I3030" s="5">
        <v>2</v>
      </c>
      <c r="J3030" s="5">
        <v>3</v>
      </c>
      <c r="K3030" s="5">
        <v>4</v>
      </c>
      <c r="L3030" s="5">
        <v>5</v>
      </c>
      <c r="M3030" s="271"/>
      <c r="N3030" s="272"/>
      <c r="O3030" s="272"/>
      <c r="P3030" s="273"/>
      <c r="Q3030" s="7"/>
      <c r="R3030" s="330"/>
      <c r="S3030" s="334"/>
      <c r="T3030" s="335"/>
      <c r="U3030" s="335"/>
      <c r="V3030" s="335"/>
      <c r="W3030" s="335"/>
      <c r="X3030" s="336"/>
      <c r="Y3030" s="330"/>
      <c r="Z3030" s="330"/>
      <c r="AA3030" s="330"/>
      <c r="AB3030" s="330"/>
      <c r="AC3030" s="330"/>
      <c r="AD3030" s="360"/>
      <c r="AE3030" s="361"/>
      <c r="AF3030" s="362"/>
    </row>
    <row r="3031" spans="1:32" ht="12.75" customHeight="1">
      <c r="A3031" s="300" t="str">
        <f>B3018</f>
        <v>G</v>
      </c>
      <c r="B3031" s="293" t="str">
        <f ca="1">IF(AND(OFFSET($AO$1,$C3018-1,8,1,1),$A3019&lt;&gt;"",$J3019&lt;&gt;""),CHOOSE($C3018,$AP$1,$AP$2,$AP$3,$AP$4,$AP$5,$AP$6,$AP$7,$AP$8,$AP$9,$AP$10,$AP$11,$AP$12),"")</f>
        <v/>
      </c>
      <c r="C3031" s="294"/>
      <c r="D3031" s="294"/>
      <c r="E3031" s="294"/>
      <c r="F3031" s="294"/>
      <c r="G3031" s="294"/>
      <c r="H3031" s="265"/>
      <c r="I3031" s="265"/>
      <c r="J3031" s="265"/>
      <c r="K3031" s="265"/>
      <c r="L3031" s="265"/>
      <c r="M3031" s="262" t="str">
        <f ca="1">IF(OR(AND($B3024&lt;&gt;"",$B3031&lt;&gt;"",$C3049&lt;=$B3049),AND($B3026&lt;&gt;"",$B3033&lt;&gt;"",$G3049&lt;=$F3049)),"Invalid Lineup","")</f>
        <v/>
      </c>
      <c r="N3031" s="263"/>
      <c r="O3031" s="263"/>
      <c r="P3031" s="264"/>
      <c r="Q3031" s="137" t="str">
        <f>IF($L3031=$L3033,IF($K3031=$K3033,IF($J3031&lt;&gt;"",IF($J3031&gt;$J3033,"W","L"),""),IF($K3031&gt;$K3033,"W","L")),IF($L3031&gt;$L3033,"W","L"))</f>
        <v/>
      </c>
      <c r="R3031" s="300" t="str">
        <f>$K3018</f>
        <v>J</v>
      </c>
      <c r="S3031" s="331" t="str">
        <f ca="1">IF($B3033&lt;&gt;"",$B3033,"")</f>
        <v/>
      </c>
      <c r="T3031" s="332"/>
      <c r="U3031" s="332"/>
      <c r="V3031" s="332"/>
      <c r="W3031" s="332"/>
      <c r="X3031" s="333"/>
      <c r="Y3031" s="329"/>
      <c r="Z3031" s="329"/>
      <c r="AA3031" s="329"/>
      <c r="AB3031" s="329"/>
      <c r="AC3031" s="351"/>
      <c r="AD3031" s="363" t="s">
        <v>1237</v>
      </c>
      <c r="AE3031" s="358"/>
      <c r="AF3031" s="359"/>
    </row>
    <row r="3032" spans="1:32" ht="12.75" customHeight="1">
      <c r="A3032" s="301"/>
      <c r="B3032" s="295"/>
      <c r="C3032" s="296"/>
      <c r="D3032" s="296"/>
      <c r="E3032" s="296"/>
      <c r="F3032" s="296"/>
      <c r="G3032" s="296"/>
      <c r="H3032" s="270"/>
      <c r="I3032" s="270"/>
      <c r="J3032" s="270"/>
      <c r="K3032" s="270"/>
      <c r="L3032" s="270"/>
      <c r="M3032" s="262"/>
      <c r="N3032" s="263"/>
      <c r="O3032" s="263"/>
      <c r="P3032" s="264"/>
      <c r="Q3032" s="139" t="str">
        <f>IF($Q3031&lt;&gt;"",IF($Q3031="W",IF(SUM(IF($H3031&gt;$H3033,1,0),IF($I3031&gt;$I3033,1,0),IF($J3031&gt;$J3033,1,0),IF($K3031&gt;$K3033,1,0),IF($L3031&gt;$L3033,1,0))&lt;&gt;3,"Error",""),""),"")</f>
        <v/>
      </c>
      <c r="R3032" s="330"/>
      <c r="S3032" s="334"/>
      <c r="T3032" s="335"/>
      <c r="U3032" s="335"/>
      <c r="V3032" s="335"/>
      <c r="W3032" s="335"/>
      <c r="X3032" s="336"/>
      <c r="Y3032" s="330"/>
      <c r="Z3032" s="330"/>
      <c r="AA3032" s="330"/>
      <c r="AB3032" s="330"/>
      <c r="AC3032" s="330"/>
      <c r="AD3032" s="360"/>
      <c r="AE3032" s="361"/>
      <c r="AF3032" s="362"/>
    </row>
    <row r="3033" spans="1:32" ht="12.75" customHeight="1">
      <c r="A3033" s="300" t="str">
        <f>K3018</f>
        <v>J</v>
      </c>
      <c r="B3033" s="293" t="str">
        <f ca="1">IF(AND(OFFSET($AO$1,$L3018-1,8,1,1),$A3019&lt;&gt;"",$J3019&lt;&gt;""),CHOOSE($L3018,$AP$1,$AP$2,$AP$3,$AP$4,$AP$5,$AP$6,$AP$7,$AP$8,$AP$9,$AP$10,$AP$11,$AP$12),"")</f>
        <v/>
      </c>
      <c r="C3033" s="294"/>
      <c r="D3033" s="294"/>
      <c r="E3033" s="294"/>
      <c r="F3033" s="294"/>
      <c r="G3033" s="294"/>
      <c r="H3033" s="265"/>
      <c r="I3033" s="265"/>
      <c r="J3033" s="265"/>
      <c r="K3033" s="265"/>
      <c r="L3033" s="265"/>
      <c r="M3033" s="267" t="s">
        <v>1237</v>
      </c>
      <c r="N3033" s="268"/>
      <c r="O3033" s="268"/>
      <c r="P3033" s="269"/>
      <c r="Q3033" s="137" t="str">
        <f>IF($Q3031&lt;&gt;"",IF($Q3031="W","L","W"),"")</f>
        <v/>
      </c>
      <c r="R3033" s="20"/>
      <c r="S3033" s="20"/>
      <c r="T3033" s="20"/>
      <c r="U3033" s="20"/>
      <c r="V3033" s="20"/>
      <c r="W3033" s="20"/>
      <c r="X3033" s="26"/>
      <c r="Y3033" s="26"/>
      <c r="Z3033" s="20"/>
      <c r="AA3033" s="20"/>
      <c r="AB3033" s="20"/>
      <c r="AC3033" s="20"/>
      <c r="AD3033" s="20"/>
      <c r="AE3033" s="20"/>
      <c r="AF3033" s="27"/>
    </row>
    <row r="3034" spans="1:32" ht="12.75" customHeight="1">
      <c r="A3034" s="301"/>
      <c r="B3034" s="295"/>
      <c r="C3034" s="296"/>
      <c r="D3034" s="296"/>
      <c r="E3034" s="296"/>
      <c r="F3034" s="296"/>
      <c r="G3034" s="296"/>
      <c r="H3034" s="270"/>
      <c r="I3034" s="270"/>
      <c r="J3034" s="266"/>
      <c r="K3034" s="266"/>
      <c r="L3034" s="266"/>
      <c r="M3034" s="267"/>
      <c r="N3034" s="268"/>
      <c r="O3034" s="268"/>
      <c r="P3034" s="269"/>
      <c r="Q3034" s="139" t="str">
        <f>IF($Q3033&lt;&gt;"",IF($Q3033="W",IF(SUM(IF($H3033&gt;$H3031,1,0),IF($I3033&gt;$I3031,1,0),IF($J3033&gt;$J3031,1,0),IF($K3033&gt;$K3031,1,0),IF($L3033&gt;$L3031,1,0))&lt;&gt;3,"Error",""),""),"")</f>
        <v/>
      </c>
      <c r="R3034" s="20"/>
      <c r="S3034" s="20"/>
      <c r="T3034" s="20"/>
      <c r="U3034" s="20"/>
      <c r="V3034" s="20"/>
      <c r="W3034" s="20"/>
      <c r="X3034" s="26"/>
      <c r="Y3034" s="26"/>
      <c r="Z3034" s="20"/>
      <c r="AA3034" s="20"/>
      <c r="AB3034" s="20"/>
      <c r="AC3034" s="20"/>
      <c r="AD3034" s="20"/>
      <c r="AE3034" s="20"/>
      <c r="AF3034" s="27"/>
    </row>
    <row r="3035" spans="1:32" ht="12.75" customHeight="1">
      <c r="Q3035" s="7"/>
      <c r="R3035" s="20"/>
      <c r="S3035" s="20"/>
      <c r="T3035" s="20"/>
      <c r="U3035" s="20"/>
      <c r="V3035" s="20"/>
      <c r="W3035" s="20"/>
      <c r="X3035" s="26"/>
      <c r="Y3035" s="26"/>
      <c r="Z3035" s="20"/>
      <c r="AA3035" s="20"/>
      <c r="AB3035" s="20"/>
      <c r="AC3035" s="20"/>
      <c r="AD3035" s="20"/>
      <c r="AE3035" s="20"/>
      <c r="AF3035" s="27"/>
    </row>
    <row r="3036" spans="1:32" ht="12.75" customHeight="1">
      <c r="A3036" s="21" t="s">
        <v>1235</v>
      </c>
      <c r="H3036" s="136" t="str">
        <f>IF($Q3038&lt;&gt;"",IF(AND(AND($H3038&gt;-1,$H3040&gt;-1),OR($H3038&gt;10,$H3040&gt;10),ABS($H3038-$H3040)&gt;1,IF(OR($H3038&gt;11,$H3040&gt;11),ABS($H3038-$H3040)=2,TRUE),$H3038=INT($H3038),$H3040=INT($H3040)),"","Error"),"")</f>
        <v/>
      </c>
      <c r="I3036" s="136" t="str">
        <f>IF($Q3038&lt;&gt;"",IF(AND(AND($I3038&gt;-1,$I3040&gt;-1),OR($I3038&gt;10,$I3040&gt;10),ABS($I3038-$I3040)&gt;1,IF(OR($I3038&gt;11,$I3040&gt;11),ABS($I3038-$I3040)=2,TRUE),$I3038=INT($I3038),$I3040=INT($I3040)),"","Error"),"")</f>
        <v/>
      </c>
      <c r="J3036" s="136" t="str">
        <f>IF($Q3038&lt;&gt;"",IF(AND(AND($J3038&gt;-1,$J3040&gt;-1),OR($J3038&gt;10,$J3040&gt;10),ABS($J3038-$J3040)&gt;1,IF(OR($J3038&gt;11,$J3040&gt;11),ABS($J3038-$J3040)=2,TRUE),$J3038=INT($J3038),$J3040=INT($J3040)),"","Error"),"")</f>
        <v/>
      </c>
      <c r="K3036" s="136" t="str">
        <f>IF($Q3038&lt;&gt;"",IF(AND($K3038&lt;&gt;"",$K3040&lt;&gt;""), IF(AND(AND($K3038&gt;-1,$K3040&gt;-1),OR($K3038&gt;10,$K3040&gt;10),ABS($K3038-$K3040)&gt;1,IF(OR($K3038&gt;11,$K3040&gt;11),ABS($K3038-$K3040)=2,TRUE),$K3038=INT($K3038),$K3040=INT($K3040)),"","Error"),""),"")</f>
        <v/>
      </c>
      <c r="L3036" s="136" t="str">
        <f>IF($Q3038&lt;&gt;"",IF(AND($L3038&lt;&gt;"",$L3040&lt;&gt;""), IF(AND(AND($L3038&gt;-1,$L3040&gt;-1),OR($L3038&gt;10,$L3040&gt;10),ABS($L3038-$L3040)&gt;1,IF(OR($L3038&gt;11,$L3040&gt;11),ABS($L3038-$L3040)=2,TRUE),$L3038=INT($L3038),$L3040=INT($L3040)),"","Error"),""),"")</f>
        <v/>
      </c>
      <c r="Q3036" s="7"/>
      <c r="R3036" s="20"/>
      <c r="S3036" s="20"/>
      <c r="T3036" s="20"/>
      <c r="U3036" s="20"/>
      <c r="V3036" s="20"/>
      <c r="W3036" s="20"/>
      <c r="X3036" s="26"/>
      <c r="Y3036" s="26"/>
      <c r="Z3036" s="20"/>
      <c r="AA3036" s="20"/>
      <c r="AB3036" s="20"/>
      <c r="AC3036" s="20"/>
      <c r="AD3036" s="20"/>
      <c r="AE3036" s="20"/>
      <c r="AF3036" s="27"/>
    </row>
    <row r="3037" spans="1:32" ht="12.75" customHeight="1">
      <c r="A3037" s="5" t="s">
        <v>1228</v>
      </c>
      <c r="B3037" s="290" t="s">
        <v>1126</v>
      </c>
      <c r="C3037" s="291"/>
      <c r="D3037" s="291"/>
      <c r="E3037" s="291"/>
      <c r="F3037" s="291"/>
      <c r="G3037" s="292"/>
      <c r="H3037" s="5">
        <v>1</v>
      </c>
      <c r="I3037" s="5">
        <v>2</v>
      </c>
      <c r="J3037" s="5">
        <v>3</v>
      </c>
      <c r="K3037" s="5">
        <v>4</v>
      </c>
      <c r="L3037" s="5">
        <v>5</v>
      </c>
      <c r="M3037" s="271"/>
      <c r="N3037" s="272"/>
      <c r="O3037" s="272"/>
      <c r="P3037" s="273"/>
      <c r="Q3037" s="7"/>
      <c r="R3037" s="20"/>
      <c r="S3037" s="20"/>
      <c r="T3037" s="20"/>
      <c r="U3037" s="20"/>
      <c r="V3037" s="20"/>
      <c r="W3037" s="20"/>
      <c r="X3037" s="26"/>
      <c r="Y3037" s="26"/>
      <c r="Z3037" s="20"/>
      <c r="AA3037" s="20"/>
      <c r="AB3037" s="20"/>
      <c r="AC3037" s="20"/>
      <c r="AD3037" s="20"/>
      <c r="AE3037" s="20"/>
      <c r="AF3037" s="27"/>
    </row>
    <row r="3038" spans="1:32" ht="12.75" customHeight="1">
      <c r="A3038" s="300" t="str">
        <f>B3018</f>
        <v>G</v>
      </c>
      <c r="B3038" s="293" t="str">
        <f ca="1">IF(AND(OFFSET($AO$1,$C3018-1,8,1,1),$A3019&lt;&gt;"",$J3019&lt;&gt;""),CHOOSE($C3018,$AQ$1,$AQ$2,$AQ$3,$AQ$4,$AQ$5,$AQ$6,$AQ$7,$AQ$8,$AQ$9,$AQ$10,$AQ$11,$AQ$12),"")</f>
        <v/>
      </c>
      <c r="C3038" s="294"/>
      <c r="D3038" s="294"/>
      <c r="E3038" s="294"/>
      <c r="F3038" s="294"/>
      <c r="G3038" s="294"/>
      <c r="H3038" s="265"/>
      <c r="I3038" s="265"/>
      <c r="J3038" s="265"/>
      <c r="K3038" s="265"/>
      <c r="L3038" s="265"/>
      <c r="M3038" s="262" t="str">
        <f ca="1">IF(OR(AND($B3031&lt;&gt;"",$B3038&lt;&gt;"",$D3049&lt;=$C3049),AND($B3033&lt;&gt;"",$B3040&lt;&gt;"",$H3049&lt;=$G3049)),"Invalid Lineup","")</f>
        <v/>
      </c>
      <c r="N3038" s="263"/>
      <c r="O3038" s="263"/>
      <c r="P3038" s="264"/>
      <c r="Q3038" s="137" t="str">
        <f>IF($L3038=$L3040,IF($K3038=$K3040,IF($J3038&lt;&gt;"",IF($J3038&gt;$J3040,"W","L"),""),IF($K3038&gt;$K3040,"W","L")),IF($L3038&gt;$L3040,"W","L"))</f>
        <v/>
      </c>
      <c r="R3038" s="20"/>
      <c r="S3038" s="20"/>
      <c r="T3038" s="20"/>
      <c r="U3038" s="20"/>
      <c r="V3038" s="20"/>
      <c r="W3038" s="20"/>
      <c r="X3038" s="26"/>
      <c r="Y3038" s="26"/>
      <c r="Z3038" s="20"/>
      <c r="AA3038" s="20"/>
      <c r="AB3038" s="20"/>
      <c r="AC3038" s="20"/>
      <c r="AD3038" s="20"/>
      <c r="AE3038" s="20"/>
      <c r="AF3038" s="27"/>
    </row>
    <row r="3039" spans="1:32" ht="12.75" customHeight="1">
      <c r="A3039" s="301"/>
      <c r="B3039" s="295"/>
      <c r="C3039" s="296"/>
      <c r="D3039" s="296"/>
      <c r="E3039" s="296"/>
      <c r="F3039" s="296"/>
      <c r="G3039" s="296"/>
      <c r="H3039" s="270"/>
      <c r="I3039" s="270"/>
      <c r="J3039" s="270"/>
      <c r="K3039" s="270"/>
      <c r="L3039" s="270"/>
      <c r="M3039" s="262"/>
      <c r="N3039" s="263"/>
      <c r="O3039" s="263"/>
      <c r="P3039" s="264"/>
      <c r="Q3039" s="139" t="str">
        <f>IF($Q3038&lt;&gt;"",IF($Q3038="W",IF(SUM(IF($H3038&gt;$H3040,1,0),IF($I3038&gt;$I3040,1,0),IF($J3038&gt;$J3040,1,0),IF($K3038&gt;$K3040,1,0),IF($L3038&gt;$L3040,1,0))&lt;&gt;3,"Error",""),""),"")</f>
        <v/>
      </c>
      <c r="R3039" s="328" t="str">
        <f>$A3019</f>
        <v/>
      </c>
      <c r="S3039" s="328"/>
      <c r="T3039" s="328"/>
      <c r="U3039" s="328"/>
      <c r="V3039" s="328"/>
      <c r="W3039" s="328"/>
      <c r="X3039" s="256" t="str">
        <f>CONCATENATE("(",$B3018," vs ",$K3018,")")</f>
        <v>(G vs J)</v>
      </c>
      <c r="Y3039" s="256"/>
      <c r="Z3039" s="328" t="str">
        <f>$J3019</f>
        <v/>
      </c>
      <c r="AA3039" s="328"/>
      <c r="AB3039" s="328"/>
      <c r="AC3039" s="328"/>
      <c r="AD3039" s="328"/>
      <c r="AE3039" s="328"/>
      <c r="AF3039" s="100"/>
    </row>
    <row r="3040" spans="1:32" ht="12.75" customHeight="1">
      <c r="A3040" s="300" t="str">
        <f>K3018</f>
        <v>J</v>
      </c>
      <c r="B3040" s="293" t="str">
        <f ca="1">IF(AND(OFFSET($AO$1,$L3018-1,8,1,1),$A3019&lt;&gt;"",$J3019&lt;&gt;""),CHOOSE($L3018,$AQ$1,$AQ$2,$AQ$3,$AQ$4,$AQ$5,$AQ$6,$AQ$7,$AQ$8,$AQ$9,$AQ$10,$AQ$11,$AQ$12),"")</f>
        <v/>
      </c>
      <c r="C3040" s="294"/>
      <c r="D3040" s="294"/>
      <c r="E3040" s="294"/>
      <c r="F3040" s="294"/>
      <c r="G3040" s="294"/>
      <c r="H3040" s="265"/>
      <c r="I3040" s="265"/>
      <c r="J3040" s="265"/>
      <c r="K3040" s="265"/>
      <c r="L3040" s="265"/>
      <c r="M3040" s="267" t="s">
        <v>1237</v>
      </c>
      <c r="N3040" s="268"/>
      <c r="O3040" s="268"/>
      <c r="P3040" s="269"/>
      <c r="Q3040" s="137" t="str">
        <f>IF($Q3038&lt;&gt;"",IF($Q3038="W","L","W"),"")</f>
        <v/>
      </c>
      <c r="R3040" s="100"/>
      <c r="S3040" s="100"/>
      <c r="T3040" s="100"/>
      <c r="U3040" s="100"/>
      <c r="V3040" s="100"/>
      <c r="W3040" s="100"/>
      <c r="X3040" s="100"/>
      <c r="Y3040" s="100"/>
      <c r="Z3040" s="100"/>
      <c r="AA3040" s="100"/>
      <c r="AB3040" s="100"/>
      <c r="AC3040" s="100"/>
      <c r="AD3040" s="100"/>
      <c r="AE3040" s="100"/>
      <c r="AF3040" s="100"/>
    </row>
    <row r="3041" spans="1:32" ht="12.75" customHeight="1">
      <c r="A3041" s="301"/>
      <c r="B3041" s="295"/>
      <c r="C3041" s="296"/>
      <c r="D3041" s="296"/>
      <c r="E3041" s="296"/>
      <c r="F3041" s="296"/>
      <c r="G3041" s="296"/>
      <c r="H3041" s="270"/>
      <c r="I3041" s="270"/>
      <c r="J3041" s="266"/>
      <c r="K3041" s="266"/>
      <c r="L3041" s="266"/>
      <c r="M3041" s="267"/>
      <c r="N3041" s="268"/>
      <c r="O3041" s="268"/>
      <c r="P3041" s="269"/>
      <c r="Q3041" s="139" t="str">
        <f>IF($Q3040&lt;&gt;"",IF($Q3040="W",IF(SUM(IF($H3040&gt;$H3038,1,0),IF($I3040&gt;$I3038,1,0),IF($J3040&gt;$J3038,1,0),IF($K3040&gt;$K3038,1,0),IF($L3040&gt;$L3038,1,0))&lt;&gt;3,"Error",""),""),"")</f>
        <v/>
      </c>
      <c r="R3041" s="43" t="str">
        <f>$A3036</f>
        <v>3rd Singles</v>
      </c>
      <c r="S3041" s="43"/>
      <c r="T3041" s="43"/>
      <c r="U3041" s="43"/>
      <c r="V3041" s="43"/>
      <c r="W3041" s="43"/>
      <c r="X3041" s="43"/>
      <c r="Y3041" s="43"/>
      <c r="Z3041" s="43"/>
      <c r="AA3041" s="43"/>
      <c r="AB3041" s="43"/>
      <c r="AC3041" s="43"/>
      <c r="AD3041" s="43"/>
      <c r="AE3041" s="43"/>
      <c r="AF3041" s="43"/>
    </row>
    <row r="3042" spans="1:32" ht="12.75" customHeight="1">
      <c r="Q3042" s="7"/>
      <c r="R3042" s="60" t="s">
        <v>1228</v>
      </c>
      <c r="S3042" s="101" t="s">
        <v>1126</v>
      </c>
      <c r="T3042" s="102"/>
      <c r="U3042" s="102"/>
      <c r="V3042" s="102"/>
      <c r="W3042" s="102"/>
      <c r="X3042" s="103"/>
      <c r="Y3042" s="60">
        <v>1</v>
      </c>
      <c r="Z3042" s="60">
        <v>2</v>
      </c>
      <c r="AA3042" s="60">
        <v>3</v>
      </c>
      <c r="AB3042" s="60">
        <v>4</v>
      </c>
      <c r="AC3042" s="60">
        <v>5</v>
      </c>
      <c r="AD3042" s="104"/>
      <c r="AE3042" s="105"/>
      <c r="AF3042" s="106"/>
    </row>
    <row r="3043" spans="1:32" ht="12.75" customHeight="1">
      <c r="A3043" s="21" t="s">
        <v>1236</v>
      </c>
      <c r="H3043" s="136" t="str">
        <f ca="1">IF($Q3045&lt;&gt;"",IF(AND($B3045&lt;&gt;"Missing Player",$B3047&lt;&gt;"Missing Player"),IF(AND(AND($H3045&gt;-1,$H3047&gt;-1),OR($H3045&gt;10,$H3047&gt;10),ABS($H3045-$H3047)&gt;1,IF(OR($H3045&gt;11,$H3047&gt;11),ABS($H3045-$H3047)=2,TRUE),$H3045=INT($H3045),$H3047=INT($H3047)),"","Error"),""),"")</f>
        <v/>
      </c>
      <c r="I3043" s="136" t="str">
        <f ca="1">IF($Q3045&lt;&gt;"",IF(AND($B3045&lt;&gt;"Missing Player",$B3047&lt;&gt;"Missing Player"),IF(AND(AND($I3045&gt;-1,$I3047&gt;-1),OR($I3045&gt;10,$I3047&gt;10),ABS($I3045-$I3047)&gt;1,IF(OR($I3045&gt;11,$I3047&gt;11),ABS($I3045-$I3047)=2,TRUE),$I3045=INT($I3045),$I3047=INT($I3047)),"","Error"),""),"")</f>
        <v/>
      </c>
      <c r="J3043" s="136" t="str">
        <f ca="1">IF($Q3045&lt;&gt;"",IF(AND($B3045&lt;&gt;"Missing Player",$B3047&lt;&gt;"Missing Player"),IF(AND(AND($J3045&gt;-1,$J3047&gt;-1),OR($J3045&gt;10,$J3047&gt;10),ABS($J3045-$J3047)&gt;1,IF(OR($J3045&gt;11,$J3047&gt;11),ABS($J3045-$J3047)=2,TRUE),$J3045=INT($J3045),$J3047=INT($J3047)),"","Error"),""),"")</f>
        <v/>
      </c>
      <c r="K3043" s="136" t="str">
        <f ca="1">IF($Q3045&lt;&gt;"",IF(AND($K3045&lt;&gt;"",$K3047&lt;&gt;""), IF(AND(AND($K3045&gt;-1,$K3047&gt;-1),OR($K3045&gt;10,$K3047&gt;10),ABS($K3045-$K3047)&gt;1,IF(OR($K3045&gt;11,$K3047&gt;11),ABS($K3045-$K3047)=2,TRUE),$K3045=INT($K3045),$K3047=INT($K3047)),"","Error"),""),"")</f>
        <v/>
      </c>
      <c r="L3043" s="136" t="str">
        <f ca="1">IF($Q3045&lt;&gt;"",IF(AND($L3045&lt;&gt;"",$L3047&lt;&gt;""), IF(AND(AND($L3045&gt;-1,$L3047&gt;-1),OR($L3045&gt;10,$L3047&gt;10),ABS($L3045-$L3047)&gt;1,IF(OR($L3045&gt;11,$L3047&gt;11),ABS($L3045-$L3047)=2,TRUE),$L3045=INT($L3045),$L3047=INT($L3047)),"","Error"),""),"")</f>
        <v/>
      </c>
      <c r="Q3043" s="7"/>
      <c r="R3043" s="300" t="str">
        <f>$B3018</f>
        <v>G</v>
      </c>
      <c r="S3043" s="331" t="str">
        <f ca="1">IF($B3038&lt;&gt;"",$B3038,"")</f>
        <v/>
      </c>
      <c r="T3043" s="332"/>
      <c r="U3043" s="332"/>
      <c r="V3043" s="332"/>
      <c r="W3043" s="332"/>
      <c r="X3043" s="333"/>
      <c r="Y3043" s="329"/>
      <c r="Z3043" s="329"/>
      <c r="AA3043" s="329"/>
      <c r="AB3043" s="329"/>
      <c r="AC3043" s="329"/>
      <c r="AD3043" s="345"/>
      <c r="AE3043" s="358"/>
      <c r="AF3043" s="359"/>
    </row>
    <row r="3044" spans="1:32" ht="12.75" customHeight="1">
      <c r="A3044" s="5" t="s">
        <v>1228</v>
      </c>
      <c r="B3044" s="290" t="s">
        <v>1126</v>
      </c>
      <c r="C3044" s="291"/>
      <c r="D3044" s="291"/>
      <c r="E3044" s="291"/>
      <c r="F3044" s="291"/>
      <c r="G3044" s="292"/>
      <c r="H3044" s="5">
        <v>1</v>
      </c>
      <c r="I3044" s="5">
        <v>2</v>
      </c>
      <c r="J3044" s="5">
        <v>3</v>
      </c>
      <c r="K3044" s="5">
        <v>4</v>
      </c>
      <c r="L3044" s="5">
        <v>5</v>
      </c>
      <c r="M3044" s="271"/>
      <c r="N3044" s="272"/>
      <c r="O3044" s="272"/>
      <c r="P3044" s="273"/>
      <c r="Q3044" s="7"/>
      <c r="R3044" s="330"/>
      <c r="S3044" s="334"/>
      <c r="T3044" s="335"/>
      <c r="U3044" s="335"/>
      <c r="V3044" s="335"/>
      <c r="W3044" s="335"/>
      <c r="X3044" s="336"/>
      <c r="Y3044" s="330"/>
      <c r="Z3044" s="330"/>
      <c r="AA3044" s="330"/>
      <c r="AB3044" s="330"/>
      <c r="AC3044" s="330"/>
      <c r="AD3044" s="360"/>
      <c r="AE3044" s="361"/>
      <c r="AF3044" s="362"/>
    </row>
    <row r="3045" spans="1:32" ht="12.75" customHeight="1">
      <c r="A3045" s="300" t="str">
        <f>B3018</f>
        <v>G</v>
      </c>
      <c r="B3045" s="293" t="str">
        <f ca="1">IF(AND(OFFSET($AO$1,$C3018-1,8,1,1),$A3019&lt;&gt;"",$J3019&lt;&gt;""),CHOOSE($C3018,$AR$1,$AR$2,$AR$3,$AR$4,$AR$5,$AR$6,$AR$7,$AR$8,$AR$9,$AR$10,$AR$11,$AR$12),"")</f>
        <v/>
      </c>
      <c r="C3045" s="294"/>
      <c r="D3045" s="294"/>
      <c r="E3045" s="294"/>
      <c r="F3045" s="294"/>
      <c r="G3045" s="294"/>
      <c r="H3045" s="265"/>
      <c r="I3045" s="265"/>
      <c r="J3045" s="265"/>
      <c r="K3045" s="265"/>
      <c r="L3045" s="265" t="str">
        <f ca="1">IF(AND($B3045&lt;&gt;"",$Q3024&lt;&gt;""),IF($B3045="Missing Player",0,IF($B3047="Missing Player",11,"")),"")</f>
        <v/>
      </c>
      <c r="M3045" s="262" t="str">
        <f ca="1">IF(OR(AND($B3038&lt;&gt;"",$B3045&lt;&gt;"",$E3049&lt;=$D3049),AND($B3040&lt;&gt;"",$B3047&lt;&gt;"",$I3049&lt;=$H3049)),"Invalid Lineup","")</f>
        <v/>
      </c>
      <c r="N3045" s="263"/>
      <c r="O3045" s="263"/>
      <c r="P3045" s="264"/>
      <c r="Q3045" s="137" t="str">
        <f ca="1">IF($L3045=$L3047,IF($K3045=$K3047,IF($J3045&lt;&gt;"",IF($J3045&gt;$J3047,"W","L"),""),IF($K3045&gt;$K3047,"W","L")),IF($L3045&gt;$L3047,"W","L"))</f>
        <v/>
      </c>
      <c r="R3045" s="300" t="str">
        <f>$K3018</f>
        <v>J</v>
      </c>
      <c r="S3045" s="331" t="str">
        <f ca="1">IF($B3040&lt;&gt;"",$B3040,"")</f>
        <v/>
      </c>
      <c r="T3045" s="332"/>
      <c r="U3045" s="332"/>
      <c r="V3045" s="332"/>
      <c r="W3045" s="332"/>
      <c r="X3045" s="333"/>
      <c r="Y3045" s="329"/>
      <c r="Z3045" s="329"/>
      <c r="AA3045" s="329"/>
      <c r="AB3045" s="329"/>
      <c r="AC3045" s="351"/>
      <c r="AD3045" s="363" t="s">
        <v>1237</v>
      </c>
      <c r="AE3045" s="358"/>
      <c r="AF3045" s="359"/>
    </row>
    <row r="3046" spans="1:32" ht="12.75" customHeight="1">
      <c r="A3046" s="301"/>
      <c r="B3046" s="295"/>
      <c r="C3046" s="296"/>
      <c r="D3046" s="296"/>
      <c r="E3046" s="296"/>
      <c r="F3046" s="296"/>
      <c r="G3046" s="296"/>
      <c r="H3046" s="270"/>
      <c r="I3046" s="270"/>
      <c r="J3046" s="270"/>
      <c r="K3046" s="270"/>
      <c r="L3046" s="270"/>
      <c r="M3046" s="262"/>
      <c r="N3046" s="263"/>
      <c r="O3046" s="263"/>
      <c r="P3046" s="264"/>
      <c r="Q3046" s="139" t="str">
        <f ca="1">IF($Q3045&lt;&gt;"",IF($B3047&lt;&gt;"Missing Player",IF($Q3045="W",IF(SUM(IF($H3045&gt;$H3047,1,0),IF($I3045&gt;$I3047,1,0),IF($J3045&gt;$J3047,1,0),IF($K3045&gt;$K3047,1,0),IF($L3045&gt;$L3047,1,0))&lt;&gt;3,"Error",""),""),""),"")</f>
        <v/>
      </c>
      <c r="R3046" s="330"/>
      <c r="S3046" s="334"/>
      <c r="T3046" s="335"/>
      <c r="U3046" s="335"/>
      <c r="V3046" s="335"/>
      <c r="W3046" s="335"/>
      <c r="X3046" s="336"/>
      <c r="Y3046" s="330"/>
      <c r="Z3046" s="330"/>
      <c r="AA3046" s="330"/>
      <c r="AB3046" s="330"/>
      <c r="AC3046" s="330"/>
      <c r="AD3046" s="360"/>
      <c r="AE3046" s="361"/>
      <c r="AF3046" s="362"/>
    </row>
    <row r="3047" spans="1:32" ht="12.75" customHeight="1">
      <c r="A3047" s="300" t="str">
        <f>K3018</f>
        <v>J</v>
      </c>
      <c r="B3047" s="293" t="str">
        <f ca="1">IF(AND(OFFSET($AO$1,$L3018-1,8,1,1),$A3019&lt;&gt;"",$J3019&lt;&gt;""),CHOOSE($L3018,$AR$1,$AR$2,$AR$3,$AR$4,$AR$5,$AR$6,$AR$7,$AR$8,$AR$9,$AR$10,$AR$11,$AR$12),"")</f>
        <v/>
      </c>
      <c r="C3047" s="294"/>
      <c r="D3047" s="294"/>
      <c r="E3047" s="294"/>
      <c r="F3047" s="294"/>
      <c r="G3047" s="294"/>
      <c r="H3047" s="265"/>
      <c r="I3047" s="265"/>
      <c r="J3047" s="265"/>
      <c r="K3047" s="265"/>
      <c r="L3047" s="265" t="str">
        <f ca="1">IF(AND($B3047&lt;&gt;"",$Q3024&lt;&gt;""),IF($B3047="Missing Player",0,IF($B3045="Missing Player",11,"")),"")</f>
        <v/>
      </c>
      <c r="M3047" s="267" t="s">
        <v>1237</v>
      </c>
      <c r="N3047" s="268"/>
      <c r="O3047" s="268"/>
      <c r="P3047" s="269"/>
      <c r="Q3047" s="137" t="str">
        <f ca="1">IF($Q3045&lt;&gt;"",IF($Q3045="W","L","W"),"")</f>
        <v/>
      </c>
      <c r="R3047" s="112"/>
      <c r="S3047" s="98"/>
      <c r="T3047" s="108"/>
      <c r="U3047" s="108"/>
      <c r="V3047" s="108"/>
      <c r="W3047" s="108"/>
      <c r="X3047" s="108"/>
      <c r="Y3047" s="113"/>
      <c r="Z3047" s="113"/>
      <c r="AA3047" s="113"/>
      <c r="AB3047" s="113"/>
      <c r="AC3047" s="113"/>
      <c r="AD3047" s="107"/>
      <c r="AE3047" s="109"/>
      <c r="AF3047" s="109"/>
    </row>
    <row r="3048" spans="1:32" ht="12.75" customHeight="1">
      <c r="A3048" s="301"/>
      <c r="B3048" s="295"/>
      <c r="C3048" s="296"/>
      <c r="D3048" s="296"/>
      <c r="E3048" s="296"/>
      <c r="F3048" s="296"/>
      <c r="G3048" s="296"/>
      <c r="H3048" s="270"/>
      <c r="I3048" s="270"/>
      <c r="J3048" s="266"/>
      <c r="K3048" s="266"/>
      <c r="L3048" s="266"/>
      <c r="M3048" s="267"/>
      <c r="N3048" s="268"/>
      <c r="O3048" s="268"/>
      <c r="P3048" s="269"/>
      <c r="Q3048" s="139" t="str">
        <f ca="1">IF($Q3047&lt;&gt;"",IF($B3045&lt;&gt;"Missing Player",IF($Q3047="W",IF(SUM(IF($H3047&gt;$H3045,1,0),IF($I3047&gt;$I3045,1,0),IF($J3047&gt;$J3045,1,0),IF($K3047&gt;$K3045,1,0),IF($L3047&gt;$L3045,1,0))&lt;&gt;3,"Error",""),""),""),"")</f>
        <v/>
      </c>
      <c r="R3048" s="114"/>
      <c r="S3048" s="115"/>
      <c r="T3048" s="115"/>
      <c r="U3048" s="115"/>
      <c r="V3048" s="115"/>
      <c r="W3048" s="115"/>
      <c r="X3048" s="115"/>
      <c r="Y3048" s="114"/>
      <c r="Z3048" s="114"/>
      <c r="AA3048" s="114"/>
      <c r="AB3048" s="114"/>
      <c r="AC3048" s="114"/>
      <c r="AD3048" s="114"/>
      <c r="AE3048" s="114"/>
      <c r="AF3048" s="114"/>
    </row>
    <row r="3049" spans="1:32" ht="12.75" customHeight="1">
      <c r="B3049" s="140" t="str">
        <f ca="1">IF(ISERROR(VLOOKUP($B3024&amp;"("&amp;$B3018&amp;")",Players!$S$4:$T$132,2,FALSE)),"",VLOOKUP($B3024&amp;"("&amp;$B3018&amp;")",Players!$S$4:$T$132,2,FALSE))</f>
        <v>G1</v>
      </c>
      <c r="C3049" s="140" t="str">
        <f ca="1">IF(ISERROR(VLOOKUP($B3031&amp;"("&amp;$B3018&amp;")",Players!$S$4:$T$132,2,FALSE)),"",VLOOKUP($B3031&amp;"("&amp;$B3018&amp;")",Players!$S$4:$T$132,2,FALSE))</f>
        <v>G1</v>
      </c>
      <c r="D3049" s="141" t="str">
        <f ca="1">IF(ISERROR(VLOOKUP($B3038&amp;"("&amp;$B3018&amp;")",Players!$S$4:$T$132,2,FALSE)),"",VLOOKUP($B3038&amp;"("&amp;$B3018&amp;")",Players!$S$4:$T$132,2,FALSE))</f>
        <v>G1</v>
      </c>
      <c r="E3049" s="141" t="str">
        <f ca="1">IF(ISERROR(VLOOKUP($B3045&amp;"("&amp;$B3018&amp;")",Players!$S$4:$T$132,2,FALSE)),"",VLOOKUP($B3045&amp;"("&amp;$B3018&amp;")",Players!$S$4:$T$132,2,FALSE))</f>
        <v>G1</v>
      </c>
      <c r="F3049" s="141" t="str">
        <f ca="1">IF(ISERROR(VLOOKUP($B3026&amp;"("&amp;$K3018&amp;")",Players!$S$4:$T$132,2,FALSE)),"",VLOOKUP($B3026&amp;"("&amp;$K3018&amp;")",Players!$S$4:$T$132,2,FALSE))</f>
        <v>J1</v>
      </c>
      <c r="G3049" s="141" t="str">
        <f ca="1">IF(ISERROR(VLOOKUP($B3033&amp;"("&amp;$K3018&amp;")",Players!$S$4:$T$132,2,FALSE)),"",VLOOKUP($B3033&amp;"("&amp;$K3018&amp;")",Players!$S$4:$T$132,2,FALSE))</f>
        <v>J1</v>
      </c>
      <c r="H3049" s="141" t="str">
        <f ca="1">IF(ISERROR(VLOOKUP($B3040&amp;"("&amp;$K3018&amp;")",Players!$S$4:$T$132,2,FALSE)),"",VLOOKUP($B3040&amp;"("&amp;$K3018&amp;")",Players!$S$4:$T$132,2,FALSE))</f>
        <v>J1</v>
      </c>
      <c r="I3049" s="141" t="str">
        <f ca="1">IF(ISERROR(VLOOKUP($B3047&amp;"("&amp;$K3018&amp;")",Players!$S$4:$T$132,2,FALSE)),"",VLOOKUP($B3047&amp;"("&amp;$K3018&amp;")",Players!$S$4:$T$132,2,FALSE))</f>
        <v>J1</v>
      </c>
      <c r="Q3049" s="7"/>
      <c r="R3049" s="50"/>
      <c r="S3049" s="116"/>
      <c r="T3049" s="115"/>
      <c r="U3049" s="115"/>
      <c r="V3049" s="115"/>
      <c r="W3049" s="115"/>
      <c r="X3049" s="115"/>
      <c r="Y3049" s="99"/>
      <c r="Z3049" s="99"/>
      <c r="AA3049" s="99"/>
      <c r="AB3049" s="99"/>
      <c r="AC3049" s="117"/>
      <c r="AD3049" s="118"/>
      <c r="AE3049" s="114"/>
      <c r="AF3049" s="114"/>
    </row>
    <row r="3050" spans="1:32" ht="12.75" customHeight="1">
      <c r="A3050" s="21" t="s">
        <v>1225</v>
      </c>
      <c r="H3050" s="136" t="str">
        <f ca="1">IF($Q3052&lt;&gt;"",IF(AND($B3053&lt;&gt;"Missing Player",$B3055&lt;&gt;"Missing Player"),IF(AND(AND($H3052&gt;-1,$H3054&gt;-1),OR($H3052&gt;10,$H3054&gt;10),ABS($H3052-$H3054)&gt;1,IF(OR($H3052&gt;11,$H3054&gt;11),ABS($H3052-$H3054)=2,TRUE),$H3052=INT($H3052),$H3054=INT($H3054)),"","Error"),""),"")</f>
        <v/>
      </c>
      <c r="I3050" s="136" t="str">
        <f ca="1">IF($Q3052&lt;&gt;"",IF(AND($B3053&lt;&gt;"Missing Player",$B3055&lt;&gt;"Missing Player"),IF(AND(AND($I3052&gt;-1,$I3054&gt;-1),OR($I3052&gt;10,$I3054&gt;10),ABS($I3052-$I3054)&gt;1,IF(OR($I3052&gt;11,$I3054&gt;11),ABS($I3052-$I3054)=2,TRUE),$I3052=INT($I3052),$I3054=INT($I3054)),"","Error"),""),"")</f>
        <v/>
      </c>
      <c r="J3050" s="136" t="str">
        <f ca="1">IF($Q3052&lt;&gt;"",IF(AND($B3053&lt;&gt;"Missing Player",$B3055&lt;&gt;"Missing Player"),IF(AND(AND($J3052&gt;-1,$J3054&gt;-1),OR($J3052&gt;10,$J3054&gt;10),ABS($J3052-$J3054)&gt;1,IF(OR($J3052&gt;11,$J3054&gt;11),ABS($J3052-$J3054)=2,TRUE),$J3052=INT($J3052),$J3054=INT($J3054)),"","Error"),""),"")</f>
        <v/>
      </c>
      <c r="K3050" s="136" t="str">
        <f ca="1">IF($Q3052&lt;&gt;"",IF(AND($K3052&lt;&gt;"",$K3054&lt;&gt;""), IF(AND(AND($K3052&gt;-1,$K3054&gt;-1),OR($K3052&gt;10,$K3054&gt;10),ABS($K3052-$K3054)&gt;1,IF(OR($K3052&gt;11,$K3054&gt;11),ABS($K3052-$K3054)=2,TRUE),$K3052=INT($K3052),$K3054=INT($K3054)),"","Error"),""),"")</f>
        <v/>
      </c>
      <c r="L3050" s="136" t="str">
        <f ca="1">IF($Q3052&lt;&gt;"",IF(AND($L3052&lt;&gt;"",$L3054&lt;&gt;""), IF(AND(AND($L3052&gt;-1,$L3054&gt;-1),OR($L3052&gt;10,$L3054&gt;10),ABS($L3052-$L3054)&gt;1,IF(OR($L3052&gt;11,$L3054&gt;11),ABS($L3052-$L3054)=2,TRUE),$L3052=INT($L3052),$L3054=INT($L3054)),"","Error"),""),"")</f>
        <v/>
      </c>
      <c r="Q3050" s="7"/>
      <c r="R3050" s="114"/>
      <c r="S3050" s="115"/>
      <c r="T3050" s="115"/>
      <c r="U3050" s="115"/>
      <c r="V3050" s="115"/>
      <c r="W3050" s="115"/>
      <c r="X3050" s="115"/>
      <c r="Y3050" s="114"/>
      <c r="Z3050" s="114"/>
      <c r="AA3050" s="114"/>
      <c r="AB3050" s="114"/>
      <c r="AC3050" s="114"/>
      <c r="AD3050" s="114"/>
      <c r="AE3050" s="114"/>
      <c r="AF3050" s="114"/>
    </row>
    <row r="3051" spans="1:32" ht="12.75" customHeight="1">
      <c r="A3051" s="5" t="s">
        <v>1228</v>
      </c>
      <c r="B3051" s="290" t="s">
        <v>1126</v>
      </c>
      <c r="C3051" s="291"/>
      <c r="D3051" s="291"/>
      <c r="E3051" s="291"/>
      <c r="F3051" s="291"/>
      <c r="G3051" s="292"/>
      <c r="H3051" s="5">
        <v>1</v>
      </c>
      <c r="I3051" s="5">
        <v>2</v>
      </c>
      <c r="J3051" s="5">
        <v>3</v>
      </c>
      <c r="K3051" s="5">
        <v>4</v>
      </c>
      <c r="L3051" s="5">
        <v>5</v>
      </c>
      <c r="M3051" s="271"/>
      <c r="N3051" s="272"/>
      <c r="O3051" s="272"/>
      <c r="P3051" s="273"/>
      <c r="Q3051" s="8"/>
      <c r="S3051" s="24"/>
      <c r="T3051" s="26"/>
    </row>
    <row r="3052" spans="1:32" ht="12.75" customHeight="1">
      <c r="A3052" s="300" t="str">
        <f>B3018</f>
        <v>G</v>
      </c>
      <c r="B3052" s="311" t="str">
        <f ca="1">IF($B3024&lt;&gt;"",$B3024,"")</f>
        <v/>
      </c>
      <c r="C3052" s="312"/>
      <c r="D3052" s="312"/>
      <c r="E3052" s="312"/>
      <c r="F3052" s="312"/>
      <c r="G3052" s="313"/>
      <c r="H3052" s="265"/>
      <c r="I3052" s="265"/>
      <c r="J3052" s="265"/>
      <c r="K3052" s="265"/>
      <c r="L3052" s="265" t="str">
        <f ca="1">IF($B3045&lt;&gt;"",IF(AND($B3045="Missing Player",$G3056=2,$J3056=2),0,IF(AND($B3047="Missing Player",$G3056=2,$J3056=2),11,"")),"")</f>
        <v/>
      </c>
      <c r="M3052" s="262" t="str">
        <f ca="1">IF(OR(AND($B3052&lt;&gt;"",$B3053&lt;&gt;"",$B3052=$B3053),AND($B3054&lt;&gt;"",$B3055&lt;&gt;"",$B3054=$B3055)),"Invalid Partner","")</f>
        <v/>
      </c>
      <c r="N3052" s="263"/>
      <c r="O3052" s="263"/>
      <c r="P3052" s="264"/>
      <c r="Q3052" s="138" t="str">
        <f ca="1">IF(L3052=L3054,IF(K3052=K3054,IF(J3052&lt;&gt;"",IF(J3052&gt;J3054,"W","L"),""),IF(K3052&gt;K3054,"W","L")),IF(L3052&gt;L3054,"W","L"))</f>
        <v/>
      </c>
      <c r="S3052" s="24"/>
      <c r="T3052" s="26"/>
    </row>
    <row r="3053" spans="1:32" ht="12.75" customHeight="1">
      <c r="A3053" s="324"/>
      <c r="B3053" s="308" t="str">
        <f ca="1">IF($B3045="Missing Player",$B3045,"")</f>
        <v/>
      </c>
      <c r="C3053" s="309"/>
      <c r="D3053" s="309"/>
      <c r="E3053" s="309"/>
      <c r="F3053" s="309"/>
      <c r="G3053" s="310"/>
      <c r="H3053" s="270"/>
      <c r="I3053" s="270"/>
      <c r="J3053" s="270"/>
      <c r="K3053" s="270"/>
      <c r="L3053" s="270"/>
      <c r="M3053" s="262"/>
      <c r="N3053" s="263"/>
      <c r="O3053" s="263"/>
      <c r="P3053" s="264"/>
      <c r="Q3053" s="139" t="str">
        <f ca="1">IF($Q3052&lt;&gt;"",IF($B3055&lt;&gt;"Missing Player",IF($Q3052="W",IF(SUM(IF($H3052&gt;$H3054,1,0),IF($I3052&gt;$I3054,1,0),IF($J3052&gt;$J3054,1,0),IF($K3052&gt;$K3054,1,0),IF($L3052&gt;$L3054,1,0))&lt;&gt;3,"Error",""),""),""),"")</f>
        <v/>
      </c>
      <c r="R3053" s="328" t="str">
        <f>$A3019</f>
        <v/>
      </c>
      <c r="S3053" s="328"/>
      <c r="T3053" s="328"/>
      <c r="U3053" s="328"/>
      <c r="V3053" s="328"/>
      <c r="W3053" s="328"/>
      <c r="X3053" s="256" t="str">
        <f>CONCATENATE("(",$B3018," vs ",$K3018,")")</f>
        <v>(G vs J)</v>
      </c>
      <c r="Y3053" s="256"/>
      <c r="Z3053" s="328" t="str">
        <f>$J3019</f>
        <v/>
      </c>
      <c r="AA3053" s="328"/>
      <c r="AB3053" s="328"/>
      <c r="AC3053" s="328"/>
      <c r="AD3053" s="328"/>
      <c r="AE3053" s="328"/>
      <c r="AF3053" s="43"/>
    </row>
    <row r="3054" spans="1:32" ht="12.75" customHeight="1">
      <c r="A3054" s="325" t="str">
        <f>K3018</f>
        <v>J</v>
      </c>
      <c r="B3054" s="311" t="str">
        <f ca="1">IF($B3026&lt;&gt;"",$B3026,"")</f>
        <v/>
      </c>
      <c r="C3054" s="312"/>
      <c r="D3054" s="312"/>
      <c r="E3054" s="312"/>
      <c r="F3054" s="312"/>
      <c r="G3054" s="313"/>
      <c r="H3054" s="265"/>
      <c r="I3054" s="265"/>
      <c r="J3054" s="265"/>
      <c r="K3054" s="265"/>
      <c r="L3054" s="265" t="str">
        <f ca="1">IF($B3047&lt;&gt;"",IF(AND($B3047="Missing Player",$G3056=2,$J3056=2),0,IF(AND($B3045="Missing Player",$G3056=2,$J3056=2),11,"")),"")</f>
        <v/>
      </c>
      <c r="M3054" s="267" t="s">
        <v>1237</v>
      </c>
      <c r="N3054" s="268"/>
      <c r="O3054" s="268"/>
      <c r="P3054" s="269"/>
      <c r="Q3054" s="138" t="str">
        <f ca="1">IF(Q3052&lt;&gt;"",IF(Q3052="W","L","W"),"")</f>
        <v/>
      </c>
      <c r="R3054" s="43"/>
      <c r="S3054" s="43"/>
      <c r="T3054" s="43"/>
      <c r="U3054" s="43"/>
      <c r="V3054" s="43"/>
      <c r="W3054" s="43"/>
      <c r="X3054" s="43"/>
      <c r="Y3054" s="43"/>
      <c r="Z3054" s="43"/>
      <c r="AA3054" s="43"/>
      <c r="AB3054" s="43"/>
      <c r="AC3054" s="43"/>
      <c r="AD3054" s="43"/>
      <c r="AE3054" s="43"/>
      <c r="AF3054" s="43"/>
    </row>
    <row r="3055" spans="1:32" ht="12.75" customHeight="1">
      <c r="A3055" s="324"/>
      <c r="B3055" s="308" t="str">
        <f ca="1">IF($B3047="Missing Player",$B3047,"")</f>
        <v/>
      </c>
      <c r="C3055" s="309"/>
      <c r="D3055" s="309"/>
      <c r="E3055" s="309"/>
      <c r="F3055" s="309"/>
      <c r="G3055" s="310"/>
      <c r="H3055" s="270"/>
      <c r="I3055" s="270"/>
      <c r="J3055" s="266"/>
      <c r="K3055" s="266"/>
      <c r="L3055" s="266"/>
      <c r="M3055" s="267"/>
      <c r="N3055" s="268"/>
      <c r="O3055" s="268"/>
      <c r="P3055" s="269"/>
      <c r="Q3055" s="139" t="str">
        <f ca="1">IF($Q3054&lt;&gt;"",IF($B3053&lt;&gt;"Missing Player",IF($Q3054="W",IF(SUM(IF($H3054&gt;$H3052,1,0),IF($I3054&gt;$I3052,1,0),IF($J3054&gt;$J3052,1,0),IF($K3054&gt;$K3052,1,0),IF($L3054&gt;$L3052,1,0))&lt;&gt;3,"Error",""),""),""),"")</f>
        <v/>
      </c>
      <c r="R3055" s="43" t="str">
        <f>A3043</f>
        <v>4th Singles</v>
      </c>
      <c r="S3055" s="43"/>
      <c r="T3055" s="43"/>
      <c r="U3055" s="43"/>
      <c r="V3055" s="43"/>
      <c r="W3055" s="43"/>
      <c r="X3055" s="43"/>
      <c r="Y3055" s="43"/>
      <c r="Z3055" s="43"/>
      <c r="AA3055" s="43"/>
      <c r="AB3055" s="43"/>
      <c r="AC3055" s="43"/>
      <c r="AD3055" s="43"/>
      <c r="AE3055" s="43"/>
      <c r="AF3055" s="43"/>
    </row>
    <row r="3056" spans="1:32" ht="12.75" customHeight="1">
      <c r="G3056" s="66">
        <f ca="1">COUNTIF($Q3024:$Q3024,"W")+COUNTIF($Q3031:$Q3031,"W")+COUNTIF($Q3038:$Q3038,"W")+COUNTIF($Q3045:$Q3045,"W")</f>
        <v>0</v>
      </c>
      <c r="J3056" s="66">
        <f ca="1">COUNTIF($Q3026:$Q3026,"W")+COUNTIF($Q3033:$Q3033,"W")+COUNTIF($Q3040:$Q3040,"W")+COUNTIF($Q3047:$Q3047,"W")</f>
        <v>0</v>
      </c>
      <c r="R3056" s="60" t="s">
        <v>1228</v>
      </c>
      <c r="S3056" s="339" t="s">
        <v>1126</v>
      </c>
      <c r="T3056" s="340"/>
      <c r="U3056" s="340"/>
      <c r="V3056" s="340"/>
      <c r="W3056" s="340"/>
      <c r="X3056" s="341"/>
      <c r="Y3056" s="60">
        <v>1</v>
      </c>
      <c r="Z3056" s="60">
        <v>2</v>
      </c>
      <c r="AA3056" s="60">
        <v>3</v>
      </c>
      <c r="AB3056" s="60">
        <v>4</v>
      </c>
      <c r="AC3056" s="60">
        <v>5</v>
      </c>
      <c r="AD3056" s="342"/>
      <c r="AE3056" s="343"/>
      <c r="AF3056" s="344"/>
    </row>
    <row r="3057" spans="1:32" ht="12.75" customHeight="1" thickBot="1">
      <c r="F3057" s="246" t="s">
        <v>1238</v>
      </c>
      <c r="G3057" s="246"/>
      <c r="H3057" s="246"/>
      <c r="I3057" s="246"/>
      <c r="J3057" s="246"/>
      <c r="K3057" s="246"/>
      <c r="R3057" s="300" t="str">
        <f>B3018</f>
        <v>G</v>
      </c>
      <c r="S3057" s="331" t="str">
        <f ca="1">IF($B3045&lt;&gt;"",$B3045,"")</f>
        <v/>
      </c>
      <c r="T3057" s="353"/>
      <c r="U3057" s="353"/>
      <c r="V3057" s="353"/>
      <c r="W3057" s="353"/>
      <c r="X3057" s="354"/>
      <c r="Y3057" s="329"/>
      <c r="Z3057" s="329"/>
      <c r="AA3057" s="351"/>
      <c r="AB3057" s="351"/>
      <c r="AC3057" s="351"/>
      <c r="AD3057" s="345"/>
      <c r="AE3057" s="346"/>
      <c r="AF3057" s="347"/>
    </row>
    <row r="3058" spans="1:32" ht="12.75" customHeight="1">
      <c r="A3058" s="22"/>
      <c r="B3058" s="22"/>
      <c r="C3058" s="22"/>
      <c r="D3058" s="22"/>
      <c r="E3058" s="22"/>
      <c r="G3058" s="304" t="str">
        <f>B3018</f>
        <v>G</v>
      </c>
      <c r="H3058" s="305"/>
      <c r="I3058" s="302" t="str">
        <f>K3018</f>
        <v>J</v>
      </c>
      <c r="J3058" s="303"/>
      <c r="L3058" s="22"/>
      <c r="M3058" s="22"/>
      <c r="N3058" s="22"/>
      <c r="O3058" s="22"/>
      <c r="P3058" s="22"/>
      <c r="R3058" s="301"/>
      <c r="S3058" s="355"/>
      <c r="T3058" s="356"/>
      <c r="U3058" s="356"/>
      <c r="V3058" s="356"/>
      <c r="W3058" s="356"/>
      <c r="X3058" s="357"/>
      <c r="Y3058" s="338"/>
      <c r="Z3058" s="338"/>
      <c r="AA3058" s="352"/>
      <c r="AB3058" s="352"/>
      <c r="AC3058" s="352"/>
      <c r="AD3058" s="348"/>
      <c r="AE3058" s="349"/>
      <c r="AF3058" s="350"/>
    </row>
    <row r="3059" spans="1:32" ht="12.75" customHeight="1" thickBot="1">
      <c r="A3059" s="2" t="s">
        <v>1228</v>
      </c>
      <c r="B3059" s="53" t="str">
        <f>B3018</f>
        <v>G</v>
      </c>
      <c r="C3059" s="3" t="s">
        <v>1226</v>
      </c>
      <c r="F3059" s="66" t="str">
        <f>CONCATENATE($B3018,"-",$K3018)</f>
        <v>G-J</v>
      </c>
      <c r="G3059" s="320" t="str">
        <f ca="1">IF(OR(Q3024&lt;&gt;"",Q3031&lt;&gt;"",Q3038&lt;&gt;"",Q3045&lt;&gt;"",Q3052&lt;&gt;""),COUNTIF(Q3024:Q3024,"W")+COUNTIF(Q3031:Q3031,"W")+COUNTIF(Q3038:Q3038,"W")+COUNTIF(Q3045:Q3045,"W")+COUNTIF(Q3052:Q3052,"W"),"")</f>
        <v/>
      </c>
      <c r="H3059" s="321"/>
      <c r="I3059" s="322" t="str">
        <f ca="1">IF(OR(Q3026&lt;&gt;"",Q3033&lt;&gt;"",Q3040&lt;&gt;"",Q3047&lt;&gt;"",Q3054&lt;&gt;""),COUNTIF(Q3026:Q3026,"W")+COUNTIF(Q3033:Q3033,"W")+COUNTIF(Q3040:Q3040,"W")+COUNTIF(Q3047:Q3047,"W")+COUNTIF(Q3054:Q3054,"W"),"")</f>
        <v/>
      </c>
      <c r="J3059" s="323"/>
      <c r="L3059" s="2" t="s">
        <v>1228</v>
      </c>
      <c r="M3059" s="126" t="str">
        <f>K3018</f>
        <v>J</v>
      </c>
      <c r="N3059" s="3" t="s">
        <v>1226</v>
      </c>
      <c r="R3059" s="300" t="str">
        <f>K3018</f>
        <v>J</v>
      </c>
      <c r="S3059" s="331" t="str">
        <f ca="1">IF($B3047&lt;&gt;"",$B3047,"")</f>
        <v/>
      </c>
      <c r="T3059" s="332"/>
      <c r="U3059" s="332"/>
      <c r="V3059" s="332"/>
      <c r="W3059" s="332"/>
      <c r="X3059" s="333"/>
      <c r="Y3059" s="329"/>
      <c r="Z3059" s="329"/>
      <c r="AA3059" s="351"/>
      <c r="AB3059" s="351"/>
      <c r="AC3059" s="351"/>
      <c r="AD3059" s="363" t="s">
        <v>1237</v>
      </c>
      <c r="AE3059" s="358"/>
      <c r="AF3059" s="359"/>
    </row>
    <row r="3060" spans="1:32" ht="12.75" customHeight="1">
      <c r="F3060" s="25" t="s">
        <v>3996</v>
      </c>
      <c r="G3060" s="23"/>
      <c r="H3060" s="23"/>
      <c r="I3060" s="23"/>
      <c r="J3060" s="23"/>
      <c r="K3060" s="24"/>
      <c r="R3060" s="330"/>
      <c r="S3060" s="334"/>
      <c r="T3060" s="335"/>
      <c r="U3060" s="335"/>
      <c r="V3060" s="335"/>
      <c r="W3060" s="335"/>
      <c r="X3060" s="336"/>
      <c r="Y3060" s="330"/>
      <c r="Z3060" s="330"/>
      <c r="AA3060" s="330"/>
      <c r="AB3060" s="330"/>
      <c r="AC3060" s="330"/>
      <c r="AD3060" s="360"/>
      <c r="AE3060" s="361"/>
      <c r="AF3060" s="362"/>
    </row>
    <row r="3061" spans="1:32" ht="12.75" customHeight="1">
      <c r="R3061" s="1"/>
      <c r="S3061" s="110"/>
      <c r="T3061" s="110"/>
      <c r="U3061" s="110"/>
      <c r="V3061" s="110"/>
      <c r="W3061" s="110"/>
      <c r="X3061" s="111"/>
      <c r="Y3061" s="111"/>
      <c r="Z3061" s="111"/>
      <c r="AA3061" s="111"/>
    </row>
    <row r="3062" spans="1:32" ht="12.75" customHeight="1">
      <c r="F3062" s="246" t="s">
        <v>4929</v>
      </c>
      <c r="G3062" s="246"/>
      <c r="H3062" s="246"/>
      <c r="I3062" s="246"/>
      <c r="R3062" s="1"/>
      <c r="S3062" s="110"/>
      <c r="T3062" s="110"/>
      <c r="U3062" s="110"/>
      <c r="V3062" s="110"/>
      <c r="W3062" s="110"/>
      <c r="X3062" s="111"/>
      <c r="Y3062" s="111"/>
      <c r="Z3062" s="111"/>
      <c r="AA3062" s="111"/>
    </row>
    <row r="3063" spans="1:32" ht="12.75" customHeight="1">
      <c r="F3063" s="246" t="s">
        <v>4930</v>
      </c>
      <c r="G3063" s="246"/>
      <c r="H3063" s="246"/>
      <c r="I3063" s="246"/>
      <c r="R3063" s="1"/>
      <c r="S3063" s="110"/>
      <c r="T3063" s="110"/>
      <c r="U3063" s="110"/>
      <c r="V3063" s="110"/>
      <c r="W3063" s="110"/>
      <c r="X3063" s="111"/>
      <c r="Y3063" s="111"/>
      <c r="Z3063" s="111"/>
      <c r="AA3063" s="111"/>
    </row>
    <row r="3064" spans="1:32" ht="12.75" customHeight="1">
      <c r="K3064" s="281" t="s">
        <v>1244</v>
      </c>
      <c r="L3064" s="281"/>
      <c r="M3064" s="281"/>
      <c r="N3064" s="281"/>
      <c r="O3064" s="281"/>
      <c r="P3064" s="281"/>
      <c r="R3064" s="1"/>
      <c r="S3064" s="110"/>
      <c r="T3064" s="110"/>
      <c r="U3064" s="110"/>
      <c r="V3064" s="110"/>
      <c r="W3064" s="110"/>
      <c r="X3064" s="111"/>
      <c r="Y3064" s="111"/>
      <c r="Z3064" s="111"/>
      <c r="AA3064" s="111"/>
    </row>
    <row r="3065" spans="1:32" ht="12.75" customHeight="1">
      <c r="A3065" s="12" t="s">
        <v>1229</v>
      </c>
      <c r="B3065" s="11"/>
      <c r="C3065" s="11"/>
      <c r="D3065" s="11" t="str">
        <f>Draw!$B$1</f>
        <v>Enter Division Name</v>
      </c>
      <c r="E3065" s="11"/>
      <c r="F3065" s="7"/>
      <c r="G3065" s="6"/>
      <c r="H3065" s="7"/>
      <c r="I3065" s="11"/>
      <c r="J3065" s="11"/>
      <c r="K3065" s="11"/>
      <c r="L3065" s="11"/>
      <c r="M3065" s="281"/>
      <c r="N3065" s="281"/>
      <c r="O3065" s="281"/>
      <c r="P3065" s="281"/>
      <c r="R3065" s="1"/>
      <c r="S3065" s="110"/>
      <c r="T3065" s="110"/>
      <c r="U3065" s="110"/>
      <c r="V3065" s="110"/>
      <c r="W3065" s="110"/>
      <c r="X3065" s="111"/>
      <c r="Y3065" s="111"/>
      <c r="Z3065" s="111"/>
      <c r="AA3065" s="111"/>
    </row>
    <row r="3066" spans="1:32" ht="12.75" customHeight="1">
      <c r="A3066" s="2" t="s">
        <v>1230</v>
      </c>
      <c r="D3066" s="43" t="str">
        <f>Draw!$D$1</f>
        <v>Enter Hosting Location (City, ST)</v>
      </c>
      <c r="J3066" s="43" t="str">
        <f ca="1">$J$6</f>
        <v>[NCTTA Teams Template (v2.06).xlsx]</v>
      </c>
      <c r="R3066" s="1"/>
      <c r="S3066" s="110"/>
      <c r="T3066" s="110"/>
      <c r="U3066" s="110"/>
      <c r="V3066" s="110"/>
      <c r="W3066" s="110"/>
      <c r="X3066" s="111"/>
      <c r="Y3066" s="111"/>
      <c r="Z3066" s="111"/>
      <c r="AA3066" s="111"/>
    </row>
    <row r="3067" spans="1:32" ht="12.75" customHeight="1">
      <c r="A3067" s="2" t="s">
        <v>1231</v>
      </c>
      <c r="D3067" s="337" t="str">
        <f>Draw!$P$1</f>
        <v>Enter Date</v>
      </c>
      <c r="E3067" s="337"/>
      <c r="F3067" s="337"/>
      <c r="G3067" s="337"/>
      <c r="J3067" s="280" t="str">
        <f>CHOOSE(Draw!$T$1,"Round 11, Match 1","","","","","","","","","","")</f>
        <v/>
      </c>
      <c r="K3067" s="280"/>
      <c r="L3067" s="280"/>
      <c r="M3067" s="276" t="str">
        <f>IF(AND($J3067&lt;&gt;"",Draw!$AC$10&lt;&gt;"",Draw!$AC$13&lt;&gt;""),Draw!$AC$10+TIME(0,VALUE(MID($J3067,7,FIND(",",$J3067)-FIND(" ",$J3067)-1)-1)*Draw!$AC$13,0),"")</f>
        <v/>
      </c>
      <c r="N3067" s="276"/>
      <c r="O3067" s="157" t="str">
        <f>$F3110</f>
        <v>G-K</v>
      </c>
      <c r="R3067" s="1"/>
      <c r="S3067" s="110"/>
      <c r="T3067" s="110"/>
      <c r="U3067" s="110"/>
      <c r="V3067" s="110"/>
      <c r="W3067" s="110"/>
      <c r="X3067" s="111"/>
      <c r="Y3067" s="111"/>
      <c r="Z3067" s="111"/>
      <c r="AA3067" s="111"/>
    </row>
    <row r="3068" spans="1:32" ht="12.75" customHeight="1">
      <c r="A3068" s="14"/>
      <c r="B3068" s="15"/>
      <c r="C3068" s="15"/>
      <c r="D3068" s="15"/>
      <c r="E3068" s="15"/>
      <c r="F3068" s="14"/>
      <c r="G3068" s="14"/>
      <c r="H3068" s="16"/>
      <c r="I3068" s="14"/>
      <c r="J3068" s="15"/>
      <c r="K3068" s="15"/>
      <c r="L3068" s="15"/>
      <c r="M3068" s="15"/>
      <c r="N3068" s="15"/>
      <c r="O3068" s="364" t="str">
        <f>IF(OR(AND(VLOOKUP($B3069,$AM$1:$AX$12,12,FALSE)="C",VLOOKUP($K3069,$AM$1:$AX$12,12,FALSE)="C"),AND(VLOOKUP($B3069,$AM$1:$AX$12,12,FALSE)="W",VLOOKUP($K3069,$AM$1:$AX$12,12,FALSE)="W")),"Official",IF(AND($A3070="",$J3070=""),"","Scrimmage"))</f>
        <v/>
      </c>
      <c r="P3068" s="364"/>
      <c r="R3068" s="1"/>
      <c r="S3068" s="110"/>
      <c r="T3068" s="110"/>
      <c r="U3068" s="110"/>
      <c r="V3068" s="110"/>
      <c r="W3068" s="110"/>
      <c r="X3068" s="111"/>
      <c r="Y3068" s="111"/>
      <c r="Z3068" s="111"/>
      <c r="AA3068" s="111"/>
    </row>
    <row r="3069" spans="1:32" ht="12.75" customHeight="1">
      <c r="A3069" s="17" t="s">
        <v>1228</v>
      </c>
      <c r="B3069" s="119" t="str">
        <f>CHOOSE(Draw!$T$1,"A","F","G","H","I","I","I","I","I","H","F")</f>
        <v>G</v>
      </c>
      <c r="C3069" s="135">
        <f>VLOOKUP($B3069,$AM$1:$AN$12,2)</f>
        <v>7</v>
      </c>
      <c r="D3069" s="13"/>
      <c r="E3069" s="13"/>
      <c r="F3069" s="10"/>
      <c r="H3069" s="19" t="s">
        <v>1232</v>
      </c>
      <c r="J3069" s="17" t="s">
        <v>1228</v>
      </c>
      <c r="K3069" s="119" t="str">
        <f>CHOOSE(Draw!$T$1,"H","G","K","J","J","J","J","J","J","L","L")</f>
        <v>K</v>
      </c>
      <c r="L3069" s="135">
        <f>VLOOKUP($K3069,$AM$1:$AN$12,2)</f>
        <v>11</v>
      </c>
      <c r="M3069" s="13"/>
      <c r="N3069" s="13"/>
      <c r="O3069" s="18"/>
      <c r="P3069" s="274"/>
      <c r="Q3069" s="275"/>
      <c r="R3069" s="1"/>
      <c r="S3069" s="110"/>
      <c r="T3069" s="110"/>
      <c r="U3069" s="110"/>
      <c r="V3069" s="110"/>
      <c r="W3069" s="110"/>
      <c r="X3069" s="111"/>
      <c r="Y3069" s="111"/>
      <c r="Z3069" s="111"/>
      <c r="AA3069" s="111"/>
    </row>
    <row r="3070" spans="1:32" ht="12.75" customHeight="1">
      <c r="A3070" s="277" t="str">
        <f>IF(VLOOKUP($B3069,Draw!$A$4:$B$27,2)&lt;&gt;0,VLOOKUP($B3069,Draw!$A$4:$B$27,2),"")</f>
        <v/>
      </c>
      <c r="B3070" s="278"/>
      <c r="C3070" s="278"/>
      <c r="D3070" s="278"/>
      <c r="E3070" s="278"/>
      <c r="F3070" s="279"/>
      <c r="G3070" s="306" t="s">
        <v>4212</v>
      </c>
      <c r="H3070" s="289"/>
      <c r="I3070" s="307"/>
      <c r="J3070" s="277" t="str">
        <f>IF(VLOOKUP($K3069,Draw!$A$4:$B$27,2)&lt;&gt;0,VLOOKUP($K3069,Draw!$A$4:$B$27,2),"")</f>
        <v/>
      </c>
      <c r="K3070" s="278"/>
      <c r="L3070" s="278"/>
      <c r="M3070" s="278"/>
      <c r="N3070" s="278"/>
      <c r="O3070" s="279"/>
      <c r="P3070" s="15"/>
      <c r="R3070" s="1"/>
      <c r="S3070" s="110"/>
      <c r="T3070" s="110"/>
      <c r="U3070" s="110"/>
      <c r="V3070" s="110"/>
      <c r="W3070" s="110"/>
      <c r="X3070" s="111"/>
      <c r="Y3070" s="111"/>
      <c r="Z3070" s="111"/>
      <c r="AA3070" s="111"/>
    </row>
    <row r="3071" spans="1:32" ht="12.75" customHeight="1">
      <c r="A3071" s="14"/>
      <c r="B3071" s="15"/>
      <c r="C3071" s="15"/>
      <c r="D3071" s="15"/>
      <c r="E3071" s="15"/>
      <c r="F3071" s="14"/>
      <c r="G3071" s="288" t="str">
        <f>"Page "&amp;VALUE(RIGHT($G3070,LEN($G3070)-SEARCH("-",$G3070)))/2</f>
        <v>Page 61</v>
      </c>
      <c r="H3071" s="289"/>
      <c r="I3071" s="289"/>
      <c r="J3071" s="15"/>
      <c r="K3071" s="15"/>
      <c r="L3071" s="15"/>
      <c r="M3071" s="15"/>
      <c r="N3071" s="15"/>
      <c r="O3071" s="15"/>
      <c r="P3071" s="15"/>
      <c r="R3071" s="1"/>
      <c r="S3071" s="110"/>
      <c r="T3071" s="110"/>
      <c r="U3071" s="110"/>
      <c r="V3071" s="110"/>
      <c r="W3071" s="110"/>
      <c r="X3071" s="111"/>
      <c r="Y3071" s="111"/>
      <c r="Z3071" s="111"/>
      <c r="AA3071" s="111"/>
      <c r="AF3071" s="27"/>
    </row>
    <row r="3072" spans="1:32" ht="12.75" customHeight="1">
      <c r="A3072" s="327" t="s">
        <v>1245</v>
      </c>
      <c r="B3072" s="327"/>
      <c r="C3072" s="327"/>
      <c r="D3072" s="327"/>
      <c r="E3072" s="327"/>
      <c r="F3072" s="327"/>
      <c r="G3072" s="327"/>
      <c r="H3072" s="327"/>
      <c r="I3072" s="327"/>
      <c r="J3072" s="327"/>
      <c r="K3072" s="327"/>
      <c r="L3072" s="327"/>
      <c r="M3072" s="327"/>
      <c r="N3072" s="327"/>
      <c r="O3072" s="327"/>
      <c r="P3072" s="327"/>
      <c r="Q3072" s="7"/>
      <c r="R3072" s="1"/>
      <c r="S3072" s="110"/>
      <c r="T3072" s="110"/>
      <c r="U3072" s="110"/>
      <c r="V3072" s="110"/>
      <c r="W3072" s="110"/>
      <c r="X3072" s="111"/>
      <c r="Y3072" s="111"/>
      <c r="Z3072" s="111"/>
      <c r="AA3072" s="111"/>
      <c r="AF3072" s="20"/>
    </row>
    <row r="3073" spans="1:32" ht="12.75" customHeight="1">
      <c r="A3073" s="21" t="s">
        <v>1233</v>
      </c>
      <c r="H3073" s="136" t="str">
        <f>IF($Q3075&lt;&gt;"",IF(AND(AND($H3075&gt;-1,$H3077&gt;-1),OR($H3075&gt;10,$H3077&gt;10),ABS($H3075-$H3077)&gt;1,IF(OR($H3075&gt;11,$H3077&gt;11),ABS($H3075-$H3077)=2,TRUE),$H3075=INT($H3075),$H3077=INT($H3077)),"","Error"),"")</f>
        <v/>
      </c>
      <c r="I3073" s="136" t="str">
        <f>IF($Q3075&lt;&gt;"",IF(AND(AND($I3075&gt;-1,$I3077&gt;-1),OR($I3075&gt;10,$I3077&gt;10),ABS($I3075-$I3077)&gt;1,IF(OR($I3075&gt;11,$I3077&gt;11),ABS($I3075-$I3077)=2,TRUE),$I3075=INT($I3075),$I3077=INT($I3077)),"","Error"),"")</f>
        <v/>
      </c>
      <c r="J3073" s="136" t="str">
        <f>IF($Q3075&lt;&gt;"",IF(AND(AND($J3075&gt;-1,$J3077&gt;-1),OR($J3075&gt;10,$J3077&gt;10),ABS($J3075-$J3077)&gt;1,IF(OR($J3075&gt;11,$J3077&gt;11),ABS($J3075-$J3077)=2,TRUE),$J3075=INT($J3075),$J3077=INT($J3077)),"","Error"),"")</f>
        <v/>
      </c>
      <c r="K3073" s="136" t="str">
        <f>IF($Q3075&lt;&gt;"",IF(AND($K3075&lt;&gt;"",$K3077&lt;&gt;""), IF(AND(AND($K3075&gt;-1,$K3077&gt;-1),OR($K3075&gt;10,$K3077&gt;10),ABS($K3075-$K3077)&gt;1,IF(OR($K3075&gt;11,$K3077&gt;11),ABS($K3075-$K3077)=2,TRUE),$K3075=INT($K3075),$K3077=INT($K3077)),"","Error"),""),"")</f>
        <v/>
      </c>
      <c r="L3073" s="136" t="str">
        <f>IF($Q3075&lt;&gt;"",IF(AND($L3075&lt;&gt;"",$L3077&lt;&gt;""), IF(AND(AND($L3075&gt;-1,$L3077&gt;-1),OR($L3075&gt;10,$L3077&gt;10),ABS($L3075-$L3077)&gt;1,IF(OR($L3075&gt;11,$L3077&gt;11),ABS($L3075-$L3077)=2,TRUE),$L3075=INT($L3075),$L3077=INT($L3077)),"","Error"),""),"")</f>
        <v/>
      </c>
      <c r="R3073" s="1"/>
      <c r="S3073" s="110"/>
      <c r="T3073" s="110"/>
      <c r="U3073" s="110"/>
      <c r="V3073" s="110"/>
      <c r="W3073" s="110"/>
      <c r="X3073" s="111"/>
      <c r="Y3073" s="111"/>
      <c r="Z3073" s="111"/>
      <c r="AA3073" s="111"/>
    </row>
    <row r="3074" spans="1:32" ht="12.75" customHeight="1">
      <c r="A3074" s="5" t="s">
        <v>1228</v>
      </c>
      <c r="B3074" s="290" t="s">
        <v>1126</v>
      </c>
      <c r="C3074" s="291"/>
      <c r="D3074" s="291"/>
      <c r="E3074" s="291"/>
      <c r="F3074" s="291"/>
      <c r="G3074" s="292"/>
      <c r="H3074" s="5">
        <v>1</v>
      </c>
      <c r="I3074" s="5">
        <v>2</v>
      </c>
      <c r="J3074" s="5">
        <v>3</v>
      </c>
      <c r="K3074" s="5">
        <v>4</v>
      </c>
      <c r="L3074" s="5">
        <v>5</v>
      </c>
      <c r="M3074" s="271"/>
      <c r="N3074" s="272"/>
      <c r="O3074" s="272"/>
      <c r="P3074" s="273"/>
      <c r="R3074" s="1"/>
      <c r="S3074" s="110"/>
      <c r="T3074" s="110"/>
      <c r="U3074" s="110"/>
      <c r="V3074" s="110"/>
      <c r="W3074" s="110"/>
      <c r="X3074" s="111"/>
      <c r="Y3074" s="111"/>
      <c r="Z3074" s="111"/>
      <c r="AA3074" s="111"/>
    </row>
    <row r="3075" spans="1:32" ht="12.75" customHeight="1">
      <c r="A3075" s="300" t="str">
        <f>B3069</f>
        <v>G</v>
      </c>
      <c r="B3075" s="293" t="str">
        <f ca="1">IF(AND(OFFSET($AO$1,$C3069-1,8,1,1),$A3070&lt;&gt;"",$J3070&lt;&gt;""),CHOOSE($C3069,$AO$1,$AO$2,$AO$3,$AO$4,$AO$5,$AO$6,$AO$7,$AO$8,$AO$9,$AO$10,$AO$11,$AO$12),"")</f>
        <v/>
      </c>
      <c r="C3075" s="294"/>
      <c r="D3075" s="294"/>
      <c r="E3075" s="294"/>
      <c r="F3075" s="294"/>
      <c r="G3075" s="294"/>
      <c r="H3075" s="265"/>
      <c r="I3075" s="265"/>
      <c r="J3075" s="265"/>
      <c r="K3075" s="265"/>
      <c r="L3075" s="265"/>
      <c r="M3075" s="297"/>
      <c r="N3075" s="298"/>
      <c r="O3075" s="298"/>
      <c r="P3075" s="299"/>
      <c r="Q3075" s="137" t="str">
        <f>IF($L3075=$L3077,IF($K3075=$K3077,IF($J3075&lt;&gt;"",IF($J3075&gt;$J3077,"W","L"),""),IF($K3075&gt;$K3077,"W","L")),IF($L3075&gt;$L3077,"W","L"))</f>
        <v/>
      </c>
      <c r="R3075" s="1"/>
      <c r="S3075" s="110"/>
      <c r="T3075" s="110"/>
      <c r="U3075" s="110"/>
      <c r="V3075" s="110"/>
      <c r="W3075" s="110"/>
      <c r="X3075" s="111"/>
      <c r="Y3075" s="111"/>
      <c r="Z3075" s="111"/>
      <c r="AA3075" s="111"/>
    </row>
    <row r="3076" spans="1:32" ht="12.75" customHeight="1">
      <c r="A3076" s="301"/>
      <c r="B3076" s="295"/>
      <c r="C3076" s="296"/>
      <c r="D3076" s="296"/>
      <c r="E3076" s="296"/>
      <c r="F3076" s="296"/>
      <c r="G3076" s="296"/>
      <c r="H3076" s="270"/>
      <c r="I3076" s="270"/>
      <c r="J3076" s="270"/>
      <c r="K3076" s="270"/>
      <c r="L3076" s="270"/>
      <c r="M3076" s="297"/>
      <c r="N3076" s="298"/>
      <c r="O3076" s="298"/>
      <c r="P3076" s="299"/>
      <c r="Q3076" s="139" t="str">
        <f>IF($Q3075&lt;&gt;"",IF($Q3075="W",IF(SUM(IF($H3075&gt;$H3077,1,0),IF($I3075&gt;$I3077,1,0),IF($J3075&gt;$J3077,1,0),IF($K3075&gt;$K3077,1,0),IF($L3075&gt;$L3077,1,0))&lt;&gt;3,"Error",""),""),"")</f>
        <v/>
      </c>
      <c r="R3076" s="328" t="str">
        <f>$A3070</f>
        <v/>
      </c>
      <c r="S3076" s="328"/>
      <c r="T3076" s="328"/>
      <c r="U3076" s="328"/>
      <c r="V3076" s="328"/>
      <c r="W3076" s="328"/>
      <c r="X3076" s="256" t="str">
        <f>CONCATENATE("(",$B3069," vs ",$K3069,")")</f>
        <v>(G vs K)</v>
      </c>
      <c r="Y3076" s="256"/>
      <c r="Z3076" s="328" t="str">
        <f>$J3070</f>
        <v/>
      </c>
      <c r="AA3076" s="328"/>
      <c r="AB3076" s="328"/>
      <c r="AC3076" s="328"/>
      <c r="AD3076" s="328"/>
      <c r="AE3076" s="328"/>
      <c r="AF3076" s="43"/>
    </row>
    <row r="3077" spans="1:32" ht="12.75" customHeight="1">
      <c r="A3077" s="300" t="str">
        <f>K3069</f>
        <v>K</v>
      </c>
      <c r="B3077" s="293" t="str">
        <f ca="1">IF(AND(OFFSET($AO$1,$L3069-1,8,1,1),$A3070&lt;&gt;"",$J3070&lt;&gt;""),CHOOSE($L3069,$AO$1,$AO$2,$AO$3,$AO$4,$AO$5,$AO$6,$AO$7,$AO$8,$AO$9,$AO$10,$AO$11,$AO$12),"")</f>
        <v/>
      </c>
      <c r="C3077" s="294"/>
      <c r="D3077" s="294"/>
      <c r="E3077" s="294"/>
      <c r="F3077" s="294"/>
      <c r="G3077" s="294"/>
      <c r="H3077" s="265"/>
      <c r="I3077" s="265"/>
      <c r="J3077" s="265"/>
      <c r="K3077" s="265"/>
      <c r="L3077" s="265"/>
      <c r="M3077" s="267" t="s">
        <v>1237</v>
      </c>
      <c r="N3077" s="268"/>
      <c r="O3077" s="268"/>
      <c r="P3077" s="269"/>
      <c r="Q3077" s="137" t="str">
        <f>IF($Q3075&lt;&gt;"",IF($Q3075="W","L","W"),"")</f>
        <v/>
      </c>
      <c r="R3077" s="43"/>
      <c r="S3077" s="43"/>
      <c r="T3077" s="43"/>
      <c r="U3077" s="43"/>
      <c r="V3077" s="43"/>
      <c r="W3077" s="43"/>
      <c r="X3077" s="43"/>
      <c r="Y3077" s="43"/>
      <c r="Z3077" s="43"/>
      <c r="AA3077" s="43"/>
      <c r="AB3077" s="43"/>
      <c r="AC3077" s="43"/>
      <c r="AD3077" s="43"/>
      <c r="AE3077" s="43"/>
      <c r="AF3077" s="43"/>
    </row>
    <row r="3078" spans="1:32" ht="12.75" customHeight="1">
      <c r="A3078" s="301"/>
      <c r="B3078" s="295"/>
      <c r="C3078" s="296"/>
      <c r="D3078" s="296"/>
      <c r="E3078" s="296"/>
      <c r="F3078" s="296"/>
      <c r="G3078" s="296"/>
      <c r="H3078" s="270"/>
      <c r="I3078" s="270"/>
      <c r="J3078" s="266"/>
      <c r="K3078" s="266"/>
      <c r="L3078" s="266"/>
      <c r="M3078" s="267"/>
      <c r="N3078" s="268"/>
      <c r="O3078" s="268"/>
      <c r="P3078" s="269"/>
      <c r="Q3078" s="139" t="str">
        <f>IF($Q3077&lt;&gt;"",IF($Q3077="W",IF(SUM(IF($H3077&gt;$H3075,1,0),IF($I3077&gt;$I3075,1,0),IF($J3077&gt;$J3075,1,0),IF($K3077&gt;$K3075,1,0),IF($L3077&gt;$L3075,1,0))&lt;&gt;3,"Error",""),""),"")</f>
        <v/>
      </c>
      <c r="R3078" s="43" t="str">
        <f>$A3080</f>
        <v>2nd Singles</v>
      </c>
      <c r="S3078" s="43"/>
      <c r="T3078" s="43"/>
      <c r="U3078" s="43"/>
      <c r="V3078" s="43"/>
      <c r="W3078" s="43"/>
      <c r="X3078" s="43"/>
      <c r="Y3078" s="43"/>
      <c r="Z3078" s="43"/>
      <c r="AA3078" s="43"/>
      <c r="AB3078" s="43"/>
      <c r="AC3078" s="43"/>
      <c r="AD3078" s="43"/>
      <c r="AE3078" s="43"/>
      <c r="AF3078" s="43"/>
    </row>
    <row r="3079" spans="1:32" ht="12.75" customHeight="1">
      <c r="Q3079" s="7"/>
      <c r="R3079" s="60" t="s">
        <v>1228</v>
      </c>
      <c r="S3079" s="339" t="s">
        <v>1126</v>
      </c>
      <c r="T3079" s="340"/>
      <c r="U3079" s="340"/>
      <c r="V3079" s="340"/>
      <c r="W3079" s="340"/>
      <c r="X3079" s="341"/>
      <c r="Y3079" s="60">
        <v>1</v>
      </c>
      <c r="Z3079" s="60">
        <v>2</v>
      </c>
      <c r="AA3079" s="60">
        <v>3</v>
      </c>
      <c r="AB3079" s="60">
        <v>4</v>
      </c>
      <c r="AC3079" s="60">
        <v>5</v>
      </c>
      <c r="AD3079" s="342"/>
      <c r="AE3079" s="343"/>
      <c r="AF3079" s="344"/>
    </row>
    <row r="3080" spans="1:32" ht="12.75" customHeight="1">
      <c r="A3080" s="21" t="s">
        <v>1234</v>
      </c>
      <c r="H3080" s="136" t="str">
        <f>IF($Q3082&lt;&gt;"",IF(AND(AND($H3082&gt;-1,$H3084&gt;-1),OR($H3082&gt;10,$H3084&gt;10),ABS($H3082-$H3084)&gt;1,IF(OR($H3082&gt;11,$H3084&gt;11),ABS($H3082-$H3084)=2,TRUE),$H3082=INT($H3082),$H3084=INT($H3084)),"","Error"),"")</f>
        <v/>
      </c>
      <c r="I3080" s="136" t="str">
        <f>IF($Q3082&lt;&gt;"",IF(AND(AND($I3082&gt;-1,$I3084&gt;-1),OR($I3082&gt;10,$I3084&gt;10),ABS($I3082-$I3084)&gt;1,IF(OR($I3082&gt;11,$I3084&gt;11),ABS($I3082-$I3084)=2,TRUE),$I3082=INT($I3082),$I3084=INT($I3084)),"","Error"),"")</f>
        <v/>
      </c>
      <c r="J3080" s="136" t="str">
        <f>IF($Q3082&lt;&gt;"",IF(AND(AND($J3082&gt;-1,$J3084&gt;-1),OR($J3082&gt;10,$J3084&gt;10),ABS($J3082-$J3084)&gt;1,IF(OR($J3082&gt;11,$J3084&gt;11),ABS($J3082-$J3084)=2,TRUE),$J3082=INT($J3082),$J3084=INT($J3084)),"","Error"),"")</f>
        <v/>
      </c>
      <c r="K3080" s="136" t="str">
        <f>IF($Q3082&lt;&gt;"",IF(AND($K3082&lt;&gt;"",$K3084&lt;&gt;""), IF(AND(AND($K3082&gt;-1,$K3084&gt;-1),OR($K3082&gt;10,$K3084&gt;10),ABS($K3082-$K3084)&gt;1,IF(OR($K3082&gt;11,$K3084&gt;11),ABS($K3082-$K3084)=2,TRUE),$K3082=INT($K3082),$K3084=INT($K3084)),"","Error"),""),"")</f>
        <v/>
      </c>
      <c r="L3080" s="136" t="str">
        <f>IF($Q3082&lt;&gt;"",IF(AND($L3082&lt;&gt;"",$L3084&lt;&gt;""), IF(AND(AND($L3082&gt;-1,$L3084&gt;-1),OR($L3082&gt;10,$L3084&gt;10),ABS($L3082-$L3084)&gt;1,IF(OR($L3082&gt;11,$L3084&gt;11),ABS($L3082-$L3084)=2,TRUE),$L3082=INT($L3082),$L3084=INT($L3084)),"","Error"),""),"")</f>
        <v/>
      </c>
      <c r="Q3080" s="7"/>
      <c r="R3080" s="300" t="str">
        <f>$B3069</f>
        <v>G</v>
      </c>
      <c r="S3080" s="331" t="str">
        <f ca="1">IF($B3082&lt;&gt;"",$B3082,"")</f>
        <v/>
      </c>
      <c r="T3080" s="332"/>
      <c r="U3080" s="332"/>
      <c r="V3080" s="332"/>
      <c r="W3080" s="332"/>
      <c r="X3080" s="333"/>
      <c r="Y3080" s="329"/>
      <c r="Z3080" s="329"/>
      <c r="AA3080" s="329"/>
      <c r="AB3080" s="329"/>
      <c r="AC3080" s="329"/>
      <c r="AD3080" s="345"/>
      <c r="AE3080" s="358"/>
      <c r="AF3080" s="359"/>
    </row>
    <row r="3081" spans="1:32" ht="12.75" customHeight="1">
      <c r="A3081" s="5" t="s">
        <v>1228</v>
      </c>
      <c r="B3081" s="290" t="s">
        <v>1126</v>
      </c>
      <c r="C3081" s="291"/>
      <c r="D3081" s="291"/>
      <c r="E3081" s="291"/>
      <c r="F3081" s="291"/>
      <c r="G3081" s="292"/>
      <c r="H3081" s="5">
        <v>1</v>
      </c>
      <c r="I3081" s="5">
        <v>2</v>
      </c>
      <c r="J3081" s="5">
        <v>3</v>
      </c>
      <c r="K3081" s="5">
        <v>4</v>
      </c>
      <c r="L3081" s="5">
        <v>5</v>
      </c>
      <c r="M3081" s="271"/>
      <c r="N3081" s="272"/>
      <c r="O3081" s="272"/>
      <c r="P3081" s="273"/>
      <c r="Q3081" s="7"/>
      <c r="R3081" s="330"/>
      <c r="S3081" s="334"/>
      <c r="T3081" s="335"/>
      <c r="U3081" s="335"/>
      <c r="V3081" s="335"/>
      <c r="W3081" s="335"/>
      <c r="X3081" s="336"/>
      <c r="Y3081" s="330"/>
      <c r="Z3081" s="330"/>
      <c r="AA3081" s="330"/>
      <c r="AB3081" s="330"/>
      <c r="AC3081" s="330"/>
      <c r="AD3081" s="360"/>
      <c r="AE3081" s="361"/>
      <c r="AF3081" s="362"/>
    </row>
    <row r="3082" spans="1:32" ht="12.75" customHeight="1">
      <c r="A3082" s="300" t="str">
        <f>B3069</f>
        <v>G</v>
      </c>
      <c r="B3082" s="293" t="str">
        <f ca="1">IF(AND(OFFSET($AO$1,$C3069-1,8,1,1),$A3070&lt;&gt;"",$J3070&lt;&gt;""),CHOOSE($C3069,$AP$1,$AP$2,$AP$3,$AP$4,$AP$5,$AP$6,$AP$7,$AP$8,$AP$9,$AP$10,$AP$11,$AP$12),"")</f>
        <v/>
      </c>
      <c r="C3082" s="294"/>
      <c r="D3082" s="294"/>
      <c r="E3082" s="294"/>
      <c r="F3082" s="294"/>
      <c r="G3082" s="294"/>
      <c r="H3082" s="265"/>
      <c r="I3082" s="265"/>
      <c r="J3082" s="265"/>
      <c r="K3082" s="265"/>
      <c r="L3082" s="265"/>
      <c r="M3082" s="262" t="str">
        <f ca="1">IF(OR(AND($B3075&lt;&gt;"",$B3082&lt;&gt;"",$C3100&lt;=$B3100),AND($B3077&lt;&gt;"",$B3084&lt;&gt;"",$G3100&lt;=$F3100)),"Invalid Lineup","")</f>
        <v/>
      </c>
      <c r="N3082" s="263"/>
      <c r="O3082" s="263"/>
      <c r="P3082" s="264"/>
      <c r="Q3082" s="137" t="str">
        <f>IF($L3082=$L3084,IF($K3082=$K3084,IF($J3082&lt;&gt;"",IF($J3082&gt;$J3084,"W","L"),""),IF($K3082&gt;$K3084,"W","L")),IF($L3082&gt;$L3084,"W","L"))</f>
        <v/>
      </c>
      <c r="R3082" s="300" t="str">
        <f>$K3069</f>
        <v>K</v>
      </c>
      <c r="S3082" s="331" t="str">
        <f ca="1">IF($B3084&lt;&gt;"",$B3084,"")</f>
        <v/>
      </c>
      <c r="T3082" s="332"/>
      <c r="U3082" s="332"/>
      <c r="V3082" s="332"/>
      <c r="W3082" s="332"/>
      <c r="X3082" s="333"/>
      <c r="Y3082" s="329"/>
      <c r="Z3082" s="329"/>
      <c r="AA3082" s="329"/>
      <c r="AB3082" s="329"/>
      <c r="AC3082" s="351"/>
      <c r="AD3082" s="363" t="s">
        <v>1237</v>
      </c>
      <c r="AE3082" s="358"/>
      <c r="AF3082" s="359"/>
    </row>
    <row r="3083" spans="1:32" ht="12.75" customHeight="1">
      <c r="A3083" s="301"/>
      <c r="B3083" s="295"/>
      <c r="C3083" s="296"/>
      <c r="D3083" s="296"/>
      <c r="E3083" s="296"/>
      <c r="F3083" s="296"/>
      <c r="G3083" s="296"/>
      <c r="H3083" s="270"/>
      <c r="I3083" s="270"/>
      <c r="J3083" s="270"/>
      <c r="K3083" s="270"/>
      <c r="L3083" s="270"/>
      <c r="M3083" s="262"/>
      <c r="N3083" s="263"/>
      <c r="O3083" s="263"/>
      <c r="P3083" s="264"/>
      <c r="Q3083" s="139" t="str">
        <f>IF($Q3082&lt;&gt;"",IF($Q3082="W",IF(SUM(IF($H3082&gt;$H3084,1,0),IF($I3082&gt;$I3084,1,0),IF($J3082&gt;$J3084,1,0),IF($K3082&gt;$K3084,1,0),IF($L3082&gt;$L3084,1,0))&lt;&gt;3,"Error",""),""),"")</f>
        <v/>
      </c>
      <c r="R3083" s="330"/>
      <c r="S3083" s="334"/>
      <c r="T3083" s="335"/>
      <c r="U3083" s="335"/>
      <c r="V3083" s="335"/>
      <c r="W3083" s="335"/>
      <c r="X3083" s="336"/>
      <c r="Y3083" s="330"/>
      <c r="Z3083" s="330"/>
      <c r="AA3083" s="330"/>
      <c r="AB3083" s="330"/>
      <c r="AC3083" s="330"/>
      <c r="AD3083" s="360"/>
      <c r="AE3083" s="361"/>
      <c r="AF3083" s="362"/>
    </row>
    <row r="3084" spans="1:32" ht="12.75" customHeight="1">
      <c r="A3084" s="300" t="str">
        <f>K3069</f>
        <v>K</v>
      </c>
      <c r="B3084" s="293" t="str">
        <f ca="1">IF(AND(OFFSET($AO$1,$L3069-1,8,1,1),$A3070&lt;&gt;"",$J3070&lt;&gt;""),CHOOSE($L3069,$AP$1,$AP$2,$AP$3,$AP$4,$AP$5,$AP$6,$AP$7,$AP$8,$AP$9,$AP$10,$AP$11,$AP$12),"")</f>
        <v/>
      </c>
      <c r="C3084" s="294"/>
      <c r="D3084" s="294"/>
      <c r="E3084" s="294"/>
      <c r="F3084" s="294"/>
      <c r="G3084" s="294"/>
      <c r="H3084" s="265"/>
      <c r="I3084" s="265"/>
      <c r="J3084" s="265"/>
      <c r="K3084" s="265"/>
      <c r="L3084" s="265"/>
      <c r="M3084" s="267" t="s">
        <v>1237</v>
      </c>
      <c r="N3084" s="268"/>
      <c r="O3084" s="268"/>
      <c r="P3084" s="269"/>
      <c r="Q3084" s="137" t="str">
        <f>IF($Q3082&lt;&gt;"",IF($Q3082="W","L","W"),"")</f>
        <v/>
      </c>
      <c r="R3084" s="20"/>
      <c r="S3084" s="20"/>
      <c r="T3084" s="20"/>
      <c r="U3084" s="20"/>
      <c r="V3084" s="20"/>
      <c r="W3084" s="20"/>
      <c r="X3084" s="26"/>
      <c r="Y3084" s="26"/>
      <c r="Z3084" s="20"/>
      <c r="AA3084" s="20"/>
      <c r="AB3084" s="20"/>
      <c r="AC3084" s="20"/>
      <c r="AD3084" s="20"/>
      <c r="AE3084" s="20"/>
      <c r="AF3084" s="27"/>
    </row>
    <row r="3085" spans="1:32" ht="12.75" customHeight="1">
      <c r="A3085" s="301"/>
      <c r="B3085" s="295"/>
      <c r="C3085" s="296"/>
      <c r="D3085" s="296"/>
      <c r="E3085" s="296"/>
      <c r="F3085" s="296"/>
      <c r="G3085" s="296"/>
      <c r="H3085" s="270"/>
      <c r="I3085" s="270"/>
      <c r="J3085" s="266"/>
      <c r="K3085" s="266"/>
      <c r="L3085" s="266"/>
      <c r="M3085" s="267"/>
      <c r="N3085" s="268"/>
      <c r="O3085" s="268"/>
      <c r="P3085" s="269"/>
      <c r="Q3085" s="139" t="str">
        <f>IF($Q3084&lt;&gt;"",IF($Q3084="W",IF(SUM(IF($H3084&gt;$H3082,1,0),IF($I3084&gt;$I3082,1,0),IF($J3084&gt;$J3082,1,0),IF($K3084&gt;$K3082,1,0),IF($L3084&gt;$L3082,1,0))&lt;&gt;3,"Error",""),""),"")</f>
        <v/>
      </c>
      <c r="R3085" s="20"/>
      <c r="S3085" s="20"/>
      <c r="T3085" s="20"/>
      <c r="U3085" s="20"/>
      <c r="V3085" s="20"/>
      <c r="W3085" s="20"/>
      <c r="X3085" s="26"/>
      <c r="Y3085" s="26"/>
      <c r="Z3085" s="20"/>
      <c r="AA3085" s="20"/>
      <c r="AB3085" s="20"/>
      <c r="AC3085" s="20"/>
      <c r="AD3085" s="20"/>
      <c r="AE3085" s="20"/>
      <c r="AF3085" s="27"/>
    </row>
    <row r="3086" spans="1:32" ht="12.75" customHeight="1">
      <c r="Q3086" s="7"/>
      <c r="R3086" s="20"/>
      <c r="S3086" s="20"/>
      <c r="T3086" s="20"/>
      <c r="U3086" s="20"/>
      <c r="V3086" s="20"/>
      <c r="W3086" s="20"/>
      <c r="X3086" s="26"/>
      <c r="Y3086" s="26"/>
      <c r="Z3086" s="20"/>
      <c r="AA3086" s="20"/>
      <c r="AB3086" s="20"/>
      <c r="AC3086" s="20"/>
      <c r="AD3086" s="20"/>
      <c r="AE3086" s="20"/>
      <c r="AF3086" s="27"/>
    </row>
    <row r="3087" spans="1:32" ht="12.75" customHeight="1">
      <c r="A3087" s="21" t="s">
        <v>1235</v>
      </c>
      <c r="H3087" s="136" t="str">
        <f>IF($Q3089&lt;&gt;"",IF(AND(AND($H3089&gt;-1,$H3091&gt;-1),OR($H3089&gt;10,$H3091&gt;10),ABS($H3089-$H3091)&gt;1,IF(OR($H3089&gt;11,$H3091&gt;11),ABS($H3089-$H3091)=2,TRUE),$H3089=INT($H3089),$H3091=INT($H3091)),"","Error"),"")</f>
        <v/>
      </c>
      <c r="I3087" s="136" t="str">
        <f>IF($Q3089&lt;&gt;"",IF(AND(AND($I3089&gt;-1,$I3091&gt;-1),OR($I3089&gt;10,$I3091&gt;10),ABS($I3089-$I3091)&gt;1,IF(OR($I3089&gt;11,$I3091&gt;11),ABS($I3089-$I3091)=2,TRUE),$I3089=INT($I3089),$I3091=INT($I3091)),"","Error"),"")</f>
        <v/>
      </c>
      <c r="J3087" s="136" t="str">
        <f>IF($Q3089&lt;&gt;"",IF(AND(AND($J3089&gt;-1,$J3091&gt;-1),OR($J3089&gt;10,$J3091&gt;10),ABS($J3089-$J3091)&gt;1,IF(OR($J3089&gt;11,$J3091&gt;11),ABS($J3089-$J3091)=2,TRUE),$J3089=INT($J3089),$J3091=INT($J3091)),"","Error"),"")</f>
        <v/>
      </c>
      <c r="K3087" s="136" t="str">
        <f>IF($Q3089&lt;&gt;"",IF(AND($K3089&lt;&gt;"",$K3091&lt;&gt;""), IF(AND(AND($K3089&gt;-1,$K3091&gt;-1),OR($K3089&gt;10,$K3091&gt;10),ABS($K3089-$K3091)&gt;1,IF(OR($K3089&gt;11,$K3091&gt;11),ABS($K3089-$K3091)=2,TRUE),$K3089=INT($K3089),$K3091=INT($K3091)),"","Error"),""),"")</f>
        <v/>
      </c>
      <c r="L3087" s="136" t="str">
        <f>IF($Q3089&lt;&gt;"",IF(AND($L3089&lt;&gt;"",$L3091&lt;&gt;""), IF(AND(AND($L3089&gt;-1,$L3091&gt;-1),OR($L3089&gt;10,$L3091&gt;10),ABS($L3089-$L3091)&gt;1,IF(OR($L3089&gt;11,$L3091&gt;11),ABS($L3089-$L3091)=2,TRUE),$L3089=INT($L3089),$L3091=INT($L3091)),"","Error"),""),"")</f>
        <v/>
      </c>
      <c r="Q3087" s="7"/>
      <c r="R3087" s="20"/>
      <c r="S3087" s="20"/>
      <c r="T3087" s="20"/>
      <c r="U3087" s="20"/>
      <c r="V3087" s="20"/>
      <c r="W3087" s="20"/>
      <c r="X3087" s="26"/>
      <c r="Y3087" s="26"/>
      <c r="Z3087" s="20"/>
      <c r="AA3087" s="20"/>
      <c r="AB3087" s="20"/>
      <c r="AC3087" s="20"/>
      <c r="AD3087" s="20"/>
      <c r="AE3087" s="20"/>
      <c r="AF3087" s="27"/>
    </row>
    <row r="3088" spans="1:32" ht="12.75" customHeight="1">
      <c r="A3088" s="5" t="s">
        <v>1228</v>
      </c>
      <c r="B3088" s="290" t="s">
        <v>1126</v>
      </c>
      <c r="C3088" s="291"/>
      <c r="D3088" s="291"/>
      <c r="E3088" s="291"/>
      <c r="F3088" s="291"/>
      <c r="G3088" s="292"/>
      <c r="H3088" s="5">
        <v>1</v>
      </c>
      <c r="I3088" s="5">
        <v>2</v>
      </c>
      <c r="J3088" s="5">
        <v>3</v>
      </c>
      <c r="K3088" s="5">
        <v>4</v>
      </c>
      <c r="L3088" s="5">
        <v>5</v>
      </c>
      <c r="M3088" s="271"/>
      <c r="N3088" s="272"/>
      <c r="O3088" s="272"/>
      <c r="P3088" s="273"/>
      <c r="Q3088" s="7"/>
      <c r="R3088" s="20"/>
      <c r="S3088" s="20"/>
      <c r="T3088" s="20"/>
      <c r="U3088" s="20"/>
      <c r="V3088" s="20"/>
      <c r="W3088" s="20"/>
      <c r="X3088" s="26"/>
      <c r="Y3088" s="26"/>
      <c r="Z3088" s="20"/>
      <c r="AA3088" s="20"/>
      <c r="AB3088" s="20"/>
      <c r="AC3088" s="20"/>
      <c r="AD3088" s="20"/>
      <c r="AE3088" s="20"/>
      <c r="AF3088" s="27"/>
    </row>
    <row r="3089" spans="1:32" ht="12.75" customHeight="1">
      <c r="A3089" s="300" t="str">
        <f>B3069</f>
        <v>G</v>
      </c>
      <c r="B3089" s="293" t="str">
        <f ca="1">IF(AND(OFFSET($AO$1,$C3069-1,8,1,1),$A3070&lt;&gt;"",$J3070&lt;&gt;""),CHOOSE($C3069,$AQ$1,$AQ$2,$AQ$3,$AQ$4,$AQ$5,$AQ$6,$AQ$7,$AQ$8,$AQ$9,$AQ$10,$AQ$11,$AQ$12),"")</f>
        <v/>
      </c>
      <c r="C3089" s="294"/>
      <c r="D3089" s="294"/>
      <c r="E3089" s="294"/>
      <c r="F3089" s="294"/>
      <c r="G3089" s="294"/>
      <c r="H3089" s="265"/>
      <c r="I3089" s="265"/>
      <c r="J3089" s="265"/>
      <c r="K3089" s="265"/>
      <c r="L3089" s="265"/>
      <c r="M3089" s="262" t="str">
        <f ca="1">IF(OR(AND($B3082&lt;&gt;"",$B3089&lt;&gt;"",$D3100&lt;=$C3100),AND($B3084&lt;&gt;"",$B3091&lt;&gt;"",$H3100&lt;=$G3100)),"Invalid Lineup","")</f>
        <v/>
      </c>
      <c r="N3089" s="263"/>
      <c r="O3089" s="263"/>
      <c r="P3089" s="264"/>
      <c r="Q3089" s="137" t="str">
        <f>IF($L3089=$L3091,IF($K3089=$K3091,IF($J3089&lt;&gt;"",IF($J3089&gt;$J3091,"W","L"),""),IF($K3089&gt;$K3091,"W","L")),IF($L3089&gt;$L3091,"W","L"))</f>
        <v/>
      </c>
      <c r="R3089" s="20"/>
      <c r="S3089" s="20"/>
      <c r="T3089" s="20"/>
      <c r="U3089" s="20"/>
      <c r="V3089" s="20"/>
      <c r="W3089" s="20"/>
      <c r="X3089" s="26"/>
      <c r="Y3089" s="26"/>
      <c r="Z3089" s="20"/>
      <c r="AA3089" s="20"/>
      <c r="AB3089" s="20"/>
      <c r="AC3089" s="20"/>
      <c r="AD3089" s="20"/>
      <c r="AE3089" s="20"/>
      <c r="AF3089" s="27"/>
    </row>
    <row r="3090" spans="1:32" ht="12.75" customHeight="1">
      <c r="A3090" s="301"/>
      <c r="B3090" s="295"/>
      <c r="C3090" s="296"/>
      <c r="D3090" s="296"/>
      <c r="E3090" s="296"/>
      <c r="F3090" s="296"/>
      <c r="G3090" s="296"/>
      <c r="H3090" s="270"/>
      <c r="I3090" s="270"/>
      <c r="J3090" s="270"/>
      <c r="K3090" s="270"/>
      <c r="L3090" s="270"/>
      <c r="M3090" s="262"/>
      <c r="N3090" s="263"/>
      <c r="O3090" s="263"/>
      <c r="P3090" s="264"/>
      <c r="Q3090" s="139" t="str">
        <f>IF($Q3089&lt;&gt;"",IF($Q3089="W",IF(SUM(IF($H3089&gt;$H3091,1,0),IF($I3089&gt;$I3091,1,0),IF($J3089&gt;$J3091,1,0),IF($K3089&gt;$K3091,1,0),IF($L3089&gt;$L3091,1,0))&lt;&gt;3,"Error",""),""),"")</f>
        <v/>
      </c>
      <c r="R3090" s="328" t="str">
        <f>$A3070</f>
        <v/>
      </c>
      <c r="S3090" s="328"/>
      <c r="T3090" s="328"/>
      <c r="U3090" s="328"/>
      <c r="V3090" s="328"/>
      <c r="W3090" s="328"/>
      <c r="X3090" s="256" t="str">
        <f>CONCATENATE("(",$B3069," vs ",$K3069,")")</f>
        <v>(G vs K)</v>
      </c>
      <c r="Y3090" s="256"/>
      <c r="Z3090" s="328" t="str">
        <f>$J3070</f>
        <v/>
      </c>
      <c r="AA3090" s="328"/>
      <c r="AB3090" s="328"/>
      <c r="AC3090" s="328"/>
      <c r="AD3090" s="328"/>
      <c r="AE3090" s="328"/>
      <c r="AF3090" s="100"/>
    </row>
    <row r="3091" spans="1:32" ht="12.75" customHeight="1">
      <c r="A3091" s="300" t="str">
        <f>K3069</f>
        <v>K</v>
      </c>
      <c r="B3091" s="293" t="str">
        <f ca="1">IF(AND(OFFSET($AO$1,$L3069-1,8,1,1),$A3070&lt;&gt;"",$J3070&lt;&gt;""),CHOOSE($L3069,$AQ$1,$AQ$2,$AQ$3,$AQ$4,$AQ$5,$AQ$6,$AQ$7,$AQ$8,$AQ$9,$AQ$10,$AQ$11,$AQ$12),"")</f>
        <v/>
      </c>
      <c r="C3091" s="294"/>
      <c r="D3091" s="294"/>
      <c r="E3091" s="294"/>
      <c r="F3091" s="294"/>
      <c r="G3091" s="294"/>
      <c r="H3091" s="265"/>
      <c r="I3091" s="265"/>
      <c r="J3091" s="265"/>
      <c r="K3091" s="265"/>
      <c r="L3091" s="265"/>
      <c r="M3091" s="267" t="s">
        <v>1237</v>
      </c>
      <c r="N3091" s="268"/>
      <c r="O3091" s="268"/>
      <c r="P3091" s="269"/>
      <c r="Q3091" s="137" t="str">
        <f>IF($Q3089&lt;&gt;"",IF($Q3089="W","L","W"),"")</f>
        <v/>
      </c>
      <c r="R3091" s="100"/>
      <c r="S3091" s="100"/>
      <c r="T3091" s="100"/>
      <c r="U3091" s="100"/>
      <c r="V3091" s="100"/>
      <c r="W3091" s="100"/>
      <c r="X3091" s="100"/>
      <c r="Y3091" s="100"/>
      <c r="Z3091" s="100"/>
      <c r="AA3091" s="100"/>
      <c r="AB3091" s="100"/>
      <c r="AC3091" s="100"/>
      <c r="AD3091" s="100"/>
      <c r="AE3091" s="100"/>
      <c r="AF3091" s="100"/>
    </row>
    <row r="3092" spans="1:32" ht="12.75" customHeight="1">
      <c r="A3092" s="301"/>
      <c r="B3092" s="295"/>
      <c r="C3092" s="296"/>
      <c r="D3092" s="296"/>
      <c r="E3092" s="296"/>
      <c r="F3092" s="296"/>
      <c r="G3092" s="296"/>
      <c r="H3092" s="270"/>
      <c r="I3092" s="270"/>
      <c r="J3092" s="266"/>
      <c r="K3092" s="266"/>
      <c r="L3092" s="266"/>
      <c r="M3092" s="267"/>
      <c r="N3092" s="268"/>
      <c r="O3092" s="268"/>
      <c r="P3092" s="269"/>
      <c r="Q3092" s="139" t="str">
        <f>IF($Q3091&lt;&gt;"",IF($Q3091="W",IF(SUM(IF($H3091&gt;$H3089,1,0),IF($I3091&gt;$I3089,1,0),IF($J3091&gt;$J3089,1,0),IF($K3091&gt;$K3089,1,0),IF($L3091&gt;$L3089,1,0))&lt;&gt;3,"Error",""),""),"")</f>
        <v/>
      </c>
      <c r="R3092" s="43" t="str">
        <f>$A3087</f>
        <v>3rd Singles</v>
      </c>
      <c r="S3092" s="43"/>
      <c r="T3092" s="43"/>
      <c r="U3092" s="43"/>
      <c r="V3092" s="43"/>
      <c r="W3092" s="43"/>
      <c r="X3092" s="43"/>
      <c r="Y3092" s="43"/>
      <c r="Z3092" s="43"/>
      <c r="AA3092" s="43"/>
      <c r="AB3092" s="43"/>
      <c r="AC3092" s="43"/>
      <c r="AD3092" s="43"/>
      <c r="AE3092" s="43"/>
      <c r="AF3092" s="43"/>
    </row>
    <row r="3093" spans="1:32" ht="12.75" customHeight="1">
      <c r="Q3093" s="7"/>
      <c r="R3093" s="60" t="s">
        <v>1228</v>
      </c>
      <c r="S3093" s="101" t="s">
        <v>1126</v>
      </c>
      <c r="T3093" s="102"/>
      <c r="U3093" s="102"/>
      <c r="V3093" s="102"/>
      <c r="W3093" s="102"/>
      <c r="X3093" s="103"/>
      <c r="Y3093" s="60">
        <v>1</v>
      </c>
      <c r="Z3093" s="60">
        <v>2</v>
      </c>
      <c r="AA3093" s="60">
        <v>3</v>
      </c>
      <c r="AB3093" s="60">
        <v>4</v>
      </c>
      <c r="AC3093" s="60">
        <v>5</v>
      </c>
      <c r="AD3093" s="104"/>
      <c r="AE3093" s="105"/>
      <c r="AF3093" s="106"/>
    </row>
    <row r="3094" spans="1:32" ht="12.75" customHeight="1">
      <c r="A3094" s="21" t="s">
        <v>1236</v>
      </c>
      <c r="H3094" s="136" t="str">
        <f ca="1">IF($Q3096&lt;&gt;"",IF(AND($B3096&lt;&gt;"Missing Player",$B3098&lt;&gt;"Missing Player"),IF(AND(AND($H3096&gt;-1,$H3098&gt;-1),OR($H3096&gt;10,$H3098&gt;10),ABS($H3096-$H3098)&gt;1,IF(OR($H3096&gt;11,$H3098&gt;11),ABS($H3096-$H3098)=2,TRUE),$H3096=INT($H3096),$H3098=INT($H3098)),"","Error"),""),"")</f>
        <v/>
      </c>
      <c r="I3094" s="136" t="str">
        <f ca="1">IF($Q3096&lt;&gt;"",IF(AND($B3096&lt;&gt;"Missing Player",$B3098&lt;&gt;"Missing Player"),IF(AND(AND($I3096&gt;-1,$I3098&gt;-1),OR($I3096&gt;10,$I3098&gt;10),ABS($I3096-$I3098)&gt;1,IF(OR($I3096&gt;11,$I3098&gt;11),ABS($I3096-$I3098)=2,TRUE),$I3096=INT($I3096),$I3098=INT($I3098)),"","Error"),""),"")</f>
        <v/>
      </c>
      <c r="J3094" s="136" t="str">
        <f ca="1">IF($Q3096&lt;&gt;"",IF(AND($B3096&lt;&gt;"Missing Player",$B3098&lt;&gt;"Missing Player"),IF(AND(AND($J3096&gt;-1,$J3098&gt;-1),OR($J3096&gt;10,$J3098&gt;10),ABS($J3096-$J3098)&gt;1,IF(OR($J3096&gt;11,$J3098&gt;11),ABS($J3096-$J3098)=2,TRUE),$J3096=INT($J3096),$J3098=INT($J3098)),"","Error"),""),"")</f>
        <v/>
      </c>
      <c r="K3094" s="136" t="str">
        <f ca="1">IF($Q3096&lt;&gt;"",IF(AND($K3096&lt;&gt;"",$K3098&lt;&gt;""), IF(AND(AND($K3096&gt;-1,$K3098&gt;-1),OR($K3096&gt;10,$K3098&gt;10),ABS($K3096-$K3098)&gt;1,IF(OR($K3096&gt;11,$K3098&gt;11),ABS($K3096-$K3098)=2,TRUE),$K3096=INT($K3096),$K3098=INT($K3098)),"","Error"),""),"")</f>
        <v/>
      </c>
      <c r="L3094" s="136" t="str">
        <f ca="1">IF($Q3096&lt;&gt;"",IF(AND($L3096&lt;&gt;"",$L3098&lt;&gt;""), IF(AND(AND($L3096&gt;-1,$L3098&gt;-1),OR($L3096&gt;10,$L3098&gt;10),ABS($L3096-$L3098)&gt;1,IF(OR($L3096&gt;11,$L3098&gt;11),ABS($L3096-$L3098)=2,TRUE),$L3096=INT($L3096),$L3098=INT($L3098)),"","Error"),""),"")</f>
        <v/>
      </c>
      <c r="Q3094" s="7"/>
      <c r="R3094" s="300" t="str">
        <f>$B3069</f>
        <v>G</v>
      </c>
      <c r="S3094" s="331" t="str">
        <f ca="1">IF($B3089&lt;&gt;"",$B3089,"")</f>
        <v/>
      </c>
      <c r="T3094" s="332"/>
      <c r="U3094" s="332"/>
      <c r="V3094" s="332"/>
      <c r="W3094" s="332"/>
      <c r="X3094" s="333"/>
      <c r="Y3094" s="329"/>
      <c r="Z3094" s="329"/>
      <c r="AA3094" s="329"/>
      <c r="AB3094" s="329"/>
      <c r="AC3094" s="329"/>
      <c r="AD3094" s="345"/>
      <c r="AE3094" s="358"/>
      <c r="AF3094" s="359"/>
    </row>
    <row r="3095" spans="1:32" ht="12.75" customHeight="1">
      <c r="A3095" s="5" t="s">
        <v>1228</v>
      </c>
      <c r="B3095" s="290" t="s">
        <v>1126</v>
      </c>
      <c r="C3095" s="291"/>
      <c r="D3095" s="291"/>
      <c r="E3095" s="291"/>
      <c r="F3095" s="291"/>
      <c r="G3095" s="292"/>
      <c r="H3095" s="5">
        <v>1</v>
      </c>
      <c r="I3095" s="5">
        <v>2</v>
      </c>
      <c r="J3095" s="5">
        <v>3</v>
      </c>
      <c r="K3095" s="5">
        <v>4</v>
      </c>
      <c r="L3095" s="5">
        <v>5</v>
      </c>
      <c r="M3095" s="271"/>
      <c r="N3095" s="272"/>
      <c r="O3095" s="272"/>
      <c r="P3095" s="273"/>
      <c r="Q3095" s="7"/>
      <c r="R3095" s="330"/>
      <c r="S3095" s="334"/>
      <c r="T3095" s="335"/>
      <c r="U3095" s="335"/>
      <c r="V3095" s="335"/>
      <c r="W3095" s="335"/>
      <c r="X3095" s="336"/>
      <c r="Y3095" s="330"/>
      <c r="Z3095" s="330"/>
      <c r="AA3095" s="330"/>
      <c r="AB3095" s="330"/>
      <c r="AC3095" s="330"/>
      <c r="AD3095" s="360"/>
      <c r="AE3095" s="361"/>
      <c r="AF3095" s="362"/>
    </row>
    <row r="3096" spans="1:32" ht="12.75" customHeight="1">
      <c r="A3096" s="300" t="str">
        <f>B3069</f>
        <v>G</v>
      </c>
      <c r="B3096" s="293" t="str">
        <f ca="1">IF(AND(OFFSET($AO$1,$C3069-1,8,1,1),$A3070&lt;&gt;"",$J3070&lt;&gt;""),CHOOSE($C3069,$AR$1,$AR$2,$AR$3,$AR$4,$AR$5,$AR$6,$AR$7,$AR$8,$AR$9,$AR$10,$AR$11,$AR$12),"")</f>
        <v/>
      </c>
      <c r="C3096" s="294"/>
      <c r="D3096" s="294"/>
      <c r="E3096" s="294"/>
      <c r="F3096" s="294"/>
      <c r="G3096" s="294"/>
      <c r="H3096" s="265"/>
      <c r="I3096" s="265"/>
      <c r="J3096" s="265"/>
      <c r="K3096" s="265"/>
      <c r="L3096" s="265" t="str">
        <f ca="1">IF(AND($B3096&lt;&gt;"",$Q3075&lt;&gt;""),IF($B3096="Missing Player",0,IF($B3098="Missing Player",11,"")),"")</f>
        <v/>
      </c>
      <c r="M3096" s="262" t="str">
        <f ca="1">IF(OR(AND($B3089&lt;&gt;"",$B3096&lt;&gt;"",$E3100&lt;=$D3100),AND($B3091&lt;&gt;"",$B3098&lt;&gt;"",$I3100&lt;=$H3100)),"Invalid Lineup","")</f>
        <v/>
      </c>
      <c r="N3096" s="263"/>
      <c r="O3096" s="263"/>
      <c r="P3096" s="264"/>
      <c r="Q3096" s="137" t="str">
        <f ca="1">IF($L3096=$L3098,IF($K3096=$K3098,IF($J3096&lt;&gt;"",IF($J3096&gt;$J3098,"W","L"),""),IF($K3096&gt;$K3098,"W","L")),IF($L3096&gt;$L3098,"W","L"))</f>
        <v/>
      </c>
      <c r="R3096" s="300" t="str">
        <f>$K3069</f>
        <v>K</v>
      </c>
      <c r="S3096" s="331" t="str">
        <f ca="1">IF($B3091&lt;&gt;"",$B3091,"")</f>
        <v/>
      </c>
      <c r="T3096" s="332"/>
      <c r="U3096" s="332"/>
      <c r="V3096" s="332"/>
      <c r="W3096" s="332"/>
      <c r="X3096" s="333"/>
      <c r="Y3096" s="329"/>
      <c r="Z3096" s="329"/>
      <c r="AA3096" s="329"/>
      <c r="AB3096" s="329"/>
      <c r="AC3096" s="351"/>
      <c r="AD3096" s="363" t="s">
        <v>1237</v>
      </c>
      <c r="AE3096" s="358"/>
      <c r="AF3096" s="359"/>
    </row>
    <row r="3097" spans="1:32" ht="12.75" customHeight="1">
      <c r="A3097" s="301"/>
      <c r="B3097" s="295"/>
      <c r="C3097" s="296"/>
      <c r="D3097" s="296"/>
      <c r="E3097" s="296"/>
      <c r="F3097" s="296"/>
      <c r="G3097" s="296"/>
      <c r="H3097" s="270"/>
      <c r="I3097" s="270"/>
      <c r="J3097" s="270"/>
      <c r="K3097" s="270"/>
      <c r="L3097" s="270"/>
      <c r="M3097" s="262"/>
      <c r="N3097" s="263"/>
      <c r="O3097" s="263"/>
      <c r="P3097" s="264"/>
      <c r="Q3097" s="139" t="str">
        <f ca="1">IF($Q3096&lt;&gt;"",IF($B3098&lt;&gt;"Missing Player",IF($Q3096="W",IF(SUM(IF($H3096&gt;$H3098,1,0),IF($I3096&gt;$I3098,1,0),IF($J3096&gt;$J3098,1,0),IF($K3096&gt;$K3098,1,0),IF($L3096&gt;$L3098,1,0))&lt;&gt;3,"Error",""),""),""),"")</f>
        <v/>
      </c>
      <c r="R3097" s="330"/>
      <c r="S3097" s="334"/>
      <c r="T3097" s="335"/>
      <c r="U3097" s="335"/>
      <c r="V3097" s="335"/>
      <c r="W3097" s="335"/>
      <c r="X3097" s="336"/>
      <c r="Y3097" s="330"/>
      <c r="Z3097" s="330"/>
      <c r="AA3097" s="330"/>
      <c r="AB3097" s="330"/>
      <c r="AC3097" s="330"/>
      <c r="AD3097" s="360"/>
      <c r="AE3097" s="361"/>
      <c r="AF3097" s="362"/>
    </row>
    <row r="3098" spans="1:32" ht="12.75" customHeight="1">
      <c r="A3098" s="300" t="str">
        <f>K3069</f>
        <v>K</v>
      </c>
      <c r="B3098" s="293" t="str">
        <f ca="1">IF(AND(OFFSET($AO$1,$L3069-1,8,1,1),$A3070&lt;&gt;"",$J3070&lt;&gt;""),CHOOSE($L3069,$AR$1,$AR$2,$AR$3,$AR$4,$AR$5,$AR$6,$AR$7,$AR$8,$AR$9,$AR$10,$AR$11,$AR$12),"")</f>
        <v/>
      </c>
      <c r="C3098" s="294"/>
      <c r="D3098" s="294"/>
      <c r="E3098" s="294"/>
      <c r="F3098" s="294"/>
      <c r="G3098" s="294"/>
      <c r="H3098" s="265"/>
      <c r="I3098" s="265"/>
      <c r="J3098" s="265"/>
      <c r="K3098" s="265"/>
      <c r="L3098" s="265" t="str">
        <f ca="1">IF(AND($B3098&lt;&gt;"",$Q3075&lt;&gt;""),IF($B3098="Missing Player",0,IF($B3096="Missing Player",11,"")),"")</f>
        <v/>
      </c>
      <c r="M3098" s="267" t="s">
        <v>1237</v>
      </c>
      <c r="N3098" s="268"/>
      <c r="O3098" s="268"/>
      <c r="P3098" s="269"/>
      <c r="Q3098" s="137" t="str">
        <f ca="1">IF($Q3096&lt;&gt;"",IF($Q3096="W","L","W"),"")</f>
        <v/>
      </c>
      <c r="R3098" s="112"/>
      <c r="S3098" s="98"/>
      <c r="T3098" s="108"/>
      <c r="U3098" s="108"/>
      <c r="V3098" s="108"/>
      <c r="W3098" s="108"/>
      <c r="X3098" s="108"/>
      <c r="Y3098" s="113"/>
      <c r="Z3098" s="113"/>
      <c r="AA3098" s="113"/>
      <c r="AB3098" s="113"/>
      <c r="AC3098" s="113"/>
      <c r="AD3098" s="107"/>
      <c r="AE3098" s="109"/>
      <c r="AF3098" s="109"/>
    </row>
    <row r="3099" spans="1:32" ht="12.75" customHeight="1">
      <c r="A3099" s="301"/>
      <c r="B3099" s="295"/>
      <c r="C3099" s="296"/>
      <c r="D3099" s="296"/>
      <c r="E3099" s="296"/>
      <c r="F3099" s="296"/>
      <c r="G3099" s="296"/>
      <c r="H3099" s="270"/>
      <c r="I3099" s="270"/>
      <c r="J3099" s="266"/>
      <c r="K3099" s="266"/>
      <c r="L3099" s="266"/>
      <c r="M3099" s="267"/>
      <c r="N3099" s="268"/>
      <c r="O3099" s="268"/>
      <c r="P3099" s="269"/>
      <c r="Q3099" s="139" t="str">
        <f ca="1">IF($Q3098&lt;&gt;"",IF($B3096&lt;&gt;"Missing Player",IF($Q3098="W",IF(SUM(IF($H3098&gt;$H3096,1,0),IF($I3098&gt;$I3096,1,0),IF($J3098&gt;$J3096,1,0),IF($K3098&gt;$K3096,1,0),IF($L3098&gt;$L3096,1,0))&lt;&gt;3,"Error",""),""),""),"")</f>
        <v/>
      </c>
      <c r="R3099" s="114"/>
      <c r="S3099" s="115"/>
      <c r="T3099" s="115"/>
      <c r="U3099" s="115"/>
      <c r="V3099" s="115"/>
      <c r="W3099" s="115"/>
      <c r="X3099" s="115"/>
      <c r="Y3099" s="114"/>
      <c r="Z3099" s="114"/>
      <c r="AA3099" s="114"/>
      <c r="AB3099" s="114"/>
      <c r="AC3099" s="114"/>
      <c r="AD3099" s="114"/>
      <c r="AE3099" s="114"/>
      <c r="AF3099" s="114"/>
    </row>
    <row r="3100" spans="1:32" ht="12.75" customHeight="1">
      <c r="B3100" s="140" t="str">
        <f ca="1">IF(ISERROR(VLOOKUP($B3075&amp;"("&amp;$B3069&amp;")",Players!$S$4:$T$132,2,FALSE)),"",VLOOKUP($B3075&amp;"("&amp;$B3069&amp;")",Players!$S$4:$T$132,2,FALSE))</f>
        <v>G1</v>
      </c>
      <c r="C3100" s="140" t="str">
        <f ca="1">IF(ISERROR(VLOOKUP($B3082&amp;"("&amp;$B3069&amp;")",Players!$S$4:$T$132,2,FALSE)),"",VLOOKUP($B3082&amp;"("&amp;$B3069&amp;")",Players!$S$4:$T$132,2,FALSE))</f>
        <v>G1</v>
      </c>
      <c r="D3100" s="141" t="str">
        <f ca="1">IF(ISERROR(VLOOKUP($B3089&amp;"("&amp;$B3069&amp;")",Players!$S$4:$T$132,2,FALSE)),"",VLOOKUP($B3089&amp;"("&amp;$B3069&amp;")",Players!$S$4:$T$132,2,FALSE))</f>
        <v>G1</v>
      </c>
      <c r="E3100" s="141" t="str">
        <f ca="1">IF(ISERROR(VLOOKUP($B3096&amp;"("&amp;$B3069&amp;")",Players!$S$4:$T$132,2,FALSE)),"",VLOOKUP($B3096&amp;"("&amp;$B3069&amp;")",Players!$S$4:$T$132,2,FALSE))</f>
        <v>G1</v>
      </c>
      <c r="F3100" s="141" t="str">
        <f ca="1">IF(ISERROR(VLOOKUP($B3077&amp;"("&amp;$K3069&amp;")",Players!$S$4:$T$132,2,FALSE)),"",VLOOKUP($B3077&amp;"("&amp;$K3069&amp;")",Players!$S$4:$T$132,2,FALSE))</f>
        <v>K1</v>
      </c>
      <c r="G3100" s="141" t="str">
        <f ca="1">IF(ISERROR(VLOOKUP($B3084&amp;"("&amp;$K3069&amp;")",Players!$S$4:$T$132,2,FALSE)),"",VLOOKUP($B3084&amp;"("&amp;$K3069&amp;")",Players!$S$4:$T$132,2,FALSE))</f>
        <v>K1</v>
      </c>
      <c r="H3100" s="141" t="str">
        <f ca="1">IF(ISERROR(VLOOKUP($B3091&amp;"("&amp;$K3069&amp;")",Players!$S$4:$T$132,2,FALSE)),"",VLOOKUP($B3091&amp;"("&amp;$K3069&amp;")",Players!$S$4:$T$132,2,FALSE))</f>
        <v>K1</v>
      </c>
      <c r="I3100" s="141" t="str">
        <f ca="1">IF(ISERROR(VLOOKUP($B3098&amp;"("&amp;$K3069&amp;")",Players!$S$4:$T$132,2,FALSE)),"",VLOOKUP($B3098&amp;"("&amp;$K3069&amp;")",Players!$S$4:$T$132,2,FALSE))</f>
        <v>K1</v>
      </c>
      <c r="Q3100" s="7"/>
      <c r="R3100" s="50"/>
      <c r="S3100" s="116"/>
      <c r="T3100" s="115"/>
      <c r="U3100" s="115"/>
      <c r="V3100" s="115"/>
      <c r="W3100" s="115"/>
      <c r="X3100" s="115"/>
      <c r="Y3100" s="99"/>
      <c r="Z3100" s="99"/>
      <c r="AA3100" s="99"/>
      <c r="AB3100" s="99"/>
      <c r="AC3100" s="117"/>
      <c r="AD3100" s="118"/>
      <c r="AE3100" s="114"/>
      <c r="AF3100" s="114"/>
    </row>
    <row r="3101" spans="1:32" ht="12.75" customHeight="1">
      <c r="A3101" s="21" t="s">
        <v>1225</v>
      </c>
      <c r="H3101" s="136" t="str">
        <f ca="1">IF($Q3103&lt;&gt;"",IF(AND($B3104&lt;&gt;"Missing Player",$B3106&lt;&gt;"Missing Player"),IF(AND(AND($H3103&gt;-1,$H3105&gt;-1),OR($H3103&gt;10,$H3105&gt;10),ABS($H3103-$H3105)&gt;1,IF(OR($H3103&gt;11,$H3105&gt;11),ABS($H3103-$H3105)=2,TRUE),$H3103=INT($H3103),$H3105=INT($H3105)),"","Error"),""),"")</f>
        <v/>
      </c>
      <c r="I3101" s="136" t="str">
        <f ca="1">IF($Q3103&lt;&gt;"",IF(AND($B3104&lt;&gt;"Missing Player",$B3106&lt;&gt;"Missing Player"),IF(AND(AND($I3103&gt;-1,$I3105&gt;-1),OR($I3103&gt;10,$I3105&gt;10),ABS($I3103-$I3105)&gt;1,IF(OR($I3103&gt;11,$I3105&gt;11),ABS($I3103-$I3105)=2,TRUE),$I3103=INT($I3103),$I3105=INT($I3105)),"","Error"),""),"")</f>
        <v/>
      </c>
      <c r="J3101" s="136" t="str">
        <f ca="1">IF($Q3103&lt;&gt;"",IF(AND($B3104&lt;&gt;"Missing Player",$B3106&lt;&gt;"Missing Player"),IF(AND(AND($J3103&gt;-1,$J3105&gt;-1),OR($J3103&gt;10,$J3105&gt;10),ABS($J3103-$J3105)&gt;1,IF(OR($J3103&gt;11,$J3105&gt;11),ABS($J3103-$J3105)=2,TRUE),$J3103=INT($J3103),$J3105=INT($J3105)),"","Error"),""),"")</f>
        <v/>
      </c>
      <c r="K3101" s="136" t="str">
        <f ca="1">IF($Q3103&lt;&gt;"",IF(AND($K3103&lt;&gt;"",$K3105&lt;&gt;""), IF(AND(AND($K3103&gt;-1,$K3105&gt;-1),OR($K3103&gt;10,$K3105&gt;10),ABS($K3103-$K3105)&gt;1,IF(OR($K3103&gt;11,$K3105&gt;11),ABS($K3103-$K3105)=2,TRUE),$K3103=INT($K3103),$K3105=INT($K3105)),"","Error"),""),"")</f>
        <v/>
      </c>
      <c r="L3101" s="136" t="str">
        <f ca="1">IF($Q3103&lt;&gt;"",IF(AND($L3103&lt;&gt;"",$L3105&lt;&gt;""), IF(AND(AND($L3103&gt;-1,$L3105&gt;-1),OR($L3103&gt;10,$L3105&gt;10),ABS($L3103-$L3105)&gt;1,IF(OR($L3103&gt;11,$L3105&gt;11),ABS($L3103-$L3105)=2,TRUE),$L3103=INT($L3103),$L3105=INT($L3105)),"","Error"),""),"")</f>
        <v/>
      </c>
      <c r="Q3101" s="7"/>
      <c r="R3101" s="114"/>
      <c r="S3101" s="115"/>
      <c r="T3101" s="115"/>
      <c r="U3101" s="115"/>
      <c r="V3101" s="115"/>
      <c r="W3101" s="115"/>
      <c r="X3101" s="115"/>
      <c r="Y3101" s="114"/>
      <c r="Z3101" s="114"/>
      <c r="AA3101" s="114"/>
      <c r="AB3101" s="114"/>
      <c r="AC3101" s="114"/>
      <c r="AD3101" s="114"/>
      <c r="AE3101" s="114"/>
      <c r="AF3101" s="114"/>
    </row>
    <row r="3102" spans="1:32" ht="12.75" customHeight="1">
      <c r="A3102" s="5" t="s">
        <v>1228</v>
      </c>
      <c r="B3102" s="290" t="s">
        <v>1126</v>
      </c>
      <c r="C3102" s="291"/>
      <c r="D3102" s="291"/>
      <c r="E3102" s="291"/>
      <c r="F3102" s="291"/>
      <c r="G3102" s="292"/>
      <c r="H3102" s="5">
        <v>1</v>
      </c>
      <c r="I3102" s="5">
        <v>2</v>
      </c>
      <c r="J3102" s="5">
        <v>3</v>
      </c>
      <c r="K3102" s="5">
        <v>4</v>
      </c>
      <c r="L3102" s="5">
        <v>5</v>
      </c>
      <c r="M3102" s="271"/>
      <c r="N3102" s="272"/>
      <c r="O3102" s="272"/>
      <c r="P3102" s="273"/>
      <c r="Q3102" s="8"/>
      <c r="S3102" s="24"/>
      <c r="T3102" s="26"/>
    </row>
    <row r="3103" spans="1:32" ht="12.75" customHeight="1">
      <c r="A3103" s="300" t="str">
        <f>B3069</f>
        <v>G</v>
      </c>
      <c r="B3103" s="311" t="str">
        <f ca="1">IF($B3075&lt;&gt;"",$B3075,"")</f>
        <v/>
      </c>
      <c r="C3103" s="312"/>
      <c r="D3103" s="312"/>
      <c r="E3103" s="312"/>
      <c r="F3103" s="312"/>
      <c r="G3103" s="313"/>
      <c r="H3103" s="265"/>
      <c r="I3103" s="265"/>
      <c r="J3103" s="265"/>
      <c r="K3103" s="265"/>
      <c r="L3103" s="265" t="str">
        <f ca="1">IF($B3096&lt;&gt;"",IF(AND($B3096="Missing Player",$G3107=2,$J3107=2),0,IF(AND($B3098="Missing Player",$G3107=2,$J3107=2),11,"")),"")</f>
        <v/>
      </c>
      <c r="M3103" s="262" t="str">
        <f ca="1">IF(OR(AND($B3103&lt;&gt;"",$B3104&lt;&gt;"",$B3103=$B3104),AND($B3105&lt;&gt;"",$B3106&lt;&gt;"",$B3105=$B3106)),"Invalid Partner","")</f>
        <v/>
      </c>
      <c r="N3103" s="263"/>
      <c r="O3103" s="263"/>
      <c r="P3103" s="264"/>
      <c r="Q3103" s="138" t="str">
        <f ca="1">IF(L3103=L3105,IF(K3103=K3105,IF(J3103&lt;&gt;"",IF(J3103&gt;J3105,"W","L"),""),IF(K3103&gt;K3105,"W","L")),IF(L3103&gt;L3105,"W","L"))</f>
        <v/>
      </c>
      <c r="S3103" s="24"/>
      <c r="T3103" s="26"/>
    </row>
    <row r="3104" spans="1:32" ht="12.75" customHeight="1">
      <c r="A3104" s="324"/>
      <c r="B3104" s="308" t="str">
        <f ca="1">IF($B3096="Missing Player",$B3096,"")</f>
        <v/>
      </c>
      <c r="C3104" s="309"/>
      <c r="D3104" s="309"/>
      <c r="E3104" s="309"/>
      <c r="F3104" s="309"/>
      <c r="G3104" s="310"/>
      <c r="H3104" s="270"/>
      <c r="I3104" s="270"/>
      <c r="J3104" s="270"/>
      <c r="K3104" s="270"/>
      <c r="L3104" s="270"/>
      <c r="M3104" s="262"/>
      <c r="N3104" s="263"/>
      <c r="O3104" s="263"/>
      <c r="P3104" s="264"/>
      <c r="Q3104" s="139" t="str">
        <f ca="1">IF($Q3103&lt;&gt;"",IF($B3106&lt;&gt;"Missing Player",IF($Q3103="W",IF(SUM(IF($H3103&gt;$H3105,1,0),IF($I3103&gt;$I3105,1,0),IF($J3103&gt;$J3105,1,0),IF($K3103&gt;$K3105,1,0),IF($L3103&gt;$L3105,1,0))&lt;&gt;3,"Error",""),""),""),"")</f>
        <v/>
      </c>
      <c r="R3104" s="328" t="str">
        <f>$A3070</f>
        <v/>
      </c>
      <c r="S3104" s="328"/>
      <c r="T3104" s="328"/>
      <c r="U3104" s="328"/>
      <c r="V3104" s="328"/>
      <c r="W3104" s="328"/>
      <c r="X3104" s="256" t="str">
        <f>CONCATENATE("(",$B3069," vs ",$K3069,")")</f>
        <v>(G vs K)</v>
      </c>
      <c r="Y3104" s="256"/>
      <c r="Z3104" s="328" t="str">
        <f>$J3070</f>
        <v/>
      </c>
      <c r="AA3104" s="328"/>
      <c r="AB3104" s="328"/>
      <c r="AC3104" s="328"/>
      <c r="AD3104" s="328"/>
      <c r="AE3104" s="328"/>
      <c r="AF3104" s="43"/>
    </row>
    <row r="3105" spans="1:32" ht="12.75" customHeight="1">
      <c r="A3105" s="325" t="str">
        <f>K3069</f>
        <v>K</v>
      </c>
      <c r="B3105" s="311" t="str">
        <f ca="1">IF($B3077&lt;&gt;"",$B3077,"")</f>
        <v/>
      </c>
      <c r="C3105" s="312"/>
      <c r="D3105" s="312"/>
      <c r="E3105" s="312"/>
      <c r="F3105" s="312"/>
      <c r="G3105" s="313"/>
      <c r="H3105" s="265"/>
      <c r="I3105" s="265"/>
      <c r="J3105" s="265"/>
      <c r="K3105" s="265"/>
      <c r="L3105" s="265" t="str">
        <f ca="1">IF($B3098&lt;&gt;"",IF(AND($B3098="Missing Player",$G3107=2,$J3107=2),0,IF(AND($B3096="Missing Player",$G3107=2,$J3107=2),11,"")),"")</f>
        <v/>
      </c>
      <c r="M3105" s="267" t="s">
        <v>1237</v>
      </c>
      <c r="N3105" s="268"/>
      <c r="O3105" s="268"/>
      <c r="P3105" s="269"/>
      <c r="Q3105" s="138" t="str">
        <f ca="1">IF(Q3103&lt;&gt;"",IF(Q3103="W","L","W"),"")</f>
        <v/>
      </c>
      <c r="R3105" s="43"/>
      <c r="S3105" s="43"/>
      <c r="T3105" s="43"/>
      <c r="U3105" s="43"/>
      <c r="V3105" s="43"/>
      <c r="W3105" s="43"/>
      <c r="X3105" s="43"/>
      <c r="Y3105" s="43"/>
      <c r="Z3105" s="43"/>
      <c r="AA3105" s="43"/>
      <c r="AB3105" s="43"/>
      <c r="AC3105" s="43"/>
      <c r="AD3105" s="43"/>
      <c r="AE3105" s="43"/>
      <c r="AF3105" s="43"/>
    </row>
    <row r="3106" spans="1:32" ht="12.75" customHeight="1">
      <c r="A3106" s="324"/>
      <c r="B3106" s="308" t="str">
        <f ca="1">IF($B3098="Missing Player",$B3098,"")</f>
        <v/>
      </c>
      <c r="C3106" s="309"/>
      <c r="D3106" s="309"/>
      <c r="E3106" s="309"/>
      <c r="F3106" s="309"/>
      <c r="G3106" s="310"/>
      <c r="H3106" s="270"/>
      <c r="I3106" s="270"/>
      <c r="J3106" s="266"/>
      <c r="K3106" s="266"/>
      <c r="L3106" s="266"/>
      <c r="M3106" s="267"/>
      <c r="N3106" s="268"/>
      <c r="O3106" s="268"/>
      <c r="P3106" s="269"/>
      <c r="Q3106" s="139" t="str">
        <f ca="1">IF($Q3105&lt;&gt;"",IF($B3104&lt;&gt;"Missing Player",IF($Q3105="W",IF(SUM(IF($H3105&gt;$H3103,1,0),IF($I3105&gt;$I3103,1,0),IF($J3105&gt;$J3103,1,0),IF($K3105&gt;$K3103,1,0),IF($L3105&gt;$L3103,1,0))&lt;&gt;3,"Error",""),""),""),"")</f>
        <v/>
      </c>
      <c r="R3106" s="43" t="str">
        <f>A3094</f>
        <v>4th Singles</v>
      </c>
      <c r="S3106" s="43"/>
      <c r="T3106" s="43"/>
      <c r="U3106" s="43"/>
      <c r="V3106" s="43"/>
      <c r="W3106" s="43"/>
      <c r="X3106" s="43"/>
      <c r="Y3106" s="43"/>
      <c r="Z3106" s="43"/>
      <c r="AA3106" s="43"/>
      <c r="AB3106" s="43"/>
      <c r="AC3106" s="43"/>
      <c r="AD3106" s="43"/>
      <c r="AE3106" s="43"/>
      <c r="AF3106" s="43"/>
    </row>
    <row r="3107" spans="1:32" ht="12.75" customHeight="1">
      <c r="G3107" s="66">
        <f ca="1">COUNTIF($Q3075:$Q3075,"W")+COUNTIF($Q3082:$Q3082,"W")+COUNTIF($Q3089:$Q3089,"W")+COUNTIF($Q3096:$Q3096,"W")</f>
        <v>0</v>
      </c>
      <c r="J3107" s="66">
        <f ca="1">COUNTIF($Q3077:$Q3077,"W")+COUNTIF($Q3084:$Q3084,"W")+COUNTIF($Q3091:$Q3091,"W")+COUNTIF($Q3098:$Q3098,"W")</f>
        <v>0</v>
      </c>
      <c r="R3107" s="60" t="s">
        <v>1228</v>
      </c>
      <c r="S3107" s="339" t="s">
        <v>1126</v>
      </c>
      <c r="T3107" s="340"/>
      <c r="U3107" s="340"/>
      <c r="V3107" s="340"/>
      <c r="W3107" s="340"/>
      <c r="X3107" s="341"/>
      <c r="Y3107" s="60">
        <v>1</v>
      </c>
      <c r="Z3107" s="60">
        <v>2</v>
      </c>
      <c r="AA3107" s="60">
        <v>3</v>
      </c>
      <c r="AB3107" s="60">
        <v>4</v>
      </c>
      <c r="AC3107" s="60">
        <v>5</v>
      </c>
      <c r="AD3107" s="342"/>
      <c r="AE3107" s="343"/>
      <c r="AF3107" s="344"/>
    </row>
    <row r="3108" spans="1:32" ht="12.75" customHeight="1" thickBot="1">
      <c r="F3108" s="246" t="s">
        <v>1238</v>
      </c>
      <c r="G3108" s="246"/>
      <c r="H3108" s="246"/>
      <c r="I3108" s="246"/>
      <c r="J3108" s="246"/>
      <c r="K3108" s="246"/>
      <c r="R3108" s="300" t="str">
        <f>B3069</f>
        <v>G</v>
      </c>
      <c r="S3108" s="331" t="str">
        <f ca="1">IF($B3096&lt;&gt;"",$B3096,"")</f>
        <v/>
      </c>
      <c r="T3108" s="353"/>
      <c r="U3108" s="353"/>
      <c r="V3108" s="353"/>
      <c r="W3108" s="353"/>
      <c r="X3108" s="354"/>
      <c r="Y3108" s="329"/>
      <c r="Z3108" s="329"/>
      <c r="AA3108" s="351"/>
      <c r="AB3108" s="351"/>
      <c r="AC3108" s="351"/>
      <c r="AD3108" s="345"/>
      <c r="AE3108" s="346"/>
      <c r="AF3108" s="347"/>
    </row>
    <row r="3109" spans="1:32" ht="12.75" customHeight="1">
      <c r="A3109" s="22"/>
      <c r="B3109" s="22"/>
      <c r="C3109" s="22"/>
      <c r="D3109" s="22"/>
      <c r="E3109" s="22"/>
      <c r="G3109" s="304" t="str">
        <f>B3069</f>
        <v>G</v>
      </c>
      <c r="H3109" s="305"/>
      <c r="I3109" s="302" t="str">
        <f>K3069</f>
        <v>K</v>
      </c>
      <c r="J3109" s="303"/>
      <c r="L3109" s="22"/>
      <c r="M3109" s="22"/>
      <c r="N3109" s="22"/>
      <c r="O3109" s="22"/>
      <c r="P3109" s="22"/>
      <c r="R3109" s="301"/>
      <c r="S3109" s="355"/>
      <c r="T3109" s="356"/>
      <c r="U3109" s="356"/>
      <c r="V3109" s="356"/>
      <c r="W3109" s="356"/>
      <c r="X3109" s="357"/>
      <c r="Y3109" s="338"/>
      <c r="Z3109" s="338"/>
      <c r="AA3109" s="352"/>
      <c r="AB3109" s="352"/>
      <c r="AC3109" s="352"/>
      <c r="AD3109" s="348"/>
      <c r="AE3109" s="349"/>
      <c r="AF3109" s="350"/>
    </row>
    <row r="3110" spans="1:32" ht="12.75" customHeight="1" thickBot="1">
      <c r="A3110" s="2" t="s">
        <v>1228</v>
      </c>
      <c r="B3110" s="53" t="str">
        <f>B3069</f>
        <v>G</v>
      </c>
      <c r="C3110" s="3" t="s">
        <v>1226</v>
      </c>
      <c r="F3110" s="66" t="str">
        <f>CONCATENATE($B3069,"-",$K3069)</f>
        <v>G-K</v>
      </c>
      <c r="G3110" s="320" t="str">
        <f ca="1">IF(OR(Q3075&lt;&gt;"",Q3082&lt;&gt;"",Q3089&lt;&gt;"",Q3096&lt;&gt;"",Q3103&lt;&gt;""),COUNTIF(Q3075:Q3075,"W")+COUNTIF(Q3082:Q3082,"W")+COUNTIF(Q3089:Q3089,"W")+COUNTIF(Q3096:Q3096,"W")+COUNTIF(Q3103:Q3103,"W"),"")</f>
        <v/>
      </c>
      <c r="H3110" s="321"/>
      <c r="I3110" s="322" t="str">
        <f ca="1">IF(OR(Q3077&lt;&gt;"",Q3084&lt;&gt;"",Q3091&lt;&gt;"",Q3098&lt;&gt;"",Q3105&lt;&gt;""),COUNTIF(Q3077:Q3077,"W")+COUNTIF(Q3084:Q3084,"W")+COUNTIF(Q3091:Q3091,"W")+COUNTIF(Q3098:Q3098,"W")+COUNTIF(Q3105:Q3105,"W"),"")</f>
        <v/>
      </c>
      <c r="J3110" s="323"/>
      <c r="L3110" s="2" t="s">
        <v>1228</v>
      </c>
      <c r="M3110" s="53" t="str">
        <f>K3069</f>
        <v>K</v>
      </c>
      <c r="N3110" s="3" t="s">
        <v>1226</v>
      </c>
      <c r="R3110" s="300" t="str">
        <f>K3069</f>
        <v>K</v>
      </c>
      <c r="S3110" s="331" t="str">
        <f ca="1">IF($B3098&lt;&gt;"",$B3098,"")</f>
        <v/>
      </c>
      <c r="T3110" s="332"/>
      <c r="U3110" s="332"/>
      <c r="V3110" s="332"/>
      <c r="W3110" s="332"/>
      <c r="X3110" s="333"/>
      <c r="Y3110" s="329"/>
      <c r="Z3110" s="329"/>
      <c r="AA3110" s="351"/>
      <c r="AB3110" s="351"/>
      <c r="AC3110" s="351"/>
      <c r="AD3110" s="363" t="s">
        <v>1237</v>
      </c>
      <c r="AE3110" s="358"/>
      <c r="AF3110" s="359"/>
    </row>
    <row r="3111" spans="1:32" ht="12.75" customHeight="1">
      <c r="F3111" s="25" t="s">
        <v>3996</v>
      </c>
      <c r="G3111" s="23"/>
      <c r="H3111" s="23"/>
      <c r="I3111" s="23"/>
      <c r="J3111" s="23"/>
      <c r="K3111" s="24"/>
      <c r="R3111" s="330"/>
      <c r="S3111" s="334"/>
      <c r="T3111" s="335"/>
      <c r="U3111" s="335"/>
      <c r="V3111" s="335"/>
      <c r="W3111" s="335"/>
      <c r="X3111" s="336"/>
      <c r="Y3111" s="330"/>
      <c r="Z3111" s="330"/>
      <c r="AA3111" s="330"/>
      <c r="AB3111" s="330"/>
      <c r="AC3111" s="330"/>
      <c r="AD3111" s="360"/>
      <c r="AE3111" s="361"/>
      <c r="AF3111" s="362"/>
    </row>
    <row r="3112" spans="1:32" ht="12.75" customHeight="1">
      <c r="R3112" s="1"/>
      <c r="S3112" s="110"/>
      <c r="T3112" s="110"/>
      <c r="U3112" s="110"/>
      <c r="V3112" s="110"/>
      <c r="W3112" s="110"/>
      <c r="X3112" s="111"/>
      <c r="Y3112" s="111"/>
      <c r="Z3112" s="111"/>
      <c r="AA3112" s="111"/>
    </row>
    <row r="3113" spans="1:32" ht="12.75" customHeight="1">
      <c r="F3113" s="246" t="s">
        <v>4929</v>
      </c>
      <c r="G3113" s="246"/>
      <c r="H3113" s="246"/>
      <c r="I3113" s="246"/>
      <c r="R3113" s="1"/>
      <c r="S3113" s="110"/>
      <c r="T3113" s="110"/>
      <c r="U3113" s="110"/>
      <c r="V3113" s="110"/>
      <c r="W3113" s="110"/>
      <c r="X3113" s="111"/>
      <c r="Y3113" s="111"/>
      <c r="Z3113" s="111"/>
      <c r="AA3113" s="111"/>
    </row>
    <row r="3114" spans="1:32" ht="12.75" customHeight="1">
      <c r="F3114" s="246" t="s">
        <v>4930</v>
      </c>
      <c r="G3114" s="246"/>
      <c r="H3114" s="246"/>
      <c r="I3114" s="246"/>
      <c r="R3114" s="1"/>
      <c r="S3114" s="110"/>
      <c r="T3114" s="110"/>
      <c r="U3114" s="110"/>
      <c r="V3114" s="110"/>
      <c r="W3114" s="110"/>
      <c r="X3114" s="111"/>
      <c r="Y3114" s="111"/>
      <c r="Z3114" s="111"/>
      <c r="AA3114" s="111"/>
    </row>
    <row r="3115" spans="1:32" ht="12.75" customHeight="1">
      <c r="K3115" s="281" t="s">
        <v>1244</v>
      </c>
      <c r="L3115" s="281"/>
      <c r="M3115" s="281"/>
      <c r="N3115" s="281"/>
      <c r="O3115" s="281"/>
      <c r="P3115" s="281"/>
      <c r="R3115" s="1"/>
      <c r="S3115" s="110"/>
      <c r="T3115" s="110"/>
      <c r="U3115" s="110"/>
      <c r="V3115" s="110"/>
      <c r="W3115" s="110"/>
      <c r="X3115" s="111"/>
      <c r="Y3115" s="111"/>
      <c r="Z3115" s="111"/>
      <c r="AA3115" s="111"/>
    </row>
    <row r="3116" spans="1:32" ht="12.75" customHeight="1">
      <c r="A3116" s="12" t="s">
        <v>1229</v>
      </c>
      <c r="B3116" s="11"/>
      <c r="C3116" s="11"/>
      <c r="D3116" s="11" t="str">
        <f>Draw!$B$1</f>
        <v>Enter Division Name</v>
      </c>
      <c r="E3116" s="11"/>
      <c r="F3116" s="7"/>
      <c r="G3116" s="6"/>
      <c r="H3116" s="7"/>
      <c r="I3116" s="11"/>
      <c r="J3116" s="11"/>
      <c r="K3116" s="11"/>
      <c r="L3116" s="11"/>
      <c r="M3116" s="281"/>
      <c r="N3116" s="281"/>
      <c r="O3116" s="281"/>
      <c r="P3116" s="281"/>
      <c r="R3116" s="1"/>
      <c r="S3116" s="110"/>
      <c r="T3116" s="110"/>
      <c r="U3116" s="110"/>
      <c r="V3116" s="110"/>
      <c r="W3116" s="110"/>
      <c r="X3116" s="111"/>
      <c r="Y3116" s="111"/>
      <c r="Z3116" s="111"/>
      <c r="AA3116" s="111"/>
    </row>
    <row r="3117" spans="1:32" ht="12.75" customHeight="1">
      <c r="A3117" s="2" t="s">
        <v>1230</v>
      </c>
      <c r="D3117" s="43" t="str">
        <f>Draw!$D$1</f>
        <v>Enter Hosting Location (City, ST)</v>
      </c>
      <c r="J3117" s="43" t="str">
        <f ca="1">$J$6</f>
        <v>[NCTTA Teams Template (v2.06).xlsx]</v>
      </c>
      <c r="R3117" s="1"/>
      <c r="S3117" s="110"/>
      <c r="T3117" s="110"/>
      <c r="U3117" s="110"/>
      <c r="V3117" s="110"/>
      <c r="W3117" s="110"/>
      <c r="X3117" s="111"/>
      <c r="Y3117" s="111"/>
      <c r="Z3117" s="111"/>
      <c r="AA3117" s="111"/>
    </row>
    <row r="3118" spans="1:32" ht="12.75" customHeight="1">
      <c r="A3118" s="2" t="s">
        <v>1231</v>
      </c>
      <c r="D3118" s="337" t="str">
        <f>Draw!$P$1</f>
        <v>Enter Date</v>
      </c>
      <c r="E3118" s="337"/>
      <c r="F3118" s="337"/>
      <c r="G3118" s="337"/>
      <c r="J3118" s="280" t="str">
        <f>CHOOSE(Draw!$T$1,"Round 11, Match 2","","","","","","","","","","")</f>
        <v/>
      </c>
      <c r="K3118" s="280"/>
      <c r="L3118" s="280"/>
      <c r="M3118" s="276" t="str">
        <f>IF(AND($J3118&lt;&gt;"",Draw!$AC$10&lt;&gt;"",Draw!$AC$13&lt;&gt;""),Draw!$AC$10+TIME(0,VALUE(MID($J3118,7,FIND(",",$J3118)-FIND(" ",$J3118)-1)-1)*Draw!$AC$13,0),"")</f>
        <v/>
      </c>
      <c r="N3118" s="276"/>
      <c r="O3118" s="157" t="str">
        <f>$F3161</f>
        <v>G-L</v>
      </c>
      <c r="R3118" s="1"/>
      <c r="S3118" s="110"/>
      <c r="T3118" s="110"/>
      <c r="U3118" s="110"/>
      <c r="V3118" s="110"/>
      <c r="W3118" s="110"/>
      <c r="X3118" s="111"/>
      <c r="Y3118" s="111"/>
      <c r="Z3118" s="111"/>
      <c r="AA3118" s="111"/>
    </row>
    <row r="3119" spans="1:32" ht="12.75" customHeight="1">
      <c r="A3119" s="14"/>
      <c r="B3119" s="15"/>
      <c r="C3119" s="15"/>
      <c r="D3119" s="15"/>
      <c r="E3119" s="15"/>
      <c r="F3119" s="14"/>
      <c r="G3119" s="14"/>
      <c r="H3119" s="16"/>
      <c r="I3119" s="14"/>
      <c r="J3119" s="15"/>
      <c r="K3119" s="15"/>
      <c r="L3119" s="15"/>
      <c r="M3119" s="15"/>
      <c r="N3119" s="15"/>
      <c r="O3119" s="364" t="str">
        <f>IF(OR(AND(VLOOKUP($B3120,$AM$1:$AX$12,12,FALSE)="C",VLOOKUP($K3120,$AM$1:$AX$12,12,FALSE)="C"),AND(VLOOKUP($B3120,$AM$1:$AX$12,12,FALSE)="W",VLOOKUP($K3120,$AM$1:$AX$12,12,FALSE)="W")),"Official",IF(AND($A3121="",$J3121=""),"","Scrimmage"))</f>
        <v/>
      </c>
      <c r="P3119" s="364"/>
      <c r="R3119" s="1"/>
      <c r="S3119" s="110"/>
      <c r="T3119" s="110"/>
      <c r="U3119" s="110"/>
      <c r="V3119" s="110"/>
      <c r="W3119" s="110"/>
      <c r="X3119" s="111"/>
      <c r="Y3119" s="111"/>
      <c r="Z3119" s="111"/>
      <c r="AA3119" s="111"/>
    </row>
    <row r="3120" spans="1:32" ht="12.75" customHeight="1">
      <c r="A3120" s="17" t="s">
        <v>1228</v>
      </c>
      <c r="B3120" s="119" t="str">
        <f>CHOOSE(Draw!$T$1,"G","F","G","H","I","I","I","I","I","I","G")</f>
        <v>G</v>
      </c>
      <c r="C3120" s="135">
        <f>VLOOKUP($B3120,$AM$1:$AN$12,2)</f>
        <v>7</v>
      </c>
      <c r="D3120" s="13"/>
      <c r="E3120" s="13"/>
      <c r="F3120" s="10"/>
      <c r="H3120" s="19" t="s">
        <v>1232</v>
      </c>
      <c r="J3120" s="17" t="s">
        <v>1228</v>
      </c>
      <c r="K3120" s="119" t="str">
        <f>CHOOSE(Draw!$T$1,"I","H","L","K","K","K","K","K","K","K","L")</f>
        <v>L</v>
      </c>
      <c r="L3120" s="135">
        <f>VLOOKUP($K3120,$AM$1:$AN$12,2)</f>
        <v>12</v>
      </c>
      <c r="M3120" s="13"/>
      <c r="N3120" s="13"/>
      <c r="O3120" s="18"/>
      <c r="P3120" s="274"/>
      <c r="Q3120" s="275"/>
      <c r="R3120" s="1"/>
      <c r="S3120" s="110"/>
      <c r="T3120" s="110"/>
      <c r="U3120" s="110"/>
      <c r="V3120" s="110"/>
      <c r="W3120" s="110"/>
      <c r="X3120" s="111"/>
      <c r="Y3120" s="111"/>
      <c r="Z3120" s="111"/>
      <c r="AA3120" s="111"/>
    </row>
    <row r="3121" spans="1:32" ht="12.75" customHeight="1">
      <c r="A3121" s="277" t="str">
        <f>IF(VLOOKUP($B3120,Draw!$A$4:$B$27,2)&lt;&gt;0,VLOOKUP($B3120,Draw!$A$4:$B$27,2),"")</f>
        <v/>
      </c>
      <c r="B3121" s="278"/>
      <c r="C3121" s="278"/>
      <c r="D3121" s="278"/>
      <c r="E3121" s="278"/>
      <c r="F3121" s="279"/>
      <c r="G3121" s="306" t="s">
        <v>4213</v>
      </c>
      <c r="H3121" s="289"/>
      <c r="I3121" s="307"/>
      <c r="J3121" s="277" t="str">
        <f>IF(VLOOKUP($K3120,Draw!$A$4:$B$27,2)&lt;&gt;0,VLOOKUP($K3120,Draw!$A$4:$B$27,2),"")</f>
        <v/>
      </c>
      <c r="K3121" s="278"/>
      <c r="L3121" s="278"/>
      <c r="M3121" s="278"/>
      <c r="N3121" s="278"/>
      <c r="O3121" s="279"/>
      <c r="P3121" s="15"/>
      <c r="R3121" s="1"/>
      <c r="S3121" s="110"/>
      <c r="T3121" s="110"/>
      <c r="U3121" s="110"/>
      <c r="V3121" s="110"/>
      <c r="W3121" s="110"/>
      <c r="X3121" s="111"/>
      <c r="Y3121" s="111"/>
      <c r="Z3121" s="111"/>
      <c r="AA3121" s="111"/>
    </row>
    <row r="3122" spans="1:32" ht="12.75" customHeight="1">
      <c r="A3122" s="14"/>
      <c r="B3122" s="15"/>
      <c r="C3122" s="15"/>
      <c r="D3122" s="15"/>
      <c r="E3122" s="15"/>
      <c r="F3122" s="14"/>
      <c r="G3122" s="288" t="str">
        <f>"Page "&amp;VALUE(RIGHT($G3121,LEN($G3121)-SEARCH("-",$G3121)))/2</f>
        <v>Page 62</v>
      </c>
      <c r="H3122" s="289"/>
      <c r="I3122" s="289"/>
      <c r="J3122" s="15"/>
      <c r="K3122" s="15"/>
      <c r="L3122" s="15"/>
      <c r="M3122" s="15"/>
      <c r="N3122" s="15"/>
      <c r="O3122" s="15"/>
      <c r="P3122" s="15"/>
      <c r="R3122" s="1"/>
      <c r="S3122" s="110"/>
      <c r="T3122" s="110"/>
      <c r="U3122" s="110"/>
      <c r="V3122" s="110"/>
      <c r="W3122" s="110"/>
      <c r="X3122" s="111"/>
      <c r="Y3122" s="111"/>
      <c r="Z3122" s="111"/>
      <c r="AA3122" s="111"/>
      <c r="AF3122" s="27"/>
    </row>
    <row r="3123" spans="1:32" ht="12.75" customHeight="1">
      <c r="A3123" s="327" t="s">
        <v>1245</v>
      </c>
      <c r="B3123" s="327"/>
      <c r="C3123" s="327"/>
      <c r="D3123" s="327"/>
      <c r="E3123" s="327"/>
      <c r="F3123" s="327"/>
      <c r="G3123" s="327"/>
      <c r="H3123" s="327"/>
      <c r="I3123" s="327"/>
      <c r="J3123" s="327"/>
      <c r="K3123" s="327"/>
      <c r="L3123" s="327"/>
      <c r="M3123" s="327"/>
      <c r="N3123" s="327"/>
      <c r="O3123" s="327"/>
      <c r="P3123" s="327"/>
      <c r="Q3123" s="7"/>
      <c r="R3123" s="1"/>
      <c r="S3123" s="110"/>
      <c r="T3123" s="110"/>
      <c r="U3123" s="110"/>
      <c r="V3123" s="110"/>
      <c r="W3123" s="110"/>
      <c r="X3123" s="111"/>
      <c r="Y3123" s="111"/>
      <c r="Z3123" s="111"/>
      <c r="AA3123" s="111"/>
      <c r="AF3123" s="20"/>
    </row>
    <row r="3124" spans="1:32" ht="12.75" customHeight="1">
      <c r="A3124" s="21" t="s">
        <v>1233</v>
      </c>
      <c r="H3124" s="136" t="str">
        <f>IF($Q3126&lt;&gt;"",IF(AND(AND($H3126&gt;-1,$H3128&gt;-1),OR($H3126&gt;10,$H3128&gt;10),ABS($H3126-$H3128)&gt;1,IF(OR($H3126&gt;11,$H3128&gt;11),ABS($H3126-$H3128)=2,TRUE),$H3126=INT($H3126),$H3128=INT($H3128)),"","Error"),"")</f>
        <v/>
      </c>
      <c r="I3124" s="136" t="str">
        <f>IF($Q3126&lt;&gt;"",IF(AND(AND($I3126&gt;-1,$I3128&gt;-1),OR($I3126&gt;10,$I3128&gt;10),ABS($I3126-$I3128)&gt;1,IF(OR($I3126&gt;11,$I3128&gt;11),ABS($I3126-$I3128)=2,TRUE),$I3126=INT($I3126),$I3128=INT($I3128)),"","Error"),"")</f>
        <v/>
      </c>
      <c r="J3124" s="136" t="str">
        <f>IF($Q3126&lt;&gt;"",IF(AND(AND($J3126&gt;-1,$J3128&gt;-1),OR($J3126&gt;10,$J3128&gt;10),ABS($J3126-$J3128)&gt;1,IF(OR($J3126&gt;11,$J3128&gt;11),ABS($J3126-$J3128)=2,TRUE),$J3126=INT($J3126),$J3128=INT($J3128)),"","Error"),"")</f>
        <v/>
      </c>
      <c r="K3124" s="136" t="str">
        <f>IF($Q3126&lt;&gt;"",IF(AND($K3126&lt;&gt;"",$K3128&lt;&gt;""), IF(AND(AND($K3126&gt;-1,$K3128&gt;-1),OR($K3126&gt;10,$K3128&gt;10),ABS($K3126-$K3128)&gt;1,IF(OR($K3126&gt;11,$K3128&gt;11),ABS($K3126-$K3128)=2,TRUE),$K3126=INT($K3126),$K3128=INT($K3128)),"","Error"),""),"")</f>
        <v/>
      </c>
      <c r="L3124" s="136" t="str">
        <f>IF($Q3126&lt;&gt;"",IF(AND($L3126&lt;&gt;"",$L3128&lt;&gt;""), IF(AND(AND($L3126&gt;-1,$L3128&gt;-1),OR($L3126&gt;10,$L3128&gt;10),ABS($L3126-$L3128)&gt;1,IF(OR($L3126&gt;11,$L3128&gt;11),ABS($L3126-$L3128)=2,TRUE),$L3126=INT($L3126),$L3128=INT($L3128)),"","Error"),""),"")</f>
        <v/>
      </c>
      <c r="R3124" s="1"/>
      <c r="S3124" s="110"/>
      <c r="T3124" s="110"/>
      <c r="U3124" s="110"/>
      <c r="V3124" s="110"/>
      <c r="W3124" s="110"/>
      <c r="X3124" s="111"/>
      <c r="Y3124" s="111"/>
      <c r="Z3124" s="111"/>
      <c r="AA3124" s="111"/>
    </row>
    <row r="3125" spans="1:32" ht="12.75" customHeight="1">
      <c r="A3125" s="5" t="s">
        <v>1228</v>
      </c>
      <c r="B3125" s="290" t="s">
        <v>1126</v>
      </c>
      <c r="C3125" s="291"/>
      <c r="D3125" s="291"/>
      <c r="E3125" s="291"/>
      <c r="F3125" s="291"/>
      <c r="G3125" s="292"/>
      <c r="H3125" s="5">
        <v>1</v>
      </c>
      <c r="I3125" s="5">
        <v>2</v>
      </c>
      <c r="J3125" s="5">
        <v>3</v>
      </c>
      <c r="K3125" s="5">
        <v>4</v>
      </c>
      <c r="L3125" s="5">
        <v>5</v>
      </c>
      <c r="M3125" s="271"/>
      <c r="N3125" s="272"/>
      <c r="O3125" s="272"/>
      <c r="P3125" s="273"/>
      <c r="R3125" s="1"/>
      <c r="S3125" s="110"/>
      <c r="T3125" s="110"/>
      <c r="U3125" s="110"/>
      <c r="V3125" s="110"/>
      <c r="W3125" s="110"/>
      <c r="X3125" s="111"/>
      <c r="Y3125" s="111"/>
      <c r="Z3125" s="111"/>
      <c r="AA3125" s="111"/>
    </row>
    <row r="3126" spans="1:32" ht="12.75" customHeight="1">
      <c r="A3126" s="300" t="str">
        <f>B3120</f>
        <v>G</v>
      </c>
      <c r="B3126" s="293" t="str">
        <f ca="1">IF(AND(OFFSET($AO$1,$C3120-1,8,1,1),$A3121&lt;&gt;"",$J3121&lt;&gt;""),CHOOSE($C3120,$AO$1,$AO$2,$AO$3,$AO$4,$AO$5,$AO$6,$AO$7,$AO$8,$AO$9,$AO$10,$AO$11,$AO$12),"")</f>
        <v/>
      </c>
      <c r="C3126" s="294"/>
      <c r="D3126" s="294"/>
      <c r="E3126" s="294"/>
      <c r="F3126" s="294"/>
      <c r="G3126" s="294"/>
      <c r="H3126" s="265"/>
      <c r="I3126" s="265"/>
      <c r="J3126" s="265"/>
      <c r="K3126" s="265"/>
      <c r="L3126" s="265"/>
      <c r="M3126" s="297"/>
      <c r="N3126" s="298"/>
      <c r="O3126" s="298"/>
      <c r="P3126" s="299"/>
      <c r="Q3126" s="137" t="str">
        <f>IF($L3126=$L3128,IF($K3126=$K3128,IF($J3126&lt;&gt;"",IF($J3126&gt;$J3128,"W","L"),""),IF($K3126&gt;$K3128,"W","L")),IF($L3126&gt;$L3128,"W","L"))</f>
        <v/>
      </c>
      <c r="R3126" s="1"/>
      <c r="S3126" s="110"/>
      <c r="T3126" s="110"/>
      <c r="U3126" s="110"/>
      <c r="V3126" s="110"/>
      <c r="W3126" s="110"/>
      <c r="X3126" s="111"/>
      <c r="Y3126" s="111"/>
      <c r="Z3126" s="111"/>
      <c r="AA3126" s="111"/>
    </row>
    <row r="3127" spans="1:32" ht="12.75" customHeight="1">
      <c r="A3127" s="301"/>
      <c r="B3127" s="295"/>
      <c r="C3127" s="296"/>
      <c r="D3127" s="296"/>
      <c r="E3127" s="296"/>
      <c r="F3127" s="296"/>
      <c r="G3127" s="296"/>
      <c r="H3127" s="270"/>
      <c r="I3127" s="270"/>
      <c r="J3127" s="270"/>
      <c r="K3127" s="270"/>
      <c r="L3127" s="270"/>
      <c r="M3127" s="297"/>
      <c r="N3127" s="298"/>
      <c r="O3127" s="298"/>
      <c r="P3127" s="299"/>
      <c r="Q3127" s="139" t="str">
        <f>IF($Q3126&lt;&gt;"",IF($Q3126="W",IF(SUM(IF($H3126&gt;$H3128,1,0),IF($I3126&gt;$I3128,1,0),IF($J3126&gt;$J3128,1,0),IF($K3126&gt;$K3128,1,0),IF($L3126&gt;$L3128,1,0))&lt;&gt;3,"Error",""),""),"")</f>
        <v/>
      </c>
      <c r="R3127" s="328" t="str">
        <f>$A3121</f>
        <v/>
      </c>
      <c r="S3127" s="328"/>
      <c r="T3127" s="328"/>
      <c r="U3127" s="328"/>
      <c r="V3127" s="328"/>
      <c r="W3127" s="328"/>
      <c r="X3127" s="256" t="str">
        <f>CONCATENATE("(",$B3120," vs ",$K3120,")")</f>
        <v>(G vs L)</v>
      </c>
      <c r="Y3127" s="256"/>
      <c r="Z3127" s="328" t="str">
        <f>$J3121</f>
        <v/>
      </c>
      <c r="AA3127" s="328"/>
      <c r="AB3127" s="328"/>
      <c r="AC3127" s="328"/>
      <c r="AD3127" s="328"/>
      <c r="AE3127" s="328"/>
      <c r="AF3127" s="43"/>
    </row>
    <row r="3128" spans="1:32" ht="12.75" customHeight="1">
      <c r="A3128" s="300" t="str">
        <f>K3120</f>
        <v>L</v>
      </c>
      <c r="B3128" s="293" t="str">
        <f ca="1">IF(AND(OFFSET($AO$1,$L3120-1,8,1,1),$A3121&lt;&gt;"",$J3121&lt;&gt;""),CHOOSE($L3120,$AO$1,$AO$2,$AO$3,$AO$4,$AO$5,$AO$6,$AO$7,$AO$8,$AO$9,$AO$10,$AO$11,$AO$12),"")</f>
        <v/>
      </c>
      <c r="C3128" s="294"/>
      <c r="D3128" s="294"/>
      <c r="E3128" s="294"/>
      <c r="F3128" s="294"/>
      <c r="G3128" s="294"/>
      <c r="H3128" s="265"/>
      <c r="I3128" s="265"/>
      <c r="J3128" s="265"/>
      <c r="K3128" s="265"/>
      <c r="L3128" s="265"/>
      <c r="M3128" s="267" t="s">
        <v>1237</v>
      </c>
      <c r="N3128" s="268"/>
      <c r="O3128" s="268"/>
      <c r="P3128" s="269"/>
      <c r="Q3128" s="137" t="str">
        <f>IF($Q3126&lt;&gt;"",IF($Q3126="W","L","W"),"")</f>
        <v/>
      </c>
      <c r="R3128" s="43"/>
      <c r="S3128" s="43"/>
      <c r="T3128" s="43"/>
      <c r="U3128" s="43"/>
      <c r="V3128" s="43"/>
      <c r="W3128" s="43"/>
      <c r="X3128" s="43"/>
      <c r="Y3128" s="43"/>
      <c r="Z3128" s="43"/>
      <c r="AA3128" s="43"/>
      <c r="AB3128" s="43"/>
      <c r="AC3128" s="43"/>
      <c r="AD3128" s="43"/>
      <c r="AE3128" s="43"/>
      <c r="AF3128" s="43"/>
    </row>
    <row r="3129" spans="1:32" ht="12.75" customHeight="1">
      <c r="A3129" s="301"/>
      <c r="B3129" s="295"/>
      <c r="C3129" s="296"/>
      <c r="D3129" s="296"/>
      <c r="E3129" s="296"/>
      <c r="F3129" s="296"/>
      <c r="G3129" s="296"/>
      <c r="H3129" s="270"/>
      <c r="I3129" s="270"/>
      <c r="J3129" s="266"/>
      <c r="K3129" s="266"/>
      <c r="L3129" s="266"/>
      <c r="M3129" s="267"/>
      <c r="N3129" s="268"/>
      <c r="O3129" s="268"/>
      <c r="P3129" s="269"/>
      <c r="Q3129" s="139" t="str">
        <f>IF($Q3128&lt;&gt;"",IF($Q3128="W",IF(SUM(IF($H3128&gt;$H3126,1,0),IF($I3128&gt;$I3126,1,0),IF($J3128&gt;$J3126,1,0),IF($K3128&gt;$K3126,1,0),IF($L3128&gt;$L3126,1,0))&lt;&gt;3,"Error",""),""),"")</f>
        <v/>
      </c>
      <c r="R3129" s="43" t="str">
        <f>$A3131</f>
        <v>2nd Singles</v>
      </c>
      <c r="S3129" s="43"/>
      <c r="T3129" s="43"/>
      <c r="U3129" s="43"/>
      <c r="V3129" s="43"/>
      <c r="W3129" s="43"/>
      <c r="X3129" s="43"/>
      <c r="Y3129" s="43"/>
      <c r="Z3129" s="43"/>
      <c r="AA3129" s="43"/>
      <c r="AB3129" s="43"/>
      <c r="AC3129" s="43"/>
      <c r="AD3129" s="43"/>
      <c r="AE3129" s="43"/>
      <c r="AF3129" s="43"/>
    </row>
    <row r="3130" spans="1:32" ht="12.75" customHeight="1">
      <c r="Q3130" s="7"/>
      <c r="R3130" s="60" t="s">
        <v>1228</v>
      </c>
      <c r="S3130" s="339" t="s">
        <v>1126</v>
      </c>
      <c r="T3130" s="340"/>
      <c r="U3130" s="340"/>
      <c r="V3130" s="340"/>
      <c r="W3130" s="340"/>
      <c r="X3130" s="341"/>
      <c r="Y3130" s="60">
        <v>1</v>
      </c>
      <c r="Z3130" s="60">
        <v>2</v>
      </c>
      <c r="AA3130" s="60">
        <v>3</v>
      </c>
      <c r="AB3130" s="60">
        <v>4</v>
      </c>
      <c r="AC3130" s="60">
        <v>5</v>
      </c>
      <c r="AD3130" s="342"/>
      <c r="AE3130" s="343"/>
      <c r="AF3130" s="344"/>
    </row>
    <row r="3131" spans="1:32" ht="12.75" customHeight="1">
      <c r="A3131" s="21" t="s">
        <v>1234</v>
      </c>
      <c r="H3131" s="136" t="str">
        <f>IF($Q3133&lt;&gt;"",IF(AND(AND($H3133&gt;-1,$H3135&gt;-1),OR($H3133&gt;10,$H3135&gt;10),ABS($H3133-$H3135)&gt;1,IF(OR($H3133&gt;11,$H3135&gt;11),ABS($H3133-$H3135)=2,TRUE),$H3133=INT($H3133),$H3135=INT($H3135)),"","Error"),"")</f>
        <v/>
      </c>
      <c r="I3131" s="136" t="str">
        <f>IF($Q3133&lt;&gt;"",IF(AND(AND($I3133&gt;-1,$I3135&gt;-1),OR($I3133&gt;10,$I3135&gt;10),ABS($I3133-$I3135)&gt;1,IF(OR($I3133&gt;11,$I3135&gt;11),ABS($I3133-$I3135)=2,TRUE),$I3133=INT($I3133),$I3135=INT($I3135)),"","Error"),"")</f>
        <v/>
      </c>
      <c r="J3131" s="136" t="str">
        <f>IF($Q3133&lt;&gt;"",IF(AND(AND($J3133&gt;-1,$J3135&gt;-1),OR($J3133&gt;10,$J3135&gt;10),ABS($J3133-$J3135)&gt;1,IF(OR($J3133&gt;11,$J3135&gt;11),ABS($J3133-$J3135)=2,TRUE),$J3133=INT($J3133),$J3135=INT($J3135)),"","Error"),"")</f>
        <v/>
      </c>
      <c r="K3131" s="136" t="str">
        <f>IF($Q3133&lt;&gt;"",IF(AND($K3133&lt;&gt;"",$K3135&lt;&gt;""), IF(AND(AND($K3133&gt;-1,$K3135&gt;-1),OR($K3133&gt;10,$K3135&gt;10),ABS($K3133-$K3135)&gt;1,IF(OR($K3133&gt;11,$K3135&gt;11),ABS($K3133-$K3135)=2,TRUE),$K3133=INT($K3133),$K3135=INT($K3135)),"","Error"),""),"")</f>
        <v/>
      </c>
      <c r="L3131" s="136" t="str">
        <f>IF($Q3133&lt;&gt;"",IF(AND($L3133&lt;&gt;"",$L3135&lt;&gt;""), IF(AND(AND($L3133&gt;-1,$L3135&gt;-1),OR($L3133&gt;10,$L3135&gt;10),ABS($L3133-$L3135)&gt;1,IF(OR($L3133&gt;11,$L3135&gt;11),ABS($L3133-$L3135)=2,TRUE),$L3133=INT($L3133),$L3135=INT($L3135)),"","Error"),""),"")</f>
        <v/>
      </c>
      <c r="Q3131" s="7"/>
      <c r="R3131" s="300" t="str">
        <f>$B3120</f>
        <v>G</v>
      </c>
      <c r="S3131" s="331" t="str">
        <f ca="1">IF($B3133&lt;&gt;"",$B3133,"")</f>
        <v/>
      </c>
      <c r="T3131" s="332"/>
      <c r="U3131" s="332"/>
      <c r="V3131" s="332"/>
      <c r="W3131" s="332"/>
      <c r="X3131" s="333"/>
      <c r="Y3131" s="329"/>
      <c r="Z3131" s="329"/>
      <c r="AA3131" s="329"/>
      <c r="AB3131" s="329"/>
      <c r="AC3131" s="329"/>
      <c r="AD3131" s="345"/>
      <c r="AE3131" s="358"/>
      <c r="AF3131" s="359"/>
    </row>
    <row r="3132" spans="1:32" ht="12.75" customHeight="1">
      <c r="A3132" s="5" t="s">
        <v>1228</v>
      </c>
      <c r="B3132" s="290" t="s">
        <v>1126</v>
      </c>
      <c r="C3132" s="291"/>
      <c r="D3132" s="291"/>
      <c r="E3132" s="291"/>
      <c r="F3132" s="291"/>
      <c r="G3132" s="292"/>
      <c r="H3132" s="5">
        <v>1</v>
      </c>
      <c r="I3132" s="5">
        <v>2</v>
      </c>
      <c r="J3132" s="5">
        <v>3</v>
      </c>
      <c r="K3132" s="5">
        <v>4</v>
      </c>
      <c r="L3132" s="5">
        <v>5</v>
      </c>
      <c r="M3132" s="271"/>
      <c r="N3132" s="272"/>
      <c r="O3132" s="272"/>
      <c r="P3132" s="273"/>
      <c r="Q3132" s="7"/>
      <c r="R3132" s="330"/>
      <c r="S3132" s="334"/>
      <c r="T3132" s="335"/>
      <c r="U3132" s="335"/>
      <c r="V3132" s="335"/>
      <c r="W3132" s="335"/>
      <c r="X3132" s="336"/>
      <c r="Y3132" s="330"/>
      <c r="Z3132" s="330"/>
      <c r="AA3132" s="330"/>
      <c r="AB3132" s="330"/>
      <c r="AC3132" s="330"/>
      <c r="AD3132" s="360"/>
      <c r="AE3132" s="361"/>
      <c r="AF3132" s="362"/>
    </row>
    <row r="3133" spans="1:32" ht="12.75" customHeight="1">
      <c r="A3133" s="300" t="str">
        <f>B3120</f>
        <v>G</v>
      </c>
      <c r="B3133" s="293" t="str">
        <f ca="1">IF(AND(OFFSET($AO$1,$C3120-1,8,1,1),$A3121&lt;&gt;"",$J3121&lt;&gt;""),CHOOSE($C3120,$AP$1,$AP$2,$AP$3,$AP$4,$AP$5,$AP$6,$AP$7,$AP$8,$AP$9,$AP$10,$AP$11,$AP$12),"")</f>
        <v/>
      </c>
      <c r="C3133" s="294"/>
      <c r="D3133" s="294"/>
      <c r="E3133" s="294"/>
      <c r="F3133" s="294"/>
      <c r="G3133" s="294"/>
      <c r="H3133" s="265"/>
      <c r="I3133" s="265"/>
      <c r="J3133" s="265"/>
      <c r="K3133" s="265"/>
      <c r="L3133" s="265"/>
      <c r="M3133" s="262" t="str">
        <f ca="1">IF(OR(AND($B3126&lt;&gt;"",$B3133&lt;&gt;"",$C3151&lt;=$B3151),AND($B3128&lt;&gt;"",$B3135&lt;&gt;"",$G3151&lt;=$F3151)),"Invalid Lineup","")</f>
        <v/>
      </c>
      <c r="N3133" s="263"/>
      <c r="O3133" s="263"/>
      <c r="P3133" s="264"/>
      <c r="Q3133" s="137" t="str">
        <f>IF($L3133=$L3135,IF($K3133=$K3135,IF($J3133&lt;&gt;"",IF($J3133&gt;$J3135,"W","L"),""),IF($K3133&gt;$K3135,"W","L")),IF($L3133&gt;$L3135,"W","L"))</f>
        <v/>
      </c>
      <c r="R3133" s="300" t="str">
        <f>$K3120</f>
        <v>L</v>
      </c>
      <c r="S3133" s="331" t="str">
        <f ca="1">IF($B3135&lt;&gt;"",$B3135,"")</f>
        <v/>
      </c>
      <c r="T3133" s="332"/>
      <c r="U3133" s="332"/>
      <c r="V3133" s="332"/>
      <c r="W3133" s="332"/>
      <c r="X3133" s="333"/>
      <c r="Y3133" s="329"/>
      <c r="Z3133" s="329"/>
      <c r="AA3133" s="329"/>
      <c r="AB3133" s="329"/>
      <c r="AC3133" s="351"/>
      <c r="AD3133" s="363" t="s">
        <v>1237</v>
      </c>
      <c r="AE3133" s="358"/>
      <c r="AF3133" s="359"/>
    </row>
    <row r="3134" spans="1:32" ht="12.75" customHeight="1">
      <c r="A3134" s="301"/>
      <c r="B3134" s="295"/>
      <c r="C3134" s="296"/>
      <c r="D3134" s="296"/>
      <c r="E3134" s="296"/>
      <c r="F3134" s="296"/>
      <c r="G3134" s="296"/>
      <c r="H3134" s="270"/>
      <c r="I3134" s="270"/>
      <c r="J3134" s="270"/>
      <c r="K3134" s="270"/>
      <c r="L3134" s="270"/>
      <c r="M3134" s="262"/>
      <c r="N3134" s="263"/>
      <c r="O3134" s="263"/>
      <c r="P3134" s="264"/>
      <c r="Q3134" s="139" t="str">
        <f>IF($Q3133&lt;&gt;"",IF($Q3133="W",IF(SUM(IF($H3133&gt;$H3135,1,0),IF($I3133&gt;$I3135,1,0),IF($J3133&gt;$J3135,1,0),IF($K3133&gt;$K3135,1,0),IF($L3133&gt;$L3135,1,0))&lt;&gt;3,"Error",""),""),"")</f>
        <v/>
      </c>
      <c r="R3134" s="330"/>
      <c r="S3134" s="334"/>
      <c r="T3134" s="335"/>
      <c r="U3134" s="335"/>
      <c r="V3134" s="335"/>
      <c r="W3134" s="335"/>
      <c r="X3134" s="336"/>
      <c r="Y3134" s="330"/>
      <c r="Z3134" s="330"/>
      <c r="AA3134" s="330"/>
      <c r="AB3134" s="330"/>
      <c r="AC3134" s="330"/>
      <c r="AD3134" s="360"/>
      <c r="AE3134" s="361"/>
      <c r="AF3134" s="362"/>
    </row>
    <row r="3135" spans="1:32" ht="12.75" customHeight="1">
      <c r="A3135" s="300" t="str">
        <f>K3120</f>
        <v>L</v>
      </c>
      <c r="B3135" s="293" t="str">
        <f ca="1">IF(AND(OFFSET($AO$1,$L3120-1,8,1,1),$A3121&lt;&gt;"",$J3121&lt;&gt;""),CHOOSE($L3120,$AP$1,$AP$2,$AP$3,$AP$4,$AP$5,$AP$6,$AP$7,$AP$8,$AP$9,$AP$10,$AP$11,$AP$12),"")</f>
        <v/>
      </c>
      <c r="C3135" s="294"/>
      <c r="D3135" s="294"/>
      <c r="E3135" s="294"/>
      <c r="F3135" s="294"/>
      <c r="G3135" s="294"/>
      <c r="H3135" s="265"/>
      <c r="I3135" s="265"/>
      <c r="J3135" s="265"/>
      <c r="K3135" s="265"/>
      <c r="L3135" s="265"/>
      <c r="M3135" s="267" t="s">
        <v>1237</v>
      </c>
      <c r="N3135" s="268"/>
      <c r="O3135" s="268"/>
      <c r="P3135" s="269"/>
      <c r="Q3135" s="137" t="str">
        <f>IF($Q3133&lt;&gt;"",IF($Q3133="W","L","W"),"")</f>
        <v/>
      </c>
      <c r="R3135" s="20"/>
      <c r="S3135" s="20"/>
      <c r="T3135" s="20"/>
      <c r="U3135" s="20"/>
      <c r="V3135" s="20"/>
      <c r="W3135" s="20"/>
      <c r="X3135" s="26"/>
      <c r="Y3135" s="26"/>
      <c r="Z3135" s="20"/>
      <c r="AA3135" s="20"/>
      <c r="AB3135" s="20"/>
      <c r="AC3135" s="20"/>
      <c r="AD3135" s="20"/>
      <c r="AE3135" s="20"/>
      <c r="AF3135" s="27"/>
    </row>
    <row r="3136" spans="1:32" ht="12.75" customHeight="1">
      <c r="A3136" s="301"/>
      <c r="B3136" s="295"/>
      <c r="C3136" s="296"/>
      <c r="D3136" s="296"/>
      <c r="E3136" s="296"/>
      <c r="F3136" s="296"/>
      <c r="G3136" s="296"/>
      <c r="H3136" s="270"/>
      <c r="I3136" s="270"/>
      <c r="J3136" s="266"/>
      <c r="K3136" s="266"/>
      <c r="L3136" s="266"/>
      <c r="M3136" s="267"/>
      <c r="N3136" s="268"/>
      <c r="O3136" s="268"/>
      <c r="P3136" s="269"/>
      <c r="Q3136" s="139" t="str">
        <f>IF($Q3135&lt;&gt;"",IF($Q3135="W",IF(SUM(IF($H3135&gt;$H3133,1,0),IF($I3135&gt;$I3133,1,0),IF($J3135&gt;$J3133,1,0),IF($K3135&gt;$K3133,1,0),IF($L3135&gt;$L3133,1,0))&lt;&gt;3,"Error",""),""),"")</f>
        <v/>
      </c>
      <c r="R3136" s="20"/>
      <c r="S3136" s="20"/>
      <c r="T3136" s="20"/>
      <c r="U3136" s="20"/>
      <c r="V3136" s="20"/>
      <c r="W3136" s="20"/>
      <c r="X3136" s="26"/>
      <c r="Y3136" s="26"/>
      <c r="Z3136" s="20"/>
      <c r="AA3136" s="20"/>
      <c r="AB3136" s="20"/>
      <c r="AC3136" s="20"/>
      <c r="AD3136" s="20"/>
      <c r="AE3136" s="20"/>
      <c r="AF3136" s="27"/>
    </row>
    <row r="3137" spans="1:32" ht="12.75" customHeight="1">
      <c r="Q3137" s="7"/>
      <c r="R3137" s="20"/>
      <c r="S3137" s="20"/>
      <c r="T3137" s="20"/>
      <c r="U3137" s="20"/>
      <c r="V3137" s="20"/>
      <c r="W3137" s="20"/>
      <c r="X3137" s="26"/>
      <c r="Y3137" s="26"/>
      <c r="Z3137" s="20"/>
      <c r="AA3137" s="20"/>
      <c r="AB3137" s="20"/>
      <c r="AC3137" s="20"/>
      <c r="AD3137" s="20"/>
      <c r="AE3137" s="20"/>
      <c r="AF3137" s="27"/>
    </row>
    <row r="3138" spans="1:32" ht="12.75" customHeight="1">
      <c r="A3138" s="21" t="s">
        <v>1235</v>
      </c>
      <c r="H3138" s="136" t="str">
        <f>IF($Q3140&lt;&gt;"",IF(AND(AND($H3140&gt;-1,$H3142&gt;-1),OR($H3140&gt;10,$H3142&gt;10),ABS($H3140-$H3142)&gt;1,IF(OR($H3140&gt;11,$H3142&gt;11),ABS($H3140-$H3142)=2,TRUE),$H3140=INT($H3140),$H3142=INT($H3142)),"","Error"),"")</f>
        <v/>
      </c>
      <c r="I3138" s="136" t="str">
        <f>IF($Q3140&lt;&gt;"",IF(AND(AND($I3140&gt;-1,$I3142&gt;-1),OR($I3140&gt;10,$I3142&gt;10),ABS($I3140-$I3142)&gt;1,IF(OR($I3140&gt;11,$I3142&gt;11),ABS($I3140-$I3142)=2,TRUE),$I3140=INT($I3140),$I3142=INT($I3142)),"","Error"),"")</f>
        <v/>
      </c>
      <c r="J3138" s="136" t="str">
        <f>IF($Q3140&lt;&gt;"",IF(AND(AND($J3140&gt;-1,$J3142&gt;-1),OR($J3140&gt;10,$J3142&gt;10),ABS($J3140-$J3142)&gt;1,IF(OR($J3140&gt;11,$J3142&gt;11),ABS($J3140-$J3142)=2,TRUE),$J3140=INT($J3140),$J3142=INT($J3142)),"","Error"),"")</f>
        <v/>
      </c>
      <c r="K3138" s="136" t="str">
        <f>IF($Q3140&lt;&gt;"",IF(AND($K3140&lt;&gt;"",$K3142&lt;&gt;""), IF(AND(AND($K3140&gt;-1,$K3142&gt;-1),OR($K3140&gt;10,$K3142&gt;10),ABS($K3140-$K3142)&gt;1,IF(OR($K3140&gt;11,$K3142&gt;11),ABS($K3140-$K3142)=2,TRUE),$K3140=INT($K3140),$K3142=INT($K3142)),"","Error"),""),"")</f>
        <v/>
      </c>
      <c r="L3138" s="136" t="str">
        <f>IF($Q3140&lt;&gt;"",IF(AND($L3140&lt;&gt;"",$L3142&lt;&gt;""), IF(AND(AND($L3140&gt;-1,$L3142&gt;-1),OR($L3140&gt;10,$L3142&gt;10),ABS($L3140-$L3142)&gt;1,IF(OR($L3140&gt;11,$L3142&gt;11),ABS($L3140-$L3142)=2,TRUE),$L3140=INT($L3140),$L3142=INT($L3142)),"","Error"),""),"")</f>
        <v/>
      </c>
      <c r="Q3138" s="7"/>
      <c r="R3138" s="20"/>
      <c r="S3138" s="20"/>
      <c r="T3138" s="20"/>
      <c r="U3138" s="20"/>
      <c r="V3138" s="20"/>
      <c r="W3138" s="20"/>
      <c r="X3138" s="26"/>
      <c r="Y3138" s="26"/>
      <c r="Z3138" s="20"/>
      <c r="AA3138" s="20"/>
      <c r="AB3138" s="20"/>
      <c r="AC3138" s="20"/>
      <c r="AD3138" s="20"/>
      <c r="AE3138" s="20"/>
      <c r="AF3138" s="27"/>
    </row>
    <row r="3139" spans="1:32" ht="12.75" customHeight="1">
      <c r="A3139" s="5" t="s">
        <v>1228</v>
      </c>
      <c r="B3139" s="290" t="s">
        <v>1126</v>
      </c>
      <c r="C3139" s="291"/>
      <c r="D3139" s="291"/>
      <c r="E3139" s="291"/>
      <c r="F3139" s="291"/>
      <c r="G3139" s="292"/>
      <c r="H3139" s="5">
        <v>1</v>
      </c>
      <c r="I3139" s="5">
        <v>2</v>
      </c>
      <c r="J3139" s="5">
        <v>3</v>
      </c>
      <c r="K3139" s="5">
        <v>4</v>
      </c>
      <c r="L3139" s="5">
        <v>5</v>
      </c>
      <c r="M3139" s="271"/>
      <c r="N3139" s="272"/>
      <c r="O3139" s="272"/>
      <c r="P3139" s="273"/>
      <c r="Q3139" s="7"/>
      <c r="R3139" s="20"/>
      <c r="S3139" s="20"/>
      <c r="T3139" s="20"/>
      <c r="U3139" s="20"/>
      <c r="V3139" s="20"/>
      <c r="W3139" s="20"/>
      <c r="X3139" s="26"/>
      <c r="Y3139" s="26"/>
      <c r="Z3139" s="20"/>
      <c r="AA3139" s="20"/>
      <c r="AB3139" s="20"/>
      <c r="AC3139" s="20"/>
      <c r="AD3139" s="20"/>
      <c r="AE3139" s="20"/>
      <c r="AF3139" s="27"/>
    </row>
    <row r="3140" spans="1:32" ht="12.75" customHeight="1">
      <c r="A3140" s="300" t="str">
        <f>B3120</f>
        <v>G</v>
      </c>
      <c r="B3140" s="293" t="str">
        <f ca="1">IF(AND(OFFSET($AO$1,$C3120-1,8,1,1),$A3121&lt;&gt;"",$J3121&lt;&gt;""),CHOOSE($C3120,$AQ$1,$AQ$2,$AQ$3,$AQ$4,$AQ$5,$AQ$6,$AQ$7,$AQ$8,$AQ$9,$AQ$10,$AQ$11,$AQ$12),"")</f>
        <v/>
      </c>
      <c r="C3140" s="294"/>
      <c r="D3140" s="294"/>
      <c r="E3140" s="294"/>
      <c r="F3140" s="294"/>
      <c r="G3140" s="294"/>
      <c r="H3140" s="265"/>
      <c r="I3140" s="265"/>
      <c r="J3140" s="265"/>
      <c r="K3140" s="265"/>
      <c r="L3140" s="265"/>
      <c r="M3140" s="262" t="str">
        <f ca="1">IF(OR(AND($B3133&lt;&gt;"",$B3140&lt;&gt;"",$D3151&lt;=$C3151),AND($B3135&lt;&gt;"",$B3142&lt;&gt;"",$H3151&lt;=$G3151)),"Invalid Lineup","")</f>
        <v/>
      </c>
      <c r="N3140" s="263"/>
      <c r="O3140" s="263"/>
      <c r="P3140" s="264"/>
      <c r="Q3140" s="137" t="str">
        <f>IF($L3140=$L3142,IF($K3140=$K3142,IF($J3140&lt;&gt;"",IF($J3140&gt;$J3142,"W","L"),""),IF($K3140&gt;$K3142,"W","L")),IF($L3140&gt;$L3142,"W","L"))</f>
        <v/>
      </c>
      <c r="R3140" s="20"/>
      <c r="S3140" s="20"/>
      <c r="T3140" s="20"/>
      <c r="U3140" s="20"/>
      <c r="V3140" s="20"/>
      <c r="W3140" s="20"/>
      <c r="X3140" s="26"/>
      <c r="Y3140" s="26"/>
      <c r="Z3140" s="20"/>
      <c r="AA3140" s="20"/>
      <c r="AB3140" s="20"/>
      <c r="AC3140" s="20"/>
      <c r="AD3140" s="20"/>
      <c r="AE3140" s="20"/>
      <c r="AF3140" s="27"/>
    </row>
    <row r="3141" spans="1:32" ht="12.75" customHeight="1">
      <c r="A3141" s="301"/>
      <c r="B3141" s="295"/>
      <c r="C3141" s="296"/>
      <c r="D3141" s="296"/>
      <c r="E3141" s="296"/>
      <c r="F3141" s="296"/>
      <c r="G3141" s="296"/>
      <c r="H3141" s="270"/>
      <c r="I3141" s="270"/>
      <c r="J3141" s="270"/>
      <c r="K3141" s="270"/>
      <c r="L3141" s="270"/>
      <c r="M3141" s="262"/>
      <c r="N3141" s="263"/>
      <c r="O3141" s="263"/>
      <c r="P3141" s="264"/>
      <c r="Q3141" s="139" t="str">
        <f>IF($Q3140&lt;&gt;"",IF($Q3140="W",IF(SUM(IF($H3140&gt;$H3142,1,0),IF($I3140&gt;$I3142,1,0),IF($J3140&gt;$J3142,1,0),IF($K3140&gt;$K3142,1,0),IF($L3140&gt;$L3142,1,0))&lt;&gt;3,"Error",""),""),"")</f>
        <v/>
      </c>
      <c r="R3141" s="328" t="str">
        <f>$A3121</f>
        <v/>
      </c>
      <c r="S3141" s="328"/>
      <c r="T3141" s="328"/>
      <c r="U3141" s="328"/>
      <c r="V3141" s="328"/>
      <c r="W3141" s="328"/>
      <c r="X3141" s="256" t="str">
        <f>CONCATENATE("(",$B3120," vs ",$K3120,")")</f>
        <v>(G vs L)</v>
      </c>
      <c r="Y3141" s="256"/>
      <c r="Z3141" s="328" t="str">
        <f>$J3121</f>
        <v/>
      </c>
      <c r="AA3141" s="328"/>
      <c r="AB3141" s="328"/>
      <c r="AC3141" s="328"/>
      <c r="AD3141" s="328"/>
      <c r="AE3141" s="328"/>
      <c r="AF3141" s="100"/>
    </row>
    <row r="3142" spans="1:32" ht="12.75" customHeight="1">
      <c r="A3142" s="300" t="str">
        <f>K3120</f>
        <v>L</v>
      </c>
      <c r="B3142" s="293" t="str">
        <f ca="1">IF(AND(OFFSET($AO$1,$L3120-1,8,1,1),$A3121&lt;&gt;"",$J3121&lt;&gt;""),CHOOSE($L3120,$AQ$1,$AQ$2,$AQ$3,$AQ$4,$AQ$5,$AQ$6,$AQ$7,$AQ$8,$AQ$9,$AQ$10,$AQ$11,$AQ$12),"")</f>
        <v/>
      </c>
      <c r="C3142" s="294"/>
      <c r="D3142" s="294"/>
      <c r="E3142" s="294"/>
      <c r="F3142" s="294"/>
      <c r="G3142" s="294"/>
      <c r="H3142" s="265"/>
      <c r="I3142" s="265"/>
      <c r="J3142" s="265"/>
      <c r="K3142" s="265"/>
      <c r="L3142" s="265"/>
      <c r="M3142" s="267" t="s">
        <v>1237</v>
      </c>
      <c r="N3142" s="268"/>
      <c r="O3142" s="268"/>
      <c r="P3142" s="269"/>
      <c r="Q3142" s="137" t="str">
        <f>IF($Q3140&lt;&gt;"",IF($Q3140="W","L","W"),"")</f>
        <v/>
      </c>
      <c r="R3142" s="100"/>
      <c r="S3142" s="100"/>
      <c r="T3142" s="100"/>
      <c r="U3142" s="100"/>
      <c r="V3142" s="100"/>
      <c r="W3142" s="100"/>
      <c r="X3142" s="100"/>
      <c r="Y3142" s="100"/>
      <c r="Z3142" s="100"/>
      <c r="AA3142" s="100"/>
      <c r="AB3142" s="100"/>
      <c r="AC3142" s="100"/>
      <c r="AD3142" s="100"/>
      <c r="AE3142" s="100"/>
      <c r="AF3142" s="100"/>
    </row>
    <row r="3143" spans="1:32" ht="12.75" customHeight="1">
      <c r="A3143" s="301"/>
      <c r="B3143" s="295"/>
      <c r="C3143" s="296"/>
      <c r="D3143" s="296"/>
      <c r="E3143" s="296"/>
      <c r="F3143" s="296"/>
      <c r="G3143" s="296"/>
      <c r="H3143" s="270"/>
      <c r="I3143" s="270"/>
      <c r="J3143" s="266"/>
      <c r="K3143" s="266"/>
      <c r="L3143" s="266"/>
      <c r="M3143" s="267"/>
      <c r="N3143" s="268"/>
      <c r="O3143" s="268"/>
      <c r="P3143" s="269"/>
      <c r="Q3143" s="139" t="str">
        <f>IF($Q3142&lt;&gt;"",IF($Q3142="W",IF(SUM(IF($H3142&gt;$H3140,1,0),IF($I3142&gt;$I3140,1,0),IF($J3142&gt;$J3140,1,0),IF($K3142&gt;$K3140,1,0),IF($L3142&gt;$L3140,1,0))&lt;&gt;3,"Error",""),""),"")</f>
        <v/>
      </c>
      <c r="R3143" s="43" t="str">
        <f>$A3138</f>
        <v>3rd Singles</v>
      </c>
      <c r="S3143" s="43"/>
      <c r="T3143" s="43"/>
      <c r="U3143" s="43"/>
      <c r="V3143" s="43"/>
      <c r="W3143" s="43"/>
      <c r="X3143" s="43"/>
      <c r="Y3143" s="43"/>
      <c r="Z3143" s="43"/>
      <c r="AA3143" s="43"/>
      <c r="AB3143" s="43"/>
      <c r="AC3143" s="43"/>
      <c r="AD3143" s="43"/>
      <c r="AE3143" s="43"/>
      <c r="AF3143" s="43"/>
    </row>
    <row r="3144" spans="1:32" ht="12.75" customHeight="1">
      <c r="Q3144" s="7"/>
      <c r="R3144" s="60" t="s">
        <v>1228</v>
      </c>
      <c r="S3144" s="101" t="s">
        <v>1126</v>
      </c>
      <c r="T3144" s="102"/>
      <c r="U3144" s="102"/>
      <c r="V3144" s="102"/>
      <c r="W3144" s="102"/>
      <c r="X3144" s="103"/>
      <c r="Y3144" s="60">
        <v>1</v>
      </c>
      <c r="Z3144" s="60">
        <v>2</v>
      </c>
      <c r="AA3144" s="60">
        <v>3</v>
      </c>
      <c r="AB3144" s="60">
        <v>4</v>
      </c>
      <c r="AC3144" s="60">
        <v>5</v>
      </c>
      <c r="AD3144" s="104"/>
      <c r="AE3144" s="105"/>
      <c r="AF3144" s="106"/>
    </row>
    <row r="3145" spans="1:32" ht="12.75" customHeight="1">
      <c r="A3145" s="21" t="s">
        <v>1236</v>
      </c>
      <c r="H3145" s="136" t="str">
        <f ca="1">IF($Q3147&lt;&gt;"",IF(AND($B3147&lt;&gt;"Missing Player",$B3149&lt;&gt;"Missing Player"),IF(AND(AND($H3147&gt;-1,$H3149&gt;-1),OR($H3147&gt;10,$H3149&gt;10),ABS($H3147-$H3149)&gt;1,IF(OR($H3147&gt;11,$H3149&gt;11),ABS($H3147-$H3149)=2,TRUE),$H3147=INT($H3147),$H3149=INT($H3149)),"","Error"),""),"")</f>
        <v/>
      </c>
      <c r="I3145" s="136" t="str">
        <f ca="1">IF($Q3147&lt;&gt;"",IF(AND($B3147&lt;&gt;"Missing Player",$B3149&lt;&gt;"Missing Player"),IF(AND(AND($I3147&gt;-1,$I3149&gt;-1),OR($I3147&gt;10,$I3149&gt;10),ABS($I3147-$I3149)&gt;1,IF(OR($I3147&gt;11,$I3149&gt;11),ABS($I3147-$I3149)=2,TRUE),$I3147=INT($I3147),$I3149=INT($I3149)),"","Error"),""),"")</f>
        <v/>
      </c>
      <c r="J3145" s="136" t="str">
        <f ca="1">IF($Q3147&lt;&gt;"",IF(AND($B3147&lt;&gt;"Missing Player",$B3149&lt;&gt;"Missing Player"),IF(AND(AND($J3147&gt;-1,$J3149&gt;-1),OR($J3147&gt;10,$J3149&gt;10),ABS($J3147-$J3149)&gt;1,IF(OR($J3147&gt;11,$J3149&gt;11),ABS($J3147-$J3149)=2,TRUE),$J3147=INT($J3147),$J3149=INT($J3149)),"","Error"),""),"")</f>
        <v/>
      </c>
      <c r="K3145" s="136" t="str">
        <f ca="1">IF($Q3147&lt;&gt;"",IF(AND($K3147&lt;&gt;"",$K3149&lt;&gt;""), IF(AND(AND($K3147&gt;-1,$K3149&gt;-1),OR($K3147&gt;10,$K3149&gt;10),ABS($K3147-$K3149)&gt;1,IF(OR($K3147&gt;11,$K3149&gt;11),ABS($K3147-$K3149)=2,TRUE),$K3147=INT($K3147),$K3149=INT($K3149)),"","Error"),""),"")</f>
        <v/>
      </c>
      <c r="L3145" s="136" t="str">
        <f ca="1">IF($Q3147&lt;&gt;"",IF(AND($L3147&lt;&gt;"",$L3149&lt;&gt;""), IF(AND(AND($L3147&gt;-1,$L3149&gt;-1),OR($L3147&gt;10,$L3149&gt;10),ABS($L3147-$L3149)&gt;1,IF(OR($L3147&gt;11,$L3149&gt;11),ABS($L3147-$L3149)=2,TRUE),$L3147=INT($L3147),$L3149=INT($L3149)),"","Error"),""),"")</f>
        <v/>
      </c>
      <c r="Q3145" s="7"/>
      <c r="R3145" s="300" t="str">
        <f>$B3120</f>
        <v>G</v>
      </c>
      <c r="S3145" s="331" t="str">
        <f ca="1">IF($B3140&lt;&gt;"",$B3140,"")</f>
        <v/>
      </c>
      <c r="T3145" s="332"/>
      <c r="U3145" s="332"/>
      <c r="V3145" s="332"/>
      <c r="W3145" s="332"/>
      <c r="X3145" s="333"/>
      <c r="Y3145" s="329"/>
      <c r="Z3145" s="329"/>
      <c r="AA3145" s="329"/>
      <c r="AB3145" s="329"/>
      <c r="AC3145" s="329"/>
      <c r="AD3145" s="345"/>
      <c r="AE3145" s="358"/>
      <c r="AF3145" s="359"/>
    </row>
    <row r="3146" spans="1:32" ht="12.75" customHeight="1">
      <c r="A3146" s="5" t="s">
        <v>1228</v>
      </c>
      <c r="B3146" s="290" t="s">
        <v>1126</v>
      </c>
      <c r="C3146" s="291"/>
      <c r="D3146" s="291"/>
      <c r="E3146" s="291"/>
      <c r="F3146" s="291"/>
      <c r="G3146" s="292"/>
      <c r="H3146" s="5">
        <v>1</v>
      </c>
      <c r="I3146" s="5">
        <v>2</v>
      </c>
      <c r="J3146" s="5">
        <v>3</v>
      </c>
      <c r="K3146" s="5">
        <v>4</v>
      </c>
      <c r="L3146" s="5">
        <v>5</v>
      </c>
      <c r="M3146" s="271"/>
      <c r="N3146" s="272"/>
      <c r="O3146" s="272"/>
      <c r="P3146" s="273"/>
      <c r="Q3146" s="7"/>
      <c r="R3146" s="330"/>
      <c r="S3146" s="334"/>
      <c r="T3146" s="335"/>
      <c r="U3146" s="335"/>
      <c r="V3146" s="335"/>
      <c r="W3146" s="335"/>
      <c r="X3146" s="336"/>
      <c r="Y3146" s="330"/>
      <c r="Z3146" s="330"/>
      <c r="AA3146" s="330"/>
      <c r="AB3146" s="330"/>
      <c r="AC3146" s="330"/>
      <c r="AD3146" s="360"/>
      <c r="AE3146" s="361"/>
      <c r="AF3146" s="362"/>
    </row>
    <row r="3147" spans="1:32" ht="12.75" customHeight="1">
      <c r="A3147" s="300" t="str">
        <f>B3120</f>
        <v>G</v>
      </c>
      <c r="B3147" s="293" t="str">
        <f ca="1">IF(AND(OFFSET($AO$1,$C3120-1,8,1,1),$A3121&lt;&gt;"",$J3121&lt;&gt;""),CHOOSE($C3120,$AR$1,$AR$2,$AR$3,$AR$4,$AR$5,$AR$6,$AR$7,$AR$8,$AR$9,$AR$10,$AR$11,$AR$12),"")</f>
        <v/>
      </c>
      <c r="C3147" s="294"/>
      <c r="D3147" s="294"/>
      <c r="E3147" s="294"/>
      <c r="F3147" s="294"/>
      <c r="G3147" s="294"/>
      <c r="H3147" s="265"/>
      <c r="I3147" s="265"/>
      <c r="J3147" s="265"/>
      <c r="K3147" s="265"/>
      <c r="L3147" s="265" t="str">
        <f ca="1">IF(AND($B3147&lt;&gt;"",$Q3126&lt;&gt;""),IF($B3147="Missing Player",0,IF($B3149="Missing Player",11,"")),"")</f>
        <v/>
      </c>
      <c r="M3147" s="262" t="str">
        <f ca="1">IF(OR(AND($B3140&lt;&gt;"",$B3147&lt;&gt;"",$E3151&lt;=$D3151),AND($B3142&lt;&gt;"",$B3149&lt;&gt;"",$I3151&lt;=$H3151)),"Invalid Lineup","")</f>
        <v/>
      </c>
      <c r="N3147" s="263"/>
      <c r="O3147" s="263"/>
      <c r="P3147" s="264"/>
      <c r="Q3147" s="137" t="str">
        <f ca="1">IF($L3147=$L3149,IF($K3147=$K3149,IF($J3147&lt;&gt;"",IF($J3147&gt;$J3149,"W","L"),""),IF($K3147&gt;$K3149,"W","L")),IF($L3147&gt;$L3149,"W","L"))</f>
        <v/>
      </c>
      <c r="R3147" s="300" t="str">
        <f>$K3120</f>
        <v>L</v>
      </c>
      <c r="S3147" s="331" t="str">
        <f ca="1">IF($B3142&lt;&gt;"",$B3142,"")</f>
        <v/>
      </c>
      <c r="T3147" s="332"/>
      <c r="U3147" s="332"/>
      <c r="V3147" s="332"/>
      <c r="W3147" s="332"/>
      <c r="X3147" s="333"/>
      <c r="Y3147" s="329"/>
      <c r="Z3147" s="329"/>
      <c r="AA3147" s="329"/>
      <c r="AB3147" s="329"/>
      <c r="AC3147" s="351"/>
      <c r="AD3147" s="363" t="s">
        <v>1237</v>
      </c>
      <c r="AE3147" s="358"/>
      <c r="AF3147" s="359"/>
    </row>
    <row r="3148" spans="1:32" ht="12.75" customHeight="1">
      <c r="A3148" s="301"/>
      <c r="B3148" s="295"/>
      <c r="C3148" s="296"/>
      <c r="D3148" s="296"/>
      <c r="E3148" s="296"/>
      <c r="F3148" s="296"/>
      <c r="G3148" s="296"/>
      <c r="H3148" s="270"/>
      <c r="I3148" s="270"/>
      <c r="J3148" s="270"/>
      <c r="K3148" s="270"/>
      <c r="L3148" s="270"/>
      <c r="M3148" s="262"/>
      <c r="N3148" s="263"/>
      <c r="O3148" s="263"/>
      <c r="P3148" s="264"/>
      <c r="Q3148" s="139" t="str">
        <f ca="1">IF($Q3147&lt;&gt;"",IF($B3149&lt;&gt;"Missing Player",IF($Q3147="W",IF(SUM(IF($H3147&gt;$H3149,1,0),IF($I3147&gt;$I3149,1,0),IF($J3147&gt;$J3149,1,0),IF($K3147&gt;$K3149,1,0),IF($L3147&gt;$L3149,1,0))&lt;&gt;3,"Error",""),""),""),"")</f>
        <v/>
      </c>
      <c r="R3148" s="330"/>
      <c r="S3148" s="334"/>
      <c r="T3148" s="335"/>
      <c r="U3148" s="335"/>
      <c r="V3148" s="335"/>
      <c r="W3148" s="335"/>
      <c r="X3148" s="336"/>
      <c r="Y3148" s="330"/>
      <c r="Z3148" s="330"/>
      <c r="AA3148" s="330"/>
      <c r="AB3148" s="330"/>
      <c r="AC3148" s="330"/>
      <c r="AD3148" s="360"/>
      <c r="AE3148" s="361"/>
      <c r="AF3148" s="362"/>
    </row>
    <row r="3149" spans="1:32" ht="12.75" customHeight="1">
      <c r="A3149" s="300" t="str">
        <f>K3120</f>
        <v>L</v>
      </c>
      <c r="B3149" s="293" t="str">
        <f ca="1">IF(AND(OFFSET($AO$1,$L3120-1,8,1,1),$A3121&lt;&gt;"",$J3121&lt;&gt;""),CHOOSE($L3120,$AR$1,$AR$2,$AR$3,$AR$4,$AR$5,$AR$6,$AR$7,$AR$8,$AR$9,$AR$10,$AR$11,$AR$12),"")</f>
        <v/>
      </c>
      <c r="C3149" s="294"/>
      <c r="D3149" s="294"/>
      <c r="E3149" s="294"/>
      <c r="F3149" s="294"/>
      <c r="G3149" s="294"/>
      <c r="H3149" s="265"/>
      <c r="I3149" s="265"/>
      <c r="J3149" s="265"/>
      <c r="K3149" s="265"/>
      <c r="L3149" s="265" t="str">
        <f ca="1">IF(AND($B3149&lt;&gt;"",$Q3126&lt;&gt;""),IF($B3149="Missing Player",0,IF($B3147="Missing Player",11,"")),"")</f>
        <v/>
      </c>
      <c r="M3149" s="267" t="s">
        <v>1237</v>
      </c>
      <c r="N3149" s="268"/>
      <c r="O3149" s="268"/>
      <c r="P3149" s="269"/>
      <c r="Q3149" s="137" t="str">
        <f ca="1">IF($Q3147&lt;&gt;"",IF($Q3147="W","L","W"),"")</f>
        <v/>
      </c>
      <c r="R3149" s="112"/>
      <c r="S3149" s="98"/>
      <c r="T3149" s="108"/>
      <c r="U3149" s="108"/>
      <c r="V3149" s="108"/>
      <c r="W3149" s="108"/>
      <c r="X3149" s="108"/>
      <c r="Y3149" s="113"/>
      <c r="Z3149" s="113"/>
      <c r="AA3149" s="113"/>
      <c r="AB3149" s="113"/>
      <c r="AC3149" s="113"/>
      <c r="AD3149" s="107"/>
      <c r="AE3149" s="109"/>
      <c r="AF3149" s="109"/>
    </row>
    <row r="3150" spans="1:32" ht="12.75" customHeight="1">
      <c r="A3150" s="301"/>
      <c r="B3150" s="295"/>
      <c r="C3150" s="296"/>
      <c r="D3150" s="296"/>
      <c r="E3150" s="296"/>
      <c r="F3150" s="296"/>
      <c r="G3150" s="296"/>
      <c r="H3150" s="270"/>
      <c r="I3150" s="270"/>
      <c r="J3150" s="266"/>
      <c r="K3150" s="266"/>
      <c r="L3150" s="266"/>
      <c r="M3150" s="267"/>
      <c r="N3150" s="268"/>
      <c r="O3150" s="268"/>
      <c r="P3150" s="269"/>
      <c r="Q3150" s="139" t="str">
        <f ca="1">IF($Q3149&lt;&gt;"",IF($B3147&lt;&gt;"Missing Player",IF($Q3149="W",IF(SUM(IF($H3149&gt;$H3147,1,0),IF($I3149&gt;$I3147,1,0),IF($J3149&gt;$J3147,1,0),IF($K3149&gt;$K3147,1,0),IF($L3149&gt;$L3147,1,0))&lt;&gt;3,"Error",""),""),""),"")</f>
        <v/>
      </c>
      <c r="R3150" s="114"/>
      <c r="S3150" s="115"/>
      <c r="T3150" s="115"/>
      <c r="U3150" s="115"/>
      <c r="V3150" s="115"/>
      <c r="W3150" s="115"/>
      <c r="X3150" s="115"/>
      <c r="Y3150" s="114"/>
      <c r="Z3150" s="114"/>
      <c r="AA3150" s="114"/>
      <c r="AB3150" s="114"/>
      <c r="AC3150" s="114"/>
      <c r="AD3150" s="114"/>
      <c r="AE3150" s="114"/>
      <c r="AF3150" s="114"/>
    </row>
    <row r="3151" spans="1:32" ht="12.75" customHeight="1">
      <c r="B3151" s="140" t="str">
        <f ca="1">IF(ISERROR(VLOOKUP($B3126&amp;"("&amp;$B3120&amp;")",Players!$S$4:$T$132,2,FALSE)),"",VLOOKUP($B3126&amp;"("&amp;$B3120&amp;")",Players!$S$4:$T$132,2,FALSE))</f>
        <v>G1</v>
      </c>
      <c r="C3151" s="140" t="str">
        <f ca="1">IF(ISERROR(VLOOKUP($B3133&amp;"("&amp;$B3120&amp;")",Players!$S$4:$T$132,2,FALSE)),"",VLOOKUP($B3133&amp;"("&amp;$B3120&amp;")",Players!$S$4:$T$132,2,FALSE))</f>
        <v>G1</v>
      </c>
      <c r="D3151" s="141" t="str">
        <f ca="1">IF(ISERROR(VLOOKUP($B3140&amp;"("&amp;$B3120&amp;")",Players!$S$4:$T$132,2,FALSE)),"",VLOOKUP($B3140&amp;"("&amp;$B3120&amp;")",Players!$S$4:$T$132,2,FALSE))</f>
        <v>G1</v>
      </c>
      <c r="E3151" s="141" t="str">
        <f ca="1">IF(ISERROR(VLOOKUP($B3147&amp;"("&amp;$B3120&amp;")",Players!$S$4:$T$132,2,FALSE)),"",VLOOKUP($B3147&amp;"("&amp;$B3120&amp;")",Players!$S$4:$T$132,2,FALSE))</f>
        <v>G1</v>
      </c>
      <c r="F3151" s="141" t="str">
        <f ca="1">IF(ISERROR(VLOOKUP($B3128&amp;"("&amp;$K3120&amp;")",Players!$S$4:$T$132,2,FALSE)),"",VLOOKUP($B3128&amp;"("&amp;$K3120&amp;")",Players!$S$4:$T$132,2,FALSE))</f>
        <v>L1</v>
      </c>
      <c r="G3151" s="141" t="str">
        <f ca="1">IF(ISERROR(VLOOKUP($B3135&amp;"("&amp;$K3120&amp;")",Players!$S$4:$T$132,2,FALSE)),"",VLOOKUP($B3135&amp;"("&amp;$K3120&amp;")",Players!$S$4:$T$132,2,FALSE))</f>
        <v>L1</v>
      </c>
      <c r="H3151" s="141" t="str">
        <f ca="1">IF(ISERROR(VLOOKUP($B3142&amp;"("&amp;$K3120&amp;")",Players!$S$4:$T$132,2,FALSE)),"",VLOOKUP($B3142&amp;"("&amp;$K3120&amp;")",Players!$S$4:$T$132,2,FALSE))</f>
        <v>L1</v>
      </c>
      <c r="I3151" s="141" t="str">
        <f ca="1">IF(ISERROR(VLOOKUP($B3149&amp;"("&amp;$K3120&amp;")",Players!$S$4:$T$132,2,FALSE)),"",VLOOKUP($B3149&amp;"("&amp;$K3120&amp;")",Players!$S$4:$T$132,2,FALSE))</f>
        <v>L1</v>
      </c>
      <c r="Q3151" s="7"/>
      <c r="R3151" s="50"/>
      <c r="S3151" s="116"/>
      <c r="T3151" s="115"/>
      <c r="U3151" s="115"/>
      <c r="V3151" s="115"/>
      <c r="W3151" s="115"/>
      <c r="X3151" s="115"/>
      <c r="Y3151" s="99"/>
      <c r="Z3151" s="99"/>
      <c r="AA3151" s="99"/>
      <c r="AB3151" s="99"/>
      <c r="AC3151" s="117"/>
      <c r="AD3151" s="118"/>
      <c r="AE3151" s="114"/>
      <c r="AF3151" s="114"/>
    </row>
    <row r="3152" spans="1:32" ht="12.75" customHeight="1">
      <c r="A3152" s="21" t="s">
        <v>1225</v>
      </c>
      <c r="H3152" s="136" t="str">
        <f ca="1">IF($Q3154&lt;&gt;"",IF(AND($B3155&lt;&gt;"Missing Player",$B3157&lt;&gt;"Missing Player"),IF(AND(AND($H3154&gt;-1,$H3156&gt;-1),OR($H3154&gt;10,$H3156&gt;10),ABS($H3154-$H3156)&gt;1,IF(OR($H3154&gt;11,$H3156&gt;11),ABS($H3154-$H3156)=2,TRUE),$H3154=INT($H3154),$H3156=INT($H3156)),"","Error"),""),"")</f>
        <v/>
      </c>
      <c r="I3152" s="136" t="str">
        <f ca="1">IF($Q3154&lt;&gt;"",IF(AND($B3155&lt;&gt;"Missing Player",$B3157&lt;&gt;"Missing Player"),IF(AND(AND($I3154&gt;-1,$I3156&gt;-1),OR($I3154&gt;10,$I3156&gt;10),ABS($I3154-$I3156)&gt;1,IF(OR($I3154&gt;11,$I3156&gt;11),ABS($I3154-$I3156)=2,TRUE),$I3154=INT($I3154),$I3156=INT($I3156)),"","Error"),""),"")</f>
        <v/>
      </c>
      <c r="J3152" s="136" t="str">
        <f ca="1">IF($Q3154&lt;&gt;"",IF(AND($B3155&lt;&gt;"Missing Player",$B3157&lt;&gt;"Missing Player"),IF(AND(AND($J3154&gt;-1,$J3156&gt;-1),OR($J3154&gt;10,$J3156&gt;10),ABS($J3154-$J3156)&gt;1,IF(OR($J3154&gt;11,$J3156&gt;11),ABS($J3154-$J3156)=2,TRUE),$J3154=INT($J3154),$J3156=INT($J3156)),"","Error"),""),"")</f>
        <v/>
      </c>
      <c r="K3152" s="136" t="str">
        <f ca="1">IF($Q3154&lt;&gt;"",IF(AND($K3154&lt;&gt;"",$K3156&lt;&gt;""), IF(AND(AND($K3154&gt;-1,$K3156&gt;-1),OR($K3154&gt;10,$K3156&gt;10),ABS($K3154-$K3156)&gt;1,IF(OR($K3154&gt;11,$K3156&gt;11),ABS($K3154-$K3156)=2,TRUE),$K3154=INT($K3154),$K3156=INT($K3156)),"","Error"),""),"")</f>
        <v/>
      </c>
      <c r="L3152" s="136" t="str">
        <f ca="1">IF($Q3154&lt;&gt;"",IF(AND($L3154&lt;&gt;"",$L3156&lt;&gt;""), IF(AND(AND($L3154&gt;-1,$L3156&gt;-1),OR($L3154&gt;10,$L3156&gt;10),ABS($L3154-$L3156)&gt;1,IF(OR($L3154&gt;11,$L3156&gt;11),ABS($L3154-$L3156)=2,TRUE),$L3154=INT($L3154),$L3156=INT($L3156)),"","Error"),""),"")</f>
        <v/>
      </c>
      <c r="Q3152" s="7"/>
      <c r="R3152" s="114"/>
      <c r="S3152" s="115"/>
      <c r="T3152" s="115"/>
      <c r="U3152" s="115"/>
      <c r="V3152" s="115"/>
      <c r="W3152" s="115"/>
      <c r="X3152" s="115"/>
      <c r="Y3152" s="114"/>
      <c r="Z3152" s="114"/>
      <c r="AA3152" s="114"/>
      <c r="AB3152" s="114"/>
      <c r="AC3152" s="114"/>
      <c r="AD3152" s="114"/>
      <c r="AE3152" s="114"/>
      <c r="AF3152" s="114"/>
    </row>
    <row r="3153" spans="1:32" ht="12.75" customHeight="1">
      <c r="A3153" s="5" t="s">
        <v>1228</v>
      </c>
      <c r="B3153" s="290" t="s">
        <v>1126</v>
      </c>
      <c r="C3153" s="291"/>
      <c r="D3153" s="291"/>
      <c r="E3153" s="291"/>
      <c r="F3153" s="291"/>
      <c r="G3153" s="292"/>
      <c r="H3153" s="5">
        <v>1</v>
      </c>
      <c r="I3153" s="5">
        <v>2</v>
      </c>
      <c r="J3153" s="5">
        <v>3</v>
      </c>
      <c r="K3153" s="5">
        <v>4</v>
      </c>
      <c r="L3153" s="5">
        <v>5</v>
      </c>
      <c r="M3153" s="271"/>
      <c r="N3153" s="272"/>
      <c r="O3153" s="272"/>
      <c r="P3153" s="273"/>
      <c r="Q3153" s="8"/>
      <c r="S3153" s="24"/>
      <c r="T3153" s="26"/>
    </row>
    <row r="3154" spans="1:32" ht="12.75" customHeight="1">
      <c r="A3154" s="300" t="str">
        <f>B3120</f>
        <v>G</v>
      </c>
      <c r="B3154" s="311" t="str">
        <f ca="1">IF($B3126&lt;&gt;"",$B3126,"")</f>
        <v/>
      </c>
      <c r="C3154" s="312"/>
      <c r="D3154" s="312"/>
      <c r="E3154" s="312"/>
      <c r="F3154" s="312"/>
      <c r="G3154" s="313"/>
      <c r="H3154" s="265"/>
      <c r="I3154" s="265"/>
      <c r="J3154" s="265"/>
      <c r="K3154" s="265"/>
      <c r="L3154" s="265" t="str">
        <f ca="1">IF($B3147&lt;&gt;"",IF(AND($B3147="Missing Player",$G3158=2,$J3158=2),0,IF(AND($B3149="Missing Player",$G3158=2,$J3158=2),11,"")),"")</f>
        <v/>
      </c>
      <c r="M3154" s="262" t="str">
        <f ca="1">IF(OR(AND($B3154&lt;&gt;"",$B3155&lt;&gt;"",$B3154=$B3155),AND($B3156&lt;&gt;"",$B3157&lt;&gt;"",$B3156=$B3157)),"Invalid Partner","")</f>
        <v/>
      </c>
      <c r="N3154" s="263"/>
      <c r="O3154" s="263"/>
      <c r="P3154" s="264"/>
      <c r="Q3154" s="138" t="str">
        <f ca="1">IF(L3154=L3156,IF(K3154=K3156,IF(J3154&lt;&gt;"",IF(J3154&gt;J3156,"W","L"),""),IF(K3154&gt;K3156,"W","L")),IF(L3154&gt;L3156,"W","L"))</f>
        <v/>
      </c>
      <c r="S3154" s="24"/>
      <c r="T3154" s="26"/>
    </row>
    <row r="3155" spans="1:32" ht="12.75" customHeight="1">
      <c r="A3155" s="324"/>
      <c r="B3155" s="308" t="str">
        <f ca="1">IF($B3147="Missing Player",$B3147,"")</f>
        <v/>
      </c>
      <c r="C3155" s="309"/>
      <c r="D3155" s="309"/>
      <c r="E3155" s="309"/>
      <c r="F3155" s="309"/>
      <c r="G3155" s="310"/>
      <c r="H3155" s="270"/>
      <c r="I3155" s="270"/>
      <c r="J3155" s="270"/>
      <c r="K3155" s="270"/>
      <c r="L3155" s="270"/>
      <c r="M3155" s="262"/>
      <c r="N3155" s="263"/>
      <c r="O3155" s="263"/>
      <c r="P3155" s="264"/>
      <c r="Q3155" s="139" t="str">
        <f ca="1">IF($Q3154&lt;&gt;"",IF($B3157&lt;&gt;"Missing Player",IF($Q3154="W",IF(SUM(IF($H3154&gt;$H3156,1,0),IF($I3154&gt;$I3156,1,0),IF($J3154&gt;$J3156,1,0),IF($K3154&gt;$K3156,1,0),IF($L3154&gt;$L3156,1,0))&lt;&gt;3,"Error",""),""),""),"")</f>
        <v/>
      </c>
      <c r="R3155" s="328" t="str">
        <f>$A3121</f>
        <v/>
      </c>
      <c r="S3155" s="328"/>
      <c r="T3155" s="328"/>
      <c r="U3155" s="328"/>
      <c r="V3155" s="328"/>
      <c r="W3155" s="328"/>
      <c r="X3155" s="256" t="str">
        <f>CONCATENATE("(",$B3120," vs ",$K3120,")")</f>
        <v>(G vs L)</v>
      </c>
      <c r="Y3155" s="256"/>
      <c r="Z3155" s="328" t="str">
        <f>$J3121</f>
        <v/>
      </c>
      <c r="AA3155" s="328"/>
      <c r="AB3155" s="328"/>
      <c r="AC3155" s="328"/>
      <c r="AD3155" s="328"/>
      <c r="AE3155" s="328"/>
      <c r="AF3155" s="43"/>
    </row>
    <row r="3156" spans="1:32" ht="12.75" customHeight="1">
      <c r="A3156" s="325" t="str">
        <f>K3120</f>
        <v>L</v>
      </c>
      <c r="B3156" s="311" t="str">
        <f ca="1">IF($B3128&lt;&gt;"",$B3128,"")</f>
        <v/>
      </c>
      <c r="C3156" s="312"/>
      <c r="D3156" s="312"/>
      <c r="E3156" s="312"/>
      <c r="F3156" s="312"/>
      <c r="G3156" s="313"/>
      <c r="H3156" s="265"/>
      <c r="I3156" s="265"/>
      <c r="J3156" s="265"/>
      <c r="K3156" s="265"/>
      <c r="L3156" s="265" t="str">
        <f ca="1">IF($B3149&lt;&gt;"",IF(AND($B3149="Missing Player",$G3158=2,$J3158=2),0,IF(AND($B3147="Missing Player",$G3158=2,$J3158=2),11,"")),"")</f>
        <v/>
      </c>
      <c r="M3156" s="267" t="s">
        <v>1237</v>
      </c>
      <c r="N3156" s="268"/>
      <c r="O3156" s="268"/>
      <c r="P3156" s="269"/>
      <c r="Q3156" s="138" t="str">
        <f ca="1">IF(Q3154&lt;&gt;"",IF(Q3154="W","L","W"),"")</f>
        <v/>
      </c>
      <c r="R3156" s="43"/>
      <c r="S3156" s="43"/>
      <c r="T3156" s="43"/>
      <c r="U3156" s="43"/>
      <c r="V3156" s="43"/>
      <c r="W3156" s="43"/>
      <c r="X3156" s="43"/>
      <c r="Y3156" s="43"/>
      <c r="Z3156" s="43"/>
      <c r="AA3156" s="43"/>
      <c r="AB3156" s="43"/>
      <c r="AC3156" s="43"/>
      <c r="AD3156" s="43"/>
      <c r="AE3156" s="43"/>
      <c r="AF3156" s="43"/>
    </row>
    <row r="3157" spans="1:32" ht="12.75" customHeight="1">
      <c r="A3157" s="324"/>
      <c r="B3157" s="308" t="str">
        <f ca="1">IF($B3149="Missing Player",$B3149,"")</f>
        <v/>
      </c>
      <c r="C3157" s="309"/>
      <c r="D3157" s="309"/>
      <c r="E3157" s="309"/>
      <c r="F3157" s="309"/>
      <c r="G3157" s="310"/>
      <c r="H3157" s="270"/>
      <c r="I3157" s="270"/>
      <c r="J3157" s="266"/>
      <c r="K3157" s="266"/>
      <c r="L3157" s="266"/>
      <c r="M3157" s="267"/>
      <c r="N3157" s="268"/>
      <c r="O3157" s="268"/>
      <c r="P3157" s="269"/>
      <c r="Q3157" s="139" t="str">
        <f ca="1">IF($Q3156&lt;&gt;"",IF($B3155&lt;&gt;"Missing Player",IF($Q3156="W",IF(SUM(IF($H3156&gt;$H3154,1,0),IF($I3156&gt;$I3154,1,0),IF($J3156&gt;$J3154,1,0),IF($K3156&gt;$K3154,1,0),IF($L3156&gt;$L3154,1,0))&lt;&gt;3,"Error",""),""),""),"")</f>
        <v/>
      </c>
      <c r="R3157" s="43" t="str">
        <f>A3145</f>
        <v>4th Singles</v>
      </c>
      <c r="S3157" s="43"/>
      <c r="T3157" s="43"/>
      <c r="U3157" s="43"/>
      <c r="V3157" s="43"/>
      <c r="W3157" s="43"/>
      <c r="X3157" s="43"/>
      <c r="Y3157" s="43"/>
      <c r="Z3157" s="43"/>
      <c r="AA3157" s="43"/>
      <c r="AB3157" s="43"/>
      <c r="AC3157" s="43"/>
      <c r="AD3157" s="43"/>
      <c r="AE3157" s="43"/>
      <c r="AF3157" s="43"/>
    </row>
    <row r="3158" spans="1:32" ht="12.75" customHeight="1">
      <c r="G3158" s="66">
        <f ca="1">COUNTIF($Q3126:$Q3126,"W")+COUNTIF($Q3133:$Q3133,"W")+COUNTIF($Q3140:$Q3140,"W")+COUNTIF($Q3147:$Q3147,"W")</f>
        <v>0</v>
      </c>
      <c r="J3158" s="66">
        <f ca="1">COUNTIF($Q3128:$Q3128,"W")+COUNTIF($Q3135:$Q3135,"W")+COUNTIF($Q3142:$Q3142,"W")+COUNTIF($Q3149:$Q3149,"W")</f>
        <v>0</v>
      </c>
      <c r="R3158" s="60" t="s">
        <v>1228</v>
      </c>
      <c r="S3158" s="339" t="s">
        <v>1126</v>
      </c>
      <c r="T3158" s="340"/>
      <c r="U3158" s="340"/>
      <c r="V3158" s="340"/>
      <c r="W3158" s="340"/>
      <c r="X3158" s="341"/>
      <c r="Y3158" s="60">
        <v>1</v>
      </c>
      <c r="Z3158" s="60">
        <v>2</v>
      </c>
      <c r="AA3158" s="60">
        <v>3</v>
      </c>
      <c r="AB3158" s="60">
        <v>4</v>
      </c>
      <c r="AC3158" s="60">
        <v>5</v>
      </c>
      <c r="AD3158" s="342"/>
      <c r="AE3158" s="343"/>
      <c r="AF3158" s="344"/>
    </row>
    <row r="3159" spans="1:32" ht="12.75" customHeight="1" thickBot="1">
      <c r="F3159" s="246" t="s">
        <v>1238</v>
      </c>
      <c r="G3159" s="246"/>
      <c r="H3159" s="246"/>
      <c r="I3159" s="246"/>
      <c r="J3159" s="246"/>
      <c r="K3159" s="246"/>
      <c r="R3159" s="300" t="str">
        <f>B3120</f>
        <v>G</v>
      </c>
      <c r="S3159" s="331" t="str">
        <f ca="1">IF($B3147&lt;&gt;"",$B3147,"")</f>
        <v/>
      </c>
      <c r="T3159" s="353"/>
      <c r="U3159" s="353"/>
      <c r="V3159" s="353"/>
      <c r="W3159" s="353"/>
      <c r="X3159" s="354"/>
      <c r="Y3159" s="329"/>
      <c r="Z3159" s="329"/>
      <c r="AA3159" s="351"/>
      <c r="AB3159" s="351"/>
      <c r="AC3159" s="351"/>
      <c r="AD3159" s="345"/>
      <c r="AE3159" s="346"/>
      <c r="AF3159" s="347"/>
    </row>
    <row r="3160" spans="1:32" ht="12.75" customHeight="1">
      <c r="A3160" s="22"/>
      <c r="B3160" s="22"/>
      <c r="C3160" s="22"/>
      <c r="D3160" s="22"/>
      <c r="E3160" s="22"/>
      <c r="G3160" s="304" t="str">
        <f>B3120</f>
        <v>G</v>
      </c>
      <c r="H3160" s="305"/>
      <c r="I3160" s="302" t="str">
        <f>K3120</f>
        <v>L</v>
      </c>
      <c r="J3160" s="303"/>
      <c r="L3160" s="22"/>
      <c r="M3160" s="22"/>
      <c r="N3160" s="22"/>
      <c r="O3160" s="22"/>
      <c r="P3160" s="22"/>
      <c r="R3160" s="301"/>
      <c r="S3160" s="355"/>
      <c r="T3160" s="356"/>
      <c r="U3160" s="356"/>
      <c r="V3160" s="356"/>
      <c r="W3160" s="356"/>
      <c r="X3160" s="357"/>
      <c r="Y3160" s="338"/>
      <c r="Z3160" s="338"/>
      <c r="AA3160" s="352"/>
      <c r="AB3160" s="352"/>
      <c r="AC3160" s="352"/>
      <c r="AD3160" s="348"/>
      <c r="AE3160" s="349"/>
      <c r="AF3160" s="350"/>
    </row>
    <row r="3161" spans="1:32" ht="12.75" customHeight="1" thickBot="1">
      <c r="A3161" s="2" t="s">
        <v>1228</v>
      </c>
      <c r="B3161" s="53" t="str">
        <f>B3120</f>
        <v>G</v>
      </c>
      <c r="C3161" s="3" t="s">
        <v>1226</v>
      </c>
      <c r="F3161" s="66" t="str">
        <f>CONCATENATE($B3120,"-",$K3120)</f>
        <v>G-L</v>
      </c>
      <c r="G3161" s="320" t="str">
        <f ca="1">IF(OR(Q3126&lt;&gt;"",Q3133&lt;&gt;"",Q3140&lt;&gt;"",Q3147&lt;&gt;"",Q3154&lt;&gt;""),COUNTIF(Q3126:Q3126,"W")+COUNTIF(Q3133:Q3133,"W")+COUNTIF(Q3140:Q3140,"W")+COUNTIF(Q3147:Q3147,"W")+COUNTIF(Q3154:Q3154,"W"),"")</f>
        <v/>
      </c>
      <c r="H3161" s="321"/>
      <c r="I3161" s="322" t="str">
        <f ca="1">IF(OR(Q3128&lt;&gt;"",Q3135&lt;&gt;"",Q3142&lt;&gt;"",Q3149&lt;&gt;"",Q3156&lt;&gt;""),COUNTIF(Q3128:Q3128,"W")+COUNTIF(Q3135:Q3135,"W")+COUNTIF(Q3142:Q3142,"W")+COUNTIF(Q3149:Q3149,"W")+COUNTIF(Q3156:Q3156,"W"),"")</f>
        <v/>
      </c>
      <c r="J3161" s="323"/>
      <c r="L3161" s="2" t="s">
        <v>1228</v>
      </c>
      <c r="M3161" s="53" t="str">
        <f>K3120</f>
        <v>L</v>
      </c>
      <c r="N3161" s="3" t="s">
        <v>1226</v>
      </c>
      <c r="R3161" s="300" t="str">
        <f>K3120</f>
        <v>L</v>
      </c>
      <c r="S3161" s="331" t="str">
        <f ca="1">IF($B3149&lt;&gt;"",$B3149,"")</f>
        <v/>
      </c>
      <c r="T3161" s="332"/>
      <c r="U3161" s="332"/>
      <c r="V3161" s="332"/>
      <c r="W3161" s="332"/>
      <c r="X3161" s="333"/>
      <c r="Y3161" s="329"/>
      <c r="Z3161" s="329"/>
      <c r="AA3161" s="351"/>
      <c r="AB3161" s="351"/>
      <c r="AC3161" s="351"/>
      <c r="AD3161" s="363" t="s">
        <v>1237</v>
      </c>
      <c r="AE3161" s="358"/>
      <c r="AF3161" s="359"/>
    </row>
    <row r="3162" spans="1:32" ht="12.75" customHeight="1">
      <c r="F3162" s="25" t="s">
        <v>3996</v>
      </c>
      <c r="G3162" s="23"/>
      <c r="H3162" s="23"/>
      <c r="I3162" s="23"/>
      <c r="J3162" s="23"/>
      <c r="K3162" s="24"/>
      <c r="R3162" s="330"/>
      <c r="S3162" s="334"/>
      <c r="T3162" s="335"/>
      <c r="U3162" s="335"/>
      <c r="V3162" s="335"/>
      <c r="W3162" s="335"/>
      <c r="X3162" s="336"/>
      <c r="Y3162" s="330"/>
      <c r="Z3162" s="330"/>
      <c r="AA3162" s="330"/>
      <c r="AB3162" s="330"/>
      <c r="AC3162" s="330"/>
      <c r="AD3162" s="360"/>
      <c r="AE3162" s="361"/>
      <c r="AF3162" s="362"/>
    </row>
    <row r="3163" spans="1:32" ht="12.75" customHeight="1">
      <c r="R3163" s="1"/>
      <c r="S3163" s="110"/>
      <c r="T3163" s="110"/>
      <c r="U3163" s="110"/>
      <c r="V3163" s="110"/>
      <c r="W3163" s="110"/>
      <c r="X3163" s="111"/>
      <c r="Y3163" s="111"/>
      <c r="Z3163" s="111"/>
      <c r="AA3163" s="111"/>
    </row>
    <row r="3164" spans="1:32" ht="12.75" customHeight="1">
      <c r="F3164" s="246" t="s">
        <v>4929</v>
      </c>
      <c r="G3164" s="246"/>
      <c r="H3164" s="246"/>
      <c r="I3164" s="246"/>
      <c r="R3164" s="1"/>
      <c r="S3164" s="110"/>
      <c r="T3164" s="110"/>
      <c r="U3164" s="110"/>
      <c r="V3164" s="110"/>
      <c r="W3164" s="110"/>
      <c r="X3164" s="111"/>
      <c r="Y3164" s="111"/>
      <c r="Z3164" s="111"/>
      <c r="AA3164" s="111"/>
    </row>
    <row r="3165" spans="1:32" ht="12.75" customHeight="1">
      <c r="F3165" s="246" t="s">
        <v>4930</v>
      </c>
      <c r="G3165" s="246"/>
      <c r="H3165" s="246"/>
      <c r="I3165" s="246"/>
      <c r="R3165" s="1"/>
      <c r="S3165" s="110"/>
      <c r="T3165" s="110"/>
      <c r="U3165" s="110"/>
      <c r="V3165" s="110"/>
      <c r="W3165" s="110"/>
      <c r="X3165" s="111"/>
      <c r="Y3165" s="111"/>
      <c r="Z3165" s="111"/>
      <c r="AA3165" s="111"/>
    </row>
    <row r="3166" spans="1:32" ht="12.75" customHeight="1">
      <c r="K3166" s="281" t="s">
        <v>1244</v>
      </c>
      <c r="L3166" s="281"/>
      <c r="M3166" s="281"/>
      <c r="N3166" s="281"/>
      <c r="O3166" s="281"/>
      <c r="P3166" s="281"/>
      <c r="R3166" s="1"/>
      <c r="S3166" s="110"/>
      <c r="T3166" s="110"/>
      <c r="U3166" s="110"/>
      <c r="V3166" s="110"/>
      <c r="W3166" s="110"/>
      <c r="X3166" s="111"/>
      <c r="Y3166" s="111"/>
      <c r="Z3166" s="111"/>
      <c r="AA3166" s="111"/>
    </row>
    <row r="3167" spans="1:32" ht="12.75" customHeight="1">
      <c r="A3167" s="12" t="s">
        <v>1229</v>
      </c>
      <c r="B3167" s="11"/>
      <c r="C3167" s="11"/>
      <c r="D3167" s="11" t="str">
        <f>Draw!$B$1</f>
        <v>Enter Division Name</v>
      </c>
      <c r="E3167" s="11"/>
      <c r="F3167" s="7"/>
      <c r="G3167" s="6"/>
      <c r="H3167" s="7"/>
      <c r="I3167" s="11"/>
      <c r="J3167" s="11"/>
      <c r="K3167" s="11"/>
      <c r="L3167" s="11"/>
      <c r="M3167" s="281"/>
      <c r="N3167" s="281"/>
      <c r="O3167" s="281"/>
      <c r="P3167" s="281"/>
      <c r="R3167" s="1"/>
      <c r="S3167" s="110"/>
      <c r="T3167" s="110"/>
      <c r="U3167" s="110"/>
      <c r="V3167" s="110"/>
      <c r="W3167" s="110"/>
      <c r="X3167" s="111"/>
      <c r="Y3167" s="111"/>
      <c r="Z3167" s="111"/>
      <c r="AA3167" s="111"/>
    </row>
    <row r="3168" spans="1:32" ht="12.75" customHeight="1">
      <c r="A3168" s="2" t="s">
        <v>1230</v>
      </c>
      <c r="D3168" s="43" t="str">
        <f>Draw!$D$1</f>
        <v>Enter Hosting Location (City, ST)</v>
      </c>
      <c r="J3168" s="43" t="str">
        <f ca="1">$J$6</f>
        <v>[NCTTA Teams Template (v2.06).xlsx]</v>
      </c>
      <c r="R3168" s="1"/>
      <c r="S3168" s="110"/>
      <c r="T3168" s="110"/>
      <c r="U3168" s="110"/>
      <c r="V3168" s="110"/>
      <c r="W3168" s="110"/>
      <c r="X3168" s="111"/>
      <c r="Y3168" s="111"/>
      <c r="Z3168" s="111"/>
      <c r="AA3168" s="111"/>
    </row>
    <row r="3169" spans="1:32" ht="12.75" customHeight="1">
      <c r="A3169" s="2" t="s">
        <v>1231</v>
      </c>
      <c r="D3169" s="337" t="str">
        <f>Draw!$P$1</f>
        <v>Enter Date</v>
      </c>
      <c r="E3169" s="337"/>
      <c r="F3169" s="337"/>
      <c r="G3169" s="337"/>
      <c r="J3169" s="280" t="str">
        <f>CHOOSE(Draw!$T$1,"Round 11, Match 3","","","","","","","","","","")</f>
        <v/>
      </c>
      <c r="K3169" s="280"/>
      <c r="L3169" s="280"/>
      <c r="M3169" s="276" t="str">
        <f>IF(AND($J3169&lt;&gt;"",Draw!$AC$10&lt;&gt;"",Draw!$AC$13&lt;&gt;""),Draw!$AC$10+TIME(0,VALUE(MID($J3169,7,FIND(",",$J3169)-FIND(" ",$J3169)-1)-1)*Draw!$AC$13,0),"")</f>
        <v/>
      </c>
      <c r="N3169" s="276"/>
      <c r="O3169" s="157" t="str">
        <f>$F3212</f>
        <v>H-I</v>
      </c>
      <c r="R3169" s="1"/>
      <c r="S3169" s="110"/>
      <c r="T3169" s="110"/>
      <c r="U3169" s="110"/>
      <c r="V3169" s="110"/>
      <c r="W3169" s="110"/>
      <c r="X3169" s="111"/>
      <c r="Y3169" s="111"/>
      <c r="Z3169" s="111"/>
      <c r="AA3169" s="111"/>
    </row>
    <row r="3170" spans="1:32" ht="12.75" customHeight="1">
      <c r="A3170" s="14"/>
      <c r="B3170" s="15"/>
      <c r="C3170" s="15"/>
      <c r="D3170" s="15"/>
      <c r="E3170" s="15"/>
      <c r="F3170" s="14"/>
      <c r="G3170" s="14"/>
      <c r="H3170" s="16"/>
      <c r="I3170" s="14"/>
      <c r="J3170" s="15"/>
      <c r="K3170" s="15"/>
      <c r="L3170" s="15"/>
      <c r="M3170" s="15"/>
      <c r="N3170" s="15"/>
      <c r="O3170" s="364" t="str">
        <f>IF(OR(AND(VLOOKUP($B3171,$AM$1:$AX$12,12,FALSE)="C",VLOOKUP($K3171,$AM$1:$AX$12,12,FALSE)="C"),AND(VLOOKUP($B3171,$AM$1:$AX$12,12,FALSE)="W",VLOOKUP($K3171,$AM$1:$AX$12,12,FALSE)="W")),"Official",IF(AND($A3172="",$J3172=""),"","Scrimmage"))</f>
        <v/>
      </c>
      <c r="P3170" s="364"/>
      <c r="R3170" s="1"/>
      <c r="S3170" s="110"/>
      <c r="T3170" s="110"/>
      <c r="U3170" s="110"/>
      <c r="V3170" s="110"/>
      <c r="W3170" s="110"/>
      <c r="X3170" s="111"/>
      <c r="Y3170" s="111"/>
      <c r="Z3170" s="111"/>
      <c r="AA3170" s="111"/>
    </row>
    <row r="3171" spans="1:32" ht="12.75" customHeight="1">
      <c r="A3171" s="17" t="s">
        <v>1228</v>
      </c>
      <c r="B3171" s="119" t="str">
        <f>CHOOSE(Draw!$T$1,"F","F","H","H","I","I","I","I","I","I","H")</f>
        <v>H</v>
      </c>
      <c r="C3171" s="135">
        <f>VLOOKUP($B3171,$AM$1:$AN$12,2)</f>
        <v>8</v>
      </c>
      <c r="D3171" s="13"/>
      <c r="E3171" s="13"/>
      <c r="F3171" s="10"/>
      <c r="H3171" s="19" t="s">
        <v>1232</v>
      </c>
      <c r="J3171" s="17" t="s">
        <v>1228</v>
      </c>
      <c r="K3171" s="119" t="str">
        <f>CHOOSE(Draw!$T$1,"J","I","I","L","L","L","L","L","L","L","L")</f>
        <v>I</v>
      </c>
      <c r="L3171" s="135">
        <f>VLOOKUP($K3171,$AM$1:$AN$12,2)</f>
        <v>9</v>
      </c>
      <c r="M3171" s="13"/>
      <c r="N3171" s="13"/>
      <c r="O3171" s="18"/>
      <c r="P3171" s="274"/>
      <c r="Q3171" s="275"/>
      <c r="R3171" s="1"/>
      <c r="S3171" s="110"/>
      <c r="T3171" s="110"/>
      <c r="U3171" s="110"/>
      <c r="V3171" s="110"/>
      <c r="W3171" s="110"/>
      <c r="X3171" s="111"/>
      <c r="Y3171" s="111"/>
      <c r="Z3171" s="111"/>
      <c r="AA3171" s="111"/>
    </row>
    <row r="3172" spans="1:32" ht="12.75" customHeight="1">
      <c r="A3172" s="277" t="str">
        <f>IF(VLOOKUP($B3171,Draw!$A$4:$B$27,2)&lt;&gt;0,VLOOKUP($B3171,Draw!$A$4:$B$27,2),"")</f>
        <v/>
      </c>
      <c r="B3172" s="278"/>
      <c r="C3172" s="278"/>
      <c r="D3172" s="278"/>
      <c r="E3172" s="278"/>
      <c r="F3172" s="279"/>
      <c r="G3172" s="306" t="s">
        <v>4214</v>
      </c>
      <c r="H3172" s="289"/>
      <c r="I3172" s="307"/>
      <c r="J3172" s="277" t="str">
        <f>IF(VLOOKUP($K3171,Draw!$A$4:$B$27,2)&lt;&gt;0,VLOOKUP($K3171,Draw!$A$4:$B$27,2),"")</f>
        <v/>
      </c>
      <c r="K3172" s="278"/>
      <c r="L3172" s="278"/>
      <c r="M3172" s="278"/>
      <c r="N3172" s="278"/>
      <c r="O3172" s="279"/>
      <c r="P3172" s="15"/>
      <c r="R3172" s="1"/>
      <c r="S3172" s="110"/>
      <c r="T3172" s="110"/>
      <c r="U3172" s="110"/>
      <c r="V3172" s="110"/>
      <c r="W3172" s="110"/>
      <c r="X3172" s="111"/>
      <c r="Y3172" s="111"/>
      <c r="Z3172" s="111"/>
      <c r="AA3172" s="111"/>
    </row>
    <row r="3173" spans="1:32" ht="12.75" customHeight="1">
      <c r="A3173" s="14"/>
      <c r="B3173" s="15"/>
      <c r="C3173" s="15"/>
      <c r="D3173" s="15"/>
      <c r="E3173" s="15"/>
      <c r="F3173" s="14"/>
      <c r="G3173" s="288" t="str">
        <f>"Page "&amp;VALUE(RIGHT($G3172,LEN($G3172)-SEARCH("-",$G3172)))/2</f>
        <v>Page 63</v>
      </c>
      <c r="H3173" s="289"/>
      <c r="I3173" s="289"/>
      <c r="J3173" s="15"/>
      <c r="K3173" s="15"/>
      <c r="L3173" s="15"/>
      <c r="M3173" s="15"/>
      <c r="N3173" s="15"/>
      <c r="O3173" s="15"/>
      <c r="P3173" s="15"/>
      <c r="R3173" s="1"/>
      <c r="S3173" s="110"/>
      <c r="T3173" s="110"/>
      <c r="U3173" s="110"/>
      <c r="V3173" s="110"/>
      <c r="W3173" s="110"/>
      <c r="X3173" s="111"/>
      <c r="Y3173" s="111"/>
      <c r="Z3173" s="111"/>
      <c r="AA3173" s="111"/>
      <c r="AF3173" s="27"/>
    </row>
    <row r="3174" spans="1:32" ht="12.75" customHeight="1">
      <c r="A3174" s="327" t="s">
        <v>1245</v>
      </c>
      <c r="B3174" s="327"/>
      <c r="C3174" s="327"/>
      <c r="D3174" s="327"/>
      <c r="E3174" s="327"/>
      <c r="F3174" s="327"/>
      <c r="G3174" s="327"/>
      <c r="H3174" s="327"/>
      <c r="I3174" s="327"/>
      <c r="J3174" s="327"/>
      <c r="K3174" s="327"/>
      <c r="L3174" s="327"/>
      <c r="M3174" s="327"/>
      <c r="N3174" s="327"/>
      <c r="O3174" s="327"/>
      <c r="P3174" s="327"/>
      <c r="Q3174" s="7"/>
      <c r="R3174" s="1"/>
      <c r="S3174" s="110"/>
      <c r="T3174" s="110"/>
      <c r="U3174" s="110"/>
      <c r="V3174" s="110"/>
      <c r="W3174" s="110"/>
      <c r="X3174" s="111"/>
      <c r="Y3174" s="111"/>
      <c r="Z3174" s="111"/>
      <c r="AA3174" s="111"/>
      <c r="AF3174" s="20"/>
    </row>
    <row r="3175" spans="1:32" ht="12.75" customHeight="1">
      <c r="A3175" s="21" t="s">
        <v>1233</v>
      </c>
      <c r="H3175" s="136" t="str">
        <f>IF($Q3177&lt;&gt;"",IF(AND(AND($H3177&gt;-1,$H3179&gt;-1),OR($H3177&gt;10,$H3179&gt;10),ABS($H3177-$H3179)&gt;1,IF(OR($H3177&gt;11,$H3179&gt;11),ABS($H3177-$H3179)=2,TRUE),$H3177=INT($H3177),$H3179=INT($H3179)),"","Error"),"")</f>
        <v/>
      </c>
      <c r="I3175" s="136" t="str">
        <f>IF($Q3177&lt;&gt;"",IF(AND(AND($I3177&gt;-1,$I3179&gt;-1),OR($I3177&gt;10,$I3179&gt;10),ABS($I3177-$I3179)&gt;1,IF(OR($I3177&gt;11,$I3179&gt;11),ABS($I3177-$I3179)=2,TRUE),$I3177=INT($I3177),$I3179=INT($I3179)),"","Error"),"")</f>
        <v/>
      </c>
      <c r="J3175" s="136" t="str">
        <f>IF($Q3177&lt;&gt;"",IF(AND(AND($J3177&gt;-1,$J3179&gt;-1),OR($J3177&gt;10,$J3179&gt;10),ABS($J3177-$J3179)&gt;1,IF(OR($J3177&gt;11,$J3179&gt;11),ABS($J3177-$J3179)=2,TRUE),$J3177=INT($J3177),$J3179=INT($J3179)),"","Error"),"")</f>
        <v/>
      </c>
      <c r="K3175" s="136" t="str">
        <f>IF($Q3177&lt;&gt;"",IF(AND($K3177&lt;&gt;"",$K3179&lt;&gt;""), IF(AND(AND($K3177&gt;-1,$K3179&gt;-1),OR($K3177&gt;10,$K3179&gt;10),ABS($K3177-$K3179)&gt;1,IF(OR($K3177&gt;11,$K3179&gt;11),ABS($K3177-$K3179)=2,TRUE),$K3177=INT($K3177),$K3179=INT($K3179)),"","Error"),""),"")</f>
        <v/>
      </c>
      <c r="L3175" s="136" t="str">
        <f>IF($Q3177&lt;&gt;"",IF(AND($L3177&lt;&gt;"",$L3179&lt;&gt;""), IF(AND(AND($L3177&gt;-1,$L3179&gt;-1),OR($L3177&gt;10,$L3179&gt;10),ABS($L3177-$L3179)&gt;1,IF(OR($L3177&gt;11,$L3179&gt;11),ABS($L3177-$L3179)=2,TRUE),$L3177=INT($L3177),$L3179=INT($L3179)),"","Error"),""),"")</f>
        <v/>
      </c>
      <c r="R3175" s="1"/>
      <c r="S3175" s="110"/>
      <c r="T3175" s="110"/>
      <c r="U3175" s="110"/>
      <c r="V3175" s="110"/>
      <c r="W3175" s="110"/>
      <c r="X3175" s="111"/>
      <c r="Y3175" s="111"/>
      <c r="Z3175" s="111"/>
      <c r="AA3175" s="111"/>
    </row>
    <row r="3176" spans="1:32" ht="12.75" customHeight="1">
      <c r="A3176" s="5" t="s">
        <v>1228</v>
      </c>
      <c r="B3176" s="290" t="s">
        <v>1126</v>
      </c>
      <c r="C3176" s="291"/>
      <c r="D3176" s="291"/>
      <c r="E3176" s="291"/>
      <c r="F3176" s="291"/>
      <c r="G3176" s="292"/>
      <c r="H3176" s="5">
        <v>1</v>
      </c>
      <c r="I3176" s="5">
        <v>2</v>
      </c>
      <c r="J3176" s="5">
        <v>3</v>
      </c>
      <c r="K3176" s="5">
        <v>4</v>
      </c>
      <c r="L3176" s="5">
        <v>5</v>
      </c>
      <c r="M3176" s="271"/>
      <c r="N3176" s="272"/>
      <c r="O3176" s="272"/>
      <c r="P3176" s="273"/>
      <c r="R3176" s="1"/>
      <c r="S3176" s="110"/>
      <c r="T3176" s="110"/>
      <c r="U3176" s="110"/>
      <c r="V3176" s="110"/>
      <c r="W3176" s="110"/>
      <c r="X3176" s="111"/>
      <c r="Y3176" s="111"/>
      <c r="Z3176" s="111"/>
      <c r="AA3176" s="111"/>
    </row>
    <row r="3177" spans="1:32" ht="12.75" customHeight="1">
      <c r="A3177" s="300" t="str">
        <f>B3171</f>
        <v>H</v>
      </c>
      <c r="B3177" s="293" t="str">
        <f ca="1">IF(AND(OFFSET($AO$1,$C3171-1,8,1,1),$A3172&lt;&gt;"",$J3172&lt;&gt;""),CHOOSE($C3171,$AO$1,$AO$2,$AO$3,$AO$4,$AO$5,$AO$6,$AO$7,$AO$8,$AO$9,$AO$10,$AO$11,$AO$12),"")</f>
        <v/>
      </c>
      <c r="C3177" s="294"/>
      <c r="D3177" s="294"/>
      <c r="E3177" s="294"/>
      <c r="F3177" s="294"/>
      <c r="G3177" s="294"/>
      <c r="H3177" s="265"/>
      <c r="I3177" s="265"/>
      <c r="J3177" s="265"/>
      <c r="K3177" s="265"/>
      <c r="L3177" s="265"/>
      <c r="M3177" s="297"/>
      <c r="N3177" s="298"/>
      <c r="O3177" s="298"/>
      <c r="P3177" s="299"/>
      <c r="Q3177" s="137" t="str">
        <f>IF($L3177=$L3179,IF($K3177=$K3179,IF($J3177&lt;&gt;"",IF($J3177&gt;$J3179,"W","L"),""),IF($K3177&gt;$K3179,"W","L")),IF($L3177&gt;$L3179,"W","L"))</f>
        <v/>
      </c>
      <c r="R3177" s="1"/>
      <c r="S3177" s="110"/>
      <c r="T3177" s="110"/>
      <c r="U3177" s="110"/>
      <c r="V3177" s="110"/>
      <c r="W3177" s="110"/>
      <c r="X3177" s="111"/>
      <c r="Y3177" s="111"/>
      <c r="Z3177" s="111"/>
      <c r="AA3177" s="111"/>
    </row>
    <row r="3178" spans="1:32" ht="12.75" customHeight="1">
      <c r="A3178" s="301"/>
      <c r="B3178" s="295"/>
      <c r="C3178" s="296"/>
      <c r="D3178" s="296"/>
      <c r="E3178" s="296"/>
      <c r="F3178" s="296"/>
      <c r="G3178" s="296"/>
      <c r="H3178" s="270"/>
      <c r="I3178" s="270"/>
      <c r="J3178" s="270"/>
      <c r="K3178" s="270"/>
      <c r="L3178" s="270"/>
      <c r="M3178" s="297"/>
      <c r="N3178" s="298"/>
      <c r="O3178" s="298"/>
      <c r="P3178" s="299"/>
      <c r="Q3178" s="139" t="str">
        <f>IF($Q3177&lt;&gt;"",IF($Q3177="W",IF(SUM(IF($H3177&gt;$H3179,1,0),IF($I3177&gt;$I3179,1,0),IF($J3177&gt;$J3179,1,0),IF($K3177&gt;$K3179,1,0),IF($L3177&gt;$L3179,1,0))&lt;&gt;3,"Error",""),""),"")</f>
        <v/>
      </c>
      <c r="R3178" s="328" t="str">
        <f>$A3172</f>
        <v/>
      </c>
      <c r="S3178" s="328"/>
      <c r="T3178" s="328"/>
      <c r="U3178" s="328"/>
      <c r="V3178" s="328"/>
      <c r="W3178" s="328"/>
      <c r="X3178" s="256" t="str">
        <f>CONCATENATE("(",$B3171," vs ",$K3171,")")</f>
        <v>(H vs I)</v>
      </c>
      <c r="Y3178" s="256"/>
      <c r="Z3178" s="328" t="str">
        <f>$J3172</f>
        <v/>
      </c>
      <c r="AA3178" s="328"/>
      <c r="AB3178" s="328"/>
      <c r="AC3178" s="328"/>
      <c r="AD3178" s="328"/>
      <c r="AE3178" s="328"/>
      <c r="AF3178" s="43"/>
    </row>
    <row r="3179" spans="1:32" ht="12.75" customHeight="1">
      <c r="A3179" s="300" t="str">
        <f>K3171</f>
        <v>I</v>
      </c>
      <c r="B3179" s="293" t="str">
        <f ca="1">IF(AND(OFFSET($AO$1,$L3171-1,8,1,1),$A3172&lt;&gt;"",$J3172&lt;&gt;""),CHOOSE($L3171,$AO$1,$AO$2,$AO$3,$AO$4,$AO$5,$AO$6,$AO$7,$AO$8,$AO$9,$AO$10,$AO$11,$AO$12),"")</f>
        <v/>
      </c>
      <c r="C3179" s="294"/>
      <c r="D3179" s="294"/>
      <c r="E3179" s="294"/>
      <c r="F3179" s="294"/>
      <c r="G3179" s="294"/>
      <c r="H3179" s="265"/>
      <c r="I3179" s="265"/>
      <c r="J3179" s="265"/>
      <c r="K3179" s="265"/>
      <c r="L3179" s="265"/>
      <c r="M3179" s="267" t="s">
        <v>1237</v>
      </c>
      <c r="N3179" s="268"/>
      <c r="O3179" s="268"/>
      <c r="P3179" s="269"/>
      <c r="Q3179" s="137" t="str">
        <f>IF($Q3177&lt;&gt;"",IF($Q3177="W","L","W"),"")</f>
        <v/>
      </c>
      <c r="R3179" s="43"/>
      <c r="S3179" s="43"/>
      <c r="T3179" s="43"/>
      <c r="U3179" s="43"/>
      <c r="V3179" s="43"/>
      <c r="W3179" s="43"/>
      <c r="X3179" s="43"/>
      <c r="Y3179" s="43"/>
      <c r="Z3179" s="43"/>
      <c r="AA3179" s="43"/>
      <c r="AB3179" s="43"/>
      <c r="AC3179" s="43"/>
      <c r="AD3179" s="43"/>
      <c r="AE3179" s="43"/>
      <c r="AF3179" s="43"/>
    </row>
    <row r="3180" spans="1:32" ht="12.75" customHeight="1">
      <c r="A3180" s="301"/>
      <c r="B3180" s="295"/>
      <c r="C3180" s="296"/>
      <c r="D3180" s="296"/>
      <c r="E3180" s="296"/>
      <c r="F3180" s="296"/>
      <c r="G3180" s="296"/>
      <c r="H3180" s="270"/>
      <c r="I3180" s="270"/>
      <c r="J3180" s="266"/>
      <c r="K3180" s="266"/>
      <c r="L3180" s="266"/>
      <c r="M3180" s="267"/>
      <c r="N3180" s="268"/>
      <c r="O3180" s="268"/>
      <c r="P3180" s="269"/>
      <c r="Q3180" s="139" t="str">
        <f>IF($Q3179&lt;&gt;"",IF($Q3179="W",IF(SUM(IF($H3179&gt;$H3177,1,0),IF($I3179&gt;$I3177,1,0),IF($J3179&gt;$J3177,1,0),IF($K3179&gt;$K3177,1,0),IF($L3179&gt;$L3177,1,0))&lt;&gt;3,"Error",""),""),"")</f>
        <v/>
      </c>
      <c r="R3180" s="43" t="str">
        <f>$A3182</f>
        <v>2nd Singles</v>
      </c>
      <c r="S3180" s="43"/>
      <c r="T3180" s="43"/>
      <c r="U3180" s="43"/>
      <c r="V3180" s="43"/>
      <c r="W3180" s="43"/>
      <c r="X3180" s="43"/>
      <c r="Y3180" s="43"/>
      <c r="Z3180" s="43"/>
      <c r="AA3180" s="43"/>
      <c r="AB3180" s="43"/>
      <c r="AC3180" s="43"/>
      <c r="AD3180" s="43"/>
      <c r="AE3180" s="43"/>
      <c r="AF3180" s="43"/>
    </row>
    <row r="3181" spans="1:32" ht="12.75" customHeight="1">
      <c r="Q3181" s="7"/>
      <c r="R3181" s="60" t="s">
        <v>1228</v>
      </c>
      <c r="S3181" s="339" t="s">
        <v>1126</v>
      </c>
      <c r="T3181" s="340"/>
      <c r="U3181" s="340"/>
      <c r="V3181" s="340"/>
      <c r="W3181" s="340"/>
      <c r="X3181" s="341"/>
      <c r="Y3181" s="60">
        <v>1</v>
      </c>
      <c r="Z3181" s="60">
        <v>2</v>
      </c>
      <c r="AA3181" s="60">
        <v>3</v>
      </c>
      <c r="AB3181" s="60">
        <v>4</v>
      </c>
      <c r="AC3181" s="60">
        <v>5</v>
      </c>
      <c r="AD3181" s="342"/>
      <c r="AE3181" s="343"/>
      <c r="AF3181" s="344"/>
    </row>
    <row r="3182" spans="1:32" ht="12.75" customHeight="1">
      <c r="A3182" s="21" t="s">
        <v>1234</v>
      </c>
      <c r="H3182" s="136" t="str">
        <f>IF($Q3184&lt;&gt;"",IF(AND(AND($H3184&gt;-1,$H3186&gt;-1),OR($H3184&gt;10,$H3186&gt;10),ABS($H3184-$H3186)&gt;1,IF(OR($H3184&gt;11,$H3186&gt;11),ABS($H3184-$H3186)=2,TRUE),$H3184=INT($H3184),$H3186=INT($H3186)),"","Error"),"")</f>
        <v/>
      </c>
      <c r="I3182" s="136" t="str">
        <f>IF($Q3184&lt;&gt;"",IF(AND(AND($I3184&gt;-1,$I3186&gt;-1),OR($I3184&gt;10,$I3186&gt;10),ABS($I3184-$I3186)&gt;1,IF(OR($I3184&gt;11,$I3186&gt;11),ABS($I3184-$I3186)=2,TRUE),$I3184=INT($I3184),$I3186=INT($I3186)),"","Error"),"")</f>
        <v/>
      </c>
      <c r="J3182" s="136" t="str">
        <f>IF($Q3184&lt;&gt;"",IF(AND(AND($J3184&gt;-1,$J3186&gt;-1),OR($J3184&gt;10,$J3186&gt;10),ABS($J3184-$J3186)&gt;1,IF(OR($J3184&gt;11,$J3186&gt;11),ABS($J3184-$J3186)=2,TRUE),$J3184=INT($J3184),$J3186=INT($J3186)),"","Error"),"")</f>
        <v/>
      </c>
      <c r="K3182" s="136" t="str">
        <f>IF($Q3184&lt;&gt;"",IF(AND($K3184&lt;&gt;"",$K3186&lt;&gt;""), IF(AND(AND($K3184&gt;-1,$K3186&gt;-1),OR($K3184&gt;10,$K3186&gt;10),ABS($K3184-$K3186)&gt;1,IF(OR($K3184&gt;11,$K3186&gt;11),ABS($K3184-$K3186)=2,TRUE),$K3184=INT($K3184),$K3186=INT($K3186)),"","Error"),""),"")</f>
        <v/>
      </c>
      <c r="L3182" s="136" t="str">
        <f>IF($Q3184&lt;&gt;"",IF(AND($L3184&lt;&gt;"",$L3186&lt;&gt;""), IF(AND(AND($L3184&gt;-1,$L3186&gt;-1),OR($L3184&gt;10,$L3186&gt;10),ABS($L3184-$L3186)&gt;1,IF(OR($L3184&gt;11,$L3186&gt;11),ABS($L3184-$L3186)=2,TRUE),$L3184=INT($L3184),$L3186=INT($L3186)),"","Error"),""),"")</f>
        <v/>
      </c>
      <c r="Q3182" s="7"/>
      <c r="R3182" s="300" t="str">
        <f>$B3171</f>
        <v>H</v>
      </c>
      <c r="S3182" s="331" t="str">
        <f ca="1">IF($B3184&lt;&gt;"",$B3184,"")</f>
        <v/>
      </c>
      <c r="T3182" s="332"/>
      <c r="U3182" s="332"/>
      <c r="V3182" s="332"/>
      <c r="W3182" s="332"/>
      <c r="X3182" s="333"/>
      <c r="Y3182" s="329"/>
      <c r="Z3182" s="329"/>
      <c r="AA3182" s="329"/>
      <c r="AB3182" s="329"/>
      <c r="AC3182" s="329"/>
      <c r="AD3182" s="345"/>
      <c r="AE3182" s="358"/>
      <c r="AF3182" s="359"/>
    </row>
    <row r="3183" spans="1:32" ht="12.75" customHeight="1">
      <c r="A3183" s="5" t="s">
        <v>1228</v>
      </c>
      <c r="B3183" s="290" t="s">
        <v>1126</v>
      </c>
      <c r="C3183" s="291"/>
      <c r="D3183" s="291"/>
      <c r="E3183" s="291"/>
      <c r="F3183" s="291"/>
      <c r="G3183" s="292"/>
      <c r="H3183" s="5">
        <v>1</v>
      </c>
      <c r="I3183" s="5">
        <v>2</v>
      </c>
      <c r="J3183" s="5">
        <v>3</v>
      </c>
      <c r="K3183" s="5">
        <v>4</v>
      </c>
      <c r="L3183" s="5">
        <v>5</v>
      </c>
      <c r="M3183" s="271"/>
      <c r="N3183" s="272"/>
      <c r="O3183" s="272"/>
      <c r="P3183" s="273"/>
      <c r="Q3183" s="7"/>
      <c r="R3183" s="330"/>
      <c r="S3183" s="334"/>
      <c r="T3183" s="335"/>
      <c r="U3183" s="335"/>
      <c r="V3183" s="335"/>
      <c r="W3183" s="335"/>
      <c r="X3183" s="336"/>
      <c r="Y3183" s="330"/>
      <c r="Z3183" s="330"/>
      <c r="AA3183" s="330"/>
      <c r="AB3183" s="330"/>
      <c r="AC3183" s="330"/>
      <c r="AD3183" s="360"/>
      <c r="AE3183" s="361"/>
      <c r="AF3183" s="362"/>
    </row>
    <row r="3184" spans="1:32" ht="12.75" customHeight="1">
      <c r="A3184" s="300" t="str">
        <f>B3171</f>
        <v>H</v>
      </c>
      <c r="B3184" s="293" t="str">
        <f ca="1">IF(AND(OFFSET($AO$1,$C3171-1,8,1,1),$A3172&lt;&gt;"",$J3172&lt;&gt;""),CHOOSE($C3171,$AP$1,$AP$2,$AP$3,$AP$4,$AP$5,$AP$6,$AP$7,$AP$8,$AP$9,$AP$10,$AP$11,$AP$12),"")</f>
        <v/>
      </c>
      <c r="C3184" s="294"/>
      <c r="D3184" s="294"/>
      <c r="E3184" s="294"/>
      <c r="F3184" s="294"/>
      <c r="G3184" s="294"/>
      <c r="H3184" s="265"/>
      <c r="I3184" s="265"/>
      <c r="J3184" s="265"/>
      <c r="K3184" s="265"/>
      <c r="L3184" s="265"/>
      <c r="M3184" s="262" t="str">
        <f ca="1">IF(OR(AND($B3177&lt;&gt;"",$B3184&lt;&gt;"",$C3202&lt;=$B3202),AND($B3179&lt;&gt;"",$B3186&lt;&gt;"",$G3202&lt;=$F3202)),"Invalid Lineup","")</f>
        <v/>
      </c>
      <c r="N3184" s="263"/>
      <c r="O3184" s="263"/>
      <c r="P3184" s="264"/>
      <c r="Q3184" s="137" t="str">
        <f>IF($L3184=$L3186,IF($K3184=$K3186,IF($J3184&lt;&gt;"",IF($J3184&gt;$J3186,"W","L"),""),IF($K3184&gt;$K3186,"W","L")),IF($L3184&gt;$L3186,"W","L"))</f>
        <v/>
      </c>
      <c r="R3184" s="300" t="str">
        <f>$K3171</f>
        <v>I</v>
      </c>
      <c r="S3184" s="331" t="str">
        <f ca="1">IF($B3186&lt;&gt;"",$B3186,"")</f>
        <v/>
      </c>
      <c r="T3184" s="332"/>
      <c r="U3184" s="332"/>
      <c r="V3184" s="332"/>
      <c r="W3184" s="332"/>
      <c r="X3184" s="333"/>
      <c r="Y3184" s="329"/>
      <c r="Z3184" s="329"/>
      <c r="AA3184" s="329"/>
      <c r="AB3184" s="329"/>
      <c r="AC3184" s="351"/>
      <c r="AD3184" s="363" t="s">
        <v>1237</v>
      </c>
      <c r="AE3184" s="358"/>
      <c r="AF3184" s="359"/>
    </row>
    <row r="3185" spans="1:32" ht="12.75" customHeight="1">
      <c r="A3185" s="301"/>
      <c r="B3185" s="295"/>
      <c r="C3185" s="296"/>
      <c r="D3185" s="296"/>
      <c r="E3185" s="296"/>
      <c r="F3185" s="296"/>
      <c r="G3185" s="296"/>
      <c r="H3185" s="270"/>
      <c r="I3185" s="270"/>
      <c r="J3185" s="270"/>
      <c r="K3185" s="270"/>
      <c r="L3185" s="270"/>
      <c r="M3185" s="262"/>
      <c r="N3185" s="263"/>
      <c r="O3185" s="263"/>
      <c r="P3185" s="264"/>
      <c r="Q3185" s="139" t="str">
        <f>IF($Q3184&lt;&gt;"",IF($Q3184="W",IF(SUM(IF($H3184&gt;$H3186,1,0),IF($I3184&gt;$I3186,1,0),IF($J3184&gt;$J3186,1,0),IF($K3184&gt;$K3186,1,0),IF($L3184&gt;$L3186,1,0))&lt;&gt;3,"Error",""),""),"")</f>
        <v/>
      </c>
      <c r="R3185" s="330"/>
      <c r="S3185" s="334"/>
      <c r="T3185" s="335"/>
      <c r="U3185" s="335"/>
      <c r="V3185" s="335"/>
      <c r="W3185" s="335"/>
      <c r="X3185" s="336"/>
      <c r="Y3185" s="330"/>
      <c r="Z3185" s="330"/>
      <c r="AA3185" s="330"/>
      <c r="AB3185" s="330"/>
      <c r="AC3185" s="330"/>
      <c r="AD3185" s="360"/>
      <c r="AE3185" s="361"/>
      <c r="AF3185" s="362"/>
    </row>
    <row r="3186" spans="1:32" ht="12.75" customHeight="1">
      <c r="A3186" s="300" t="str">
        <f>K3171</f>
        <v>I</v>
      </c>
      <c r="B3186" s="293" t="str">
        <f ca="1">IF(AND(OFFSET($AO$1,$L3171-1,8,1,1),$A3172&lt;&gt;"",$J3172&lt;&gt;""),CHOOSE($L3171,$AP$1,$AP$2,$AP$3,$AP$4,$AP$5,$AP$6,$AP$7,$AP$8,$AP$9,$AP$10,$AP$11,$AP$12),"")</f>
        <v/>
      </c>
      <c r="C3186" s="294"/>
      <c r="D3186" s="294"/>
      <c r="E3186" s="294"/>
      <c r="F3186" s="294"/>
      <c r="G3186" s="294"/>
      <c r="H3186" s="265"/>
      <c r="I3186" s="265"/>
      <c r="J3186" s="265"/>
      <c r="K3186" s="265"/>
      <c r="L3186" s="265"/>
      <c r="M3186" s="267" t="s">
        <v>1237</v>
      </c>
      <c r="N3186" s="268"/>
      <c r="O3186" s="268"/>
      <c r="P3186" s="269"/>
      <c r="Q3186" s="137" t="str">
        <f>IF($Q3184&lt;&gt;"",IF($Q3184="W","L","W"),"")</f>
        <v/>
      </c>
      <c r="R3186" s="20"/>
      <c r="S3186" s="20"/>
      <c r="T3186" s="20"/>
      <c r="U3186" s="20"/>
      <c r="V3186" s="20"/>
      <c r="W3186" s="20"/>
      <c r="X3186" s="26"/>
      <c r="Y3186" s="26"/>
      <c r="Z3186" s="20"/>
      <c r="AA3186" s="20"/>
      <c r="AB3186" s="20"/>
      <c r="AC3186" s="20"/>
      <c r="AD3186" s="20"/>
      <c r="AE3186" s="20"/>
      <c r="AF3186" s="27"/>
    </row>
    <row r="3187" spans="1:32" ht="12.75" customHeight="1">
      <c r="A3187" s="301"/>
      <c r="B3187" s="295"/>
      <c r="C3187" s="296"/>
      <c r="D3187" s="296"/>
      <c r="E3187" s="296"/>
      <c r="F3187" s="296"/>
      <c r="G3187" s="296"/>
      <c r="H3187" s="270"/>
      <c r="I3187" s="270"/>
      <c r="J3187" s="266"/>
      <c r="K3187" s="266"/>
      <c r="L3187" s="266"/>
      <c r="M3187" s="267"/>
      <c r="N3187" s="268"/>
      <c r="O3187" s="268"/>
      <c r="P3187" s="269"/>
      <c r="Q3187" s="139" t="str">
        <f>IF($Q3186&lt;&gt;"",IF($Q3186="W",IF(SUM(IF($H3186&gt;$H3184,1,0),IF($I3186&gt;$I3184,1,0),IF($J3186&gt;$J3184,1,0),IF($K3186&gt;$K3184,1,0),IF($L3186&gt;$L3184,1,0))&lt;&gt;3,"Error",""),""),"")</f>
        <v/>
      </c>
      <c r="R3187" s="20"/>
      <c r="S3187" s="20"/>
      <c r="T3187" s="20"/>
      <c r="U3187" s="20"/>
      <c r="V3187" s="20"/>
      <c r="W3187" s="20"/>
      <c r="X3187" s="26"/>
      <c r="Y3187" s="26"/>
      <c r="Z3187" s="20"/>
      <c r="AA3187" s="20"/>
      <c r="AB3187" s="20"/>
      <c r="AC3187" s="20"/>
      <c r="AD3187" s="20"/>
      <c r="AE3187" s="20"/>
      <c r="AF3187" s="27"/>
    </row>
    <row r="3188" spans="1:32" ht="12.75" customHeight="1">
      <c r="Q3188" s="7"/>
      <c r="R3188" s="20"/>
      <c r="S3188" s="20"/>
      <c r="T3188" s="20"/>
      <c r="U3188" s="20"/>
      <c r="V3188" s="20"/>
      <c r="W3188" s="20"/>
      <c r="X3188" s="26"/>
      <c r="Y3188" s="26"/>
      <c r="Z3188" s="20"/>
      <c r="AA3188" s="20"/>
      <c r="AB3188" s="20"/>
      <c r="AC3188" s="20"/>
      <c r="AD3188" s="20"/>
      <c r="AE3188" s="20"/>
      <c r="AF3188" s="27"/>
    </row>
    <row r="3189" spans="1:32" ht="12.75" customHeight="1">
      <c r="A3189" s="21" t="s">
        <v>1235</v>
      </c>
      <c r="H3189" s="136" t="str">
        <f>IF($Q3191&lt;&gt;"",IF(AND(AND($H3191&gt;-1,$H3193&gt;-1),OR($H3191&gt;10,$H3193&gt;10),ABS($H3191-$H3193)&gt;1,IF(OR($H3191&gt;11,$H3193&gt;11),ABS($H3191-$H3193)=2,TRUE),$H3191=INT($H3191),$H3193=INT($H3193)),"","Error"),"")</f>
        <v/>
      </c>
      <c r="I3189" s="136" t="str">
        <f>IF($Q3191&lt;&gt;"",IF(AND(AND($I3191&gt;-1,$I3193&gt;-1),OR($I3191&gt;10,$I3193&gt;10),ABS($I3191-$I3193)&gt;1,IF(OR($I3191&gt;11,$I3193&gt;11),ABS($I3191-$I3193)=2,TRUE),$I3191=INT($I3191),$I3193=INT($I3193)),"","Error"),"")</f>
        <v/>
      </c>
      <c r="J3189" s="136" t="str">
        <f>IF($Q3191&lt;&gt;"",IF(AND(AND($J3191&gt;-1,$J3193&gt;-1),OR($J3191&gt;10,$J3193&gt;10),ABS($J3191-$J3193)&gt;1,IF(OR($J3191&gt;11,$J3193&gt;11),ABS($J3191-$J3193)=2,TRUE),$J3191=INT($J3191),$J3193=INT($J3193)),"","Error"),"")</f>
        <v/>
      </c>
      <c r="K3189" s="136" t="str">
        <f>IF($Q3191&lt;&gt;"",IF(AND($K3191&lt;&gt;"",$K3193&lt;&gt;""), IF(AND(AND($K3191&gt;-1,$K3193&gt;-1),OR($K3191&gt;10,$K3193&gt;10),ABS($K3191-$K3193)&gt;1,IF(OR($K3191&gt;11,$K3193&gt;11),ABS($K3191-$K3193)=2,TRUE),$K3191=INT($K3191),$K3193=INT($K3193)),"","Error"),""),"")</f>
        <v/>
      </c>
      <c r="L3189" s="136" t="str">
        <f>IF($Q3191&lt;&gt;"",IF(AND($L3191&lt;&gt;"",$L3193&lt;&gt;""), IF(AND(AND($L3191&gt;-1,$L3193&gt;-1),OR($L3191&gt;10,$L3193&gt;10),ABS($L3191-$L3193)&gt;1,IF(OR($L3191&gt;11,$L3193&gt;11),ABS($L3191-$L3193)=2,TRUE),$L3191=INT($L3191),$L3193=INT($L3193)),"","Error"),""),"")</f>
        <v/>
      </c>
      <c r="Q3189" s="7"/>
      <c r="R3189" s="20"/>
      <c r="S3189" s="20"/>
      <c r="T3189" s="20"/>
      <c r="U3189" s="20"/>
      <c r="V3189" s="20"/>
      <c r="W3189" s="20"/>
      <c r="X3189" s="26"/>
      <c r="Y3189" s="26"/>
      <c r="Z3189" s="20"/>
      <c r="AA3189" s="20"/>
      <c r="AB3189" s="20"/>
      <c r="AC3189" s="20"/>
      <c r="AD3189" s="20"/>
      <c r="AE3189" s="20"/>
      <c r="AF3189" s="27"/>
    </row>
    <row r="3190" spans="1:32" ht="12.75" customHeight="1">
      <c r="A3190" s="5" t="s">
        <v>1228</v>
      </c>
      <c r="B3190" s="290" t="s">
        <v>1126</v>
      </c>
      <c r="C3190" s="291"/>
      <c r="D3190" s="291"/>
      <c r="E3190" s="291"/>
      <c r="F3190" s="291"/>
      <c r="G3190" s="292"/>
      <c r="H3190" s="5">
        <v>1</v>
      </c>
      <c r="I3190" s="5">
        <v>2</v>
      </c>
      <c r="J3190" s="5">
        <v>3</v>
      </c>
      <c r="K3190" s="5">
        <v>4</v>
      </c>
      <c r="L3190" s="5">
        <v>5</v>
      </c>
      <c r="M3190" s="271"/>
      <c r="N3190" s="272"/>
      <c r="O3190" s="272"/>
      <c r="P3190" s="273"/>
      <c r="Q3190" s="7"/>
      <c r="R3190" s="20"/>
      <c r="S3190" s="20"/>
      <c r="T3190" s="20"/>
      <c r="U3190" s="20"/>
      <c r="V3190" s="20"/>
      <c r="W3190" s="20"/>
      <c r="X3190" s="26"/>
      <c r="Y3190" s="26"/>
      <c r="Z3190" s="20"/>
      <c r="AA3190" s="20"/>
      <c r="AB3190" s="20"/>
      <c r="AC3190" s="20"/>
      <c r="AD3190" s="20"/>
      <c r="AE3190" s="20"/>
      <c r="AF3190" s="27"/>
    </row>
    <row r="3191" spans="1:32" ht="12.75" customHeight="1">
      <c r="A3191" s="300" t="str">
        <f>B3171</f>
        <v>H</v>
      </c>
      <c r="B3191" s="293" t="str">
        <f ca="1">IF(AND(OFFSET($AO$1,$C3171-1,8,1,1),$A3172&lt;&gt;"",$J3172&lt;&gt;""),CHOOSE($C3171,$AQ$1,$AQ$2,$AQ$3,$AQ$4,$AQ$5,$AQ$6,$AQ$7,$AQ$8,$AQ$9,$AQ$10,$AQ$11,$AQ$12),"")</f>
        <v/>
      </c>
      <c r="C3191" s="294"/>
      <c r="D3191" s="294"/>
      <c r="E3191" s="294"/>
      <c r="F3191" s="294"/>
      <c r="G3191" s="294"/>
      <c r="H3191" s="265"/>
      <c r="I3191" s="265"/>
      <c r="J3191" s="265"/>
      <c r="K3191" s="265"/>
      <c r="L3191" s="265"/>
      <c r="M3191" s="262" t="str">
        <f ca="1">IF(OR(AND($B3184&lt;&gt;"",$B3191&lt;&gt;"",$D3202&lt;=$C3202),AND($B3186&lt;&gt;"",$B3193&lt;&gt;"",$H3202&lt;=$G3202)),"Invalid Lineup","")</f>
        <v/>
      </c>
      <c r="N3191" s="263"/>
      <c r="O3191" s="263"/>
      <c r="P3191" s="264"/>
      <c r="Q3191" s="137" t="str">
        <f>IF($L3191=$L3193,IF($K3191=$K3193,IF($J3191&lt;&gt;"",IF($J3191&gt;$J3193,"W","L"),""),IF($K3191&gt;$K3193,"W","L")),IF($L3191&gt;$L3193,"W","L"))</f>
        <v/>
      </c>
      <c r="R3191" s="20"/>
      <c r="S3191" s="20"/>
      <c r="T3191" s="20"/>
      <c r="U3191" s="20"/>
      <c r="V3191" s="20"/>
      <c r="W3191" s="20"/>
      <c r="X3191" s="26"/>
      <c r="Y3191" s="26"/>
      <c r="Z3191" s="20"/>
      <c r="AA3191" s="20"/>
      <c r="AB3191" s="20"/>
      <c r="AC3191" s="20"/>
      <c r="AD3191" s="20"/>
      <c r="AE3191" s="20"/>
      <c r="AF3191" s="27"/>
    </row>
    <row r="3192" spans="1:32" ht="12.75" customHeight="1">
      <c r="A3192" s="301"/>
      <c r="B3192" s="295"/>
      <c r="C3192" s="296"/>
      <c r="D3192" s="296"/>
      <c r="E3192" s="296"/>
      <c r="F3192" s="296"/>
      <c r="G3192" s="296"/>
      <c r="H3192" s="270"/>
      <c r="I3192" s="270"/>
      <c r="J3192" s="270"/>
      <c r="K3192" s="270"/>
      <c r="L3192" s="270"/>
      <c r="M3192" s="262"/>
      <c r="N3192" s="263"/>
      <c r="O3192" s="263"/>
      <c r="P3192" s="264"/>
      <c r="Q3192" s="139" t="str">
        <f>IF($Q3191&lt;&gt;"",IF($Q3191="W",IF(SUM(IF($H3191&gt;$H3193,1,0),IF($I3191&gt;$I3193,1,0),IF($J3191&gt;$J3193,1,0),IF($K3191&gt;$K3193,1,0),IF($L3191&gt;$L3193,1,0))&lt;&gt;3,"Error",""),""),"")</f>
        <v/>
      </c>
      <c r="R3192" s="328" t="str">
        <f>$A3172</f>
        <v/>
      </c>
      <c r="S3192" s="328"/>
      <c r="T3192" s="328"/>
      <c r="U3192" s="328"/>
      <c r="V3192" s="328"/>
      <c r="W3192" s="328"/>
      <c r="X3192" s="256" t="str">
        <f>CONCATENATE("(",$B3171," vs ",$K3171,")")</f>
        <v>(H vs I)</v>
      </c>
      <c r="Y3192" s="256"/>
      <c r="Z3192" s="328" t="str">
        <f>$J3172</f>
        <v/>
      </c>
      <c r="AA3192" s="328"/>
      <c r="AB3192" s="328"/>
      <c r="AC3192" s="328"/>
      <c r="AD3192" s="328"/>
      <c r="AE3192" s="328"/>
      <c r="AF3192" s="100"/>
    </row>
    <row r="3193" spans="1:32" ht="12.75" customHeight="1">
      <c r="A3193" s="300" t="str">
        <f>K3171</f>
        <v>I</v>
      </c>
      <c r="B3193" s="293" t="str">
        <f ca="1">IF(AND(OFFSET($AO$1,$L3171-1,8,1,1),$A3172&lt;&gt;"",$J3172&lt;&gt;""),CHOOSE($L3171,$AQ$1,$AQ$2,$AQ$3,$AQ$4,$AQ$5,$AQ$6,$AQ$7,$AQ$8,$AQ$9,$AQ$10,$AQ$11,$AQ$12),"")</f>
        <v/>
      </c>
      <c r="C3193" s="294"/>
      <c r="D3193" s="294"/>
      <c r="E3193" s="294"/>
      <c r="F3193" s="294"/>
      <c r="G3193" s="294"/>
      <c r="H3193" s="265"/>
      <c r="I3193" s="265"/>
      <c r="J3193" s="265"/>
      <c r="K3193" s="265"/>
      <c r="L3193" s="265"/>
      <c r="M3193" s="267" t="s">
        <v>1237</v>
      </c>
      <c r="N3193" s="268"/>
      <c r="O3193" s="268"/>
      <c r="P3193" s="269"/>
      <c r="Q3193" s="137" t="str">
        <f>IF($Q3191&lt;&gt;"",IF($Q3191="W","L","W"),"")</f>
        <v/>
      </c>
      <c r="R3193" s="100"/>
      <c r="S3193" s="100"/>
      <c r="T3193" s="100"/>
      <c r="U3193" s="100"/>
      <c r="V3193" s="100"/>
      <c r="W3193" s="100"/>
      <c r="X3193" s="100"/>
      <c r="Y3193" s="100"/>
      <c r="Z3193" s="100"/>
      <c r="AA3193" s="100"/>
      <c r="AB3193" s="100"/>
      <c r="AC3193" s="100"/>
      <c r="AD3193" s="100"/>
      <c r="AE3193" s="100"/>
      <c r="AF3193" s="100"/>
    </row>
    <row r="3194" spans="1:32" ht="12.75" customHeight="1">
      <c r="A3194" s="301"/>
      <c r="B3194" s="295"/>
      <c r="C3194" s="296"/>
      <c r="D3194" s="296"/>
      <c r="E3194" s="296"/>
      <c r="F3194" s="296"/>
      <c r="G3194" s="296"/>
      <c r="H3194" s="270"/>
      <c r="I3194" s="270"/>
      <c r="J3194" s="266"/>
      <c r="K3194" s="266"/>
      <c r="L3194" s="266"/>
      <c r="M3194" s="267"/>
      <c r="N3194" s="268"/>
      <c r="O3194" s="268"/>
      <c r="P3194" s="269"/>
      <c r="Q3194" s="139" t="str">
        <f>IF($Q3193&lt;&gt;"",IF($Q3193="W",IF(SUM(IF($H3193&gt;$H3191,1,0),IF($I3193&gt;$I3191,1,0),IF($J3193&gt;$J3191,1,0),IF($K3193&gt;$K3191,1,0),IF($L3193&gt;$L3191,1,0))&lt;&gt;3,"Error",""),""),"")</f>
        <v/>
      </c>
      <c r="R3194" s="43" t="str">
        <f>$A3189</f>
        <v>3rd Singles</v>
      </c>
      <c r="S3194" s="43"/>
      <c r="T3194" s="43"/>
      <c r="U3194" s="43"/>
      <c r="V3194" s="43"/>
      <c r="W3194" s="43"/>
      <c r="X3194" s="43"/>
      <c r="Y3194" s="43"/>
      <c r="Z3194" s="43"/>
      <c r="AA3194" s="43"/>
      <c r="AB3194" s="43"/>
      <c r="AC3194" s="43"/>
      <c r="AD3194" s="43"/>
      <c r="AE3194" s="43"/>
      <c r="AF3194" s="43"/>
    </row>
    <row r="3195" spans="1:32" ht="12.75" customHeight="1">
      <c r="Q3195" s="7"/>
      <c r="R3195" s="60" t="s">
        <v>1228</v>
      </c>
      <c r="S3195" s="101" t="s">
        <v>1126</v>
      </c>
      <c r="T3195" s="102"/>
      <c r="U3195" s="102"/>
      <c r="V3195" s="102"/>
      <c r="W3195" s="102"/>
      <c r="X3195" s="103"/>
      <c r="Y3195" s="60">
        <v>1</v>
      </c>
      <c r="Z3195" s="60">
        <v>2</v>
      </c>
      <c r="AA3195" s="60">
        <v>3</v>
      </c>
      <c r="AB3195" s="60">
        <v>4</v>
      </c>
      <c r="AC3195" s="60">
        <v>5</v>
      </c>
      <c r="AD3195" s="104"/>
      <c r="AE3195" s="105"/>
      <c r="AF3195" s="106"/>
    </row>
    <row r="3196" spans="1:32" ht="12.75" customHeight="1">
      <c r="A3196" s="21" t="s">
        <v>1236</v>
      </c>
      <c r="H3196" s="136" t="str">
        <f ca="1">IF($Q3198&lt;&gt;"",IF(AND($B3198&lt;&gt;"Missing Player",$B3200&lt;&gt;"Missing Player"),IF(AND(AND($H3198&gt;-1,$H3200&gt;-1),OR($H3198&gt;10,$H3200&gt;10),ABS($H3198-$H3200)&gt;1,IF(OR($H3198&gt;11,$H3200&gt;11),ABS($H3198-$H3200)=2,TRUE),$H3198=INT($H3198),$H3200=INT($H3200)),"","Error"),""),"")</f>
        <v/>
      </c>
      <c r="I3196" s="136" t="str">
        <f ca="1">IF($Q3198&lt;&gt;"",IF(AND($B3198&lt;&gt;"Missing Player",$B3200&lt;&gt;"Missing Player"),IF(AND(AND($I3198&gt;-1,$I3200&gt;-1),OR($I3198&gt;10,$I3200&gt;10),ABS($I3198-$I3200)&gt;1,IF(OR($I3198&gt;11,$I3200&gt;11),ABS($I3198-$I3200)=2,TRUE),$I3198=INT($I3198),$I3200=INT($I3200)),"","Error"),""),"")</f>
        <v/>
      </c>
      <c r="J3196" s="136" t="str">
        <f ca="1">IF($Q3198&lt;&gt;"",IF(AND($B3198&lt;&gt;"Missing Player",$B3200&lt;&gt;"Missing Player"),IF(AND(AND($J3198&gt;-1,$J3200&gt;-1),OR($J3198&gt;10,$J3200&gt;10),ABS($J3198-$J3200)&gt;1,IF(OR($J3198&gt;11,$J3200&gt;11),ABS($J3198-$J3200)=2,TRUE),$J3198=INT($J3198),$J3200=INT($J3200)),"","Error"),""),"")</f>
        <v/>
      </c>
      <c r="K3196" s="136" t="str">
        <f ca="1">IF($Q3198&lt;&gt;"",IF(AND($K3198&lt;&gt;"",$K3200&lt;&gt;""), IF(AND(AND($K3198&gt;-1,$K3200&gt;-1),OR($K3198&gt;10,$K3200&gt;10),ABS($K3198-$K3200)&gt;1,IF(OR($K3198&gt;11,$K3200&gt;11),ABS($K3198-$K3200)=2,TRUE),$K3198=INT($K3198),$K3200=INT($K3200)),"","Error"),""),"")</f>
        <v/>
      </c>
      <c r="L3196" s="136" t="str">
        <f ca="1">IF($Q3198&lt;&gt;"",IF(AND($L3198&lt;&gt;"",$L3200&lt;&gt;""), IF(AND(AND($L3198&gt;-1,$L3200&gt;-1),OR($L3198&gt;10,$L3200&gt;10),ABS($L3198-$L3200)&gt;1,IF(OR($L3198&gt;11,$L3200&gt;11),ABS($L3198-$L3200)=2,TRUE),$L3198=INT($L3198),$L3200=INT($L3200)),"","Error"),""),"")</f>
        <v/>
      </c>
      <c r="Q3196" s="7"/>
      <c r="R3196" s="300" t="str">
        <f>$B3171</f>
        <v>H</v>
      </c>
      <c r="S3196" s="331" t="str">
        <f ca="1">IF($B3191&lt;&gt;"",$B3191,"")</f>
        <v/>
      </c>
      <c r="T3196" s="332"/>
      <c r="U3196" s="332"/>
      <c r="V3196" s="332"/>
      <c r="W3196" s="332"/>
      <c r="X3196" s="333"/>
      <c r="Y3196" s="329"/>
      <c r="Z3196" s="329"/>
      <c r="AA3196" s="329"/>
      <c r="AB3196" s="329"/>
      <c r="AC3196" s="329"/>
      <c r="AD3196" s="345"/>
      <c r="AE3196" s="358"/>
      <c r="AF3196" s="359"/>
    </row>
    <row r="3197" spans="1:32" ht="12.75" customHeight="1">
      <c r="A3197" s="5" t="s">
        <v>1228</v>
      </c>
      <c r="B3197" s="290" t="s">
        <v>1126</v>
      </c>
      <c r="C3197" s="291"/>
      <c r="D3197" s="291"/>
      <c r="E3197" s="291"/>
      <c r="F3197" s="291"/>
      <c r="G3197" s="292"/>
      <c r="H3197" s="5">
        <v>1</v>
      </c>
      <c r="I3197" s="5">
        <v>2</v>
      </c>
      <c r="J3197" s="5">
        <v>3</v>
      </c>
      <c r="K3197" s="5">
        <v>4</v>
      </c>
      <c r="L3197" s="5">
        <v>5</v>
      </c>
      <c r="M3197" s="271"/>
      <c r="N3197" s="272"/>
      <c r="O3197" s="272"/>
      <c r="P3197" s="273"/>
      <c r="Q3197" s="7"/>
      <c r="R3197" s="330"/>
      <c r="S3197" s="334"/>
      <c r="T3197" s="335"/>
      <c r="U3197" s="335"/>
      <c r="V3197" s="335"/>
      <c r="W3197" s="335"/>
      <c r="X3197" s="336"/>
      <c r="Y3197" s="330"/>
      <c r="Z3197" s="330"/>
      <c r="AA3197" s="330"/>
      <c r="AB3197" s="330"/>
      <c r="AC3197" s="330"/>
      <c r="AD3197" s="360"/>
      <c r="AE3197" s="361"/>
      <c r="AF3197" s="362"/>
    </row>
    <row r="3198" spans="1:32" ht="12.75" customHeight="1">
      <c r="A3198" s="300" t="str">
        <f>B3171</f>
        <v>H</v>
      </c>
      <c r="B3198" s="293" t="str">
        <f ca="1">IF(AND(OFFSET($AO$1,$C3171-1,8,1,1),$A3172&lt;&gt;"",$J3172&lt;&gt;""),CHOOSE($C3171,$AR$1,$AR$2,$AR$3,$AR$4,$AR$5,$AR$6,$AR$7,$AR$8,$AR$9,$AR$10,$AR$11,$AR$12),"")</f>
        <v/>
      </c>
      <c r="C3198" s="294"/>
      <c r="D3198" s="294"/>
      <c r="E3198" s="294"/>
      <c r="F3198" s="294"/>
      <c r="G3198" s="294"/>
      <c r="H3198" s="265"/>
      <c r="I3198" s="265"/>
      <c r="J3198" s="265"/>
      <c r="K3198" s="265"/>
      <c r="L3198" s="265" t="str">
        <f ca="1">IF(AND($B3198&lt;&gt;"",$Q3177&lt;&gt;""),IF($B3198="Missing Player",0,IF($B3200="Missing Player",11,"")),"")</f>
        <v/>
      </c>
      <c r="M3198" s="262" t="str">
        <f ca="1">IF(OR(AND($B3191&lt;&gt;"",$B3198&lt;&gt;"",$E3202&lt;=$D3202),AND($B3193&lt;&gt;"",$B3200&lt;&gt;"",$I3202&lt;=$H3202)),"Invalid Lineup","")</f>
        <v/>
      </c>
      <c r="N3198" s="263"/>
      <c r="O3198" s="263"/>
      <c r="P3198" s="264"/>
      <c r="Q3198" s="137" t="str">
        <f ca="1">IF($L3198=$L3200,IF($K3198=$K3200,IF($J3198&lt;&gt;"",IF($J3198&gt;$J3200,"W","L"),""),IF($K3198&gt;$K3200,"W","L")),IF($L3198&gt;$L3200,"W","L"))</f>
        <v/>
      </c>
      <c r="R3198" s="300" t="str">
        <f>$K3171</f>
        <v>I</v>
      </c>
      <c r="S3198" s="331" t="str">
        <f ca="1">IF($B3193&lt;&gt;"",$B3193,"")</f>
        <v/>
      </c>
      <c r="T3198" s="332"/>
      <c r="U3198" s="332"/>
      <c r="V3198" s="332"/>
      <c r="W3198" s="332"/>
      <c r="X3198" s="333"/>
      <c r="Y3198" s="329"/>
      <c r="Z3198" s="329"/>
      <c r="AA3198" s="329"/>
      <c r="AB3198" s="329"/>
      <c r="AC3198" s="351"/>
      <c r="AD3198" s="363" t="s">
        <v>1237</v>
      </c>
      <c r="AE3198" s="358"/>
      <c r="AF3198" s="359"/>
    </row>
    <row r="3199" spans="1:32" ht="12.75" customHeight="1">
      <c r="A3199" s="301"/>
      <c r="B3199" s="295"/>
      <c r="C3199" s="296"/>
      <c r="D3199" s="296"/>
      <c r="E3199" s="296"/>
      <c r="F3199" s="296"/>
      <c r="G3199" s="296"/>
      <c r="H3199" s="270"/>
      <c r="I3199" s="270"/>
      <c r="J3199" s="270"/>
      <c r="K3199" s="270"/>
      <c r="L3199" s="270"/>
      <c r="M3199" s="262"/>
      <c r="N3199" s="263"/>
      <c r="O3199" s="263"/>
      <c r="P3199" s="264"/>
      <c r="Q3199" s="139" t="str">
        <f ca="1">IF($Q3198&lt;&gt;"",IF($B3200&lt;&gt;"Missing Player",IF($Q3198="W",IF(SUM(IF($H3198&gt;$H3200,1,0),IF($I3198&gt;$I3200,1,0),IF($J3198&gt;$J3200,1,0),IF($K3198&gt;$K3200,1,0),IF($L3198&gt;$L3200,1,0))&lt;&gt;3,"Error",""),""),""),"")</f>
        <v/>
      </c>
      <c r="R3199" s="330"/>
      <c r="S3199" s="334"/>
      <c r="T3199" s="335"/>
      <c r="U3199" s="335"/>
      <c r="V3199" s="335"/>
      <c r="W3199" s="335"/>
      <c r="X3199" s="336"/>
      <c r="Y3199" s="330"/>
      <c r="Z3199" s="330"/>
      <c r="AA3199" s="330"/>
      <c r="AB3199" s="330"/>
      <c r="AC3199" s="330"/>
      <c r="AD3199" s="360"/>
      <c r="AE3199" s="361"/>
      <c r="AF3199" s="362"/>
    </row>
    <row r="3200" spans="1:32" ht="12.75" customHeight="1">
      <c r="A3200" s="300" t="str">
        <f>K3171</f>
        <v>I</v>
      </c>
      <c r="B3200" s="293" t="str">
        <f ca="1">IF(AND(OFFSET($AO$1,$L3171-1,8,1,1),$A3172&lt;&gt;"",$J3172&lt;&gt;""),CHOOSE($L3171,$AR$1,$AR$2,$AR$3,$AR$4,$AR$5,$AR$6,$AR$7,$AR$8,$AR$9,$AR$10,$AR$11,$AR$12),"")</f>
        <v/>
      </c>
      <c r="C3200" s="294"/>
      <c r="D3200" s="294"/>
      <c r="E3200" s="294"/>
      <c r="F3200" s="294"/>
      <c r="G3200" s="294"/>
      <c r="H3200" s="265"/>
      <c r="I3200" s="265"/>
      <c r="J3200" s="265"/>
      <c r="K3200" s="265"/>
      <c r="L3200" s="265" t="str">
        <f ca="1">IF(AND($B3200&lt;&gt;"",$Q3177&lt;&gt;""),IF($B3200="Missing Player",0,IF($B3198="Missing Player",11,"")),"")</f>
        <v/>
      </c>
      <c r="M3200" s="267" t="s">
        <v>1237</v>
      </c>
      <c r="N3200" s="268"/>
      <c r="O3200" s="268"/>
      <c r="P3200" s="269"/>
      <c r="Q3200" s="137" t="str">
        <f ca="1">IF($Q3198&lt;&gt;"",IF($Q3198="W","L","W"),"")</f>
        <v/>
      </c>
      <c r="R3200" s="112"/>
      <c r="S3200" s="98"/>
      <c r="T3200" s="108"/>
      <c r="U3200" s="108"/>
      <c r="V3200" s="108"/>
      <c r="W3200" s="108"/>
      <c r="X3200" s="108"/>
      <c r="Y3200" s="113"/>
      <c r="Z3200" s="113"/>
      <c r="AA3200" s="113"/>
      <c r="AB3200" s="113"/>
      <c r="AC3200" s="113"/>
      <c r="AD3200" s="107"/>
      <c r="AE3200" s="109"/>
      <c r="AF3200" s="109"/>
    </row>
    <row r="3201" spans="1:32" ht="12.75" customHeight="1">
      <c r="A3201" s="301"/>
      <c r="B3201" s="295"/>
      <c r="C3201" s="296"/>
      <c r="D3201" s="296"/>
      <c r="E3201" s="296"/>
      <c r="F3201" s="296"/>
      <c r="G3201" s="296"/>
      <c r="H3201" s="270"/>
      <c r="I3201" s="270"/>
      <c r="J3201" s="266"/>
      <c r="K3201" s="266"/>
      <c r="L3201" s="266"/>
      <c r="M3201" s="267"/>
      <c r="N3201" s="268"/>
      <c r="O3201" s="268"/>
      <c r="P3201" s="269"/>
      <c r="Q3201" s="139" t="str">
        <f ca="1">IF($Q3200&lt;&gt;"",IF($B3198&lt;&gt;"Missing Player",IF($Q3200="W",IF(SUM(IF($H3200&gt;$H3198,1,0),IF($I3200&gt;$I3198,1,0),IF($J3200&gt;$J3198,1,0),IF($K3200&gt;$K3198,1,0),IF($L3200&gt;$L3198,1,0))&lt;&gt;3,"Error",""),""),""),"")</f>
        <v/>
      </c>
      <c r="R3201" s="114"/>
      <c r="S3201" s="115"/>
      <c r="T3201" s="115"/>
      <c r="U3201" s="115"/>
      <c r="V3201" s="115"/>
      <c r="W3201" s="115"/>
      <c r="X3201" s="115"/>
      <c r="Y3201" s="114"/>
      <c r="Z3201" s="114"/>
      <c r="AA3201" s="114"/>
      <c r="AB3201" s="114"/>
      <c r="AC3201" s="114"/>
      <c r="AD3201" s="114"/>
      <c r="AE3201" s="114"/>
      <c r="AF3201" s="114"/>
    </row>
    <row r="3202" spans="1:32" ht="12.75" customHeight="1">
      <c r="B3202" s="140" t="str">
        <f ca="1">IF(ISERROR(VLOOKUP($B3177&amp;"("&amp;$B3171&amp;")",Players!$S$4:$T$132,2,FALSE)),"",VLOOKUP($B3177&amp;"("&amp;$B3171&amp;")",Players!$S$4:$T$132,2,FALSE))</f>
        <v>H1</v>
      </c>
      <c r="C3202" s="140" t="str">
        <f ca="1">IF(ISERROR(VLOOKUP($B3184&amp;"("&amp;$B3171&amp;")",Players!$S$4:$T$132,2,FALSE)),"",VLOOKUP($B3184&amp;"("&amp;$B3171&amp;")",Players!$S$4:$T$132,2,FALSE))</f>
        <v>H1</v>
      </c>
      <c r="D3202" s="141" t="str">
        <f ca="1">IF(ISERROR(VLOOKUP($B3191&amp;"("&amp;$B3171&amp;")",Players!$S$4:$T$132,2,FALSE)),"",VLOOKUP($B3191&amp;"("&amp;$B3171&amp;")",Players!$S$4:$T$132,2,FALSE))</f>
        <v>H1</v>
      </c>
      <c r="E3202" s="141" t="str">
        <f ca="1">IF(ISERROR(VLOOKUP($B3198&amp;"("&amp;$B3171&amp;")",Players!$S$4:$T$132,2,FALSE)),"",VLOOKUP($B3198&amp;"("&amp;$B3171&amp;")",Players!$S$4:$T$132,2,FALSE))</f>
        <v>H1</v>
      </c>
      <c r="F3202" s="141" t="str">
        <f ca="1">IF(ISERROR(VLOOKUP($B3179&amp;"("&amp;$K3171&amp;")",Players!$S$4:$T$132,2,FALSE)),"",VLOOKUP($B3179&amp;"("&amp;$K3171&amp;")",Players!$S$4:$T$132,2,FALSE))</f>
        <v>I1</v>
      </c>
      <c r="G3202" s="141" t="str">
        <f ca="1">IF(ISERROR(VLOOKUP($B3186&amp;"("&amp;$K3171&amp;")",Players!$S$4:$T$132,2,FALSE)),"",VLOOKUP($B3186&amp;"("&amp;$K3171&amp;")",Players!$S$4:$T$132,2,FALSE))</f>
        <v>I1</v>
      </c>
      <c r="H3202" s="141" t="str">
        <f ca="1">IF(ISERROR(VLOOKUP($B3193&amp;"("&amp;$K3171&amp;")",Players!$S$4:$T$132,2,FALSE)),"",VLOOKUP($B3193&amp;"("&amp;$K3171&amp;")",Players!$S$4:$T$132,2,FALSE))</f>
        <v>I1</v>
      </c>
      <c r="I3202" s="141" t="str">
        <f ca="1">IF(ISERROR(VLOOKUP($B3200&amp;"("&amp;$K3171&amp;")",Players!$S$4:$T$132,2,FALSE)),"",VLOOKUP($B3200&amp;"("&amp;$K3171&amp;")",Players!$S$4:$T$132,2,FALSE))</f>
        <v>I1</v>
      </c>
      <c r="Q3202" s="7"/>
      <c r="R3202" s="50"/>
      <c r="S3202" s="116"/>
      <c r="T3202" s="115"/>
      <c r="U3202" s="115"/>
      <c r="V3202" s="115"/>
      <c r="W3202" s="115"/>
      <c r="X3202" s="115"/>
      <c r="Y3202" s="99"/>
      <c r="Z3202" s="99"/>
      <c r="AA3202" s="99"/>
      <c r="AB3202" s="99"/>
      <c r="AC3202" s="117"/>
      <c r="AD3202" s="118"/>
      <c r="AE3202" s="114"/>
      <c r="AF3202" s="114"/>
    </row>
    <row r="3203" spans="1:32" ht="12.75" customHeight="1">
      <c r="A3203" s="21" t="s">
        <v>1225</v>
      </c>
      <c r="H3203" s="136" t="str">
        <f ca="1">IF($Q3205&lt;&gt;"",IF(AND($B3206&lt;&gt;"Missing Player",$B3208&lt;&gt;"Missing Player"),IF(AND(AND($H3205&gt;-1,$H3207&gt;-1),OR($H3205&gt;10,$H3207&gt;10),ABS($H3205-$H3207)&gt;1,IF(OR($H3205&gt;11,$H3207&gt;11),ABS($H3205-$H3207)=2,TRUE),$H3205=INT($H3205),$H3207=INT($H3207)),"","Error"),""),"")</f>
        <v/>
      </c>
      <c r="I3203" s="136" t="str">
        <f ca="1">IF($Q3205&lt;&gt;"",IF(AND($B3206&lt;&gt;"Missing Player",$B3208&lt;&gt;"Missing Player"),IF(AND(AND($I3205&gt;-1,$I3207&gt;-1),OR($I3205&gt;10,$I3207&gt;10),ABS($I3205-$I3207)&gt;1,IF(OR($I3205&gt;11,$I3207&gt;11),ABS($I3205-$I3207)=2,TRUE),$I3205=INT($I3205),$I3207=INT($I3207)),"","Error"),""),"")</f>
        <v/>
      </c>
      <c r="J3203" s="136" t="str">
        <f ca="1">IF($Q3205&lt;&gt;"",IF(AND($B3206&lt;&gt;"Missing Player",$B3208&lt;&gt;"Missing Player"),IF(AND(AND($J3205&gt;-1,$J3207&gt;-1),OR($J3205&gt;10,$J3207&gt;10),ABS($J3205-$J3207)&gt;1,IF(OR($J3205&gt;11,$J3207&gt;11),ABS($J3205-$J3207)=2,TRUE),$J3205=INT($J3205),$J3207=INT($J3207)),"","Error"),""),"")</f>
        <v/>
      </c>
      <c r="K3203" s="136" t="str">
        <f ca="1">IF($Q3205&lt;&gt;"",IF(AND($K3205&lt;&gt;"",$K3207&lt;&gt;""), IF(AND(AND($K3205&gt;-1,$K3207&gt;-1),OR($K3205&gt;10,$K3207&gt;10),ABS($K3205-$K3207)&gt;1,IF(OR($K3205&gt;11,$K3207&gt;11),ABS($K3205-$K3207)=2,TRUE),$K3205=INT($K3205),$K3207=INT($K3207)),"","Error"),""),"")</f>
        <v/>
      </c>
      <c r="L3203" s="136" t="str">
        <f ca="1">IF($Q3205&lt;&gt;"",IF(AND($L3205&lt;&gt;"",$L3207&lt;&gt;""), IF(AND(AND($L3205&gt;-1,$L3207&gt;-1),OR($L3205&gt;10,$L3207&gt;10),ABS($L3205-$L3207)&gt;1,IF(OR($L3205&gt;11,$L3207&gt;11),ABS($L3205-$L3207)=2,TRUE),$L3205=INT($L3205),$L3207=INT($L3207)),"","Error"),""),"")</f>
        <v/>
      </c>
      <c r="Q3203" s="7"/>
      <c r="R3203" s="114"/>
      <c r="S3203" s="115"/>
      <c r="T3203" s="115"/>
      <c r="U3203" s="115"/>
      <c r="V3203" s="115"/>
      <c r="W3203" s="115"/>
      <c r="X3203" s="115"/>
      <c r="Y3203" s="114"/>
      <c r="Z3203" s="114"/>
      <c r="AA3203" s="114"/>
      <c r="AB3203" s="114"/>
      <c r="AC3203" s="114"/>
      <c r="AD3203" s="114"/>
      <c r="AE3203" s="114"/>
      <c r="AF3203" s="114"/>
    </row>
    <row r="3204" spans="1:32" ht="12.75" customHeight="1">
      <c r="A3204" s="5" t="s">
        <v>1228</v>
      </c>
      <c r="B3204" s="290" t="s">
        <v>1126</v>
      </c>
      <c r="C3204" s="291"/>
      <c r="D3204" s="291"/>
      <c r="E3204" s="291"/>
      <c r="F3204" s="291"/>
      <c r="G3204" s="292"/>
      <c r="H3204" s="5">
        <v>1</v>
      </c>
      <c r="I3204" s="5">
        <v>2</v>
      </c>
      <c r="J3204" s="5">
        <v>3</v>
      </c>
      <c r="K3204" s="5">
        <v>4</v>
      </c>
      <c r="L3204" s="5">
        <v>5</v>
      </c>
      <c r="M3204" s="271"/>
      <c r="N3204" s="272"/>
      <c r="O3204" s="272"/>
      <c r="P3204" s="273"/>
      <c r="Q3204" s="8"/>
      <c r="S3204" s="24"/>
      <c r="T3204" s="26"/>
    </row>
    <row r="3205" spans="1:32" ht="12.75" customHeight="1">
      <c r="A3205" s="300" t="str">
        <f>B3171</f>
        <v>H</v>
      </c>
      <c r="B3205" s="311" t="str">
        <f ca="1">IF($B3177&lt;&gt;"",$B3177,"")</f>
        <v/>
      </c>
      <c r="C3205" s="312"/>
      <c r="D3205" s="312"/>
      <c r="E3205" s="312"/>
      <c r="F3205" s="312"/>
      <c r="G3205" s="313"/>
      <c r="H3205" s="265"/>
      <c r="I3205" s="265"/>
      <c r="J3205" s="265"/>
      <c r="K3205" s="265"/>
      <c r="L3205" s="265" t="str">
        <f ca="1">IF($B3198&lt;&gt;"",IF(AND($B3198="Missing Player",$G3209=2,$J3209=2),0,IF(AND($B3200="Missing Player",$G3209=2,$J3209=2),11,"")),"")</f>
        <v/>
      </c>
      <c r="M3205" s="262" t="str">
        <f ca="1">IF(OR(AND($B3205&lt;&gt;"",$B3206&lt;&gt;"",$B3205=$B3206),AND($B3207&lt;&gt;"",$B3208&lt;&gt;"",$B3207=$B3208)),"Invalid Partner","")</f>
        <v/>
      </c>
      <c r="N3205" s="263"/>
      <c r="O3205" s="263"/>
      <c r="P3205" s="264"/>
      <c r="Q3205" s="138" t="str">
        <f ca="1">IF(L3205=L3207,IF(K3205=K3207,IF(J3205&lt;&gt;"",IF(J3205&gt;J3207,"W","L"),""),IF(K3205&gt;K3207,"W","L")),IF(L3205&gt;L3207,"W","L"))</f>
        <v/>
      </c>
      <c r="S3205" s="24"/>
      <c r="T3205" s="26"/>
    </row>
    <row r="3206" spans="1:32" ht="12.75" customHeight="1">
      <c r="A3206" s="324"/>
      <c r="B3206" s="308" t="str">
        <f ca="1">IF($B3198="Missing Player",$B3198,"")</f>
        <v/>
      </c>
      <c r="C3206" s="309"/>
      <c r="D3206" s="309"/>
      <c r="E3206" s="309"/>
      <c r="F3206" s="309"/>
      <c r="G3206" s="310"/>
      <c r="H3206" s="270"/>
      <c r="I3206" s="270"/>
      <c r="J3206" s="270"/>
      <c r="K3206" s="270"/>
      <c r="L3206" s="270"/>
      <c r="M3206" s="262"/>
      <c r="N3206" s="263"/>
      <c r="O3206" s="263"/>
      <c r="P3206" s="264"/>
      <c r="Q3206" s="139" t="str">
        <f ca="1">IF($Q3205&lt;&gt;"",IF($B3208&lt;&gt;"Missing Player",IF($Q3205="W",IF(SUM(IF($H3205&gt;$H3207,1,0),IF($I3205&gt;$I3207,1,0),IF($J3205&gt;$J3207,1,0),IF($K3205&gt;$K3207,1,0),IF($L3205&gt;$L3207,1,0))&lt;&gt;3,"Error",""),""),""),"")</f>
        <v/>
      </c>
      <c r="R3206" s="328" t="str">
        <f>$A3172</f>
        <v/>
      </c>
      <c r="S3206" s="328"/>
      <c r="T3206" s="328"/>
      <c r="U3206" s="328"/>
      <c r="V3206" s="328"/>
      <c r="W3206" s="328"/>
      <c r="X3206" s="256" t="str">
        <f>CONCATENATE("(",$B3171," vs ",$K3171,")")</f>
        <v>(H vs I)</v>
      </c>
      <c r="Y3206" s="256"/>
      <c r="Z3206" s="328" t="str">
        <f>$J3172</f>
        <v/>
      </c>
      <c r="AA3206" s="328"/>
      <c r="AB3206" s="328"/>
      <c r="AC3206" s="328"/>
      <c r="AD3206" s="328"/>
      <c r="AE3206" s="328"/>
      <c r="AF3206" s="43"/>
    </row>
    <row r="3207" spans="1:32" ht="12.75" customHeight="1">
      <c r="A3207" s="325" t="str">
        <f>K3171</f>
        <v>I</v>
      </c>
      <c r="B3207" s="311" t="str">
        <f ca="1">IF($B3179&lt;&gt;"",$B3179,"")</f>
        <v/>
      </c>
      <c r="C3207" s="312"/>
      <c r="D3207" s="312"/>
      <c r="E3207" s="312"/>
      <c r="F3207" s="312"/>
      <c r="G3207" s="313"/>
      <c r="H3207" s="265"/>
      <c r="I3207" s="265"/>
      <c r="J3207" s="265"/>
      <c r="K3207" s="265"/>
      <c r="L3207" s="265" t="str">
        <f ca="1">IF($B3200&lt;&gt;"",IF(AND($B3200="Missing Player",$G3209=2,$J3209=2),0,IF(AND($B3198="Missing Player",$G3209=2,$J3209=2),11,"")),"")</f>
        <v/>
      </c>
      <c r="M3207" s="267" t="s">
        <v>1237</v>
      </c>
      <c r="N3207" s="268"/>
      <c r="O3207" s="268"/>
      <c r="P3207" s="269"/>
      <c r="Q3207" s="138" t="str">
        <f ca="1">IF(Q3205&lt;&gt;"",IF(Q3205="W","L","W"),"")</f>
        <v/>
      </c>
      <c r="R3207" s="43"/>
      <c r="S3207" s="43"/>
      <c r="T3207" s="43"/>
      <c r="U3207" s="43"/>
      <c r="V3207" s="43"/>
      <c r="W3207" s="43"/>
      <c r="X3207" s="43"/>
      <c r="Y3207" s="43"/>
      <c r="Z3207" s="43"/>
      <c r="AA3207" s="43"/>
      <c r="AB3207" s="43"/>
      <c r="AC3207" s="43"/>
      <c r="AD3207" s="43"/>
      <c r="AE3207" s="43"/>
      <c r="AF3207" s="43"/>
    </row>
    <row r="3208" spans="1:32" ht="12.75" customHeight="1">
      <c r="A3208" s="324"/>
      <c r="B3208" s="308" t="str">
        <f ca="1">IF($B3200="Missing Player",$B3200,"")</f>
        <v/>
      </c>
      <c r="C3208" s="309"/>
      <c r="D3208" s="309"/>
      <c r="E3208" s="309"/>
      <c r="F3208" s="309"/>
      <c r="G3208" s="310"/>
      <c r="H3208" s="270"/>
      <c r="I3208" s="270"/>
      <c r="J3208" s="266"/>
      <c r="K3208" s="266"/>
      <c r="L3208" s="266"/>
      <c r="M3208" s="267"/>
      <c r="N3208" s="268"/>
      <c r="O3208" s="268"/>
      <c r="P3208" s="269"/>
      <c r="Q3208" s="139" t="str">
        <f ca="1">IF($Q3207&lt;&gt;"",IF($B3206&lt;&gt;"Missing Player",IF($Q3207="W",IF(SUM(IF($H3207&gt;$H3205,1,0),IF($I3207&gt;$I3205,1,0),IF($J3207&gt;$J3205,1,0),IF($K3207&gt;$K3205,1,0),IF($L3207&gt;$L3205,1,0))&lt;&gt;3,"Error",""),""),""),"")</f>
        <v/>
      </c>
      <c r="R3208" s="43" t="str">
        <f>A3196</f>
        <v>4th Singles</v>
      </c>
      <c r="S3208" s="43"/>
      <c r="T3208" s="43"/>
      <c r="U3208" s="43"/>
      <c r="V3208" s="43"/>
      <c r="W3208" s="43"/>
      <c r="X3208" s="43"/>
      <c r="Y3208" s="43"/>
      <c r="Z3208" s="43"/>
      <c r="AA3208" s="43"/>
      <c r="AB3208" s="43"/>
      <c r="AC3208" s="43"/>
      <c r="AD3208" s="43"/>
      <c r="AE3208" s="43"/>
      <c r="AF3208" s="43"/>
    </row>
    <row r="3209" spans="1:32" ht="12.75" customHeight="1">
      <c r="G3209" s="66">
        <f ca="1">COUNTIF($Q3177:$Q3177,"W")+COUNTIF($Q3184:$Q3184,"W")+COUNTIF($Q3191:$Q3191,"W")+COUNTIF($Q3198:$Q3198,"W")</f>
        <v>0</v>
      </c>
      <c r="J3209" s="66">
        <f ca="1">COUNTIF($Q3179:$Q3179,"W")+COUNTIF($Q3186:$Q3186,"W")+COUNTIF($Q3193:$Q3193,"W")+COUNTIF($Q3200:$Q3200,"W")</f>
        <v>0</v>
      </c>
      <c r="R3209" s="60" t="s">
        <v>1228</v>
      </c>
      <c r="S3209" s="339" t="s">
        <v>1126</v>
      </c>
      <c r="T3209" s="340"/>
      <c r="U3209" s="340"/>
      <c r="V3209" s="340"/>
      <c r="W3209" s="340"/>
      <c r="X3209" s="341"/>
      <c r="Y3209" s="60">
        <v>1</v>
      </c>
      <c r="Z3209" s="60">
        <v>2</v>
      </c>
      <c r="AA3209" s="60">
        <v>3</v>
      </c>
      <c r="AB3209" s="60">
        <v>4</v>
      </c>
      <c r="AC3209" s="60">
        <v>5</v>
      </c>
      <c r="AD3209" s="342"/>
      <c r="AE3209" s="343"/>
      <c r="AF3209" s="344"/>
    </row>
    <row r="3210" spans="1:32" ht="12.75" customHeight="1" thickBot="1">
      <c r="F3210" s="246" t="s">
        <v>1238</v>
      </c>
      <c r="G3210" s="246"/>
      <c r="H3210" s="246"/>
      <c r="I3210" s="246"/>
      <c r="J3210" s="246"/>
      <c r="K3210" s="246"/>
      <c r="R3210" s="300" t="str">
        <f>B3171</f>
        <v>H</v>
      </c>
      <c r="S3210" s="331" t="str">
        <f ca="1">IF($B3198&lt;&gt;"",$B3198,"")</f>
        <v/>
      </c>
      <c r="T3210" s="353"/>
      <c r="U3210" s="353"/>
      <c r="V3210" s="353"/>
      <c r="W3210" s="353"/>
      <c r="X3210" s="354"/>
      <c r="Y3210" s="329"/>
      <c r="Z3210" s="329"/>
      <c r="AA3210" s="351"/>
      <c r="AB3210" s="351"/>
      <c r="AC3210" s="351"/>
      <c r="AD3210" s="345"/>
      <c r="AE3210" s="346"/>
      <c r="AF3210" s="347"/>
    </row>
    <row r="3211" spans="1:32" ht="12.75" customHeight="1">
      <c r="A3211" s="22"/>
      <c r="B3211" s="22"/>
      <c r="C3211" s="22"/>
      <c r="D3211" s="22"/>
      <c r="E3211" s="22"/>
      <c r="G3211" s="304" t="str">
        <f>B3171</f>
        <v>H</v>
      </c>
      <c r="H3211" s="305"/>
      <c r="I3211" s="302" t="str">
        <f>K3171</f>
        <v>I</v>
      </c>
      <c r="J3211" s="303"/>
      <c r="L3211" s="22"/>
      <c r="M3211" s="22"/>
      <c r="N3211" s="22"/>
      <c r="O3211" s="22"/>
      <c r="P3211" s="22"/>
      <c r="R3211" s="301"/>
      <c r="S3211" s="355"/>
      <c r="T3211" s="356"/>
      <c r="U3211" s="356"/>
      <c r="V3211" s="356"/>
      <c r="W3211" s="356"/>
      <c r="X3211" s="357"/>
      <c r="Y3211" s="338"/>
      <c r="Z3211" s="338"/>
      <c r="AA3211" s="352"/>
      <c r="AB3211" s="352"/>
      <c r="AC3211" s="352"/>
      <c r="AD3211" s="348"/>
      <c r="AE3211" s="349"/>
      <c r="AF3211" s="350"/>
    </row>
    <row r="3212" spans="1:32" ht="12.75" customHeight="1" thickBot="1">
      <c r="A3212" s="2" t="s">
        <v>1228</v>
      </c>
      <c r="B3212" s="53" t="str">
        <f>B3171</f>
        <v>H</v>
      </c>
      <c r="C3212" s="3" t="s">
        <v>1226</v>
      </c>
      <c r="F3212" s="66" t="str">
        <f>CONCATENATE($B3171,"-",$K3171)</f>
        <v>H-I</v>
      </c>
      <c r="G3212" s="320" t="str">
        <f ca="1">IF(OR(Q3177&lt;&gt;"",Q3184&lt;&gt;"",Q3191&lt;&gt;"",Q3198&lt;&gt;"",Q3205&lt;&gt;""),COUNTIF(Q3177:Q3177,"W")+COUNTIF(Q3184:Q3184,"W")+COUNTIF(Q3191:Q3191,"W")+COUNTIF(Q3198:Q3198,"W")+COUNTIF(Q3205:Q3205,"W"),"")</f>
        <v/>
      </c>
      <c r="H3212" s="321"/>
      <c r="I3212" s="322" t="str">
        <f ca="1">IF(OR(Q3179&lt;&gt;"",Q3186&lt;&gt;"",Q3193&lt;&gt;"",Q3200&lt;&gt;"",Q3207&lt;&gt;""),COUNTIF(Q3179:Q3179,"W")+COUNTIF(Q3186:Q3186,"W")+COUNTIF(Q3193:Q3193,"W")+COUNTIF(Q3200:Q3200,"W")+COUNTIF(Q3207:Q3207,"W"),"")</f>
        <v/>
      </c>
      <c r="J3212" s="323"/>
      <c r="L3212" s="2" t="s">
        <v>1228</v>
      </c>
      <c r="M3212" s="53" t="str">
        <f>K3171</f>
        <v>I</v>
      </c>
      <c r="N3212" s="3" t="s">
        <v>1226</v>
      </c>
      <c r="R3212" s="300" t="str">
        <f>K3171</f>
        <v>I</v>
      </c>
      <c r="S3212" s="331" t="str">
        <f ca="1">IF($B3200&lt;&gt;"",$B3200,"")</f>
        <v/>
      </c>
      <c r="T3212" s="332"/>
      <c r="U3212" s="332"/>
      <c r="V3212" s="332"/>
      <c r="W3212" s="332"/>
      <c r="X3212" s="333"/>
      <c r="Y3212" s="329"/>
      <c r="Z3212" s="329"/>
      <c r="AA3212" s="351"/>
      <c r="AB3212" s="351"/>
      <c r="AC3212" s="351"/>
      <c r="AD3212" s="363" t="s">
        <v>1237</v>
      </c>
      <c r="AE3212" s="358"/>
      <c r="AF3212" s="359"/>
    </row>
    <row r="3213" spans="1:32" ht="12.75" customHeight="1">
      <c r="F3213" s="25" t="s">
        <v>3996</v>
      </c>
      <c r="G3213" s="23"/>
      <c r="H3213" s="23"/>
      <c r="I3213" s="23"/>
      <c r="J3213" s="23"/>
      <c r="K3213" s="24"/>
      <c r="R3213" s="330"/>
      <c r="S3213" s="334"/>
      <c r="T3213" s="335"/>
      <c r="U3213" s="335"/>
      <c r="V3213" s="335"/>
      <c r="W3213" s="335"/>
      <c r="X3213" s="336"/>
      <c r="Y3213" s="330"/>
      <c r="Z3213" s="330"/>
      <c r="AA3213" s="330"/>
      <c r="AB3213" s="330"/>
      <c r="AC3213" s="330"/>
      <c r="AD3213" s="360"/>
      <c r="AE3213" s="361"/>
      <c r="AF3213" s="362"/>
    </row>
    <row r="3214" spans="1:32" ht="12.75" customHeight="1">
      <c r="R3214" s="1"/>
      <c r="S3214" s="110"/>
      <c r="T3214" s="110"/>
      <c r="U3214" s="110"/>
      <c r="V3214" s="110"/>
      <c r="W3214" s="110"/>
      <c r="X3214" s="111"/>
      <c r="Y3214" s="111"/>
      <c r="Z3214" s="111"/>
      <c r="AA3214" s="111"/>
    </row>
    <row r="3215" spans="1:32" ht="12.75" customHeight="1">
      <c r="F3215" s="246" t="s">
        <v>4929</v>
      </c>
      <c r="G3215" s="246"/>
      <c r="H3215" s="246"/>
      <c r="I3215" s="246"/>
      <c r="R3215" s="1"/>
      <c r="S3215" s="110"/>
      <c r="T3215" s="110"/>
      <c r="U3215" s="110"/>
      <c r="V3215" s="110"/>
      <c r="W3215" s="110"/>
      <c r="X3215" s="111"/>
      <c r="Y3215" s="111"/>
      <c r="Z3215" s="111"/>
      <c r="AA3215" s="111"/>
    </row>
    <row r="3216" spans="1:32" ht="12.75" customHeight="1">
      <c r="F3216" s="246" t="s">
        <v>4930</v>
      </c>
      <c r="G3216" s="246"/>
      <c r="H3216" s="246"/>
      <c r="I3216" s="246"/>
      <c r="R3216" s="1"/>
      <c r="S3216" s="110"/>
      <c r="T3216" s="110"/>
      <c r="U3216" s="110"/>
      <c r="V3216" s="110"/>
      <c r="W3216" s="110"/>
      <c r="X3216" s="111"/>
      <c r="Y3216" s="111"/>
      <c r="Z3216" s="111"/>
      <c r="AA3216" s="111"/>
    </row>
    <row r="3217" spans="1:32" ht="12.75" customHeight="1">
      <c r="K3217" s="281" t="s">
        <v>1244</v>
      </c>
      <c r="L3217" s="281"/>
      <c r="M3217" s="281"/>
      <c r="N3217" s="281"/>
      <c r="O3217" s="281"/>
      <c r="P3217" s="281"/>
      <c r="R3217" s="1"/>
      <c r="S3217" s="110"/>
      <c r="T3217" s="110"/>
      <c r="U3217" s="110"/>
      <c r="V3217" s="110"/>
      <c r="W3217" s="110"/>
      <c r="X3217" s="111"/>
      <c r="Y3217" s="111"/>
      <c r="Z3217" s="111"/>
      <c r="AA3217" s="111"/>
    </row>
    <row r="3218" spans="1:32" ht="12.75" customHeight="1">
      <c r="A3218" s="12" t="s">
        <v>1229</v>
      </c>
      <c r="B3218" s="11"/>
      <c r="C3218" s="11"/>
      <c r="D3218" s="11" t="str">
        <f>Draw!$B$1</f>
        <v>Enter Division Name</v>
      </c>
      <c r="E3218" s="11"/>
      <c r="F3218" s="7"/>
      <c r="G3218" s="6"/>
      <c r="H3218" s="7"/>
      <c r="I3218" s="11"/>
      <c r="J3218" s="11"/>
      <c r="K3218" s="11"/>
      <c r="L3218" s="11"/>
      <c r="M3218" s="281"/>
      <c r="N3218" s="281"/>
      <c r="O3218" s="281"/>
      <c r="P3218" s="281"/>
      <c r="R3218" s="1"/>
      <c r="S3218" s="110"/>
      <c r="T3218" s="110"/>
      <c r="U3218" s="110"/>
      <c r="V3218" s="110"/>
      <c r="W3218" s="110"/>
      <c r="X3218" s="111"/>
      <c r="Y3218" s="111"/>
      <c r="Z3218" s="111"/>
      <c r="AA3218" s="111"/>
    </row>
    <row r="3219" spans="1:32" ht="12.75" customHeight="1">
      <c r="A3219" s="2" t="s">
        <v>1230</v>
      </c>
      <c r="D3219" s="43" t="str">
        <f>Draw!$D$1</f>
        <v>Enter Hosting Location (City, ST)</v>
      </c>
      <c r="J3219" s="43" t="str">
        <f ca="1">$J$6</f>
        <v>[NCTTA Teams Template (v2.06).xlsx]</v>
      </c>
      <c r="R3219" s="1"/>
      <c r="S3219" s="110"/>
      <c r="T3219" s="110"/>
      <c r="U3219" s="110"/>
      <c r="V3219" s="110"/>
      <c r="W3219" s="110"/>
      <c r="X3219" s="111"/>
      <c r="Y3219" s="111"/>
      <c r="Z3219" s="111"/>
      <c r="AA3219" s="111"/>
    </row>
    <row r="3220" spans="1:32" ht="12.75" customHeight="1">
      <c r="A3220" s="2" t="s">
        <v>1231</v>
      </c>
      <c r="D3220" s="337" t="str">
        <f>Draw!$P$1</f>
        <v>Enter Date</v>
      </c>
      <c r="E3220" s="337"/>
      <c r="F3220" s="337"/>
      <c r="G3220" s="337"/>
      <c r="J3220" s="280" t="str">
        <f>CHOOSE(Draw!$T$1,"Round 11, Match 4","","","","","","","","","","")</f>
        <v/>
      </c>
      <c r="K3220" s="280"/>
      <c r="L3220" s="280"/>
      <c r="M3220" s="276" t="str">
        <f>IF(AND($J3220&lt;&gt;"",Draw!$AC$10&lt;&gt;"",Draw!$AC$13&lt;&gt;""),Draw!$AC$10+TIME(0,VALUE(MID($J3220,7,FIND(",",$J3220)-FIND(" ",$J3220)-1)-1)*Draw!$AC$13,0),"")</f>
        <v/>
      </c>
      <c r="N3220" s="276"/>
      <c r="O3220" s="157" t="str">
        <f>$F3263</f>
        <v>H-J</v>
      </c>
      <c r="R3220" s="1"/>
      <c r="S3220" s="110"/>
      <c r="T3220" s="110"/>
      <c r="U3220" s="110"/>
      <c r="V3220" s="110"/>
      <c r="W3220" s="110"/>
      <c r="X3220" s="111"/>
      <c r="Y3220" s="111"/>
      <c r="Z3220" s="111"/>
      <c r="AA3220" s="111"/>
    </row>
    <row r="3221" spans="1:32" ht="12.75" customHeight="1">
      <c r="A3221" s="14"/>
      <c r="B3221" s="15"/>
      <c r="C3221" s="15"/>
      <c r="D3221" s="15"/>
      <c r="E3221" s="15"/>
      <c r="F3221" s="14"/>
      <c r="G3221" s="14"/>
      <c r="H3221" s="16"/>
      <c r="I3221" s="14"/>
      <c r="J3221" s="15"/>
      <c r="K3221" s="15"/>
      <c r="L3221" s="15"/>
      <c r="M3221" s="15"/>
      <c r="N3221" s="15"/>
      <c r="O3221" s="364" t="str">
        <f>IF(OR(AND(VLOOKUP($B3222,$AM$1:$AX$12,12,FALSE)="C",VLOOKUP($K3222,$AM$1:$AX$12,12,FALSE)="C"),AND(VLOOKUP($B3222,$AM$1:$AX$12,12,FALSE)="W",VLOOKUP($K3222,$AM$1:$AX$12,12,FALSE)="W")),"Official",IF(AND($A3223="",$J3223=""),"","Scrimmage"))</f>
        <v/>
      </c>
      <c r="P3221" s="364"/>
      <c r="R3221" s="1"/>
      <c r="S3221" s="110"/>
      <c r="T3221" s="110"/>
      <c r="U3221" s="110"/>
      <c r="V3221" s="110"/>
      <c r="W3221" s="110"/>
      <c r="X3221" s="111"/>
      <c r="Y3221" s="111"/>
      <c r="Z3221" s="111"/>
      <c r="AA3221" s="111"/>
    </row>
    <row r="3222" spans="1:32" ht="12.75" customHeight="1">
      <c r="A3222" s="17" t="s">
        <v>1228</v>
      </c>
      <c r="B3222" s="119" t="str">
        <f>CHOOSE(Draw!$T$1,"E","F","H","I","J","J","J","J","J","J","I")</f>
        <v>H</v>
      </c>
      <c r="C3222" s="135">
        <f>VLOOKUP($B3222,$AM$1:$AN$12,2)</f>
        <v>8</v>
      </c>
      <c r="D3222" s="13"/>
      <c r="E3222" s="13"/>
      <c r="F3222" s="10"/>
      <c r="H3222" s="19" t="s">
        <v>1232</v>
      </c>
      <c r="J3222" s="17" t="s">
        <v>1228</v>
      </c>
      <c r="K3222" s="119" t="str">
        <f>CHOOSE(Draw!$T$1,"K","J","J","J","K","K","K","K","K","K","L")</f>
        <v>J</v>
      </c>
      <c r="L3222" s="135">
        <f>VLOOKUP($K3222,$AM$1:$AN$12,2)</f>
        <v>10</v>
      </c>
      <c r="M3222" s="13"/>
      <c r="N3222" s="13"/>
      <c r="O3222" s="18"/>
      <c r="P3222" s="274"/>
      <c r="Q3222" s="275"/>
      <c r="R3222" s="1"/>
      <c r="S3222" s="110"/>
      <c r="T3222" s="110"/>
      <c r="U3222" s="110"/>
      <c r="V3222" s="110"/>
      <c r="W3222" s="110"/>
      <c r="X3222" s="111"/>
      <c r="Y3222" s="111"/>
      <c r="Z3222" s="111"/>
      <c r="AA3222" s="111"/>
    </row>
    <row r="3223" spans="1:32" ht="12.75" customHeight="1">
      <c r="A3223" s="277" t="str">
        <f>IF(VLOOKUP($B3222,Draw!$A$4:$B$27,2)&lt;&gt;0,VLOOKUP($B3222,Draw!$A$4:$B$27,2),"")</f>
        <v/>
      </c>
      <c r="B3223" s="278"/>
      <c r="C3223" s="278"/>
      <c r="D3223" s="278"/>
      <c r="E3223" s="278"/>
      <c r="F3223" s="279"/>
      <c r="G3223" s="306" t="s">
        <v>4215</v>
      </c>
      <c r="H3223" s="289"/>
      <c r="I3223" s="307"/>
      <c r="J3223" s="277" t="str">
        <f>IF(VLOOKUP($K3222,Draw!$A$4:$B$27,2)&lt;&gt;0,VLOOKUP($K3222,Draw!$A$4:$B$27,2),"")</f>
        <v/>
      </c>
      <c r="K3223" s="278"/>
      <c r="L3223" s="278"/>
      <c r="M3223" s="278"/>
      <c r="N3223" s="278"/>
      <c r="O3223" s="279"/>
      <c r="P3223" s="15"/>
      <c r="R3223" s="1"/>
      <c r="S3223" s="110"/>
      <c r="T3223" s="110"/>
      <c r="U3223" s="110"/>
      <c r="V3223" s="110"/>
      <c r="W3223" s="110"/>
      <c r="X3223" s="111"/>
      <c r="Y3223" s="111"/>
      <c r="Z3223" s="111"/>
      <c r="AA3223" s="111"/>
    </row>
    <row r="3224" spans="1:32" ht="12.75" customHeight="1">
      <c r="A3224" s="14"/>
      <c r="B3224" s="15"/>
      <c r="C3224" s="15"/>
      <c r="D3224" s="15"/>
      <c r="E3224" s="15"/>
      <c r="F3224" s="14"/>
      <c r="G3224" s="288" t="str">
        <f>"Page "&amp;VALUE(RIGHT($G3223,LEN($G3223)-SEARCH("-",$G3223)))/2</f>
        <v>Page 64</v>
      </c>
      <c r="H3224" s="289"/>
      <c r="I3224" s="289"/>
      <c r="J3224" s="15"/>
      <c r="K3224" s="15"/>
      <c r="L3224" s="15"/>
      <c r="M3224" s="15"/>
      <c r="N3224" s="15"/>
      <c r="O3224" s="15"/>
      <c r="P3224" s="15"/>
      <c r="R3224" s="1"/>
      <c r="S3224" s="110"/>
      <c r="T3224" s="110"/>
      <c r="U3224" s="110"/>
      <c r="V3224" s="110"/>
      <c r="W3224" s="110"/>
      <c r="X3224" s="111"/>
      <c r="Y3224" s="111"/>
      <c r="Z3224" s="111"/>
      <c r="AA3224" s="111"/>
      <c r="AF3224" s="27"/>
    </row>
    <row r="3225" spans="1:32" ht="12.75" customHeight="1">
      <c r="A3225" s="327" t="s">
        <v>1245</v>
      </c>
      <c r="B3225" s="327"/>
      <c r="C3225" s="327"/>
      <c r="D3225" s="327"/>
      <c r="E3225" s="327"/>
      <c r="F3225" s="327"/>
      <c r="G3225" s="327"/>
      <c r="H3225" s="327"/>
      <c r="I3225" s="327"/>
      <c r="J3225" s="327"/>
      <c r="K3225" s="327"/>
      <c r="L3225" s="327"/>
      <c r="M3225" s="327"/>
      <c r="N3225" s="327"/>
      <c r="O3225" s="327"/>
      <c r="P3225" s="327"/>
      <c r="Q3225" s="7"/>
      <c r="R3225" s="1"/>
      <c r="S3225" s="110"/>
      <c r="T3225" s="110"/>
      <c r="U3225" s="110"/>
      <c r="V3225" s="110"/>
      <c r="W3225" s="110"/>
      <c r="X3225" s="111"/>
      <c r="Y3225" s="111"/>
      <c r="Z3225" s="111"/>
      <c r="AA3225" s="111"/>
      <c r="AF3225" s="20"/>
    </row>
    <row r="3226" spans="1:32" ht="12.75" customHeight="1">
      <c r="A3226" s="21" t="s">
        <v>1233</v>
      </c>
      <c r="H3226" s="136" t="str">
        <f>IF($Q3228&lt;&gt;"",IF(AND(AND($H3228&gt;-1,$H3230&gt;-1),OR($H3228&gt;10,$H3230&gt;10),ABS($H3228-$H3230)&gt;1,IF(OR($H3228&gt;11,$H3230&gt;11),ABS($H3228-$H3230)=2,TRUE),$H3228=INT($H3228),$H3230=INT($H3230)),"","Error"),"")</f>
        <v/>
      </c>
      <c r="I3226" s="136" t="str">
        <f>IF($Q3228&lt;&gt;"",IF(AND(AND($I3228&gt;-1,$I3230&gt;-1),OR($I3228&gt;10,$I3230&gt;10),ABS($I3228-$I3230)&gt;1,IF(OR($I3228&gt;11,$I3230&gt;11),ABS($I3228-$I3230)=2,TRUE),$I3228=INT($I3228),$I3230=INT($I3230)),"","Error"),"")</f>
        <v/>
      </c>
      <c r="J3226" s="136" t="str">
        <f>IF($Q3228&lt;&gt;"",IF(AND(AND($J3228&gt;-1,$J3230&gt;-1),OR($J3228&gt;10,$J3230&gt;10),ABS($J3228-$J3230)&gt;1,IF(OR($J3228&gt;11,$J3230&gt;11),ABS($J3228-$J3230)=2,TRUE),$J3228=INT($J3228),$J3230=INT($J3230)),"","Error"),"")</f>
        <v/>
      </c>
      <c r="K3226" s="136" t="str">
        <f>IF($Q3228&lt;&gt;"",IF(AND($K3228&lt;&gt;"",$K3230&lt;&gt;""), IF(AND(AND($K3228&gt;-1,$K3230&gt;-1),OR($K3228&gt;10,$K3230&gt;10),ABS($K3228-$K3230)&gt;1,IF(OR($K3228&gt;11,$K3230&gt;11),ABS($K3228-$K3230)=2,TRUE),$K3228=INT($K3228),$K3230=INT($K3230)),"","Error"),""),"")</f>
        <v/>
      </c>
      <c r="L3226" s="136" t="str">
        <f>IF($Q3228&lt;&gt;"",IF(AND($L3228&lt;&gt;"",$L3230&lt;&gt;""), IF(AND(AND($L3228&gt;-1,$L3230&gt;-1),OR($L3228&gt;10,$L3230&gt;10),ABS($L3228-$L3230)&gt;1,IF(OR($L3228&gt;11,$L3230&gt;11),ABS($L3228-$L3230)=2,TRUE),$L3228=INT($L3228),$L3230=INT($L3230)),"","Error"),""),"")</f>
        <v/>
      </c>
      <c r="R3226" s="1"/>
      <c r="S3226" s="110"/>
      <c r="T3226" s="110"/>
      <c r="U3226" s="110"/>
      <c r="V3226" s="110"/>
      <c r="W3226" s="110"/>
      <c r="X3226" s="111"/>
      <c r="Y3226" s="111"/>
      <c r="Z3226" s="111"/>
      <c r="AA3226" s="111"/>
    </row>
    <row r="3227" spans="1:32" ht="12.75" customHeight="1">
      <c r="A3227" s="5" t="s">
        <v>1228</v>
      </c>
      <c r="B3227" s="290" t="s">
        <v>1126</v>
      </c>
      <c r="C3227" s="291"/>
      <c r="D3227" s="291"/>
      <c r="E3227" s="291"/>
      <c r="F3227" s="291"/>
      <c r="G3227" s="292"/>
      <c r="H3227" s="5">
        <v>1</v>
      </c>
      <c r="I3227" s="5">
        <v>2</v>
      </c>
      <c r="J3227" s="5">
        <v>3</v>
      </c>
      <c r="K3227" s="5">
        <v>4</v>
      </c>
      <c r="L3227" s="5">
        <v>5</v>
      </c>
      <c r="M3227" s="271"/>
      <c r="N3227" s="272"/>
      <c r="O3227" s="272"/>
      <c r="P3227" s="273"/>
      <c r="R3227" s="1"/>
      <c r="S3227" s="110"/>
      <c r="T3227" s="110"/>
      <c r="U3227" s="110"/>
      <c r="V3227" s="110"/>
      <c r="W3227" s="110"/>
      <c r="X3227" s="111"/>
      <c r="Y3227" s="111"/>
      <c r="Z3227" s="111"/>
      <c r="AA3227" s="111"/>
    </row>
    <row r="3228" spans="1:32" ht="12.75" customHeight="1">
      <c r="A3228" s="300" t="str">
        <f>B3222</f>
        <v>H</v>
      </c>
      <c r="B3228" s="293" t="str">
        <f ca="1">IF(AND(OFFSET($AO$1,$C3222-1,8,1,1),$A3223&lt;&gt;"",$J3223&lt;&gt;""),CHOOSE($C3222,$AO$1,$AO$2,$AO$3,$AO$4,$AO$5,$AO$6,$AO$7,$AO$8,$AO$9,$AO$10,$AO$11,$AO$12),"")</f>
        <v/>
      </c>
      <c r="C3228" s="294"/>
      <c r="D3228" s="294"/>
      <c r="E3228" s="294"/>
      <c r="F3228" s="294"/>
      <c r="G3228" s="294"/>
      <c r="H3228" s="265"/>
      <c r="I3228" s="265"/>
      <c r="J3228" s="265"/>
      <c r="K3228" s="265"/>
      <c r="L3228" s="265"/>
      <c r="M3228" s="297"/>
      <c r="N3228" s="298"/>
      <c r="O3228" s="298"/>
      <c r="P3228" s="299"/>
      <c r="Q3228" s="137" t="str">
        <f>IF($L3228=$L3230,IF($K3228=$K3230,IF($J3228&lt;&gt;"",IF($J3228&gt;$J3230,"W","L"),""),IF($K3228&gt;$K3230,"W","L")),IF($L3228&gt;$L3230,"W","L"))</f>
        <v/>
      </c>
      <c r="R3228" s="1"/>
      <c r="S3228" s="110"/>
      <c r="T3228" s="110"/>
      <c r="U3228" s="110"/>
      <c r="V3228" s="110"/>
      <c r="W3228" s="110"/>
      <c r="X3228" s="111"/>
      <c r="Y3228" s="111"/>
      <c r="Z3228" s="111"/>
      <c r="AA3228" s="111"/>
    </row>
    <row r="3229" spans="1:32" ht="12.75" customHeight="1">
      <c r="A3229" s="301"/>
      <c r="B3229" s="295"/>
      <c r="C3229" s="296"/>
      <c r="D3229" s="296"/>
      <c r="E3229" s="296"/>
      <c r="F3229" s="296"/>
      <c r="G3229" s="296"/>
      <c r="H3229" s="270"/>
      <c r="I3229" s="270"/>
      <c r="J3229" s="270"/>
      <c r="K3229" s="270"/>
      <c r="L3229" s="270"/>
      <c r="M3229" s="297"/>
      <c r="N3229" s="298"/>
      <c r="O3229" s="298"/>
      <c r="P3229" s="299"/>
      <c r="Q3229" s="139" t="str">
        <f>IF($Q3228&lt;&gt;"",IF($Q3228="W",IF(SUM(IF($H3228&gt;$H3230,1,0),IF($I3228&gt;$I3230,1,0),IF($J3228&gt;$J3230,1,0),IF($K3228&gt;$K3230,1,0),IF($L3228&gt;$L3230,1,0))&lt;&gt;3,"Error",""),""),"")</f>
        <v/>
      </c>
      <c r="R3229" s="328" t="str">
        <f>$A3223</f>
        <v/>
      </c>
      <c r="S3229" s="328"/>
      <c r="T3229" s="328"/>
      <c r="U3229" s="328"/>
      <c r="V3229" s="328"/>
      <c r="W3229" s="328"/>
      <c r="X3229" s="256" t="str">
        <f>CONCATENATE("(",$B3222," vs ",$K3222,")")</f>
        <v>(H vs J)</v>
      </c>
      <c r="Y3229" s="256"/>
      <c r="Z3229" s="328" t="str">
        <f>$J3223</f>
        <v/>
      </c>
      <c r="AA3229" s="328"/>
      <c r="AB3229" s="328"/>
      <c r="AC3229" s="328"/>
      <c r="AD3229" s="328"/>
      <c r="AE3229" s="328"/>
      <c r="AF3229" s="43"/>
    </row>
    <row r="3230" spans="1:32" ht="12.75" customHeight="1">
      <c r="A3230" s="300" t="str">
        <f>K3222</f>
        <v>J</v>
      </c>
      <c r="B3230" s="293" t="str">
        <f ca="1">IF(AND(OFFSET($AO$1,$L3222-1,8,1,1),$A3223&lt;&gt;"",$J3223&lt;&gt;""),CHOOSE($L3222,$AO$1,$AO$2,$AO$3,$AO$4,$AO$5,$AO$6,$AO$7,$AO$8,$AO$9,$AO$10,$AO$11,$AO$12),"")</f>
        <v/>
      </c>
      <c r="C3230" s="294"/>
      <c r="D3230" s="294"/>
      <c r="E3230" s="294"/>
      <c r="F3230" s="294"/>
      <c r="G3230" s="294"/>
      <c r="H3230" s="265"/>
      <c r="I3230" s="265"/>
      <c r="J3230" s="265"/>
      <c r="K3230" s="265"/>
      <c r="L3230" s="265"/>
      <c r="M3230" s="267" t="s">
        <v>1237</v>
      </c>
      <c r="N3230" s="268"/>
      <c r="O3230" s="268"/>
      <c r="P3230" s="269"/>
      <c r="Q3230" s="137" t="str">
        <f>IF($Q3228&lt;&gt;"",IF($Q3228="W","L","W"),"")</f>
        <v/>
      </c>
      <c r="R3230" s="43"/>
      <c r="S3230" s="43"/>
      <c r="T3230" s="43"/>
      <c r="U3230" s="43"/>
      <c r="V3230" s="43"/>
      <c r="W3230" s="43"/>
      <c r="X3230" s="43"/>
      <c r="Y3230" s="43"/>
      <c r="Z3230" s="43"/>
      <c r="AA3230" s="43"/>
      <c r="AB3230" s="43"/>
      <c r="AC3230" s="43"/>
      <c r="AD3230" s="43"/>
      <c r="AE3230" s="43"/>
      <c r="AF3230" s="43"/>
    </row>
    <row r="3231" spans="1:32" ht="12.75" customHeight="1">
      <c r="A3231" s="301"/>
      <c r="B3231" s="295"/>
      <c r="C3231" s="296"/>
      <c r="D3231" s="296"/>
      <c r="E3231" s="296"/>
      <c r="F3231" s="296"/>
      <c r="G3231" s="296"/>
      <c r="H3231" s="270"/>
      <c r="I3231" s="270"/>
      <c r="J3231" s="266"/>
      <c r="K3231" s="266"/>
      <c r="L3231" s="266"/>
      <c r="M3231" s="267"/>
      <c r="N3231" s="268"/>
      <c r="O3231" s="268"/>
      <c r="P3231" s="269"/>
      <c r="Q3231" s="139" t="str">
        <f>IF($Q3230&lt;&gt;"",IF($Q3230="W",IF(SUM(IF($H3230&gt;$H3228,1,0),IF($I3230&gt;$I3228,1,0),IF($J3230&gt;$J3228,1,0),IF($K3230&gt;$K3228,1,0),IF($L3230&gt;$L3228,1,0))&lt;&gt;3,"Error",""),""),"")</f>
        <v/>
      </c>
      <c r="R3231" s="43" t="str">
        <f>$A3233</f>
        <v>2nd Singles</v>
      </c>
      <c r="S3231" s="43"/>
      <c r="T3231" s="43"/>
      <c r="U3231" s="43"/>
      <c r="V3231" s="43"/>
      <c r="W3231" s="43"/>
      <c r="X3231" s="43"/>
      <c r="Y3231" s="43"/>
      <c r="Z3231" s="43"/>
      <c r="AA3231" s="43"/>
      <c r="AB3231" s="43"/>
      <c r="AC3231" s="43"/>
      <c r="AD3231" s="43"/>
      <c r="AE3231" s="43"/>
      <c r="AF3231" s="43"/>
    </row>
    <row r="3232" spans="1:32" ht="12.75" customHeight="1">
      <c r="Q3232" s="7"/>
      <c r="R3232" s="60" t="s">
        <v>1228</v>
      </c>
      <c r="S3232" s="339" t="s">
        <v>1126</v>
      </c>
      <c r="T3232" s="340"/>
      <c r="U3232" s="340"/>
      <c r="V3232" s="340"/>
      <c r="W3232" s="340"/>
      <c r="X3232" s="341"/>
      <c r="Y3232" s="60">
        <v>1</v>
      </c>
      <c r="Z3232" s="60">
        <v>2</v>
      </c>
      <c r="AA3232" s="60">
        <v>3</v>
      </c>
      <c r="AB3232" s="60">
        <v>4</v>
      </c>
      <c r="AC3232" s="60">
        <v>5</v>
      </c>
      <c r="AD3232" s="342"/>
      <c r="AE3232" s="343"/>
      <c r="AF3232" s="344"/>
    </row>
    <row r="3233" spans="1:32" ht="12.75" customHeight="1">
      <c r="A3233" s="21" t="s">
        <v>1234</v>
      </c>
      <c r="H3233" s="136" t="str">
        <f>IF($Q3235&lt;&gt;"",IF(AND(AND($H3235&gt;-1,$H3237&gt;-1),OR($H3235&gt;10,$H3237&gt;10),ABS($H3235-$H3237)&gt;1,IF(OR($H3235&gt;11,$H3237&gt;11),ABS($H3235-$H3237)=2,TRUE),$H3235=INT($H3235),$H3237=INT($H3237)),"","Error"),"")</f>
        <v/>
      </c>
      <c r="I3233" s="136" t="str">
        <f>IF($Q3235&lt;&gt;"",IF(AND(AND($I3235&gt;-1,$I3237&gt;-1),OR($I3235&gt;10,$I3237&gt;10),ABS($I3235-$I3237)&gt;1,IF(OR($I3235&gt;11,$I3237&gt;11),ABS($I3235-$I3237)=2,TRUE),$I3235=INT($I3235),$I3237=INT($I3237)),"","Error"),"")</f>
        <v/>
      </c>
      <c r="J3233" s="136" t="str">
        <f>IF($Q3235&lt;&gt;"",IF(AND(AND($J3235&gt;-1,$J3237&gt;-1),OR($J3235&gt;10,$J3237&gt;10),ABS($J3235-$J3237)&gt;1,IF(OR($J3235&gt;11,$J3237&gt;11),ABS($J3235-$J3237)=2,TRUE),$J3235=INT($J3235),$J3237=INT($J3237)),"","Error"),"")</f>
        <v/>
      </c>
      <c r="K3233" s="136" t="str">
        <f>IF($Q3235&lt;&gt;"",IF(AND($K3235&lt;&gt;"",$K3237&lt;&gt;""), IF(AND(AND($K3235&gt;-1,$K3237&gt;-1),OR($K3235&gt;10,$K3237&gt;10),ABS($K3235-$K3237)&gt;1,IF(OR($K3235&gt;11,$K3237&gt;11),ABS($K3235-$K3237)=2,TRUE),$K3235=INT($K3235),$K3237=INT($K3237)),"","Error"),""),"")</f>
        <v/>
      </c>
      <c r="L3233" s="136" t="str">
        <f>IF($Q3235&lt;&gt;"",IF(AND($L3235&lt;&gt;"",$L3237&lt;&gt;""), IF(AND(AND($L3235&gt;-1,$L3237&gt;-1),OR($L3235&gt;10,$L3237&gt;10),ABS($L3235-$L3237)&gt;1,IF(OR($L3235&gt;11,$L3237&gt;11),ABS($L3235-$L3237)=2,TRUE),$L3235=INT($L3235),$L3237=INT($L3237)),"","Error"),""),"")</f>
        <v/>
      </c>
      <c r="Q3233" s="7"/>
      <c r="R3233" s="300" t="str">
        <f>$B3222</f>
        <v>H</v>
      </c>
      <c r="S3233" s="331" t="str">
        <f ca="1">IF($B3235&lt;&gt;"",$B3235,"")</f>
        <v/>
      </c>
      <c r="T3233" s="332"/>
      <c r="U3233" s="332"/>
      <c r="V3233" s="332"/>
      <c r="W3233" s="332"/>
      <c r="X3233" s="333"/>
      <c r="Y3233" s="329"/>
      <c r="Z3233" s="329"/>
      <c r="AA3233" s="329"/>
      <c r="AB3233" s="329"/>
      <c r="AC3233" s="329"/>
      <c r="AD3233" s="345"/>
      <c r="AE3233" s="358"/>
      <c r="AF3233" s="359"/>
    </row>
    <row r="3234" spans="1:32" ht="12.75" customHeight="1">
      <c r="A3234" s="5" t="s">
        <v>1228</v>
      </c>
      <c r="B3234" s="290" t="s">
        <v>1126</v>
      </c>
      <c r="C3234" s="291"/>
      <c r="D3234" s="291"/>
      <c r="E3234" s="291"/>
      <c r="F3234" s="291"/>
      <c r="G3234" s="292"/>
      <c r="H3234" s="5">
        <v>1</v>
      </c>
      <c r="I3234" s="5">
        <v>2</v>
      </c>
      <c r="J3234" s="5">
        <v>3</v>
      </c>
      <c r="K3234" s="5">
        <v>4</v>
      </c>
      <c r="L3234" s="5">
        <v>5</v>
      </c>
      <c r="M3234" s="271"/>
      <c r="N3234" s="272"/>
      <c r="O3234" s="272"/>
      <c r="P3234" s="273"/>
      <c r="Q3234" s="7"/>
      <c r="R3234" s="330"/>
      <c r="S3234" s="334"/>
      <c r="T3234" s="335"/>
      <c r="U3234" s="335"/>
      <c r="V3234" s="335"/>
      <c r="W3234" s="335"/>
      <c r="X3234" s="336"/>
      <c r="Y3234" s="330"/>
      <c r="Z3234" s="330"/>
      <c r="AA3234" s="330"/>
      <c r="AB3234" s="330"/>
      <c r="AC3234" s="330"/>
      <c r="AD3234" s="360"/>
      <c r="AE3234" s="361"/>
      <c r="AF3234" s="362"/>
    </row>
    <row r="3235" spans="1:32" ht="12.75" customHeight="1">
      <c r="A3235" s="300" t="str">
        <f>B3222</f>
        <v>H</v>
      </c>
      <c r="B3235" s="293" t="str">
        <f ca="1">IF(AND(OFFSET($AO$1,$C3222-1,8,1,1),$A3223&lt;&gt;"",$J3223&lt;&gt;""),CHOOSE($C3222,$AP$1,$AP$2,$AP$3,$AP$4,$AP$5,$AP$6,$AP$7,$AP$8,$AP$9,$AP$10,$AP$11,$AP$12),"")</f>
        <v/>
      </c>
      <c r="C3235" s="294"/>
      <c r="D3235" s="294"/>
      <c r="E3235" s="294"/>
      <c r="F3235" s="294"/>
      <c r="G3235" s="294"/>
      <c r="H3235" s="265"/>
      <c r="I3235" s="265"/>
      <c r="J3235" s="265"/>
      <c r="K3235" s="265"/>
      <c r="L3235" s="265"/>
      <c r="M3235" s="262" t="str">
        <f ca="1">IF(OR(AND($B3228&lt;&gt;"",$B3235&lt;&gt;"",$C3253&lt;=$B3253),AND($B3230&lt;&gt;"",$B3237&lt;&gt;"",$G3253&lt;=$F3253)),"Invalid Lineup","")</f>
        <v/>
      </c>
      <c r="N3235" s="263"/>
      <c r="O3235" s="263"/>
      <c r="P3235" s="264"/>
      <c r="Q3235" s="137" t="str">
        <f>IF($L3235=$L3237,IF($K3235=$K3237,IF($J3235&lt;&gt;"",IF($J3235&gt;$J3237,"W","L"),""),IF($K3235&gt;$K3237,"W","L")),IF($L3235&gt;$L3237,"W","L"))</f>
        <v/>
      </c>
      <c r="R3235" s="300" t="str">
        <f>$K3222</f>
        <v>J</v>
      </c>
      <c r="S3235" s="331" t="str">
        <f ca="1">IF($B3237&lt;&gt;"",$B3237,"")</f>
        <v/>
      </c>
      <c r="T3235" s="332"/>
      <c r="U3235" s="332"/>
      <c r="V3235" s="332"/>
      <c r="W3235" s="332"/>
      <c r="X3235" s="333"/>
      <c r="Y3235" s="329"/>
      <c r="Z3235" s="329"/>
      <c r="AA3235" s="329"/>
      <c r="AB3235" s="329"/>
      <c r="AC3235" s="351"/>
      <c r="AD3235" s="363" t="s">
        <v>1237</v>
      </c>
      <c r="AE3235" s="358"/>
      <c r="AF3235" s="359"/>
    </row>
    <row r="3236" spans="1:32" ht="12.75" customHeight="1">
      <c r="A3236" s="301"/>
      <c r="B3236" s="295"/>
      <c r="C3236" s="296"/>
      <c r="D3236" s="296"/>
      <c r="E3236" s="296"/>
      <c r="F3236" s="296"/>
      <c r="G3236" s="296"/>
      <c r="H3236" s="270"/>
      <c r="I3236" s="270"/>
      <c r="J3236" s="270"/>
      <c r="K3236" s="270"/>
      <c r="L3236" s="270"/>
      <c r="M3236" s="262"/>
      <c r="N3236" s="263"/>
      <c r="O3236" s="263"/>
      <c r="P3236" s="264"/>
      <c r="Q3236" s="139" t="str">
        <f>IF($Q3235&lt;&gt;"",IF($Q3235="W",IF(SUM(IF($H3235&gt;$H3237,1,0),IF($I3235&gt;$I3237,1,0),IF($J3235&gt;$J3237,1,0),IF($K3235&gt;$K3237,1,0),IF($L3235&gt;$L3237,1,0))&lt;&gt;3,"Error",""),""),"")</f>
        <v/>
      </c>
      <c r="R3236" s="330"/>
      <c r="S3236" s="334"/>
      <c r="T3236" s="335"/>
      <c r="U3236" s="335"/>
      <c r="V3236" s="335"/>
      <c r="W3236" s="335"/>
      <c r="X3236" s="336"/>
      <c r="Y3236" s="330"/>
      <c r="Z3236" s="330"/>
      <c r="AA3236" s="330"/>
      <c r="AB3236" s="330"/>
      <c r="AC3236" s="330"/>
      <c r="AD3236" s="360"/>
      <c r="AE3236" s="361"/>
      <c r="AF3236" s="362"/>
    </row>
    <row r="3237" spans="1:32" ht="12.75" customHeight="1">
      <c r="A3237" s="300" t="str">
        <f>K3222</f>
        <v>J</v>
      </c>
      <c r="B3237" s="293" t="str">
        <f ca="1">IF(AND(OFFSET($AO$1,$L3222-1,8,1,1),$A3223&lt;&gt;"",$J3223&lt;&gt;""),CHOOSE($L3222,$AP$1,$AP$2,$AP$3,$AP$4,$AP$5,$AP$6,$AP$7,$AP$8,$AP$9,$AP$10,$AP$11,$AP$12),"")</f>
        <v/>
      </c>
      <c r="C3237" s="294"/>
      <c r="D3237" s="294"/>
      <c r="E3237" s="294"/>
      <c r="F3237" s="294"/>
      <c r="G3237" s="294"/>
      <c r="H3237" s="265"/>
      <c r="I3237" s="265"/>
      <c r="J3237" s="265"/>
      <c r="K3237" s="265"/>
      <c r="L3237" s="265"/>
      <c r="M3237" s="267" t="s">
        <v>1237</v>
      </c>
      <c r="N3237" s="268"/>
      <c r="O3237" s="268"/>
      <c r="P3237" s="269"/>
      <c r="Q3237" s="137" t="str">
        <f>IF($Q3235&lt;&gt;"",IF($Q3235="W","L","W"),"")</f>
        <v/>
      </c>
      <c r="R3237" s="20"/>
      <c r="S3237" s="20"/>
      <c r="T3237" s="20"/>
      <c r="U3237" s="20"/>
      <c r="V3237" s="20"/>
      <c r="W3237" s="20"/>
      <c r="X3237" s="26"/>
      <c r="Y3237" s="26"/>
      <c r="Z3237" s="20"/>
      <c r="AA3237" s="20"/>
      <c r="AB3237" s="20"/>
      <c r="AC3237" s="20"/>
      <c r="AD3237" s="20"/>
      <c r="AE3237" s="20"/>
      <c r="AF3237" s="27"/>
    </row>
    <row r="3238" spans="1:32" ht="12.75" customHeight="1">
      <c r="A3238" s="301"/>
      <c r="B3238" s="295"/>
      <c r="C3238" s="296"/>
      <c r="D3238" s="296"/>
      <c r="E3238" s="296"/>
      <c r="F3238" s="296"/>
      <c r="G3238" s="296"/>
      <c r="H3238" s="270"/>
      <c r="I3238" s="270"/>
      <c r="J3238" s="266"/>
      <c r="K3238" s="266"/>
      <c r="L3238" s="266"/>
      <c r="M3238" s="267"/>
      <c r="N3238" s="268"/>
      <c r="O3238" s="268"/>
      <c r="P3238" s="269"/>
      <c r="Q3238" s="139" t="str">
        <f>IF($Q3237&lt;&gt;"",IF($Q3237="W",IF(SUM(IF($H3237&gt;$H3235,1,0),IF($I3237&gt;$I3235,1,0),IF($J3237&gt;$J3235,1,0),IF($K3237&gt;$K3235,1,0),IF($L3237&gt;$L3235,1,0))&lt;&gt;3,"Error",""),""),"")</f>
        <v/>
      </c>
      <c r="R3238" s="20"/>
      <c r="S3238" s="20"/>
      <c r="T3238" s="20"/>
      <c r="U3238" s="20"/>
      <c r="V3238" s="20"/>
      <c r="W3238" s="20"/>
      <c r="X3238" s="26"/>
      <c r="Y3238" s="26"/>
      <c r="Z3238" s="20"/>
      <c r="AA3238" s="20"/>
      <c r="AB3238" s="20"/>
      <c r="AC3238" s="20"/>
      <c r="AD3238" s="20"/>
      <c r="AE3238" s="20"/>
      <c r="AF3238" s="27"/>
    </row>
    <row r="3239" spans="1:32" ht="12.75" customHeight="1">
      <c r="Q3239" s="7"/>
      <c r="R3239" s="20"/>
      <c r="S3239" s="20"/>
      <c r="T3239" s="20"/>
      <c r="U3239" s="20"/>
      <c r="V3239" s="20"/>
      <c r="W3239" s="20"/>
      <c r="X3239" s="26"/>
      <c r="Y3239" s="26"/>
      <c r="Z3239" s="20"/>
      <c r="AA3239" s="20"/>
      <c r="AB3239" s="20"/>
      <c r="AC3239" s="20"/>
      <c r="AD3239" s="20"/>
      <c r="AE3239" s="20"/>
      <c r="AF3239" s="27"/>
    </row>
    <row r="3240" spans="1:32" ht="12.75" customHeight="1">
      <c r="A3240" s="21" t="s">
        <v>1235</v>
      </c>
      <c r="H3240" s="136" t="str">
        <f>IF($Q3242&lt;&gt;"",IF(AND(AND($H3242&gt;-1,$H3244&gt;-1),OR($H3242&gt;10,$H3244&gt;10),ABS($H3242-$H3244)&gt;1,IF(OR($H3242&gt;11,$H3244&gt;11),ABS($H3242-$H3244)=2,TRUE),$H3242=INT($H3242),$H3244=INT($H3244)),"","Error"),"")</f>
        <v/>
      </c>
      <c r="I3240" s="136" t="str">
        <f>IF($Q3242&lt;&gt;"",IF(AND(AND($I3242&gt;-1,$I3244&gt;-1),OR($I3242&gt;10,$I3244&gt;10),ABS($I3242-$I3244)&gt;1,IF(OR($I3242&gt;11,$I3244&gt;11),ABS($I3242-$I3244)=2,TRUE),$I3242=INT($I3242),$I3244=INT($I3244)),"","Error"),"")</f>
        <v/>
      </c>
      <c r="J3240" s="136" t="str">
        <f>IF($Q3242&lt;&gt;"",IF(AND(AND($J3242&gt;-1,$J3244&gt;-1),OR($J3242&gt;10,$J3244&gt;10),ABS($J3242-$J3244)&gt;1,IF(OR($J3242&gt;11,$J3244&gt;11),ABS($J3242-$J3244)=2,TRUE),$J3242=INT($J3242),$J3244=INT($J3244)),"","Error"),"")</f>
        <v/>
      </c>
      <c r="K3240" s="136" t="str">
        <f>IF($Q3242&lt;&gt;"",IF(AND($K3242&lt;&gt;"",$K3244&lt;&gt;""), IF(AND(AND($K3242&gt;-1,$K3244&gt;-1),OR($K3242&gt;10,$K3244&gt;10),ABS($K3242-$K3244)&gt;1,IF(OR($K3242&gt;11,$K3244&gt;11),ABS($K3242-$K3244)=2,TRUE),$K3242=INT($K3242),$K3244=INT($K3244)),"","Error"),""),"")</f>
        <v/>
      </c>
      <c r="L3240" s="136" t="str">
        <f>IF($Q3242&lt;&gt;"",IF(AND($L3242&lt;&gt;"",$L3244&lt;&gt;""), IF(AND(AND($L3242&gt;-1,$L3244&gt;-1),OR($L3242&gt;10,$L3244&gt;10),ABS($L3242-$L3244)&gt;1,IF(OR($L3242&gt;11,$L3244&gt;11),ABS($L3242-$L3244)=2,TRUE),$L3242=INT($L3242),$L3244=INT($L3244)),"","Error"),""),"")</f>
        <v/>
      </c>
      <c r="Q3240" s="7"/>
      <c r="R3240" s="20"/>
      <c r="S3240" s="20"/>
      <c r="T3240" s="20"/>
      <c r="U3240" s="20"/>
      <c r="V3240" s="20"/>
      <c r="W3240" s="20"/>
      <c r="X3240" s="26"/>
      <c r="Y3240" s="26"/>
      <c r="Z3240" s="20"/>
      <c r="AA3240" s="20"/>
      <c r="AB3240" s="20"/>
      <c r="AC3240" s="20"/>
      <c r="AD3240" s="20"/>
      <c r="AE3240" s="20"/>
      <c r="AF3240" s="27"/>
    </row>
    <row r="3241" spans="1:32" ht="12.75" customHeight="1">
      <c r="A3241" s="5" t="s">
        <v>1228</v>
      </c>
      <c r="B3241" s="290" t="s">
        <v>1126</v>
      </c>
      <c r="C3241" s="291"/>
      <c r="D3241" s="291"/>
      <c r="E3241" s="291"/>
      <c r="F3241" s="291"/>
      <c r="G3241" s="292"/>
      <c r="H3241" s="5">
        <v>1</v>
      </c>
      <c r="I3241" s="5">
        <v>2</v>
      </c>
      <c r="J3241" s="5">
        <v>3</v>
      </c>
      <c r="K3241" s="5">
        <v>4</v>
      </c>
      <c r="L3241" s="5">
        <v>5</v>
      </c>
      <c r="M3241" s="271"/>
      <c r="N3241" s="272"/>
      <c r="O3241" s="272"/>
      <c r="P3241" s="273"/>
      <c r="Q3241" s="7"/>
      <c r="R3241" s="20"/>
      <c r="S3241" s="20"/>
      <c r="T3241" s="20"/>
      <c r="U3241" s="20"/>
      <c r="V3241" s="20"/>
      <c r="W3241" s="20"/>
      <c r="X3241" s="26"/>
      <c r="Y3241" s="26"/>
      <c r="Z3241" s="20"/>
      <c r="AA3241" s="20"/>
      <c r="AB3241" s="20"/>
      <c r="AC3241" s="20"/>
      <c r="AD3241" s="20"/>
      <c r="AE3241" s="20"/>
      <c r="AF3241" s="27"/>
    </row>
    <row r="3242" spans="1:32" ht="12.75" customHeight="1">
      <c r="A3242" s="300" t="str">
        <f>B3222</f>
        <v>H</v>
      </c>
      <c r="B3242" s="293" t="str">
        <f ca="1">IF(AND(OFFSET($AO$1,$C3222-1,8,1,1),$A3223&lt;&gt;"",$J3223&lt;&gt;""),CHOOSE($C3222,$AQ$1,$AQ$2,$AQ$3,$AQ$4,$AQ$5,$AQ$6,$AQ$7,$AQ$8,$AQ$9,$AQ$10,$AQ$11,$AQ$12),"")</f>
        <v/>
      </c>
      <c r="C3242" s="294"/>
      <c r="D3242" s="294"/>
      <c r="E3242" s="294"/>
      <c r="F3242" s="294"/>
      <c r="G3242" s="294"/>
      <c r="H3242" s="265"/>
      <c r="I3242" s="265"/>
      <c r="J3242" s="265"/>
      <c r="K3242" s="265"/>
      <c r="L3242" s="265"/>
      <c r="M3242" s="262" t="str">
        <f ca="1">IF(OR(AND($B3235&lt;&gt;"",$B3242&lt;&gt;"",$D3253&lt;=$C3253),AND($B3237&lt;&gt;"",$B3244&lt;&gt;"",$H3253&lt;=$G3253)),"Invalid Lineup","")</f>
        <v/>
      </c>
      <c r="N3242" s="263"/>
      <c r="O3242" s="263"/>
      <c r="P3242" s="264"/>
      <c r="Q3242" s="137" t="str">
        <f>IF($L3242=$L3244,IF($K3242=$K3244,IF($J3242&lt;&gt;"",IF($J3242&gt;$J3244,"W","L"),""),IF($K3242&gt;$K3244,"W","L")),IF($L3242&gt;$L3244,"W","L"))</f>
        <v/>
      </c>
      <c r="R3242" s="20"/>
      <c r="S3242" s="20"/>
      <c r="T3242" s="20"/>
      <c r="U3242" s="20"/>
      <c r="V3242" s="20"/>
      <c r="W3242" s="20"/>
      <c r="X3242" s="26"/>
      <c r="Y3242" s="26"/>
      <c r="Z3242" s="20"/>
      <c r="AA3242" s="20"/>
      <c r="AB3242" s="20"/>
      <c r="AC3242" s="20"/>
      <c r="AD3242" s="20"/>
      <c r="AE3242" s="20"/>
      <c r="AF3242" s="27"/>
    </row>
    <row r="3243" spans="1:32" ht="12.75" customHeight="1">
      <c r="A3243" s="301"/>
      <c r="B3243" s="295"/>
      <c r="C3243" s="296"/>
      <c r="D3243" s="296"/>
      <c r="E3243" s="296"/>
      <c r="F3243" s="296"/>
      <c r="G3243" s="296"/>
      <c r="H3243" s="270"/>
      <c r="I3243" s="270"/>
      <c r="J3243" s="270"/>
      <c r="K3243" s="270"/>
      <c r="L3243" s="270"/>
      <c r="M3243" s="262"/>
      <c r="N3243" s="263"/>
      <c r="O3243" s="263"/>
      <c r="P3243" s="264"/>
      <c r="Q3243" s="139" t="str">
        <f>IF($Q3242&lt;&gt;"",IF($Q3242="W",IF(SUM(IF($H3242&gt;$H3244,1,0),IF($I3242&gt;$I3244,1,0),IF($J3242&gt;$J3244,1,0),IF($K3242&gt;$K3244,1,0),IF($L3242&gt;$L3244,1,0))&lt;&gt;3,"Error",""),""),"")</f>
        <v/>
      </c>
      <c r="R3243" s="328" t="str">
        <f>$A3223</f>
        <v/>
      </c>
      <c r="S3243" s="328"/>
      <c r="T3243" s="328"/>
      <c r="U3243" s="328"/>
      <c r="V3243" s="328"/>
      <c r="W3243" s="328"/>
      <c r="X3243" s="256" t="str">
        <f>CONCATENATE("(",$B3222," vs ",$K3222,")")</f>
        <v>(H vs J)</v>
      </c>
      <c r="Y3243" s="256"/>
      <c r="Z3243" s="328" t="str">
        <f>$J3223</f>
        <v/>
      </c>
      <c r="AA3243" s="328"/>
      <c r="AB3243" s="328"/>
      <c r="AC3243" s="328"/>
      <c r="AD3243" s="328"/>
      <c r="AE3243" s="328"/>
      <c r="AF3243" s="100"/>
    </row>
    <row r="3244" spans="1:32" ht="12.75" customHeight="1">
      <c r="A3244" s="300" t="str">
        <f>K3222</f>
        <v>J</v>
      </c>
      <c r="B3244" s="293" t="str">
        <f ca="1">IF(AND(OFFSET($AO$1,$L3222-1,8,1,1),$A3223&lt;&gt;"",$J3223&lt;&gt;""),CHOOSE($L3222,$AQ$1,$AQ$2,$AQ$3,$AQ$4,$AQ$5,$AQ$6,$AQ$7,$AQ$8,$AQ$9,$AQ$10,$AQ$11,$AQ$12),"")</f>
        <v/>
      </c>
      <c r="C3244" s="294"/>
      <c r="D3244" s="294"/>
      <c r="E3244" s="294"/>
      <c r="F3244" s="294"/>
      <c r="G3244" s="294"/>
      <c r="H3244" s="265"/>
      <c r="I3244" s="265"/>
      <c r="J3244" s="265"/>
      <c r="K3244" s="265"/>
      <c r="L3244" s="265"/>
      <c r="M3244" s="267" t="s">
        <v>1237</v>
      </c>
      <c r="N3244" s="268"/>
      <c r="O3244" s="268"/>
      <c r="P3244" s="269"/>
      <c r="Q3244" s="137" t="str">
        <f>IF($Q3242&lt;&gt;"",IF($Q3242="W","L","W"),"")</f>
        <v/>
      </c>
      <c r="R3244" s="100"/>
      <c r="S3244" s="100"/>
      <c r="T3244" s="100"/>
      <c r="U3244" s="100"/>
      <c r="V3244" s="100"/>
      <c r="W3244" s="100"/>
      <c r="X3244" s="100"/>
      <c r="Y3244" s="100"/>
      <c r="Z3244" s="100"/>
      <c r="AA3244" s="100"/>
      <c r="AB3244" s="100"/>
      <c r="AC3244" s="100"/>
      <c r="AD3244" s="100"/>
      <c r="AE3244" s="100"/>
      <c r="AF3244" s="100"/>
    </row>
    <row r="3245" spans="1:32" ht="12.75" customHeight="1">
      <c r="A3245" s="301"/>
      <c r="B3245" s="295"/>
      <c r="C3245" s="296"/>
      <c r="D3245" s="296"/>
      <c r="E3245" s="296"/>
      <c r="F3245" s="296"/>
      <c r="G3245" s="296"/>
      <c r="H3245" s="270"/>
      <c r="I3245" s="270"/>
      <c r="J3245" s="266"/>
      <c r="K3245" s="266"/>
      <c r="L3245" s="266"/>
      <c r="M3245" s="267"/>
      <c r="N3245" s="268"/>
      <c r="O3245" s="268"/>
      <c r="P3245" s="269"/>
      <c r="Q3245" s="139" t="str">
        <f>IF($Q3244&lt;&gt;"",IF($Q3244="W",IF(SUM(IF($H3244&gt;$H3242,1,0),IF($I3244&gt;$I3242,1,0),IF($J3244&gt;$J3242,1,0),IF($K3244&gt;$K3242,1,0),IF($L3244&gt;$L3242,1,0))&lt;&gt;3,"Error",""),""),"")</f>
        <v/>
      </c>
      <c r="R3245" s="43" t="str">
        <f>$A3240</f>
        <v>3rd Singles</v>
      </c>
      <c r="S3245" s="43"/>
      <c r="T3245" s="43"/>
      <c r="U3245" s="43"/>
      <c r="V3245" s="43"/>
      <c r="W3245" s="43"/>
      <c r="X3245" s="43"/>
      <c r="Y3245" s="43"/>
      <c r="Z3245" s="43"/>
      <c r="AA3245" s="43"/>
      <c r="AB3245" s="43"/>
      <c r="AC3245" s="43"/>
      <c r="AD3245" s="43"/>
      <c r="AE3245" s="43"/>
      <c r="AF3245" s="43"/>
    </row>
    <row r="3246" spans="1:32" ht="12.75" customHeight="1">
      <c r="Q3246" s="7"/>
      <c r="R3246" s="60" t="s">
        <v>1228</v>
      </c>
      <c r="S3246" s="101" t="s">
        <v>1126</v>
      </c>
      <c r="T3246" s="102"/>
      <c r="U3246" s="102"/>
      <c r="V3246" s="102"/>
      <c r="W3246" s="102"/>
      <c r="X3246" s="103"/>
      <c r="Y3246" s="60">
        <v>1</v>
      </c>
      <c r="Z3246" s="60">
        <v>2</v>
      </c>
      <c r="AA3246" s="60">
        <v>3</v>
      </c>
      <c r="AB3246" s="60">
        <v>4</v>
      </c>
      <c r="AC3246" s="60">
        <v>5</v>
      </c>
      <c r="AD3246" s="104"/>
      <c r="AE3246" s="105"/>
      <c r="AF3246" s="106"/>
    </row>
    <row r="3247" spans="1:32" ht="12.75" customHeight="1">
      <c r="A3247" s="21" t="s">
        <v>1236</v>
      </c>
      <c r="H3247" s="136" t="str">
        <f ca="1">IF($Q3249&lt;&gt;"",IF(AND($B3249&lt;&gt;"Missing Player",$B3251&lt;&gt;"Missing Player"),IF(AND(AND($H3249&gt;-1,$H3251&gt;-1),OR($H3249&gt;10,$H3251&gt;10),ABS($H3249-$H3251)&gt;1,IF(OR($H3249&gt;11,$H3251&gt;11),ABS($H3249-$H3251)=2,TRUE),$H3249=INT($H3249),$H3251=INT($H3251)),"","Error"),""),"")</f>
        <v/>
      </c>
      <c r="I3247" s="136" t="str">
        <f ca="1">IF($Q3249&lt;&gt;"",IF(AND($B3249&lt;&gt;"Missing Player",$B3251&lt;&gt;"Missing Player"),IF(AND(AND($I3249&gt;-1,$I3251&gt;-1),OR($I3249&gt;10,$I3251&gt;10),ABS($I3249-$I3251)&gt;1,IF(OR($I3249&gt;11,$I3251&gt;11),ABS($I3249-$I3251)=2,TRUE),$I3249=INT($I3249),$I3251=INT($I3251)),"","Error"),""),"")</f>
        <v/>
      </c>
      <c r="J3247" s="136" t="str">
        <f ca="1">IF($Q3249&lt;&gt;"",IF(AND($B3249&lt;&gt;"Missing Player",$B3251&lt;&gt;"Missing Player"),IF(AND(AND($J3249&gt;-1,$J3251&gt;-1),OR($J3249&gt;10,$J3251&gt;10),ABS($J3249-$J3251)&gt;1,IF(OR($J3249&gt;11,$J3251&gt;11),ABS($J3249-$J3251)=2,TRUE),$J3249=INT($J3249),$J3251=INT($J3251)),"","Error"),""),"")</f>
        <v/>
      </c>
      <c r="K3247" s="136" t="str">
        <f ca="1">IF($Q3249&lt;&gt;"",IF(AND($K3249&lt;&gt;"",$K3251&lt;&gt;""), IF(AND(AND($K3249&gt;-1,$K3251&gt;-1),OR($K3249&gt;10,$K3251&gt;10),ABS($K3249-$K3251)&gt;1,IF(OR($K3249&gt;11,$K3251&gt;11),ABS($K3249-$K3251)=2,TRUE),$K3249=INT($K3249),$K3251=INT($K3251)),"","Error"),""),"")</f>
        <v/>
      </c>
      <c r="L3247" s="136" t="str">
        <f ca="1">IF($Q3249&lt;&gt;"",IF(AND($L3249&lt;&gt;"",$L3251&lt;&gt;""), IF(AND(AND($L3249&gt;-1,$L3251&gt;-1),OR($L3249&gt;10,$L3251&gt;10),ABS($L3249-$L3251)&gt;1,IF(OR($L3249&gt;11,$L3251&gt;11),ABS($L3249-$L3251)=2,TRUE),$L3249=INT($L3249),$L3251=INT($L3251)),"","Error"),""),"")</f>
        <v/>
      </c>
      <c r="Q3247" s="7"/>
      <c r="R3247" s="300" t="str">
        <f>$B3222</f>
        <v>H</v>
      </c>
      <c r="S3247" s="331" t="str">
        <f ca="1">IF($B3242&lt;&gt;"",$B3242,"")</f>
        <v/>
      </c>
      <c r="T3247" s="332"/>
      <c r="U3247" s="332"/>
      <c r="V3247" s="332"/>
      <c r="W3247" s="332"/>
      <c r="X3247" s="333"/>
      <c r="Y3247" s="329"/>
      <c r="Z3247" s="329"/>
      <c r="AA3247" s="329"/>
      <c r="AB3247" s="329"/>
      <c r="AC3247" s="329"/>
      <c r="AD3247" s="345"/>
      <c r="AE3247" s="358"/>
      <c r="AF3247" s="359"/>
    </row>
    <row r="3248" spans="1:32" ht="12.75" customHeight="1">
      <c r="A3248" s="5" t="s">
        <v>1228</v>
      </c>
      <c r="B3248" s="290" t="s">
        <v>1126</v>
      </c>
      <c r="C3248" s="291"/>
      <c r="D3248" s="291"/>
      <c r="E3248" s="291"/>
      <c r="F3248" s="291"/>
      <c r="G3248" s="292"/>
      <c r="H3248" s="5">
        <v>1</v>
      </c>
      <c r="I3248" s="5">
        <v>2</v>
      </c>
      <c r="J3248" s="5">
        <v>3</v>
      </c>
      <c r="K3248" s="5">
        <v>4</v>
      </c>
      <c r="L3248" s="5">
        <v>5</v>
      </c>
      <c r="M3248" s="271"/>
      <c r="N3248" s="272"/>
      <c r="O3248" s="272"/>
      <c r="P3248" s="273"/>
      <c r="Q3248" s="7"/>
      <c r="R3248" s="330"/>
      <c r="S3248" s="334"/>
      <c r="T3248" s="335"/>
      <c r="U3248" s="335"/>
      <c r="V3248" s="335"/>
      <c r="W3248" s="335"/>
      <c r="X3248" s="336"/>
      <c r="Y3248" s="330"/>
      <c r="Z3248" s="330"/>
      <c r="AA3248" s="330"/>
      <c r="AB3248" s="330"/>
      <c r="AC3248" s="330"/>
      <c r="AD3248" s="360"/>
      <c r="AE3248" s="361"/>
      <c r="AF3248" s="362"/>
    </row>
    <row r="3249" spans="1:32" ht="12.75" customHeight="1">
      <c r="A3249" s="300" t="str">
        <f>B3222</f>
        <v>H</v>
      </c>
      <c r="B3249" s="293" t="str">
        <f ca="1">IF(AND(OFFSET($AO$1,$C3222-1,8,1,1),$A3223&lt;&gt;"",$J3223&lt;&gt;""),CHOOSE($C3222,$AR$1,$AR$2,$AR$3,$AR$4,$AR$5,$AR$6,$AR$7,$AR$8,$AR$9,$AR$10,$AR$11,$AR$12),"")</f>
        <v/>
      </c>
      <c r="C3249" s="294"/>
      <c r="D3249" s="294"/>
      <c r="E3249" s="294"/>
      <c r="F3249" s="294"/>
      <c r="G3249" s="294"/>
      <c r="H3249" s="265"/>
      <c r="I3249" s="265"/>
      <c r="J3249" s="265"/>
      <c r="K3249" s="265"/>
      <c r="L3249" s="265" t="str">
        <f ca="1">IF(AND($B3249&lt;&gt;"",$Q3228&lt;&gt;""),IF($B3249="Missing Player",0,IF($B3251="Missing Player",11,"")),"")</f>
        <v/>
      </c>
      <c r="M3249" s="262" t="str">
        <f ca="1">IF(OR(AND($B3242&lt;&gt;"",$B3249&lt;&gt;"",$E3253&lt;=$D3253),AND($B3244&lt;&gt;"",$B3251&lt;&gt;"",$I3253&lt;=$H3253)),"Invalid Lineup","")</f>
        <v/>
      </c>
      <c r="N3249" s="263"/>
      <c r="O3249" s="263"/>
      <c r="P3249" s="264"/>
      <c r="Q3249" s="137" t="str">
        <f ca="1">IF($L3249=$L3251,IF($K3249=$K3251,IF($J3249&lt;&gt;"",IF($J3249&gt;$J3251,"W","L"),""),IF($K3249&gt;$K3251,"W","L")),IF($L3249&gt;$L3251,"W","L"))</f>
        <v/>
      </c>
      <c r="R3249" s="300" t="str">
        <f>$K3222</f>
        <v>J</v>
      </c>
      <c r="S3249" s="331" t="str">
        <f ca="1">IF($B3244&lt;&gt;"",$B3244,"")</f>
        <v/>
      </c>
      <c r="T3249" s="332"/>
      <c r="U3249" s="332"/>
      <c r="V3249" s="332"/>
      <c r="W3249" s="332"/>
      <c r="X3249" s="333"/>
      <c r="Y3249" s="329"/>
      <c r="Z3249" s="329"/>
      <c r="AA3249" s="329"/>
      <c r="AB3249" s="329"/>
      <c r="AC3249" s="351"/>
      <c r="AD3249" s="363" t="s">
        <v>1237</v>
      </c>
      <c r="AE3249" s="358"/>
      <c r="AF3249" s="359"/>
    </row>
    <row r="3250" spans="1:32" ht="12.75" customHeight="1">
      <c r="A3250" s="301"/>
      <c r="B3250" s="295"/>
      <c r="C3250" s="296"/>
      <c r="D3250" s="296"/>
      <c r="E3250" s="296"/>
      <c r="F3250" s="296"/>
      <c r="G3250" s="296"/>
      <c r="H3250" s="270"/>
      <c r="I3250" s="270"/>
      <c r="J3250" s="270"/>
      <c r="K3250" s="270"/>
      <c r="L3250" s="270"/>
      <c r="M3250" s="262"/>
      <c r="N3250" s="263"/>
      <c r="O3250" s="263"/>
      <c r="P3250" s="264"/>
      <c r="Q3250" s="139" t="str">
        <f ca="1">IF($Q3249&lt;&gt;"",IF($B3251&lt;&gt;"Missing Player",IF($Q3249="W",IF(SUM(IF($H3249&gt;$H3251,1,0),IF($I3249&gt;$I3251,1,0),IF($J3249&gt;$J3251,1,0),IF($K3249&gt;$K3251,1,0),IF($L3249&gt;$L3251,1,0))&lt;&gt;3,"Error",""),""),""),"")</f>
        <v/>
      </c>
      <c r="R3250" s="330"/>
      <c r="S3250" s="334"/>
      <c r="T3250" s="335"/>
      <c r="U3250" s="335"/>
      <c r="V3250" s="335"/>
      <c r="W3250" s="335"/>
      <c r="X3250" s="336"/>
      <c r="Y3250" s="330"/>
      <c r="Z3250" s="330"/>
      <c r="AA3250" s="330"/>
      <c r="AB3250" s="330"/>
      <c r="AC3250" s="330"/>
      <c r="AD3250" s="360"/>
      <c r="AE3250" s="361"/>
      <c r="AF3250" s="362"/>
    </row>
    <row r="3251" spans="1:32" ht="12.75" customHeight="1">
      <c r="A3251" s="300" t="str">
        <f>K3222</f>
        <v>J</v>
      </c>
      <c r="B3251" s="293" t="str">
        <f ca="1">IF(AND(OFFSET($AO$1,$L3222-1,8,1,1),$A3223&lt;&gt;"",$J3223&lt;&gt;""),CHOOSE($L3222,$AR$1,$AR$2,$AR$3,$AR$4,$AR$5,$AR$6,$AR$7,$AR$8,$AR$9,$AR$10,$AR$11,$AR$12),"")</f>
        <v/>
      </c>
      <c r="C3251" s="294"/>
      <c r="D3251" s="294"/>
      <c r="E3251" s="294"/>
      <c r="F3251" s="294"/>
      <c r="G3251" s="294"/>
      <c r="H3251" s="265"/>
      <c r="I3251" s="265"/>
      <c r="J3251" s="265"/>
      <c r="K3251" s="265"/>
      <c r="L3251" s="265" t="str">
        <f ca="1">IF(AND($B3251&lt;&gt;"",$Q3228&lt;&gt;""),IF($B3251="Missing Player",0,IF($B3249="Missing Player",11,"")),"")</f>
        <v/>
      </c>
      <c r="M3251" s="267" t="s">
        <v>1237</v>
      </c>
      <c r="N3251" s="268"/>
      <c r="O3251" s="268"/>
      <c r="P3251" s="269"/>
      <c r="Q3251" s="137" t="str">
        <f ca="1">IF($Q3249&lt;&gt;"",IF($Q3249="W","L","W"),"")</f>
        <v/>
      </c>
      <c r="R3251" s="112"/>
      <c r="S3251" s="98"/>
      <c r="T3251" s="108"/>
      <c r="U3251" s="108"/>
      <c r="V3251" s="108"/>
      <c r="W3251" s="108"/>
      <c r="X3251" s="108"/>
      <c r="Y3251" s="113"/>
      <c r="Z3251" s="113"/>
      <c r="AA3251" s="113"/>
      <c r="AB3251" s="113"/>
      <c r="AC3251" s="113"/>
      <c r="AD3251" s="107"/>
      <c r="AE3251" s="109"/>
      <c r="AF3251" s="109"/>
    </row>
    <row r="3252" spans="1:32" ht="12.75" customHeight="1">
      <c r="A3252" s="301"/>
      <c r="B3252" s="295"/>
      <c r="C3252" s="296"/>
      <c r="D3252" s="296"/>
      <c r="E3252" s="296"/>
      <c r="F3252" s="296"/>
      <c r="G3252" s="296"/>
      <c r="H3252" s="270"/>
      <c r="I3252" s="270"/>
      <c r="J3252" s="266"/>
      <c r="K3252" s="266"/>
      <c r="L3252" s="266"/>
      <c r="M3252" s="267"/>
      <c r="N3252" s="268"/>
      <c r="O3252" s="268"/>
      <c r="P3252" s="269"/>
      <c r="Q3252" s="139" t="str">
        <f ca="1">IF($Q3251&lt;&gt;"",IF($B3249&lt;&gt;"Missing Player",IF($Q3251="W",IF(SUM(IF($H3251&gt;$H3249,1,0),IF($I3251&gt;$I3249,1,0),IF($J3251&gt;$J3249,1,0),IF($K3251&gt;$K3249,1,0),IF($L3251&gt;$L3249,1,0))&lt;&gt;3,"Error",""),""),""),"")</f>
        <v/>
      </c>
      <c r="R3252" s="114"/>
      <c r="S3252" s="115"/>
      <c r="T3252" s="115"/>
      <c r="U3252" s="115"/>
      <c r="V3252" s="115"/>
      <c r="W3252" s="115"/>
      <c r="X3252" s="115"/>
      <c r="Y3252" s="114"/>
      <c r="Z3252" s="114"/>
      <c r="AA3252" s="114"/>
      <c r="AB3252" s="114"/>
      <c r="AC3252" s="114"/>
      <c r="AD3252" s="114"/>
      <c r="AE3252" s="114"/>
      <c r="AF3252" s="114"/>
    </row>
    <row r="3253" spans="1:32" ht="12.75" customHeight="1">
      <c r="B3253" s="140" t="str">
        <f ca="1">IF(ISERROR(VLOOKUP($B3228&amp;"("&amp;$B3222&amp;")",Players!$S$4:$T$132,2,FALSE)),"",VLOOKUP($B3228&amp;"("&amp;$B3222&amp;")",Players!$S$4:$T$132,2,FALSE))</f>
        <v>H1</v>
      </c>
      <c r="C3253" s="140" t="str">
        <f ca="1">IF(ISERROR(VLOOKUP($B3235&amp;"("&amp;$B3222&amp;")",Players!$S$4:$T$132,2,FALSE)),"",VLOOKUP($B3235&amp;"("&amp;$B3222&amp;")",Players!$S$4:$T$132,2,FALSE))</f>
        <v>H1</v>
      </c>
      <c r="D3253" s="141" t="str">
        <f ca="1">IF(ISERROR(VLOOKUP($B3242&amp;"("&amp;$B3222&amp;")",Players!$S$4:$T$132,2,FALSE)),"",VLOOKUP($B3242&amp;"("&amp;$B3222&amp;")",Players!$S$4:$T$132,2,FALSE))</f>
        <v>H1</v>
      </c>
      <c r="E3253" s="141" t="str">
        <f ca="1">IF(ISERROR(VLOOKUP($B3249&amp;"("&amp;$B3222&amp;")",Players!$S$4:$T$132,2,FALSE)),"",VLOOKUP($B3249&amp;"("&amp;$B3222&amp;")",Players!$S$4:$T$132,2,FALSE))</f>
        <v>H1</v>
      </c>
      <c r="F3253" s="141" t="str">
        <f ca="1">IF(ISERROR(VLOOKUP($B3230&amp;"("&amp;$K3222&amp;")",Players!$S$4:$T$132,2,FALSE)),"",VLOOKUP($B3230&amp;"("&amp;$K3222&amp;")",Players!$S$4:$T$132,2,FALSE))</f>
        <v>J1</v>
      </c>
      <c r="G3253" s="141" t="str">
        <f ca="1">IF(ISERROR(VLOOKUP($B3237&amp;"("&amp;$K3222&amp;")",Players!$S$4:$T$132,2,FALSE)),"",VLOOKUP($B3237&amp;"("&amp;$K3222&amp;")",Players!$S$4:$T$132,2,FALSE))</f>
        <v>J1</v>
      </c>
      <c r="H3253" s="141" t="str">
        <f ca="1">IF(ISERROR(VLOOKUP($B3244&amp;"("&amp;$K3222&amp;")",Players!$S$4:$T$132,2,FALSE)),"",VLOOKUP($B3244&amp;"("&amp;$K3222&amp;")",Players!$S$4:$T$132,2,FALSE))</f>
        <v>J1</v>
      </c>
      <c r="I3253" s="141" t="str">
        <f ca="1">IF(ISERROR(VLOOKUP($B3251&amp;"("&amp;$K3222&amp;")",Players!$S$4:$T$132,2,FALSE)),"",VLOOKUP($B3251&amp;"("&amp;$K3222&amp;")",Players!$S$4:$T$132,2,FALSE))</f>
        <v>J1</v>
      </c>
      <c r="Q3253" s="7"/>
      <c r="R3253" s="50"/>
      <c r="S3253" s="116"/>
      <c r="T3253" s="115"/>
      <c r="U3253" s="115"/>
      <c r="V3253" s="115"/>
      <c r="W3253" s="115"/>
      <c r="X3253" s="115"/>
      <c r="Y3253" s="99"/>
      <c r="Z3253" s="99"/>
      <c r="AA3253" s="99"/>
      <c r="AB3253" s="99"/>
      <c r="AC3253" s="117"/>
      <c r="AD3253" s="118"/>
      <c r="AE3253" s="114"/>
      <c r="AF3253" s="114"/>
    </row>
    <row r="3254" spans="1:32" ht="12.75" customHeight="1">
      <c r="A3254" s="21" t="s">
        <v>1225</v>
      </c>
      <c r="H3254" s="136" t="str">
        <f ca="1">IF($Q3256&lt;&gt;"",IF(AND($B3257&lt;&gt;"Missing Player",$B3259&lt;&gt;"Missing Player"),IF(AND(AND($H3256&gt;-1,$H3258&gt;-1),OR($H3256&gt;10,$H3258&gt;10),ABS($H3256-$H3258)&gt;1,IF(OR($H3256&gt;11,$H3258&gt;11),ABS($H3256-$H3258)=2,TRUE),$H3256=INT($H3256),$H3258=INT($H3258)),"","Error"),""),"")</f>
        <v/>
      </c>
      <c r="I3254" s="136" t="str">
        <f ca="1">IF($Q3256&lt;&gt;"",IF(AND($B3257&lt;&gt;"Missing Player",$B3259&lt;&gt;"Missing Player"),IF(AND(AND($I3256&gt;-1,$I3258&gt;-1),OR($I3256&gt;10,$I3258&gt;10),ABS($I3256-$I3258)&gt;1,IF(OR($I3256&gt;11,$I3258&gt;11),ABS($I3256-$I3258)=2,TRUE),$I3256=INT($I3256),$I3258=INT($I3258)),"","Error"),""),"")</f>
        <v/>
      </c>
      <c r="J3254" s="136" t="str">
        <f ca="1">IF($Q3256&lt;&gt;"",IF(AND($B3257&lt;&gt;"Missing Player",$B3259&lt;&gt;"Missing Player"),IF(AND(AND($J3256&gt;-1,$J3258&gt;-1),OR($J3256&gt;10,$J3258&gt;10),ABS($J3256-$J3258)&gt;1,IF(OR($J3256&gt;11,$J3258&gt;11),ABS($J3256-$J3258)=2,TRUE),$J3256=INT($J3256),$J3258=INT($J3258)),"","Error"),""),"")</f>
        <v/>
      </c>
      <c r="K3254" s="136" t="str">
        <f ca="1">IF($Q3256&lt;&gt;"",IF(AND($K3256&lt;&gt;"",$K3258&lt;&gt;""), IF(AND(AND($K3256&gt;-1,$K3258&gt;-1),OR($K3256&gt;10,$K3258&gt;10),ABS($K3256-$K3258)&gt;1,IF(OR($K3256&gt;11,$K3258&gt;11),ABS($K3256-$K3258)=2,TRUE),$K3256=INT($K3256),$K3258=INT($K3258)),"","Error"),""),"")</f>
        <v/>
      </c>
      <c r="L3254" s="136" t="str">
        <f ca="1">IF($Q3256&lt;&gt;"",IF(AND($L3256&lt;&gt;"",$L3258&lt;&gt;""), IF(AND(AND($L3256&gt;-1,$L3258&gt;-1),OR($L3256&gt;10,$L3258&gt;10),ABS($L3256-$L3258)&gt;1,IF(OR($L3256&gt;11,$L3258&gt;11),ABS($L3256-$L3258)=2,TRUE),$L3256=INT($L3256),$L3258=INT($L3258)),"","Error"),""),"")</f>
        <v/>
      </c>
      <c r="Q3254" s="7"/>
      <c r="R3254" s="114"/>
      <c r="S3254" s="115"/>
      <c r="T3254" s="115"/>
      <c r="U3254" s="115"/>
      <c r="V3254" s="115"/>
      <c r="W3254" s="115"/>
      <c r="X3254" s="115"/>
      <c r="Y3254" s="114"/>
      <c r="Z3254" s="114"/>
      <c r="AA3254" s="114"/>
      <c r="AB3254" s="114"/>
      <c r="AC3254" s="114"/>
      <c r="AD3254" s="114"/>
      <c r="AE3254" s="114"/>
      <c r="AF3254" s="114"/>
    </row>
    <row r="3255" spans="1:32" ht="12.75" customHeight="1">
      <c r="A3255" s="5" t="s">
        <v>1228</v>
      </c>
      <c r="B3255" s="290" t="s">
        <v>1126</v>
      </c>
      <c r="C3255" s="291"/>
      <c r="D3255" s="291"/>
      <c r="E3255" s="291"/>
      <c r="F3255" s="291"/>
      <c r="G3255" s="292"/>
      <c r="H3255" s="5">
        <v>1</v>
      </c>
      <c r="I3255" s="5">
        <v>2</v>
      </c>
      <c r="J3255" s="5">
        <v>3</v>
      </c>
      <c r="K3255" s="5">
        <v>4</v>
      </c>
      <c r="L3255" s="5">
        <v>5</v>
      </c>
      <c r="M3255" s="271"/>
      <c r="N3255" s="272"/>
      <c r="O3255" s="272"/>
      <c r="P3255" s="273"/>
      <c r="Q3255" s="8"/>
      <c r="S3255" s="24"/>
      <c r="T3255" s="26"/>
    </row>
    <row r="3256" spans="1:32" ht="12.75" customHeight="1">
      <c r="A3256" s="300" t="str">
        <f>B3222</f>
        <v>H</v>
      </c>
      <c r="B3256" s="311" t="str">
        <f ca="1">IF($B3228&lt;&gt;"",$B3228,"")</f>
        <v/>
      </c>
      <c r="C3256" s="312"/>
      <c r="D3256" s="312"/>
      <c r="E3256" s="312"/>
      <c r="F3256" s="312"/>
      <c r="G3256" s="313"/>
      <c r="H3256" s="265"/>
      <c r="I3256" s="265"/>
      <c r="J3256" s="265"/>
      <c r="K3256" s="265"/>
      <c r="L3256" s="265" t="str">
        <f ca="1">IF($B3249&lt;&gt;"",IF(AND($B3249="Missing Player",$G3260=2,$J3260=2),0,IF(AND($B3251="Missing Player",$G3260=2,$J3260=2),11,"")),"")</f>
        <v/>
      </c>
      <c r="M3256" s="262" t="str">
        <f ca="1">IF(OR(AND($B3256&lt;&gt;"",$B3257&lt;&gt;"",$B3256=$B3257),AND($B3258&lt;&gt;"",$B3259&lt;&gt;"",$B3258=$B3259)),"Invalid Partner","")</f>
        <v/>
      </c>
      <c r="N3256" s="263"/>
      <c r="O3256" s="263"/>
      <c r="P3256" s="264"/>
      <c r="Q3256" s="138" t="str">
        <f ca="1">IF(L3256=L3258,IF(K3256=K3258,IF(J3256&lt;&gt;"",IF(J3256&gt;J3258,"W","L"),""),IF(K3256&gt;K3258,"W","L")),IF(L3256&gt;L3258,"W","L"))</f>
        <v/>
      </c>
      <c r="S3256" s="24"/>
      <c r="T3256" s="26"/>
    </row>
    <row r="3257" spans="1:32" ht="12.75" customHeight="1">
      <c r="A3257" s="324"/>
      <c r="B3257" s="308" t="str">
        <f ca="1">IF($B3249="Missing Player",$B3249,"")</f>
        <v/>
      </c>
      <c r="C3257" s="309"/>
      <c r="D3257" s="309"/>
      <c r="E3257" s="309"/>
      <c r="F3257" s="309"/>
      <c r="G3257" s="310"/>
      <c r="H3257" s="270"/>
      <c r="I3257" s="270"/>
      <c r="J3257" s="270"/>
      <c r="K3257" s="270"/>
      <c r="L3257" s="270"/>
      <c r="M3257" s="262"/>
      <c r="N3257" s="263"/>
      <c r="O3257" s="263"/>
      <c r="P3257" s="264"/>
      <c r="Q3257" s="139" t="str">
        <f ca="1">IF($Q3256&lt;&gt;"",IF($B3259&lt;&gt;"Missing Player",IF($Q3256="W",IF(SUM(IF($H3256&gt;$H3258,1,0),IF($I3256&gt;$I3258,1,0),IF($J3256&gt;$J3258,1,0),IF($K3256&gt;$K3258,1,0),IF($L3256&gt;$L3258,1,0))&lt;&gt;3,"Error",""),""),""),"")</f>
        <v/>
      </c>
      <c r="R3257" s="328" t="str">
        <f>$A3223</f>
        <v/>
      </c>
      <c r="S3257" s="328"/>
      <c r="T3257" s="328"/>
      <c r="U3257" s="328"/>
      <c r="V3257" s="328"/>
      <c r="W3257" s="328"/>
      <c r="X3257" s="256" t="str">
        <f>CONCATENATE("(",$B3222," vs ",$K3222,")")</f>
        <v>(H vs J)</v>
      </c>
      <c r="Y3257" s="256"/>
      <c r="Z3257" s="328" t="str">
        <f>$J3223</f>
        <v/>
      </c>
      <c r="AA3257" s="328"/>
      <c r="AB3257" s="328"/>
      <c r="AC3257" s="328"/>
      <c r="AD3257" s="328"/>
      <c r="AE3257" s="328"/>
      <c r="AF3257" s="43"/>
    </row>
    <row r="3258" spans="1:32" ht="12.75" customHeight="1">
      <c r="A3258" s="325" t="str">
        <f>K3222</f>
        <v>J</v>
      </c>
      <c r="B3258" s="311" t="str">
        <f ca="1">IF($B3230&lt;&gt;"",$B3230,"")</f>
        <v/>
      </c>
      <c r="C3258" s="312"/>
      <c r="D3258" s="312"/>
      <c r="E3258" s="312"/>
      <c r="F3258" s="312"/>
      <c r="G3258" s="313"/>
      <c r="H3258" s="265"/>
      <c r="I3258" s="265"/>
      <c r="J3258" s="265"/>
      <c r="K3258" s="265"/>
      <c r="L3258" s="265" t="str">
        <f ca="1">IF($B3251&lt;&gt;"",IF(AND($B3251="Missing Player",$G3260=2,$J3260=2),0,IF(AND($B3249="Missing Player",$G3260=2,$J3260=2),11,"")),"")</f>
        <v/>
      </c>
      <c r="M3258" s="267" t="s">
        <v>1237</v>
      </c>
      <c r="N3258" s="268"/>
      <c r="O3258" s="268"/>
      <c r="P3258" s="269"/>
      <c r="Q3258" s="138" t="str">
        <f ca="1">IF(Q3256&lt;&gt;"",IF(Q3256="W","L","W"),"")</f>
        <v/>
      </c>
      <c r="R3258" s="43"/>
      <c r="S3258" s="43"/>
      <c r="T3258" s="43"/>
      <c r="U3258" s="43"/>
      <c r="V3258" s="43"/>
      <c r="W3258" s="43"/>
      <c r="X3258" s="43"/>
      <c r="Y3258" s="43"/>
      <c r="Z3258" s="43"/>
      <c r="AA3258" s="43"/>
      <c r="AB3258" s="43"/>
      <c r="AC3258" s="43"/>
      <c r="AD3258" s="43"/>
      <c r="AE3258" s="43"/>
      <c r="AF3258" s="43"/>
    </row>
    <row r="3259" spans="1:32" ht="12.75" customHeight="1">
      <c r="A3259" s="324"/>
      <c r="B3259" s="308" t="str">
        <f ca="1">IF($B3251="Missing Player",$B3251,"")</f>
        <v/>
      </c>
      <c r="C3259" s="309"/>
      <c r="D3259" s="309"/>
      <c r="E3259" s="309"/>
      <c r="F3259" s="309"/>
      <c r="G3259" s="310"/>
      <c r="H3259" s="270"/>
      <c r="I3259" s="270"/>
      <c r="J3259" s="266"/>
      <c r="K3259" s="266"/>
      <c r="L3259" s="266"/>
      <c r="M3259" s="267"/>
      <c r="N3259" s="268"/>
      <c r="O3259" s="268"/>
      <c r="P3259" s="269"/>
      <c r="Q3259" s="139" t="str">
        <f ca="1">IF($Q3258&lt;&gt;"",IF($B3257&lt;&gt;"Missing Player",IF($Q3258="W",IF(SUM(IF($H3258&gt;$H3256,1,0),IF($I3258&gt;$I3256,1,0),IF($J3258&gt;$J3256,1,0),IF($K3258&gt;$K3256,1,0),IF($L3258&gt;$L3256,1,0))&lt;&gt;3,"Error",""),""),""),"")</f>
        <v/>
      </c>
      <c r="R3259" s="43" t="str">
        <f>A3247</f>
        <v>4th Singles</v>
      </c>
      <c r="S3259" s="43"/>
      <c r="T3259" s="43"/>
      <c r="U3259" s="43"/>
      <c r="V3259" s="43"/>
      <c r="W3259" s="43"/>
      <c r="X3259" s="43"/>
      <c r="Y3259" s="43"/>
      <c r="Z3259" s="43"/>
      <c r="AA3259" s="43"/>
      <c r="AB3259" s="43"/>
      <c r="AC3259" s="43"/>
      <c r="AD3259" s="43"/>
      <c r="AE3259" s="43"/>
      <c r="AF3259" s="43"/>
    </row>
    <row r="3260" spans="1:32" ht="12.75" customHeight="1">
      <c r="G3260" s="66">
        <f ca="1">COUNTIF($Q3228:$Q3228,"W")+COUNTIF($Q3235:$Q3235,"W")+COUNTIF($Q3242:$Q3242,"W")+COUNTIF($Q3249:$Q3249,"W")</f>
        <v>0</v>
      </c>
      <c r="J3260" s="66">
        <f ca="1">COUNTIF($Q3230:$Q3230,"W")+COUNTIF($Q3237:$Q3237,"W")+COUNTIF($Q3244:$Q3244,"W")+COUNTIF($Q3251:$Q3251,"W")</f>
        <v>0</v>
      </c>
      <c r="R3260" s="60" t="s">
        <v>1228</v>
      </c>
      <c r="S3260" s="339" t="s">
        <v>1126</v>
      </c>
      <c r="T3260" s="340"/>
      <c r="U3260" s="340"/>
      <c r="V3260" s="340"/>
      <c r="W3260" s="340"/>
      <c r="X3260" s="341"/>
      <c r="Y3260" s="60">
        <v>1</v>
      </c>
      <c r="Z3260" s="60">
        <v>2</v>
      </c>
      <c r="AA3260" s="60">
        <v>3</v>
      </c>
      <c r="AB3260" s="60">
        <v>4</v>
      </c>
      <c r="AC3260" s="60">
        <v>5</v>
      </c>
      <c r="AD3260" s="342"/>
      <c r="AE3260" s="343"/>
      <c r="AF3260" s="344"/>
    </row>
    <row r="3261" spans="1:32" ht="12.75" customHeight="1" thickBot="1">
      <c r="F3261" s="246" t="s">
        <v>1238</v>
      </c>
      <c r="G3261" s="246"/>
      <c r="H3261" s="246"/>
      <c r="I3261" s="246"/>
      <c r="J3261" s="246"/>
      <c r="K3261" s="246"/>
      <c r="R3261" s="300" t="str">
        <f>B3222</f>
        <v>H</v>
      </c>
      <c r="S3261" s="331" t="str">
        <f ca="1">IF($B3249&lt;&gt;"",$B3249,"")</f>
        <v/>
      </c>
      <c r="T3261" s="353"/>
      <c r="U3261" s="353"/>
      <c r="V3261" s="353"/>
      <c r="W3261" s="353"/>
      <c r="X3261" s="354"/>
      <c r="Y3261" s="329"/>
      <c r="Z3261" s="329"/>
      <c r="AA3261" s="351"/>
      <c r="AB3261" s="351"/>
      <c r="AC3261" s="351"/>
      <c r="AD3261" s="345"/>
      <c r="AE3261" s="346"/>
      <c r="AF3261" s="347"/>
    </row>
    <row r="3262" spans="1:32" ht="12.75" customHeight="1">
      <c r="A3262" s="22"/>
      <c r="B3262" s="22"/>
      <c r="C3262" s="22"/>
      <c r="D3262" s="22"/>
      <c r="E3262" s="22"/>
      <c r="G3262" s="304" t="str">
        <f>B3222</f>
        <v>H</v>
      </c>
      <c r="H3262" s="305"/>
      <c r="I3262" s="302" t="str">
        <f>K3222</f>
        <v>J</v>
      </c>
      <c r="J3262" s="303"/>
      <c r="L3262" s="22"/>
      <c r="M3262" s="22"/>
      <c r="N3262" s="22"/>
      <c r="O3262" s="22"/>
      <c r="P3262" s="22"/>
      <c r="R3262" s="301"/>
      <c r="S3262" s="355"/>
      <c r="T3262" s="356"/>
      <c r="U3262" s="356"/>
      <c r="V3262" s="356"/>
      <c r="W3262" s="356"/>
      <c r="X3262" s="357"/>
      <c r="Y3262" s="338"/>
      <c r="Z3262" s="338"/>
      <c r="AA3262" s="352"/>
      <c r="AB3262" s="352"/>
      <c r="AC3262" s="352"/>
      <c r="AD3262" s="348"/>
      <c r="AE3262" s="349"/>
      <c r="AF3262" s="350"/>
    </row>
    <row r="3263" spans="1:32" ht="12.75" customHeight="1" thickBot="1">
      <c r="A3263" s="2" t="s">
        <v>1228</v>
      </c>
      <c r="B3263" s="53" t="str">
        <f>B3222</f>
        <v>H</v>
      </c>
      <c r="C3263" s="3" t="s">
        <v>1226</v>
      </c>
      <c r="F3263" s="66" t="str">
        <f>CONCATENATE($B3222,"-",$K3222)</f>
        <v>H-J</v>
      </c>
      <c r="G3263" s="320" t="str">
        <f ca="1">IF(OR(Q3228&lt;&gt;"",Q3235&lt;&gt;"",Q3242&lt;&gt;"",Q3249&lt;&gt;"",Q3256&lt;&gt;""),COUNTIF(Q3228:Q3228,"W")+COUNTIF(Q3235:Q3235,"W")+COUNTIF(Q3242:Q3242,"W")+COUNTIF(Q3249:Q3249,"W")+COUNTIF(Q3256:Q3256,"W"),"")</f>
        <v/>
      </c>
      <c r="H3263" s="321"/>
      <c r="I3263" s="322" t="str">
        <f ca="1">IF(OR(Q3230&lt;&gt;"",Q3237&lt;&gt;"",Q3244&lt;&gt;"",Q3251&lt;&gt;"",Q3258&lt;&gt;""),COUNTIF(Q3230:Q3230,"W")+COUNTIF(Q3237:Q3237,"W")+COUNTIF(Q3244:Q3244,"W")+COUNTIF(Q3251:Q3251,"W")+COUNTIF(Q3258:Q3258,"W"),"")</f>
        <v/>
      </c>
      <c r="J3263" s="323"/>
      <c r="L3263" s="2" t="s">
        <v>1228</v>
      </c>
      <c r="M3263" s="53" t="str">
        <f>K3222</f>
        <v>J</v>
      </c>
      <c r="N3263" s="3" t="s">
        <v>1226</v>
      </c>
      <c r="R3263" s="300" t="str">
        <f>K3222</f>
        <v>J</v>
      </c>
      <c r="S3263" s="331" t="str">
        <f ca="1">IF($B3251&lt;&gt;"",$B3251,"")</f>
        <v/>
      </c>
      <c r="T3263" s="332"/>
      <c r="U3263" s="332"/>
      <c r="V3263" s="332"/>
      <c r="W3263" s="332"/>
      <c r="X3263" s="333"/>
      <c r="Y3263" s="329"/>
      <c r="Z3263" s="329"/>
      <c r="AA3263" s="351"/>
      <c r="AB3263" s="351"/>
      <c r="AC3263" s="351"/>
      <c r="AD3263" s="363" t="s">
        <v>1237</v>
      </c>
      <c r="AE3263" s="358"/>
      <c r="AF3263" s="359"/>
    </row>
    <row r="3264" spans="1:32" ht="12.75" customHeight="1">
      <c r="F3264" s="25" t="s">
        <v>3996</v>
      </c>
      <c r="G3264" s="23"/>
      <c r="H3264" s="23"/>
      <c r="I3264" s="23"/>
      <c r="J3264" s="23"/>
      <c r="K3264" s="24"/>
      <c r="R3264" s="330"/>
      <c r="S3264" s="334"/>
      <c r="T3264" s="335"/>
      <c r="U3264" s="335"/>
      <c r="V3264" s="335"/>
      <c r="W3264" s="335"/>
      <c r="X3264" s="336"/>
      <c r="Y3264" s="330"/>
      <c r="Z3264" s="330"/>
      <c r="AA3264" s="330"/>
      <c r="AB3264" s="330"/>
      <c r="AC3264" s="330"/>
      <c r="AD3264" s="360"/>
      <c r="AE3264" s="361"/>
      <c r="AF3264" s="362"/>
    </row>
    <row r="3265" spans="1:32" ht="12.75" customHeight="1">
      <c r="R3265" s="1"/>
      <c r="S3265" s="110"/>
      <c r="T3265" s="110"/>
      <c r="U3265" s="110"/>
      <c r="V3265" s="110"/>
      <c r="W3265" s="110"/>
      <c r="X3265" s="111"/>
      <c r="Y3265" s="111"/>
      <c r="Z3265" s="111"/>
      <c r="AA3265" s="111"/>
    </row>
    <row r="3266" spans="1:32" ht="12.75" customHeight="1">
      <c r="F3266" s="246" t="s">
        <v>4929</v>
      </c>
      <c r="G3266" s="246"/>
      <c r="H3266" s="246"/>
      <c r="I3266" s="246"/>
      <c r="R3266" s="1"/>
      <c r="S3266" s="110"/>
      <c r="T3266" s="110"/>
      <c r="U3266" s="110"/>
      <c r="V3266" s="110"/>
      <c r="W3266" s="110"/>
      <c r="X3266" s="111"/>
      <c r="Y3266" s="111"/>
      <c r="Z3266" s="111"/>
      <c r="AA3266" s="111"/>
    </row>
    <row r="3267" spans="1:32" ht="12.75" customHeight="1">
      <c r="F3267" s="246" t="s">
        <v>4930</v>
      </c>
      <c r="G3267" s="246"/>
      <c r="H3267" s="246"/>
      <c r="I3267" s="246"/>
      <c r="R3267" s="1"/>
      <c r="S3267" s="110"/>
      <c r="T3267" s="110"/>
      <c r="U3267" s="110"/>
      <c r="V3267" s="110"/>
      <c r="W3267" s="110"/>
      <c r="X3267" s="111"/>
      <c r="Y3267" s="111"/>
      <c r="Z3267" s="111"/>
      <c r="AA3267" s="111"/>
    </row>
    <row r="3268" spans="1:32" ht="12.75" customHeight="1">
      <c r="K3268" s="281" t="s">
        <v>1244</v>
      </c>
      <c r="L3268" s="281"/>
      <c r="M3268" s="281"/>
      <c r="N3268" s="281"/>
      <c r="O3268" s="281"/>
      <c r="P3268" s="281"/>
      <c r="R3268" s="1"/>
      <c r="S3268" s="110"/>
      <c r="T3268" s="110"/>
      <c r="U3268" s="110"/>
      <c r="V3268" s="110"/>
      <c r="W3268" s="110"/>
      <c r="X3268" s="111"/>
      <c r="Y3268" s="111"/>
      <c r="Z3268" s="111"/>
      <c r="AA3268" s="111"/>
    </row>
    <row r="3269" spans="1:32" ht="12.75" customHeight="1">
      <c r="A3269" s="12" t="s">
        <v>1229</v>
      </c>
      <c r="B3269" s="11"/>
      <c r="C3269" s="11"/>
      <c r="D3269" s="11" t="str">
        <f>Draw!$B$1</f>
        <v>Enter Division Name</v>
      </c>
      <c r="E3269" s="11"/>
      <c r="F3269" s="7"/>
      <c r="G3269" s="6"/>
      <c r="H3269" s="7"/>
      <c r="I3269" s="11"/>
      <c r="J3269" s="11"/>
      <c r="K3269" s="11"/>
      <c r="L3269" s="11"/>
      <c r="M3269" s="281"/>
      <c r="N3269" s="281"/>
      <c r="O3269" s="281"/>
      <c r="P3269" s="281"/>
      <c r="R3269" s="1"/>
      <c r="S3269" s="110"/>
      <c r="T3269" s="110"/>
      <c r="U3269" s="110"/>
      <c r="V3269" s="110"/>
      <c r="W3269" s="110"/>
      <c r="X3269" s="111"/>
      <c r="Y3269" s="111"/>
      <c r="Z3269" s="111"/>
      <c r="AA3269" s="111"/>
    </row>
    <row r="3270" spans="1:32" ht="12.75" customHeight="1">
      <c r="A3270" s="2" t="s">
        <v>1230</v>
      </c>
      <c r="D3270" s="43" t="str">
        <f>Draw!$D$1</f>
        <v>Enter Hosting Location (City, ST)</v>
      </c>
      <c r="J3270" s="43" t="str">
        <f ca="1">$J$6</f>
        <v>[NCTTA Teams Template (v2.06).xlsx]</v>
      </c>
      <c r="R3270" s="1"/>
      <c r="S3270" s="110"/>
      <c r="T3270" s="110"/>
      <c r="U3270" s="110"/>
      <c r="V3270" s="110"/>
      <c r="W3270" s="110"/>
      <c r="X3270" s="111"/>
      <c r="Y3270" s="111"/>
      <c r="Z3270" s="111"/>
      <c r="AA3270" s="111"/>
    </row>
    <row r="3271" spans="1:32" ht="12.75" customHeight="1">
      <c r="A3271" s="2" t="s">
        <v>1231</v>
      </c>
      <c r="D3271" s="337" t="str">
        <f>Draw!$P$1</f>
        <v>Enter Date</v>
      </c>
      <c r="E3271" s="337"/>
      <c r="F3271" s="337"/>
      <c r="G3271" s="337"/>
      <c r="J3271" s="280" t="str">
        <f>CHOOSE(Draw!$T$1,"Round 11, Match 5","","","","","","","","","","")</f>
        <v/>
      </c>
      <c r="K3271" s="280"/>
      <c r="L3271" s="280"/>
      <c r="M3271" s="276" t="str">
        <f>IF(AND($J3271&lt;&gt;"",Draw!$AC$10&lt;&gt;"",Draw!$AC$13&lt;&gt;""),Draw!$AC$10+TIME(0,VALUE(MID($J3271,7,FIND(",",$J3271)-FIND(" ",$J3271)-1)-1)*Draw!$AC$13,0),"")</f>
        <v/>
      </c>
      <c r="N3271" s="276"/>
      <c r="O3271" s="157" t="str">
        <f>$F3314</f>
        <v>H-K</v>
      </c>
      <c r="R3271" s="1"/>
      <c r="S3271" s="110"/>
      <c r="T3271" s="110"/>
      <c r="U3271" s="110"/>
      <c r="V3271" s="110"/>
      <c r="W3271" s="110"/>
      <c r="X3271" s="111"/>
      <c r="Y3271" s="111"/>
      <c r="Z3271" s="111"/>
      <c r="AA3271" s="111"/>
    </row>
    <row r="3272" spans="1:32" ht="12.75" customHeight="1">
      <c r="A3272" s="14"/>
      <c r="B3272" s="15"/>
      <c r="C3272" s="15"/>
      <c r="D3272" s="15"/>
      <c r="E3272" s="15"/>
      <c r="F3272" s="14"/>
      <c r="G3272" s="14"/>
      <c r="H3272" s="16"/>
      <c r="I3272" s="14"/>
      <c r="J3272" s="15"/>
      <c r="K3272" s="15"/>
      <c r="L3272" s="15"/>
      <c r="M3272" s="15"/>
      <c r="N3272" s="15"/>
      <c r="O3272" s="364" t="str">
        <f>IF(OR(AND(VLOOKUP($B3273,$AM$1:$AX$12,12,FALSE)="C",VLOOKUP($K3273,$AM$1:$AX$12,12,FALSE)="C"),AND(VLOOKUP($B3273,$AM$1:$AX$12,12,FALSE)="W",VLOOKUP($K3273,$AM$1:$AX$12,12,FALSE)="W")),"Official",IF(AND($A3274="",$J3274=""),"","Scrimmage"))</f>
        <v/>
      </c>
      <c r="P3272" s="364"/>
      <c r="R3272" s="1"/>
      <c r="S3272" s="110"/>
      <c r="T3272" s="110"/>
      <c r="U3272" s="110"/>
      <c r="V3272" s="110"/>
      <c r="W3272" s="110"/>
      <c r="X3272" s="111"/>
      <c r="Y3272" s="111"/>
      <c r="Z3272" s="111"/>
      <c r="AA3272" s="111"/>
    </row>
    <row r="3273" spans="1:32" ht="12.75" customHeight="1">
      <c r="A3273" s="17" t="s">
        <v>1228</v>
      </c>
      <c r="B3273" s="119" t="str">
        <f>CHOOSE(Draw!$T$1,"D","F","H","I","J","J","J","J","J","J","J")</f>
        <v>H</v>
      </c>
      <c r="C3273" s="135">
        <f>VLOOKUP($B3273,$AM$1:$AN$12,2)</f>
        <v>8</v>
      </c>
      <c r="D3273" s="13"/>
      <c r="E3273" s="13"/>
      <c r="F3273" s="10"/>
      <c r="H3273" s="19" t="s">
        <v>1232</v>
      </c>
      <c r="J3273" s="17" t="s">
        <v>1228</v>
      </c>
      <c r="K3273" s="119" t="str">
        <f>CHOOSE(Draw!$T$1,"L","K","K","K","L","L","L","L","L","L","L")</f>
        <v>K</v>
      </c>
      <c r="L3273" s="135">
        <f>VLOOKUP($K3273,$AM$1:$AN$12,2)</f>
        <v>11</v>
      </c>
      <c r="M3273" s="13"/>
      <c r="N3273" s="13"/>
      <c r="O3273" s="18"/>
      <c r="P3273" s="274"/>
      <c r="Q3273" s="275"/>
      <c r="R3273" s="1"/>
      <c r="S3273" s="110"/>
      <c r="T3273" s="110"/>
      <c r="U3273" s="110"/>
      <c r="V3273" s="110"/>
      <c r="W3273" s="110"/>
      <c r="X3273" s="111"/>
      <c r="Y3273" s="111"/>
      <c r="Z3273" s="111"/>
      <c r="AA3273" s="111"/>
    </row>
    <row r="3274" spans="1:32" ht="12.75" customHeight="1">
      <c r="A3274" s="277" t="str">
        <f>IF(VLOOKUP($B3273,Draw!$A$4:$B$27,2)&lt;&gt;0,VLOOKUP($B3273,Draw!$A$4:$B$27,2),"")</f>
        <v/>
      </c>
      <c r="B3274" s="278"/>
      <c r="C3274" s="278"/>
      <c r="D3274" s="278"/>
      <c r="E3274" s="278"/>
      <c r="F3274" s="279"/>
      <c r="G3274" s="306" t="s">
        <v>4216</v>
      </c>
      <c r="H3274" s="289"/>
      <c r="I3274" s="307"/>
      <c r="J3274" s="277" t="str">
        <f>IF(VLOOKUP($K3273,Draw!$A$4:$B$27,2)&lt;&gt;0,VLOOKUP($K3273,Draw!$A$4:$B$27,2),"")</f>
        <v/>
      </c>
      <c r="K3274" s="278"/>
      <c r="L3274" s="278"/>
      <c r="M3274" s="278"/>
      <c r="N3274" s="278"/>
      <c r="O3274" s="279"/>
      <c r="P3274" s="15"/>
      <c r="R3274" s="1"/>
      <c r="S3274" s="110"/>
      <c r="T3274" s="110"/>
      <c r="U3274" s="110"/>
      <c r="V3274" s="110"/>
      <c r="W3274" s="110"/>
      <c r="X3274" s="111"/>
      <c r="Y3274" s="111"/>
      <c r="Z3274" s="111"/>
      <c r="AA3274" s="111"/>
    </row>
    <row r="3275" spans="1:32" ht="12.75" customHeight="1">
      <c r="A3275" s="14"/>
      <c r="B3275" s="15"/>
      <c r="C3275" s="15"/>
      <c r="D3275" s="15"/>
      <c r="E3275" s="15"/>
      <c r="F3275" s="14"/>
      <c r="G3275" s="288" t="str">
        <f>"Page "&amp;VALUE(RIGHT($G3274,LEN($G3274)-SEARCH("-",$G3274)))/2</f>
        <v>Page 65</v>
      </c>
      <c r="H3275" s="289"/>
      <c r="I3275" s="289"/>
      <c r="J3275" s="15"/>
      <c r="K3275" s="15"/>
      <c r="L3275" s="15"/>
      <c r="M3275" s="15"/>
      <c r="N3275" s="15"/>
      <c r="O3275" s="15"/>
      <c r="P3275" s="15"/>
      <c r="R3275" s="1"/>
      <c r="S3275" s="110"/>
      <c r="T3275" s="110"/>
      <c r="U3275" s="110"/>
      <c r="V3275" s="110"/>
      <c r="W3275" s="110"/>
      <c r="X3275" s="111"/>
      <c r="Y3275" s="111"/>
      <c r="Z3275" s="111"/>
      <c r="AA3275" s="111"/>
      <c r="AF3275" s="27"/>
    </row>
    <row r="3276" spans="1:32" ht="12.75" customHeight="1">
      <c r="A3276" s="327" t="s">
        <v>1245</v>
      </c>
      <c r="B3276" s="327"/>
      <c r="C3276" s="327"/>
      <c r="D3276" s="327"/>
      <c r="E3276" s="327"/>
      <c r="F3276" s="327"/>
      <c r="G3276" s="327"/>
      <c r="H3276" s="327"/>
      <c r="I3276" s="327"/>
      <c r="J3276" s="327"/>
      <c r="K3276" s="327"/>
      <c r="L3276" s="327"/>
      <c r="M3276" s="327"/>
      <c r="N3276" s="327"/>
      <c r="O3276" s="327"/>
      <c r="P3276" s="327"/>
      <c r="Q3276" s="7"/>
      <c r="R3276" s="1"/>
      <c r="S3276" s="110"/>
      <c r="T3276" s="110"/>
      <c r="U3276" s="110"/>
      <c r="V3276" s="110"/>
      <c r="W3276" s="110"/>
      <c r="X3276" s="111"/>
      <c r="Y3276" s="111"/>
      <c r="Z3276" s="111"/>
      <c r="AA3276" s="111"/>
      <c r="AF3276" s="20"/>
    </row>
    <row r="3277" spans="1:32" ht="12.75" customHeight="1">
      <c r="A3277" s="21" t="s">
        <v>1233</v>
      </c>
      <c r="H3277" s="136" t="str">
        <f>IF($Q3279&lt;&gt;"",IF(AND(AND($H3279&gt;-1,$H3281&gt;-1),OR($H3279&gt;10,$H3281&gt;10),ABS($H3279-$H3281)&gt;1,IF(OR($H3279&gt;11,$H3281&gt;11),ABS($H3279-$H3281)=2,TRUE),$H3279=INT($H3279),$H3281=INT($H3281)),"","Error"),"")</f>
        <v/>
      </c>
      <c r="I3277" s="136" t="str">
        <f>IF($Q3279&lt;&gt;"",IF(AND(AND($I3279&gt;-1,$I3281&gt;-1),OR($I3279&gt;10,$I3281&gt;10),ABS($I3279-$I3281)&gt;1,IF(OR($I3279&gt;11,$I3281&gt;11),ABS($I3279-$I3281)=2,TRUE),$I3279=INT($I3279),$I3281=INT($I3281)),"","Error"),"")</f>
        <v/>
      </c>
      <c r="J3277" s="136" t="str">
        <f>IF($Q3279&lt;&gt;"",IF(AND(AND($J3279&gt;-1,$J3281&gt;-1),OR($J3279&gt;10,$J3281&gt;10),ABS($J3279-$J3281)&gt;1,IF(OR($J3279&gt;11,$J3281&gt;11),ABS($J3279-$J3281)=2,TRUE),$J3279=INT($J3279),$J3281=INT($J3281)),"","Error"),"")</f>
        <v/>
      </c>
      <c r="K3277" s="136" t="str">
        <f>IF($Q3279&lt;&gt;"",IF(AND($K3279&lt;&gt;"",$K3281&lt;&gt;""), IF(AND(AND($K3279&gt;-1,$K3281&gt;-1),OR($K3279&gt;10,$K3281&gt;10),ABS($K3279-$K3281)&gt;1,IF(OR($K3279&gt;11,$K3281&gt;11),ABS($K3279-$K3281)=2,TRUE),$K3279=INT($K3279),$K3281=INT($K3281)),"","Error"),""),"")</f>
        <v/>
      </c>
      <c r="L3277" s="136" t="str">
        <f>IF($Q3279&lt;&gt;"",IF(AND($L3279&lt;&gt;"",$L3281&lt;&gt;""), IF(AND(AND($L3279&gt;-1,$L3281&gt;-1),OR($L3279&gt;10,$L3281&gt;10),ABS($L3279-$L3281)&gt;1,IF(OR($L3279&gt;11,$L3281&gt;11),ABS($L3279-$L3281)=2,TRUE),$L3279=INT($L3279),$L3281=INT($L3281)),"","Error"),""),"")</f>
        <v/>
      </c>
      <c r="R3277" s="1"/>
      <c r="S3277" s="110"/>
      <c r="T3277" s="110"/>
      <c r="U3277" s="110"/>
      <c r="V3277" s="110"/>
      <c r="W3277" s="110"/>
      <c r="X3277" s="111"/>
      <c r="Y3277" s="111"/>
      <c r="Z3277" s="111"/>
      <c r="AA3277" s="111"/>
    </row>
    <row r="3278" spans="1:32" ht="12.75" customHeight="1">
      <c r="A3278" s="5" t="s">
        <v>1228</v>
      </c>
      <c r="B3278" s="290" t="s">
        <v>1126</v>
      </c>
      <c r="C3278" s="291"/>
      <c r="D3278" s="291"/>
      <c r="E3278" s="291"/>
      <c r="F3278" s="291"/>
      <c r="G3278" s="292"/>
      <c r="H3278" s="5">
        <v>1</v>
      </c>
      <c r="I3278" s="5">
        <v>2</v>
      </c>
      <c r="J3278" s="5">
        <v>3</v>
      </c>
      <c r="K3278" s="5">
        <v>4</v>
      </c>
      <c r="L3278" s="5">
        <v>5</v>
      </c>
      <c r="M3278" s="271"/>
      <c r="N3278" s="272"/>
      <c r="O3278" s="272"/>
      <c r="P3278" s="273"/>
      <c r="R3278" s="1"/>
      <c r="S3278" s="110"/>
      <c r="T3278" s="110"/>
      <c r="U3278" s="110"/>
      <c r="V3278" s="110"/>
      <c r="W3278" s="110"/>
      <c r="X3278" s="111"/>
      <c r="Y3278" s="111"/>
      <c r="Z3278" s="111"/>
      <c r="AA3278" s="111"/>
    </row>
    <row r="3279" spans="1:32" ht="12.75" customHeight="1">
      <c r="A3279" s="300" t="str">
        <f>B3273</f>
        <v>H</v>
      </c>
      <c r="B3279" s="293" t="str">
        <f ca="1">IF(AND(OFFSET($AO$1,$C3273-1,8,1,1),$A3274&lt;&gt;"",$J3274&lt;&gt;""),CHOOSE($C3273,$AO$1,$AO$2,$AO$3,$AO$4,$AO$5,$AO$6,$AO$7,$AO$8,$AO$9,$AO$10,$AO$11,$AO$12),"")</f>
        <v/>
      </c>
      <c r="C3279" s="294"/>
      <c r="D3279" s="294"/>
      <c r="E3279" s="294"/>
      <c r="F3279" s="294"/>
      <c r="G3279" s="294"/>
      <c r="H3279" s="265"/>
      <c r="I3279" s="265"/>
      <c r="J3279" s="265"/>
      <c r="K3279" s="265"/>
      <c r="L3279" s="265"/>
      <c r="M3279" s="297"/>
      <c r="N3279" s="298"/>
      <c r="O3279" s="298"/>
      <c r="P3279" s="299"/>
      <c r="Q3279" s="137" t="str">
        <f>IF($L3279=$L3281,IF($K3279=$K3281,IF($J3279&lt;&gt;"",IF($J3279&gt;$J3281,"W","L"),""),IF($K3279&gt;$K3281,"W","L")),IF($L3279&gt;$L3281,"W","L"))</f>
        <v/>
      </c>
      <c r="R3279" s="1"/>
      <c r="S3279" s="110"/>
      <c r="T3279" s="110"/>
      <c r="U3279" s="110"/>
      <c r="V3279" s="110"/>
      <c r="W3279" s="110"/>
      <c r="X3279" s="111"/>
      <c r="Y3279" s="111"/>
      <c r="Z3279" s="111"/>
      <c r="AA3279" s="111"/>
    </row>
    <row r="3280" spans="1:32" ht="12.75" customHeight="1">
      <c r="A3280" s="301"/>
      <c r="B3280" s="295"/>
      <c r="C3280" s="296"/>
      <c r="D3280" s="296"/>
      <c r="E3280" s="296"/>
      <c r="F3280" s="296"/>
      <c r="G3280" s="296"/>
      <c r="H3280" s="270"/>
      <c r="I3280" s="270"/>
      <c r="J3280" s="270"/>
      <c r="K3280" s="270"/>
      <c r="L3280" s="270"/>
      <c r="M3280" s="297"/>
      <c r="N3280" s="298"/>
      <c r="O3280" s="298"/>
      <c r="P3280" s="299"/>
      <c r="Q3280" s="139" t="str">
        <f>IF($Q3279&lt;&gt;"",IF($Q3279="W",IF(SUM(IF($H3279&gt;$H3281,1,0),IF($I3279&gt;$I3281,1,0),IF($J3279&gt;$J3281,1,0),IF($K3279&gt;$K3281,1,0),IF($L3279&gt;$L3281,1,0))&lt;&gt;3,"Error",""),""),"")</f>
        <v/>
      </c>
      <c r="R3280" s="328" t="str">
        <f>$A3274</f>
        <v/>
      </c>
      <c r="S3280" s="328"/>
      <c r="T3280" s="328"/>
      <c r="U3280" s="328"/>
      <c r="V3280" s="328"/>
      <c r="W3280" s="328"/>
      <c r="X3280" s="256" t="str">
        <f>CONCATENATE("(",$B3273," vs ",$K3273,")")</f>
        <v>(H vs K)</v>
      </c>
      <c r="Y3280" s="256"/>
      <c r="Z3280" s="328" t="str">
        <f>$J3274</f>
        <v/>
      </c>
      <c r="AA3280" s="328"/>
      <c r="AB3280" s="328"/>
      <c r="AC3280" s="328"/>
      <c r="AD3280" s="328"/>
      <c r="AE3280" s="328"/>
      <c r="AF3280" s="43"/>
    </row>
    <row r="3281" spans="1:32" ht="12.75" customHeight="1">
      <c r="A3281" s="300" t="str">
        <f>K3273</f>
        <v>K</v>
      </c>
      <c r="B3281" s="293" t="str">
        <f ca="1">IF(AND(OFFSET($AO$1,$L3273-1,8,1,1),$A3274&lt;&gt;"",$J3274&lt;&gt;""),CHOOSE($L3273,$AO$1,$AO$2,$AO$3,$AO$4,$AO$5,$AO$6,$AO$7,$AO$8,$AO$9,$AO$10,$AO$11,$AO$12),"")</f>
        <v/>
      </c>
      <c r="C3281" s="294"/>
      <c r="D3281" s="294"/>
      <c r="E3281" s="294"/>
      <c r="F3281" s="294"/>
      <c r="G3281" s="294"/>
      <c r="H3281" s="265"/>
      <c r="I3281" s="265"/>
      <c r="J3281" s="265"/>
      <c r="K3281" s="265"/>
      <c r="L3281" s="265"/>
      <c r="M3281" s="267" t="s">
        <v>1237</v>
      </c>
      <c r="N3281" s="268"/>
      <c r="O3281" s="268"/>
      <c r="P3281" s="269"/>
      <c r="Q3281" s="137" t="str">
        <f>IF($Q3279&lt;&gt;"",IF($Q3279="W","L","W"),"")</f>
        <v/>
      </c>
      <c r="R3281" s="43"/>
      <c r="S3281" s="43"/>
      <c r="T3281" s="43"/>
      <c r="U3281" s="43"/>
      <c r="V3281" s="43"/>
      <c r="W3281" s="43"/>
      <c r="X3281" s="43"/>
      <c r="Y3281" s="43"/>
      <c r="Z3281" s="43"/>
      <c r="AA3281" s="43"/>
      <c r="AB3281" s="43"/>
      <c r="AC3281" s="43"/>
      <c r="AD3281" s="43"/>
      <c r="AE3281" s="43"/>
      <c r="AF3281" s="43"/>
    </row>
    <row r="3282" spans="1:32" ht="12.75" customHeight="1">
      <c r="A3282" s="301"/>
      <c r="B3282" s="295"/>
      <c r="C3282" s="296"/>
      <c r="D3282" s="296"/>
      <c r="E3282" s="296"/>
      <c r="F3282" s="296"/>
      <c r="G3282" s="296"/>
      <c r="H3282" s="270"/>
      <c r="I3282" s="270"/>
      <c r="J3282" s="266"/>
      <c r="K3282" s="266"/>
      <c r="L3282" s="266"/>
      <c r="M3282" s="267"/>
      <c r="N3282" s="268"/>
      <c r="O3282" s="268"/>
      <c r="P3282" s="269"/>
      <c r="Q3282" s="139" t="str">
        <f>IF($Q3281&lt;&gt;"",IF($Q3281="W",IF(SUM(IF($H3281&gt;$H3279,1,0),IF($I3281&gt;$I3279,1,0),IF($J3281&gt;$J3279,1,0),IF($K3281&gt;$K3279,1,0),IF($L3281&gt;$L3279,1,0))&lt;&gt;3,"Error",""),""),"")</f>
        <v/>
      </c>
      <c r="R3282" s="43" t="str">
        <f>$A3284</f>
        <v>2nd Singles</v>
      </c>
      <c r="S3282" s="43"/>
      <c r="T3282" s="43"/>
      <c r="U3282" s="43"/>
      <c r="V3282" s="43"/>
      <c r="W3282" s="43"/>
      <c r="X3282" s="43"/>
      <c r="Y3282" s="43"/>
      <c r="Z3282" s="43"/>
      <c r="AA3282" s="43"/>
      <c r="AB3282" s="43"/>
      <c r="AC3282" s="43"/>
      <c r="AD3282" s="43"/>
      <c r="AE3282" s="43"/>
      <c r="AF3282" s="43"/>
    </row>
    <row r="3283" spans="1:32" ht="12.75" customHeight="1">
      <c r="Q3283" s="7"/>
      <c r="R3283" s="60" t="s">
        <v>1228</v>
      </c>
      <c r="S3283" s="339" t="s">
        <v>1126</v>
      </c>
      <c r="T3283" s="340"/>
      <c r="U3283" s="340"/>
      <c r="V3283" s="340"/>
      <c r="W3283" s="340"/>
      <c r="X3283" s="341"/>
      <c r="Y3283" s="60">
        <v>1</v>
      </c>
      <c r="Z3283" s="60">
        <v>2</v>
      </c>
      <c r="AA3283" s="60">
        <v>3</v>
      </c>
      <c r="AB3283" s="60">
        <v>4</v>
      </c>
      <c r="AC3283" s="60">
        <v>5</v>
      </c>
      <c r="AD3283" s="342"/>
      <c r="AE3283" s="343"/>
      <c r="AF3283" s="344"/>
    </row>
    <row r="3284" spans="1:32" ht="12.75" customHeight="1">
      <c r="A3284" s="21" t="s">
        <v>1234</v>
      </c>
      <c r="H3284" s="136" t="str">
        <f>IF($Q3286&lt;&gt;"",IF(AND(AND($H3286&gt;-1,$H3288&gt;-1),OR($H3286&gt;10,$H3288&gt;10),ABS($H3286-$H3288)&gt;1,IF(OR($H3286&gt;11,$H3288&gt;11),ABS($H3286-$H3288)=2,TRUE),$H3286=INT($H3286),$H3288=INT($H3288)),"","Error"),"")</f>
        <v/>
      </c>
      <c r="I3284" s="136" t="str">
        <f>IF($Q3286&lt;&gt;"",IF(AND(AND($I3286&gt;-1,$I3288&gt;-1),OR($I3286&gt;10,$I3288&gt;10),ABS($I3286-$I3288)&gt;1,IF(OR($I3286&gt;11,$I3288&gt;11),ABS($I3286-$I3288)=2,TRUE),$I3286=INT($I3286),$I3288=INT($I3288)),"","Error"),"")</f>
        <v/>
      </c>
      <c r="J3284" s="136" t="str">
        <f>IF($Q3286&lt;&gt;"",IF(AND(AND($J3286&gt;-1,$J3288&gt;-1),OR($J3286&gt;10,$J3288&gt;10),ABS($J3286-$J3288)&gt;1,IF(OR($J3286&gt;11,$J3288&gt;11),ABS($J3286-$J3288)=2,TRUE),$J3286=INT($J3286),$J3288=INT($J3288)),"","Error"),"")</f>
        <v/>
      </c>
      <c r="K3284" s="136" t="str">
        <f>IF($Q3286&lt;&gt;"",IF(AND($K3286&lt;&gt;"",$K3288&lt;&gt;""), IF(AND(AND($K3286&gt;-1,$K3288&gt;-1),OR($K3286&gt;10,$K3288&gt;10),ABS($K3286-$K3288)&gt;1,IF(OR($K3286&gt;11,$K3288&gt;11),ABS($K3286-$K3288)=2,TRUE),$K3286=INT($K3286),$K3288=INT($K3288)),"","Error"),""),"")</f>
        <v/>
      </c>
      <c r="L3284" s="136" t="str">
        <f>IF($Q3286&lt;&gt;"",IF(AND($L3286&lt;&gt;"",$L3288&lt;&gt;""), IF(AND(AND($L3286&gt;-1,$L3288&gt;-1),OR($L3286&gt;10,$L3288&gt;10),ABS($L3286-$L3288)&gt;1,IF(OR($L3286&gt;11,$L3288&gt;11),ABS($L3286-$L3288)=2,TRUE),$L3286=INT($L3286),$L3288=INT($L3288)),"","Error"),""),"")</f>
        <v/>
      </c>
      <c r="Q3284" s="7"/>
      <c r="R3284" s="300" t="str">
        <f>$B3273</f>
        <v>H</v>
      </c>
      <c r="S3284" s="331" t="str">
        <f ca="1">IF($B3286&lt;&gt;"",$B3286,"")</f>
        <v/>
      </c>
      <c r="T3284" s="332"/>
      <c r="U3284" s="332"/>
      <c r="V3284" s="332"/>
      <c r="W3284" s="332"/>
      <c r="X3284" s="333"/>
      <c r="Y3284" s="329"/>
      <c r="Z3284" s="329"/>
      <c r="AA3284" s="329"/>
      <c r="AB3284" s="329"/>
      <c r="AC3284" s="329"/>
      <c r="AD3284" s="345"/>
      <c r="AE3284" s="358"/>
      <c r="AF3284" s="359"/>
    </row>
    <row r="3285" spans="1:32" ht="12.75" customHeight="1">
      <c r="A3285" s="5" t="s">
        <v>1228</v>
      </c>
      <c r="B3285" s="290" t="s">
        <v>1126</v>
      </c>
      <c r="C3285" s="291"/>
      <c r="D3285" s="291"/>
      <c r="E3285" s="291"/>
      <c r="F3285" s="291"/>
      <c r="G3285" s="292"/>
      <c r="H3285" s="5">
        <v>1</v>
      </c>
      <c r="I3285" s="5">
        <v>2</v>
      </c>
      <c r="J3285" s="5">
        <v>3</v>
      </c>
      <c r="K3285" s="5">
        <v>4</v>
      </c>
      <c r="L3285" s="5">
        <v>5</v>
      </c>
      <c r="M3285" s="271"/>
      <c r="N3285" s="272"/>
      <c r="O3285" s="272"/>
      <c r="P3285" s="273"/>
      <c r="Q3285" s="7"/>
      <c r="R3285" s="330"/>
      <c r="S3285" s="334"/>
      <c r="T3285" s="335"/>
      <c r="U3285" s="335"/>
      <c r="V3285" s="335"/>
      <c r="W3285" s="335"/>
      <c r="X3285" s="336"/>
      <c r="Y3285" s="330"/>
      <c r="Z3285" s="330"/>
      <c r="AA3285" s="330"/>
      <c r="AB3285" s="330"/>
      <c r="AC3285" s="330"/>
      <c r="AD3285" s="360"/>
      <c r="AE3285" s="361"/>
      <c r="AF3285" s="362"/>
    </row>
    <row r="3286" spans="1:32" ht="12.75" customHeight="1">
      <c r="A3286" s="300" t="str">
        <f>B3273</f>
        <v>H</v>
      </c>
      <c r="B3286" s="293" t="str">
        <f ca="1">IF(AND(OFFSET($AO$1,$C3273-1,8,1,1),$A3274&lt;&gt;"",$J3274&lt;&gt;""),CHOOSE($C3273,$AP$1,$AP$2,$AP$3,$AP$4,$AP$5,$AP$6,$AP$7,$AP$8,$AP$9,$AP$10,$AP$11,$AP$12),"")</f>
        <v/>
      </c>
      <c r="C3286" s="294"/>
      <c r="D3286" s="294"/>
      <c r="E3286" s="294"/>
      <c r="F3286" s="294"/>
      <c r="G3286" s="294"/>
      <c r="H3286" s="265"/>
      <c r="I3286" s="265"/>
      <c r="J3286" s="265"/>
      <c r="K3286" s="265"/>
      <c r="L3286" s="265"/>
      <c r="M3286" s="262" t="str">
        <f ca="1">IF(OR(AND($B3279&lt;&gt;"",$B3286&lt;&gt;"",$C3304&lt;=$B3304),AND($B3281&lt;&gt;"",$B3288&lt;&gt;"",$G3304&lt;=$F3304)),"Invalid Lineup","")</f>
        <v/>
      </c>
      <c r="N3286" s="263"/>
      <c r="O3286" s="263"/>
      <c r="P3286" s="264"/>
      <c r="Q3286" s="137" t="str">
        <f>IF($L3286=$L3288,IF($K3286=$K3288,IF($J3286&lt;&gt;"",IF($J3286&gt;$J3288,"W","L"),""),IF($K3286&gt;$K3288,"W","L")),IF($L3286&gt;$L3288,"W","L"))</f>
        <v/>
      </c>
      <c r="R3286" s="300" t="str">
        <f>$K3273</f>
        <v>K</v>
      </c>
      <c r="S3286" s="331" t="str">
        <f ca="1">IF($B3288&lt;&gt;"",$B3288,"")</f>
        <v/>
      </c>
      <c r="T3286" s="332"/>
      <c r="U3286" s="332"/>
      <c r="V3286" s="332"/>
      <c r="W3286" s="332"/>
      <c r="X3286" s="333"/>
      <c r="Y3286" s="329"/>
      <c r="Z3286" s="329"/>
      <c r="AA3286" s="329"/>
      <c r="AB3286" s="329"/>
      <c r="AC3286" s="351"/>
      <c r="AD3286" s="363" t="s">
        <v>1237</v>
      </c>
      <c r="AE3286" s="358"/>
      <c r="AF3286" s="359"/>
    </row>
    <row r="3287" spans="1:32" ht="12.75" customHeight="1">
      <c r="A3287" s="301"/>
      <c r="B3287" s="295"/>
      <c r="C3287" s="296"/>
      <c r="D3287" s="296"/>
      <c r="E3287" s="296"/>
      <c r="F3287" s="296"/>
      <c r="G3287" s="296"/>
      <c r="H3287" s="270"/>
      <c r="I3287" s="270"/>
      <c r="J3287" s="270"/>
      <c r="K3287" s="270"/>
      <c r="L3287" s="270"/>
      <c r="M3287" s="262"/>
      <c r="N3287" s="263"/>
      <c r="O3287" s="263"/>
      <c r="P3287" s="264"/>
      <c r="Q3287" s="139" t="str">
        <f>IF($Q3286&lt;&gt;"",IF($Q3286="W",IF(SUM(IF($H3286&gt;$H3288,1,0),IF($I3286&gt;$I3288,1,0),IF($J3286&gt;$J3288,1,0),IF($K3286&gt;$K3288,1,0),IF($L3286&gt;$L3288,1,0))&lt;&gt;3,"Error",""),""),"")</f>
        <v/>
      </c>
      <c r="R3287" s="330"/>
      <c r="S3287" s="334"/>
      <c r="T3287" s="335"/>
      <c r="U3287" s="335"/>
      <c r="V3287" s="335"/>
      <c r="W3287" s="335"/>
      <c r="X3287" s="336"/>
      <c r="Y3287" s="330"/>
      <c r="Z3287" s="330"/>
      <c r="AA3287" s="330"/>
      <c r="AB3287" s="330"/>
      <c r="AC3287" s="330"/>
      <c r="AD3287" s="360"/>
      <c r="AE3287" s="361"/>
      <c r="AF3287" s="362"/>
    </row>
    <row r="3288" spans="1:32" ht="12.75" customHeight="1">
      <c r="A3288" s="300" t="str">
        <f>K3273</f>
        <v>K</v>
      </c>
      <c r="B3288" s="293" t="str">
        <f ca="1">IF(AND(OFFSET($AO$1,$L3273-1,8,1,1),$A3274&lt;&gt;"",$J3274&lt;&gt;""),CHOOSE($L3273,$AP$1,$AP$2,$AP$3,$AP$4,$AP$5,$AP$6,$AP$7,$AP$8,$AP$9,$AP$10,$AP$11,$AP$12),"")</f>
        <v/>
      </c>
      <c r="C3288" s="294"/>
      <c r="D3288" s="294"/>
      <c r="E3288" s="294"/>
      <c r="F3288" s="294"/>
      <c r="G3288" s="294"/>
      <c r="H3288" s="265"/>
      <c r="I3288" s="265"/>
      <c r="J3288" s="265"/>
      <c r="K3288" s="265"/>
      <c r="L3288" s="265"/>
      <c r="M3288" s="267" t="s">
        <v>1237</v>
      </c>
      <c r="N3288" s="268"/>
      <c r="O3288" s="268"/>
      <c r="P3288" s="269"/>
      <c r="Q3288" s="137" t="str">
        <f>IF($Q3286&lt;&gt;"",IF($Q3286="W","L","W"),"")</f>
        <v/>
      </c>
      <c r="R3288" s="20"/>
      <c r="S3288" s="20"/>
      <c r="T3288" s="20"/>
      <c r="U3288" s="20"/>
      <c r="V3288" s="20"/>
      <c r="W3288" s="20"/>
      <c r="X3288" s="26"/>
      <c r="Y3288" s="26"/>
      <c r="Z3288" s="20"/>
      <c r="AA3288" s="20"/>
      <c r="AB3288" s="20"/>
      <c r="AC3288" s="20"/>
      <c r="AD3288" s="20"/>
      <c r="AE3288" s="20"/>
      <c r="AF3288" s="27"/>
    </row>
    <row r="3289" spans="1:32" ht="12.75" customHeight="1">
      <c r="A3289" s="301"/>
      <c r="B3289" s="295"/>
      <c r="C3289" s="296"/>
      <c r="D3289" s="296"/>
      <c r="E3289" s="296"/>
      <c r="F3289" s="296"/>
      <c r="G3289" s="296"/>
      <c r="H3289" s="270"/>
      <c r="I3289" s="270"/>
      <c r="J3289" s="266"/>
      <c r="K3289" s="266"/>
      <c r="L3289" s="266"/>
      <c r="M3289" s="267"/>
      <c r="N3289" s="268"/>
      <c r="O3289" s="268"/>
      <c r="P3289" s="269"/>
      <c r="Q3289" s="139" t="str">
        <f>IF($Q3288&lt;&gt;"",IF($Q3288="W",IF(SUM(IF($H3288&gt;$H3286,1,0),IF($I3288&gt;$I3286,1,0),IF($J3288&gt;$J3286,1,0),IF($K3288&gt;$K3286,1,0),IF($L3288&gt;$L3286,1,0))&lt;&gt;3,"Error",""),""),"")</f>
        <v/>
      </c>
      <c r="R3289" s="20"/>
      <c r="S3289" s="20"/>
      <c r="T3289" s="20"/>
      <c r="U3289" s="20"/>
      <c r="V3289" s="20"/>
      <c r="W3289" s="20"/>
      <c r="X3289" s="26"/>
      <c r="Y3289" s="26"/>
      <c r="Z3289" s="20"/>
      <c r="AA3289" s="20"/>
      <c r="AB3289" s="20"/>
      <c r="AC3289" s="20"/>
      <c r="AD3289" s="20"/>
      <c r="AE3289" s="20"/>
      <c r="AF3289" s="27"/>
    </row>
    <row r="3290" spans="1:32" ht="12.75" customHeight="1">
      <c r="Q3290" s="7"/>
      <c r="R3290" s="20"/>
      <c r="S3290" s="20"/>
      <c r="T3290" s="20"/>
      <c r="U3290" s="20"/>
      <c r="V3290" s="20"/>
      <c r="W3290" s="20"/>
      <c r="X3290" s="26"/>
      <c r="Y3290" s="26"/>
      <c r="Z3290" s="20"/>
      <c r="AA3290" s="20"/>
      <c r="AB3290" s="20"/>
      <c r="AC3290" s="20"/>
      <c r="AD3290" s="20"/>
      <c r="AE3290" s="20"/>
      <c r="AF3290" s="27"/>
    </row>
    <row r="3291" spans="1:32" ht="12.75" customHeight="1">
      <c r="A3291" s="21" t="s">
        <v>1235</v>
      </c>
      <c r="H3291" s="136" t="str">
        <f>IF($Q3293&lt;&gt;"",IF(AND(AND($H3293&gt;-1,$H3295&gt;-1),OR($H3293&gt;10,$H3295&gt;10),ABS($H3293-$H3295)&gt;1,IF(OR($H3293&gt;11,$H3295&gt;11),ABS($H3293-$H3295)=2,TRUE),$H3293=INT($H3293),$H3295=INT($H3295)),"","Error"),"")</f>
        <v/>
      </c>
      <c r="I3291" s="136" t="str">
        <f>IF($Q3293&lt;&gt;"",IF(AND(AND($I3293&gt;-1,$I3295&gt;-1),OR($I3293&gt;10,$I3295&gt;10),ABS($I3293-$I3295)&gt;1,IF(OR($I3293&gt;11,$I3295&gt;11),ABS($I3293-$I3295)=2,TRUE),$I3293=INT($I3293),$I3295=INT($I3295)),"","Error"),"")</f>
        <v/>
      </c>
      <c r="J3291" s="136" t="str">
        <f>IF($Q3293&lt;&gt;"",IF(AND(AND($J3293&gt;-1,$J3295&gt;-1),OR($J3293&gt;10,$J3295&gt;10),ABS($J3293-$J3295)&gt;1,IF(OR($J3293&gt;11,$J3295&gt;11),ABS($J3293-$J3295)=2,TRUE),$J3293=INT($J3293),$J3295=INT($J3295)),"","Error"),"")</f>
        <v/>
      </c>
      <c r="K3291" s="136" t="str">
        <f>IF($Q3293&lt;&gt;"",IF(AND($K3293&lt;&gt;"",$K3295&lt;&gt;""), IF(AND(AND($K3293&gt;-1,$K3295&gt;-1),OR($K3293&gt;10,$K3295&gt;10),ABS($K3293-$K3295)&gt;1,IF(OR($K3293&gt;11,$K3295&gt;11),ABS($K3293-$K3295)=2,TRUE),$K3293=INT($K3293),$K3295=INT($K3295)),"","Error"),""),"")</f>
        <v/>
      </c>
      <c r="L3291" s="136" t="str">
        <f>IF($Q3293&lt;&gt;"",IF(AND($L3293&lt;&gt;"",$L3295&lt;&gt;""), IF(AND(AND($L3293&gt;-1,$L3295&gt;-1),OR($L3293&gt;10,$L3295&gt;10),ABS($L3293-$L3295)&gt;1,IF(OR($L3293&gt;11,$L3295&gt;11),ABS($L3293-$L3295)=2,TRUE),$L3293=INT($L3293),$L3295=INT($L3295)),"","Error"),""),"")</f>
        <v/>
      </c>
      <c r="Q3291" s="7"/>
      <c r="R3291" s="20"/>
      <c r="S3291" s="20"/>
      <c r="T3291" s="20"/>
      <c r="U3291" s="20"/>
      <c r="V3291" s="20"/>
      <c r="W3291" s="20"/>
      <c r="X3291" s="26"/>
      <c r="Y3291" s="26"/>
      <c r="Z3291" s="20"/>
      <c r="AA3291" s="20"/>
      <c r="AB3291" s="20"/>
      <c r="AC3291" s="20"/>
      <c r="AD3291" s="20"/>
      <c r="AE3291" s="20"/>
      <c r="AF3291" s="27"/>
    </row>
    <row r="3292" spans="1:32" ht="12.75" customHeight="1">
      <c r="A3292" s="5" t="s">
        <v>1228</v>
      </c>
      <c r="B3292" s="290" t="s">
        <v>1126</v>
      </c>
      <c r="C3292" s="291"/>
      <c r="D3292" s="291"/>
      <c r="E3292" s="291"/>
      <c r="F3292" s="291"/>
      <c r="G3292" s="292"/>
      <c r="H3292" s="5">
        <v>1</v>
      </c>
      <c r="I3292" s="5">
        <v>2</v>
      </c>
      <c r="J3292" s="5">
        <v>3</v>
      </c>
      <c r="K3292" s="5">
        <v>4</v>
      </c>
      <c r="L3292" s="5">
        <v>5</v>
      </c>
      <c r="M3292" s="271"/>
      <c r="N3292" s="272"/>
      <c r="O3292" s="272"/>
      <c r="P3292" s="273"/>
      <c r="Q3292" s="7"/>
      <c r="R3292" s="20"/>
      <c r="S3292" s="20"/>
      <c r="T3292" s="20"/>
      <c r="U3292" s="20"/>
      <c r="V3292" s="20"/>
      <c r="W3292" s="20"/>
      <c r="X3292" s="26"/>
      <c r="Y3292" s="26"/>
      <c r="Z3292" s="20"/>
      <c r="AA3292" s="20"/>
      <c r="AB3292" s="20"/>
      <c r="AC3292" s="20"/>
      <c r="AD3292" s="20"/>
      <c r="AE3292" s="20"/>
      <c r="AF3292" s="27"/>
    </row>
    <row r="3293" spans="1:32" ht="12.75" customHeight="1">
      <c r="A3293" s="300" t="str">
        <f>B3273</f>
        <v>H</v>
      </c>
      <c r="B3293" s="293" t="str">
        <f ca="1">IF(AND(OFFSET($AO$1,$C3273-1,8,1,1),$A3274&lt;&gt;"",$J3274&lt;&gt;""),CHOOSE($C3273,$AQ$1,$AQ$2,$AQ$3,$AQ$4,$AQ$5,$AQ$6,$AQ$7,$AQ$8,$AQ$9,$AQ$10,$AQ$11,$AQ$12),"")</f>
        <v/>
      </c>
      <c r="C3293" s="294"/>
      <c r="D3293" s="294"/>
      <c r="E3293" s="294"/>
      <c r="F3293" s="294"/>
      <c r="G3293" s="294"/>
      <c r="H3293" s="265"/>
      <c r="I3293" s="265"/>
      <c r="J3293" s="265"/>
      <c r="K3293" s="265"/>
      <c r="L3293" s="265"/>
      <c r="M3293" s="262" t="str">
        <f ca="1">IF(OR(AND($B3286&lt;&gt;"",$B3293&lt;&gt;"",$D3304&lt;=$C3304),AND($B3288&lt;&gt;"",$B3295&lt;&gt;"",$H3304&lt;=$G3304)),"Invalid Lineup","")</f>
        <v/>
      </c>
      <c r="N3293" s="263"/>
      <c r="O3293" s="263"/>
      <c r="P3293" s="264"/>
      <c r="Q3293" s="137" t="str">
        <f>IF($L3293=$L3295,IF($K3293=$K3295,IF($J3293&lt;&gt;"",IF($J3293&gt;$J3295,"W","L"),""),IF($K3293&gt;$K3295,"W","L")),IF($L3293&gt;$L3295,"W","L"))</f>
        <v/>
      </c>
      <c r="R3293" s="20"/>
      <c r="S3293" s="20"/>
      <c r="T3293" s="20"/>
      <c r="U3293" s="20"/>
      <c r="V3293" s="20"/>
      <c r="W3293" s="20"/>
      <c r="X3293" s="26"/>
      <c r="Y3293" s="26"/>
      <c r="Z3293" s="20"/>
      <c r="AA3293" s="20"/>
      <c r="AB3293" s="20"/>
      <c r="AC3293" s="20"/>
      <c r="AD3293" s="20"/>
      <c r="AE3293" s="20"/>
      <c r="AF3293" s="27"/>
    </row>
    <row r="3294" spans="1:32" ht="12.75" customHeight="1">
      <c r="A3294" s="301"/>
      <c r="B3294" s="295"/>
      <c r="C3294" s="296"/>
      <c r="D3294" s="296"/>
      <c r="E3294" s="296"/>
      <c r="F3294" s="296"/>
      <c r="G3294" s="296"/>
      <c r="H3294" s="270"/>
      <c r="I3294" s="270"/>
      <c r="J3294" s="270"/>
      <c r="K3294" s="270"/>
      <c r="L3294" s="270"/>
      <c r="M3294" s="262"/>
      <c r="N3294" s="263"/>
      <c r="O3294" s="263"/>
      <c r="P3294" s="264"/>
      <c r="Q3294" s="139" t="str">
        <f>IF($Q3293&lt;&gt;"",IF($Q3293="W",IF(SUM(IF($H3293&gt;$H3295,1,0),IF($I3293&gt;$I3295,1,0),IF($J3293&gt;$J3295,1,0),IF($K3293&gt;$K3295,1,0),IF($L3293&gt;$L3295,1,0))&lt;&gt;3,"Error",""),""),"")</f>
        <v/>
      </c>
      <c r="R3294" s="328" t="str">
        <f>$A3274</f>
        <v/>
      </c>
      <c r="S3294" s="328"/>
      <c r="T3294" s="328"/>
      <c r="U3294" s="328"/>
      <c r="V3294" s="328"/>
      <c r="W3294" s="328"/>
      <c r="X3294" s="256" t="str">
        <f>CONCATENATE("(",$B3273," vs ",$K3273,")")</f>
        <v>(H vs K)</v>
      </c>
      <c r="Y3294" s="256"/>
      <c r="Z3294" s="328" t="str">
        <f>$J3274</f>
        <v/>
      </c>
      <c r="AA3294" s="328"/>
      <c r="AB3294" s="328"/>
      <c r="AC3294" s="328"/>
      <c r="AD3294" s="328"/>
      <c r="AE3294" s="328"/>
      <c r="AF3294" s="100"/>
    </row>
    <row r="3295" spans="1:32" ht="12.75" customHeight="1">
      <c r="A3295" s="300" t="str">
        <f>K3273</f>
        <v>K</v>
      </c>
      <c r="B3295" s="293" t="str">
        <f ca="1">IF(AND(OFFSET($AO$1,$L3273-1,8,1,1),$A3274&lt;&gt;"",$J3274&lt;&gt;""),CHOOSE($L3273,$AQ$1,$AQ$2,$AQ$3,$AQ$4,$AQ$5,$AQ$6,$AQ$7,$AQ$8,$AQ$9,$AQ$10,$AQ$11,$AQ$12),"")</f>
        <v/>
      </c>
      <c r="C3295" s="294"/>
      <c r="D3295" s="294"/>
      <c r="E3295" s="294"/>
      <c r="F3295" s="294"/>
      <c r="G3295" s="294"/>
      <c r="H3295" s="265"/>
      <c r="I3295" s="265"/>
      <c r="J3295" s="265"/>
      <c r="K3295" s="265"/>
      <c r="L3295" s="265"/>
      <c r="M3295" s="267" t="s">
        <v>1237</v>
      </c>
      <c r="N3295" s="268"/>
      <c r="O3295" s="268"/>
      <c r="P3295" s="269"/>
      <c r="Q3295" s="137" t="str">
        <f>IF($Q3293&lt;&gt;"",IF($Q3293="W","L","W"),"")</f>
        <v/>
      </c>
      <c r="R3295" s="100"/>
      <c r="S3295" s="100"/>
      <c r="T3295" s="100"/>
      <c r="U3295" s="100"/>
      <c r="V3295" s="100"/>
      <c r="W3295" s="100"/>
      <c r="X3295" s="100"/>
      <c r="Y3295" s="100"/>
      <c r="Z3295" s="100"/>
      <c r="AA3295" s="100"/>
      <c r="AB3295" s="100"/>
      <c r="AC3295" s="100"/>
      <c r="AD3295" s="100"/>
      <c r="AE3295" s="100"/>
      <c r="AF3295" s="100"/>
    </row>
    <row r="3296" spans="1:32" ht="12.75" customHeight="1">
      <c r="A3296" s="301"/>
      <c r="B3296" s="295"/>
      <c r="C3296" s="296"/>
      <c r="D3296" s="296"/>
      <c r="E3296" s="296"/>
      <c r="F3296" s="296"/>
      <c r="G3296" s="296"/>
      <c r="H3296" s="270"/>
      <c r="I3296" s="270"/>
      <c r="J3296" s="266"/>
      <c r="K3296" s="266"/>
      <c r="L3296" s="266"/>
      <c r="M3296" s="267"/>
      <c r="N3296" s="268"/>
      <c r="O3296" s="268"/>
      <c r="P3296" s="269"/>
      <c r="Q3296" s="139" t="str">
        <f>IF($Q3295&lt;&gt;"",IF($Q3295="W",IF(SUM(IF($H3295&gt;$H3293,1,0),IF($I3295&gt;$I3293,1,0),IF($J3295&gt;$J3293,1,0),IF($K3295&gt;$K3293,1,0),IF($L3295&gt;$L3293,1,0))&lt;&gt;3,"Error",""),""),"")</f>
        <v/>
      </c>
      <c r="R3296" s="43" t="str">
        <f>$A3291</f>
        <v>3rd Singles</v>
      </c>
      <c r="S3296" s="43"/>
      <c r="T3296" s="43"/>
      <c r="U3296" s="43"/>
      <c r="V3296" s="43"/>
      <c r="W3296" s="43"/>
      <c r="X3296" s="43"/>
      <c r="Y3296" s="43"/>
      <c r="Z3296" s="43"/>
      <c r="AA3296" s="43"/>
      <c r="AB3296" s="43"/>
      <c r="AC3296" s="43"/>
      <c r="AD3296" s="43"/>
      <c r="AE3296" s="43"/>
      <c r="AF3296" s="43"/>
    </row>
    <row r="3297" spans="1:32" ht="12.75" customHeight="1">
      <c r="Q3297" s="7"/>
      <c r="R3297" s="60" t="s">
        <v>1228</v>
      </c>
      <c r="S3297" s="101" t="s">
        <v>1126</v>
      </c>
      <c r="T3297" s="102"/>
      <c r="U3297" s="102"/>
      <c r="V3297" s="102"/>
      <c r="W3297" s="102"/>
      <c r="X3297" s="103"/>
      <c r="Y3297" s="60">
        <v>1</v>
      </c>
      <c r="Z3297" s="60">
        <v>2</v>
      </c>
      <c r="AA3297" s="60">
        <v>3</v>
      </c>
      <c r="AB3297" s="60">
        <v>4</v>
      </c>
      <c r="AC3297" s="60">
        <v>5</v>
      </c>
      <c r="AD3297" s="104"/>
      <c r="AE3297" s="105"/>
      <c r="AF3297" s="106"/>
    </row>
    <row r="3298" spans="1:32" ht="12.75" customHeight="1">
      <c r="A3298" s="21" t="s">
        <v>1236</v>
      </c>
      <c r="H3298" s="136" t="str">
        <f ca="1">IF($Q3300&lt;&gt;"",IF(AND($B3300&lt;&gt;"Missing Player",$B3302&lt;&gt;"Missing Player"),IF(AND(AND($H3300&gt;-1,$H3302&gt;-1),OR($H3300&gt;10,$H3302&gt;10),ABS($H3300-$H3302)&gt;1,IF(OR($H3300&gt;11,$H3302&gt;11),ABS($H3300-$H3302)=2,TRUE),$H3300=INT($H3300),$H3302=INT($H3302)),"","Error"),""),"")</f>
        <v/>
      </c>
      <c r="I3298" s="136" t="str">
        <f ca="1">IF($Q3300&lt;&gt;"",IF(AND($B3300&lt;&gt;"Missing Player",$B3302&lt;&gt;"Missing Player"),IF(AND(AND($I3300&gt;-1,$I3302&gt;-1),OR($I3300&gt;10,$I3302&gt;10),ABS($I3300-$I3302)&gt;1,IF(OR($I3300&gt;11,$I3302&gt;11),ABS($I3300-$I3302)=2,TRUE),$I3300=INT($I3300),$I3302=INT($I3302)),"","Error"),""),"")</f>
        <v/>
      </c>
      <c r="J3298" s="136" t="str">
        <f ca="1">IF($Q3300&lt;&gt;"",IF(AND($B3300&lt;&gt;"Missing Player",$B3302&lt;&gt;"Missing Player"),IF(AND(AND($J3300&gt;-1,$J3302&gt;-1),OR($J3300&gt;10,$J3302&gt;10),ABS($J3300-$J3302)&gt;1,IF(OR($J3300&gt;11,$J3302&gt;11),ABS($J3300-$J3302)=2,TRUE),$J3300=INT($J3300),$J3302=INT($J3302)),"","Error"),""),"")</f>
        <v/>
      </c>
      <c r="K3298" s="136" t="str">
        <f ca="1">IF($Q3300&lt;&gt;"",IF(AND($K3300&lt;&gt;"",$K3302&lt;&gt;""), IF(AND(AND($K3300&gt;-1,$K3302&gt;-1),OR($K3300&gt;10,$K3302&gt;10),ABS($K3300-$K3302)&gt;1,IF(OR($K3300&gt;11,$K3302&gt;11),ABS($K3300-$K3302)=2,TRUE),$K3300=INT($K3300),$K3302=INT($K3302)),"","Error"),""),"")</f>
        <v/>
      </c>
      <c r="L3298" s="136" t="str">
        <f ca="1">IF($Q3300&lt;&gt;"",IF(AND($L3300&lt;&gt;"",$L3302&lt;&gt;""), IF(AND(AND($L3300&gt;-1,$L3302&gt;-1),OR($L3300&gt;10,$L3302&gt;10),ABS($L3300-$L3302)&gt;1,IF(OR($L3300&gt;11,$L3302&gt;11),ABS($L3300-$L3302)=2,TRUE),$L3300=INT($L3300),$L3302=INT($L3302)),"","Error"),""),"")</f>
        <v/>
      </c>
      <c r="Q3298" s="7"/>
      <c r="R3298" s="300" t="str">
        <f>$B3273</f>
        <v>H</v>
      </c>
      <c r="S3298" s="331" t="str">
        <f ca="1">IF($B3293&lt;&gt;"",$B3293,"")</f>
        <v/>
      </c>
      <c r="T3298" s="332"/>
      <c r="U3298" s="332"/>
      <c r="V3298" s="332"/>
      <c r="W3298" s="332"/>
      <c r="X3298" s="333"/>
      <c r="Y3298" s="329"/>
      <c r="Z3298" s="329"/>
      <c r="AA3298" s="329"/>
      <c r="AB3298" s="329"/>
      <c r="AC3298" s="329"/>
      <c r="AD3298" s="345"/>
      <c r="AE3298" s="358"/>
      <c r="AF3298" s="359"/>
    </row>
    <row r="3299" spans="1:32" ht="12.75" customHeight="1">
      <c r="A3299" s="5" t="s">
        <v>1228</v>
      </c>
      <c r="B3299" s="290" t="s">
        <v>1126</v>
      </c>
      <c r="C3299" s="291"/>
      <c r="D3299" s="291"/>
      <c r="E3299" s="291"/>
      <c r="F3299" s="291"/>
      <c r="G3299" s="292"/>
      <c r="H3299" s="5">
        <v>1</v>
      </c>
      <c r="I3299" s="5">
        <v>2</v>
      </c>
      <c r="J3299" s="5">
        <v>3</v>
      </c>
      <c r="K3299" s="5">
        <v>4</v>
      </c>
      <c r="L3299" s="5">
        <v>5</v>
      </c>
      <c r="M3299" s="271"/>
      <c r="N3299" s="272"/>
      <c r="O3299" s="272"/>
      <c r="P3299" s="273"/>
      <c r="Q3299" s="7"/>
      <c r="R3299" s="330"/>
      <c r="S3299" s="334"/>
      <c r="T3299" s="335"/>
      <c r="U3299" s="335"/>
      <c r="V3299" s="335"/>
      <c r="W3299" s="335"/>
      <c r="X3299" s="336"/>
      <c r="Y3299" s="330"/>
      <c r="Z3299" s="330"/>
      <c r="AA3299" s="330"/>
      <c r="AB3299" s="330"/>
      <c r="AC3299" s="330"/>
      <c r="AD3299" s="360"/>
      <c r="AE3299" s="361"/>
      <c r="AF3299" s="362"/>
    </row>
    <row r="3300" spans="1:32" ht="12.75" customHeight="1">
      <c r="A3300" s="300" t="str">
        <f>B3273</f>
        <v>H</v>
      </c>
      <c r="B3300" s="293" t="str">
        <f ca="1">IF(AND(OFFSET($AO$1,$C3273-1,8,1,1),$A3274&lt;&gt;"",$J3274&lt;&gt;""),CHOOSE($C3273,$AR$1,$AR$2,$AR$3,$AR$4,$AR$5,$AR$6,$AR$7,$AR$8,$AR$9,$AR$10,$AR$11,$AR$12),"")</f>
        <v/>
      </c>
      <c r="C3300" s="294"/>
      <c r="D3300" s="294"/>
      <c r="E3300" s="294"/>
      <c r="F3300" s="294"/>
      <c r="G3300" s="294"/>
      <c r="H3300" s="265"/>
      <c r="I3300" s="265"/>
      <c r="J3300" s="265"/>
      <c r="K3300" s="265"/>
      <c r="L3300" s="265" t="str">
        <f ca="1">IF(AND($B3300&lt;&gt;"",$Q3279&lt;&gt;""),IF($B3300="Missing Player",0,IF($B3302="Missing Player",11,"")),"")</f>
        <v/>
      </c>
      <c r="M3300" s="262" t="str">
        <f ca="1">IF(OR(AND($B3293&lt;&gt;"",$B3300&lt;&gt;"",$E3304&lt;=$D3304),AND($B3295&lt;&gt;"",$B3302&lt;&gt;"",$I3304&lt;=$H3304)),"Invalid Lineup","")</f>
        <v/>
      </c>
      <c r="N3300" s="263"/>
      <c r="O3300" s="263"/>
      <c r="P3300" s="264"/>
      <c r="Q3300" s="137" t="str">
        <f ca="1">IF($L3300=$L3302,IF($K3300=$K3302,IF($J3300&lt;&gt;"",IF($J3300&gt;$J3302,"W","L"),""),IF($K3300&gt;$K3302,"W","L")),IF($L3300&gt;$L3302,"W","L"))</f>
        <v/>
      </c>
      <c r="R3300" s="300" t="str">
        <f>$K3273</f>
        <v>K</v>
      </c>
      <c r="S3300" s="331" t="str">
        <f ca="1">IF($B3295&lt;&gt;"",$B3295,"")</f>
        <v/>
      </c>
      <c r="T3300" s="332"/>
      <c r="U3300" s="332"/>
      <c r="V3300" s="332"/>
      <c r="W3300" s="332"/>
      <c r="X3300" s="333"/>
      <c r="Y3300" s="329"/>
      <c r="Z3300" s="329"/>
      <c r="AA3300" s="329"/>
      <c r="AB3300" s="329"/>
      <c r="AC3300" s="351"/>
      <c r="AD3300" s="363" t="s">
        <v>1237</v>
      </c>
      <c r="AE3300" s="358"/>
      <c r="AF3300" s="359"/>
    </row>
    <row r="3301" spans="1:32" ht="12.75" customHeight="1">
      <c r="A3301" s="301"/>
      <c r="B3301" s="295"/>
      <c r="C3301" s="296"/>
      <c r="D3301" s="296"/>
      <c r="E3301" s="296"/>
      <c r="F3301" s="296"/>
      <c r="G3301" s="296"/>
      <c r="H3301" s="270"/>
      <c r="I3301" s="270"/>
      <c r="J3301" s="270"/>
      <c r="K3301" s="270"/>
      <c r="L3301" s="270"/>
      <c r="M3301" s="262"/>
      <c r="N3301" s="263"/>
      <c r="O3301" s="263"/>
      <c r="P3301" s="264"/>
      <c r="Q3301" s="139" t="str">
        <f ca="1">IF($Q3300&lt;&gt;"",IF($B3302&lt;&gt;"Missing Player",IF($Q3300="W",IF(SUM(IF($H3300&gt;$H3302,1,0),IF($I3300&gt;$I3302,1,0),IF($J3300&gt;$J3302,1,0),IF($K3300&gt;$K3302,1,0),IF($L3300&gt;$L3302,1,0))&lt;&gt;3,"Error",""),""),""),"")</f>
        <v/>
      </c>
      <c r="R3301" s="330"/>
      <c r="S3301" s="334"/>
      <c r="T3301" s="335"/>
      <c r="U3301" s="335"/>
      <c r="V3301" s="335"/>
      <c r="W3301" s="335"/>
      <c r="X3301" s="336"/>
      <c r="Y3301" s="330"/>
      <c r="Z3301" s="330"/>
      <c r="AA3301" s="330"/>
      <c r="AB3301" s="330"/>
      <c r="AC3301" s="330"/>
      <c r="AD3301" s="360"/>
      <c r="AE3301" s="361"/>
      <c r="AF3301" s="362"/>
    </row>
    <row r="3302" spans="1:32" ht="12.75" customHeight="1">
      <c r="A3302" s="300" t="str">
        <f>K3273</f>
        <v>K</v>
      </c>
      <c r="B3302" s="293" t="str">
        <f ca="1">IF(AND(OFFSET($AO$1,$L3273-1,8,1,1),$A3274&lt;&gt;"",$J3274&lt;&gt;""),CHOOSE($L3273,$AR$1,$AR$2,$AR$3,$AR$4,$AR$5,$AR$6,$AR$7,$AR$8,$AR$9,$AR$10,$AR$11,$AR$12),"")</f>
        <v/>
      </c>
      <c r="C3302" s="294"/>
      <c r="D3302" s="294"/>
      <c r="E3302" s="294"/>
      <c r="F3302" s="294"/>
      <c r="G3302" s="294"/>
      <c r="H3302" s="265"/>
      <c r="I3302" s="265"/>
      <c r="J3302" s="265"/>
      <c r="K3302" s="265"/>
      <c r="L3302" s="265" t="str">
        <f ca="1">IF(AND($B3302&lt;&gt;"",$Q3279&lt;&gt;""),IF($B3302="Missing Player",0,IF($B3300="Missing Player",11,"")),"")</f>
        <v/>
      </c>
      <c r="M3302" s="267" t="s">
        <v>1237</v>
      </c>
      <c r="N3302" s="268"/>
      <c r="O3302" s="268"/>
      <c r="P3302" s="269"/>
      <c r="Q3302" s="137" t="str">
        <f ca="1">IF($Q3300&lt;&gt;"",IF($Q3300="W","L","W"),"")</f>
        <v/>
      </c>
      <c r="R3302" s="112"/>
      <c r="S3302" s="98"/>
      <c r="T3302" s="108"/>
      <c r="U3302" s="108"/>
      <c r="V3302" s="108"/>
      <c r="W3302" s="108"/>
      <c r="X3302" s="108"/>
      <c r="Y3302" s="113"/>
      <c r="Z3302" s="113"/>
      <c r="AA3302" s="113"/>
      <c r="AB3302" s="113"/>
      <c r="AC3302" s="113"/>
      <c r="AD3302" s="107"/>
      <c r="AE3302" s="109"/>
      <c r="AF3302" s="109"/>
    </row>
    <row r="3303" spans="1:32" ht="12.75" customHeight="1">
      <c r="A3303" s="301"/>
      <c r="B3303" s="295"/>
      <c r="C3303" s="296"/>
      <c r="D3303" s="296"/>
      <c r="E3303" s="296"/>
      <c r="F3303" s="296"/>
      <c r="G3303" s="296"/>
      <c r="H3303" s="270"/>
      <c r="I3303" s="270"/>
      <c r="J3303" s="266"/>
      <c r="K3303" s="266"/>
      <c r="L3303" s="266"/>
      <c r="M3303" s="267"/>
      <c r="N3303" s="268"/>
      <c r="O3303" s="268"/>
      <c r="P3303" s="269"/>
      <c r="Q3303" s="139" t="str">
        <f ca="1">IF($Q3302&lt;&gt;"",IF($B3300&lt;&gt;"Missing Player",IF($Q3302="W",IF(SUM(IF($H3302&gt;$H3300,1,0),IF($I3302&gt;$I3300,1,0),IF($J3302&gt;$J3300,1,0),IF($K3302&gt;$K3300,1,0),IF($L3302&gt;$L3300,1,0))&lt;&gt;3,"Error",""),""),""),"")</f>
        <v/>
      </c>
      <c r="R3303" s="114"/>
      <c r="S3303" s="115"/>
      <c r="T3303" s="115"/>
      <c r="U3303" s="115"/>
      <c r="V3303" s="115"/>
      <c r="W3303" s="115"/>
      <c r="X3303" s="115"/>
      <c r="Y3303" s="114"/>
      <c r="Z3303" s="114"/>
      <c r="AA3303" s="114"/>
      <c r="AB3303" s="114"/>
      <c r="AC3303" s="114"/>
      <c r="AD3303" s="114"/>
      <c r="AE3303" s="114"/>
      <c r="AF3303" s="114"/>
    </row>
    <row r="3304" spans="1:32" ht="12.75" customHeight="1">
      <c r="B3304" s="140" t="str">
        <f ca="1">IF(ISERROR(VLOOKUP($B3279&amp;"("&amp;$B3273&amp;")",Players!$S$4:$T$132,2,FALSE)),"",VLOOKUP($B3279&amp;"("&amp;$B3273&amp;")",Players!$S$4:$T$132,2,FALSE))</f>
        <v>H1</v>
      </c>
      <c r="C3304" s="140" t="str">
        <f ca="1">IF(ISERROR(VLOOKUP($B3286&amp;"("&amp;$B3273&amp;")",Players!$S$4:$T$132,2,FALSE)),"",VLOOKUP($B3286&amp;"("&amp;$B3273&amp;")",Players!$S$4:$T$132,2,FALSE))</f>
        <v>H1</v>
      </c>
      <c r="D3304" s="141" t="str">
        <f ca="1">IF(ISERROR(VLOOKUP($B3293&amp;"("&amp;$B3273&amp;")",Players!$S$4:$T$132,2,FALSE)),"",VLOOKUP($B3293&amp;"("&amp;$B3273&amp;")",Players!$S$4:$T$132,2,FALSE))</f>
        <v>H1</v>
      </c>
      <c r="E3304" s="141" t="str">
        <f ca="1">IF(ISERROR(VLOOKUP($B3300&amp;"("&amp;$B3273&amp;")",Players!$S$4:$T$132,2,FALSE)),"",VLOOKUP($B3300&amp;"("&amp;$B3273&amp;")",Players!$S$4:$T$132,2,FALSE))</f>
        <v>H1</v>
      </c>
      <c r="F3304" s="141" t="str">
        <f ca="1">IF(ISERROR(VLOOKUP($B3281&amp;"("&amp;$K3273&amp;")",Players!$S$4:$T$132,2,FALSE)),"",VLOOKUP($B3281&amp;"("&amp;$K3273&amp;")",Players!$S$4:$T$132,2,FALSE))</f>
        <v>K1</v>
      </c>
      <c r="G3304" s="141" t="str">
        <f ca="1">IF(ISERROR(VLOOKUP($B3288&amp;"("&amp;$K3273&amp;")",Players!$S$4:$T$132,2,FALSE)),"",VLOOKUP($B3288&amp;"("&amp;$K3273&amp;")",Players!$S$4:$T$132,2,FALSE))</f>
        <v>K1</v>
      </c>
      <c r="H3304" s="141" t="str">
        <f ca="1">IF(ISERROR(VLOOKUP($B3295&amp;"("&amp;$K3273&amp;")",Players!$S$4:$T$132,2,FALSE)),"",VLOOKUP($B3295&amp;"("&amp;$K3273&amp;")",Players!$S$4:$T$132,2,FALSE))</f>
        <v>K1</v>
      </c>
      <c r="I3304" s="141" t="str">
        <f ca="1">IF(ISERROR(VLOOKUP($B3302&amp;"("&amp;$K3273&amp;")",Players!$S$4:$T$132,2,FALSE)),"",VLOOKUP($B3302&amp;"("&amp;$K3273&amp;")",Players!$S$4:$T$132,2,FALSE))</f>
        <v>K1</v>
      </c>
      <c r="Q3304" s="7"/>
      <c r="R3304" s="50"/>
      <c r="S3304" s="116"/>
      <c r="T3304" s="115"/>
      <c r="U3304" s="115"/>
      <c r="V3304" s="115"/>
      <c r="W3304" s="115"/>
      <c r="X3304" s="115"/>
      <c r="Y3304" s="99"/>
      <c r="Z3304" s="99"/>
      <c r="AA3304" s="99"/>
      <c r="AB3304" s="99"/>
      <c r="AC3304" s="117"/>
      <c r="AD3304" s="118"/>
      <c r="AE3304" s="114"/>
      <c r="AF3304" s="114"/>
    </row>
    <row r="3305" spans="1:32" ht="12.75" customHeight="1">
      <c r="A3305" s="21" t="s">
        <v>1225</v>
      </c>
      <c r="H3305" s="136" t="str">
        <f ca="1">IF($Q3307&lt;&gt;"",IF(AND($B3308&lt;&gt;"Missing Player",$B3310&lt;&gt;"Missing Player"),IF(AND(AND($H3307&gt;-1,$H3309&gt;-1),OR($H3307&gt;10,$H3309&gt;10),ABS($H3307-$H3309)&gt;1,IF(OR($H3307&gt;11,$H3309&gt;11),ABS($H3307-$H3309)=2,TRUE),$H3307=INT($H3307),$H3309=INT($H3309)),"","Error"),""),"")</f>
        <v/>
      </c>
      <c r="I3305" s="136" t="str">
        <f ca="1">IF($Q3307&lt;&gt;"",IF(AND($B3308&lt;&gt;"Missing Player",$B3310&lt;&gt;"Missing Player"),IF(AND(AND($I3307&gt;-1,$I3309&gt;-1),OR($I3307&gt;10,$I3309&gt;10),ABS($I3307-$I3309)&gt;1,IF(OR($I3307&gt;11,$I3309&gt;11),ABS($I3307-$I3309)=2,TRUE),$I3307=INT($I3307),$I3309=INT($I3309)),"","Error"),""),"")</f>
        <v/>
      </c>
      <c r="J3305" s="136" t="str">
        <f ca="1">IF($Q3307&lt;&gt;"",IF(AND($B3308&lt;&gt;"Missing Player",$B3310&lt;&gt;"Missing Player"),IF(AND(AND($J3307&gt;-1,$J3309&gt;-1),OR($J3307&gt;10,$J3309&gt;10),ABS($J3307-$J3309)&gt;1,IF(OR($J3307&gt;11,$J3309&gt;11),ABS($J3307-$J3309)=2,TRUE),$J3307=INT($J3307),$J3309=INT($J3309)),"","Error"),""),"")</f>
        <v/>
      </c>
      <c r="K3305" s="136" t="str">
        <f ca="1">IF($Q3307&lt;&gt;"",IF(AND($K3307&lt;&gt;"",$K3309&lt;&gt;""), IF(AND(AND($K3307&gt;-1,$K3309&gt;-1),OR($K3307&gt;10,$K3309&gt;10),ABS($K3307-$K3309)&gt;1,IF(OR($K3307&gt;11,$K3309&gt;11),ABS($K3307-$K3309)=2,TRUE),$K3307=INT($K3307),$K3309=INT($K3309)),"","Error"),""),"")</f>
        <v/>
      </c>
      <c r="L3305" s="136" t="str">
        <f ca="1">IF($Q3307&lt;&gt;"",IF(AND($L3307&lt;&gt;"",$L3309&lt;&gt;""), IF(AND(AND($L3307&gt;-1,$L3309&gt;-1),OR($L3307&gt;10,$L3309&gt;10),ABS($L3307-$L3309)&gt;1,IF(OR($L3307&gt;11,$L3309&gt;11),ABS($L3307-$L3309)=2,TRUE),$L3307=INT($L3307),$L3309=INT($L3309)),"","Error"),""),"")</f>
        <v/>
      </c>
      <c r="Q3305" s="7"/>
      <c r="R3305" s="114"/>
      <c r="S3305" s="115"/>
      <c r="T3305" s="115"/>
      <c r="U3305" s="115"/>
      <c r="V3305" s="115"/>
      <c r="W3305" s="115"/>
      <c r="X3305" s="115"/>
      <c r="Y3305" s="114"/>
      <c r="Z3305" s="114"/>
      <c r="AA3305" s="114"/>
      <c r="AB3305" s="114"/>
      <c r="AC3305" s="114"/>
      <c r="AD3305" s="114"/>
      <c r="AE3305" s="114"/>
      <c r="AF3305" s="114"/>
    </row>
    <row r="3306" spans="1:32" ht="12.75" customHeight="1">
      <c r="A3306" s="5" t="s">
        <v>1228</v>
      </c>
      <c r="B3306" s="290" t="s">
        <v>1126</v>
      </c>
      <c r="C3306" s="291"/>
      <c r="D3306" s="291"/>
      <c r="E3306" s="291"/>
      <c r="F3306" s="291"/>
      <c r="G3306" s="292"/>
      <c r="H3306" s="5">
        <v>1</v>
      </c>
      <c r="I3306" s="5">
        <v>2</v>
      </c>
      <c r="J3306" s="5">
        <v>3</v>
      </c>
      <c r="K3306" s="5">
        <v>4</v>
      </c>
      <c r="L3306" s="5">
        <v>5</v>
      </c>
      <c r="M3306" s="271"/>
      <c r="N3306" s="272"/>
      <c r="O3306" s="272"/>
      <c r="P3306" s="273"/>
      <c r="Q3306" s="8"/>
      <c r="S3306" s="24"/>
      <c r="T3306" s="26"/>
    </row>
    <row r="3307" spans="1:32" ht="12.75" customHeight="1">
      <c r="A3307" s="300" t="str">
        <f>B3273</f>
        <v>H</v>
      </c>
      <c r="B3307" s="311" t="str">
        <f ca="1">IF($B3279&lt;&gt;"",$B3279,"")</f>
        <v/>
      </c>
      <c r="C3307" s="312"/>
      <c r="D3307" s="312"/>
      <c r="E3307" s="312"/>
      <c r="F3307" s="312"/>
      <c r="G3307" s="313"/>
      <c r="H3307" s="265"/>
      <c r="I3307" s="265"/>
      <c r="J3307" s="265"/>
      <c r="K3307" s="265"/>
      <c r="L3307" s="265" t="str">
        <f ca="1">IF($B3300&lt;&gt;"",IF(AND($B3300="Missing Player",$G3311=2,$J3311=2),0,IF(AND($B3302="Missing Player",$G3311=2,$J3311=2),11,"")),"")</f>
        <v/>
      </c>
      <c r="M3307" s="262" t="str">
        <f ca="1">IF(OR(AND($B3307&lt;&gt;"",$B3308&lt;&gt;"",$B3307=$B3308),AND($B3309&lt;&gt;"",$B3310&lt;&gt;"",$B3309=$B3310)),"Invalid Partner","")</f>
        <v/>
      </c>
      <c r="N3307" s="263"/>
      <c r="O3307" s="263"/>
      <c r="P3307" s="264"/>
      <c r="Q3307" s="138" t="str">
        <f ca="1">IF(L3307=L3309,IF(K3307=K3309,IF(J3307&lt;&gt;"",IF(J3307&gt;J3309,"W","L"),""),IF(K3307&gt;K3309,"W","L")),IF(L3307&gt;L3309,"W","L"))</f>
        <v/>
      </c>
      <c r="S3307" s="24"/>
      <c r="T3307" s="26"/>
    </row>
    <row r="3308" spans="1:32" ht="12.75" customHeight="1">
      <c r="A3308" s="324"/>
      <c r="B3308" s="308" t="str">
        <f ca="1">IF($B3300="Missing Player",$B3300,"")</f>
        <v/>
      </c>
      <c r="C3308" s="309"/>
      <c r="D3308" s="309"/>
      <c r="E3308" s="309"/>
      <c r="F3308" s="309"/>
      <c r="G3308" s="310"/>
      <c r="H3308" s="270"/>
      <c r="I3308" s="270"/>
      <c r="J3308" s="270"/>
      <c r="K3308" s="270"/>
      <c r="L3308" s="270"/>
      <c r="M3308" s="262"/>
      <c r="N3308" s="263"/>
      <c r="O3308" s="263"/>
      <c r="P3308" s="264"/>
      <c r="Q3308" s="139" t="str">
        <f ca="1">IF($Q3307&lt;&gt;"",IF($B3310&lt;&gt;"Missing Player",IF($Q3307="W",IF(SUM(IF($H3307&gt;$H3309,1,0),IF($I3307&gt;$I3309,1,0),IF($J3307&gt;$J3309,1,0),IF($K3307&gt;$K3309,1,0),IF($L3307&gt;$L3309,1,0))&lt;&gt;3,"Error",""),""),""),"")</f>
        <v/>
      </c>
      <c r="R3308" s="328" t="str">
        <f>$A3274</f>
        <v/>
      </c>
      <c r="S3308" s="328"/>
      <c r="T3308" s="328"/>
      <c r="U3308" s="328"/>
      <c r="V3308" s="328"/>
      <c r="W3308" s="328"/>
      <c r="X3308" s="256" t="str">
        <f>CONCATENATE("(",$B3273," vs ",$K3273,")")</f>
        <v>(H vs K)</v>
      </c>
      <c r="Y3308" s="256"/>
      <c r="Z3308" s="328" t="str">
        <f>$J3274</f>
        <v/>
      </c>
      <c r="AA3308" s="328"/>
      <c r="AB3308" s="328"/>
      <c r="AC3308" s="328"/>
      <c r="AD3308" s="328"/>
      <c r="AE3308" s="328"/>
      <c r="AF3308" s="43"/>
    </row>
    <row r="3309" spans="1:32" ht="12.75" customHeight="1">
      <c r="A3309" s="325" t="str">
        <f>K3273</f>
        <v>K</v>
      </c>
      <c r="B3309" s="311" t="str">
        <f ca="1">IF($B3281&lt;&gt;"",$B3281,"")</f>
        <v/>
      </c>
      <c r="C3309" s="312"/>
      <c r="D3309" s="312"/>
      <c r="E3309" s="312"/>
      <c r="F3309" s="312"/>
      <c r="G3309" s="313"/>
      <c r="H3309" s="265"/>
      <c r="I3309" s="265"/>
      <c r="J3309" s="265"/>
      <c r="K3309" s="265"/>
      <c r="L3309" s="265" t="str">
        <f ca="1">IF($B3302&lt;&gt;"",IF(AND($B3302="Missing Player",$G3311=2,$J3311=2),0,IF(AND($B3300="Missing Player",$G3311=2,$J3311=2),11,"")),"")</f>
        <v/>
      </c>
      <c r="M3309" s="267" t="s">
        <v>1237</v>
      </c>
      <c r="N3309" s="268"/>
      <c r="O3309" s="268"/>
      <c r="P3309" s="269"/>
      <c r="Q3309" s="138" t="str">
        <f ca="1">IF(Q3307&lt;&gt;"",IF(Q3307="W","L","W"),"")</f>
        <v/>
      </c>
      <c r="R3309" s="43"/>
      <c r="S3309" s="43"/>
      <c r="T3309" s="43"/>
      <c r="U3309" s="43"/>
      <c r="V3309" s="43"/>
      <c r="W3309" s="43"/>
      <c r="X3309" s="43"/>
      <c r="Y3309" s="43"/>
      <c r="Z3309" s="43"/>
      <c r="AA3309" s="43"/>
      <c r="AB3309" s="43"/>
      <c r="AC3309" s="43"/>
      <c r="AD3309" s="43"/>
      <c r="AE3309" s="43"/>
      <c r="AF3309" s="43"/>
    </row>
    <row r="3310" spans="1:32" ht="12.75" customHeight="1">
      <c r="A3310" s="324"/>
      <c r="B3310" s="308" t="str">
        <f ca="1">IF($B3302="Missing Player",$B3302,"")</f>
        <v/>
      </c>
      <c r="C3310" s="309"/>
      <c r="D3310" s="309"/>
      <c r="E3310" s="309"/>
      <c r="F3310" s="309"/>
      <c r="G3310" s="310"/>
      <c r="H3310" s="270"/>
      <c r="I3310" s="270"/>
      <c r="J3310" s="266"/>
      <c r="K3310" s="266"/>
      <c r="L3310" s="266"/>
      <c r="M3310" s="267"/>
      <c r="N3310" s="268"/>
      <c r="O3310" s="268"/>
      <c r="P3310" s="269"/>
      <c r="Q3310" s="139" t="str">
        <f ca="1">IF($Q3309&lt;&gt;"",IF($B3308&lt;&gt;"Missing Player",IF($Q3309="W",IF(SUM(IF($H3309&gt;$H3307,1,0),IF($I3309&gt;$I3307,1,0),IF($J3309&gt;$J3307,1,0),IF($K3309&gt;$K3307,1,0),IF($L3309&gt;$L3307,1,0))&lt;&gt;3,"Error",""),""),""),"")</f>
        <v/>
      </c>
      <c r="R3310" s="43" t="str">
        <f>A3298</f>
        <v>4th Singles</v>
      </c>
      <c r="S3310" s="43"/>
      <c r="T3310" s="43"/>
      <c r="U3310" s="43"/>
      <c r="V3310" s="43"/>
      <c r="W3310" s="43"/>
      <c r="X3310" s="43"/>
      <c r="Y3310" s="43"/>
      <c r="Z3310" s="43"/>
      <c r="AA3310" s="43"/>
      <c r="AB3310" s="43"/>
      <c r="AC3310" s="43"/>
      <c r="AD3310" s="43"/>
      <c r="AE3310" s="43"/>
      <c r="AF3310" s="43"/>
    </row>
    <row r="3311" spans="1:32" ht="12.75" customHeight="1">
      <c r="G3311" s="66">
        <f ca="1">COUNTIF($Q3279:$Q3279,"W")+COUNTIF($Q3286:$Q3286,"W")+COUNTIF($Q3293:$Q3293,"W")+COUNTIF($Q3300:$Q3300,"W")</f>
        <v>0</v>
      </c>
      <c r="J3311" s="66">
        <f ca="1">COUNTIF($Q3281:$Q3281,"W")+COUNTIF($Q3288:$Q3288,"W")+COUNTIF($Q3295:$Q3295,"W")+COUNTIF($Q3302:$Q3302,"W")</f>
        <v>0</v>
      </c>
      <c r="R3311" s="60" t="s">
        <v>1228</v>
      </c>
      <c r="S3311" s="339" t="s">
        <v>1126</v>
      </c>
      <c r="T3311" s="340"/>
      <c r="U3311" s="340"/>
      <c r="V3311" s="340"/>
      <c r="W3311" s="340"/>
      <c r="X3311" s="341"/>
      <c r="Y3311" s="60">
        <v>1</v>
      </c>
      <c r="Z3311" s="60">
        <v>2</v>
      </c>
      <c r="AA3311" s="60">
        <v>3</v>
      </c>
      <c r="AB3311" s="60">
        <v>4</v>
      </c>
      <c r="AC3311" s="60">
        <v>5</v>
      </c>
      <c r="AD3311" s="342"/>
      <c r="AE3311" s="343"/>
      <c r="AF3311" s="344"/>
    </row>
    <row r="3312" spans="1:32" ht="12.75" customHeight="1" thickBot="1">
      <c r="F3312" s="246" t="s">
        <v>1238</v>
      </c>
      <c r="G3312" s="246"/>
      <c r="H3312" s="246"/>
      <c r="I3312" s="246"/>
      <c r="J3312" s="246"/>
      <c r="K3312" s="246"/>
      <c r="R3312" s="300" t="str">
        <f>B3273</f>
        <v>H</v>
      </c>
      <c r="S3312" s="331" t="str">
        <f ca="1">IF($B3300&lt;&gt;"",$B3300,"")</f>
        <v/>
      </c>
      <c r="T3312" s="353"/>
      <c r="U3312" s="353"/>
      <c r="V3312" s="353"/>
      <c r="W3312" s="353"/>
      <c r="X3312" s="354"/>
      <c r="Y3312" s="329"/>
      <c r="Z3312" s="329"/>
      <c r="AA3312" s="351"/>
      <c r="AB3312" s="351"/>
      <c r="AC3312" s="351"/>
      <c r="AD3312" s="345"/>
      <c r="AE3312" s="346"/>
      <c r="AF3312" s="347"/>
    </row>
    <row r="3313" spans="1:32" ht="12.75" customHeight="1">
      <c r="A3313" s="22"/>
      <c r="B3313" s="22"/>
      <c r="C3313" s="22"/>
      <c r="D3313" s="22"/>
      <c r="E3313" s="22"/>
      <c r="G3313" s="304" t="str">
        <f>B3273</f>
        <v>H</v>
      </c>
      <c r="H3313" s="305"/>
      <c r="I3313" s="302" t="str">
        <f>K3273</f>
        <v>K</v>
      </c>
      <c r="J3313" s="303"/>
      <c r="L3313" s="22"/>
      <c r="M3313" s="22"/>
      <c r="N3313" s="22"/>
      <c r="O3313" s="22"/>
      <c r="P3313" s="22"/>
      <c r="R3313" s="301"/>
      <c r="S3313" s="355"/>
      <c r="T3313" s="356"/>
      <c r="U3313" s="356"/>
      <c r="V3313" s="356"/>
      <c r="W3313" s="356"/>
      <c r="X3313" s="357"/>
      <c r="Y3313" s="338"/>
      <c r="Z3313" s="338"/>
      <c r="AA3313" s="352"/>
      <c r="AB3313" s="352"/>
      <c r="AC3313" s="352"/>
      <c r="AD3313" s="348"/>
      <c r="AE3313" s="349"/>
      <c r="AF3313" s="350"/>
    </row>
    <row r="3314" spans="1:32" ht="12.75" customHeight="1" thickBot="1">
      <c r="A3314" s="2" t="s">
        <v>1228</v>
      </c>
      <c r="B3314" s="53" t="str">
        <f>B3273</f>
        <v>H</v>
      </c>
      <c r="C3314" s="3" t="s">
        <v>1226</v>
      </c>
      <c r="F3314" s="66" t="str">
        <f>CONCATENATE($B3273,"-",$K3273)</f>
        <v>H-K</v>
      </c>
      <c r="G3314" s="320" t="str">
        <f ca="1">IF(OR(Q3279&lt;&gt;"",Q3286&lt;&gt;"",Q3293&lt;&gt;"",Q3300&lt;&gt;"",Q3307&lt;&gt;""),COUNTIF(Q3279:Q3279,"W")+COUNTIF(Q3286:Q3286,"W")+COUNTIF(Q3293:Q3293,"W")+COUNTIF(Q3300:Q3300,"W")+COUNTIF(Q3307:Q3307,"W"),"")</f>
        <v/>
      </c>
      <c r="H3314" s="321"/>
      <c r="I3314" s="322" t="str">
        <f ca="1">IF(OR(Q3281&lt;&gt;"",Q3288&lt;&gt;"",Q3295&lt;&gt;"",Q3302&lt;&gt;"",Q3309&lt;&gt;""),COUNTIF(Q3281:Q3281,"W")+COUNTIF(Q3288:Q3288,"W")+COUNTIF(Q3295:Q3295,"W")+COUNTIF(Q3302:Q3302,"W")+COUNTIF(Q3309:Q3309,"W"),"")</f>
        <v/>
      </c>
      <c r="J3314" s="323"/>
      <c r="L3314" s="2" t="s">
        <v>1228</v>
      </c>
      <c r="M3314" s="53" t="str">
        <f>K3273</f>
        <v>K</v>
      </c>
      <c r="N3314" s="3" t="s">
        <v>1226</v>
      </c>
      <c r="R3314" s="300" t="str">
        <f>K3273</f>
        <v>K</v>
      </c>
      <c r="S3314" s="331" t="str">
        <f ca="1">IF($B3302&lt;&gt;"",$B3302,"")</f>
        <v/>
      </c>
      <c r="T3314" s="332"/>
      <c r="U3314" s="332"/>
      <c r="V3314" s="332"/>
      <c r="W3314" s="332"/>
      <c r="X3314" s="333"/>
      <c r="Y3314" s="329"/>
      <c r="Z3314" s="329"/>
      <c r="AA3314" s="351"/>
      <c r="AB3314" s="351"/>
      <c r="AC3314" s="351"/>
      <c r="AD3314" s="363" t="s">
        <v>1237</v>
      </c>
      <c r="AE3314" s="358"/>
      <c r="AF3314" s="359"/>
    </row>
    <row r="3315" spans="1:32" ht="12.75" customHeight="1">
      <c r="F3315" s="25" t="s">
        <v>3996</v>
      </c>
      <c r="G3315" s="23"/>
      <c r="H3315" s="23"/>
      <c r="I3315" s="23"/>
      <c r="J3315" s="23"/>
      <c r="K3315" s="24"/>
      <c r="R3315" s="330"/>
      <c r="S3315" s="334"/>
      <c r="T3315" s="335"/>
      <c r="U3315" s="335"/>
      <c r="V3315" s="335"/>
      <c r="W3315" s="335"/>
      <c r="X3315" s="336"/>
      <c r="Y3315" s="330"/>
      <c r="Z3315" s="330"/>
      <c r="AA3315" s="330"/>
      <c r="AB3315" s="330"/>
      <c r="AC3315" s="330"/>
      <c r="AD3315" s="360"/>
      <c r="AE3315" s="361"/>
      <c r="AF3315" s="362"/>
    </row>
    <row r="3316" spans="1:32" ht="12.75" customHeight="1">
      <c r="R3316" s="1"/>
      <c r="S3316" s="110"/>
      <c r="T3316" s="110"/>
      <c r="U3316" s="110"/>
      <c r="V3316" s="110"/>
      <c r="W3316" s="110"/>
      <c r="X3316" s="111"/>
      <c r="Y3316" s="111"/>
      <c r="Z3316" s="111"/>
      <c r="AA3316" s="111"/>
    </row>
    <row r="3317" spans="1:32" ht="12.75" customHeight="1">
      <c r="F3317" s="246" t="s">
        <v>4929</v>
      </c>
      <c r="G3317" s="246"/>
      <c r="H3317" s="246"/>
      <c r="I3317" s="246"/>
      <c r="R3317" s="1"/>
      <c r="S3317" s="110"/>
      <c r="T3317" s="110"/>
      <c r="U3317" s="110"/>
      <c r="V3317" s="110"/>
      <c r="W3317" s="110"/>
      <c r="X3317" s="111"/>
      <c r="Y3317" s="111"/>
      <c r="Z3317" s="111"/>
      <c r="AA3317" s="111"/>
    </row>
    <row r="3318" spans="1:32" ht="12.75" customHeight="1">
      <c r="F3318" s="246" t="s">
        <v>4930</v>
      </c>
      <c r="G3318" s="246"/>
      <c r="H3318" s="246"/>
      <c r="I3318" s="246"/>
      <c r="R3318" s="1"/>
      <c r="S3318" s="110"/>
      <c r="T3318" s="110"/>
      <c r="U3318" s="110"/>
      <c r="V3318" s="110"/>
      <c r="W3318" s="110"/>
      <c r="X3318" s="111"/>
      <c r="Y3318" s="111"/>
      <c r="Z3318" s="111"/>
      <c r="AA3318" s="111"/>
    </row>
    <row r="3319" spans="1:32" ht="12.75" customHeight="1">
      <c r="K3319" s="281" t="s">
        <v>1244</v>
      </c>
      <c r="L3319" s="281"/>
      <c r="M3319" s="281"/>
      <c r="N3319" s="281"/>
      <c r="O3319" s="281"/>
      <c r="P3319" s="281"/>
      <c r="R3319" s="1"/>
      <c r="S3319" s="110"/>
      <c r="T3319" s="110"/>
      <c r="U3319" s="110"/>
      <c r="V3319" s="110"/>
      <c r="W3319" s="110"/>
      <c r="X3319" s="111"/>
      <c r="Y3319" s="111"/>
      <c r="Z3319" s="111"/>
      <c r="AA3319" s="111"/>
    </row>
    <row r="3320" spans="1:32" ht="12.75" customHeight="1">
      <c r="A3320" s="12" t="s">
        <v>1229</v>
      </c>
      <c r="B3320" s="11"/>
      <c r="C3320" s="11"/>
      <c r="D3320" s="11" t="str">
        <f>Draw!$B$1</f>
        <v>Enter Division Name</v>
      </c>
      <c r="E3320" s="11"/>
      <c r="F3320" s="7"/>
      <c r="G3320" s="6"/>
      <c r="H3320" s="7"/>
      <c r="I3320" s="11"/>
      <c r="J3320" s="11"/>
      <c r="K3320" s="11"/>
      <c r="L3320" s="11"/>
      <c r="M3320" s="281"/>
      <c r="N3320" s="281"/>
      <c r="O3320" s="281"/>
      <c r="P3320" s="281"/>
      <c r="R3320" s="1"/>
      <c r="S3320" s="110"/>
      <c r="T3320" s="110"/>
      <c r="U3320" s="110"/>
      <c r="V3320" s="110"/>
      <c r="W3320" s="110"/>
      <c r="X3320" s="111"/>
      <c r="Y3320" s="111"/>
      <c r="Z3320" s="111"/>
      <c r="AA3320" s="111"/>
    </row>
    <row r="3321" spans="1:32" ht="12.75" customHeight="1">
      <c r="A3321" s="2" t="s">
        <v>1230</v>
      </c>
      <c r="D3321" s="43" t="str">
        <f>Draw!$D$1</f>
        <v>Enter Hosting Location (City, ST)</v>
      </c>
      <c r="J3321" s="43" t="str">
        <f ca="1">$J$6</f>
        <v>[NCTTA Teams Template (v2.06).xlsx]</v>
      </c>
      <c r="R3321" s="1"/>
      <c r="S3321" s="110"/>
      <c r="T3321" s="110"/>
      <c r="U3321" s="110"/>
      <c r="V3321" s="110"/>
      <c r="W3321" s="110"/>
      <c r="X3321" s="111"/>
      <c r="Y3321" s="111"/>
      <c r="Z3321" s="111"/>
      <c r="AA3321" s="111"/>
    </row>
    <row r="3322" spans="1:32" ht="12.75" customHeight="1">
      <c r="A3322" s="2" t="s">
        <v>1231</v>
      </c>
      <c r="D3322" s="337" t="str">
        <f>Draw!$P$1</f>
        <v>Enter Date</v>
      </c>
      <c r="E3322" s="337"/>
      <c r="F3322" s="337"/>
      <c r="G3322" s="337"/>
      <c r="J3322" s="280" t="str">
        <f>CHOOSE(Draw!$T$1,"Round 11, Match 6","","","","","","","","","","")</f>
        <v/>
      </c>
      <c r="K3322" s="280"/>
      <c r="L3322" s="280"/>
      <c r="M3322" s="276" t="str">
        <f>IF(AND($J3322&lt;&gt;"",Draw!$AC$10&lt;&gt;"",Draw!$AC$13&lt;&gt;""),Draw!$AC$10+TIME(0,VALUE(MID($J3322,7,FIND(",",$J3322)-FIND(" ",$J3322)-1)-1)*Draw!$AC$13,0),"")</f>
        <v/>
      </c>
      <c r="N3322" s="276"/>
      <c r="O3322" s="157" t="str">
        <f>$F3365</f>
        <v>H-L</v>
      </c>
      <c r="R3322" s="1"/>
      <c r="S3322" s="110"/>
      <c r="T3322" s="110"/>
      <c r="U3322" s="110"/>
      <c r="V3322" s="110"/>
      <c r="W3322" s="110"/>
      <c r="X3322" s="111"/>
      <c r="Y3322" s="111"/>
      <c r="Z3322" s="111"/>
      <c r="AA3322" s="111"/>
    </row>
    <row r="3323" spans="1:32" ht="12.75" customHeight="1">
      <c r="A3323" s="14"/>
      <c r="B3323" s="15"/>
      <c r="C3323" s="15"/>
      <c r="D3323" s="15"/>
      <c r="E3323" s="15"/>
      <c r="F3323" s="14"/>
      <c r="G3323" s="14"/>
      <c r="H3323" s="16"/>
      <c r="I3323" s="14"/>
      <c r="J3323" s="15"/>
      <c r="K3323" s="15"/>
      <c r="L3323" s="15"/>
      <c r="M3323" s="15"/>
      <c r="N3323" s="15"/>
      <c r="O3323" s="364" t="str">
        <f>IF(OR(AND(VLOOKUP($B3324,$AM$1:$AX$12,12,FALSE)="C",VLOOKUP($K3324,$AM$1:$AX$12,12,FALSE)="C"),AND(VLOOKUP($B3324,$AM$1:$AX$12,12,FALSE)="W",VLOOKUP($K3324,$AM$1:$AX$12,12,FALSE)="W")),"Official",IF(AND($A3325="",$J3325=""),"","Scrimmage"))</f>
        <v/>
      </c>
      <c r="P3323" s="364"/>
      <c r="R3323" s="1"/>
      <c r="S3323" s="110"/>
      <c r="T3323" s="110"/>
      <c r="U3323" s="110"/>
      <c r="V3323" s="110"/>
      <c r="W3323" s="110"/>
      <c r="X3323" s="111"/>
      <c r="Y3323" s="111"/>
      <c r="Z3323" s="111"/>
      <c r="AA3323" s="111"/>
    </row>
    <row r="3324" spans="1:32" ht="12.75" customHeight="1">
      <c r="A3324" s="17" t="s">
        <v>1228</v>
      </c>
      <c r="B3324" s="119" t="str">
        <f>CHOOSE(Draw!$T$1,"B","F","H","I","K","K","K","K","K","K","K")</f>
        <v>H</v>
      </c>
      <c r="C3324" s="135">
        <f>VLOOKUP($B3324,$AM$1:$AN$12,2)</f>
        <v>8</v>
      </c>
      <c r="D3324" s="13"/>
      <c r="E3324" s="13"/>
      <c r="F3324" s="10"/>
      <c r="H3324" s="19" t="s">
        <v>1232</v>
      </c>
      <c r="J3324" s="17" t="s">
        <v>1228</v>
      </c>
      <c r="K3324" s="119" t="str">
        <f>CHOOSE(Draw!$T$1,"C","L","L","L","L","L","L","L","L","L","L")</f>
        <v>L</v>
      </c>
      <c r="L3324" s="135">
        <f>VLOOKUP($K3324,$AM$1:$AN$12,2)</f>
        <v>12</v>
      </c>
      <c r="M3324" s="13"/>
      <c r="N3324" s="13"/>
      <c r="O3324" s="18"/>
      <c r="P3324" s="274"/>
      <c r="Q3324" s="275"/>
      <c r="R3324" s="1"/>
      <c r="S3324" s="110"/>
      <c r="T3324" s="110"/>
      <c r="U3324" s="110"/>
      <c r="V3324" s="110"/>
      <c r="W3324" s="110"/>
      <c r="X3324" s="111"/>
      <c r="Y3324" s="111"/>
      <c r="Z3324" s="111"/>
      <c r="AA3324" s="111"/>
    </row>
    <row r="3325" spans="1:32" ht="12.75" customHeight="1">
      <c r="A3325" s="277" t="str">
        <f>IF(VLOOKUP($B3324,Draw!$A$4:$B$27,2)&lt;&gt;0,VLOOKUP($B3324,Draw!$A$4:$B$27,2),"")</f>
        <v/>
      </c>
      <c r="B3325" s="278"/>
      <c r="C3325" s="278"/>
      <c r="D3325" s="278"/>
      <c r="E3325" s="278"/>
      <c r="F3325" s="279"/>
      <c r="G3325" s="306" t="s">
        <v>4217</v>
      </c>
      <c r="H3325" s="289"/>
      <c r="I3325" s="307"/>
      <c r="J3325" s="277" t="str">
        <f>IF(VLOOKUP($K3324,Draw!$A$4:$B$27,2)&lt;&gt;0,VLOOKUP($K3324,Draw!$A$4:$B$27,2),"")</f>
        <v/>
      </c>
      <c r="K3325" s="278"/>
      <c r="L3325" s="278"/>
      <c r="M3325" s="278"/>
      <c r="N3325" s="278"/>
      <c r="O3325" s="279"/>
      <c r="P3325" s="15"/>
      <c r="R3325" s="1"/>
      <c r="S3325" s="110"/>
      <c r="T3325" s="110"/>
      <c r="U3325" s="110"/>
      <c r="V3325" s="110"/>
      <c r="W3325" s="110"/>
      <c r="X3325" s="111"/>
      <c r="Y3325" s="111"/>
      <c r="Z3325" s="111"/>
      <c r="AA3325" s="111"/>
    </row>
    <row r="3326" spans="1:32" ht="12.75" customHeight="1">
      <c r="A3326" s="14"/>
      <c r="B3326" s="15"/>
      <c r="C3326" s="15"/>
      <c r="D3326" s="15"/>
      <c r="E3326" s="15"/>
      <c r="F3326" s="14"/>
      <c r="G3326" s="288" t="str">
        <f>"Page "&amp;VALUE(RIGHT($G3325,LEN($G3325)-SEARCH("-",$G3325)))/2</f>
        <v>Page 66</v>
      </c>
      <c r="H3326" s="289"/>
      <c r="I3326" s="289"/>
      <c r="J3326" s="15"/>
      <c r="K3326" s="15"/>
      <c r="L3326" s="15"/>
      <c r="M3326" s="15"/>
      <c r="N3326" s="15"/>
      <c r="O3326" s="15"/>
      <c r="P3326" s="15"/>
      <c r="R3326" s="1"/>
      <c r="S3326" s="110"/>
      <c r="T3326" s="110"/>
      <c r="U3326" s="110"/>
      <c r="V3326" s="110"/>
      <c r="W3326" s="110"/>
      <c r="X3326" s="111"/>
      <c r="Y3326" s="111"/>
      <c r="Z3326" s="111"/>
      <c r="AA3326" s="111"/>
      <c r="AF3326" s="27"/>
    </row>
    <row r="3327" spans="1:32" ht="12.75" customHeight="1">
      <c r="A3327" s="327" t="s">
        <v>1245</v>
      </c>
      <c r="B3327" s="327"/>
      <c r="C3327" s="327"/>
      <c r="D3327" s="327"/>
      <c r="E3327" s="327"/>
      <c r="F3327" s="327"/>
      <c r="G3327" s="327"/>
      <c r="H3327" s="327"/>
      <c r="I3327" s="327"/>
      <c r="J3327" s="327"/>
      <c r="K3327" s="327"/>
      <c r="L3327" s="327"/>
      <c r="M3327" s="327"/>
      <c r="N3327" s="327"/>
      <c r="O3327" s="327"/>
      <c r="P3327" s="327"/>
      <c r="Q3327" s="7"/>
      <c r="R3327" s="1"/>
      <c r="S3327" s="110"/>
      <c r="T3327" s="110"/>
      <c r="U3327" s="110"/>
      <c r="V3327" s="110"/>
      <c r="W3327" s="110"/>
      <c r="X3327" s="111"/>
      <c r="Y3327" s="111"/>
      <c r="Z3327" s="111"/>
      <c r="AA3327" s="111"/>
      <c r="AF3327" s="20"/>
    </row>
    <row r="3328" spans="1:32" ht="12.75" customHeight="1">
      <c r="A3328" s="21" t="s">
        <v>1233</v>
      </c>
      <c r="H3328" s="136" t="str">
        <f>IF($Q3330&lt;&gt;"",IF(AND(AND($H3330&gt;-1,$H3332&gt;-1),OR($H3330&gt;10,$H3332&gt;10),ABS($H3330-$H3332)&gt;1,IF(OR($H3330&gt;11,$H3332&gt;11),ABS($H3330-$H3332)=2,TRUE),$H3330=INT($H3330),$H3332=INT($H3332)),"","Error"),"")</f>
        <v/>
      </c>
      <c r="I3328" s="136" t="str">
        <f>IF($Q3330&lt;&gt;"",IF(AND(AND($I3330&gt;-1,$I3332&gt;-1),OR($I3330&gt;10,$I3332&gt;10),ABS($I3330-$I3332)&gt;1,IF(OR($I3330&gt;11,$I3332&gt;11),ABS($I3330-$I3332)=2,TRUE),$I3330=INT($I3330),$I3332=INT($I3332)),"","Error"),"")</f>
        <v/>
      </c>
      <c r="J3328" s="136" t="str">
        <f>IF($Q3330&lt;&gt;"",IF(AND(AND($J3330&gt;-1,$J3332&gt;-1),OR($J3330&gt;10,$J3332&gt;10),ABS($J3330-$J3332)&gt;1,IF(OR($J3330&gt;11,$J3332&gt;11),ABS($J3330-$J3332)=2,TRUE),$J3330=INT($J3330),$J3332=INT($J3332)),"","Error"),"")</f>
        <v/>
      </c>
      <c r="K3328" s="136" t="str">
        <f>IF($Q3330&lt;&gt;"",IF(AND($K3330&lt;&gt;"",$K3332&lt;&gt;""), IF(AND(AND($K3330&gt;-1,$K3332&gt;-1),OR($K3330&gt;10,$K3332&gt;10),ABS($K3330-$K3332)&gt;1,IF(OR($K3330&gt;11,$K3332&gt;11),ABS($K3330-$K3332)=2,TRUE),$K3330=INT($K3330),$K3332=INT($K3332)),"","Error"),""),"")</f>
        <v/>
      </c>
      <c r="L3328" s="136" t="str">
        <f>IF($Q3330&lt;&gt;"",IF(AND($L3330&lt;&gt;"",$L3332&lt;&gt;""), IF(AND(AND($L3330&gt;-1,$L3332&gt;-1),OR($L3330&gt;10,$L3332&gt;10),ABS($L3330-$L3332)&gt;1,IF(OR($L3330&gt;11,$L3332&gt;11),ABS($L3330-$L3332)=2,TRUE),$L3330=INT($L3330),$L3332=INT($L3332)),"","Error"),""),"")</f>
        <v/>
      </c>
      <c r="R3328" s="1"/>
      <c r="S3328" s="110"/>
      <c r="T3328" s="110"/>
      <c r="U3328" s="110"/>
      <c r="V3328" s="110"/>
      <c r="W3328" s="110"/>
      <c r="X3328" s="111"/>
      <c r="Y3328" s="111"/>
      <c r="Z3328" s="111"/>
      <c r="AA3328" s="111"/>
    </row>
    <row r="3329" spans="1:32" ht="12.75" customHeight="1">
      <c r="A3329" s="5" t="s">
        <v>1228</v>
      </c>
      <c r="B3329" s="290" t="s">
        <v>1126</v>
      </c>
      <c r="C3329" s="291"/>
      <c r="D3329" s="291"/>
      <c r="E3329" s="291"/>
      <c r="F3329" s="291"/>
      <c r="G3329" s="292"/>
      <c r="H3329" s="5">
        <v>1</v>
      </c>
      <c r="I3329" s="5">
        <v>2</v>
      </c>
      <c r="J3329" s="5">
        <v>3</v>
      </c>
      <c r="K3329" s="5">
        <v>4</v>
      </c>
      <c r="L3329" s="5">
        <v>5</v>
      </c>
      <c r="M3329" s="271"/>
      <c r="N3329" s="272"/>
      <c r="O3329" s="272"/>
      <c r="P3329" s="273"/>
      <c r="R3329" s="1"/>
      <c r="S3329" s="110"/>
      <c r="T3329" s="110"/>
      <c r="U3329" s="110"/>
      <c r="V3329" s="110"/>
      <c r="W3329" s="110"/>
      <c r="X3329" s="111"/>
      <c r="Y3329" s="111"/>
      <c r="Z3329" s="111"/>
      <c r="AA3329" s="111"/>
    </row>
    <row r="3330" spans="1:32" ht="12.75" customHeight="1">
      <c r="A3330" s="300" t="str">
        <f>B3324</f>
        <v>H</v>
      </c>
      <c r="B3330" s="293" t="str">
        <f ca="1">IF(AND(OFFSET($AO$1,$C3324-1,8,1,1),$A3325&lt;&gt;"",$J3325&lt;&gt;""),CHOOSE($C3324,$AO$1,$AO$2,$AO$3,$AO$4,$AO$5,$AO$6,$AO$7,$AO$8,$AO$9,$AO$10,$AO$11,$AO$12),"")</f>
        <v/>
      </c>
      <c r="C3330" s="294"/>
      <c r="D3330" s="294"/>
      <c r="E3330" s="294"/>
      <c r="F3330" s="294"/>
      <c r="G3330" s="294"/>
      <c r="H3330" s="265"/>
      <c r="I3330" s="265"/>
      <c r="J3330" s="265"/>
      <c r="K3330" s="265"/>
      <c r="L3330" s="265"/>
      <c r="M3330" s="297"/>
      <c r="N3330" s="298"/>
      <c r="O3330" s="298"/>
      <c r="P3330" s="299"/>
      <c r="Q3330" s="137" t="str">
        <f>IF($L3330=$L3332,IF($K3330=$K3332,IF($J3330&lt;&gt;"",IF($J3330&gt;$J3332,"W","L"),""),IF($K3330&gt;$K3332,"W","L")),IF($L3330&gt;$L3332,"W","L"))</f>
        <v/>
      </c>
      <c r="R3330" s="1"/>
      <c r="S3330" s="110"/>
      <c r="T3330" s="110"/>
      <c r="U3330" s="110"/>
      <c r="V3330" s="110"/>
      <c r="W3330" s="110"/>
      <c r="X3330" s="111"/>
      <c r="Y3330" s="111"/>
      <c r="Z3330" s="111"/>
      <c r="AA3330" s="111"/>
    </row>
    <row r="3331" spans="1:32" ht="12.75" customHeight="1">
      <c r="A3331" s="301"/>
      <c r="B3331" s="295"/>
      <c r="C3331" s="296"/>
      <c r="D3331" s="296"/>
      <c r="E3331" s="296"/>
      <c r="F3331" s="296"/>
      <c r="G3331" s="296"/>
      <c r="H3331" s="270"/>
      <c r="I3331" s="270"/>
      <c r="J3331" s="270"/>
      <c r="K3331" s="270"/>
      <c r="L3331" s="270"/>
      <c r="M3331" s="297"/>
      <c r="N3331" s="298"/>
      <c r="O3331" s="298"/>
      <c r="P3331" s="299"/>
      <c r="Q3331" s="139" t="str">
        <f>IF($Q3330&lt;&gt;"",IF($Q3330="W",IF(SUM(IF($H3330&gt;$H3332,1,0),IF($I3330&gt;$I3332,1,0),IF($J3330&gt;$J3332,1,0),IF($K3330&gt;$K3332,1,0),IF($L3330&gt;$L3332,1,0))&lt;&gt;3,"Error",""),""),"")</f>
        <v/>
      </c>
      <c r="R3331" s="328" t="str">
        <f>$A3325</f>
        <v/>
      </c>
      <c r="S3331" s="328"/>
      <c r="T3331" s="328"/>
      <c r="U3331" s="328"/>
      <c r="V3331" s="328"/>
      <c r="W3331" s="328"/>
      <c r="X3331" s="256" t="str">
        <f>CONCATENATE("(",$B3324," vs ",$K3324,")")</f>
        <v>(H vs L)</v>
      </c>
      <c r="Y3331" s="256"/>
      <c r="Z3331" s="328" t="str">
        <f>$J3325</f>
        <v/>
      </c>
      <c r="AA3331" s="328"/>
      <c r="AB3331" s="328"/>
      <c r="AC3331" s="328"/>
      <c r="AD3331" s="328"/>
      <c r="AE3331" s="328"/>
      <c r="AF3331" s="43"/>
    </row>
    <row r="3332" spans="1:32" ht="12.75" customHeight="1">
      <c r="A3332" s="300" t="str">
        <f>K3324</f>
        <v>L</v>
      </c>
      <c r="B3332" s="293" t="str">
        <f ca="1">IF(AND(OFFSET($AO$1,$L3324-1,8,1,1),$A3325&lt;&gt;"",$J3325&lt;&gt;""),CHOOSE($L3324,$AO$1,$AO$2,$AO$3,$AO$4,$AO$5,$AO$6,$AO$7,$AO$8,$AO$9,$AO$10,$AO$11,$AO$12),"")</f>
        <v/>
      </c>
      <c r="C3332" s="294"/>
      <c r="D3332" s="294"/>
      <c r="E3332" s="294"/>
      <c r="F3332" s="294"/>
      <c r="G3332" s="294"/>
      <c r="H3332" s="265"/>
      <c r="I3332" s="265"/>
      <c r="J3332" s="265"/>
      <c r="K3332" s="265"/>
      <c r="L3332" s="265"/>
      <c r="M3332" s="267" t="s">
        <v>1237</v>
      </c>
      <c r="N3332" s="268"/>
      <c r="O3332" s="268"/>
      <c r="P3332" s="269"/>
      <c r="Q3332" s="137" t="str">
        <f>IF($Q3330&lt;&gt;"",IF($Q3330="W","L","W"),"")</f>
        <v/>
      </c>
      <c r="R3332" s="43"/>
      <c r="S3332" s="43"/>
      <c r="T3332" s="43"/>
      <c r="U3332" s="43"/>
      <c r="V3332" s="43"/>
      <c r="W3332" s="43"/>
      <c r="X3332" s="43"/>
      <c r="Y3332" s="43"/>
      <c r="Z3332" s="43"/>
      <c r="AA3332" s="43"/>
      <c r="AB3332" s="43"/>
      <c r="AC3332" s="43"/>
      <c r="AD3332" s="43"/>
      <c r="AE3332" s="43"/>
      <c r="AF3332" s="43"/>
    </row>
    <row r="3333" spans="1:32" ht="12.75" customHeight="1">
      <c r="A3333" s="301"/>
      <c r="B3333" s="295"/>
      <c r="C3333" s="296"/>
      <c r="D3333" s="296"/>
      <c r="E3333" s="296"/>
      <c r="F3333" s="296"/>
      <c r="G3333" s="296"/>
      <c r="H3333" s="270"/>
      <c r="I3333" s="270"/>
      <c r="J3333" s="266"/>
      <c r="K3333" s="266"/>
      <c r="L3333" s="266"/>
      <c r="M3333" s="267"/>
      <c r="N3333" s="268"/>
      <c r="O3333" s="268"/>
      <c r="P3333" s="269"/>
      <c r="Q3333" s="139" t="str">
        <f>IF($Q3332&lt;&gt;"",IF($Q3332="W",IF(SUM(IF($H3332&gt;$H3330,1,0),IF($I3332&gt;$I3330,1,0),IF($J3332&gt;$J3330,1,0),IF($K3332&gt;$K3330,1,0),IF($L3332&gt;$L3330,1,0))&lt;&gt;3,"Error",""),""),"")</f>
        <v/>
      </c>
      <c r="R3333" s="43" t="str">
        <f>$A3335</f>
        <v>2nd Singles</v>
      </c>
      <c r="S3333" s="43"/>
      <c r="T3333" s="43"/>
      <c r="U3333" s="43"/>
      <c r="V3333" s="43"/>
      <c r="W3333" s="43"/>
      <c r="X3333" s="43"/>
      <c r="Y3333" s="43"/>
      <c r="Z3333" s="43"/>
      <c r="AA3333" s="43"/>
      <c r="AB3333" s="43"/>
      <c r="AC3333" s="43"/>
      <c r="AD3333" s="43"/>
      <c r="AE3333" s="43"/>
      <c r="AF3333" s="43"/>
    </row>
    <row r="3334" spans="1:32" ht="12.75" customHeight="1">
      <c r="Q3334" s="7"/>
      <c r="R3334" s="60" t="s">
        <v>1228</v>
      </c>
      <c r="S3334" s="339" t="s">
        <v>1126</v>
      </c>
      <c r="T3334" s="340"/>
      <c r="U3334" s="340"/>
      <c r="V3334" s="340"/>
      <c r="W3334" s="340"/>
      <c r="X3334" s="341"/>
      <c r="Y3334" s="60">
        <v>1</v>
      </c>
      <c r="Z3334" s="60">
        <v>2</v>
      </c>
      <c r="AA3334" s="60">
        <v>3</v>
      </c>
      <c r="AB3334" s="60">
        <v>4</v>
      </c>
      <c r="AC3334" s="60">
        <v>5</v>
      </c>
      <c r="AD3334" s="342"/>
      <c r="AE3334" s="343"/>
      <c r="AF3334" s="344"/>
    </row>
    <row r="3335" spans="1:32" ht="12.75" customHeight="1">
      <c r="A3335" s="21" t="s">
        <v>1234</v>
      </c>
      <c r="H3335" s="136" t="str">
        <f>IF($Q3337&lt;&gt;"",IF(AND(AND($H3337&gt;-1,$H3339&gt;-1),OR($H3337&gt;10,$H3339&gt;10),ABS($H3337-$H3339)&gt;1,IF(OR($H3337&gt;11,$H3339&gt;11),ABS($H3337-$H3339)=2,TRUE),$H3337=INT($H3337),$H3339=INT($H3339)),"","Error"),"")</f>
        <v/>
      </c>
      <c r="I3335" s="136" t="str">
        <f>IF($Q3337&lt;&gt;"",IF(AND(AND($I3337&gt;-1,$I3339&gt;-1),OR($I3337&gt;10,$I3339&gt;10),ABS($I3337-$I3339)&gt;1,IF(OR($I3337&gt;11,$I3339&gt;11),ABS($I3337-$I3339)=2,TRUE),$I3337=INT($I3337),$I3339=INT($I3339)),"","Error"),"")</f>
        <v/>
      </c>
      <c r="J3335" s="136" t="str">
        <f>IF($Q3337&lt;&gt;"",IF(AND(AND($J3337&gt;-1,$J3339&gt;-1),OR($J3337&gt;10,$J3339&gt;10),ABS($J3337-$J3339)&gt;1,IF(OR($J3337&gt;11,$J3339&gt;11),ABS($J3337-$J3339)=2,TRUE),$J3337=INT($J3337),$J3339=INT($J3339)),"","Error"),"")</f>
        <v/>
      </c>
      <c r="K3335" s="136" t="str">
        <f>IF($Q3337&lt;&gt;"",IF(AND($K3337&lt;&gt;"",$K3339&lt;&gt;""), IF(AND(AND($K3337&gt;-1,$K3339&gt;-1),OR($K3337&gt;10,$K3339&gt;10),ABS($K3337-$K3339)&gt;1,IF(OR($K3337&gt;11,$K3339&gt;11),ABS($K3337-$K3339)=2,TRUE),$K3337=INT($K3337),$K3339=INT($K3339)),"","Error"),""),"")</f>
        <v/>
      </c>
      <c r="L3335" s="136" t="str">
        <f>IF($Q3337&lt;&gt;"",IF(AND($L3337&lt;&gt;"",$L3339&lt;&gt;""), IF(AND(AND($L3337&gt;-1,$L3339&gt;-1),OR($L3337&gt;10,$L3339&gt;10),ABS($L3337-$L3339)&gt;1,IF(OR($L3337&gt;11,$L3339&gt;11),ABS($L3337-$L3339)=2,TRUE),$L3337=INT($L3337),$L3339=INT($L3339)),"","Error"),""),"")</f>
        <v/>
      </c>
      <c r="Q3335" s="7"/>
      <c r="R3335" s="300" t="str">
        <f>$B3324</f>
        <v>H</v>
      </c>
      <c r="S3335" s="331" t="str">
        <f ca="1">IF($B3337&lt;&gt;"",$B3337,"")</f>
        <v/>
      </c>
      <c r="T3335" s="332"/>
      <c r="U3335" s="332"/>
      <c r="V3335" s="332"/>
      <c r="W3335" s="332"/>
      <c r="X3335" s="333"/>
      <c r="Y3335" s="329"/>
      <c r="Z3335" s="329"/>
      <c r="AA3335" s="329"/>
      <c r="AB3335" s="329"/>
      <c r="AC3335" s="329"/>
      <c r="AD3335" s="345"/>
      <c r="AE3335" s="358"/>
      <c r="AF3335" s="359"/>
    </row>
    <row r="3336" spans="1:32" ht="12.75" customHeight="1">
      <c r="A3336" s="5" t="s">
        <v>1228</v>
      </c>
      <c r="B3336" s="290" t="s">
        <v>1126</v>
      </c>
      <c r="C3336" s="291"/>
      <c r="D3336" s="291"/>
      <c r="E3336" s="291"/>
      <c r="F3336" s="291"/>
      <c r="G3336" s="292"/>
      <c r="H3336" s="5">
        <v>1</v>
      </c>
      <c r="I3336" s="5">
        <v>2</v>
      </c>
      <c r="J3336" s="5">
        <v>3</v>
      </c>
      <c r="K3336" s="5">
        <v>4</v>
      </c>
      <c r="L3336" s="5">
        <v>5</v>
      </c>
      <c r="M3336" s="271"/>
      <c r="N3336" s="272"/>
      <c r="O3336" s="272"/>
      <c r="P3336" s="273"/>
      <c r="Q3336" s="7"/>
      <c r="R3336" s="330"/>
      <c r="S3336" s="334"/>
      <c r="T3336" s="335"/>
      <c r="U3336" s="335"/>
      <c r="V3336" s="335"/>
      <c r="W3336" s="335"/>
      <c r="X3336" s="336"/>
      <c r="Y3336" s="330"/>
      <c r="Z3336" s="330"/>
      <c r="AA3336" s="330"/>
      <c r="AB3336" s="330"/>
      <c r="AC3336" s="330"/>
      <c r="AD3336" s="360"/>
      <c r="AE3336" s="361"/>
      <c r="AF3336" s="362"/>
    </row>
    <row r="3337" spans="1:32" ht="12.75" customHeight="1">
      <c r="A3337" s="300" t="str">
        <f>B3324</f>
        <v>H</v>
      </c>
      <c r="B3337" s="293" t="str">
        <f ca="1">IF(AND(OFFSET($AO$1,$C3324-1,8,1,1),$A3325&lt;&gt;"",$J3325&lt;&gt;""),CHOOSE($C3324,$AP$1,$AP$2,$AP$3,$AP$4,$AP$5,$AP$6,$AP$7,$AP$8,$AP$9,$AP$10,$AP$11,$AP$12),"")</f>
        <v/>
      </c>
      <c r="C3337" s="294"/>
      <c r="D3337" s="294"/>
      <c r="E3337" s="294"/>
      <c r="F3337" s="294"/>
      <c r="G3337" s="294"/>
      <c r="H3337" s="265"/>
      <c r="I3337" s="265"/>
      <c r="J3337" s="265"/>
      <c r="K3337" s="265"/>
      <c r="L3337" s="265"/>
      <c r="M3337" s="262" t="str">
        <f ca="1">IF(OR(AND($B3330&lt;&gt;"",$B3337&lt;&gt;"",$C3355&lt;=$B3355),AND($B3332&lt;&gt;"",$B3339&lt;&gt;"",$G3355&lt;=$F3355)),"Invalid Lineup","")</f>
        <v/>
      </c>
      <c r="N3337" s="263"/>
      <c r="O3337" s="263"/>
      <c r="P3337" s="264"/>
      <c r="Q3337" s="137" t="str">
        <f>IF($L3337=$L3339,IF($K3337=$K3339,IF($J3337&lt;&gt;"",IF($J3337&gt;$J3339,"W","L"),""),IF($K3337&gt;$K3339,"W","L")),IF($L3337&gt;$L3339,"W","L"))</f>
        <v/>
      </c>
      <c r="R3337" s="300" t="str">
        <f>$K3324</f>
        <v>L</v>
      </c>
      <c r="S3337" s="331" t="str">
        <f ca="1">IF($B3339&lt;&gt;"",$B3339,"")</f>
        <v/>
      </c>
      <c r="T3337" s="332"/>
      <c r="U3337" s="332"/>
      <c r="V3337" s="332"/>
      <c r="W3337" s="332"/>
      <c r="X3337" s="333"/>
      <c r="Y3337" s="329"/>
      <c r="Z3337" s="329"/>
      <c r="AA3337" s="329"/>
      <c r="AB3337" s="329"/>
      <c r="AC3337" s="351"/>
      <c r="AD3337" s="363" t="s">
        <v>1237</v>
      </c>
      <c r="AE3337" s="358"/>
      <c r="AF3337" s="359"/>
    </row>
    <row r="3338" spans="1:32" ht="12.75" customHeight="1">
      <c r="A3338" s="301"/>
      <c r="B3338" s="295"/>
      <c r="C3338" s="296"/>
      <c r="D3338" s="296"/>
      <c r="E3338" s="296"/>
      <c r="F3338" s="296"/>
      <c r="G3338" s="296"/>
      <c r="H3338" s="270"/>
      <c r="I3338" s="270"/>
      <c r="J3338" s="270"/>
      <c r="K3338" s="270"/>
      <c r="L3338" s="270"/>
      <c r="M3338" s="262"/>
      <c r="N3338" s="263"/>
      <c r="O3338" s="263"/>
      <c r="P3338" s="264"/>
      <c r="Q3338" s="139" t="str">
        <f>IF($Q3337&lt;&gt;"",IF($Q3337="W",IF(SUM(IF($H3337&gt;$H3339,1,0),IF($I3337&gt;$I3339,1,0),IF($J3337&gt;$J3339,1,0),IF($K3337&gt;$K3339,1,0),IF($L3337&gt;$L3339,1,0))&lt;&gt;3,"Error",""),""),"")</f>
        <v/>
      </c>
      <c r="R3338" s="330"/>
      <c r="S3338" s="334"/>
      <c r="T3338" s="335"/>
      <c r="U3338" s="335"/>
      <c r="V3338" s="335"/>
      <c r="W3338" s="335"/>
      <c r="X3338" s="336"/>
      <c r="Y3338" s="330"/>
      <c r="Z3338" s="330"/>
      <c r="AA3338" s="330"/>
      <c r="AB3338" s="330"/>
      <c r="AC3338" s="330"/>
      <c r="AD3338" s="360"/>
      <c r="AE3338" s="361"/>
      <c r="AF3338" s="362"/>
    </row>
    <row r="3339" spans="1:32" ht="12.75" customHeight="1">
      <c r="A3339" s="300" t="str">
        <f>K3324</f>
        <v>L</v>
      </c>
      <c r="B3339" s="293" t="str">
        <f ca="1">IF(AND(OFFSET($AO$1,$L3324-1,8,1,1),$A3325&lt;&gt;"",$J3325&lt;&gt;""),CHOOSE($L3324,$AP$1,$AP$2,$AP$3,$AP$4,$AP$5,$AP$6,$AP$7,$AP$8,$AP$9,$AP$10,$AP$11,$AP$12),"")</f>
        <v/>
      </c>
      <c r="C3339" s="294"/>
      <c r="D3339" s="294"/>
      <c r="E3339" s="294"/>
      <c r="F3339" s="294"/>
      <c r="G3339" s="294"/>
      <c r="H3339" s="265"/>
      <c r="I3339" s="265"/>
      <c r="J3339" s="265"/>
      <c r="K3339" s="265"/>
      <c r="L3339" s="265"/>
      <c r="M3339" s="267" t="s">
        <v>1237</v>
      </c>
      <c r="N3339" s="268"/>
      <c r="O3339" s="268"/>
      <c r="P3339" s="269"/>
      <c r="Q3339" s="137" t="str">
        <f>IF($Q3337&lt;&gt;"",IF($Q3337="W","L","W"),"")</f>
        <v/>
      </c>
      <c r="R3339" s="20"/>
      <c r="S3339" s="20"/>
      <c r="T3339" s="20"/>
      <c r="U3339" s="20"/>
      <c r="V3339" s="20"/>
      <c r="W3339" s="20"/>
      <c r="X3339" s="26"/>
      <c r="Y3339" s="26"/>
      <c r="Z3339" s="20"/>
      <c r="AA3339" s="20"/>
      <c r="AB3339" s="20"/>
      <c r="AC3339" s="20"/>
      <c r="AD3339" s="20"/>
      <c r="AE3339" s="20"/>
      <c r="AF3339" s="27"/>
    </row>
    <row r="3340" spans="1:32" ht="12.75" customHeight="1">
      <c r="A3340" s="301"/>
      <c r="B3340" s="295"/>
      <c r="C3340" s="296"/>
      <c r="D3340" s="296"/>
      <c r="E3340" s="296"/>
      <c r="F3340" s="296"/>
      <c r="G3340" s="296"/>
      <c r="H3340" s="270"/>
      <c r="I3340" s="270"/>
      <c r="J3340" s="266"/>
      <c r="K3340" s="266"/>
      <c r="L3340" s="266"/>
      <c r="M3340" s="267"/>
      <c r="N3340" s="268"/>
      <c r="O3340" s="268"/>
      <c r="P3340" s="269"/>
      <c r="Q3340" s="139" t="str">
        <f>IF($Q3339&lt;&gt;"",IF($Q3339="W",IF(SUM(IF($H3339&gt;$H3337,1,0),IF($I3339&gt;$I3337,1,0),IF($J3339&gt;$J3337,1,0),IF($K3339&gt;$K3337,1,0),IF($L3339&gt;$L3337,1,0))&lt;&gt;3,"Error",""),""),"")</f>
        <v/>
      </c>
      <c r="R3340" s="20"/>
      <c r="S3340" s="20"/>
      <c r="T3340" s="20"/>
      <c r="U3340" s="20"/>
      <c r="V3340" s="20"/>
      <c r="W3340" s="20"/>
      <c r="X3340" s="26"/>
      <c r="Y3340" s="26"/>
      <c r="Z3340" s="20"/>
      <c r="AA3340" s="20"/>
      <c r="AB3340" s="20"/>
      <c r="AC3340" s="20"/>
      <c r="AD3340" s="20"/>
      <c r="AE3340" s="20"/>
      <c r="AF3340" s="27"/>
    </row>
    <row r="3341" spans="1:32" ht="12.75" customHeight="1">
      <c r="Q3341" s="7"/>
      <c r="R3341" s="20"/>
      <c r="S3341" s="20"/>
      <c r="T3341" s="20"/>
      <c r="U3341" s="20"/>
      <c r="V3341" s="20"/>
      <c r="W3341" s="20"/>
      <c r="X3341" s="26"/>
      <c r="Y3341" s="26"/>
      <c r="Z3341" s="20"/>
      <c r="AA3341" s="20"/>
      <c r="AB3341" s="20"/>
      <c r="AC3341" s="20"/>
      <c r="AD3341" s="20"/>
      <c r="AE3341" s="20"/>
      <c r="AF3341" s="27"/>
    </row>
    <row r="3342" spans="1:32" ht="12.75" customHeight="1">
      <c r="A3342" s="21" t="s">
        <v>1235</v>
      </c>
      <c r="H3342" s="136" t="str">
        <f>IF($Q3344&lt;&gt;"",IF(AND(AND($H3344&gt;-1,$H3346&gt;-1),OR($H3344&gt;10,$H3346&gt;10),ABS($H3344-$H3346)&gt;1,IF(OR($H3344&gt;11,$H3346&gt;11),ABS($H3344-$H3346)=2,TRUE),$H3344=INT($H3344),$H3346=INT($H3346)),"","Error"),"")</f>
        <v/>
      </c>
      <c r="I3342" s="136" t="str">
        <f>IF($Q3344&lt;&gt;"",IF(AND(AND($I3344&gt;-1,$I3346&gt;-1),OR($I3344&gt;10,$I3346&gt;10),ABS($I3344-$I3346)&gt;1,IF(OR($I3344&gt;11,$I3346&gt;11),ABS($I3344-$I3346)=2,TRUE),$I3344=INT($I3344),$I3346=INT($I3346)),"","Error"),"")</f>
        <v/>
      </c>
      <c r="J3342" s="136" t="str">
        <f>IF($Q3344&lt;&gt;"",IF(AND(AND($J3344&gt;-1,$J3346&gt;-1),OR($J3344&gt;10,$J3346&gt;10),ABS($J3344-$J3346)&gt;1,IF(OR($J3344&gt;11,$J3346&gt;11),ABS($J3344-$J3346)=2,TRUE),$J3344=INT($J3344),$J3346=INT($J3346)),"","Error"),"")</f>
        <v/>
      </c>
      <c r="K3342" s="136" t="str">
        <f>IF($Q3344&lt;&gt;"",IF(AND($K3344&lt;&gt;"",$K3346&lt;&gt;""), IF(AND(AND($K3344&gt;-1,$K3346&gt;-1),OR($K3344&gt;10,$K3346&gt;10),ABS($K3344-$K3346)&gt;1,IF(OR($K3344&gt;11,$K3346&gt;11),ABS($K3344-$K3346)=2,TRUE),$K3344=INT($K3344),$K3346=INT($K3346)),"","Error"),""),"")</f>
        <v/>
      </c>
      <c r="L3342" s="136" t="str">
        <f>IF($Q3344&lt;&gt;"",IF(AND($L3344&lt;&gt;"",$L3346&lt;&gt;""), IF(AND(AND($L3344&gt;-1,$L3346&gt;-1),OR($L3344&gt;10,$L3346&gt;10),ABS($L3344-$L3346)&gt;1,IF(OR($L3344&gt;11,$L3346&gt;11),ABS($L3344-$L3346)=2,TRUE),$L3344=INT($L3344),$L3346=INT($L3346)),"","Error"),""),"")</f>
        <v/>
      </c>
      <c r="Q3342" s="7"/>
      <c r="R3342" s="20"/>
      <c r="S3342" s="20"/>
      <c r="T3342" s="20"/>
      <c r="U3342" s="20"/>
      <c r="V3342" s="20"/>
      <c r="W3342" s="20"/>
      <c r="X3342" s="26"/>
      <c r="Y3342" s="26"/>
      <c r="Z3342" s="20"/>
      <c r="AA3342" s="20"/>
      <c r="AB3342" s="20"/>
      <c r="AC3342" s="20"/>
      <c r="AD3342" s="20"/>
      <c r="AE3342" s="20"/>
      <c r="AF3342" s="27"/>
    </row>
    <row r="3343" spans="1:32" ht="12.75" customHeight="1">
      <c r="A3343" s="5" t="s">
        <v>1228</v>
      </c>
      <c r="B3343" s="290" t="s">
        <v>1126</v>
      </c>
      <c r="C3343" s="291"/>
      <c r="D3343" s="291"/>
      <c r="E3343" s="291"/>
      <c r="F3343" s="291"/>
      <c r="G3343" s="292"/>
      <c r="H3343" s="5">
        <v>1</v>
      </c>
      <c r="I3343" s="5">
        <v>2</v>
      </c>
      <c r="J3343" s="5">
        <v>3</v>
      </c>
      <c r="K3343" s="5">
        <v>4</v>
      </c>
      <c r="L3343" s="5">
        <v>5</v>
      </c>
      <c r="M3343" s="271"/>
      <c r="N3343" s="272"/>
      <c r="O3343" s="272"/>
      <c r="P3343" s="273"/>
      <c r="Q3343" s="7"/>
      <c r="R3343" s="20"/>
      <c r="S3343" s="20"/>
      <c r="T3343" s="20"/>
      <c r="U3343" s="20"/>
      <c r="V3343" s="20"/>
      <c r="W3343" s="20"/>
      <c r="X3343" s="26"/>
      <c r="Y3343" s="26"/>
      <c r="Z3343" s="20"/>
      <c r="AA3343" s="20"/>
      <c r="AB3343" s="20"/>
      <c r="AC3343" s="20"/>
      <c r="AD3343" s="20"/>
      <c r="AE3343" s="20"/>
      <c r="AF3343" s="27"/>
    </row>
    <row r="3344" spans="1:32" ht="12.75" customHeight="1">
      <c r="A3344" s="300" t="str">
        <f>B3324</f>
        <v>H</v>
      </c>
      <c r="B3344" s="293" t="str">
        <f ca="1">IF(AND(OFFSET($AO$1,$C3324-1,8,1,1),$A3325&lt;&gt;"",$J3325&lt;&gt;""),CHOOSE($C3324,$AQ$1,$AQ$2,$AQ$3,$AQ$4,$AQ$5,$AQ$6,$AQ$7,$AQ$8,$AQ$9,$AQ$10,$AQ$11,$AQ$12),"")</f>
        <v/>
      </c>
      <c r="C3344" s="294"/>
      <c r="D3344" s="294"/>
      <c r="E3344" s="294"/>
      <c r="F3344" s="294"/>
      <c r="G3344" s="294"/>
      <c r="H3344" s="265"/>
      <c r="I3344" s="265"/>
      <c r="J3344" s="265"/>
      <c r="K3344" s="265"/>
      <c r="L3344" s="265"/>
      <c r="M3344" s="262" t="str">
        <f ca="1">IF(OR(AND($B3337&lt;&gt;"",$B3344&lt;&gt;"",$D3355&lt;=$C3355),AND($B3339&lt;&gt;"",$B3346&lt;&gt;"",$H3355&lt;=$G3355)),"Invalid Lineup","")</f>
        <v/>
      </c>
      <c r="N3344" s="263"/>
      <c r="O3344" s="263"/>
      <c r="P3344" s="264"/>
      <c r="Q3344" s="137" t="str">
        <f>IF($L3344=$L3346,IF($K3344=$K3346,IF($J3344&lt;&gt;"",IF($J3344&gt;$J3346,"W","L"),""),IF($K3344&gt;$K3346,"W","L")),IF($L3344&gt;$L3346,"W","L"))</f>
        <v/>
      </c>
      <c r="R3344" s="20"/>
      <c r="S3344" s="20"/>
      <c r="T3344" s="20"/>
      <c r="U3344" s="20"/>
      <c r="V3344" s="20"/>
      <c r="W3344" s="20"/>
      <c r="X3344" s="26"/>
      <c r="Y3344" s="26"/>
      <c r="Z3344" s="20"/>
      <c r="AA3344" s="20"/>
      <c r="AB3344" s="20"/>
      <c r="AC3344" s="20"/>
      <c r="AD3344" s="20"/>
      <c r="AE3344" s="20"/>
      <c r="AF3344" s="27"/>
    </row>
    <row r="3345" spans="1:32" ht="12.75" customHeight="1">
      <c r="A3345" s="301"/>
      <c r="B3345" s="295"/>
      <c r="C3345" s="296"/>
      <c r="D3345" s="296"/>
      <c r="E3345" s="296"/>
      <c r="F3345" s="296"/>
      <c r="G3345" s="296"/>
      <c r="H3345" s="270"/>
      <c r="I3345" s="270"/>
      <c r="J3345" s="270"/>
      <c r="K3345" s="270"/>
      <c r="L3345" s="270"/>
      <c r="M3345" s="262"/>
      <c r="N3345" s="263"/>
      <c r="O3345" s="263"/>
      <c r="P3345" s="264"/>
      <c r="Q3345" s="139" t="str">
        <f>IF($Q3344&lt;&gt;"",IF($Q3344="W",IF(SUM(IF($H3344&gt;$H3346,1,0),IF($I3344&gt;$I3346,1,0),IF($J3344&gt;$J3346,1,0),IF($K3344&gt;$K3346,1,0),IF($L3344&gt;$L3346,1,0))&lt;&gt;3,"Error",""),""),"")</f>
        <v/>
      </c>
      <c r="R3345" s="328" t="str">
        <f>$A3325</f>
        <v/>
      </c>
      <c r="S3345" s="328"/>
      <c r="T3345" s="328"/>
      <c r="U3345" s="328"/>
      <c r="V3345" s="328"/>
      <c r="W3345" s="328"/>
      <c r="X3345" s="256" t="str">
        <f>CONCATENATE("(",$B3324," vs ",$K3324,")")</f>
        <v>(H vs L)</v>
      </c>
      <c r="Y3345" s="256"/>
      <c r="Z3345" s="328" t="str">
        <f>$J3325</f>
        <v/>
      </c>
      <c r="AA3345" s="328"/>
      <c r="AB3345" s="328"/>
      <c r="AC3345" s="328"/>
      <c r="AD3345" s="328"/>
      <c r="AE3345" s="328"/>
      <c r="AF3345" s="100"/>
    </row>
    <row r="3346" spans="1:32" ht="12.75" customHeight="1">
      <c r="A3346" s="300" t="str">
        <f>K3324</f>
        <v>L</v>
      </c>
      <c r="B3346" s="293" t="str">
        <f ca="1">IF(AND(OFFSET($AO$1,$L3324-1,8,1,1),$A3325&lt;&gt;"",$J3325&lt;&gt;""),CHOOSE($L3324,$AQ$1,$AQ$2,$AQ$3,$AQ$4,$AQ$5,$AQ$6,$AQ$7,$AQ$8,$AQ$9,$AQ$10,$AQ$11,$AQ$12),"")</f>
        <v/>
      </c>
      <c r="C3346" s="294"/>
      <c r="D3346" s="294"/>
      <c r="E3346" s="294"/>
      <c r="F3346" s="294"/>
      <c r="G3346" s="294"/>
      <c r="H3346" s="265"/>
      <c r="I3346" s="265"/>
      <c r="J3346" s="265"/>
      <c r="K3346" s="265"/>
      <c r="L3346" s="265"/>
      <c r="M3346" s="267" t="s">
        <v>1237</v>
      </c>
      <c r="N3346" s="268"/>
      <c r="O3346" s="268"/>
      <c r="P3346" s="269"/>
      <c r="Q3346" s="137" t="str">
        <f>IF($Q3344&lt;&gt;"",IF($Q3344="W","L","W"),"")</f>
        <v/>
      </c>
      <c r="R3346" s="100"/>
      <c r="S3346" s="100"/>
      <c r="T3346" s="100"/>
      <c r="U3346" s="100"/>
      <c r="V3346" s="100"/>
      <c r="W3346" s="100"/>
      <c r="X3346" s="100"/>
      <c r="Y3346" s="100"/>
      <c r="Z3346" s="100"/>
      <c r="AA3346" s="100"/>
      <c r="AB3346" s="100"/>
      <c r="AC3346" s="100"/>
      <c r="AD3346" s="100"/>
      <c r="AE3346" s="100"/>
      <c r="AF3346" s="100"/>
    </row>
    <row r="3347" spans="1:32" ht="12.75" customHeight="1">
      <c r="A3347" s="301"/>
      <c r="B3347" s="295"/>
      <c r="C3347" s="296"/>
      <c r="D3347" s="296"/>
      <c r="E3347" s="296"/>
      <c r="F3347" s="296"/>
      <c r="G3347" s="296"/>
      <c r="H3347" s="270"/>
      <c r="I3347" s="270"/>
      <c r="J3347" s="266"/>
      <c r="K3347" s="266"/>
      <c r="L3347" s="266"/>
      <c r="M3347" s="267"/>
      <c r="N3347" s="268"/>
      <c r="O3347" s="268"/>
      <c r="P3347" s="269"/>
      <c r="Q3347" s="139" t="str">
        <f>IF($Q3346&lt;&gt;"",IF($Q3346="W",IF(SUM(IF($H3346&gt;$H3344,1,0),IF($I3346&gt;$I3344,1,0),IF($J3346&gt;$J3344,1,0),IF($K3346&gt;$K3344,1,0),IF($L3346&gt;$L3344,1,0))&lt;&gt;3,"Error",""),""),"")</f>
        <v/>
      </c>
      <c r="R3347" s="43" t="str">
        <f>$A3342</f>
        <v>3rd Singles</v>
      </c>
      <c r="S3347" s="43"/>
      <c r="T3347" s="43"/>
      <c r="U3347" s="43"/>
      <c r="V3347" s="43"/>
      <c r="W3347" s="43"/>
      <c r="X3347" s="43"/>
      <c r="Y3347" s="43"/>
      <c r="Z3347" s="43"/>
      <c r="AA3347" s="43"/>
      <c r="AB3347" s="43"/>
      <c r="AC3347" s="43"/>
      <c r="AD3347" s="43"/>
      <c r="AE3347" s="43"/>
      <c r="AF3347" s="43"/>
    </row>
    <row r="3348" spans="1:32" ht="12.75" customHeight="1">
      <c r="Q3348" s="7"/>
      <c r="R3348" s="60" t="s">
        <v>1228</v>
      </c>
      <c r="S3348" s="101" t="s">
        <v>1126</v>
      </c>
      <c r="T3348" s="102"/>
      <c r="U3348" s="102"/>
      <c r="V3348" s="102"/>
      <c r="W3348" s="102"/>
      <c r="X3348" s="103"/>
      <c r="Y3348" s="60">
        <v>1</v>
      </c>
      <c r="Z3348" s="60">
        <v>2</v>
      </c>
      <c r="AA3348" s="60">
        <v>3</v>
      </c>
      <c r="AB3348" s="60">
        <v>4</v>
      </c>
      <c r="AC3348" s="60">
        <v>5</v>
      </c>
      <c r="AD3348" s="104"/>
      <c r="AE3348" s="105"/>
      <c r="AF3348" s="106"/>
    </row>
    <row r="3349" spans="1:32" ht="12.75" customHeight="1">
      <c r="A3349" s="21" t="s">
        <v>1236</v>
      </c>
      <c r="H3349" s="136" t="str">
        <f ca="1">IF($Q3351&lt;&gt;"",IF(AND($B3351&lt;&gt;"Missing Player",$B3353&lt;&gt;"Missing Player"),IF(AND(AND($H3351&gt;-1,$H3353&gt;-1),OR($H3351&gt;10,$H3353&gt;10),ABS($H3351-$H3353)&gt;1,IF(OR($H3351&gt;11,$H3353&gt;11),ABS($H3351-$H3353)=2,TRUE),$H3351=INT($H3351),$H3353=INT($H3353)),"","Error"),""),"")</f>
        <v/>
      </c>
      <c r="I3349" s="136" t="str">
        <f ca="1">IF($Q3351&lt;&gt;"",IF(AND($B3351&lt;&gt;"Missing Player",$B3353&lt;&gt;"Missing Player"),IF(AND(AND($I3351&gt;-1,$I3353&gt;-1),OR($I3351&gt;10,$I3353&gt;10),ABS($I3351-$I3353)&gt;1,IF(OR($I3351&gt;11,$I3353&gt;11),ABS($I3351-$I3353)=2,TRUE),$I3351=INT($I3351),$I3353=INT($I3353)),"","Error"),""),"")</f>
        <v/>
      </c>
      <c r="J3349" s="136" t="str">
        <f ca="1">IF($Q3351&lt;&gt;"",IF(AND($B3351&lt;&gt;"Missing Player",$B3353&lt;&gt;"Missing Player"),IF(AND(AND($J3351&gt;-1,$J3353&gt;-1),OR($J3351&gt;10,$J3353&gt;10),ABS($J3351-$J3353)&gt;1,IF(OR($J3351&gt;11,$J3353&gt;11),ABS($J3351-$J3353)=2,TRUE),$J3351=INT($J3351),$J3353=INT($J3353)),"","Error"),""),"")</f>
        <v/>
      </c>
      <c r="K3349" s="136" t="str">
        <f ca="1">IF($Q3351&lt;&gt;"",IF(AND($K3351&lt;&gt;"",$K3353&lt;&gt;""), IF(AND(AND($K3351&gt;-1,$K3353&gt;-1),OR($K3351&gt;10,$K3353&gt;10),ABS($K3351-$K3353)&gt;1,IF(OR($K3351&gt;11,$K3353&gt;11),ABS($K3351-$K3353)=2,TRUE),$K3351=INT($K3351),$K3353=INT($K3353)),"","Error"),""),"")</f>
        <v/>
      </c>
      <c r="L3349" s="136" t="str">
        <f ca="1">IF($Q3351&lt;&gt;"",IF(AND($L3351&lt;&gt;"",$L3353&lt;&gt;""), IF(AND(AND($L3351&gt;-1,$L3353&gt;-1),OR($L3351&gt;10,$L3353&gt;10),ABS($L3351-$L3353)&gt;1,IF(OR($L3351&gt;11,$L3353&gt;11),ABS($L3351-$L3353)=2,TRUE),$L3351=INT($L3351),$L3353=INT($L3353)),"","Error"),""),"")</f>
        <v/>
      </c>
      <c r="Q3349" s="7"/>
      <c r="R3349" s="300" t="str">
        <f>$B3324</f>
        <v>H</v>
      </c>
      <c r="S3349" s="331" t="str">
        <f ca="1">IF($B3344&lt;&gt;"",$B3344,"")</f>
        <v/>
      </c>
      <c r="T3349" s="332"/>
      <c r="U3349" s="332"/>
      <c r="V3349" s="332"/>
      <c r="W3349" s="332"/>
      <c r="X3349" s="333"/>
      <c r="Y3349" s="329"/>
      <c r="Z3349" s="329"/>
      <c r="AA3349" s="329"/>
      <c r="AB3349" s="329"/>
      <c r="AC3349" s="329"/>
      <c r="AD3349" s="345"/>
      <c r="AE3349" s="358"/>
      <c r="AF3349" s="359"/>
    </row>
    <row r="3350" spans="1:32" ht="12.75" customHeight="1">
      <c r="A3350" s="5" t="s">
        <v>1228</v>
      </c>
      <c r="B3350" s="290" t="s">
        <v>1126</v>
      </c>
      <c r="C3350" s="291"/>
      <c r="D3350" s="291"/>
      <c r="E3350" s="291"/>
      <c r="F3350" s="291"/>
      <c r="G3350" s="292"/>
      <c r="H3350" s="5">
        <v>1</v>
      </c>
      <c r="I3350" s="5">
        <v>2</v>
      </c>
      <c r="J3350" s="5">
        <v>3</v>
      </c>
      <c r="K3350" s="5">
        <v>4</v>
      </c>
      <c r="L3350" s="5">
        <v>5</v>
      </c>
      <c r="M3350" s="271"/>
      <c r="N3350" s="272"/>
      <c r="O3350" s="272"/>
      <c r="P3350" s="273"/>
      <c r="Q3350" s="7"/>
      <c r="R3350" s="330"/>
      <c r="S3350" s="334"/>
      <c r="T3350" s="335"/>
      <c r="U3350" s="335"/>
      <c r="V3350" s="335"/>
      <c r="W3350" s="335"/>
      <c r="X3350" s="336"/>
      <c r="Y3350" s="330"/>
      <c r="Z3350" s="330"/>
      <c r="AA3350" s="330"/>
      <c r="AB3350" s="330"/>
      <c r="AC3350" s="330"/>
      <c r="AD3350" s="360"/>
      <c r="AE3350" s="361"/>
      <c r="AF3350" s="362"/>
    </row>
    <row r="3351" spans="1:32" ht="12.75" customHeight="1">
      <c r="A3351" s="300" t="str">
        <f>B3324</f>
        <v>H</v>
      </c>
      <c r="B3351" s="293" t="str">
        <f ca="1">IF(AND(OFFSET($AO$1,$C3324-1,8,1,1),$A3325&lt;&gt;"",$J3325&lt;&gt;""),CHOOSE($C3324,$AR$1,$AR$2,$AR$3,$AR$4,$AR$5,$AR$6,$AR$7,$AR$8,$AR$9,$AR$10,$AR$11,$AR$12),"")</f>
        <v/>
      </c>
      <c r="C3351" s="294"/>
      <c r="D3351" s="294"/>
      <c r="E3351" s="294"/>
      <c r="F3351" s="294"/>
      <c r="G3351" s="294"/>
      <c r="H3351" s="265"/>
      <c r="I3351" s="265"/>
      <c r="J3351" s="265"/>
      <c r="K3351" s="265"/>
      <c r="L3351" s="265" t="str">
        <f ca="1">IF(AND($B3351&lt;&gt;"",$Q3330&lt;&gt;""),IF($B3351="Missing Player",0,IF($B3353="Missing Player",11,"")),"")</f>
        <v/>
      </c>
      <c r="M3351" s="262" t="str">
        <f ca="1">IF(OR(AND($B3344&lt;&gt;"",$B3351&lt;&gt;"",$E3355&lt;=$D3355),AND($B3346&lt;&gt;"",$B3353&lt;&gt;"",$I3355&lt;=$H3355)),"Invalid Lineup","")</f>
        <v/>
      </c>
      <c r="N3351" s="263"/>
      <c r="O3351" s="263"/>
      <c r="P3351" s="264"/>
      <c r="Q3351" s="137" t="str">
        <f ca="1">IF($L3351=$L3353,IF($K3351=$K3353,IF($J3351&lt;&gt;"",IF($J3351&gt;$J3353,"W","L"),""),IF($K3351&gt;$K3353,"W","L")),IF($L3351&gt;$L3353,"W","L"))</f>
        <v/>
      </c>
      <c r="R3351" s="300" t="str">
        <f>$K3324</f>
        <v>L</v>
      </c>
      <c r="S3351" s="331" t="str">
        <f ca="1">IF($B3346&lt;&gt;"",$B3346,"")</f>
        <v/>
      </c>
      <c r="T3351" s="332"/>
      <c r="U3351" s="332"/>
      <c r="V3351" s="332"/>
      <c r="W3351" s="332"/>
      <c r="X3351" s="333"/>
      <c r="Y3351" s="329"/>
      <c r="Z3351" s="329"/>
      <c r="AA3351" s="329"/>
      <c r="AB3351" s="329"/>
      <c r="AC3351" s="351"/>
      <c r="AD3351" s="363" t="s">
        <v>1237</v>
      </c>
      <c r="AE3351" s="358"/>
      <c r="AF3351" s="359"/>
    </row>
    <row r="3352" spans="1:32" ht="12.75" customHeight="1">
      <c r="A3352" s="301"/>
      <c r="B3352" s="295"/>
      <c r="C3352" s="296"/>
      <c r="D3352" s="296"/>
      <c r="E3352" s="296"/>
      <c r="F3352" s="296"/>
      <c r="G3352" s="296"/>
      <c r="H3352" s="270"/>
      <c r="I3352" s="270"/>
      <c r="J3352" s="270"/>
      <c r="K3352" s="270"/>
      <c r="L3352" s="270"/>
      <c r="M3352" s="262"/>
      <c r="N3352" s="263"/>
      <c r="O3352" s="263"/>
      <c r="P3352" s="264"/>
      <c r="Q3352" s="139" t="str">
        <f ca="1">IF($Q3351&lt;&gt;"",IF($B3353&lt;&gt;"Missing Player",IF($Q3351="W",IF(SUM(IF($H3351&gt;$H3353,1,0),IF($I3351&gt;$I3353,1,0),IF($J3351&gt;$J3353,1,0),IF($K3351&gt;$K3353,1,0),IF($L3351&gt;$L3353,1,0))&lt;&gt;3,"Error",""),""),""),"")</f>
        <v/>
      </c>
      <c r="R3352" s="330"/>
      <c r="S3352" s="334"/>
      <c r="T3352" s="335"/>
      <c r="U3352" s="335"/>
      <c r="V3352" s="335"/>
      <c r="W3352" s="335"/>
      <c r="X3352" s="336"/>
      <c r="Y3352" s="330"/>
      <c r="Z3352" s="330"/>
      <c r="AA3352" s="330"/>
      <c r="AB3352" s="330"/>
      <c r="AC3352" s="330"/>
      <c r="AD3352" s="360"/>
      <c r="AE3352" s="361"/>
      <c r="AF3352" s="362"/>
    </row>
    <row r="3353" spans="1:32" ht="12.75" customHeight="1">
      <c r="A3353" s="300" t="str">
        <f>K3324</f>
        <v>L</v>
      </c>
      <c r="B3353" s="293" t="str">
        <f ca="1">IF(AND(OFFSET($AO$1,$L3324-1,8,1,1),$A3325&lt;&gt;"",$J3325&lt;&gt;""),CHOOSE($L3324,$AR$1,$AR$2,$AR$3,$AR$4,$AR$5,$AR$6,$AR$7,$AR$8,$AR$9,$AR$10,$AR$11,$AR$12),"")</f>
        <v/>
      </c>
      <c r="C3353" s="294"/>
      <c r="D3353" s="294"/>
      <c r="E3353" s="294"/>
      <c r="F3353" s="294"/>
      <c r="G3353" s="294"/>
      <c r="H3353" s="265"/>
      <c r="I3353" s="265"/>
      <c r="J3353" s="265"/>
      <c r="K3353" s="265"/>
      <c r="L3353" s="265" t="str">
        <f ca="1">IF(AND($B3353&lt;&gt;"",$Q3330&lt;&gt;""),IF($B3353="Missing Player",0,IF($B3351="Missing Player",11,"")),"")</f>
        <v/>
      </c>
      <c r="M3353" s="267" t="s">
        <v>1237</v>
      </c>
      <c r="N3353" s="268"/>
      <c r="O3353" s="268"/>
      <c r="P3353" s="269"/>
      <c r="Q3353" s="137" t="str">
        <f ca="1">IF($Q3351&lt;&gt;"",IF($Q3351="W","L","W"),"")</f>
        <v/>
      </c>
      <c r="R3353" s="112"/>
      <c r="S3353" s="98"/>
      <c r="T3353" s="108"/>
      <c r="U3353" s="108"/>
      <c r="V3353" s="108"/>
      <c r="W3353" s="108"/>
      <c r="X3353" s="108"/>
      <c r="Y3353" s="113"/>
      <c r="Z3353" s="113"/>
      <c r="AA3353" s="113"/>
      <c r="AB3353" s="113"/>
      <c r="AC3353" s="113"/>
      <c r="AD3353" s="107"/>
      <c r="AE3353" s="109"/>
      <c r="AF3353" s="109"/>
    </row>
    <row r="3354" spans="1:32" ht="12.75" customHeight="1">
      <c r="A3354" s="301"/>
      <c r="B3354" s="295"/>
      <c r="C3354" s="296"/>
      <c r="D3354" s="296"/>
      <c r="E3354" s="296"/>
      <c r="F3354" s="296"/>
      <c r="G3354" s="296"/>
      <c r="H3354" s="270"/>
      <c r="I3354" s="270"/>
      <c r="J3354" s="266"/>
      <c r="K3354" s="266"/>
      <c r="L3354" s="266"/>
      <c r="M3354" s="267"/>
      <c r="N3354" s="268"/>
      <c r="O3354" s="268"/>
      <c r="P3354" s="269"/>
      <c r="Q3354" s="139" t="str">
        <f ca="1">IF($Q3353&lt;&gt;"",IF($B3351&lt;&gt;"Missing Player",IF($Q3353="W",IF(SUM(IF($H3353&gt;$H3351,1,0),IF($I3353&gt;$I3351,1,0),IF($J3353&gt;$J3351,1,0),IF($K3353&gt;$K3351,1,0),IF($L3353&gt;$L3351,1,0))&lt;&gt;3,"Error",""),""),""),"")</f>
        <v/>
      </c>
      <c r="R3354" s="114"/>
      <c r="S3354" s="115"/>
      <c r="T3354" s="115"/>
      <c r="U3354" s="115"/>
      <c r="V3354" s="115"/>
      <c r="W3354" s="115"/>
      <c r="X3354" s="115"/>
      <c r="Y3354" s="114"/>
      <c r="Z3354" s="114"/>
      <c r="AA3354" s="114"/>
      <c r="AB3354" s="114"/>
      <c r="AC3354" s="114"/>
      <c r="AD3354" s="114"/>
      <c r="AE3354" s="114"/>
      <c r="AF3354" s="114"/>
    </row>
    <row r="3355" spans="1:32" ht="12.75" customHeight="1">
      <c r="B3355" s="140" t="str">
        <f ca="1">IF(ISERROR(VLOOKUP($B3330&amp;"("&amp;$B3324&amp;")",Players!$S$4:$T$132,2,FALSE)),"",VLOOKUP($B3330&amp;"("&amp;$B3324&amp;")",Players!$S$4:$T$132,2,FALSE))</f>
        <v>H1</v>
      </c>
      <c r="C3355" s="140" t="str">
        <f ca="1">IF(ISERROR(VLOOKUP($B3337&amp;"("&amp;$B3324&amp;")",Players!$S$4:$T$132,2,FALSE)),"",VLOOKUP($B3337&amp;"("&amp;$B3324&amp;")",Players!$S$4:$T$132,2,FALSE))</f>
        <v>H1</v>
      </c>
      <c r="D3355" s="141" t="str">
        <f ca="1">IF(ISERROR(VLOOKUP($B3344&amp;"("&amp;$B3324&amp;")",Players!$S$4:$T$132,2,FALSE)),"",VLOOKUP($B3344&amp;"("&amp;$B3324&amp;")",Players!$S$4:$T$132,2,FALSE))</f>
        <v>H1</v>
      </c>
      <c r="E3355" s="141" t="str">
        <f ca="1">IF(ISERROR(VLOOKUP($B3351&amp;"("&amp;$B3324&amp;")",Players!$S$4:$T$132,2,FALSE)),"",VLOOKUP($B3351&amp;"("&amp;$B3324&amp;")",Players!$S$4:$T$132,2,FALSE))</f>
        <v>H1</v>
      </c>
      <c r="F3355" s="141" t="str">
        <f ca="1">IF(ISERROR(VLOOKUP($B3332&amp;"("&amp;$K3324&amp;")",Players!$S$4:$T$132,2,FALSE)),"",VLOOKUP($B3332&amp;"("&amp;$K3324&amp;")",Players!$S$4:$T$132,2,FALSE))</f>
        <v>L1</v>
      </c>
      <c r="G3355" s="141" t="str">
        <f ca="1">IF(ISERROR(VLOOKUP($B3339&amp;"("&amp;$K3324&amp;")",Players!$S$4:$T$132,2,FALSE)),"",VLOOKUP($B3339&amp;"("&amp;$K3324&amp;")",Players!$S$4:$T$132,2,FALSE))</f>
        <v>L1</v>
      </c>
      <c r="H3355" s="141" t="str">
        <f ca="1">IF(ISERROR(VLOOKUP($B3346&amp;"("&amp;$K3324&amp;")",Players!$S$4:$T$132,2,FALSE)),"",VLOOKUP($B3346&amp;"("&amp;$K3324&amp;")",Players!$S$4:$T$132,2,FALSE))</f>
        <v>L1</v>
      </c>
      <c r="I3355" s="141" t="str">
        <f ca="1">IF(ISERROR(VLOOKUP($B3353&amp;"("&amp;$K3324&amp;")",Players!$S$4:$T$132,2,FALSE)),"",VLOOKUP($B3353&amp;"("&amp;$K3324&amp;")",Players!$S$4:$T$132,2,FALSE))</f>
        <v>L1</v>
      </c>
      <c r="Q3355" s="7"/>
      <c r="R3355" s="50"/>
      <c r="S3355" s="116"/>
      <c r="T3355" s="115"/>
      <c r="U3355" s="115"/>
      <c r="V3355" s="115"/>
      <c r="W3355" s="115"/>
      <c r="X3355" s="115"/>
      <c r="Y3355" s="99"/>
      <c r="Z3355" s="99"/>
      <c r="AA3355" s="99"/>
      <c r="AB3355" s="99"/>
      <c r="AC3355" s="117"/>
      <c r="AD3355" s="118"/>
      <c r="AE3355" s="114"/>
      <c r="AF3355" s="114"/>
    </row>
    <row r="3356" spans="1:32" ht="12.75" customHeight="1">
      <c r="A3356" s="21" t="s">
        <v>1225</v>
      </c>
      <c r="H3356" s="136" t="str">
        <f ca="1">IF($Q3358&lt;&gt;"",IF(AND($B3359&lt;&gt;"Missing Player",$B3361&lt;&gt;"Missing Player"),IF(AND(AND($H3358&gt;-1,$H3360&gt;-1),OR($H3358&gt;10,$H3360&gt;10),ABS($H3358-$H3360)&gt;1,IF(OR($H3358&gt;11,$H3360&gt;11),ABS($H3358-$H3360)=2,TRUE),$H3358=INT($H3358),$H3360=INT($H3360)),"","Error"),""),"")</f>
        <v/>
      </c>
      <c r="I3356" s="136" t="str">
        <f ca="1">IF($Q3358&lt;&gt;"",IF(AND($B3359&lt;&gt;"Missing Player",$B3361&lt;&gt;"Missing Player"),IF(AND(AND($I3358&gt;-1,$I3360&gt;-1),OR($I3358&gt;10,$I3360&gt;10),ABS($I3358-$I3360)&gt;1,IF(OR($I3358&gt;11,$I3360&gt;11),ABS($I3358-$I3360)=2,TRUE),$I3358=INT($I3358),$I3360=INT($I3360)),"","Error"),""),"")</f>
        <v/>
      </c>
      <c r="J3356" s="136" t="str">
        <f ca="1">IF($Q3358&lt;&gt;"",IF(AND($B3359&lt;&gt;"Missing Player",$B3361&lt;&gt;"Missing Player"),IF(AND(AND($J3358&gt;-1,$J3360&gt;-1),OR($J3358&gt;10,$J3360&gt;10),ABS($J3358-$J3360)&gt;1,IF(OR($J3358&gt;11,$J3360&gt;11),ABS($J3358-$J3360)=2,TRUE),$J3358=INT($J3358),$J3360=INT($J3360)),"","Error"),""),"")</f>
        <v/>
      </c>
      <c r="K3356" s="136" t="str">
        <f ca="1">IF($Q3358&lt;&gt;"",IF(AND($K3358&lt;&gt;"",$K3360&lt;&gt;""), IF(AND(AND($K3358&gt;-1,$K3360&gt;-1),OR($K3358&gt;10,$K3360&gt;10),ABS($K3358-$K3360)&gt;1,IF(OR($K3358&gt;11,$K3360&gt;11),ABS($K3358-$K3360)=2,TRUE),$K3358=INT($K3358),$K3360=INT($K3360)),"","Error"),""),"")</f>
        <v/>
      </c>
      <c r="L3356" s="136" t="str">
        <f ca="1">IF($Q3358&lt;&gt;"",IF(AND($L3358&lt;&gt;"",$L3360&lt;&gt;""), IF(AND(AND($L3358&gt;-1,$L3360&gt;-1),OR($L3358&gt;10,$L3360&gt;10),ABS($L3358-$L3360)&gt;1,IF(OR($L3358&gt;11,$L3360&gt;11),ABS($L3358-$L3360)=2,TRUE),$L3358=INT($L3358),$L3360=INT($L3360)),"","Error"),""),"")</f>
        <v/>
      </c>
      <c r="Q3356" s="7"/>
      <c r="R3356" s="114"/>
      <c r="S3356" s="115"/>
      <c r="T3356" s="115"/>
      <c r="U3356" s="115"/>
      <c r="V3356" s="115"/>
      <c r="W3356" s="115"/>
      <c r="X3356" s="115"/>
      <c r="Y3356" s="114"/>
      <c r="Z3356" s="114"/>
      <c r="AA3356" s="114"/>
      <c r="AB3356" s="114"/>
      <c r="AC3356" s="114"/>
      <c r="AD3356" s="114"/>
      <c r="AE3356" s="114"/>
      <c r="AF3356" s="114"/>
    </row>
    <row r="3357" spans="1:32" ht="12.75" customHeight="1">
      <c r="A3357" s="5" t="s">
        <v>1228</v>
      </c>
      <c r="B3357" s="290" t="s">
        <v>1126</v>
      </c>
      <c r="C3357" s="291"/>
      <c r="D3357" s="291"/>
      <c r="E3357" s="291"/>
      <c r="F3357" s="291"/>
      <c r="G3357" s="292"/>
      <c r="H3357" s="5">
        <v>1</v>
      </c>
      <c r="I3357" s="5">
        <v>2</v>
      </c>
      <c r="J3357" s="5">
        <v>3</v>
      </c>
      <c r="K3357" s="5">
        <v>4</v>
      </c>
      <c r="L3357" s="5">
        <v>5</v>
      </c>
      <c r="M3357" s="271"/>
      <c r="N3357" s="272"/>
      <c r="O3357" s="272"/>
      <c r="P3357" s="273"/>
      <c r="Q3357" s="8"/>
      <c r="S3357" s="24"/>
      <c r="T3357" s="26"/>
    </row>
    <row r="3358" spans="1:32" ht="12.75" customHeight="1">
      <c r="A3358" s="300" t="str">
        <f>B3324</f>
        <v>H</v>
      </c>
      <c r="B3358" s="311" t="str">
        <f ca="1">IF($B3330&lt;&gt;"",$B3330,"")</f>
        <v/>
      </c>
      <c r="C3358" s="312"/>
      <c r="D3358" s="312"/>
      <c r="E3358" s="312"/>
      <c r="F3358" s="312"/>
      <c r="G3358" s="313"/>
      <c r="H3358" s="265"/>
      <c r="I3358" s="265"/>
      <c r="J3358" s="265"/>
      <c r="K3358" s="265"/>
      <c r="L3358" s="265" t="str">
        <f ca="1">IF($B3351&lt;&gt;"",IF(AND($B3351="Missing Player",$G3362=2,$J3362=2),0,IF(AND($B3353="Missing Player",$G3362=2,$J3362=2),11,"")),"")</f>
        <v/>
      </c>
      <c r="M3358" s="262" t="str">
        <f ca="1">IF(OR(AND($B3358&lt;&gt;"",$B3359&lt;&gt;"",$B3358=$B3359),AND($B3360&lt;&gt;"",$B3361&lt;&gt;"",$B3360=$B3361)),"Invalid Partner","")</f>
        <v/>
      </c>
      <c r="N3358" s="263"/>
      <c r="O3358" s="263"/>
      <c r="P3358" s="264"/>
      <c r="Q3358" s="138" t="str">
        <f ca="1">IF(L3358=L3360,IF(K3358=K3360,IF(J3358&lt;&gt;"",IF(J3358&gt;J3360,"W","L"),""),IF(K3358&gt;K3360,"W","L")),IF(L3358&gt;L3360,"W","L"))</f>
        <v/>
      </c>
      <c r="S3358" s="24"/>
      <c r="T3358" s="26"/>
    </row>
    <row r="3359" spans="1:32" ht="12.75" customHeight="1">
      <c r="A3359" s="324"/>
      <c r="B3359" s="308" t="str">
        <f ca="1">IF($B3351="Missing Player",$B3351,"")</f>
        <v/>
      </c>
      <c r="C3359" s="309"/>
      <c r="D3359" s="309"/>
      <c r="E3359" s="309"/>
      <c r="F3359" s="309"/>
      <c r="G3359" s="310"/>
      <c r="H3359" s="270"/>
      <c r="I3359" s="270"/>
      <c r="J3359" s="270"/>
      <c r="K3359" s="270"/>
      <c r="L3359" s="270"/>
      <c r="M3359" s="262"/>
      <c r="N3359" s="263"/>
      <c r="O3359" s="263"/>
      <c r="P3359" s="264"/>
      <c r="Q3359" s="139" t="str">
        <f ca="1">IF($Q3358&lt;&gt;"",IF($B3361&lt;&gt;"Missing Player",IF($Q3358="W",IF(SUM(IF($H3358&gt;$H3360,1,0),IF($I3358&gt;$I3360,1,0),IF($J3358&gt;$J3360,1,0),IF($K3358&gt;$K3360,1,0),IF($L3358&gt;$L3360,1,0))&lt;&gt;3,"Error",""),""),""),"")</f>
        <v/>
      </c>
      <c r="R3359" s="328" t="str">
        <f>$A3325</f>
        <v/>
      </c>
      <c r="S3359" s="328"/>
      <c r="T3359" s="328"/>
      <c r="U3359" s="328"/>
      <c r="V3359" s="328"/>
      <c r="W3359" s="328"/>
      <c r="X3359" s="256" t="str">
        <f>CONCATENATE("(",$B3324," vs ",$K3324,")")</f>
        <v>(H vs L)</v>
      </c>
      <c r="Y3359" s="256"/>
      <c r="Z3359" s="328" t="str">
        <f>$J3325</f>
        <v/>
      </c>
      <c r="AA3359" s="328"/>
      <c r="AB3359" s="328"/>
      <c r="AC3359" s="328"/>
      <c r="AD3359" s="328"/>
      <c r="AE3359" s="328"/>
      <c r="AF3359" s="43"/>
    </row>
    <row r="3360" spans="1:32" ht="12.75" customHeight="1">
      <c r="A3360" s="325" t="str">
        <f>K3324</f>
        <v>L</v>
      </c>
      <c r="B3360" s="311" t="str">
        <f ca="1">IF($B3332&lt;&gt;"",$B3332,"")</f>
        <v/>
      </c>
      <c r="C3360" s="312"/>
      <c r="D3360" s="312"/>
      <c r="E3360" s="312"/>
      <c r="F3360" s="312"/>
      <c r="G3360" s="313"/>
      <c r="H3360" s="265"/>
      <c r="I3360" s="265"/>
      <c r="J3360" s="265"/>
      <c r="K3360" s="265"/>
      <c r="L3360" s="265" t="str">
        <f ca="1">IF($B3353&lt;&gt;"",IF(AND($B3353="Missing Player",$G3362=2,$J3362=2),0,IF(AND($B3351="Missing Player",$G3362=2,$J3362=2),11,"")),"")</f>
        <v/>
      </c>
      <c r="M3360" s="267" t="s">
        <v>1237</v>
      </c>
      <c r="N3360" s="268"/>
      <c r="O3360" s="268"/>
      <c r="P3360" s="269"/>
      <c r="Q3360" s="138" t="str">
        <f ca="1">IF(Q3358&lt;&gt;"",IF(Q3358="W","L","W"),"")</f>
        <v/>
      </c>
      <c r="R3360" s="43"/>
      <c r="S3360" s="43"/>
      <c r="T3360" s="43"/>
      <c r="U3360" s="43"/>
      <c r="V3360" s="43"/>
      <c r="W3360" s="43"/>
      <c r="X3360" s="43"/>
      <c r="Y3360" s="43"/>
      <c r="Z3360" s="43"/>
      <c r="AA3360" s="43"/>
      <c r="AB3360" s="43"/>
      <c r="AC3360" s="43"/>
      <c r="AD3360" s="43"/>
      <c r="AE3360" s="43"/>
      <c r="AF3360" s="43"/>
    </row>
    <row r="3361" spans="1:32" ht="12.75" customHeight="1">
      <c r="A3361" s="324"/>
      <c r="B3361" s="308" t="str">
        <f ca="1">IF($B3353="Missing Player",$B3353,"")</f>
        <v/>
      </c>
      <c r="C3361" s="309"/>
      <c r="D3361" s="309"/>
      <c r="E3361" s="309"/>
      <c r="F3361" s="309"/>
      <c r="G3361" s="310"/>
      <c r="H3361" s="270"/>
      <c r="I3361" s="270"/>
      <c r="J3361" s="266"/>
      <c r="K3361" s="266"/>
      <c r="L3361" s="266"/>
      <c r="M3361" s="267"/>
      <c r="N3361" s="268"/>
      <c r="O3361" s="268"/>
      <c r="P3361" s="269"/>
      <c r="Q3361" s="139" t="str">
        <f ca="1">IF($Q3360&lt;&gt;"",IF($B3359&lt;&gt;"Missing Player",IF($Q3360="W",IF(SUM(IF($H3360&gt;$H3358,1,0),IF($I3360&gt;$I3358,1,0),IF($J3360&gt;$J3358,1,0),IF($K3360&gt;$K3358,1,0),IF($L3360&gt;$L3358,1,0))&lt;&gt;3,"Error",""),""),""),"")</f>
        <v/>
      </c>
      <c r="R3361" s="43" t="str">
        <f>A3349</f>
        <v>4th Singles</v>
      </c>
      <c r="S3361" s="43"/>
      <c r="T3361" s="43"/>
      <c r="U3361" s="43"/>
      <c r="V3361" s="43"/>
      <c r="W3361" s="43"/>
      <c r="X3361" s="43"/>
      <c r="Y3361" s="43"/>
      <c r="Z3361" s="43"/>
      <c r="AA3361" s="43"/>
      <c r="AB3361" s="43"/>
      <c r="AC3361" s="43"/>
      <c r="AD3361" s="43"/>
      <c r="AE3361" s="43"/>
      <c r="AF3361" s="43"/>
    </row>
    <row r="3362" spans="1:32" ht="12.75" customHeight="1">
      <c r="G3362" s="66">
        <f ca="1">COUNTIF($Q3330:$Q3330,"W")+COUNTIF($Q3337:$Q3337,"W")+COUNTIF($Q3344:$Q3344,"W")+COUNTIF($Q3351:$Q3351,"W")</f>
        <v>0</v>
      </c>
      <c r="J3362" s="66">
        <f ca="1">COUNTIF($Q3332:$Q3332,"W")+COUNTIF($Q3339:$Q3339,"W")+COUNTIF($Q3346:$Q3346,"W")+COUNTIF($Q3353:$Q3353,"W")</f>
        <v>0</v>
      </c>
      <c r="R3362" s="60" t="s">
        <v>1228</v>
      </c>
      <c r="S3362" s="339" t="s">
        <v>1126</v>
      </c>
      <c r="T3362" s="340"/>
      <c r="U3362" s="340"/>
      <c r="V3362" s="340"/>
      <c r="W3362" s="340"/>
      <c r="X3362" s="341"/>
      <c r="Y3362" s="60">
        <v>1</v>
      </c>
      <c r="Z3362" s="60">
        <v>2</v>
      </c>
      <c r="AA3362" s="60">
        <v>3</v>
      </c>
      <c r="AB3362" s="60">
        <v>4</v>
      </c>
      <c r="AC3362" s="60">
        <v>5</v>
      </c>
      <c r="AD3362" s="342"/>
      <c r="AE3362" s="343"/>
      <c r="AF3362" s="344"/>
    </row>
    <row r="3363" spans="1:32" ht="12.75" customHeight="1" thickBot="1">
      <c r="F3363" s="246" t="s">
        <v>1238</v>
      </c>
      <c r="G3363" s="246"/>
      <c r="H3363" s="246"/>
      <c r="I3363" s="246"/>
      <c r="J3363" s="246"/>
      <c r="K3363" s="246"/>
      <c r="R3363" s="300" t="str">
        <f>B3324</f>
        <v>H</v>
      </c>
      <c r="S3363" s="331" t="str">
        <f ca="1">IF($B3351&lt;&gt;"",$B3351,"")</f>
        <v/>
      </c>
      <c r="T3363" s="353"/>
      <c r="U3363" s="353"/>
      <c r="V3363" s="353"/>
      <c r="W3363" s="353"/>
      <c r="X3363" s="354"/>
      <c r="Y3363" s="329"/>
      <c r="Z3363" s="329"/>
      <c r="AA3363" s="351"/>
      <c r="AB3363" s="351"/>
      <c r="AC3363" s="351"/>
      <c r="AD3363" s="345"/>
      <c r="AE3363" s="346"/>
      <c r="AF3363" s="347"/>
    </row>
    <row r="3364" spans="1:32" ht="12.75" customHeight="1">
      <c r="A3364" s="22"/>
      <c r="B3364" s="22"/>
      <c r="C3364" s="22"/>
      <c r="D3364" s="22"/>
      <c r="E3364" s="22"/>
      <c r="G3364" s="304" t="str">
        <f>B3324</f>
        <v>H</v>
      </c>
      <c r="H3364" s="305"/>
      <c r="I3364" s="302" t="str">
        <f>K3324</f>
        <v>L</v>
      </c>
      <c r="J3364" s="303"/>
      <c r="L3364" s="22"/>
      <c r="M3364" s="22"/>
      <c r="N3364" s="22"/>
      <c r="O3364" s="22"/>
      <c r="P3364" s="22"/>
      <c r="R3364" s="301"/>
      <c r="S3364" s="355"/>
      <c r="T3364" s="356"/>
      <c r="U3364" s="356"/>
      <c r="V3364" s="356"/>
      <c r="W3364" s="356"/>
      <c r="X3364" s="357"/>
      <c r="Y3364" s="338"/>
      <c r="Z3364" s="338"/>
      <c r="AA3364" s="352"/>
      <c r="AB3364" s="352"/>
      <c r="AC3364" s="352"/>
      <c r="AD3364" s="348"/>
      <c r="AE3364" s="349"/>
      <c r="AF3364" s="350"/>
    </row>
    <row r="3365" spans="1:32" ht="12.75" customHeight="1" thickBot="1">
      <c r="A3365" s="2" t="s">
        <v>1228</v>
      </c>
      <c r="B3365" s="53" t="str">
        <f>B3324</f>
        <v>H</v>
      </c>
      <c r="C3365" s="3" t="s">
        <v>1226</v>
      </c>
      <c r="F3365" s="66" t="str">
        <f>CONCATENATE($B3324,"-",$K3324)</f>
        <v>H-L</v>
      </c>
      <c r="G3365" s="320" t="str">
        <f ca="1">IF(OR(Q3330&lt;&gt;"",Q3337&lt;&gt;"",Q3344&lt;&gt;"",Q3351&lt;&gt;"",Q3358&lt;&gt;""),COUNTIF(Q3330:Q3330,"W")+COUNTIF(Q3337:Q3337,"W")+COUNTIF(Q3344:Q3344,"W")+COUNTIF(Q3351:Q3351,"W")+COUNTIF(Q3358:Q3358,"W"),"")</f>
        <v/>
      </c>
      <c r="H3365" s="321"/>
      <c r="I3365" s="322" t="str">
        <f ca="1">IF(OR(Q3332&lt;&gt;"",Q3339&lt;&gt;"",Q3346&lt;&gt;"",Q3353&lt;&gt;"",Q3360&lt;&gt;""),COUNTIF(Q3332:Q3332,"W")+COUNTIF(Q3339:Q3339,"W")+COUNTIF(Q3346:Q3346,"W")+COUNTIF(Q3353:Q3353,"W")+COUNTIF(Q3360:Q3360,"W"),"")</f>
        <v/>
      </c>
      <c r="J3365" s="323"/>
      <c r="L3365" s="2" t="s">
        <v>1228</v>
      </c>
      <c r="M3365" s="53" t="str">
        <f>K3324</f>
        <v>L</v>
      </c>
      <c r="N3365" s="3" t="s">
        <v>1226</v>
      </c>
      <c r="R3365" s="300" t="str">
        <f>K3324</f>
        <v>L</v>
      </c>
      <c r="S3365" s="331" t="str">
        <f ca="1">IF($B3353&lt;&gt;"",$B3353,"")</f>
        <v/>
      </c>
      <c r="T3365" s="332"/>
      <c r="U3365" s="332"/>
      <c r="V3365" s="332"/>
      <c r="W3365" s="332"/>
      <c r="X3365" s="333"/>
      <c r="Y3365" s="329"/>
      <c r="Z3365" s="329"/>
      <c r="AA3365" s="351"/>
      <c r="AB3365" s="351"/>
      <c r="AC3365" s="351"/>
      <c r="AD3365" s="363" t="s">
        <v>1237</v>
      </c>
      <c r="AE3365" s="358"/>
      <c r="AF3365" s="359"/>
    </row>
    <row r="3366" spans="1:32" ht="12.75" customHeight="1">
      <c r="F3366" s="25" t="s">
        <v>3996</v>
      </c>
      <c r="G3366" s="23"/>
      <c r="H3366" s="23"/>
      <c r="I3366" s="23"/>
      <c r="J3366" s="23"/>
      <c r="K3366" s="24"/>
      <c r="R3366" s="330"/>
      <c r="S3366" s="334"/>
      <c r="T3366" s="335"/>
      <c r="U3366" s="335"/>
      <c r="V3366" s="335"/>
      <c r="W3366" s="335"/>
      <c r="X3366" s="336"/>
      <c r="Y3366" s="330"/>
      <c r="Z3366" s="330"/>
      <c r="AA3366" s="330"/>
      <c r="AB3366" s="330"/>
      <c r="AC3366" s="330"/>
      <c r="AD3366" s="360"/>
      <c r="AE3366" s="361"/>
      <c r="AF3366" s="362"/>
    </row>
  </sheetData>
  <sheetProtection sheet="1" objects="1" scenarios="1"/>
  <dataConsolidate/>
  <mergeCells count="11350">
    <mergeCell ref="F3261:K3261"/>
    <mergeCell ref="G3262:H3262"/>
    <mergeCell ref="I3262:J3262"/>
    <mergeCell ref="M3269:P3269"/>
    <mergeCell ref="M3167:P3167"/>
    <mergeCell ref="M3218:P3218"/>
    <mergeCell ref="B3258:G3258"/>
    <mergeCell ref="H3258:H3259"/>
    <mergeCell ref="I3258:I3259"/>
    <mergeCell ref="J3258:J3259"/>
    <mergeCell ref="K3207:K3208"/>
    <mergeCell ref="B2929:G2930"/>
    <mergeCell ref="H2929:H2930"/>
    <mergeCell ref="G3263:H3263"/>
    <mergeCell ref="I3263:J3263"/>
    <mergeCell ref="J3271:L3271"/>
    <mergeCell ref="J3118:L3118"/>
    <mergeCell ref="M3286:P3287"/>
    <mergeCell ref="I3281:I3282"/>
    <mergeCell ref="J3279:J3280"/>
    <mergeCell ref="L3281:L3282"/>
    <mergeCell ref="G3275:I3275"/>
    <mergeCell ref="J3040:J3041"/>
    <mergeCell ref="M3047:P3048"/>
    <mergeCell ref="F2246:I2246"/>
    <mergeCell ref="F2093:I2093"/>
    <mergeCell ref="F2094:I2094"/>
    <mergeCell ref="G1886:H1886"/>
    <mergeCell ref="I1886:J1886"/>
    <mergeCell ref="F1884:K1884"/>
    <mergeCell ref="A1897:F1897"/>
    <mergeCell ref="J1897:O1897"/>
    <mergeCell ref="M1874:P1875"/>
    <mergeCell ref="B1878:G1878"/>
    <mergeCell ref="A1874:A1875"/>
    <mergeCell ref="G1885:H1885"/>
    <mergeCell ref="I1885:J1885"/>
    <mergeCell ref="L2231:L2232"/>
    <mergeCell ref="A1879:A1880"/>
    <mergeCell ref="B1879:G1879"/>
    <mergeCell ref="H1879:H1880"/>
    <mergeCell ref="H1881:H1882"/>
    <mergeCell ref="A1881:A1882"/>
    <mergeCell ref="B1882:G1882"/>
    <mergeCell ref="O3272:P3272"/>
    <mergeCell ref="O3323:P3323"/>
    <mergeCell ref="G2753:H2753"/>
    <mergeCell ref="I2753:J2753"/>
    <mergeCell ref="D2761:G2761"/>
    <mergeCell ref="F3063:I3063"/>
    <mergeCell ref="K3064:P3064"/>
    <mergeCell ref="F3113:I3113"/>
    <mergeCell ref="F3114:I3114"/>
    <mergeCell ref="K3115:P3115"/>
    <mergeCell ref="M3065:P3065"/>
    <mergeCell ref="G3110:H3110"/>
    <mergeCell ref="I3110:J3110"/>
    <mergeCell ref="I3109:J3109"/>
    <mergeCell ref="I2987:I2988"/>
    <mergeCell ref="I2752:J2752"/>
    <mergeCell ref="B2748:G2748"/>
    <mergeCell ref="B2738:G2738"/>
    <mergeCell ref="D3322:G3322"/>
    <mergeCell ref="D3067:G3067"/>
    <mergeCell ref="D3118:G3118"/>
    <mergeCell ref="I3288:I3289"/>
    <mergeCell ref="L3288:L3289"/>
    <mergeCell ref="J3300:J3301"/>
    <mergeCell ref="L3293:L3294"/>
    <mergeCell ref="F3312:K3312"/>
    <mergeCell ref="L3300:L3301"/>
    <mergeCell ref="K3242:K3243"/>
    <mergeCell ref="L3237:L3238"/>
    <mergeCell ref="B3153:G3153"/>
    <mergeCell ref="I3154:I3155"/>
    <mergeCell ref="H3154:H3155"/>
    <mergeCell ref="B3142:G3143"/>
    <mergeCell ref="H3142:H3143"/>
    <mergeCell ref="I3142:I3143"/>
    <mergeCell ref="J3140:J3141"/>
    <mergeCell ref="B2741:G2742"/>
    <mergeCell ref="H2748:H2749"/>
    <mergeCell ref="I3058:J3058"/>
    <mergeCell ref="I3026:I3027"/>
    <mergeCell ref="J3026:J3027"/>
    <mergeCell ref="M3237:P3238"/>
    <mergeCell ref="M1025:P1025"/>
    <mergeCell ref="M1076:P1076"/>
    <mergeCell ref="A1032:P1032"/>
    <mergeCell ref="M909:P909"/>
    <mergeCell ref="M953:P953"/>
    <mergeCell ref="M942:P943"/>
    <mergeCell ref="M1841:P1841"/>
    <mergeCell ref="J1823:J1824"/>
    <mergeCell ref="M2096:P2096"/>
    <mergeCell ref="M2147:P2147"/>
    <mergeCell ref="K2224:K2225"/>
    <mergeCell ref="L2224:L2225"/>
    <mergeCell ref="K2229:K2230"/>
    <mergeCell ref="L2229:L2230"/>
    <mergeCell ref="B2221:G2221"/>
    <mergeCell ref="M2221:P2221"/>
    <mergeCell ref="J2222:J2223"/>
    <mergeCell ref="O2099:P2099"/>
    <mergeCell ref="O2150:P2150"/>
    <mergeCell ref="O2201:P2201"/>
    <mergeCell ref="O2252:P2252"/>
    <mergeCell ref="O2303:P2303"/>
    <mergeCell ref="O2354:P2354"/>
    <mergeCell ref="O2405:P2405"/>
    <mergeCell ref="O2456:P2456"/>
    <mergeCell ref="O2507:P2507"/>
    <mergeCell ref="O2558:P2558"/>
    <mergeCell ref="O2609:P2609"/>
    <mergeCell ref="O2660:P2660"/>
    <mergeCell ref="O2711:P2711"/>
    <mergeCell ref="O2762:P2762"/>
    <mergeCell ref="O2813:P2813"/>
    <mergeCell ref="O2864:P2864"/>
    <mergeCell ref="O1844:P1844"/>
    <mergeCell ref="O1895:P1895"/>
    <mergeCell ref="A2273:A2274"/>
    <mergeCell ref="B2273:G2274"/>
    <mergeCell ref="B2272:G2272"/>
    <mergeCell ref="A1872:A1873"/>
    <mergeCell ref="L1867:L1868"/>
    <mergeCell ref="M1867:P1868"/>
    <mergeCell ref="D2098:G2098"/>
    <mergeCell ref="O8:P8"/>
    <mergeCell ref="O59:P59"/>
    <mergeCell ref="O110:P110"/>
    <mergeCell ref="O161:P161"/>
    <mergeCell ref="O212:P212"/>
    <mergeCell ref="O263:P263"/>
    <mergeCell ref="O314:P314"/>
    <mergeCell ref="O365:P365"/>
    <mergeCell ref="O416:P416"/>
    <mergeCell ref="O467:P467"/>
    <mergeCell ref="O518:P518"/>
    <mergeCell ref="O569:P569"/>
    <mergeCell ref="O620:P620"/>
    <mergeCell ref="O671:P671"/>
    <mergeCell ref="O722:P722"/>
    <mergeCell ref="O773:P773"/>
    <mergeCell ref="O824:P824"/>
    <mergeCell ref="O875:P875"/>
    <mergeCell ref="O926:P926"/>
    <mergeCell ref="O977:P977"/>
    <mergeCell ref="O1028:P1028"/>
    <mergeCell ref="O1079:P1079"/>
    <mergeCell ref="O1130:P1130"/>
    <mergeCell ref="O1181:P1181"/>
    <mergeCell ref="O1232:P1232"/>
    <mergeCell ref="O1283:P1283"/>
    <mergeCell ref="O1334:P1334"/>
    <mergeCell ref="O1385:P1385"/>
    <mergeCell ref="O1436:P1436"/>
    <mergeCell ref="O1487:P1487"/>
    <mergeCell ref="O1538:P1538"/>
    <mergeCell ref="O1589:P1589"/>
    <mergeCell ref="O1640:P1640"/>
    <mergeCell ref="K106:P106"/>
    <mergeCell ref="A114:P114"/>
    <mergeCell ref="F150:K150"/>
    <mergeCell ref="F614:I614"/>
    <mergeCell ref="A745:A746"/>
    <mergeCell ref="B745:G746"/>
    <mergeCell ref="M903:P904"/>
    <mergeCell ref="M912:P913"/>
    <mergeCell ref="L912:L913"/>
    <mergeCell ref="I912:I913"/>
    <mergeCell ref="F1023:I1023"/>
    <mergeCell ref="K1024:P1024"/>
    <mergeCell ref="F1073:I1073"/>
    <mergeCell ref="F1074:I1074"/>
    <mergeCell ref="K1058:K1059"/>
    <mergeCell ref="L1058:L1059"/>
    <mergeCell ref="M1058:P1059"/>
    <mergeCell ref="I1273:J1273"/>
    <mergeCell ref="B909:G909"/>
    <mergeCell ref="M946:P946"/>
    <mergeCell ref="M925:N925"/>
    <mergeCell ref="M719:P719"/>
    <mergeCell ref="A675:P675"/>
    <mergeCell ref="A726:P726"/>
    <mergeCell ref="I1478:J1478"/>
    <mergeCell ref="F1476:K1476"/>
    <mergeCell ref="I1477:J1477"/>
    <mergeCell ref="J1466:J1467"/>
    <mergeCell ref="F1328:I1328"/>
    <mergeCell ref="F1329:I1329"/>
    <mergeCell ref="K1330:P1330"/>
    <mergeCell ref="F1379:I1379"/>
    <mergeCell ref="F1380:I1380"/>
    <mergeCell ref="F3062:I3062"/>
    <mergeCell ref="K2266:K2267"/>
    <mergeCell ref="J2261:J2262"/>
    <mergeCell ref="A3070:F3070"/>
    <mergeCell ref="G2713:I2713"/>
    <mergeCell ref="K2248:P2248"/>
    <mergeCell ref="M2935:P2935"/>
    <mergeCell ref="A3054:A3055"/>
    <mergeCell ref="K3054:K3055"/>
    <mergeCell ref="I3054:I3055"/>
    <mergeCell ref="B3055:G3055"/>
    <mergeCell ref="F2247:I2247"/>
    <mergeCell ref="B3204:G3204"/>
    <mergeCell ref="H3133:H3134"/>
    <mergeCell ref="I3133:I3134"/>
    <mergeCell ref="G3059:H3059"/>
    <mergeCell ref="I3059:J3059"/>
    <mergeCell ref="J3067:L3067"/>
    <mergeCell ref="F3057:K3057"/>
    <mergeCell ref="F2451:I2451"/>
    <mergeCell ref="F2348:I2348"/>
    <mergeCell ref="F2349:I2349"/>
    <mergeCell ref="A2746:A2747"/>
    <mergeCell ref="B2746:G2746"/>
    <mergeCell ref="H2746:H2747"/>
    <mergeCell ref="I2746:I2747"/>
    <mergeCell ref="J2746:J2747"/>
    <mergeCell ref="K2746:K2747"/>
    <mergeCell ref="M2738:P2738"/>
    <mergeCell ref="B2734:G2735"/>
    <mergeCell ref="G1898:I1898"/>
    <mergeCell ref="K2523:K2524"/>
    <mergeCell ref="M1857:P1857"/>
    <mergeCell ref="J1853:J1854"/>
    <mergeCell ref="H2697:H2698"/>
    <mergeCell ref="I2702:J2702"/>
    <mergeCell ref="F2700:K2700"/>
    <mergeCell ref="F2756:I2756"/>
    <mergeCell ref="F2757:I2757"/>
    <mergeCell ref="F2654:I2654"/>
    <mergeCell ref="F2655:I2655"/>
    <mergeCell ref="K2261:K2262"/>
    <mergeCell ref="L2266:L2267"/>
    <mergeCell ref="J2268:J2269"/>
    <mergeCell ref="K2268:K2269"/>
    <mergeCell ref="L2268:L2269"/>
    <mergeCell ref="M2184:P2184"/>
    <mergeCell ref="L3026:L3027"/>
    <mergeCell ref="I3031:I3032"/>
    <mergeCell ref="A2741:A2742"/>
    <mergeCell ref="M1901:P1901"/>
    <mergeCell ref="K1932:K1933"/>
    <mergeCell ref="M1925:P1926"/>
    <mergeCell ref="L1925:L1926"/>
    <mergeCell ref="B1871:G1871"/>
    <mergeCell ref="D7:G7"/>
    <mergeCell ref="D58:G58"/>
    <mergeCell ref="D109:G109"/>
    <mergeCell ref="D160:G160"/>
    <mergeCell ref="D211:G211"/>
    <mergeCell ref="K2748:K2749"/>
    <mergeCell ref="L2732:L2733"/>
    <mergeCell ref="J2732:J2733"/>
    <mergeCell ref="B2747:G2747"/>
    <mergeCell ref="A2725:A2726"/>
    <mergeCell ref="B2725:G2726"/>
    <mergeCell ref="H2725:H2726"/>
    <mergeCell ref="I2725:I2726"/>
    <mergeCell ref="A2727:A2728"/>
    <mergeCell ref="H2727:H2728"/>
    <mergeCell ref="H2732:H2733"/>
    <mergeCell ref="I2732:I2733"/>
    <mergeCell ref="A2739:A2740"/>
    <mergeCell ref="B2739:G2740"/>
    <mergeCell ref="H2739:H2740"/>
    <mergeCell ref="I2739:I2740"/>
    <mergeCell ref="A2734:A2735"/>
    <mergeCell ref="A2748:A2749"/>
    <mergeCell ref="K2732:K2733"/>
    <mergeCell ref="M2739:P2740"/>
    <mergeCell ref="M2734:P2735"/>
    <mergeCell ref="K2734:K2735"/>
    <mergeCell ref="L2734:L2735"/>
    <mergeCell ref="K2739:K2740"/>
    <mergeCell ref="L2739:L2740"/>
    <mergeCell ref="A2732:A2733"/>
    <mergeCell ref="B2732:G2733"/>
    <mergeCell ref="H2734:H2735"/>
    <mergeCell ref="I2734:I2735"/>
    <mergeCell ref="J2734:J2735"/>
    <mergeCell ref="J2739:J2740"/>
    <mergeCell ref="F2297:I2297"/>
    <mergeCell ref="F2298:I2298"/>
    <mergeCell ref="K2299:P2299"/>
    <mergeCell ref="D721:G721"/>
    <mergeCell ref="D772:G772"/>
    <mergeCell ref="D823:G823"/>
    <mergeCell ref="D874:G874"/>
    <mergeCell ref="D925:G925"/>
    <mergeCell ref="G763:H763"/>
    <mergeCell ref="A877:F877"/>
    <mergeCell ref="B847:G848"/>
    <mergeCell ref="H845:H846"/>
    <mergeCell ref="B912:G912"/>
    <mergeCell ref="D1333:G1333"/>
    <mergeCell ref="D1129:G1129"/>
    <mergeCell ref="D1180:G1180"/>
    <mergeCell ref="D1231:G1231"/>
    <mergeCell ref="B1168:G1168"/>
    <mergeCell ref="B1167:G1167"/>
    <mergeCell ref="G1172:H1172"/>
    <mergeCell ref="F1272:K1272"/>
    <mergeCell ref="G1273:H1273"/>
    <mergeCell ref="B1881:G1881"/>
    <mergeCell ref="B1880:G1880"/>
    <mergeCell ref="I1879:I1880"/>
    <mergeCell ref="A2259:A2260"/>
    <mergeCell ref="B2259:G2260"/>
    <mergeCell ref="H2259:H2260"/>
    <mergeCell ref="A63:P63"/>
    <mergeCell ref="K3268:P3268"/>
    <mergeCell ref="F3317:I3317"/>
    <mergeCell ref="F3318:I3318"/>
    <mergeCell ref="K3319:P3319"/>
    <mergeCell ref="M3271:N3271"/>
    <mergeCell ref="K3309:K3310"/>
    <mergeCell ref="B3306:G3306"/>
    <mergeCell ref="J3307:J3308"/>
    <mergeCell ref="M3302:P3303"/>
    <mergeCell ref="K2720:K2721"/>
    <mergeCell ref="J2727:J2728"/>
    <mergeCell ref="G2714:I2714"/>
    <mergeCell ref="A2718:A2719"/>
    <mergeCell ref="A2720:A2721"/>
    <mergeCell ref="M2761:N2761"/>
    <mergeCell ref="D2302:G2302"/>
    <mergeCell ref="D2353:G2353"/>
    <mergeCell ref="D2404:G2404"/>
    <mergeCell ref="D2455:G2455"/>
    <mergeCell ref="K2280:K2281"/>
    <mergeCell ref="K2146:P2146"/>
    <mergeCell ref="F2195:I2195"/>
    <mergeCell ref="F2196:I2196"/>
    <mergeCell ref="K2197:P2197"/>
    <mergeCell ref="K2758:P2758"/>
    <mergeCell ref="D2506:G2506"/>
    <mergeCell ref="B2749:G2749"/>
    <mergeCell ref="M2741:P2742"/>
    <mergeCell ref="L2741:L2742"/>
    <mergeCell ref="B2745:G2745"/>
    <mergeCell ref="M2745:P2745"/>
    <mergeCell ref="L2746:L2747"/>
    <mergeCell ref="K2741:K2742"/>
    <mergeCell ref="L2748:L2749"/>
    <mergeCell ref="H2741:H2742"/>
    <mergeCell ref="I2741:I2742"/>
    <mergeCell ref="A1899:P1899"/>
    <mergeCell ref="M2098:N2098"/>
    <mergeCell ref="I866:J866"/>
    <mergeCell ref="F864:K864"/>
    <mergeCell ref="G865:H865"/>
    <mergeCell ref="K871:P871"/>
    <mergeCell ref="F920:I920"/>
    <mergeCell ref="F921:I921"/>
    <mergeCell ref="K922:P922"/>
    <mergeCell ref="F971:I971"/>
    <mergeCell ref="F972:I972"/>
    <mergeCell ref="F915:K915"/>
    <mergeCell ref="A3200:A3201"/>
    <mergeCell ref="B3200:G3201"/>
    <mergeCell ref="H3205:H3206"/>
    <mergeCell ref="I3205:I3206"/>
    <mergeCell ref="J3207:J3208"/>
    <mergeCell ref="H3200:H3201"/>
    <mergeCell ref="I2259:I2260"/>
    <mergeCell ref="L2259:L2260"/>
    <mergeCell ref="J2259:J2260"/>
    <mergeCell ref="K2259:K2260"/>
    <mergeCell ref="G2090:H2090"/>
    <mergeCell ref="L2178:L2179"/>
    <mergeCell ref="M2178:P2179"/>
    <mergeCell ref="K2178:K2179"/>
    <mergeCell ref="J2178:J2179"/>
    <mergeCell ref="G2203:I2203"/>
    <mergeCell ref="L2208:L2209"/>
    <mergeCell ref="B1931:G1931"/>
    <mergeCell ref="B1929:G1929"/>
    <mergeCell ref="J1894:L1894"/>
    <mergeCell ref="F1940:I1940"/>
    <mergeCell ref="F1941:I1941"/>
    <mergeCell ref="K1942:P1942"/>
    <mergeCell ref="F1889:I1889"/>
    <mergeCell ref="F1890:I1890"/>
    <mergeCell ref="K1891:P1891"/>
    <mergeCell ref="K1874:K1875"/>
    <mergeCell ref="B1872:G1873"/>
    <mergeCell ref="O1691:P1691"/>
    <mergeCell ref="O1742:P1742"/>
    <mergeCell ref="O1793:P1793"/>
    <mergeCell ref="I1874:I1875"/>
    <mergeCell ref="J2238:J2239"/>
    <mergeCell ref="B2239:G2239"/>
    <mergeCell ref="G2243:H2243"/>
    <mergeCell ref="I2090:J2090"/>
    <mergeCell ref="F2088:K2088"/>
    <mergeCell ref="H2083:H2084"/>
    <mergeCell ref="I2748:I2749"/>
    <mergeCell ref="J2748:J2749"/>
    <mergeCell ref="M3306:P3306"/>
    <mergeCell ref="F3165:I3165"/>
    <mergeCell ref="K3166:P3166"/>
    <mergeCell ref="F3215:I3215"/>
    <mergeCell ref="F3216:I3216"/>
    <mergeCell ref="K3217:P3217"/>
    <mergeCell ref="G3212:H3212"/>
    <mergeCell ref="I3212:J3212"/>
    <mergeCell ref="B3206:G3206"/>
    <mergeCell ref="I3200:I3201"/>
    <mergeCell ref="K2180:K2181"/>
    <mergeCell ref="L2180:L2181"/>
    <mergeCell ref="M2180:P2181"/>
    <mergeCell ref="J3286:J3287"/>
    <mergeCell ref="K3286:K3287"/>
    <mergeCell ref="F2751:K2751"/>
    <mergeCell ref="G2752:H2752"/>
    <mergeCell ref="D2251:G2251"/>
    <mergeCell ref="J1867:J1868"/>
    <mergeCell ref="M2746:P2747"/>
    <mergeCell ref="M2732:P2733"/>
    <mergeCell ref="M2725:P2726"/>
    <mergeCell ref="M2578:P2578"/>
    <mergeCell ref="M2710:N2710"/>
    <mergeCell ref="M2720:P2721"/>
    <mergeCell ref="H2268:H2269"/>
    <mergeCell ref="I2268:I2269"/>
    <mergeCell ref="O2915:P2915"/>
    <mergeCell ref="O2966:P2966"/>
    <mergeCell ref="O3017:P3017"/>
    <mergeCell ref="O3068:P3068"/>
    <mergeCell ref="O3119:P3119"/>
    <mergeCell ref="O3170:P3170"/>
    <mergeCell ref="D2965:G2965"/>
    <mergeCell ref="D3016:G3016"/>
    <mergeCell ref="G3058:H3058"/>
    <mergeCell ref="H2987:H2988"/>
    <mergeCell ref="J3070:O3070"/>
    <mergeCell ref="G3070:I3070"/>
    <mergeCell ref="G610:H610"/>
    <mergeCell ref="I610:J610"/>
    <mergeCell ref="M1929:P1929"/>
    <mergeCell ref="I151:J151"/>
    <mergeCell ref="G151:H151"/>
    <mergeCell ref="M566:P566"/>
    <mergeCell ref="L655:L656"/>
    <mergeCell ref="J655:J656"/>
    <mergeCell ref="M648:P649"/>
    <mergeCell ref="A1930:A1931"/>
    <mergeCell ref="B1930:G1930"/>
    <mergeCell ref="H1930:H1931"/>
    <mergeCell ref="I1930:I1931"/>
    <mergeCell ref="B1933:G1933"/>
    <mergeCell ref="M1930:P1931"/>
    <mergeCell ref="L1932:L1933"/>
    <mergeCell ref="M1932:P1933"/>
    <mergeCell ref="K1881:K1882"/>
    <mergeCell ref="I1881:I1882"/>
    <mergeCell ref="J1879:J1880"/>
    <mergeCell ref="K1872:K1873"/>
    <mergeCell ref="K1879:K1880"/>
    <mergeCell ref="M1881:P1882"/>
    <mergeCell ref="I1872:I1873"/>
    <mergeCell ref="J1881:J1882"/>
    <mergeCell ref="G1936:H1936"/>
    <mergeCell ref="I1936:J1936"/>
    <mergeCell ref="B1932:G1932"/>
    <mergeCell ref="H1932:H1933"/>
    <mergeCell ref="I1932:I1933"/>
    <mergeCell ref="B1901:G1901"/>
    <mergeCell ref="K1853:K1854"/>
    <mergeCell ref="L1858:L1859"/>
    <mergeCell ref="I1853:I1854"/>
    <mergeCell ref="I1858:I1859"/>
    <mergeCell ref="B1857:G1857"/>
    <mergeCell ref="J1858:J1859"/>
    <mergeCell ref="B749:G749"/>
    <mergeCell ref="M555:P556"/>
    <mergeCell ref="J548:J549"/>
    <mergeCell ref="G152:H152"/>
    <mergeCell ref="F1119:K1119"/>
    <mergeCell ref="G1120:H1120"/>
    <mergeCell ref="I1120:J1120"/>
    <mergeCell ref="B1116:G1116"/>
    <mergeCell ref="H1116:H1117"/>
    <mergeCell ref="I1116:I1117"/>
    <mergeCell ref="J1116:J1117"/>
    <mergeCell ref="G1132:I1132"/>
    <mergeCell ref="G1133:I1133"/>
    <mergeCell ref="G1121:H1121"/>
    <mergeCell ref="I1121:J1121"/>
    <mergeCell ref="A1134:P1134"/>
    <mergeCell ref="A1132:F1132"/>
    <mergeCell ref="J1132:O1132"/>
    <mergeCell ref="K1381:P1381"/>
    <mergeCell ref="K1343:K1344"/>
    <mergeCell ref="J1343:J1344"/>
    <mergeCell ref="J1341:J1342"/>
    <mergeCell ref="K1341:K1342"/>
    <mergeCell ref="F1226:I1226"/>
    <mergeCell ref="F1227:I1227"/>
    <mergeCell ref="K1228:P1228"/>
    <mergeCell ref="F1277:I1277"/>
    <mergeCell ref="A3258:A3259"/>
    <mergeCell ref="K3258:K3259"/>
    <mergeCell ref="B3257:G3257"/>
    <mergeCell ref="A3123:P3123"/>
    <mergeCell ref="F3210:K3210"/>
    <mergeCell ref="A3205:A3206"/>
    <mergeCell ref="M2810:P2810"/>
    <mergeCell ref="A2715:P2715"/>
    <mergeCell ref="I2929:I2930"/>
    <mergeCell ref="J2929:J2930"/>
    <mergeCell ref="K2929:K2930"/>
    <mergeCell ref="A3251:A3252"/>
    <mergeCell ref="B3251:G3252"/>
    <mergeCell ref="M3248:P3248"/>
    <mergeCell ref="J3237:J3238"/>
    <mergeCell ref="A3235:A3236"/>
    <mergeCell ref="B3235:G3236"/>
    <mergeCell ref="J3235:J3236"/>
    <mergeCell ref="A3237:A3238"/>
    <mergeCell ref="B3237:G3238"/>
    <mergeCell ref="H3237:H3238"/>
    <mergeCell ref="I3237:I3238"/>
    <mergeCell ref="B3234:G3234"/>
    <mergeCell ref="M3234:P3234"/>
    <mergeCell ref="L3235:L3236"/>
    <mergeCell ref="K3235:K3236"/>
    <mergeCell ref="H3235:H3236"/>
    <mergeCell ref="I3235:I3236"/>
    <mergeCell ref="K3237:K3238"/>
    <mergeCell ref="M3235:P3236"/>
    <mergeCell ref="M3244:P3245"/>
    <mergeCell ref="K3244:K3245"/>
    <mergeCell ref="L3244:L3245"/>
    <mergeCell ref="B3241:G3241"/>
    <mergeCell ref="M3241:P3241"/>
    <mergeCell ref="J3242:J3243"/>
    <mergeCell ref="B2949:G2949"/>
    <mergeCell ref="L3242:L3243"/>
    <mergeCell ref="M3242:P3243"/>
    <mergeCell ref="A3249:A3250"/>
    <mergeCell ref="B3249:G3250"/>
    <mergeCell ref="H3249:H3250"/>
    <mergeCell ref="J3244:J3245"/>
    <mergeCell ref="I3244:I3245"/>
    <mergeCell ref="A3244:A3245"/>
    <mergeCell ref="B3244:G3245"/>
    <mergeCell ref="A3242:A3243"/>
    <mergeCell ref="B3242:G3243"/>
    <mergeCell ref="H3242:H3243"/>
    <mergeCell ref="I3242:I3243"/>
    <mergeCell ref="B3248:G3248"/>
    <mergeCell ref="H3244:H3245"/>
    <mergeCell ref="B3227:G3227"/>
    <mergeCell ref="M3227:P3227"/>
    <mergeCell ref="A3225:P3225"/>
    <mergeCell ref="G3223:I3223"/>
    <mergeCell ref="J3220:L3220"/>
    <mergeCell ref="M3220:N3220"/>
    <mergeCell ref="G3224:I3224"/>
    <mergeCell ref="I2727:I2728"/>
    <mergeCell ref="L2929:L2930"/>
    <mergeCell ref="M2929:P2930"/>
    <mergeCell ref="I2871:I2872"/>
    <mergeCell ref="J2866:O2866"/>
    <mergeCell ref="F2:I2"/>
    <mergeCell ref="F3:I3"/>
    <mergeCell ref="F53:I53"/>
    <mergeCell ref="F54:I54"/>
    <mergeCell ref="K55:P55"/>
    <mergeCell ref="A12:P12"/>
    <mergeCell ref="H36:H37"/>
    <mergeCell ref="M14:P14"/>
    <mergeCell ref="A38:A39"/>
    <mergeCell ref="A597:A598"/>
    <mergeCell ref="A592:A593"/>
    <mergeCell ref="B592:G593"/>
    <mergeCell ref="H592:H593"/>
    <mergeCell ref="I592:I593"/>
    <mergeCell ref="K4:P4"/>
    <mergeCell ref="K565:P565"/>
    <mergeCell ref="D262:G262"/>
    <mergeCell ref="F257:I257"/>
    <mergeCell ref="F258:I258"/>
    <mergeCell ref="M603:P603"/>
    <mergeCell ref="L604:L605"/>
    <mergeCell ref="M599:P600"/>
    <mergeCell ref="I604:I605"/>
    <mergeCell ref="J604:J605"/>
    <mergeCell ref="K599:K600"/>
    <mergeCell ref="M604:P605"/>
    <mergeCell ref="J599:J600"/>
    <mergeCell ref="K604:K605"/>
    <mergeCell ref="B604:G604"/>
    <mergeCell ref="B607:G607"/>
    <mergeCell ref="I606:I607"/>
    <mergeCell ref="J606:J607"/>
    <mergeCell ref="A606:A607"/>
    <mergeCell ref="B605:G605"/>
    <mergeCell ref="H604:H605"/>
    <mergeCell ref="H606:H607"/>
    <mergeCell ref="B603:G603"/>
    <mergeCell ref="A604:A605"/>
    <mergeCell ref="B606:G606"/>
    <mergeCell ref="I400:I401"/>
    <mergeCell ref="L233:L234"/>
    <mergeCell ref="M249:P250"/>
    <mergeCell ref="L247:L248"/>
    <mergeCell ref="L242:L243"/>
    <mergeCell ref="M239:P239"/>
    <mergeCell ref="M247:P248"/>
    <mergeCell ref="M311:P311"/>
    <mergeCell ref="F410:I410"/>
    <mergeCell ref="F411:I411"/>
    <mergeCell ref="K412:P412"/>
    <mergeCell ref="G406:H406"/>
    <mergeCell ref="I406:J406"/>
    <mergeCell ref="I402:I403"/>
    <mergeCell ref="F405:K405"/>
    <mergeCell ref="K514:P514"/>
    <mergeCell ref="F563:I563"/>
    <mergeCell ref="F564:I564"/>
    <mergeCell ref="M515:P515"/>
    <mergeCell ref="I560:J560"/>
    <mergeCell ref="M7:N7"/>
    <mergeCell ref="M109:N109"/>
    <mergeCell ref="M160:N160"/>
    <mergeCell ref="M364:N364"/>
    <mergeCell ref="M29:P30"/>
    <mergeCell ref="A2203:F2203"/>
    <mergeCell ref="J2203:O2203"/>
    <mergeCell ref="G2204:I2204"/>
    <mergeCell ref="M2228:P2228"/>
    <mergeCell ref="M2229:P2230"/>
    <mergeCell ref="A2231:A2232"/>
    <mergeCell ref="B2231:G2232"/>
    <mergeCell ref="H2231:H2232"/>
    <mergeCell ref="I2231:I2232"/>
    <mergeCell ref="A2229:A2230"/>
    <mergeCell ref="B2207:G2207"/>
    <mergeCell ref="M2207:P2207"/>
    <mergeCell ref="A2205:P2205"/>
    <mergeCell ref="A1858:A1859"/>
    <mergeCell ref="B1858:G1859"/>
    <mergeCell ref="H1858:H1859"/>
    <mergeCell ref="M1851:P1852"/>
    <mergeCell ref="M1858:P1859"/>
    <mergeCell ref="L1853:L1854"/>
    <mergeCell ref="M1864:P1864"/>
    <mergeCell ref="J1865:J1866"/>
    <mergeCell ref="K1865:K1866"/>
    <mergeCell ref="M1860:P1861"/>
    <mergeCell ref="M1865:P1866"/>
    <mergeCell ref="K1858:K1859"/>
    <mergeCell ref="B1864:G1864"/>
    <mergeCell ref="B1867:G1868"/>
    <mergeCell ref="H1867:H1868"/>
    <mergeCell ref="J1860:J1861"/>
    <mergeCell ref="K1860:K1861"/>
    <mergeCell ref="L1860:L1861"/>
    <mergeCell ref="L1865:L1866"/>
    <mergeCell ref="H1865:H1866"/>
    <mergeCell ref="I1865:I1866"/>
    <mergeCell ref="K1867:K1868"/>
    <mergeCell ref="A1860:A1861"/>
    <mergeCell ref="B1860:G1861"/>
    <mergeCell ref="H1860:H1861"/>
    <mergeCell ref="I1860:I1861"/>
    <mergeCell ref="A1865:A1866"/>
    <mergeCell ref="B1865:G1866"/>
    <mergeCell ref="K2095:P2095"/>
    <mergeCell ref="M1872:P1873"/>
    <mergeCell ref="M1892:P1892"/>
    <mergeCell ref="M1894:N1894"/>
    <mergeCell ref="M1878:P1878"/>
    <mergeCell ref="L1874:L1875"/>
    <mergeCell ref="P1896:Q1896"/>
    <mergeCell ref="H1874:H1875"/>
    <mergeCell ref="J1874:J1875"/>
    <mergeCell ref="A1867:A1868"/>
    <mergeCell ref="M1879:P1880"/>
    <mergeCell ref="L1881:L1882"/>
    <mergeCell ref="M1871:P1871"/>
    <mergeCell ref="L1879:L1880"/>
    <mergeCell ref="I1867:I1868"/>
    <mergeCell ref="J1872:J1873"/>
    <mergeCell ref="L1872:L1873"/>
    <mergeCell ref="A2210:A2211"/>
    <mergeCell ref="K2210:K2211"/>
    <mergeCell ref="L2210:L2211"/>
    <mergeCell ref="B2208:G2209"/>
    <mergeCell ref="H2208:H2209"/>
    <mergeCell ref="M2210:P2211"/>
    <mergeCell ref="B1813:G1813"/>
    <mergeCell ref="M1813:P1813"/>
    <mergeCell ref="J1814:J1815"/>
    <mergeCell ref="J1821:J1822"/>
    <mergeCell ref="B1820:G1820"/>
    <mergeCell ref="H1814:H1815"/>
    <mergeCell ref="I1814:I1815"/>
    <mergeCell ref="M1816:P1817"/>
    <mergeCell ref="K1816:K1817"/>
    <mergeCell ref="J738:J739"/>
    <mergeCell ref="K1075:P1075"/>
    <mergeCell ref="F1124:I1124"/>
    <mergeCell ref="F1125:I1125"/>
    <mergeCell ref="K1126:P1126"/>
    <mergeCell ref="F1175:I1175"/>
    <mergeCell ref="J1129:L1129"/>
    <mergeCell ref="M1127:P1127"/>
    <mergeCell ref="M1129:N1129"/>
    <mergeCell ref="H1167:H1168"/>
    <mergeCell ref="B1115:G1115"/>
    <mergeCell ref="B1114:G1114"/>
    <mergeCell ref="K973:P973"/>
    <mergeCell ref="F1022:I1022"/>
    <mergeCell ref="B1062:G1062"/>
    <mergeCell ref="A1167:A1168"/>
    <mergeCell ref="J1792:L1792"/>
    <mergeCell ref="M1790:P1790"/>
    <mergeCell ref="P1794:Q1794"/>
    <mergeCell ref="D1792:G1792"/>
    <mergeCell ref="F1787:I1787"/>
    <mergeCell ref="F1788:I1788"/>
    <mergeCell ref="K1789:P1789"/>
    <mergeCell ref="F1782:K1782"/>
    <mergeCell ref="M1777:P1778"/>
    <mergeCell ref="H1772:H1773"/>
    <mergeCell ref="B1778:G1778"/>
    <mergeCell ref="J1777:J1778"/>
    <mergeCell ref="K1777:K1778"/>
    <mergeCell ref="I1772:I1773"/>
    <mergeCell ref="B1776:G1776"/>
    <mergeCell ref="K1772:K1773"/>
    <mergeCell ref="K1779:K1780"/>
    <mergeCell ref="A1777:A1778"/>
    <mergeCell ref="B1777:G1777"/>
    <mergeCell ref="H1777:H1778"/>
    <mergeCell ref="I1777:I1778"/>
    <mergeCell ref="B1779:G1779"/>
    <mergeCell ref="H1779:H1780"/>
    <mergeCell ref="I1779:I1780"/>
    <mergeCell ref="L1800:L1801"/>
    <mergeCell ref="A1795:F1795"/>
    <mergeCell ref="J1795:O1795"/>
    <mergeCell ref="M1792:N1792"/>
    <mergeCell ref="B1780:G1780"/>
    <mergeCell ref="B738:G739"/>
    <mergeCell ref="H738:H739"/>
    <mergeCell ref="G1784:H1784"/>
    <mergeCell ref="I1784:J1784"/>
    <mergeCell ref="A1779:A1780"/>
    <mergeCell ref="L1779:L1780"/>
    <mergeCell ref="J1779:J1780"/>
    <mergeCell ref="M1799:P1799"/>
    <mergeCell ref="F1278:I1278"/>
    <mergeCell ref="G1478:H1478"/>
    <mergeCell ref="F104:I104"/>
    <mergeCell ref="M65:P65"/>
    <mergeCell ref="K361:P361"/>
    <mergeCell ref="M362:P362"/>
    <mergeCell ref="F105:I105"/>
    <mergeCell ref="R3351:R3352"/>
    <mergeCell ref="Z3351:Z3352"/>
    <mergeCell ref="AA3349:AA3350"/>
    <mergeCell ref="AD3362:AF3362"/>
    <mergeCell ref="AA3351:AA3352"/>
    <mergeCell ref="AB3351:AB3352"/>
    <mergeCell ref="AD3351:AF3352"/>
    <mergeCell ref="R3359:W3359"/>
    <mergeCell ref="X3359:Y3359"/>
    <mergeCell ref="AD3349:AF3350"/>
    <mergeCell ref="AB3349:AB3350"/>
    <mergeCell ref="AC3351:AC3352"/>
    <mergeCell ref="AB3365:AB3366"/>
    <mergeCell ref="Z3359:AE3359"/>
    <mergeCell ref="AD3363:AF3364"/>
    <mergeCell ref="AD3365:AF3366"/>
    <mergeCell ref="AB3363:AB3364"/>
    <mergeCell ref="AD3108:AF3109"/>
    <mergeCell ref="R3104:W3104"/>
    <mergeCell ref="X3104:Y3104"/>
    <mergeCell ref="Z3104:AE3104"/>
    <mergeCell ref="S3107:X3107"/>
    <mergeCell ref="R3108:R3109"/>
    <mergeCell ref="S3108:X3109"/>
    <mergeCell ref="AD3107:AF3107"/>
    <mergeCell ref="AC3108:AC3109"/>
    <mergeCell ref="S3158:X3158"/>
    <mergeCell ref="AC3110:AC3111"/>
    <mergeCell ref="Y3131:Y3132"/>
    <mergeCell ref="Z3131:Z3132"/>
    <mergeCell ref="AB3110:AB3111"/>
    <mergeCell ref="S3130:X3130"/>
    <mergeCell ref="AC3131:AC3132"/>
    <mergeCell ref="Z3127:AE3127"/>
    <mergeCell ref="S3131:X3132"/>
    <mergeCell ref="AD3110:AF3111"/>
    <mergeCell ref="S3351:X3352"/>
    <mergeCell ref="Y3351:Y3352"/>
    <mergeCell ref="AA3314:AA3315"/>
    <mergeCell ref="AB3314:AB3315"/>
    <mergeCell ref="AC3314:AC3315"/>
    <mergeCell ref="AB3198:AB3199"/>
    <mergeCell ref="AC3198:AC3199"/>
    <mergeCell ref="AA3365:AA3366"/>
    <mergeCell ref="AC3363:AC3364"/>
    <mergeCell ref="R3363:R3364"/>
    <mergeCell ref="S3363:X3364"/>
    <mergeCell ref="Y3363:Y3364"/>
    <mergeCell ref="Z3363:Z3364"/>
    <mergeCell ref="R3365:R3366"/>
    <mergeCell ref="S3365:X3366"/>
    <mergeCell ref="Y3365:Y3366"/>
    <mergeCell ref="M2273:P2274"/>
    <mergeCell ref="Z3365:Z3366"/>
    <mergeCell ref="AA3363:AA3364"/>
    <mergeCell ref="AC3365:AC3366"/>
    <mergeCell ref="M219:P220"/>
    <mergeCell ref="M235:P236"/>
    <mergeCell ref="A624:P624"/>
    <mergeCell ref="J546:J547"/>
    <mergeCell ref="K546:K547"/>
    <mergeCell ref="M466:N466"/>
    <mergeCell ref="M517:N517"/>
    <mergeCell ref="Z3314:Z3315"/>
    <mergeCell ref="R3312:R3313"/>
    <mergeCell ref="S3312:X3313"/>
    <mergeCell ref="Y3312:Y3313"/>
    <mergeCell ref="Z3312:Z3313"/>
    <mergeCell ref="AA3312:AA3313"/>
    <mergeCell ref="AA3335:AA3336"/>
    <mergeCell ref="AD3314:AF3315"/>
    <mergeCell ref="R3345:W3345"/>
    <mergeCell ref="X3345:Y3345"/>
    <mergeCell ref="Z3345:AE3345"/>
    <mergeCell ref="R3337:R3338"/>
    <mergeCell ref="S3337:X3338"/>
    <mergeCell ref="R3314:R3315"/>
    <mergeCell ref="S3314:X3315"/>
    <mergeCell ref="Y3314:Y3315"/>
    <mergeCell ref="Z3335:Z3336"/>
    <mergeCell ref="AD3337:AF3338"/>
    <mergeCell ref="Z3331:AE3331"/>
    <mergeCell ref="S3334:X3334"/>
    <mergeCell ref="AD3334:AF3334"/>
    <mergeCell ref="AA3337:AA3338"/>
    <mergeCell ref="AB3337:AB3338"/>
    <mergeCell ref="AC3337:AC3338"/>
    <mergeCell ref="Y3337:Y3338"/>
    <mergeCell ref="Z3337:Z3338"/>
    <mergeCell ref="AC3286:AC3287"/>
    <mergeCell ref="S3362:X3362"/>
    <mergeCell ref="AB3335:AB3336"/>
    <mergeCell ref="AC3349:AC3350"/>
    <mergeCell ref="R3349:R3350"/>
    <mergeCell ref="S3349:X3350"/>
    <mergeCell ref="Y3349:Y3350"/>
    <mergeCell ref="Z3349:Z3350"/>
    <mergeCell ref="AC3335:AC3336"/>
    <mergeCell ref="Y3335:Y3336"/>
    <mergeCell ref="AD3283:AF3283"/>
    <mergeCell ref="R3294:W3294"/>
    <mergeCell ref="X3294:Y3294"/>
    <mergeCell ref="Z3294:AE3294"/>
    <mergeCell ref="AD3286:AF3287"/>
    <mergeCell ref="AA3286:AA3287"/>
    <mergeCell ref="AB3286:AB3287"/>
    <mergeCell ref="Z3286:Z3287"/>
    <mergeCell ref="AD3284:AF3285"/>
    <mergeCell ref="AC3284:AC3285"/>
    <mergeCell ref="S3298:X3299"/>
    <mergeCell ref="Y3298:Y3299"/>
    <mergeCell ref="S3335:X3336"/>
    <mergeCell ref="R3331:W3331"/>
    <mergeCell ref="X3331:Y3331"/>
    <mergeCell ref="R3335:R3336"/>
    <mergeCell ref="S3311:X3311"/>
    <mergeCell ref="AD3311:AF3311"/>
    <mergeCell ref="Y3300:Y3301"/>
    <mergeCell ref="Z3300:Z3301"/>
    <mergeCell ref="AA3300:AA3301"/>
    <mergeCell ref="S3300:X3301"/>
    <mergeCell ref="AD3298:AF3299"/>
    <mergeCell ref="M721:N721"/>
    <mergeCell ref="AC3298:AC3299"/>
    <mergeCell ref="R3308:W3308"/>
    <mergeCell ref="X3308:Y3308"/>
    <mergeCell ref="Z3308:AE3308"/>
    <mergeCell ref="Z3298:Z3299"/>
    <mergeCell ref="AA3298:AA3299"/>
    <mergeCell ref="AB3298:AB3299"/>
    <mergeCell ref="R3300:R3301"/>
    <mergeCell ref="R3298:R3299"/>
    <mergeCell ref="AB3300:AB3301"/>
    <mergeCell ref="AC3300:AC3301"/>
    <mergeCell ref="AD3300:AF3301"/>
    <mergeCell ref="AB3312:AB3313"/>
    <mergeCell ref="AC3312:AC3313"/>
    <mergeCell ref="AD3335:AF3336"/>
    <mergeCell ref="AD3312:AF3313"/>
    <mergeCell ref="AB3284:AB3285"/>
    <mergeCell ref="R3284:R3285"/>
    <mergeCell ref="S3284:X3285"/>
    <mergeCell ref="Y3284:Y3285"/>
    <mergeCell ref="Z3284:Z3285"/>
    <mergeCell ref="AA3284:AA3285"/>
    <mergeCell ref="S3260:X3260"/>
    <mergeCell ref="AD3260:AF3260"/>
    <mergeCell ref="S3249:X3250"/>
    <mergeCell ref="Y3249:Y3250"/>
    <mergeCell ref="Z3249:Z3250"/>
    <mergeCell ref="AA3249:AA3250"/>
    <mergeCell ref="AB3249:AB3250"/>
    <mergeCell ref="AC3249:AC3250"/>
    <mergeCell ref="AD3249:AF3250"/>
    <mergeCell ref="R3249:R3250"/>
    <mergeCell ref="R3257:W3257"/>
    <mergeCell ref="X3257:Y3257"/>
    <mergeCell ref="Z3257:AE3257"/>
    <mergeCell ref="X3280:Y3280"/>
    <mergeCell ref="AB3261:AB3262"/>
    <mergeCell ref="AC3261:AC3262"/>
    <mergeCell ref="Z3280:AE3280"/>
    <mergeCell ref="AD3261:AF3262"/>
    <mergeCell ref="AA3263:AA3264"/>
    <mergeCell ref="AB3263:AB3264"/>
    <mergeCell ref="AC3263:AC3264"/>
    <mergeCell ref="AD3263:AF3264"/>
    <mergeCell ref="AA3261:AA3262"/>
    <mergeCell ref="R3261:R3262"/>
    <mergeCell ref="S3261:X3262"/>
    <mergeCell ref="Y3261:Y3262"/>
    <mergeCell ref="Z3261:Z3262"/>
    <mergeCell ref="R3263:R3264"/>
    <mergeCell ref="S3263:X3264"/>
    <mergeCell ref="Y3263:Y3264"/>
    <mergeCell ref="Z3263:Z3264"/>
    <mergeCell ref="R3286:R3287"/>
    <mergeCell ref="S3286:X3287"/>
    <mergeCell ref="Y3286:Y3287"/>
    <mergeCell ref="S3283:X3283"/>
    <mergeCell ref="R3280:W3280"/>
    <mergeCell ref="AA3210:AA3211"/>
    <mergeCell ref="AB3210:AB3211"/>
    <mergeCell ref="R3206:W3206"/>
    <mergeCell ref="X3206:Y3206"/>
    <mergeCell ref="Z3206:AE3206"/>
    <mergeCell ref="S3209:X3209"/>
    <mergeCell ref="AD3209:AF3209"/>
    <mergeCell ref="R3210:R3211"/>
    <mergeCell ref="S3210:X3211"/>
    <mergeCell ref="Y3210:Y3211"/>
    <mergeCell ref="Z3210:Z3211"/>
    <mergeCell ref="AC3210:AC3211"/>
    <mergeCell ref="AD3210:AF3211"/>
    <mergeCell ref="R3212:R3213"/>
    <mergeCell ref="S3212:X3213"/>
    <mergeCell ref="Y3212:Y3213"/>
    <mergeCell ref="Z3212:Z3213"/>
    <mergeCell ref="AC3212:AC3213"/>
    <mergeCell ref="AD3212:AF3213"/>
    <mergeCell ref="AA3212:AA3213"/>
    <mergeCell ref="AB3212:AB3213"/>
    <mergeCell ref="Z3229:AE3229"/>
    <mergeCell ref="R3243:W3243"/>
    <mergeCell ref="X3243:Y3243"/>
    <mergeCell ref="Z3243:AE3243"/>
    <mergeCell ref="Y3235:Y3236"/>
    <mergeCell ref="Z3235:Z3236"/>
    <mergeCell ref="AA3235:AA3236"/>
    <mergeCell ref="AB3235:AB3236"/>
    <mergeCell ref="AC3235:AC3236"/>
    <mergeCell ref="AD3247:AF3248"/>
    <mergeCell ref="R3247:R3248"/>
    <mergeCell ref="S3247:X3248"/>
    <mergeCell ref="Y3247:Y3248"/>
    <mergeCell ref="Z3247:Z3248"/>
    <mergeCell ref="AB3247:AB3248"/>
    <mergeCell ref="AA3247:AA3248"/>
    <mergeCell ref="AC3247:AC3248"/>
    <mergeCell ref="Y3233:Y3234"/>
    <mergeCell ref="Z3233:Z3234"/>
    <mergeCell ref="R3235:R3236"/>
    <mergeCell ref="S3235:X3236"/>
    <mergeCell ref="R3233:R3234"/>
    <mergeCell ref="S3233:X3234"/>
    <mergeCell ref="R3229:W3229"/>
    <mergeCell ref="X3229:Y3229"/>
    <mergeCell ref="AD3235:AF3236"/>
    <mergeCell ref="AC3233:AC3234"/>
    <mergeCell ref="AD3233:AF3234"/>
    <mergeCell ref="AA3233:AA3234"/>
    <mergeCell ref="AB3233:AB3234"/>
    <mergeCell ref="S3232:X3232"/>
    <mergeCell ref="AD3232:AF3232"/>
    <mergeCell ref="AD3184:AF3185"/>
    <mergeCell ref="AA3184:AA3185"/>
    <mergeCell ref="AB3184:AB3185"/>
    <mergeCell ref="Z3178:AE3178"/>
    <mergeCell ref="AD3181:AF3181"/>
    <mergeCell ref="AC3184:AC3185"/>
    <mergeCell ref="AD3161:AF3162"/>
    <mergeCell ref="AC3159:AC3160"/>
    <mergeCell ref="AD3159:AF3160"/>
    <mergeCell ref="R3159:R3160"/>
    <mergeCell ref="S3159:X3160"/>
    <mergeCell ref="Y3159:Y3160"/>
    <mergeCell ref="Z3159:Z3160"/>
    <mergeCell ref="R3161:R3162"/>
    <mergeCell ref="S3161:X3162"/>
    <mergeCell ref="Z3161:Z3162"/>
    <mergeCell ref="X3178:Y3178"/>
    <mergeCell ref="X3192:Y3192"/>
    <mergeCell ref="R3184:R3185"/>
    <mergeCell ref="S3184:X3185"/>
    <mergeCell ref="Y3184:Y3185"/>
    <mergeCell ref="AC3161:AC3162"/>
    <mergeCell ref="Z3192:AE3192"/>
    <mergeCell ref="R3196:R3197"/>
    <mergeCell ref="S3196:X3197"/>
    <mergeCell ref="Y3196:Y3197"/>
    <mergeCell ref="AD3196:AF3197"/>
    <mergeCell ref="AC3196:AC3197"/>
    <mergeCell ref="Z3196:Z3197"/>
    <mergeCell ref="AA3196:AA3197"/>
    <mergeCell ref="AB3196:AB3197"/>
    <mergeCell ref="R3192:W3192"/>
    <mergeCell ref="AD3198:AF3199"/>
    <mergeCell ref="R3198:R3199"/>
    <mergeCell ref="S3198:X3199"/>
    <mergeCell ref="Y3198:Y3199"/>
    <mergeCell ref="Z3198:Z3199"/>
    <mergeCell ref="AA3198:AA3199"/>
    <mergeCell ref="AD3182:AF3183"/>
    <mergeCell ref="AC3182:AC3183"/>
    <mergeCell ref="AA3182:AA3183"/>
    <mergeCell ref="AB3182:AB3183"/>
    <mergeCell ref="R3182:R3183"/>
    <mergeCell ref="S3182:X3183"/>
    <mergeCell ref="Y3182:Y3183"/>
    <mergeCell ref="Z3182:Z3183"/>
    <mergeCell ref="S3181:X3181"/>
    <mergeCell ref="Z3184:Z3185"/>
    <mergeCell ref="AD3145:AF3146"/>
    <mergeCell ref="S3145:X3146"/>
    <mergeCell ref="Y3145:Y3146"/>
    <mergeCell ref="AD3133:AF3134"/>
    <mergeCell ref="AA3133:AA3134"/>
    <mergeCell ref="AB3133:AB3134"/>
    <mergeCell ref="AC3145:AC3146"/>
    <mergeCell ref="R3141:W3141"/>
    <mergeCell ref="X3141:Y3141"/>
    <mergeCell ref="Z3145:Z3146"/>
    <mergeCell ref="R3155:W3155"/>
    <mergeCell ref="X3155:Y3155"/>
    <mergeCell ref="Z3155:AE3155"/>
    <mergeCell ref="Y3161:Y3162"/>
    <mergeCell ref="Z3147:Z3148"/>
    <mergeCell ref="AA3145:AA3146"/>
    <mergeCell ref="AB3145:AB3146"/>
    <mergeCell ref="R3145:R3146"/>
    <mergeCell ref="Y3147:Y3148"/>
    <mergeCell ref="AD3147:AF3148"/>
    <mergeCell ref="R3110:R3111"/>
    <mergeCell ref="S3110:X3111"/>
    <mergeCell ref="Y3110:Y3111"/>
    <mergeCell ref="Z3110:Z3111"/>
    <mergeCell ref="AA3147:AA3148"/>
    <mergeCell ref="AB3147:AB3148"/>
    <mergeCell ref="S3147:X3148"/>
    <mergeCell ref="R3147:R3148"/>
    <mergeCell ref="R3127:W3127"/>
    <mergeCell ref="AD3158:AF3158"/>
    <mergeCell ref="AB3161:AB3162"/>
    <mergeCell ref="AA3159:AA3160"/>
    <mergeCell ref="AA3110:AA3111"/>
    <mergeCell ref="AC3147:AC3148"/>
    <mergeCell ref="AB3159:AB3160"/>
    <mergeCell ref="AA3161:AA3162"/>
    <mergeCell ref="AC3133:AC3134"/>
    <mergeCell ref="R3133:R3134"/>
    <mergeCell ref="AD3096:AF3097"/>
    <mergeCell ref="R3090:W3090"/>
    <mergeCell ref="X3090:Y3090"/>
    <mergeCell ref="AC3096:AC3097"/>
    <mergeCell ref="AB3082:AB3083"/>
    <mergeCell ref="AB3059:AB3060"/>
    <mergeCell ref="AC3059:AC3060"/>
    <mergeCell ref="AD3059:AF3060"/>
    <mergeCell ref="R3059:R3060"/>
    <mergeCell ref="S3059:X3060"/>
    <mergeCell ref="AB3094:AB3095"/>
    <mergeCell ref="R3076:W3076"/>
    <mergeCell ref="X3076:Y3076"/>
    <mergeCell ref="Z3076:AE3076"/>
    <mergeCell ref="Z3094:Z3095"/>
    <mergeCell ref="AA3094:AA3095"/>
    <mergeCell ref="AB3108:AB3109"/>
    <mergeCell ref="AA3096:AA3097"/>
    <mergeCell ref="Y3108:Y3109"/>
    <mergeCell ref="AB3096:AB3097"/>
    <mergeCell ref="Z3090:AE3090"/>
    <mergeCell ref="R3094:R3095"/>
    <mergeCell ref="S3094:X3095"/>
    <mergeCell ref="Y3094:Y3095"/>
    <mergeCell ref="AD3094:AF3095"/>
    <mergeCell ref="AC3094:AC3095"/>
    <mergeCell ref="AC3082:AC3083"/>
    <mergeCell ref="AC3080:AC3081"/>
    <mergeCell ref="S3082:X3083"/>
    <mergeCell ref="AA3080:AA3081"/>
    <mergeCell ref="AB3080:AB3081"/>
    <mergeCell ref="Z3080:Z3081"/>
    <mergeCell ref="Y3082:Y3083"/>
    <mergeCell ref="Y3080:Y3081"/>
    <mergeCell ref="S3080:X3081"/>
    <mergeCell ref="AD3079:AF3079"/>
    <mergeCell ref="AD3082:AF3083"/>
    <mergeCell ref="AD3080:AF3081"/>
    <mergeCell ref="S3079:X3079"/>
    <mergeCell ref="AA3082:AA3083"/>
    <mergeCell ref="Z3082:Z3083"/>
    <mergeCell ref="AA3043:AA3044"/>
    <mergeCell ref="AB3043:AB3044"/>
    <mergeCell ref="AC3043:AC3044"/>
    <mergeCell ref="AD3043:AF3044"/>
    <mergeCell ref="S3031:X3032"/>
    <mergeCell ref="Y3031:Y3032"/>
    <mergeCell ref="Y3045:Y3046"/>
    <mergeCell ref="Z3045:Z3046"/>
    <mergeCell ref="R3053:W3053"/>
    <mergeCell ref="X3053:Y3053"/>
    <mergeCell ref="Z3053:AE3053"/>
    <mergeCell ref="R3045:R3046"/>
    <mergeCell ref="S3045:X3046"/>
    <mergeCell ref="AA3045:AA3046"/>
    <mergeCell ref="AC3045:AC3046"/>
    <mergeCell ref="AD3045:AF3046"/>
    <mergeCell ref="AD3056:AF3056"/>
    <mergeCell ref="AD3057:AF3058"/>
    <mergeCell ref="AC3057:AC3058"/>
    <mergeCell ref="AB3057:AB3058"/>
    <mergeCell ref="AA3057:AA3058"/>
    <mergeCell ref="AB3045:AB3046"/>
    <mergeCell ref="R3043:R3044"/>
    <mergeCell ref="S3043:X3044"/>
    <mergeCell ref="Y3043:Y3044"/>
    <mergeCell ref="Z3043:Z3044"/>
    <mergeCell ref="R3057:R3058"/>
    <mergeCell ref="S3057:X3058"/>
    <mergeCell ref="Y3057:Y3058"/>
    <mergeCell ref="S3056:X3056"/>
    <mergeCell ref="Z3057:Z3058"/>
    <mergeCell ref="Y3059:Y3060"/>
    <mergeCell ref="Z3059:Z3060"/>
    <mergeCell ref="AA3059:AA3060"/>
    <mergeCell ref="R3002:W3002"/>
    <mergeCell ref="X3002:Y3002"/>
    <mergeCell ref="Z3002:AE3002"/>
    <mergeCell ref="R3025:W3025"/>
    <mergeCell ref="R3029:R3030"/>
    <mergeCell ref="R3031:R3032"/>
    <mergeCell ref="AC3029:AC3030"/>
    <mergeCell ref="Z3029:Z3030"/>
    <mergeCell ref="AB3029:AB3030"/>
    <mergeCell ref="S3005:X3005"/>
    <mergeCell ref="AD3005:AF3005"/>
    <mergeCell ref="AC2994:AC2995"/>
    <mergeCell ref="AD2994:AF2995"/>
    <mergeCell ref="AC3008:AC3009"/>
    <mergeCell ref="AC3006:AC3007"/>
    <mergeCell ref="AD3008:AF3009"/>
    <mergeCell ref="S2994:X2995"/>
    <mergeCell ref="Y2994:Y2995"/>
    <mergeCell ref="Z2994:Z2995"/>
    <mergeCell ref="AB3006:AB3007"/>
    <mergeCell ref="Z3008:Z3009"/>
    <mergeCell ref="AA3008:AA3009"/>
    <mergeCell ref="AB3008:AB3009"/>
    <mergeCell ref="Z3006:Z3007"/>
    <mergeCell ref="AA3006:AA3007"/>
    <mergeCell ref="Y3029:Y3030"/>
    <mergeCell ref="S3029:X3030"/>
    <mergeCell ref="X3025:Y3025"/>
    <mergeCell ref="R3039:W3039"/>
    <mergeCell ref="AD3006:AF3007"/>
    <mergeCell ref="R3006:R3007"/>
    <mergeCell ref="Z3031:Z3032"/>
    <mergeCell ref="AA3031:AA3032"/>
    <mergeCell ref="AB3031:AB3032"/>
    <mergeCell ref="AC3031:AC3032"/>
    <mergeCell ref="R3008:R3009"/>
    <mergeCell ref="S3006:X3007"/>
    <mergeCell ref="Y3006:Y3007"/>
    <mergeCell ref="AD3031:AF3032"/>
    <mergeCell ref="S3008:X3009"/>
    <mergeCell ref="Y3008:Y3009"/>
    <mergeCell ref="Z3025:AE3025"/>
    <mergeCell ref="S3028:X3028"/>
    <mergeCell ref="AD3028:AF3028"/>
    <mergeCell ref="AD3029:AF3030"/>
    <mergeCell ref="X3039:Y3039"/>
    <mergeCell ref="Z3039:AE3039"/>
    <mergeCell ref="AA3029:AA3030"/>
    <mergeCell ref="AB2980:AB2981"/>
    <mergeCell ref="AC2980:AC2981"/>
    <mergeCell ref="Z2980:Z2981"/>
    <mergeCell ref="AD2978:AF2979"/>
    <mergeCell ref="AD2929:AF2930"/>
    <mergeCell ref="AD2954:AF2954"/>
    <mergeCell ref="Z2955:Z2956"/>
    <mergeCell ref="AB2955:AB2956"/>
    <mergeCell ref="AD2955:AF2956"/>
    <mergeCell ref="AC2955:AC2956"/>
    <mergeCell ref="Y2955:Y2956"/>
    <mergeCell ref="AA2955:AA2956"/>
    <mergeCell ref="AA2957:AA2958"/>
    <mergeCell ref="S2957:X2958"/>
    <mergeCell ref="R2957:R2958"/>
    <mergeCell ref="Y2957:Y2958"/>
    <mergeCell ref="AC2992:AC2993"/>
    <mergeCell ref="R2974:W2974"/>
    <mergeCell ref="Z2988:AE2988"/>
    <mergeCell ref="AD2980:AF2981"/>
    <mergeCell ref="AA2980:AA2981"/>
    <mergeCell ref="AD2957:AF2958"/>
    <mergeCell ref="Z2974:AE2974"/>
    <mergeCell ref="AD2977:AF2977"/>
    <mergeCell ref="AC2957:AC2958"/>
    <mergeCell ref="R2988:W2988"/>
    <mergeCell ref="Z2992:Z2993"/>
    <mergeCell ref="R2994:R2995"/>
    <mergeCell ref="S2980:X2981"/>
    <mergeCell ref="X2974:Y2974"/>
    <mergeCell ref="S2977:X2977"/>
    <mergeCell ref="Y2980:Y2981"/>
    <mergeCell ref="R2980:R2981"/>
    <mergeCell ref="X2988:Y2988"/>
    <mergeCell ref="R2978:R2979"/>
    <mergeCell ref="AB2929:AB2930"/>
    <mergeCell ref="AD2992:AF2993"/>
    <mergeCell ref="AA2992:AA2993"/>
    <mergeCell ref="AB2992:AB2993"/>
    <mergeCell ref="AA2994:AA2995"/>
    <mergeCell ref="AB2994:AB2995"/>
    <mergeCell ref="R2992:R2993"/>
    <mergeCell ref="S2992:X2993"/>
    <mergeCell ref="Y2992:Y2993"/>
    <mergeCell ref="S2978:X2979"/>
    <mergeCell ref="Y2978:Y2979"/>
    <mergeCell ref="AB2978:AB2979"/>
    <mergeCell ref="Z2978:Z2979"/>
    <mergeCell ref="AA2978:AA2979"/>
    <mergeCell ref="R2937:W2937"/>
    <mergeCell ref="X2937:Y2937"/>
    <mergeCell ref="Z2937:AE2937"/>
    <mergeCell ref="R2955:R2956"/>
    <mergeCell ref="S2955:X2956"/>
    <mergeCell ref="AC2929:AC2930"/>
    <mergeCell ref="Z2957:Z2958"/>
    <mergeCell ref="AB2957:AB2958"/>
    <mergeCell ref="S2954:X2954"/>
    <mergeCell ref="AC2978:AC2979"/>
    <mergeCell ref="AB2927:AB2928"/>
    <mergeCell ref="AC2927:AC2928"/>
    <mergeCell ref="AA2929:AA2930"/>
    <mergeCell ref="AB2904:AB2905"/>
    <mergeCell ref="R2900:W2900"/>
    <mergeCell ref="X2900:Y2900"/>
    <mergeCell ref="Z2900:AE2900"/>
    <mergeCell ref="S2903:X2903"/>
    <mergeCell ref="AD2903:AF2903"/>
    <mergeCell ref="Y2927:Y2928"/>
    <mergeCell ref="Y2929:Y2930"/>
    <mergeCell ref="R2929:R2930"/>
    <mergeCell ref="S2929:X2930"/>
    <mergeCell ref="Z2929:Z2930"/>
    <mergeCell ref="AD2941:AF2942"/>
    <mergeCell ref="R2941:R2942"/>
    <mergeCell ref="S2941:X2942"/>
    <mergeCell ref="Y2941:Y2942"/>
    <mergeCell ref="Z2941:Z2942"/>
    <mergeCell ref="AC2941:AC2942"/>
    <mergeCell ref="AA2941:AA2942"/>
    <mergeCell ref="AB2941:AB2942"/>
    <mergeCell ref="R2943:R2944"/>
    <mergeCell ref="R2951:W2951"/>
    <mergeCell ref="X2951:Y2951"/>
    <mergeCell ref="Z2951:AE2951"/>
    <mergeCell ref="AC2943:AC2944"/>
    <mergeCell ref="AD2943:AF2944"/>
    <mergeCell ref="Z2943:Z2944"/>
    <mergeCell ref="AA2943:AA2944"/>
    <mergeCell ref="AB2943:AB2944"/>
    <mergeCell ref="S2943:X2944"/>
    <mergeCell ref="Y2943:Y2944"/>
    <mergeCell ref="Z2923:AE2923"/>
    <mergeCell ref="AC2906:AC2907"/>
    <mergeCell ref="AD2926:AF2926"/>
    <mergeCell ref="AD2927:AF2928"/>
    <mergeCell ref="AA2906:AA2907"/>
    <mergeCell ref="AD2906:AF2907"/>
    <mergeCell ref="AD2841:AF2842"/>
    <mergeCell ref="R2835:W2835"/>
    <mergeCell ref="X2835:Y2835"/>
    <mergeCell ref="Z2835:AE2835"/>
    <mergeCell ref="AB2841:AB2842"/>
    <mergeCell ref="R2839:R2840"/>
    <mergeCell ref="AD2839:AF2840"/>
    <mergeCell ref="Z2849:AE2849"/>
    <mergeCell ref="R2841:R2842"/>
    <mergeCell ref="S2841:X2842"/>
    <mergeCell ref="AA2839:AA2840"/>
    <mergeCell ref="AB2839:AB2840"/>
    <mergeCell ref="Z2841:Z2842"/>
    <mergeCell ref="AB2890:AB2891"/>
    <mergeCell ref="AC2890:AC2891"/>
    <mergeCell ref="R2892:R2893"/>
    <mergeCell ref="S2892:X2893"/>
    <mergeCell ref="Y2892:Y2893"/>
    <mergeCell ref="Z2892:Z2893"/>
    <mergeCell ref="R2853:R2854"/>
    <mergeCell ref="S2853:X2854"/>
    <mergeCell ref="Y2853:Y2854"/>
    <mergeCell ref="AD2890:AF2891"/>
    <mergeCell ref="AD2892:AF2893"/>
    <mergeCell ref="AA2892:AA2893"/>
    <mergeCell ref="AB2892:AB2893"/>
    <mergeCell ref="AC2892:AC2893"/>
    <mergeCell ref="Z2890:Z2891"/>
    <mergeCell ref="AA2890:AA2891"/>
    <mergeCell ref="AD2853:AF2854"/>
    <mergeCell ref="AB2853:AB2854"/>
    <mergeCell ref="AC2853:AC2854"/>
    <mergeCell ref="S2855:X2856"/>
    <mergeCell ref="Y2855:Y2856"/>
    <mergeCell ref="Z2853:Z2854"/>
    <mergeCell ref="AB2855:AB2856"/>
    <mergeCell ref="AA2853:AA2854"/>
    <mergeCell ref="Z2876:Z2877"/>
    <mergeCell ref="AD2876:AF2877"/>
    <mergeCell ref="AA2876:AA2877"/>
    <mergeCell ref="AC2876:AC2877"/>
    <mergeCell ref="AA2878:AA2879"/>
    <mergeCell ref="AC2855:AC2856"/>
    <mergeCell ref="AD2875:AF2875"/>
    <mergeCell ref="AC2878:AC2879"/>
    <mergeCell ref="AA2855:AA2856"/>
    <mergeCell ref="AD2855:AF2856"/>
    <mergeCell ref="AB2878:AB2879"/>
    <mergeCell ref="AB2876:AB2877"/>
    <mergeCell ref="R2876:R2877"/>
    <mergeCell ref="Z2855:Z2856"/>
    <mergeCell ref="R2872:W2872"/>
    <mergeCell ref="Z2886:AE2886"/>
    <mergeCell ref="R2878:R2879"/>
    <mergeCell ref="AD2878:AF2879"/>
    <mergeCell ref="R2855:R2856"/>
    <mergeCell ref="S2878:X2879"/>
    <mergeCell ref="Y2878:Y2879"/>
    <mergeCell ref="Z2878:Z2879"/>
    <mergeCell ref="X2872:Y2872"/>
    <mergeCell ref="S2875:X2875"/>
    <mergeCell ref="Z2872:AE2872"/>
    <mergeCell ref="S2876:X2877"/>
    <mergeCell ref="Y2876:Y2877"/>
    <mergeCell ref="Y2788:Y2789"/>
    <mergeCell ref="S2852:X2852"/>
    <mergeCell ref="R2849:W2849"/>
    <mergeCell ref="AC2839:AC2840"/>
    <mergeCell ref="AC2827:AC2828"/>
    <mergeCell ref="R2827:R2828"/>
    <mergeCell ref="S2825:X2826"/>
    <mergeCell ref="S2839:X2840"/>
    <mergeCell ref="AC2841:AC2842"/>
    <mergeCell ref="Y2825:Y2826"/>
    <mergeCell ref="Y2827:Y2828"/>
    <mergeCell ref="AB2825:AB2826"/>
    <mergeCell ref="AC2788:AC2789"/>
    <mergeCell ref="AD2788:AF2789"/>
    <mergeCell ref="AA2788:AA2789"/>
    <mergeCell ref="AB2788:AB2789"/>
    <mergeCell ref="AA2790:AA2791"/>
    <mergeCell ref="AB2790:AB2791"/>
    <mergeCell ref="R2790:R2791"/>
    <mergeCell ref="S2790:X2791"/>
    <mergeCell ref="Y2790:Y2791"/>
    <mergeCell ref="Z2790:Z2791"/>
    <mergeCell ref="R2798:W2798"/>
    <mergeCell ref="X2798:Y2798"/>
    <mergeCell ref="Z2798:AE2798"/>
    <mergeCell ref="S2802:X2803"/>
    <mergeCell ref="Y2802:Y2803"/>
    <mergeCell ref="AB2802:AB2803"/>
    <mergeCell ref="X2849:Y2849"/>
    <mergeCell ref="S2827:X2828"/>
    <mergeCell ref="Z2788:Z2789"/>
    <mergeCell ref="Y2841:Y2842"/>
    <mergeCell ref="Y2839:Y2840"/>
    <mergeCell ref="Z2839:Z2840"/>
    <mergeCell ref="AA2841:AA2842"/>
    <mergeCell ref="AD2801:AF2801"/>
    <mergeCell ref="AC2790:AC2791"/>
    <mergeCell ref="AD2790:AF2791"/>
    <mergeCell ref="AC2802:AC2803"/>
    <mergeCell ref="AD2804:AF2805"/>
    <mergeCell ref="AD2802:AF2803"/>
    <mergeCell ref="Z2804:Z2805"/>
    <mergeCell ref="AA2804:AA2805"/>
    <mergeCell ref="AB2804:AB2805"/>
    <mergeCell ref="Z2802:Z2803"/>
    <mergeCell ref="AD2825:AF2826"/>
    <mergeCell ref="AC2804:AC2805"/>
    <mergeCell ref="AC2825:AC2826"/>
    <mergeCell ref="AD2827:AF2828"/>
    <mergeCell ref="AA2802:AA2803"/>
    <mergeCell ref="R2802:R2803"/>
    <mergeCell ref="Z2827:Z2828"/>
    <mergeCell ref="AA2827:AA2828"/>
    <mergeCell ref="AB2827:AB2828"/>
    <mergeCell ref="Z2825:Z2826"/>
    <mergeCell ref="AA2825:AA2826"/>
    <mergeCell ref="R2804:R2805"/>
    <mergeCell ref="S2804:X2805"/>
    <mergeCell ref="Y2804:Y2805"/>
    <mergeCell ref="Z2821:AE2821"/>
    <mergeCell ref="S2824:X2824"/>
    <mergeCell ref="AD2824:AF2824"/>
    <mergeCell ref="X2821:Y2821"/>
    <mergeCell ref="AD2852:AF2852"/>
    <mergeCell ref="R2739:R2740"/>
    <mergeCell ref="R2747:W2747"/>
    <mergeCell ref="X2747:Y2747"/>
    <mergeCell ref="Z2747:AE2747"/>
    <mergeCell ref="AC2739:AC2740"/>
    <mergeCell ref="AD2739:AF2740"/>
    <mergeCell ref="Z2739:Z2740"/>
    <mergeCell ref="AA2739:AA2740"/>
    <mergeCell ref="AB2739:AB2740"/>
    <mergeCell ref="S2739:X2740"/>
    <mergeCell ref="Y2739:Y2740"/>
    <mergeCell ref="Z2753:Z2754"/>
    <mergeCell ref="AB2753:AB2754"/>
    <mergeCell ref="S2750:X2750"/>
    <mergeCell ref="AD2750:AF2750"/>
    <mergeCell ref="Z2751:Z2752"/>
    <mergeCell ref="AB2751:AB2752"/>
    <mergeCell ref="AD2751:AF2752"/>
    <mergeCell ref="AB2776:AB2777"/>
    <mergeCell ref="AC2776:AC2777"/>
    <mergeCell ref="R2751:R2752"/>
    <mergeCell ref="S2751:X2752"/>
    <mergeCell ref="AC2751:AC2752"/>
    <mergeCell ref="Y2751:Y2752"/>
    <mergeCell ref="AA2751:AA2752"/>
    <mergeCell ref="AA2753:AA2754"/>
    <mergeCell ref="S2753:X2754"/>
    <mergeCell ref="Z2776:Z2777"/>
    <mergeCell ref="R2753:R2754"/>
    <mergeCell ref="R2770:W2770"/>
    <mergeCell ref="Z2784:AE2784"/>
    <mergeCell ref="AD2776:AF2777"/>
    <mergeCell ref="AA2776:AA2777"/>
    <mergeCell ref="AD2753:AF2754"/>
    <mergeCell ref="Z2770:AE2770"/>
    <mergeCell ref="AD2773:AF2773"/>
    <mergeCell ref="AC2753:AC2754"/>
    <mergeCell ref="R2784:W2784"/>
    <mergeCell ref="X2784:Y2784"/>
    <mergeCell ref="Y2753:Y2754"/>
    <mergeCell ref="S2776:X2777"/>
    <mergeCell ref="X2770:Y2770"/>
    <mergeCell ref="S2773:X2773"/>
    <mergeCell ref="Y2776:Y2777"/>
    <mergeCell ref="AC2702:AC2703"/>
    <mergeCell ref="AD2702:AF2703"/>
    <mergeCell ref="Z2702:Z2703"/>
    <mergeCell ref="AD2722:AF2722"/>
    <mergeCell ref="R2700:R2701"/>
    <mergeCell ref="S2700:X2701"/>
    <mergeCell ref="AB2700:AB2701"/>
    <mergeCell ref="AC2700:AC2701"/>
    <mergeCell ref="AD2700:AF2701"/>
    <mergeCell ref="R2702:R2703"/>
    <mergeCell ref="S2702:X2703"/>
    <mergeCell ref="Y2702:Y2703"/>
    <mergeCell ref="Y2700:Y2701"/>
    <mergeCell ref="Z2700:Z2701"/>
    <mergeCell ref="AA2700:AA2701"/>
    <mergeCell ref="R2672:R2673"/>
    <mergeCell ref="S2722:X2722"/>
    <mergeCell ref="Z2719:AE2719"/>
    <mergeCell ref="AA2702:AA2703"/>
    <mergeCell ref="X2719:Y2719"/>
    <mergeCell ref="Y2672:Y2673"/>
    <mergeCell ref="R2686:R2687"/>
    <mergeCell ref="S2686:X2687"/>
    <mergeCell ref="Y2686:Y2687"/>
    <mergeCell ref="R2682:W2682"/>
    <mergeCell ref="X2682:Y2682"/>
    <mergeCell ref="AA2686:AA2687"/>
    <mergeCell ref="AB2686:AB2687"/>
    <mergeCell ref="AC2686:AC2687"/>
    <mergeCell ref="R2688:R2689"/>
    <mergeCell ref="S2688:X2689"/>
    <mergeCell ref="Y2688:Y2689"/>
    <mergeCell ref="Z2688:Z2689"/>
    <mergeCell ref="R2623:R2624"/>
    <mergeCell ref="Z2635:Z2636"/>
    <mergeCell ref="Y2637:Y2638"/>
    <mergeCell ref="AC2621:AC2622"/>
    <mergeCell ref="Y2621:Y2622"/>
    <mergeCell ref="Y2623:Y2624"/>
    <mergeCell ref="AB2621:AB2622"/>
    <mergeCell ref="R2621:R2622"/>
    <mergeCell ref="R2617:W2617"/>
    <mergeCell ref="R2645:W2645"/>
    <mergeCell ref="X2645:Y2645"/>
    <mergeCell ref="S2621:X2622"/>
    <mergeCell ref="S2635:X2636"/>
    <mergeCell ref="Y2635:Y2636"/>
    <mergeCell ref="Z2623:Z2624"/>
    <mergeCell ref="AA2623:AA2624"/>
    <mergeCell ref="AB2623:AB2624"/>
    <mergeCell ref="Z2621:Z2622"/>
    <mergeCell ref="AA2621:AA2622"/>
    <mergeCell ref="AD2651:AF2652"/>
    <mergeCell ref="AB2672:AB2673"/>
    <mergeCell ref="Z2672:Z2673"/>
    <mergeCell ref="AD2672:AF2673"/>
    <mergeCell ref="AA2672:AA2673"/>
    <mergeCell ref="AC2672:AC2673"/>
    <mergeCell ref="AA2674:AA2675"/>
    <mergeCell ref="Z2682:AE2682"/>
    <mergeCell ref="R2674:R2675"/>
    <mergeCell ref="AD2674:AF2675"/>
    <mergeCell ref="R2651:R2652"/>
    <mergeCell ref="S2674:X2675"/>
    <mergeCell ref="Y2674:Y2675"/>
    <mergeCell ref="Z2674:Z2675"/>
    <mergeCell ref="AD2671:AF2671"/>
    <mergeCell ref="AC2674:AC2675"/>
    <mergeCell ref="AB2674:AB2675"/>
    <mergeCell ref="AD2621:AF2622"/>
    <mergeCell ref="S2671:X2671"/>
    <mergeCell ref="S2672:X2673"/>
    <mergeCell ref="AD2623:AF2624"/>
    <mergeCell ref="Z2651:Z2652"/>
    <mergeCell ref="R2668:W2668"/>
    <mergeCell ref="AC2651:AC2652"/>
    <mergeCell ref="AD2649:AF2650"/>
    <mergeCell ref="AB2649:AB2650"/>
    <mergeCell ref="AC2649:AC2650"/>
    <mergeCell ref="S2651:X2652"/>
    <mergeCell ref="X2668:Y2668"/>
    <mergeCell ref="Z2668:AE2668"/>
    <mergeCell ref="R2649:R2650"/>
    <mergeCell ref="S2649:X2650"/>
    <mergeCell ref="Y2649:Y2650"/>
    <mergeCell ref="S2648:X2648"/>
    <mergeCell ref="Y2651:Y2652"/>
    <mergeCell ref="Z2649:Z2650"/>
    <mergeCell ref="AB2651:AB2652"/>
    <mergeCell ref="AA2649:AA2650"/>
    <mergeCell ref="AA2651:AA2652"/>
    <mergeCell ref="AC2584:AC2585"/>
    <mergeCell ref="AD2584:AF2585"/>
    <mergeCell ref="AA2584:AA2585"/>
    <mergeCell ref="AB2584:AB2585"/>
    <mergeCell ref="AA2586:AA2587"/>
    <mergeCell ref="AB2586:AB2587"/>
    <mergeCell ref="R2584:R2585"/>
    <mergeCell ref="S2584:X2585"/>
    <mergeCell ref="Y2584:Y2585"/>
    <mergeCell ref="Z2584:Z2585"/>
    <mergeCell ref="R2586:R2587"/>
    <mergeCell ref="S2586:X2587"/>
    <mergeCell ref="Y2586:Y2587"/>
    <mergeCell ref="Z2586:Z2587"/>
    <mergeCell ref="R2594:W2594"/>
    <mergeCell ref="X2594:Y2594"/>
    <mergeCell ref="Z2594:AE2594"/>
    <mergeCell ref="S2597:X2597"/>
    <mergeCell ref="AD2597:AF2597"/>
    <mergeCell ref="AC2586:AC2587"/>
    <mergeCell ref="AD2586:AF2587"/>
    <mergeCell ref="AD2600:AF2601"/>
    <mergeCell ref="AD2598:AF2599"/>
    <mergeCell ref="S2598:X2599"/>
    <mergeCell ref="Y2598:Y2599"/>
    <mergeCell ref="AB2598:AB2599"/>
    <mergeCell ref="Z2600:Z2601"/>
    <mergeCell ref="AA2600:AA2601"/>
    <mergeCell ref="AB2600:AB2601"/>
    <mergeCell ref="Z2598:Z2599"/>
    <mergeCell ref="R2600:R2601"/>
    <mergeCell ref="S2600:X2601"/>
    <mergeCell ref="Y2600:Y2601"/>
    <mergeCell ref="Z2617:AE2617"/>
    <mergeCell ref="S2620:X2620"/>
    <mergeCell ref="AD2620:AF2620"/>
    <mergeCell ref="X2617:Y2617"/>
    <mergeCell ref="AD2648:AF2648"/>
    <mergeCell ref="AD2637:AF2638"/>
    <mergeCell ref="R2631:W2631"/>
    <mergeCell ref="X2631:Y2631"/>
    <mergeCell ref="Z2631:AE2631"/>
    <mergeCell ref="AC2637:AC2638"/>
    <mergeCell ref="AA2637:AA2638"/>
    <mergeCell ref="AB2637:AB2638"/>
    <mergeCell ref="R2635:R2636"/>
    <mergeCell ref="AD2635:AF2636"/>
    <mergeCell ref="Z2645:AE2645"/>
    <mergeCell ref="R2637:R2638"/>
    <mergeCell ref="S2637:X2638"/>
    <mergeCell ref="AA2635:AA2636"/>
    <mergeCell ref="AB2635:AB2636"/>
    <mergeCell ref="S2623:X2624"/>
    <mergeCell ref="Z2637:Z2638"/>
    <mergeCell ref="AC2635:AC2636"/>
    <mergeCell ref="AC2623:AC2624"/>
    <mergeCell ref="AB2547:AB2548"/>
    <mergeCell ref="AD2569:AF2569"/>
    <mergeCell ref="AA2598:AA2599"/>
    <mergeCell ref="R2598:R2599"/>
    <mergeCell ref="AC2598:AC2599"/>
    <mergeCell ref="AB2549:AB2550"/>
    <mergeCell ref="AC2549:AC2550"/>
    <mergeCell ref="AD2549:AF2550"/>
    <mergeCell ref="AD2547:AF2548"/>
    <mergeCell ref="R2547:R2548"/>
    <mergeCell ref="S2547:X2548"/>
    <mergeCell ref="AC2547:AC2548"/>
    <mergeCell ref="Y2547:Y2548"/>
    <mergeCell ref="AA2547:AA2548"/>
    <mergeCell ref="Z2547:Z2548"/>
    <mergeCell ref="Y2549:Y2550"/>
    <mergeCell ref="X2566:Y2566"/>
    <mergeCell ref="R2549:R2550"/>
    <mergeCell ref="R2566:W2566"/>
    <mergeCell ref="Z2566:AE2566"/>
    <mergeCell ref="AA2549:AA2550"/>
    <mergeCell ref="S2549:X2550"/>
    <mergeCell ref="Z2549:Z2550"/>
    <mergeCell ref="AB2572:AB2573"/>
    <mergeCell ref="AC2572:AC2573"/>
    <mergeCell ref="AC2600:AC2601"/>
    <mergeCell ref="X2492:Y2492"/>
    <mergeCell ref="Z2492:AE2492"/>
    <mergeCell ref="S2495:X2495"/>
    <mergeCell ref="AD2495:AF2495"/>
    <mergeCell ref="AC2496:AC2497"/>
    <mergeCell ref="AD2496:AF2497"/>
    <mergeCell ref="AB2447:AB2448"/>
    <mergeCell ref="AA2447:AA2448"/>
    <mergeCell ref="Z2447:Z2448"/>
    <mergeCell ref="AA2496:AA2497"/>
    <mergeCell ref="AC2521:AC2522"/>
    <mergeCell ref="AD2521:AF2522"/>
    <mergeCell ref="AB2498:AB2499"/>
    <mergeCell ref="R2515:W2515"/>
    <mergeCell ref="X2515:Y2515"/>
    <mergeCell ref="Z2515:AE2515"/>
    <mergeCell ref="AC2498:AC2499"/>
    <mergeCell ref="AD2498:AF2499"/>
    <mergeCell ref="Z2498:Z2499"/>
    <mergeCell ref="AD2518:AF2518"/>
    <mergeCell ref="AB2533:AB2534"/>
    <mergeCell ref="R2521:R2522"/>
    <mergeCell ref="S2521:X2522"/>
    <mergeCell ref="R2496:R2497"/>
    <mergeCell ref="S2496:X2497"/>
    <mergeCell ref="Z2521:Z2522"/>
    <mergeCell ref="AA2498:AA2499"/>
    <mergeCell ref="R2498:R2499"/>
    <mergeCell ref="S2498:X2499"/>
    <mergeCell ref="X2529:Y2529"/>
    <mergeCell ref="Z2529:AE2529"/>
    <mergeCell ref="AA2521:AA2522"/>
    <mergeCell ref="AB2521:AB2522"/>
    <mergeCell ref="Y2519:Y2520"/>
    <mergeCell ref="Y2521:Y2522"/>
    <mergeCell ref="AD2519:AF2520"/>
    <mergeCell ref="AD2533:AF2534"/>
    <mergeCell ref="R2533:R2534"/>
    <mergeCell ref="S2533:X2534"/>
    <mergeCell ref="Y2533:Y2534"/>
    <mergeCell ref="Z2533:Z2534"/>
    <mergeCell ref="AC2533:AC2534"/>
    <mergeCell ref="Z2519:Z2520"/>
    <mergeCell ref="AA2519:AA2520"/>
    <mergeCell ref="AB2519:AB2520"/>
    <mergeCell ref="AC2519:AC2520"/>
    <mergeCell ref="S2468:X2469"/>
    <mergeCell ref="Y2468:Y2469"/>
    <mergeCell ref="R2519:R2520"/>
    <mergeCell ref="S2519:X2520"/>
    <mergeCell ref="S2518:X2518"/>
    <mergeCell ref="R2464:W2464"/>
    <mergeCell ref="R2468:R2469"/>
    <mergeCell ref="R2492:W2492"/>
    <mergeCell ref="R2431:R2432"/>
    <mergeCell ref="R2427:W2427"/>
    <mergeCell ref="X2427:Y2427"/>
    <mergeCell ref="Z2427:AE2427"/>
    <mergeCell ref="AC2433:AC2434"/>
    <mergeCell ref="AA2433:AA2434"/>
    <mergeCell ref="AD2445:AF2446"/>
    <mergeCell ref="AB2445:AB2446"/>
    <mergeCell ref="AC2445:AC2446"/>
    <mergeCell ref="R2445:R2446"/>
    <mergeCell ref="S2445:X2446"/>
    <mergeCell ref="Y2445:Y2446"/>
    <mergeCell ref="Z2445:Z2446"/>
    <mergeCell ref="AA2445:AA2446"/>
    <mergeCell ref="S2447:X2448"/>
    <mergeCell ref="Y2447:Y2448"/>
    <mergeCell ref="Y2535:Y2536"/>
    <mergeCell ref="Z2535:Z2536"/>
    <mergeCell ref="AA2535:AA2536"/>
    <mergeCell ref="AB2535:AB2536"/>
    <mergeCell ref="AA2533:AA2534"/>
    <mergeCell ref="Y2498:Y2499"/>
    <mergeCell ref="AB2496:AB2497"/>
    <mergeCell ref="R2529:W2529"/>
    <mergeCell ref="AD2447:AF2448"/>
    <mergeCell ref="AB2470:AB2471"/>
    <mergeCell ref="AB2468:AB2469"/>
    <mergeCell ref="Z2468:Z2469"/>
    <mergeCell ref="AA2468:AA2469"/>
    <mergeCell ref="AA2470:AA2471"/>
    <mergeCell ref="AD2468:AF2469"/>
    <mergeCell ref="AD2467:AF2467"/>
    <mergeCell ref="AC2470:AC2471"/>
    <mergeCell ref="R2470:R2471"/>
    <mergeCell ref="AD2470:AF2471"/>
    <mergeCell ref="R2447:R2448"/>
    <mergeCell ref="S2470:X2471"/>
    <mergeCell ref="Y2470:Y2471"/>
    <mergeCell ref="Z2470:Z2471"/>
    <mergeCell ref="X2464:Y2464"/>
    <mergeCell ref="S2467:X2467"/>
    <mergeCell ref="Z2464:AE2464"/>
    <mergeCell ref="AC2468:AC2469"/>
    <mergeCell ref="AB2482:AB2483"/>
    <mergeCell ref="R2478:W2478"/>
    <mergeCell ref="X2478:Y2478"/>
    <mergeCell ref="Z2478:AE2478"/>
    <mergeCell ref="R2482:R2483"/>
    <mergeCell ref="S2482:X2483"/>
    <mergeCell ref="Y2482:Y2483"/>
    <mergeCell ref="Z2482:Z2483"/>
    <mergeCell ref="AC2482:AC2483"/>
    <mergeCell ref="AD2482:AF2483"/>
    <mergeCell ref="R2484:R2485"/>
    <mergeCell ref="S2484:X2485"/>
    <mergeCell ref="Y2484:Y2485"/>
    <mergeCell ref="Z2484:Z2485"/>
    <mergeCell ref="AD2484:AF2485"/>
    <mergeCell ref="AA2484:AA2485"/>
    <mergeCell ref="AB2484:AB2485"/>
    <mergeCell ref="AC2484:AC2485"/>
    <mergeCell ref="AA2482:AA2483"/>
    <mergeCell ref="Y2496:Y2497"/>
    <mergeCell ref="Z2496:Z2497"/>
    <mergeCell ref="AC2417:AC2418"/>
    <mergeCell ref="AB2433:AB2434"/>
    <mergeCell ref="AC2447:AC2448"/>
    <mergeCell ref="R2390:W2390"/>
    <mergeCell ref="X2390:Y2390"/>
    <mergeCell ref="Z2390:AE2390"/>
    <mergeCell ref="S2393:X2393"/>
    <mergeCell ref="AD2393:AF2393"/>
    <mergeCell ref="AC2382:AC2383"/>
    <mergeCell ref="AD2382:AF2383"/>
    <mergeCell ref="AD2394:AF2395"/>
    <mergeCell ref="S2394:X2395"/>
    <mergeCell ref="Y2394:Y2395"/>
    <mergeCell ref="AB2394:AB2395"/>
    <mergeCell ref="Z2396:Z2397"/>
    <mergeCell ref="AA2396:AA2397"/>
    <mergeCell ref="AB2396:AB2397"/>
    <mergeCell ref="Z2419:Z2420"/>
    <mergeCell ref="AA2419:AA2420"/>
    <mergeCell ref="AB2419:AB2420"/>
    <mergeCell ref="Z2417:Z2418"/>
    <mergeCell ref="AA2417:AA2418"/>
    <mergeCell ref="AB2417:AB2418"/>
    <mergeCell ref="Z2413:AE2413"/>
    <mergeCell ref="S2416:X2416"/>
    <mergeCell ref="AD2416:AF2416"/>
    <mergeCell ref="X2413:Y2413"/>
    <mergeCell ref="AC2396:AC2397"/>
    <mergeCell ref="AD2417:AF2418"/>
    <mergeCell ref="AD2396:AF2397"/>
    <mergeCell ref="Y2417:Y2418"/>
    <mergeCell ref="R2396:R2397"/>
    <mergeCell ref="S2396:X2397"/>
    <mergeCell ref="Y2396:Y2397"/>
    <mergeCell ref="Z2394:Z2395"/>
    <mergeCell ref="AA2394:AA2395"/>
    <mergeCell ref="R2394:R2395"/>
    <mergeCell ref="AC2394:AC2395"/>
    <mergeCell ref="Z2368:Z2369"/>
    <mergeCell ref="AD2433:AF2434"/>
    <mergeCell ref="AC2431:AC2432"/>
    <mergeCell ref="S2419:X2420"/>
    <mergeCell ref="Y2419:Y2420"/>
    <mergeCell ref="AC2419:AC2420"/>
    <mergeCell ref="S2431:X2432"/>
    <mergeCell ref="Y2431:Y2432"/>
    <mergeCell ref="Z2431:Z2432"/>
    <mergeCell ref="Y2433:Y2434"/>
    <mergeCell ref="AD2419:AF2420"/>
    <mergeCell ref="AD2431:AF2432"/>
    <mergeCell ref="R2419:R2420"/>
    <mergeCell ref="Z2441:AE2441"/>
    <mergeCell ref="R2433:R2434"/>
    <mergeCell ref="S2433:X2434"/>
    <mergeCell ref="AA2431:AA2432"/>
    <mergeCell ref="AB2431:AB2432"/>
    <mergeCell ref="Z2433:Z2434"/>
    <mergeCell ref="S2444:X2444"/>
    <mergeCell ref="AD2444:AF2444"/>
    <mergeCell ref="R2441:W2441"/>
    <mergeCell ref="X2441:Y2441"/>
    <mergeCell ref="Z2376:AE2376"/>
    <mergeCell ref="AD2368:AF2369"/>
    <mergeCell ref="AA2368:AA2369"/>
    <mergeCell ref="R2417:R2418"/>
    <mergeCell ref="R2413:W2413"/>
    <mergeCell ref="AD2345:AF2346"/>
    <mergeCell ref="Z2362:AE2362"/>
    <mergeCell ref="AD2365:AF2365"/>
    <mergeCell ref="AC2345:AC2346"/>
    <mergeCell ref="R2376:W2376"/>
    <mergeCell ref="X2376:Y2376"/>
    <mergeCell ref="Y2345:Y2346"/>
    <mergeCell ref="S2368:X2369"/>
    <mergeCell ref="X2362:Y2362"/>
    <mergeCell ref="S2365:X2365"/>
    <mergeCell ref="Y2368:Y2369"/>
    <mergeCell ref="R2368:R2369"/>
    <mergeCell ref="AC2380:AC2381"/>
    <mergeCell ref="AD2380:AF2381"/>
    <mergeCell ref="AA2380:AA2381"/>
    <mergeCell ref="AB2380:AB2381"/>
    <mergeCell ref="AA2382:AA2383"/>
    <mergeCell ref="AB2382:AB2383"/>
    <mergeCell ref="R2380:R2381"/>
    <mergeCell ref="S2380:X2381"/>
    <mergeCell ref="Y2380:Y2381"/>
    <mergeCell ref="Z2380:Z2381"/>
    <mergeCell ref="R2382:R2383"/>
    <mergeCell ref="S2382:X2383"/>
    <mergeCell ref="Y2382:Y2383"/>
    <mergeCell ref="Z2382:Z2383"/>
    <mergeCell ref="AD2329:AF2330"/>
    <mergeCell ref="R2329:R2330"/>
    <mergeCell ref="S2329:X2330"/>
    <mergeCell ref="Y2329:Y2330"/>
    <mergeCell ref="Z2329:Z2330"/>
    <mergeCell ref="AC2329:AC2330"/>
    <mergeCell ref="AA2329:AA2330"/>
    <mergeCell ref="AB2329:AB2330"/>
    <mergeCell ref="AD2342:AF2342"/>
    <mergeCell ref="Z2343:Z2344"/>
    <mergeCell ref="AB2343:AB2344"/>
    <mergeCell ref="AD2343:AF2344"/>
    <mergeCell ref="R2331:R2332"/>
    <mergeCell ref="R2339:W2339"/>
    <mergeCell ref="X2339:Y2339"/>
    <mergeCell ref="Z2339:AE2339"/>
    <mergeCell ref="AC2331:AC2332"/>
    <mergeCell ref="AD2331:AF2332"/>
    <mergeCell ref="AA2345:AA2346"/>
    <mergeCell ref="S2345:X2346"/>
    <mergeCell ref="Y2331:Y2332"/>
    <mergeCell ref="Z2345:Z2346"/>
    <mergeCell ref="AB2345:AB2346"/>
    <mergeCell ref="S2342:X2342"/>
    <mergeCell ref="Z2331:Z2332"/>
    <mergeCell ref="AA2331:AA2332"/>
    <mergeCell ref="AB2331:AB2332"/>
    <mergeCell ref="S2331:X2332"/>
    <mergeCell ref="AD2366:AF2367"/>
    <mergeCell ref="AB2366:AB2367"/>
    <mergeCell ref="Z2366:Z2367"/>
    <mergeCell ref="AC2366:AC2367"/>
    <mergeCell ref="AB2368:AB2369"/>
    <mergeCell ref="AC2368:AC2369"/>
    <mergeCell ref="AA2315:AA2316"/>
    <mergeCell ref="AC2315:AC2316"/>
    <mergeCell ref="R2343:R2344"/>
    <mergeCell ref="S2343:X2344"/>
    <mergeCell ref="AC2343:AC2344"/>
    <mergeCell ref="Y2343:Y2344"/>
    <mergeCell ref="AA2343:AA2344"/>
    <mergeCell ref="R2288:W2288"/>
    <mergeCell ref="X2288:Y2288"/>
    <mergeCell ref="Z2288:AE2288"/>
    <mergeCell ref="S2291:X2291"/>
    <mergeCell ref="AD2291:AF2291"/>
    <mergeCell ref="AC2317:AC2318"/>
    <mergeCell ref="AD2317:AF2318"/>
    <mergeCell ref="AB2294:AB2295"/>
    <mergeCell ref="R2311:W2311"/>
    <mergeCell ref="X2311:Y2311"/>
    <mergeCell ref="AC2294:AC2295"/>
    <mergeCell ref="AD2294:AF2295"/>
    <mergeCell ref="Z2294:Z2295"/>
    <mergeCell ref="AD2314:AF2314"/>
    <mergeCell ref="R2292:R2293"/>
    <mergeCell ref="S2292:X2293"/>
    <mergeCell ref="AB2292:AB2293"/>
    <mergeCell ref="AC2292:AC2293"/>
    <mergeCell ref="AD2292:AF2293"/>
    <mergeCell ref="AA2294:AA2295"/>
    <mergeCell ref="R2294:R2295"/>
    <mergeCell ref="S2294:X2295"/>
    <mergeCell ref="Y2294:Y2295"/>
    <mergeCell ref="Y2292:Y2293"/>
    <mergeCell ref="Z2292:Z2293"/>
    <mergeCell ref="AA2292:AA2293"/>
    <mergeCell ref="R2325:W2325"/>
    <mergeCell ref="X2325:Y2325"/>
    <mergeCell ref="Z2325:AE2325"/>
    <mergeCell ref="AA2317:AA2318"/>
    <mergeCell ref="AB2317:AB2318"/>
    <mergeCell ref="Y2315:Y2316"/>
    <mergeCell ref="Y2317:Y2318"/>
    <mergeCell ref="R2317:R2318"/>
    <mergeCell ref="S2317:X2318"/>
    <mergeCell ref="Z2317:Z2318"/>
    <mergeCell ref="R2241:R2242"/>
    <mergeCell ref="S2241:X2242"/>
    <mergeCell ref="Y2241:Y2242"/>
    <mergeCell ref="S2240:X2240"/>
    <mergeCell ref="Z2243:Z2244"/>
    <mergeCell ref="R2213:R2214"/>
    <mergeCell ref="AC2266:AC2267"/>
    <mergeCell ref="AB2266:AB2267"/>
    <mergeCell ref="AB2264:AB2265"/>
    <mergeCell ref="Z2264:Z2265"/>
    <mergeCell ref="AD2264:AF2265"/>
    <mergeCell ref="AA2264:AA2265"/>
    <mergeCell ref="AC2264:AC2265"/>
    <mergeCell ref="AA2266:AA2267"/>
    <mergeCell ref="R2260:W2260"/>
    <mergeCell ref="AC2243:AC2244"/>
    <mergeCell ref="Z2274:AE2274"/>
    <mergeCell ref="R2266:R2267"/>
    <mergeCell ref="AD2266:AF2267"/>
    <mergeCell ref="R2243:R2244"/>
    <mergeCell ref="S2266:X2267"/>
    <mergeCell ref="Y2266:Y2267"/>
    <mergeCell ref="Z2266:Z2267"/>
    <mergeCell ref="AD2263:AF2263"/>
    <mergeCell ref="S2280:X2281"/>
    <mergeCell ref="Y2280:Y2281"/>
    <mergeCell ref="Z2280:Z2281"/>
    <mergeCell ref="X2260:Y2260"/>
    <mergeCell ref="S2263:X2263"/>
    <mergeCell ref="Z2260:AE2260"/>
    <mergeCell ref="S2264:X2265"/>
    <mergeCell ref="Y2264:Y2265"/>
    <mergeCell ref="S2278:X2279"/>
    <mergeCell ref="Y2278:Y2279"/>
    <mergeCell ref="AB2229:AB2230"/>
    <mergeCell ref="R2227:R2228"/>
    <mergeCell ref="AD2227:AF2228"/>
    <mergeCell ref="AA2278:AA2279"/>
    <mergeCell ref="AB2278:AB2279"/>
    <mergeCell ref="AC2278:AC2279"/>
    <mergeCell ref="R2278:R2279"/>
    <mergeCell ref="R2274:W2274"/>
    <mergeCell ref="X2274:Y2274"/>
    <mergeCell ref="R2264:R2265"/>
    <mergeCell ref="AC2227:AC2228"/>
    <mergeCell ref="Z2178:Z2179"/>
    <mergeCell ref="R2209:W2209"/>
    <mergeCell ref="AD2241:AF2242"/>
    <mergeCell ref="AB2241:AB2242"/>
    <mergeCell ref="AC2241:AC2242"/>
    <mergeCell ref="S2243:X2244"/>
    <mergeCell ref="Y2243:Y2244"/>
    <mergeCell ref="Z2241:Z2242"/>
    <mergeCell ref="AB2243:AB2244"/>
    <mergeCell ref="AA2241:AA2242"/>
    <mergeCell ref="R2186:W2186"/>
    <mergeCell ref="X2186:Y2186"/>
    <mergeCell ref="Z2186:AE2186"/>
    <mergeCell ref="S2189:X2189"/>
    <mergeCell ref="AD2189:AF2189"/>
    <mergeCell ref="AC2178:AC2179"/>
    <mergeCell ref="AD2178:AF2179"/>
    <mergeCell ref="AD2190:AF2191"/>
    <mergeCell ref="S2190:X2191"/>
    <mergeCell ref="Y2190:Y2191"/>
    <mergeCell ref="AB2190:AB2191"/>
    <mergeCell ref="Z2192:Z2193"/>
    <mergeCell ref="AA2192:AA2193"/>
    <mergeCell ref="AB2192:AB2193"/>
    <mergeCell ref="Z2190:Z2191"/>
    <mergeCell ref="AD2213:AF2214"/>
    <mergeCell ref="AC2192:AC2193"/>
    <mergeCell ref="AD2215:AF2216"/>
    <mergeCell ref="AA2190:AA2191"/>
    <mergeCell ref="R2190:R2191"/>
    <mergeCell ref="Z2215:Z2216"/>
    <mergeCell ref="AA2215:AA2216"/>
    <mergeCell ref="AB2215:AB2216"/>
    <mergeCell ref="Z2213:Z2214"/>
    <mergeCell ref="AA2213:AA2214"/>
    <mergeCell ref="AC2215:AC2216"/>
    <mergeCell ref="R2215:R2216"/>
    <mergeCell ref="AD2240:AF2240"/>
    <mergeCell ref="AD2229:AF2230"/>
    <mergeCell ref="R2223:W2223"/>
    <mergeCell ref="X2223:Y2223"/>
    <mergeCell ref="Z2223:AE2223"/>
    <mergeCell ref="AC2229:AC2230"/>
    <mergeCell ref="AA2229:AA2230"/>
    <mergeCell ref="AC2213:AC2214"/>
    <mergeCell ref="Y2213:Y2214"/>
    <mergeCell ref="Y2215:Y2216"/>
    <mergeCell ref="AB2213:AB2214"/>
    <mergeCell ref="Z2237:AE2237"/>
    <mergeCell ref="R2229:R2230"/>
    <mergeCell ref="S2229:X2230"/>
    <mergeCell ref="AA2227:AA2228"/>
    <mergeCell ref="AB2227:AB2228"/>
    <mergeCell ref="S2215:X2216"/>
    <mergeCell ref="R2237:W2237"/>
    <mergeCell ref="X2237:Y2237"/>
    <mergeCell ref="S2213:X2214"/>
    <mergeCell ref="S2227:X2228"/>
    <mergeCell ref="Y2227:Y2228"/>
    <mergeCell ref="Z2227:Z2228"/>
    <mergeCell ref="Y2229:Y2230"/>
    <mergeCell ref="Z2229:Z2230"/>
    <mergeCell ref="AA2243:AA2244"/>
    <mergeCell ref="AD2243:AF2244"/>
    <mergeCell ref="Z2141:Z2142"/>
    <mergeCell ref="AB2141:AB2142"/>
    <mergeCell ref="S2138:X2138"/>
    <mergeCell ref="AD2138:AF2138"/>
    <mergeCell ref="Z2139:Z2140"/>
    <mergeCell ref="AB2139:AB2140"/>
    <mergeCell ref="AD2139:AF2140"/>
    <mergeCell ref="R2139:R2140"/>
    <mergeCell ref="S2139:X2140"/>
    <mergeCell ref="AC2139:AC2140"/>
    <mergeCell ref="Y2139:Y2140"/>
    <mergeCell ref="AA2139:AA2140"/>
    <mergeCell ref="AA2141:AA2142"/>
    <mergeCell ref="S2141:X2142"/>
    <mergeCell ref="AA2162:AA2163"/>
    <mergeCell ref="R2192:R2193"/>
    <mergeCell ref="S2192:X2193"/>
    <mergeCell ref="Y2192:Y2193"/>
    <mergeCell ref="Z2209:AE2209"/>
    <mergeCell ref="S2212:X2212"/>
    <mergeCell ref="AD2212:AF2212"/>
    <mergeCell ref="X2209:Y2209"/>
    <mergeCell ref="AC2190:AC2191"/>
    <mergeCell ref="AD2192:AF2193"/>
    <mergeCell ref="AC2162:AC2163"/>
    <mergeCell ref="AB2164:AB2165"/>
    <mergeCell ref="AC2164:AC2165"/>
    <mergeCell ref="R2164:R2165"/>
    <mergeCell ref="AD2162:AF2163"/>
    <mergeCell ref="R2162:R2163"/>
    <mergeCell ref="S2162:X2163"/>
    <mergeCell ref="Y2162:Y2163"/>
    <mergeCell ref="AB2162:AB2163"/>
    <mergeCell ref="Z2162:Z2163"/>
    <mergeCell ref="Z2164:Z2165"/>
    <mergeCell ref="R2141:R2142"/>
    <mergeCell ref="R2158:W2158"/>
    <mergeCell ref="Z2172:AE2172"/>
    <mergeCell ref="AD2164:AF2165"/>
    <mergeCell ref="AA2164:AA2165"/>
    <mergeCell ref="AD2141:AF2142"/>
    <mergeCell ref="Z2158:AE2158"/>
    <mergeCell ref="AD2161:AF2161"/>
    <mergeCell ref="AC2141:AC2142"/>
    <mergeCell ref="R2172:W2172"/>
    <mergeCell ref="X2172:Y2172"/>
    <mergeCell ref="Y2141:Y2142"/>
    <mergeCell ref="S2164:X2165"/>
    <mergeCell ref="X2158:Y2158"/>
    <mergeCell ref="S2161:X2161"/>
    <mergeCell ref="Y2164:Y2165"/>
    <mergeCell ref="AC2176:AC2177"/>
    <mergeCell ref="AD2176:AF2177"/>
    <mergeCell ref="AA2176:AA2177"/>
    <mergeCell ref="AB2176:AB2177"/>
    <mergeCell ref="AA2178:AA2179"/>
    <mergeCell ref="AB2178:AB2179"/>
    <mergeCell ref="R2176:R2177"/>
    <mergeCell ref="S2176:X2177"/>
    <mergeCell ref="Y2176:Y2177"/>
    <mergeCell ref="Z2176:Z2177"/>
    <mergeCell ref="R2178:R2179"/>
    <mergeCell ref="S2178:X2179"/>
    <mergeCell ref="Y2178:Y2179"/>
    <mergeCell ref="AB2090:AB2091"/>
    <mergeCell ref="R2107:W2107"/>
    <mergeCell ref="X2107:Y2107"/>
    <mergeCell ref="AD2110:AF2110"/>
    <mergeCell ref="R2088:R2089"/>
    <mergeCell ref="S2088:X2089"/>
    <mergeCell ref="AB2088:AB2089"/>
    <mergeCell ref="AC2088:AC2089"/>
    <mergeCell ref="AD2088:AF2089"/>
    <mergeCell ref="AA2090:AA2091"/>
    <mergeCell ref="Y2088:Y2089"/>
    <mergeCell ref="Z2088:Z2089"/>
    <mergeCell ref="AA2088:AA2089"/>
    <mergeCell ref="AC2090:AC2091"/>
    <mergeCell ref="AD2090:AF2091"/>
    <mergeCell ref="Z2090:Z2091"/>
    <mergeCell ref="Y2113:Y2114"/>
    <mergeCell ref="R2113:R2114"/>
    <mergeCell ref="S2113:X2114"/>
    <mergeCell ref="Z2113:Z2114"/>
    <mergeCell ref="R2090:R2091"/>
    <mergeCell ref="S2090:X2091"/>
    <mergeCell ref="Y2090:Y2091"/>
    <mergeCell ref="AD2060:AF2061"/>
    <mergeCell ref="AA2060:AA2061"/>
    <mergeCell ref="AC2060:AC2061"/>
    <mergeCell ref="AA2062:AA2063"/>
    <mergeCell ref="AD2125:AF2126"/>
    <mergeCell ref="R2125:R2126"/>
    <mergeCell ref="S2125:X2126"/>
    <mergeCell ref="Y2125:Y2126"/>
    <mergeCell ref="Z2125:Z2126"/>
    <mergeCell ref="AC2125:AC2126"/>
    <mergeCell ref="AA2125:AA2126"/>
    <mergeCell ref="AB2125:AB2126"/>
    <mergeCell ref="AD2039:AF2040"/>
    <mergeCell ref="R2037:R2038"/>
    <mergeCell ref="S2037:X2038"/>
    <mergeCell ref="Y2037:Y2038"/>
    <mergeCell ref="S2036:X2036"/>
    <mergeCell ref="R2033:W2033"/>
    <mergeCell ref="X2033:Y2033"/>
    <mergeCell ref="AD2036:AF2036"/>
    <mergeCell ref="AC2039:AC2040"/>
    <mergeCell ref="S2039:X2040"/>
    <mergeCell ref="Y2039:Y2040"/>
    <mergeCell ref="Z2037:Z2038"/>
    <mergeCell ref="AB2039:AB2040"/>
    <mergeCell ref="AA2037:AA2038"/>
    <mergeCell ref="AA2039:AA2040"/>
    <mergeCell ref="R2121:W2121"/>
    <mergeCell ref="X2121:Y2121"/>
    <mergeCell ref="Z2121:AE2121"/>
    <mergeCell ref="AA2113:AA2114"/>
    <mergeCell ref="AB2113:AB2114"/>
    <mergeCell ref="Y2111:Y2112"/>
    <mergeCell ref="AD2062:AF2063"/>
    <mergeCell ref="R2039:R2040"/>
    <mergeCell ref="S2062:X2063"/>
    <mergeCell ref="Y2062:Y2063"/>
    <mergeCell ref="Z2062:Z2063"/>
    <mergeCell ref="AD2059:AF2059"/>
    <mergeCell ref="AC2062:AC2063"/>
    <mergeCell ref="AB2062:AB2063"/>
    <mergeCell ref="AB2060:AB2061"/>
    <mergeCell ref="Z2060:Z2061"/>
    <mergeCell ref="Y2074:Y2075"/>
    <mergeCell ref="R2070:W2070"/>
    <mergeCell ref="X2070:Y2070"/>
    <mergeCell ref="Z2074:Z2075"/>
    <mergeCell ref="S2060:X2061"/>
    <mergeCell ref="Z2039:Z2040"/>
    <mergeCell ref="R2056:W2056"/>
    <mergeCell ref="R2060:R2061"/>
    <mergeCell ref="Z2070:AE2070"/>
    <mergeCell ref="R2062:R2063"/>
    <mergeCell ref="R2076:R2077"/>
    <mergeCell ref="S2076:X2077"/>
    <mergeCell ref="Y2076:Y2077"/>
    <mergeCell ref="Z2076:Z2077"/>
    <mergeCell ref="X2056:Y2056"/>
    <mergeCell ref="S2059:X2059"/>
    <mergeCell ref="Z2056:AE2056"/>
    <mergeCell ref="Y2060:Y2061"/>
    <mergeCell ref="R2074:R2075"/>
    <mergeCell ref="S2074:X2075"/>
    <mergeCell ref="AD2074:AF2075"/>
    <mergeCell ref="AD2076:AF2077"/>
    <mergeCell ref="AA2076:AA2077"/>
    <mergeCell ref="AB2076:AB2077"/>
    <mergeCell ref="AC2076:AC2077"/>
    <mergeCell ref="AA2074:AA2075"/>
    <mergeCell ref="AB2074:AB2075"/>
    <mergeCell ref="AC2074:AC2075"/>
    <mergeCell ref="R2084:W2084"/>
    <mergeCell ref="X2084:Y2084"/>
    <mergeCell ref="Z2084:AE2084"/>
    <mergeCell ref="S2087:X2087"/>
    <mergeCell ref="AD2087:AF2087"/>
    <mergeCell ref="AD2037:AF2038"/>
    <mergeCell ref="AB2037:AB2038"/>
    <mergeCell ref="AC2037:AC2038"/>
    <mergeCell ref="S2023:X2024"/>
    <mergeCell ref="Y2023:Y2024"/>
    <mergeCell ref="Z2023:Z2024"/>
    <mergeCell ref="AD1988:AF1989"/>
    <mergeCell ref="AD1986:AF1987"/>
    <mergeCell ref="S1986:X1987"/>
    <mergeCell ref="Y1986:Y1987"/>
    <mergeCell ref="AB1986:AB1987"/>
    <mergeCell ref="Z1988:Z1989"/>
    <mergeCell ref="AA1988:AA1989"/>
    <mergeCell ref="AB1988:AB1989"/>
    <mergeCell ref="Z1986:Z1987"/>
    <mergeCell ref="Z2011:Z2012"/>
    <mergeCell ref="AA2011:AA2012"/>
    <mergeCell ref="AB2011:AB2012"/>
    <mergeCell ref="Z2009:Z2010"/>
    <mergeCell ref="AA2009:AA2010"/>
    <mergeCell ref="AC1986:AC1987"/>
    <mergeCell ref="Z2005:AE2005"/>
    <mergeCell ref="S2008:X2008"/>
    <mergeCell ref="AD2008:AF2008"/>
    <mergeCell ref="X2005:Y2005"/>
    <mergeCell ref="R2005:W2005"/>
    <mergeCell ref="AD2009:AF2010"/>
    <mergeCell ref="R2009:R2010"/>
    <mergeCell ref="S2009:X2010"/>
    <mergeCell ref="AD2025:AF2026"/>
    <mergeCell ref="R2019:W2019"/>
    <mergeCell ref="X2019:Y2019"/>
    <mergeCell ref="Z2019:AE2019"/>
    <mergeCell ref="AC2025:AC2026"/>
    <mergeCell ref="AA2025:AA2026"/>
    <mergeCell ref="AB2025:AB2026"/>
    <mergeCell ref="R2023:R2024"/>
    <mergeCell ref="AC2023:AC2024"/>
    <mergeCell ref="AD2011:AF2012"/>
    <mergeCell ref="AD2023:AF2024"/>
    <mergeCell ref="R2011:R2012"/>
    <mergeCell ref="Z2033:AE2033"/>
    <mergeCell ref="R2025:R2026"/>
    <mergeCell ref="S2025:X2026"/>
    <mergeCell ref="AA2023:AA2024"/>
    <mergeCell ref="AB2023:AB2024"/>
    <mergeCell ref="S2011:X2012"/>
    <mergeCell ref="Z2025:Z2026"/>
    <mergeCell ref="Y2025:Y2026"/>
    <mergeCell ref="AC2009:AC2010"/>
    <mergeCell ref="Y2009:Y2010"/>
    <mergeCell ref="Y2011:Y2012"/>
    <mergeCell ref="AC2011:AC2012"/>
    <mergeCell ref="AB2009:AB2010"/>
    <mergeCell ref="R1988:R1989"/>
    <mergeCell ref="S1988:X1989"/>
    <mergeCell ref="Y1988:Y1989"/>
    <mergeCell ref="AC1988:AC1989"/>
    <mergeCell ref="AA1986:AA1987"/>
    <mergeCell ref="R1986:R1987"/>
    <mergeCell ref="R1982:W1982"/>
    <mergeCell ref="Z1960:Z1961"/>
    <mergeCell ref="R1937:R1938"/>
    <mergeCell ref="R1954:W1954"/>
    <mergeCell ref="Z1968:AE1968"/>
    <mergeCell ref="AD1960:AF1961"/>
    <mergeCell ref="AA1960:AA1961"/>
    <mergeCell ref="AD1937:AF1938"/>
    <mergeCell ref="Z1954:AE1954"/>
    <mergeCell ref="AD1957:AF1957"/>
    <mergeCell ref="AC1937:AC1938"/>
    <mergeCell ref="R1968:W1968"/>
    <mergeCell ref="X1968:Y1968"/>
    <mergeCell ref="Y1937:Y1938"/>
    <mergeCell ref="S1960:X1961"/>
    <mergeCell ref="X1954:Y1954"/>
    <mergeCell ref="S1957:X1957"/>
    <mergeCell ref="Y1960:Y1961"/>
    <mergeCell ref="R1960:R1961"/>
    <mergeCell ref="S1974:X1975"/>
    <mergeCell ref="Y1974:Y1975"/>
    <mergeCell ref="Z1974:Z1975"/>
    <mergeCell ref="AC1972:AC1973"/>
    <mergeCell ref="AD1972:AF1973"/>
    <mergeCell ref="AA1972:AA1973"/>
    <mergeCell ref="AB1972:AB1973"/>
    <mergeCell ref="AA1974:AA1975"/>
    <mergeCell ref="AB1974:AB1975"/>
    <mergeCell ref="X1982:Y1982"/>
    <mergeCell ref="Z1982:AE1982"/>
    <mergeCell ref="S1985:X1985"/>
    <mergeCell ref="AD1985:AF1985"/>
    <mergeCell ref="R1917:W1917"/>
    <mergeCell ref="X1917:Y1917"/>
    <mergeCell ref="Z1917:AE1917"/>
    <mergeCell ref="AC1974:AC1975"/>
    <mergeCell ref="AD1974:AF1975"/>
    <mergeCell ref="R1972:R1973"/>
    <mergeCell ref="S1972:X1973"/>
    <mergeCell ref="Y1972:Y1973"/>
    <mergeCell ref="Z1972:Z1973"/>
    <mergeCell ref="R1974:R1975"/>
    <mergeCell ref="S1923:X1924"/>
    <mergeCell ref="AD1921:AF1922"/>
    <mergeCell ref="R1921:R1922"/>
    <mergeCell ref="S1921:X1922"/>
    <mergeCell ref="Y1921:Y1922"/>
    <mergeCell ref="Z1921:Z1922"/>
    <mergeCell ref="AC1921:AC1922"/>
    <mergeCell ref="AA1921:AA1922"/>
    <mergeCell ref="AB1921:AB1922"/>
    <mergeCell ref="AD1934:AF1934"/>
    <mergeCell ref="Z1935:Z1936"/>
    <mergeCell ref="AB1935:AB1936"/>
    <mergeCell ref="AD1935:AF1936"/>
    <mergeCell ref="R1923:R1924"/>
    <mergeCell ref="R1931:W1931"/>
    <mergeCell ref="X1931:Y1931"/>
    <mergeCell ref="Z1931:AE1931"/>
    <mergeCell ref="AC1923:AC1924"/>
    <mergeCell ref="AD1923:AF1924"/>
    <mergeCell ref="R1935:R1936"/>
    <mergeCell ref="S1935:X1936"/>
    <mergeCell ref="AC1935:AC1936"/>
    <mergeCell ref="Y1935:Y1936"/>
    <mergeCell ref="AA1935:AA1936"/>
    <mergeCell ref="Y1923:Y1924"/>
    <mergeCell ref="S1934:X1934"/>
    <mergeCell ref="Z1923:Z1924"/>
    <mergeCell ref="AA1923:AA1924"/>
    <mergeCell ref="AB1923:AB1924"/>
    <mergeCell ref="AC1958:AC1959"/>
    <mergeCell ref="AB1960:AB1961"/>
    <mergeCell ref="AC1960:AC1961"/>
    <mergeCell ref="AC1884:AC1885"/>
    <mergeCell ref="AD1884:AF1885"/>
    <mergeCell ref="AA1884:AA1885"/>
    <mergeCell ref="AB1884:AB1885"/>
    <mergeCell ref="Z1903:AE1903"/>
    <mergeCell ref="AC1886:AC1887"/>
    <mergeCell ref="AD1886:AF1887"/>
    <mergeCell ref="Z1886:Z1887"/>
    <mergeCell ref="AC1909:AC1910"/>
    <mergeCell ref="AD1909:AF1910"/>
    <mergeCell ref="AB1886:AB1887"/>
    <mergeCell ref="AD1906:AF1906"/>
    <mergeCell ref="AD1907:AF1908"/>
    <mergeCell ref="S1884:X1885"/>
    <mergeCell ref="R1880:W1880"/>
    <mergeCell ref="X1880:Y1880"/>
    <mergeCell ref="Z1880:AE1880"/>
    <mergeCell ref="S1883:X1883"/>
    <mergeCell ref="AD1883:AF1883"/>
    <mergeCell ref="AB1835:AB1836"/>
    <mergeCell ref="AA1835:AA1836"/>
    <mergeCell ref="AD1835:AF1836"/>
    <mergeCell ref="AA1886:AA1887"/>
    <mergeCell ref="R1886:R1887"/>
    <mergeCell ref="S1886:X1887"/>
    <mergeCell ref="Y1886:Y1887"/>
    <mergeCell ref="Y1884:Y1885"/>
    <mergeCell ref="Z1884:Z1885"/>
    <mergeCell ref="R1884:R1885"/>
    <mergeCell ref="AB1858:AB1859"/>
    <mergeCell ref="AB1856:AB1857"/>
    <mergeCell ref="Z1856:Z1857"/>
    <mergeCell ref="AD1856:AF1857"/>
    <mergeCell ref="AA1856:AA1857"/>
    <mergeCell ref="AC1856:AC1857"/>
    <mergeCell ref="AA1858:AA1859"/>
    <mergeCell ref="AC1835:AC1836"/>
    <mergeCell ref="Z1866:AE1866"/>
    <mergeCell ref="R1858:R1859"/>
    <mergeCell ref="AD1858:AF1859"/>
    <mergeCell ref="R1835:R1836"/>
    <mergeCell ref="S1858:X1859"/>
    <mergeCell ref="Y1858:Y1859"/>
    <mergeCell ref="Z1858:Z1859"/>
    <mergeCell ref="AD1855:AF1855"/>
    <mergeCell ref="AC1858:AC1859"/>
    <mergeCell ref="S1870:X1871"/>
    <mergeCell ref="Y1870:Y1871"/>
    <mergeCell ref="R1866:W1866"/>
    <mergeCell ref="X1866:Y1866"/>
    <mergeCell ref="R1856:R1857"/>
    <mergeCell ref="Z1835:Z1836"/>
    <mergeCell ref="R1852:W1852"/>
    <mergeCell ref="S1835:X1836"/>
    <mergeCell ref="Y1835:Y1836"/>
    <mergeCell ref="R1872:R1873"/>
    <mergeCell ref="S1872:X1873"/>
    <mergeCell ref="Y1872:Y1873"/>
    <mergeCell ref="Z1872:Z1873"/>
    <mergeCell ref="X1852:Y1852"/>
    <mergeCell ref="S1855:X1855"/>
    <mergeCell ref="Z1852:AE1852"/>
    <mergeCell ref="S1856:X1857"/>
    <mergeCell ref="Y1856:Y1857"/>
    <mergeCell ref="R1870:R1871"/>
    <mergeCell ref="AD1870:AF1871"/>
    <mergeCell ref="AD1872:AF1873"/>
    <mergeCell ref="AA1872:AA1873"/>
    <mergeCell ref="AB1872:AB1873"/>
    <mergeCell ref="AC1872:AC1873"/>
    <mergeCell ref="Z1870:Z1871"/>
    <mergeCell ref="AA1870:AA1871"/>
    <mergeCell ref="AB1870:AB1871"/>
    <mergeCell ref="AC1870:AC1871"/>
    <mergeCell ref="AD1832:AF1832"/>
    <mergeCell ref="AD1821:AF1822"/>
    <mergeCell ref="R1815:W1815"/>
    <mergeCell ref="X1815:Y1815"/>
    <mergeCell ref="Z1815:AE1815"/>
    <mergeCell ref="AC1821:AC1822"/>
    <mergeCell ref="AA1821:AA1822"/>
    <mergeCell ref="AB1821:AB1822"/>
    <mergeCell ref="R1819:R1820"/>
    <mergeCell ref="AD1819:AF1820"/>
    <mergeCell ref="Z1829:AE1829"/>
    <mergeCell ref="R1821:R1822"/>
    <mergeCell ref="S1821:X1822"/>
    <mergeCell ref="AA1819:AA1820"/>
    <mergeCell ref="AB1819:AB1820"/>
    <mergeCell ref="S1807:X1808"/>
    <mergeCell ref="Z1821:Z1822"/>
    <mergeCell ref="AC1819:AC1820"/>
    <mergeCell ref="AC1807:AC1808"/>
    <mergeCell ref="R1807:R1808"/>
    <mergeCell ref="Z1819:Z1820"/>
    <mergeCell ref="Y1821:Y1822"/>
    <mergeCell ref="AC1805:AC1806"/>
    <mergeCell ref="Y1805:Y1806"/>
    <mergeCell ref="Y1807:Y1808"/>
    <mergeCell ref="AB1805:AB1806"/>
    <mergeCell ref="S1832:X1832"/>
    <mergeCell ref="R1829:W1829"/>
    <mergeCell ref="X1829:Y1829"/>
    <mergeCell ref="S1805:X1806"/>
    <mergeCell ref="S1819:X1820"/>
    <mergeCell ref="Y1819:Y1820"/>
    <mergeCell ref="AD1833:AF1834"/>
    <mergeCell ref="AB1833:AB1834"/>
    <mergeCell ref="AC1833:AC1834"/>
    <mergeCell ref="Z1833:Z1834"/>
    <mergeCell ref="AA1833:AA1834"/>
    <mergeCell ref="R1833:R1834"/>
    <mergeCell ref="S1833:X1834"/>
    <mergeCell ref="Y1833:Y1834"/>
    <mergeCell ref="R1778:W1778"/>
    <mergeCell ref="X1778:Y1778"/>
    <mergeCell ref="Z1778:AE1778"/>
    <mergeCell ref="S1781:X1781"/>
    <mergeCell ref="AD1781:AF1781"/>
    <mergeCell ref="AC1770:AC1771"/>
    <mergeCell ref="AD1770:AF1771"/>
    <mergeCell ref="AC1782:AC1783"/>
    <mergeCell ref="AD1784:AF1785"/>
    <mergeCell ref="AD1782:AF1783"/>
    <mergeCell ref="S1782:X1783"/>
    <mergeCell ref="Y1782:Y1783"/>
    <mergeCell ref="AB1782:AB1783"/>
    <mergeCell ref="Z1784:Z1785"/>
    <mergeCell ref="AA1784:AA1785"/>
    <mergeCell ref="AB1784:AB1785"/>
    <mergeCell ref="Z1782:Z1783"/>
    <mergeCell ref="AD1805:AF1806"/>
    <mergeCell ref="AC1784:AC1785"/>
    <mergeCell ref="AD1807:AF1808"/>
    <mergeCell ref="AA1782:AA1783"/>
    <mergeCell ref="R1782:R1783"/>
    <mergeCell ref="Z1807:Z1808"/>
    <mergeCell ref="AA1807:AA1808"/>
    <mergeCell ref="AB1807:AB1808"/>
    <mergeCell ref="Z1805:Z1806"/>
    <mergeCell ref="AA1805:AA1806"/>
    <mergeCell ref="R1784:R1785"/>
    <mergeCell ref="S1784:X1785"/>
    <mergeCell ref="Y1784:Y1785"/>
    <mergeCell ref="Z1801:AE1801"/>
    <mergeCell ref="S1804:X1804"/>
    <mergeCell ref="AD1804:AF1804"/>
    <mergeCell ref="X1801:Y1801"/>
    <mergeCell ref="AD1733:AF1734"/>
    <mergeCell ref="Z1750:AE1750"/>
    <mergeCell ref="AD1753:AF1753"/>
    <mergeCell ref="AC1733:AC1734"/>
    <mergeCell ref="AC1754:AC1755"/>
    <mergeCell ref="AB1756:AB1757"/>
    <mergeCell ref="AC1756:AC1757"/>
    <mergeCell ref="S1756:X1757"/>
    <mergeCell ref="X1750:Y1750"/>
    <mergeCell ref="S1753:X1753"/>
    <mergeCell ref="Y1756:Y1757"/>
    <mergeCell ref="Z1756:Z1757"/>
    <mergeCell ref="R1733:R1734"/>
    <mergeCell ref="R1750:W1750"/>
    <mergeCell ref="AD1768:AF1769"/>
    <mergeCell ref="AA1768:AA1769"/>
    <mergeCell ref="AB1768:AB1769"/>
    <mergeCell ref="AA1770:AA1771"/>
    <mergeCell ref="AB1770:AB1771"/>
    <mergeCell ref="R1764:W1764"/>
    <mergeCell ref="X1764:Y1764"/>
    <mergeCell ref="Z1764:AE1764"/>
    <mergeCell ref="Z1768:Z1769"/>
    <mergeCell ref="R1770:R1771"/>
    <mergeCell ref="S1770:X1771"/>
    <mergeCell ref="Y1770:Y1771"/>
    <mergeCell ref="Z1770:Z1771"/>
    <mergeCell ref="AC1768:AC1769"/>
    <mergeCell ref="AD1717:AF1718"/>
    <mergeCell ref="R1717:R1718"/>
    <mergeCell ref="S1717:X1718"/>
    <mergeCell ref="Y1717:Y1718"/>
    <mergeCell ref="Z1717:Z1718"/>
    <mergeCell ref="AC1717:AC1718"/>
    <mergeCell ref="AA1717:AA1718"/>
    <mergeCell ref="AB1717:AB1718"/>
    <mergeCell ref="R1719:R1720"/>
    <mergeCell ref="R1727:W1727"/>
    <mergeCell ref="X1727:Y1727"/>
    <mergeCell ref="Z1727:AE1727"/>
    <mergeCell ref="AC1719:AC1720"/>
    <mergeCell ref="AD1719:AF1720"/>
    <mergeCell ref="Z1719:Z1720"/>
    <mergeCell ref="AA1719:AA1720"/>
    <mergeCell ref="AB1719:AB1720"/>
    <mergeCell ref="S1719:X1720"/>
    <mergeCell ref="Y1719:Y1720"/>
    <mergeCell ref="Z1733:Z1734"/>
    <mergeCell ref="AB1733:AB1734"/>
    <mergeCell ref="S1730:X1730"/>
    <mergeCell ref="AD1730:AF1730"/>
    <mergeCell ref="Z1731:Z1732"/>
    <mergeCell ref="AB1731:AB1732"/>
    <mergeCell ref="AD1731:AF1732"/>
    <mergeCell ref="Y1733:Y1734"/>
    <mergeCell ref="R1731:R1732"/>
    <mergeCell ref="S1731:X1732"/>
    <mergeCell ref="AC1731:AC1732"/>
    <mergeCell ref="Y1731:Y1732"/>
    <mergeCell ref="AA1731:AA1732"/>
    <mergeCell ref="AA1733:AA1734"/>
    <mergeCell ref="S1733:X1734"/>
    <mergeCell ref="X1676:Y1676"/>
    <mergeCell ref="Z1676:AE1676"/>
    <mergeCell ref="S1679:X1679"/>
    <mergeCell ref="AD1679:AF1679"/>
    <mergeCell ref="AC1705:AC1706"/>
    <mergeCell ref="AD1705:AF1706"/>
    <mergeCell ref="AB1682:AB1683"/>
    <mergeCell ref="R1699:W1699"/>
    <mergeCell ref="X1699:Y1699"/>
    <mergeCell ref="Z1699:AE1699"/>
    <mergeCell ref="AC1682:AC1683"/>
    <mergeCell ref="AD1682:AF1683"/>
    <mergeCell ref="Z1682:Z1683"/>
    <mergeCell ref="AD1702:AF1702"/>
    <mergeCell ref="R1680:R1681"/>
    <mergeCell ref="S1680:X1681"/>
    <mergeCell ref="AB1680:AB1681"/>
    <mergeCell ref="AC1680:AC1681"/>
    <mergeCell ref="AD1680:AF1681"/>
    <mergeCell ref="AC1652:AC1653"/>
    <mergeCell ref="AA1654:AA1655"/>
    <mergeCell ref="AA1682:AA1683"/>
    <mergeCell ref="R1682:R1683"/>
    <mergeCell ref="S1682:X1683"/>
    <mergeCell ref="Y1682:Y1683"/>
    <mergeCell ref="Y1680:Y1681"/>
    <mergeCell ref="Z1680:Z1681"/>
    <mergeCell ref="AA1680:AA1681"/>
    <mergeCell ref="R1676:W1676"/>
    <mergeCell ref="S1654:X1655"/>
    <mergeCell ref="Y1654:Y1655"/>
    <mergeCell ref="Z1654:Z1655"/>
    <mergeCell ref="AD1651:AF1651"/>
    <mergeCell ref="AC1654:AC1655"/>
    <mergeCell ref="AB1654:AB1655"/>
    <mergeCell ref="AB1652:AB1653"/>
    <mergeCell ref="Z1652:Z1653"/>
    <mergeCell ref="AD1652:AF1653"/>
    <mergeCell ref="AA1652:AA1653"/>
    <mergeCell ref="Y1666:Y1667"/>
    <mergeCell ref="R1662:W1662"/>
    <mergeCell ref="X1662:Y1662"/>
    <mergeCell ref="R1652:R1653"/>
    <mergeCell ref="S1652:X1653"/>
    <mergeCell ref="Z1617:Z1618"/>
    <mergeCell ref="Z1615:Z1616"/>
    <mergeCell ref="Y1617:Y1618"/>
    <mergeCell ref="AC1601:AC1602"/>
    <mergeCell ref="Y1601:Y1602"/>
    <mergeCell ref="Y1603:Y1604"/>
    <mergeCell ref="AC1603:AC1604"/>
    <mergeCell ref="AB1601:AB1602"/>
    <mergeCell ref="AD1631:AF1632"/>
    <mergeCell ref="R1629:R1630"/>
    <mergeCell ref="S1629:X1630"/>
    <mergeCell ref="Y1629:Y1630"/>
    <mergeCell ref="S1628:X1628"/>
    <mergeCell ref="R1625:W1625"/>
    <mergeCell ref="X1625:Y1625"/>
    <mergeCell ref="AD1628:AF1628"/>
    <mergeCell ref="AC1631:AC1632"/>
    <mergeCell ref="R1631:R1632"/>
    <mergeCell ref="S1631:X1632"/>
    <mergeCell ref="Y1631:Y1632"/>
    <mergeCell ref="Z1629:Z1630"/>
    <mergeCell ref="AB1631:AB1632"/>
    <mergeCell ref="AA1629:AA1630"/>
    <mergeCell ref="AA1631:AA1632"/>
    <mergeCell ref="Z1631:Z1632"/>
    <mergeCell ref="R1648:W1648"/>
    <mergeCell ref="Z1662:AE1662"/>
    <mergeCell ref="R1654:R1655"/>
    <mergeCell ref="AD1654:AF1655"/>
    <mergeCell ref="R1668:R1669"/>
    <mergeCell ref="S1668:X1669"/>
    <mergeCell ref="Y1668:Y1669"/>
    <mergeCell ref="Z1668:Z1669"/>
    <mergeCell ref="X1648:Y1648"/>
    <mergeCell ref="S1651:X1651"/>
    <mergeCell ref="Z1648:AE1648"/>
    <mergeCell ref="Y1652:Y1653"/>
    <mergeCell ref="R1666:R1667"/>
    <mergeCell ref="S1666:X1667"/>
    <mergeCell ref="AD1666:AF1667"/>
    <mergeCell ref="AD1668:AF1669"/>
    <mergeCell ref="AA1668:AA1669"/>
    <mergeCell ref="AB1668:AB1669"/>
    <mergeCell ref="AC1668:AC1669"/>
    <mergeCell ref="Z1666:Z1667"/>
    <mergeCell ref="AA1666:AA1667"/>
    <mergeCell ref="AB1666:AB1667"/>
    <mergeCell ref="AC1666:AC1667"/>
    <mergeCell ref="AD1617:AF1618"/>
    <mergeCell ref="R1611:W1611"/>
    <mergeCell ref="X1611:Y1611"/>
    <mergeCell ref="Z1611:AE1611"/>
    <mergeCell ref="AC1617:AC1618"/>
    <mergeCell ref="AA1617:AA1618"/>
    <mergeCell ref="AB1617:AB1618"/>
    <mergeCell ref="R1615:R1616"/>
    <mergeCell ref="AC1615:AC1616"/>
    <mergeCell ref="X1523:Y1523"/>
    <mergeCell ref="Z1523:AE1523"/>
    <mergeCell ref="AC1515:AC1516"/>
    <mergeCell ref="AD1515:AF1516"/>
    <mergeCell ref="AC1527:AC1528"/>
    <mergeCell ref="Y1527:Y1528"/>
    <mergeCell ref="AA1527:AA1528"/>
    <mergeCell ref="AA1529:AA1530"/>
    <mergeCell ref="S1529:X1530"/>
    <mergeCell ref="Y1515:Y1516"/>
    <mergeCell ref="Z1529:Z1530"/>
    <mergeCell ref="AB1529:AB1530"/>
    <mergeCell ref="S1526:X1526"/>
    <mergeCell ref="Z1515:Z1516"/>
    <mergeCell ref="R1574:W1574"/>
    <mergeCell ref="X1574:Y1574"/>
    <mergeCell ref="Z1574:AE1574"/>
    <mergeCell ref="S1577:X1577"/>
    <mergeCell ref="AD1577:AF1577"/>
    <mergeCell ref="AD1629:AF1630"/>
    <mergeCell ref="AB1629:AB1630"/>
    <mergeCell ref="AC1629:AC1630"/>
    <mergeCell ref="S1615:X1616"/>
    <mergeCell ref="Y1615:Y1616"/>
    <mergeCell ref="Y1578:Y1579"/>
    <mergeCell ref="AB1578:AB1579"/>
    <mergeCell ref="Z1580:Z1581"/>
    <mergeCell ref="AA1580:AA1581"/>
    <mergeCell ref="AB1580:AB1581"/>
    <mergeCell ref="Z1578:Z1579"/>
    <mergeCell ref="Z1603:Z1604"/>
    <mergeCell ref="AA1603:AA1604"/>
    <mergeCell ref="AB1603:AB1604"/>
    <mergeCell ref="Z1601:Z1602"/>
    <mergeCell ref="AA1601:AA1602"/>
    <mergeCell ref="AC1578:AC1579"/>
    <mergeCell ref="S1600:X1600"/>
    <mergeCell ref="AD1600:AF1600"/>
    <mergeCell ref="X1597:Y1597"/>
    <mergeCell ref="R1597:W1597"/>
    <mergeCell ref="AD1601:AF1602"/>
    <mergeCell ref="AC1580:AC1581"/>
    <mergeCell ref="R1601:R1602"/>
    <mergeCell ref="AD1580:AF1581"/>
    <mergeCell ref="S1601:X1602"/>
    <mergeCell ref="AB1552:AB1553"/>
    <mergeCell ref="AC1552:AC1553"/>
    <mergeCell ref="R1580:R1581"/>
    <mergeCell ref="S1580:X1581"/>
    <mergeCell ref="Y1580:Y1581"/>
    <mergeCell ref="Z1597:AE1597"/>
    <mergeCell ref="AA1578:AA1579"/>
    <mergeCell ref="R1578:R1579"/>
    <mergeCell ref="AD1578:AF1579"/>
    <mergeCell ref="S1578:X1579"/>
    <mergeCell ref="AD1603:AF1604"/>
    <mergeCell ref="AD1615:AF1616"/>
    <mergeCell ref="R1603:R1604"/>
    <mergeCell ref="Z1625:AE1625"/>
    <mergeCell ref="R1617:R1618"/>
    <mergeCell ref="S1617:X1618"/>
    <mergeCell ref="AA1615:AA1616"/>
    <mergeCell ref="AB1615:AB1616"/>
    <mergeCell ref="S1603:X1604"/>
    <mergeCell ref="AD1478:AF1479"/>
    <mergeCell ref="Z1478:Z1479"/>
    <mergeCell ref="AD1498:AF1498"/>
    <mergeCell ref="R1476:R1477"/>
    <mergeCell ref="S1476:X1477"/>
    <mergeCell ref="AB1476:AB1477"/>
    <mergeCell ref="AC1476:AC1477"/>
    <mergeCell ref="AD1476:AF1477"/>
    <mergeCell ref="AA1478:AA1479"/>
    <mergeCell ref="R1478:R1479"/>
    <mergeCell ref="S1478:X1479"/>
    <mergeCell ref="Y1478:Y1479"/>
    <mergeCell ref="Y1476:Y1477"/>
    <mergeCell ref="Z1476:Z1477"/>
    <mergeCell ref="AA1476:AA1477"/>
    <mergeCell ref="R1529:R1530"/>
    <mergeCell ref="R1546:W1546"/>
    <mergeCell ref="Z1560:AE1560"/>
    <mergeCell ref="AD1552:AF1553"/>
    <mergeCell ref="AA1552:AA1553"/>
    <mergeCell ref="AD1529:AF1530"/>
    <mergeCell ref="Z1546:AE1546"/>
    <mergeCell ref="AD1549:AF1549"/>
    <mergeCell ref="AC1529:AC1530"/>
    <mergeCell ref="AC1550:AC1551"/>
    <mergeCell ref="S1552:X1553"/>
    <mergeCell ref="X1546:Y1546"/>
    <mergeCell ref="S1549:X1549"/>
    <mergeCell ref="Y1552:Y1553"/>
    <mergeCell ref="R1552:R1553"/>
    <mergeCell ref="Z1552:Z1553"/>
    <mergeCell ref="Z1566:Z1567"/>
    <mergeCell ref="AC1564:AC1565"/>
    <mergeCell ref="AD1564:AF1565"/>
    <mergeCell ref="AA1564:AA1565"/>
    <mergeCell ref="AB1564:AB1565"/>
    <mergeCell ref="AA1566:AA1567"/>
    <mergeCell ref="AB1566:AB1567"/>
    <mergeCell ref="AB1513:AB1514"/>
    <mergeCell ref="AC1566:AC1567"/>
    <mergeCell ref="AD1566:AF1567"/>
    <mergeCell ref="R1564:R1565"/>
    <mergeCell ref="S1564:X1565"/>
    <mergeCell ref="Y1564:Y1565"/>
    <mergeCell ref="Z1564:Z1565"/>
    <mergeCell ref="R1566:R1567"/>
    <mergeCell ref="S1566:X1567"/>
    <mergeCell ref="Y1566:Y1567"/>
    <mergeCell ref="AA1515:AA1516"/>
    <mergeCell ref="AB1515:AB1516"/>
    <mergeCell ref="S1515:X1516"/>
    <mergeCell ref="AD1513:AF1514"/>
    <mergeCell ref="R1513:R1514"/>
    <mergeCell ref="S1513:X1514"/>
    <mergeCell ref="Y1513:Y1514"/>
    <mergeCell ref="Z1513:Z1514"/>
    <mergeCell ref="AC1513:AC1514"/>
    <mergeCell ref="AA1513:AA1514"/>
    <mergeCell ref="AD1526:AF1526"/>
    <mergeCell ref="Z1527:Z1528"/>
    <mergeCell ref="AB1527:AB1528"/>
    <mergeCell ref="AD1527:AF1528"/>
    <mergeCell ref="R1515:R1516"/>
    <mergeCell ref="R1523:W1523"/>
    <mergeCell ref="Z1509:AE1509"/>
    <mergeCell ref="AA1501:AA1502"/>
    <mergeCell ref="AB1501:AB1502"/>
    <mergeCell ref="Y1499:Y1500"/>
    <mergeCell ref="Y1501:Y1502"/>
    <mergeCell ref="R1501:R1502"/>
    <mergeCell ref="S1501:X1502"/>
    <mergeCell ref="Z1501:Z1502"/>
    <mergeCell ref="R1499:R1500"/>
    <mergeCell ref="AB1499:AB1500"/>
    <mergeCell ref="Z1450:Z1451"/>
    <mergeCell ref="AD1447:AF1447"/>
    <mergeCell ref="AC1450:AC1451"/>
    <mergeCell ref="AB1450:AB1451"/>
    <mergeCell ref="AB1448:AB1449"/>
    <mergeCell ref="Z1448:Z1449"/>
    <mergeCell ref="AD1448:AF1449"/>
    <mergeCell ref="AA1448:AA1449"/>
    <mergeCell ref="AC1448:AC1449"/>
    <mergeCell ref="AA1450:AA1451"/>
    <mergeCell ref="R1448:R1449"/>
    <mergeCell ref="Z1427:Z1428"/>
    <mergeCell ref="R1444:W1444"/>
    <mergeCell ref="AC1427:AC1428"/>
    <mergeCell ref="Z1458:AE1458"/>
    <mergeCell ref="R1450:R1451"/>
    <mergeCell ref="AD1450:AF1451"/>
    <mergeCell ref="R1427:R1428"/>
    <mergeCell ref="S1450:X1451"/>
    <mergeCell ref="Y1450:Y1451"/>
    <mergeCell ref="X1444:Y1444"/>
    <mergeCell ref="S1447:X1447"/>
    <mergeCell ref="Z1444:AE1444"/>
    <mergeCell ref="S1448:X1449"/>
    <mergeCell ref="Y1448:Y1449"/>
    <mergeCell ref="R1462:R1463"/>
    <mergeCell ref="S1462:X1463"/>
    <mergeCell ref="Y1462:Y1463"/>
    <mergeCell ref="R1458:W1458"/>
    <mergeCell ref="X1458:Y1458"/>
    <mergeCell ref="AB1462:AB1463"/>
    <mergeCell ref="AC1462:AC1463"/>
    <mergeCell ref="R1464:R1465"/>
    <mergeCell ref="S1464:X1465"/>
    <mergeCell ref="Y1464:Y1465"/>
    <mergeCell ref="Z1464:Z1465"/>
    <mergeCell ref="AC1499:AC1500"/>
    <mergeCell ref="AD1499:AF1500"/>
    <mergeCell ref="AA1499:AA1500"/>
    <mergeCell ref="Z1495:AE1495"/>
    <mergeCell ref="S1499:X1500"/>
    <mergeCell ref="S1498:X1498"/>
    <mergeCell ref="Z1499:Z1500"/>
    <mergeCell ref="R1472:W1472"/>
    <mergeCell ref="X1472:Y1472"/>
    <mergeCell ref="Z1472:AE1472"/>
    <mergeCell ref="S1475:X1475"/>
    <mergeCell ref="AD1475:AF1475"/>
    <mergeCell ref="AC1501:AC1502"/>
    <mergeCell ref="AD1501:AF1502"/>
    <mergeCell ref="AB1478:AB1479"/>
    <mergeCell ref="R1495:W1495"/>
    <mergeCell ref="X1495:Y1495"/>
    <mergeCell ref="AC1478:AC1479"/>
    <mergeCell ref="AD1462:AF1463"/>
    <mergeCell ref="AD1464:AF1465"/>
    <mergeCell ref="AA1464:AA1465"/>
    <mergeCell ref="AB1464:AB1465"/>
    <mergeCell ref="AC1464:AC1465"/>
    <mergeCell ref="Z1462:Z1463"/>
    <mergeCell ref="AA1462:AA1463"/>
    <mergeCell ref="AC1411:AC1412"/>
    <mergeCell ref="AC1399:AC1400"/>
    <mergeCell ref="R1399:R1400"/>
    <mergeCell ref="AD1424:AF1424"/>
    <mergeCell ref="AD1413:AF1414"/>
    <mergeCell ref="R1407:W1407"/>
    <mergeCell ref="X1407:Y1407"/>
    <mergeCell ref="Z1407:AE1407"/>
    <mergeCell ref="AC1413:AC1414"/>
    <mergeCell ref="AA1413:AA1414"/>
    <mergeCell ref="AC1397:AC1398"/>
    <mergeCell ref="Y1397:Y1398"/>
    <mergeCell ref="Y1399:Y1400"/>
    <mergeCell ref="AB1397:AB1398"/>
    <mergeCell ref="Z1421:AE1421"/>
    <mergeCell ref="R1413:R1414"/>
    <mergeCell ref="S1413:X1414"/>
    <mergeCell ref="AA1411:AA1412"/>
    <mergeCell ref="AB1411:AB1412"/>
    <mergeCell ref="S1399:X1400"/>
    <mergeCell ref="R1421:W1421"/>
    <mergeCell ref="X1421:Y1421"/>
    <mergeCell ref="S1397:X1398"/>
    <mergeCell ref="S1411:X1412"/>
    <mergeCell ref="Y1411:Y1412"/>
    <mergeCell ref="Z1411:Z1412"/>
    <mergeCell ref="Y1413:Y1414"/>
    <mergeCell ref="Z1413:Z1414"/>
    <mergeCell ref="AA1427:AA1428"/>
    <mergeCell ref="AD1427:AF1428"/>
    <mergeCell ref="R1425:R1426"/>
    <mergeCell ref="S1425:X1426"/>
    <mergeCell ref="Y1425:Y1426"/>
    <mergeCell ref="S1424:X1424"/>
    <mergeCell ref="R1397:R1398"/>
    <mergeCell ref="Z1319:AE1319"/>
    <mergeCell ref="AC1311:AC1312"/>
    <mergeCell ref="AD1311:AF1312"/>
    <mergeCell ref="R1393:W1393"/>
    <mergeCell ref="AD1425:AF1426"/>
    <mergeCell ref="AB1425:AB1426"/>
    <mergeCell ref="AC1425:AC1426"/>
    <mergeCell ref="S1427:X1428"/>
    <mergeCell ref="Y1427:Y1428"/>
    <mergeCell ref="Z1425:Z1426"/>
    <mergeCell ref="AB1427:AB1428"/>
    <mergeCell ref="AA1425:AA1426"/>
    <mergeCell ref="R1370:W1370"/>
    <mergeCell ref="X1370:Y1370"/>
    <mergeCell ref="Z1370:AE1370"/>
    <mergeCell ref="S1373:X1373"/>
    <mergeCell ref="AD1373:AF1373"/>
    <mergeCell ref="AC1362:AC1363"/>
    <mergeCell ref="AD1362:AF1363"/>
    <mergeCell ref="AC1374:AC1375"/>
    <mergeCell ref="AD1376:AF1377"/>
    <mergeCell ref="AD1374:AF1375"/>
    <mergeCell ref="S1374:X1375"/>
    <mergeCell ref="Y1374:Y1375"/>
    <mergeCell ref="AB1374:AB1375"/>
    <mergeCell ref="Z1376:Z1377"/>
    <mergeCell ref="AA1376:AA1377"/>
    <mergeCell ref="AB1376:AB1377"/>
    <mergeCell ref="Z1374:Z1375"/>
    <mergeCell ref="AD1397:AF1398"/>
    <mergeCell ref="AC1376:AC1377"/>
    <mergeCell ref="AD1399:AF1400"/>
    <mergeCell ref="AA1374:AA1375"/>
    <mergeCell ref="R1374:R1375"/>
    <mergeCell ref="Z1399:Z1400"/>
    <mergeCell ref="AA1399:AA1400"/>
    <mergeCell ref="AB1399:AB1400"/>
    <mergeCell ref="Z1397:Z1398"/>
    <mergeCell ref="AA1397:AA1398"/>
    <mergeCell ref="R1376:R1377"/>
    <mergeCell ref="S1376:X1377"/>
    <mergeCell ref="Y1376:Y1377"/>
    <mergeCell ref="Z1393:AE1393"/>
    <mergeCell ref="S1396:X1396"/>
    <mergeCell ref="AD1396:AF1396"/>
    <mergeCell ref="X1393:Y1393"/>
    <mergeCell ref="AB1413:AB1414"/>
    <mergeCell ref="R1411:R1412"/>
    <mergeCell ref="AD1411:AF1412"/>
    <mergeCell ref="Y1274:Y1275"/>
    <mergeCell ref="Y1272:Y1273"/>
    <mergeCell ref="Z1272:Z1273"/>
    <mergeCell ref="AA1272:AA1273"/>
    <mergeCell ref="Z1305:AE1305"/>
    <mergeCell ref="AA1297:AA1298"/>
    <mergeCell ref="AB1297:AB1298"/>
    <mergeCell ref="Y1295:Y1296"/>
    <mergeCell ref="Y1297:Y1298"/>
    <mergeCell ref="R1297:R1298"/>
    <mergeCell ref="S1297:X1298"/>
    <mergeCell ref="Z1297:Z1298"/>
    <mergeCell ref="AB1295:AB1296"/>
    <mergeCell ref="AC1295:AC1296"/>
    <mergeCell ref="Z1356:AE1356"/>
    <mergeCell ref="AD1348:AF1349"/>
    <mergeCell ref="AA1348:AA1349"/>
    <mergeCell ref="AD1325:AF1326"/>
    <mergeCell ref="Z1342:AE1342"/>
    <mergeCell ref="AD1345:AF1345"/>
    <mergeCell ref="AC1325:AC1326"/>
    <mergeCell ref="AC1346:AC1347"/>
    <mergeCell ref="AB1348:AB1349"/>
    <mergeCell ref="AC1348:AC1349"/>
    <mergeCell ref="X1342:Y1342"/>
    <mergeCell ref="S1345:X1345"/>
    <mergeCell ref="Y1348:Y1349"/>
    <mergeCell ref="Z1348:Z1349"/>
    <mergeCell ref="R1325:R1326"/>
    <mergeCell ref="R1342:W1342"/>
    <mergeCell ref="Z1362:Z1363"/>
    <mergeCell ref="AC1360:AC1361"/>
    <mergeCell ref="AD1360:AF1361"/>
    <mergeCell ref="AA1360:AA1361"/>
    <mergeCell ref="AB1360:AB1361"/>
    <mergeCell ref="AA1362:AA1363"/>
    <mergeCell ref="AB1362:AB1363"/>
    <mergeCell ref="AA1309:AA1310"/>
    <mergeCell ref="AB1309:AB1310"/>
    <mergeCell ref="R1360:R1361"/>
    <mergeCell ref="S1360:X1361"/>
    <mergeCell ref="Y1360:Y1361"/>
    <mergeCell ref="Z1360:Z1361"/>
    <mergeCell ref="R1356:W1356"/>
    <mergeCell ref="X1356:Y1356"/>
    <mergeCell ref="Y1325:Y1326"/>
    <mergeCell ref="S1348:X1349"/>
    <mergeCell ref="Z1311:Z1312"/>
    <mergeCell ref="AA1311:AA1312"/>
    <mergeCell ref="AB1311:AB1312"/>
    <mergeCell ref="S1311:X1312"/>
    <mergeCell ref="AD1309:AF1310"/>
    <mergeCell ref="R1309:R1310"/>
    <mergeCell ref="S1309:X1310"/>
    <mergeCell ref="Y1309:Y1310"/>
    <mergeCell ref="Z1309:Z1310"/>
    <mergeCell ref="AC1309:AC1310"/>
    <mergeCell ref="AD1322:AF1322"/>
    <mergeCell ref="Z1323:Z1324"/>
    <mergeCell ref="AB1323:AB1324"/>
    <mergeCell ref="AD1323:AF1324"/>
    <mergeCell ref="R1311:R1312"/>
    <mergeCell ref="R1319:W1319"/>
    <mergeCell ref="X1319:Y1319"/>
    <mergeCell ref="R1254:W1254"/>
    <mergeCell ref="X1254:Y1254"/>
    <mergeCell ref="Z1258:Z1259"/>
    <mergeCell ref="Z1254:AE1254"/>
    <mergeCell ref="R1246:R1247"/>
    <mergeCell ref="AD1246:AF1247"/>
    <mergeCell ref="S1246:X1247"/>
    <mergeCell ref="Y1246:Y1247"/>
    <mergeCell ref="Z1246:Z1247"/>
    <mergeCell ref="AA1246:AA1247"/>
    <mergeCell ref="S1260:X1261"/>
    <mergeCell ref="Y1260:Y1261"/>
    <mergeCell ref="Z1260:Z1261"/>
    <mergeCell ref="R1258:R1259"/>
    <mergeCell ref="S1258:X1259"/>
    <mergeCell ref="Y1258:Y1259"/>
    <mergeCell ref="R1244:R1245"/>
    <mergeCell ref="AD1258:AF1259"/>
    <mergeCell ref="AD1260:AF1261"/>
    <mergeCell ref="AA1260:AA1261"/>
    <mergeCell ref="AB1260:AB1261"/>
    <mergeCell ref="AC1260:AC1261"/>
    <mergeCell ref="AA1258:AA1259"/>
    <mergeCell ref="AB1258:AB1259"/>
    <mergeCell ref="AC1258:AC1259"/>
    <mergeCell ref="R1260:R1261"/>
    <mergeCell ref="R1295:R1296"/>
    <mergeCell ref="AC1323:AC1324"/>
    <mergeCell ref="Y1323:Y1324"/>
    <mergeCell ref="AA1323:AA1324"/>
    <mergeCell ref="AA1325:AA1326"/>
    <mergeCell ref="S1325:X1326"/>
    <mergeCell ref="Y1311:Y1312"/>
    <mergeCell ref="Z1325:Z1326"/>
    <mergeCell ref="AB1325:AB1326"/>
    <mergeCell ref="S1322:X1322"/>
    <mergeCell ref="Z1291:AE1291"/>
    <mergeCell ref="AD1295:AF1296"/>
    <mergeCell ref="S1295:X1296"/>
    <mergeCell ref="S1294:X1294"/>
    <mergeCell ref="Z1295:Z1296"/>
    <mergeCell ref="AA1295:AA1296"/>
    <mergeCell ref="R1268:W1268"/>
    <mergeCell ref="X1268:Y1268"/>
    <mergeCell ref="Z1268:AE1268"/>
    <mergeCell ref="S1271:X1271"/>
    <mergeCell ref="AD1271:AF1271"/>
    <mergeCell ref="AC1297:AC1298"/>
    <mergeCell ref="AD1297:AF1298"/>
    <mergeCell ref="AB1274:AB1275"/>
    <mergeCell ref="R1291:W1291"/>
    <mergeCell ref="X1291:Y1291"/>
    <mergeCell ref="AC1274:AC1275"/>
    <mergeCell ref="AD1274:AF1275"/>
    <mergeCell ref="Z1274:Z1275"/>
    <mergeCell ref="AD1294:AF1294"/>
    <mergeCell ref="R1272:R1273"/>
    <mergeCell ref="S1272:X1273"/>
    <mergeCell ref="AB1272:AB1273"/>
    <mergeCell ref="AC1272:AC1273"/>
    <mergeCell ref="AD1272:AF1273"/>
    <mergeCell ref="AA1274:AA1275"/>
    <mergeCell ref="R1274:R1275"/>
    <mergeCell ref="S1274:X1275"/>
    <mergeCell ref="R1221:R1222"/>
    <mergeCell ref="S1221:X1222"/>
    <mergeCell ref="Y1221:Y1222"/>
    <mergeCell ref="S1220:X1220"/>
    <mergeCell ref="R1207:R1208"/>
    <mergeCell ref="R1217:W1217"/>
    <mergeCell ref="R1240:W1240"/>
    <mergeCell ref="R1223:R1224"/>
    <mergeCell ref="AD1221:AF1222"/>
    <mergeCell ref="AB1221:AB1222"/>
    <mergeCell ref="AC1221:AC1222"/>
    <mergeCell ref="S1223:X1224"/>
    <mergeCell ref="Y1223:Y1224"/>
    <mergeCell ref="Z1221:Z1222"/>
    <mergeCell ref="AB1223:AB1224"/>
    <mergeCell ref="X1240:Y1240"/>
    <mergeCell ref="AD1223:AF1224"/>
    <mergeCell ref="AB1246:AB1247"/>
    <mergeCell ref="AB1244:AB1245"/>
    <mergeCell ref="Z1244:Z1245"/>
    <mergeCell ref="AA1244:AA1245"/>
    <mergeCell ref="AC1246:AC1247"/>
    <mergeCell ref="AA1172:AA1173"/>
    <mergeCell ref="AB1172:AB1173"/>
    <mergeCell ref="AA1221:AA1222"/>
    <mergeCell ref="AA1223:AA1224"/>
    <mergeCell ref="Z1223:Z1224"/>
    <mergeCell ref="AC1223:AC1224"/>
    <mergeCell ref="Z1207:Z1208"/>
    <mergeCell ref="AA1207:AA1208"/>
    <mergeCell ref="AB1209:AB1210"/>
    <mergeCell ref="AC1209:AC1210"/>
    <mergeCell ref="AB1193:AB1194"/>
    <mergeCell ref="X1189:Y1189"/>
    <mergeCell ref="AC1172:AC1173"/>
    <mergeCell ref="S1243:X1243"/>
    <mergeCell ref="Z1240:AE1240"/>
    <mergeCell ref="AC1244:AC1245"/>
    <mergeCell ref="S1244:X1245"/>
    <mergeCell ref="AD1244:AF1245"/>
    <mergeCell ref="AD1243:AF1243"/>
    <mergeCell ref="Y1244:Y1245"/>
    <mergeCell ref="AC1170:AC1171"/>
    <mergeCell ref="AD1172:AF1173"/>
    <mergeCell ref="AD1170:AF1171"/>
    <mergeCell ref="S1170:X1171"/>
    <mergeCell ref="Y1170:Y1171"/>
    <mergeCell ref="AB1170:AB1171"/>
    <mergeCell ref="Z1172:Z1173"/>
    <mergeCell ref="AD1192:AF1192"/>
    <mergeCell ref="AD1193:AF1194"/>
    <mergeCell ref="Z1170:Z1171"/>
    <mergeCell ref="AA1170:AA1171"/>
    <mergeCell ref="R1170:R1171"/>
    <mergeCell ref="Z1195:Z1196"/>
    <mergeCell ref="AA1195:AA1196"/>
    <mergeCell ref="AB1195:AB1196"/>
    <mergeCell ref="Z1193:Z1194"/>
    <mergeCell ref="AA1193:AA1194"/>
    <mergeCell ref="Z1209:Z1210"/>
    <mergeCell ref="AC1207:AC1208"/>
    <mergeCell ref="S1195:X1196"/>
    <mergeCell ref="Y1195:Y1196"/>
    <mergeCell ref="AC1195:AC1196"/>
    <mergeCell ref="R1172:R1173"/>
    <mergeCell ref="S1172:X1173"/>
    <mergeCell ref="Y1172:Y1173"/>
    <mergeCell ref="Z1189:AE1189"/>
    <mergeCell ref="S1192:X1192"/>
    <mergeCell ref="AC1142:AC1143"/>
    <mergeCell ref="AB1144:AB1145"/>
    <mergeCell ref="AC1144:AC1145"/>
    <mergeCell ref="AC1193:AC1194"/>
    <mergeCell ref="Y1193:Y1194"/>
    <mergeCell ref="AD1220:AF1220"/>
    <mergeCell ref="AD1209:AF1210"/>
    <mergeCell ref="X1203:Y1203"/>
    <mergeCell ref="Z1203:AE1203"/>
    <mergeCell ref="AB1207:AB1208"/>
    <mergeCell ref="Z1144:Z1145"/>
    <mergeCell ref="AD1169:AF1169"/>
    <mergeCell ref="AA1209:AA1210"/>
    <mergeCell ref="AD1195:AF1196"/>
    <mergeCell ref="AD1207:AF1208"/>
    <mergeCell ref="R1195:R1196"/>
    <mergeCell ref="Z1217:AE1217"/>
    <mergeCell ref="R1209:R1210"/>
    <mergeCell ref="S1209:X1210"/>
    <mergeCell ref="S1207:X1208"/>
    <mergeCell ref="Y1207:Y1208"/>
    <mergeCell ref="Y1209:Y1210"/>
    <mergeCell ref="AC1156:AC1157"/>
    <mergeCell ref="AD1156:AF1157"/>
    <mergeCell ref="AA1156:AA1157"/>
    <mergeCell ref="AB1156:AB1157"/>
    <mergeCell ref="AA1158:AA1159"/>
    <mergeCell ref="AB1158:AB1159"/>
    <mergeCell ref="Y1156:Y1157"/>
    <mergeCell ref="Z1156:Z1157"/>
    <mergeCell ref="R1158:R1159"/>
    <mergeCell ref="S1158:X1159"/>
    <mergeCell ref="Y1158:Y1159"/>
    <mergeCell ref="Z1158:Z1159"/>
    <mergeCell ref="R1144:R1145"/>
    <mergeCell ref="AB1105:AB1106"/>
    <mergeCell ref="R1166:W1166"/>
    <mergeCell ref="X1166:Y1166"/>
    <mergeCell ref="Z1166:AE1166"/>
    <mergeCell ref="AC1158:AC1159"/>
    <mergeCell ref="AD1158:AF1159"/>
    <mergeCell ref="R1156:R1157"/>
    <mergeCell ref="S1156:X1157"/>
    <mergeCell ref="Z1107:Z1108"/>
    <mergeCell ref="AA1107:AA1108"/>
    <mergeCell ref="AB1107:AB1108"/>
    <mergeCell ref="S1107:X1108"/>
    <mergeCell ref="AD1105:AF1106"/>
    <mergeCell ref="R1105:R1106"/>
    <mergeCell ref="S1105:X1106"/>
    <mergeCell ref="Y1105:Y1106"/>
    <mergeCell ref="Z1105:Z1106"/>
    <mergeCell ref="AC1105:AC1106"/>
    <mergeCell ref="AD1118:AF1118"/>
    <mergeCell ref="Z1119:Z1120"/>
    <mergeCell ref="AB1119:AB1120"/>
    <mergeCell ref="AD1119:AF1120"/>
    <mergeCell ref="R1107:R1108"/>
    <mergeCell ref="R1115:W1115"/>
    <mergeCell ref="X1115:Y1115"/>
    <mergeCell ref="Z1115:AE1115"/>
    <mergeCell ref="AC1107:AC1108"/>
    <mergeCell ref="AD1107:AF1108"/>
    <mergeCell ref="S1067:X1067"/>
    <mergeCell ref="AD1067:AF1067"/>
    <mergeCell ref="Y1068:Y1069"/>
    <mergeCell ref="Z1068:Z1069"/>
    <mergeCell ref="AA1068:AA1069"/>
    <mergeCell ref="Z1087:AE1087"/>
    <mergeCell ref="AC1070:AC1071"/>
    <mergeCell ref="AD1070:AF1071"/>
    <mergeCell ref="Z1070:Z1071"/>
    <mergeCell ref="AB1070:AB1071"/>
    <mergeCell ref="X1087:Y1087"/>
    <mergeCell ref="Y1091:Y1092"/>
    <mergeCell ref="Y1093:Y1094"/>
    <mergeCell ref="R1093:R1094"/>
    <mergeCell ref="S1093:X1094"/>
    <mergeCell ref="Z1093:Z1094"/>
    <mergeCell ref="AA1070:AA1071"/>
    <mergeCell ref="R1070:R1071"/>
    <mergeCell ref="S1070:X1071"/>
    <mergeCell ref="Y1070:Y1071"/>
    <mergeCell ref="R1087:W1087"/>
    <mergeCell ref="R1121:R1122"/>
    <mergeCell ref="R1138:W1138"/>
    <mergeCell ref="Z1152:AE1152"/>
    <mergeCell ref="AD1144:AF1145"/>
    <mergeCell ref="AA1144:AA1145"/>
    <mergeCell ref="AD1121:AF1122"/>
    <mergeCell ref="Z1138:AE1138"/>
    <mergeCell ref="AD1141:AF1141"/>
    <mergeCell ref="AC1121:AC1122"/>
    <mergeCell ref="R1152:W1152"/>
    <mergeCell ref="X1152:Y1152"/>
    <mergeCell ref="Y1121:Y1122"/>
    <mergeCell ref="S1144:X1145"/>
    <mergeCell ref="X1138:Y1138"/>
    <mergeCell ref="Y1144:Y1145"/>
    <mergeCell ref="AB1019:AB1020"/>
    <mergeCell ref="AA1019:AA1020"/>
    <mergeCell ref="AD1019:AF1020"/>
    <mergeCell ref="Z1101:AE1101"/>
    <mergeCell ref="AA1093:AA1094"/>
    <mergeCell ref="AB1093:AB1094"/>
    <mergeCell ref="AD1090:AF1090"/>
    <mergeCell ref="AC1093:AC1094"/>
    <mergeCell ref="AD1093:AF1094"/>
    <mergeCell ref="AB1091:AB1092"/>
    <mergeCell ref="AD1039:AF1039"/>
    <mergeCell ref="AC1042:AC1043"/>
    <mergeCell ref="AB1042:AB1043"/>
    <mergeCell ref="AB1040:AB1041"/>
    <mergeCell ref="Z1040:Z1041"/>
    <mergeCell ref="AD1040:AF1041"/>
    <mergeCell ref="AA1040:AA1041"/>
    <mergeCell ref="AC1040:AC1041"/>
    <mergeCell ref="AA1042:AA1043"/>
    <mergeCell ref="Z1019:Z1020"/>
    <mergeCell ref="R1036:W1036"/>
    <mergeCell ref="AC1019:AC1020"/>
    <mergeCell ref="Z1050:AE1050"/>
    <mergeCell ref="R1042:R1043"/>
    <mergeCell ref="AD1042:AF1043"/>
    <mergeCell ref="R1019:R1020"/>
    <mergeCell ref="S1042:X1043"/>
    <mergeCell ref="Y1042:Y1043"/>
    <mergeCell ref="Z1042:Z1043"/>
    <mergeCell ref="S1039:X1039"/>
    <mergeCell ref="Z1036:AE1036"/>
    <mergeCell ref="S1040:X1041"/>
    <mergeCell ref="Y1040:Y1041"/>
    <mergeCell ref="R1054:R1055"/>
    <mergeCell ref="S1054:X1055"/>
    <mergeCell ref="Y1054:Y1055"/>
    <mergeCell ref="R1050:W1050"/>
    <mergeCell ref="X1050:Y1050"/>
    <mergeCell ref="R1040:R1041"/>
    <mergeCell ref="AD1054:AF1055"/>
    <mergeCell ref="AD1056:AF1057"/>
    <mergeCell ref="AA1056:AA1057"/>
    <mergeCell ref="AB1056:AB1057"/>
    <mergeCell ref="AC1056:AC1057"/>
    <mergeCell ref="Z1054:Z1055"/>
    <mergeCell ref="AA1054:AA1055"/>
    <mergeCell ref="AB1054:AB1055"/>
    <mergeCell ref="AC1054:AC1055"/>
    <mergeCell ref="Z1056:Z1057"/>
    <mergeCell ref="S1090:X1090"/>
    <mergeCell ref="AC1091:AC1092"/>
    <mergeCell ref="AD1091:AF1092"/>
    <mergeCell ref="Z1091:Z1092"/>
    <mergeCell ref="AA1091:AA1092"/>
    <mergeCell ref="R1091:R1092"/>
    <mergeCell ref="S1091:X1092"/>
    <mergeCell ref="R1068:R1069"/>
    <mergeCell ref="S1068:X1069"/>
    <mergeCell ref="AB1068:AB1069"/>
    <mergeCell ref="AC1068:AC1069"/>
    <mergeCell ref="AD1068:AF1069"/>
    <mergeCell ref="AA1105:AA1106"/>
    <mergeCell ref="R1064:W1064"/>
    <mergeCell ref="X1064:Y1064"/>
    <mergeCell ref="Z1064:AE1064"/>
    <mergeCell ref="AD1017:AF1018"/>
    <mergeCell ref="AB1017:AB1018"/>
    <mergeCell ref="AC1017:AC1018"/>
    <mergeCell ref="Z1017:Z1018"/>
    <mergeCell ref="AA1017:AA1018"/>
    <mergeCell ref="AA989:AA990"/>
    <mergeCell ref="AC966:AC967"/>
    <mergeCell ref="AD968:AF969"/>
    <mergeCell ref="AD966:AF967"/>
    <mergeCell ref="S966:X967"/>
    <mergeCell ref="Y966:Y967"/>
    <mergeCell ref="AB966:AB967"/>
    <mergeCell ref="Z968:Z969"/>
    <mergeCell ref="AA968:AA969"/>
    <mergeCell ref="AB968:AB969"/>
    <mergeCell ref="S988:X988"/>
    <mergeCell ref="AD988:AF988"/>
    <mergeCell ref="X985:Y985"/>
    <mergeCell ref="AD989:AF990"/>
    <mergeCell ref="AC968:AC969"/>
    <mergeCell ref="AD991:AF992"/>
    <mergeCell ref="Z991:Z992"/>
    <mergeCell ref="AA991:AA992"/>
    <mergeCell ref="AB991:AB992"/>
    <mergeCell ref="Z989:Z990"/>
    <mergeCell ref="AB940:AB941"/>
    <mergeCell ref="AC940:AC941"/>
    <mergeCell ref="Z938:Z939"/>
    <mergeCell ref="AA938:AA939"/>
    <mergeCell ref="AD1016:AF1016"/>
    <mergeCell ref="AD1005:AF1006"/>
    <mergeCell ref="R999:W999"/>
    <mergeCell ref="X999:Y999"/>
    <mergeCell ref="Z999:AE999"/>
    <mergeCell ref="AC1005:AC1006"/>
    <mergeCell ref="AA1005:AA1006"/>
    <mergeCell ref="AB1005:AB1006"/>
    <mergeCell ref="R1003:R1004"/>
    <mergeCell ref="AD1003:AF1004"/>
    <mergeCell ref="Z1013:AE1013"/>
    <mergeCell ref="R1005:R1006"/>
    <mergeCell ref="S1005:X1006"/>
    <mergeCell ref="AA1003:AA1004"/>
    <mergeCell ref="AB1003:AB1004"/>
    <mergeCell ref="S991:X992"/>
    <mergeCell ref="Z1005:Z1006"/>
    <mergeCell ref="AC1003:AC1004"/>
    <mergeCell ref="AC991:AC992"/>
    <mergeCell ref="R991:R992"/>
    <mergeCell ref="S989:X990"/>
    <mergeCell ref="S1003:X1004"/>
    <mergeCell ref="Y1003:Y1004"/>
    <mergeCell ref="Z1003:Z1004"/>
    <mergeCell ref="Y1005:Y1006"/>
    <mergeCell ref="AC989:AC990"/>
    <mergeCell ref="Y989:Y990"/>
    <mergeCell ref="Y991:Y992"/>
    <mergeCell ref="AB989:AB990"/>
    <mergeCell ref="R1017:R1018"/>
    <mergeCell ref="S1017:X1018"/>
    <mergeCell ref="Y1017:Y1018"/>
    <mergeCell ref="S1016:X1016"/>
    <mergeCell ref="R1013:W1013"/>
    <mergeCell ref="X1013:Y1013"/>
    <mergeCell ref="R940:R941"/>
    <mergeCell ref="Z985:AE985"/>
    <mergeCell ref="AA966:AA967"/>
    <mergeCell ref="R966:R967"/>
    <mergeCell ref="Z966:Z967"/>
    <mergeCell ref="R962:W962"/>
    <mergeCell ref="R917:R918"/>
    <mergeCell ref="R934:W934"/>
    <mergeCell ref="Z948:AE948"/>
    <mergeCell ref="AD940:AF941"/>
    <mergeCell ref="AA940:AA941"/>
    <mergeCell ref="AD917:AF918"/>
    <mergeCell ref="Z934:AE934"/>
    <mergeCell ref="AD937:AF937"/>
    <mergeCell ref="AC917:AC918"/>
    <mergeCell ref="AC938:AC939"/>
    <mergeCell ref="Y917:Y918"/>
    <mergeCell ref="S940:X941"/>
    <mergeCell ref="X934:Y934"/>
    <mergeCell ref="S937:X937"/>
    <mergeCell ref="Y940:Y941"/>
    <mergeCell ref="Z940:Z941"/>
    <mergeCell ref="AD952:AF953"/>
    <mergeCell ref="AA952:AA953"/>
    <mergeCell ref="AB952:AB953"/>
    <mergeCell ref="AA954:AA955"/>
    <mergeCell ref="AB954:AB955"/>
    <mergeCell ref="R948:W948"/>
    <mergeCell ref="X948:Y948"/>
    <mergeCell ref="Z952:Z953"/>
    <mergeCell ref="R954:R955"/>
    <mergeCell ref="S954:X955"/>
    <mergeCell ref="Y954:Y955"/>
    <mergeCell ref="Z954:Z955"/>
    <mergeCell ref="AC952:AC953"/>
    <mergeCell ref="AD938:AF939"/>
    <mergeCell ref="R938:R939"/>
    <mergeCell ref="S938:X939"/>
    <mergeCell ref="Y938:Y939"/>
    <mergeCell ref="AB938:AB939"/>
    <mergeCell ref="Z962:AE962"/>
    <mergeCell ref="S965:X965"/>
    <mergeCell ref="AD965:AF965"/>
    <mergeCell ref="AC954:AC955"/>
    <mergeCell ref="AD954:AF955"/>
    <mergeCell ref="AA917:AA918"/>
    <mergeCell ref="S917:X918"/>
    <mergeCell ref="R850:R851"/>
    <mergeCell ref="S850:X851"/>
    <mergeCell ref="Y850:Y851"/>
    <mergeCell ref="S836:X837"/>
    <mergeCell ref="Y836:Y837"/>
    <mergeCell ref="Z850:Z851"/>
    <mergeCell ref="AA850:AA851"/>
    <mergeCell ref="AB850:AB851"/>
    <mergeCell ref="Z852:Z853"/>
    <mergeCell ref="AC864:AC865"/>
    <mergeCell ref="AD864:AF865"/>
    <mergeCell ref="AA864:AA865"/>
    <mergeCell ref="AC850:AC851"/>
    <mergeCell ref="AD850:AF851"/>
    <mergeCell ref="AD852:AF853"/>
    <mergeCell ref="AA852:AA853"/>
    <mergeCell ref="AB852:AB853"/>
    <mergeCell ref="AC852:AC853"/>
    <mergeCell ref="R860:W860"/>
    <mergeCell ref="X860:Y860"/>
    <mergeCell ref="Z860:AE860"/>
    <mergeCell ref="R852:R853"/>
    <mergeCell ref="S852:X853"/>
    <mergeCell ref="Y852:Y853"/>
    <mergeCell ref="AC838:AC839"/>
    <mergeCell ref="Z838:Z839"/>
    <mergeCell ref="Z836:Z837"/>
    <mergeCell ref="AD901:AF902"/>
    <mergeCell ref="R901:R902"/>
    <mergeCell ref="S901:X902"/>
    <mergeCell ref="Y901:Y902"/>
    <mergeCell ref="Z901:Z902"/>
    <mergeCell ref="AC901:AC902"/>
    <mergeCell ref="AA901:AA902"/>
    <mergeCell ref="AB901:AB902"/>
    <mergeCell ref="S863:X863"/>
    <mergeCell ref="AD863:AF863"/>
    <mergeCell ref="AC889:AC890"/>
    <mergeCell ref="AD889:AF890"/>
    <mergeCell ref="AB866:AB867"/>
    <mergeCell ref="R883:W883"/>
    <mergeCell ref="X883:Y883"/>
    <mergeCell ref="AC887:AC888"/>
    <mergeCell ref="AD887:AF888"/>
    <mergeCell ref="R864:R865"/>
    <mergeCell ref="S864:X865"/>
    <mergeCell ref="Y864:Y865"/>
    <mergeCell ref="Z864:Z865"/>
    <mergeCell ref="AB864:AB865"/>
    <mergeCell ref="AD886:AF886"/>
    <mergeCell ref="AB887:AB888"/>
    <mergeCell ref="AA866:AA867"/>
    <mergeCell ref="R866:R867"/>
    <mergeCell ref="S866:X867"/>
    <mergeCell ref="Y866:Y867"/>
    <mergeCell ref="Z866:Z867"/>
    <mergeCell ref="Z883:AE883"/>
    <mergeCell ref="AC866:AC867"/>
    <mergeCell ref="AD866:AF867"/>
    <mergeCell ref="Z897:AE897"/>
    <mergeCell ref="AA889:AA890"/>
    <mergeCell ref="AB889:AB890"/>
    <mergeCell ref="Y887:Y888"/>
    <mergeCell ref="Y889:Y890"/>
    <mergeCell ref="R813:R814"/>
    <mergeCell ref="S813:X814"/>
    <mergeCell ref="Y813:Y814"/>
    <mergeCell ref="S812:X812"/>
    <mergeCell ref="R832:W832"/>
    <mergeCell ref="AD813:AF814"/>
    <mergeCell ref="AB813:AB814"/>
    <mergeCell ref="AC813:AC814"/>
    <mergeCell ref="S815:X816"/>
    <mergeCell ref="Y815:Y816"/>
    <mergeCell ref="Z813:Z814"/>
    <mergeCell ref="AB815:AB816"/>
    <mergeCell ref="AA813:AA814"/>
    <mergeCell ref="AA815:AA816"/>
    <mergeCell ref="Z815:Z816"/>
    <mergeCell ref="AC815:AC816"/>
    <mergeCell ref="Z832:AE832"/>
    <mergeCell ref="R787:R788"/>
    <mergeCell ref="Z846:AE846"/>
    <mergeCell ref="R838:R839"/>
    <mergeCell ref="AD838:AF839"/>
    <mergeCell ref="R846:W846"/>
    <mergeCell ref="X846:Y846"/>
    <mergeCell ref="AD815:AF816"/>
    <mergeCell ref="AB838:AB839"/>
    <mergeCell ref="AA836:AA837"/>
    <mergeCell ref="AA838:AA839"/>
    <mergeCell ref="AD836:AF837"/>
    <mergeCell ref="AC836:AC837"/>
    <mergeCell ref="AD835:AF835"/>
    <mergeCell ref="AB836:AB837"/>
    <mergeCell ref="R815:R816"/>
    <mergeCell ref="X832:Y832"/>
    <mergeCell ref="S835:X835"/>
    <mergeCell ref="S838:X839"/>
    <mergeCell ref="Y838:Y839"/>
    <mergeCell ref="R836:R837"/>
    <mergeCell ref="R785:R786"/>
    <mergeCell ref="R781:W781"/>
    <mergeCell ref="S785:X786"/>
    <mergeCell ref="AD762:AF763"/>
    <mergeCell ref="R762:R763"/>
    <mergeCell ref="Z787:Z788"/>
    <mergeCell ref="AA787:AA788"/>
    <mergeCell ref="AB787:AB788"/>
    <mergeCell ref="AC787:AC788"/>
    <mergeCell ref="R764:R765"/>
    <mergeCell ref="S764:X765"/>
    <mergeCell ref="Y764:Y765"/>
    <mergeCell ref="AD785:AF786"/>
    <mergeCell ref="AC785:AC786"/>
    <mergeCell ref="Y785:Y786"/>
    <mergeCell ref="Z785:Z786"/>
    <mergeCell ref="AA785:AA786"/>
    <mergeCell ref="AB785:AB786"/>
    <mergeCell ref="AD713:AF714"/>
    <mergeCell ref="AA736:AA737"/>
    <mergeCell ref="AB736:AB737"/>
    <mergeCell ref="Z781:AE781"/>
    <mergeCell ref="S784:X784"/>
    <mergeCell ref="AD784:AF784"/>
    <mergeCell ref="AC764:AC765"/>
    <mergeCell ref="AC762:AC763"/>
    <mergeCell ref="R758:W758"/>
    <mergeCell ref="X758:Y758"/>
    <mergeCell ref="AC734:AC735"/>
    <mergeCell ref="AD734:AF735"/>
    <mergeCell ref="AD812:AF812"/>
    <mergeCell ref="AD801:AF802"/>
    <mergeCell ref="R795:W795"/>
    <mergeCell ref="X795:Y795"/>
    <mergeCell ref="Z795:AE795"/>
    <mergeCell ref="Z801:Z802"/>
    <mergeCell ref="R809:W809"/>
    <mergeCell ref="X809:Y809"/>
    <mergeCell ref="Z809:AE809"/>
    <mergeCell ref="R801:R802"/>
    <mergeCell ref="S787:X788"/>
    <mergeCell ref="Y787:Y788"/>
    <mergeCell ref="AD787:AF788"/>
    <mergeCell ref="AD799:AF800"/>
    <mergeCell ref="Z799:Z800"/>
    <mergeCell ref="AA799:AA800"/>
    <mergeCell ref="AB799:AB800"/>
    <mergeCell ref="AC799:AC800"/>
    <mergeCell ref="S801:X802"/>
    <mergeCell ref="R799:R800"/>
    <mergeCell ref="S799:X800"/>
    <mergeCell ref="Y799:Y800"/>
    <mergeCell ref="AC801:AC802"/>
    <mergeCell ref="AA801:AA802"/>
    <mergeCell ref="AB801:AB802"/>
    <mergeCell ref="Y801:Y802"/>
    <mergeCell ref="R734:R735"/>
    <mergeCell ref="S734:X735"/>
    <mergeCell ref="Y734:Y735"/>
    <mergeCell ref="AB734:AB735"/>
    <mergeCell ref="Z734:Z735"/>
    <mergeCell ref="AA734:AA735"/>
    <mergeCell ref="Z758:AE758"/>
    <mergeCell ref="S761:X761"/>
    <mergeCell ref="AD733:AF733"/>
    <mergeCell ref="S713:X714"/>
    <mergeCell ref="Y713:Y714"/>
    <mergeCell ref="Z713:Z714"/>
    <mergeCell ref="AB713:AB714"/>
    <mergeCell ref="AC713:AC714"/>
    <mergeCell ref="AB748:AB749"/>
    <mergeCell ref="AC748:AC749"/>
    <mergeCell ref="R730:W730"/>
    <mergeCell ref="X730:Y730"/>
    <mergeCell ref="AD736:AF737"/>
    <mergeCell ref="R736:R737"/>
    <mergeCell ref="S736:X737"/>
    <mergeCell ref="Y736:Y737"/>
    <mergeCell ref="Z736:Z737"/>
    <mergeCell ref="AC736:AC737"/>
    <mergeCell ref="AC750:AC751"/>
    <mergeCell ref="AD750:AF751"/>
    <mergeCell ref="R744:W744"/>
    <mergeCell ref="X744:Y744"/>
    <mergeCell ref="Z744:AE744"/>
    <mergeCell ref="R748:R749"/>
    <mergeCell ref="S748:X749"/>
    <mergeCell ref="Y748:Y749"/>
    <mergeCell ref="Z748:Z749"/>
    <mergeCell ref="AA748:AA749"/>
    <mergeCell ref="AA660:AA661"/>
    <mergeCell ref="R662:R663"/>
    <mergeCell ref="S662:X663"/>
    <mergeCell ref="AD748:AF749"/>
    <mergeCell ref="R750:R751"/>
    <mergeCell ref="S750:X751"/>
    <mergeCell ref="Y750:Y751"/>
    <mergeCell ref="Z750:Z751"/>
    <mergeCell ref="AA750:AA751"/>
    <mergeCell ref="AB750:AB751"/>
    <mergeCell ref="Z662:Z663"/>
    <mergeCell ref="X679:Y679"/>
    <mergeCell ref="X693:Y693"/>
    <mergeCell ref="Z693:AE693"/>
    <mergeCell ref="AA685:AA686"/>
    <mergeCell ref="AB685:AB686"/>
    <mergeCell ref="AC685:AC686"/>
    <mergeCell ref="Z685:Z686"/>
    <mergeCell ref="AD685:AF686"/>
    <mergeCell ref="S685:X686"/>
    <mergeCell ref="AB660:AB661"/>
    <mergeCell ref="AB683:AB684"/>
    <mergeCell ref="Z679:AE679"/>
    <mergeCell ref="AA662:AA663"/>
    <mergeCell ref="AB662:AB663"/>
    <mergeCell ref="AC662:AC663"/>
    <mergeCell ref="AD662:AF663"/>
    <mergeCell ref="AC660:AC661"/>
    <mergeCell ref="AD660:AF661"/>
    <mergeCell ref="Z660:Z661"/>
    <mergeCell ref="R693:W693"/>
    <mergeCell ref="AC697:AC698"/>
    <mergeCell ref="Y685:Y686"/>
    <mergeCell ref="R697:R698"/>
    <mergeCell ref="S697:X698"/>
    <mergeCell ref="AB699:AB700"/>
    <mergeCell ref="Z707:AE707"/>
    <mergeCell ref="Z711:Z712"/>
    <mergeCell ref="AB711:AB712"/>
    <mergeCell ref="AC711:AC712"/>
    <mergeCell ref="AD711:AF712"/>
    <mergeCell ref="AB634:AB635"/>
    <mergeCell ref="AC634:AC635"/>
    <mergeCell ref="Z628:AE628"/>
    <mergeCell ref="AB632:AB633"/>
    <mergeCell ref="Z632:Z633"/>
    <mergeCell ref="AA632:AA633"/>
    <mergeCell ref="AD631:AF631"/>
    <mergeCell ref="AD632:AF633"/>
    <mergeCell ref="AC632:AC633"/>
    <mergeCell ref="AD659:AF659"/>
    <mergeCell ref="R642:W642"/>
    <mergeCell ref="X642:Y642"/>
    <mergeCell ref="Z642:AE642"/>
    <mergeCell ref="R646:R647"/>
    <mergeCell ref="S646:X647"/>
    <mergeCell ref="Y646:Y647"/>
    <mergeCell ref="AD646:AF647"/>
    <mergeCell ref="AA648:AA649"/>
    <mergeCell ref="Z646:Z647"/>
    <mergeCell ref="Z648:Z649"/>
    <mergeCell ref="Z656:AE656"/>
    <mergeCell ref="AB648:AB649"/>
    <mergeCell ref="AC648:AC649"/>
    <mergeCell ref="AD648:AF649"/>
    <mergeCell ref="AD634:AF635"/>
    <mergeCell ref="AA646:AA647"/>
    <mergeCell ref="AB646:AB647"/>
    <mergeCell ref="AC646:AC647"/>
    <mergeCell ref="AA634:AA635"/>
    <mergeCell ref="R660:R661"/>
    <mergeCell ref="S660:X661"/>
    <mergeCell ref="Y660:Y661"/>
    <mergeCell ref="Y662:Y663"/>
    <mergeCell ref="R648:R649"/>
    <mergeCell ref="S648:X649"/>
    <mergeCell ref="Y648:Y649"/>
    <mergeCell ref="S631:X631"/>
    <mergeCell ref="R632:R633"/>
    <mergeCell ref="R711:R712"/>
    <mergeCell ref="S711:X712"/>
    <mergeCell ref="S632:X633"/>
    <mergeCell ref="AD683:AF684"/>
    <mergeCell ref="AD682:AF682"/>
    <mergeCell ref="AC683:AC684"/>
    <mergeCell ref="Y683:Y684"/>
    <mergeCell ref="Z683:Z684"/>
    <mergeCell ref="AA683:AA684"/>
    <mergeCell ref="S608:X608"/>
    <mergeCell ref="X656:Y656"/>
    <mergeCell ref="S659:X659"/>
    <mergeCell ref="Y632:Y633"/>
    <mergeCell ref="AD608:AF608"/>
    <mergeCell ref="S597:X598"/>
    <mergeCell ref="Y597:Y598"/>
    <mergeCell ref="Z597:Z598"/>
    <mergeCell ref="AA597:AA598"/>
    <mergeCell ref="AD597:AF598"/>
    <mergeCell ref="AC595:AC596"/>
    <mergeCell ref="AB597:AB598"/>
    <mergeCell ref="AC597:AC598"/>
    <mergeCell ref="R597:R598"/>
    <mergeCell ref="R605:W605"/>
    <mergeCell ref="X605:Y605"/>
    <mergeCell ref="Z605:AE605"/>
    <mergeCell ref="AC609:AC610"/>
    <mergeCell ref="AA611:AA612"/>
    <mergeCell ref="AB611:AB612"/>
    <mergeCell ref="AD609:AF610"/>
    <mergeCell ref="R609:R610"/>
    <mergeCell ref="S609:X610"/>
    <mergeCell ref="Y609:Y610"/>
    <mergeCell ref="Z609:Z610"/>
    <mergeCell ref="AA609:AA610"/>
    <mergeCell ref="AB609:AB610"/>
    <mergeCell ref="AC611:AC612"/>
    <mergeCell ref="AD611:AF612"/>
    <mergeCell ref="R634:R635"/>
    <mergeCell ref="S634:X635"/>
    <mergeCell ref="Y634:Y635"/>
    <mergeCell ref="Z634:Z635"/>
    <mergeCell ref="R628:W628"/>
    <mergeCell ref="X628:Y628"/>
    <mergeCell ref="Y611:Y612"/>
    <mergeCell ref="Z611:Z612"/>
    <mergeCell ref="AC560:AC561"/>
    <mergeCell ref="AD560:AF561"/>
    <mergeCell ref="AA558:AA559"/>
    <mergeCell ref="AB558:AB559"/>
    <mergeCell ref="AC558:AC559"/>
    <mergeCell ref="AD558:AF559"/>
    <mergeCell ref="AA560:AA561"/>
    <mergeCell ref="AB560:AB561"/>
    <mergeCell ref="R558:R559"/>
    <mergeCell ref="S558:X559"/>
    <mergeCell ref="Y558:Y559"/>
    <mergeCell ref="Z558:Z559"/>
    <mergeCell ref="R560:R561"/>
    <mergeCell ref="S560:X561"/>
    <mergeCell ref="Y560:Y561"/>
    <mergeCell ref="Z560:Z561"/>
    <mergeCell ref="Z577:AE577"/>
    <mergeCell ref="S580:X580"/>
    <mergeCell ref="AD580:AF580"/>
    <mergeCell ref="R583:R584"/>
    <mergeCell ref="S583:X584"/>
    <mergeCell ref="Y583:Y584"/>
    <mergeCell ref="Z583:Z584"/>
    <mergeCell ref="AA583:AA584"/>
    <mergeCell ref="AB583:AB584"/>
    <mergeCell ref="AC583:AC584"/>
    <mergeCell ref="R507:R508"/>
    <mergeCell ref="AD509:AF510"/>
    <mergeCell ref="AB509:AB510"/>
    <mergeCell ref="AD507:AF508"/>
    <mergeCell ref="S507:X508"/>
    <mergeCell ref="Z509:Z510"/>
    <mergeCell ref="AC507:AC508"/>
    <mergeCell ref="Z507:Z508"/>
    <mergeCell ref="AA507:AA508"/>
    <mergeCell ref="R509:R510"/>
    <mergeCell ref="S509:X510"/>
    <mergeCell ref="Y509:Y510"/>
    <mergeCell ref="Z532:Z533"/>
    <mergeCell ref="AA532:AA533"/>
    <mergeCell ref="X526:Y526"/>
    <mergeCell ref="S530:X531"/>
    <mergeCell ref="AA509:AA510"/>
    <mergeCell ref="AA530:AA531"/>
    <mergeCell ref="AB530:AB531"/>
    <mergeCell ref="Z530:Z531"/>
    <mergeCell ref="AD532:AF533"/>
    <mergeCell ref="AB507:AB508"/>
    <mergeCell ref="Z526:AE526"/>
    <mergeCell ref="AC530:AC531"/>
    <mergeCell ref="AD530:AF531"/>
    <mergeCell ref="AD529:AF529"/>
    <mergeCell ref="R544:R545"/>
    <mergeCell ref="S544:X545"/>
    <mergeCell ref="Y544:Y545"/>
    <mergeCell ref="Z544:Z545"/>
    <mergeCell ref="AB544:AB545"/>
    <mergeCell ref="AC544:AC545"/>
    <mergeCell ref="S557:X557"/>
    <mergeCell ref="AD557:AF557"/>
    <mergeCell ref="R554:W554"/>
    <mergeCell ref="X554:Y554"/>
    <mergeCell ref="Z554:AE554"/>
    <mergeCell ref="R546:R547"/>
    <mergeCell ref="Z546:Z547"/>
    <mergeCell ref="AA544:AA545"/>
    <mergeCell ref="AC546:AC547"/>
    <mergeCell ref="AD546:AF547"/>
    <mergeCell ref="AA546:AA547"/>
    <mergeCell ref="AB546:AB547"/>
    <mergeCell ref="AD544:AF545"/>
    <mergeCell ref="Z481:Z482"/>
    <mergeCell ref="S479:X480"/>
    <mergeCell ref="AB481:AB482"/>
    <mergeCell ref="AB479:AB480"/>
    <mergeCell ref="Z479:Z480"/>
    <mergeCell ref="Z540:AE540"/>
    <mergeCell ref="AB532:AB533"/>
    <mergeCell ref="Y507:Y508"/>
    <mergeCell ref="AC509:AC510"/>
    <mergeCell ref="AC532:AC533"/>
    <mergeCell ref="AC481:AC482"/>
    <mergeCell ref="AC479:AC480"/>
    <mergeCell ref="AA458:AA459"/>
    <mergeCell ref="AA479:AA480"/>
    <mergeCell ref="AA481:AA482"/>
    <mergeCell ref="Z475:AE475"/>
    <mergeCell ref="AD479:AF480"/>
    <mergeCell ref="AD478:AF478"/>
    <mergeCell ref="AD458:AF459"/>
    <mergeCell ref="Z458:Z459"/>
    <mergeCell ref="Z493:Z494"/>
    <mergeCell ref="AA493:AA494"/>
    <mergeCell ref="AD495:AF496"/>
    <mergeCell ref="R489:W489"/>
    <mergeCell ref="X489:Y489"/>
    <mergeCell ref="R495:R496"/>
    <mergeCell ref="Z489:AE489"/>
    <mergeCell ref="R493:R494"/>
    <mergeCell ref="S493:X494"/>
    <mergeCell ref="Y493:Y494"/>
    <mergeCell ref="AD493:AF494"/>
    <mergeCell ref="AC493:AC494"/>
    <mergeCell ref="AB493:AB494"/>
    <mergeCell ref="AA495:AA496"/>
    <mergeCell ref="AB495:AB496"/>
    <mergeCell ref="AD506:AF506"/>
    <mergeCell ref="AC495:AC496"/>
    <mergeCell ref="R503:W503"/>
    <mergeCell ref="X503:Y503"/>
    <mergeCell ref="Z503:AE503"/>
    <mergeCell ref="S506:X506"/>
    <mergeCell ref="S495:X496"/>
    <mergeCell ref="Y495:Y496"/>
    <mergeCell ref="Z495:Z496"/>
    <mergeCell ref="AD481:AF482"/>
    <mergeCell ref="Y530:Y531"/>
    <mergeCell ref="X452:Y452"/>
    <mergeCell ref="Z452:AE452"/>
    <mergeCell ref="S455:X455"/>
    <mergeCell ref="AD455:AF455"/>
    <mergeCell ref="AA456:AA457"/>
    <mergeCell ref="S444:X445"/>
    <mergeCell ref="Y444:Y445"/>
    <mergeCell ref="Z444:Z445"/>
    <mergeCell ref="AB458:AB459"/>
    <mergeCell ref="AC458:AC459"/>
    <mergeCell ref="Y458:Y459"/>
    <mergeCell ref="Y456:Y457"/>
    <mergeCell ref="Z456:Z457"/>
    <mergeCell ref="AC444:AC445"/>
    <mergeCell ref="AD444:AF445"/>
    <mergeCell ref="AB444:AB445"/>
    <mergeCell ref="AD456:AF457"/>
    <mergeCell ref="AB456:AB457"/>
    <mergeCell ref="AC456:AC457"/>
    <mergeCell ref="R452:W452"/>
    <mergeCell ref="S456:X457"/>
    <mergeCell ref="R444:R445"/>
    <mergeCell ref="R407:R408"/>
    <mergeCell ref="S407:X408"/>
    <mergeCell ref="Y407:Y408"/>
    <mergeCell ref="R405:R406"/>
    <mergeCell ref="AC405:AC406"/>
    <mergeCell ref="AD407:AF408"/>
    <mergeCell ref="S405:X406"/>
    <mergeCell ref="Y405:Y406"/>
    <mergeCell ref="AB405:AB406"/>
    <mergeCell ref="Z407:Z408"/>
    <mergeCell ref="S427:X427"/>
    <mergeCell ref="AD427:AF427"/>
    <mergeCell ref="AB428:AB429"/>
    <mergeCell ref="AC428:AC429"/>
    <mergeCell ref="R424:W424"/>
    <mergeCell ref="AD428:AF429"/>
    <mergeCell ref="Z428:Z429"/>
    <mergeCell ref="X424:Y424"/>
    <mergeCell ref="Y428:Y429"/>
    <mergeCell ref="R438:W438"/>
    <mergeCell ref="X438:Y438"/>
    <mergeCell ref="Z438:AE438"/>
    <mergeCell ref="AA442:AA443"/>
    <mergeCell ref="AB442:AB443"/>
    <mergeCell ref="AC442:AC443"/>
    <mergeCell ref="AD442:AF443"/>
    <mergeCell ref="R442:R443"/>
    <mergeCell ref="S442:X443"/>
    <mergeCell ref="Y442:Y443"/>
    <mergeCell ref="R428:R429"/>
    <mergeCell ref="S428:X429"/>
    <mergeCell ref="Z377:Z378"/>
    <mergeCell ref="AD376:AF376"/>
    <mergeCell ref="Y430:Y431"/>
    <mergeCell ref="AA430:AA431"/>
    <mergeCell ref="AD430:AF431"/>
    <mergeCell ref="AA444:AA445"/>
    <mergeCell ref="Z430:Z431"/>
    <mergeCell ref="AB430:AB431"/>
    <mergeCell ref="AC430:AC431"/>
    <mergeCell ref="AD405:AF406"/>
    <mergeCell ref="R387:W387"/>
    <mergeCell ref="X387:Y387"/>
    <mergeCell ref="Z387:AE387"/>
    <mergeCell ref="R379:R380"/>
    <mergeCell ref="S379:X380"/>
    <mergeCell ref="AA379:AA380"/>
    <mergeCell ref="AB379:AB380"/>
    <mergeCell ref="Z379:Z380"/>
    <mergeCell ref="AD356:AF357"/>
    <mergeCell ref="AB377:AB378"/>
    <mergeCell ref="R356:R357"/>
    <mergeCell ref="S356:X357"/>
    <mergeCell ref="Y356:Y357"/>
    <mergeCell ref="AB356:AB357"/>
    <mergeCell ref="AC356:AC357"/>
    <mergeCell ref="AA356:AA357"/>
    <mergeCell ref="Z356:Z357"/>
    <mergeCell ref="S377:X378"/>
    <mergeCell ref="AA391:AA392"/>
    <mergeCell ref="AB391:AB392"/>
    <mergeCell ref="AC377:AC378"/>
    <mergeCell ref="AD377:AF378"/>
    <mergeCell ref="AC391:AC392"/>
    <mergeCell ref="AD391:AF392"/>
    <mergeCell ref="AC379:AC380"/>
    <mergeCell ref="AD379:AF380"/>
    <mergeCell ref="R391:R392"/>
    <mergeCell ref="S391:X392"/>
    <mergeCell ref="Y391:Y392"/>
    <mergeCell ref="Z391:Z392"/>
    <mergeCell ref="R393:R394"/>
    <mergeCell ref="S393:X394"/>
    <mergeCell ref="Y393:Y394"/>
    <mergeCell ref="R401:W401"/>
    <mergeCell ref="X401:Y401"/>
    <mergeCell ref="Z401:AE401"/>
    <mergeCell ref="S404:X404"/>
    <mergeCell ref="AD404:AF404"/>
    <mergeCell ref="AC393:AC394"/>
    <mergeCell ref="AA393:AA394"/>
    <mergeCell ref="AB393:AB394"/>
    <mergeCell ref="AD393:AF394"/>
    <mergeCell ref="AA428:AA429"/>
    <mergeCell ref="AA405:AA406"/>
    <mergeCell ref="AC407:AC408"/>
    <mergeCell ref="Z424:AE424"/>
    <mergeCell ref="AA407:AA408"/>
    <mergeCell ref="AB407:AB408"/>
    <mergeCell ref="Z405:Z406"/>
    <mergeCell ref="Z393:Z394"/>
    <mergeCell ref="Z442:Z443"/>
    <mergeCell ref="AA377:AA378"/>
    <mergeCell ref="Y377:Y378"/>
    <mergeCell ref="R373:W373"/>
    <mergeCell ref="Z322:AE322"/>
    <mergeCell ref="AA303:AA304"/>
    <mergeCell ref="AB303:AB304"/>
    <mergeCell ref="AB326:AB327"/>
    <mergeCell ref="AA326:AA327"/>
    <mergeCell ref="AA305:AA306"/>
    <mergeCell ref="AB305:AB306"/>
    <mergeCell ref="Z305:Z306"/>
    <mergeCell ref="Z275:Z276"/>
    <mergeCell ref="S274:X274"/>
    <mergeCell ref="AD303:AF304"/>
    <mergeCell ref="AC291:AC292"/>
    <mergeCell ref="AD291:AF292"/>
    <mergeCell ref="AD305:AF306"/>
    <mergeCell ref="AC305:AC306"/>
    <mergeCell ref="Z299:AE299"/>
    <mergeCell ref="AD302:AF302"/>
    <mergeCell ref="AA291:AA292"/>
    <mergeCell ref="AC340:AC341"/>
    <mergeCell ref="AD340:AF341"/>
    <mergeCell ref="AC328:AC329"/>
    <mergeCell ref="AB342:AB343"/>
    <mergeCell ref="AD328:AF329"/>
    <mergeCell ref="AB328:AB329"/>
    <mergeCell ref="Z326:Z327"/>
    <mergeCell ref="R336:W336"/>
    <mergeCell ref="X336:Y336"/>
    <mergeCell ref="Z336:AE336"/>
    <mergeCell ref="R328:R329"/>
    <mergeCell ref="S328:X329"/>
    <mergeCell ref="Y328:Y329"/>
    <mergeCell ref="Z328:Z329"/>
    <mergeCell ref="AA328:AA329"/>
    <mergeCell ref="AD325:AF325"/>
    <mergeCell ref="AC326:AC327"/>
    <mergeCell ref="AD326:AF327"/>
    <mergeCell ref="R340:R341"/>
    <mergeCell ref="S340:X341"/>
    <mergeCell ref="Y340:Y341"/>
    <mergeCell ref="Z340:Z341"/>
    <mergeCell ref="AA340:AA341"/>
    <mergeCell ref="AB340:AB341"/>
    <mergeCell ref="S326:X327"/>
    <mergeCell ref="R322:W322"/>
    <mergeCell ref="X322:Y322"/>
    <mergeCell ref="R326:R327"/>
    <mergeCell ref="Y342:Y343"/>
    <mergeCell ref="S325:X325"/>
    <mergeCell ref="Y326:Y327"/>
    <mergeCell ref="Z342:Z343"/>
    <mergeCell ref="R342:R343"/>
    <mergeCell ref="S342:X343"/>
    <mergeCell ref="AA342:AA343"/>
    <mergeCell ref="AC342:AC343"/>
    <mergeCell ref="AD342:AF343"/>
    <mergeCell ref="R291:R292"/>
    <mergeCell ref="S291:X292"/>
    <mergeCell ref="Y291:Y292"/>
    <mergeCell ref="Z285:AE285"/>
    <mergeCell ref="R289:R290"/>
    <mergeCell ref="AB289:AB290"/>
    <mergeCell ref="AD289:AF290"/>
    <mergeCell ref="AD274:AF274"/>
    <mergeCell ref="S277:X278"/>
    <mergeCell ref="AA254:AA255"/>
    <mergeCell ref="AB254:AB255"/>
    <mergeCell ref="Z271:AE271"/>
    <mergeCell ref="AA277:AA278"/>
    <mergeCell ref="Z277:Z278"/>
    <mergeCell ref="AB277:AB278"/>
    <mergeCell ref="AC275:AC276"/>
    <mergeCell ref="AD275:AF276"/>
    <mergeCell ref="S303:X304"/>
    <mergeCell ref="Y303:Y304"/>
    <mergeCell ref="S289:X290"/>
    <mergeCell ref="R285:W285"/>
    <mergeCell ref="Y289:Y290"/>
    <mergeCell ref="Z289:Z290"/>
    <mergeCell ref="AC303:AC304"/>
    <mergeCell ref="Z303:Z304"/>
    <mergeCell ref="S305:X306"/>
    <mergeCell ref="Y305:Y306"/>
    <mergeCell ref="X285:Y285"/>
    <mergeCell ref="R299:W299"/>
    <mergeCell ref="X299:Y299"/>
    <mergeCell ref="S302:X302"/>
    <mergeCell ref="R305:R306"/>
    <mergeCell ref="R303:R304"/>
    <mergeCell ref="AB291:AB292"/>
    <mergeCell ref="Z291:Z292"/>
    <mergeCell ref="Z234:AE234"/>
    <mergeCell ref="R238:R239"/>
    <mergeCell ref="S238:X239"/>
    <mergeCell ref="AA238:AA239"/>
    <mergeCell ref="AB238:AB239"/>
    <mergeCell ref="AC238:AC239"/>
    <mergeCell ref="AD238:AF239"/>
    <mergeCell ref="Z240:Z241"/>
    <mergeCell ref="Y238:Y239"/>
    <mergeCell ref="R248:W248"/>
    <mergeCell ref="X248:Y248"/>
    <mergeCell ref="Z238:Z239"/>
    <mergeCell ref="R240:R241"/>
    <mergeCell ref="S240:X241"/>
    <mergeCell ref="Y240:Y241"/>
    <mergeCell ref="S251:X251"/>
    <mergeCell ref="Z248:AE248"/>
    <mergeCell ref="AD251:AF251"/>
    <mergeCell ref="AC252:AC253"/>
    <mergeCell ref="AD252:AF253"/>
    <mergeCell ref="R254:R255"/>
    <mergeCell ref="S254:X255"/>
    <mergeCell ref="Y254:Y255"/>
    <mergeCell ref="Z254:Z255"/>
    <mergeCell ref="R252:R253"/>
    <mergeCell ref="S252:X253"/>
    <mergeCell ref="Y252:Y253"/>
    <mergeCell ref="Z252:Z253"/>
    <mergeCell ref="AA289:AA290"/>
    <mergeCell ref="AC277:AC278"/>
    <mergeCell ref="AD277:AF278"/>
    <mergeCell ref="AC254:AC255"/>
    <mergeCell ref="AD254:AF255"/>
    <mergeCell ref="AA275:AA276"/>
    <mergeCell ref="AB275:AB276"/>
    <mergeCell ref="AC289:AC290"/>
    <mergeCell ref="Y277:Y278"/>
    <mergeCell ref="R277:R278"/>
    <mergeCell ref="Y189:Y190"/>
    <mergeCell ref="Z189:Z190"/>
    <mergeCell ref="AD203:AF204"/>
    <mergeCell ref="R201:R202"/>
    <mergeCell ref="S201:X202"/>
    <mergeCell ref="Y201:Y202"/>
    <mergeCell ref="Z201:Z202"/>
    <mergeCell ref="AA201:AA202"/>
    <mergeCell ref="AB201:AB202"/>
    <mergeCell ref="AC201:AC202"/>
    <mergeCell ref="AD201:AF202"/>
    <mergeCell ref="AA203:AA204"/>
    <mergeCell ref="AB203:AB204"/>
    <mergeCell ref="AC203:AC204"/>
    <mergeCell ref="S223:X223"/>
    <mergeCell ref="AD223:AF223"/>
    <mergeCell ref="R226:R227"/>
    <mergeCell ref="S226:X227"/>
    <mergeCell ref="AC224:AC225"/>
    <mergeCell ref="R224:R225"/>
    <mergeCell ref="S224:X225"/>
    <mergeCell ref="Y224:Y225"/>
    <mergeCell ref="Z224:Z225"/>
    <mergeCell ref="AC226:AC227"/>
    <mergeCell ref="AA224:AA225"/>
    <mergeCell ref="AB224:AB225"/>
    <mergeCell ref="AD226:AF227"/>
    <mergeCell ref="R203:R204"/>
    <mergeCell ref="S203:X204"/>
    <mergeCell ref="Y203:Y204"/>
    <mergeCell ref="Z203:Z204"/>
    <mergeCell ref="R220:W220"/>
    <mergeCell ref="X220:Y220"/>
    <mergeCell ref="Z220:AE220"/>
    <mergeCell ref="Y226:Y227"/>
    <mergeCell ref="Z226:Z227"/>
    <mergeCell ref="AC150:AC151"/>
    <mergeCell ref="AA150:AA151"/>
    <mergeCell ref="AB150:AB151"/>
    <mergeCell ref="AC138:AC139"/>
    <mergeCell ref="Y138:Y139"/>
    <mergeCell ref="Z138:Z139"/>
    <mergeCell ref="Y150:Y151"/>
    <mergeCell ref="AD138:AF139"/>
    <mergeCell ref="AA138:AA139"/>
    <mergeCell ref="R152:R153"/>
    <mergeCell ref="S152:X153"/>
    <mergeCell ref="Y152:Y153"/>
    <mergeCell ref="Z152:Z153"/>
    <mergeCell ref="AA152:AA153"/>
    <mergeCell ref="AD150:AF151"/>
    <mergeCell ref="R136:R137"/>
    <mergeCell ref="S136:X137"/>
    <mergeCell ref="Y136:Y137"/>
    <mergeCell ref="Z136:Z137"/>
    <mergeCell ref="X146:Y146"/>
    <mergeCell ref="AD152:AF153"/>
    <mergeCell ref="AC136:AC137"/>
    <mergeCell ref="R146:W146"/>
    <mergeCell ref="Z150:Z151"/>
    <mergeCell ref="Z146:AE146"/>
    <mergeCell ref="AD175:AF176"/>
    <mergeCell ref="AB240:AB241"/>
    <mergeCell ref="AC240:AC241"/>
    <mergeCell ref="AD240:AF241"/>
    <mergeCell ref="AA240:AA241"/>
    <mergeCell ref="AA252:AA253"/>
    <mergeCell ref="AB252:AB253"/>
    <mergeCell ref="AA226:AA227"/>
    <mergeCell ref="AB226:AB227"/>
    <mergeCell ref="AD224:AF225"/>
    <mergeCell ref="Z187:Z188"/>
    <mergeCell ref="AA187:AA188"/>
    <mergeCell ref="AB187:AB188"/>
    <mergeCell ref="AC187:AC188"/>
    <mergeCell ref="AA175:AA176"/>
    <mergeCell ref="AB175:AB176"/>
    <mergeCell ref="AC175:AC176"/>
    <mergeCell ref="R175:R176"/>
    <mergeCell ref="S175:X176"/>
    <mergeCell ref="Y175:Y176"/>
    <mergeCell ref="Z175:Z176"/>
    <mergeCell ref="S200:X200"/>
    <mergeCell ref="AD200:AF200"/>
    <mergeCell ref="R183:W183"/>
    <mergeCell ref="X183:Y183"/>
    <mergeCell ref="Z183:AE183"/>
    <mergeCell ref="R187:R188"/>
    <mergeCell ref="S187:X188"/>
    <mergeCell ref="Y187:Y188"/>
    <mergeCell ref="AD187:AF188"/>
    <mergeCell ref="AA189:AA190"/>
    <mergeCell ref="R197:W197"/>
    <mergeCell ref="X197:Y197"/>
    <mergeCell ref="Z197:AE197"/>
    <mergeCell ref="AB189:AB190"/>
    <mergeCell ref="AC189:AC190"/>
    <mergeCell ref="AD189:AF190"/>
    <mergeCell ref="R189:R190"/>
    <mergeCell ref="S189:X190"/>
    <mergeCell ref="AD173:AF174"/>
    <mergeCell ref="AB152:AB153"/>
    <mergeCell ref="AB173:AB174"/>
    <mergeCell ref="AC173:AC174"/>
    <mergeCell ref="Z169:AE169"/>
    <mergeCell ref="AD172:AF172"/>
    <mergeCell ref="AC152:AC153"/>
    <mergeCell ref="AA173:AA174"/>
    <mergeCell ref="Y99:Y100"/>
    <mergeCell ref="Z99:Z100"/>
    <mergeCell ref="AD98:AF98"/>
    <mergeCell ref="AA99:AA100"/>
    <mergeCell ref="AC99:AC100"/>
    <mergeCell ref="S98:X98"/>
    <mergeCell ref="S99:X100"/>
    <mergeCell ref="X95:Y95"/>
    <mergeCell ref="AD85:AF86"/>
    <mergeCell ref="AD87:AF88"/>
    <mergeCell ref="S85:X86"/>
    <mergeCell ref="Y85:Y86"/>
    <mergeCell ref="Z85:Z86"/>
    <mergeCell ref="AC87:AC88"/>
    <mergeCell ref="Y87:Y88"/>
    <mergeCell ref="AB85:AB86"/>
    <mergeCell ref="R95:W95"/>
    <mergeCell ref="R81:W81"/>
    <mergeCell ref="AA87:AA88"/>
    <mergeCell ref="AB87:AB88"/>
    <mergeCell ref="S87:X88"/>
    <mergeCell ref="AC73:AC74"/>
    <mergeCell ref="Z73:Z74"/>
    <mergeCell ref="Z87:Z88"/>
    <mergeCell ref="R87:R88"/>
    <mergeCell ref="R85:R86"/>
    <mergeCell ref="R122:R123"/>
    <mergeCell ref="S122:X123"/>
    <mergeCell ref="Y122:Y123"/>
    <mergeCell ref="AB73:AB74"/>
    <mergeCell ref="AA73:AA74"/>
    <mergeCell ref="Y73:Y74"/>
    <mergeCell ref="X81:Y81"/>
    <mergeCell ref="Z81:AE81"/>
    <mergeCell ref="S73:X74"/>
    <mergeCell ref="AB99:AB100"/>
    <mergeCell ref="Z95:AE95"/>
    <mergeCell ref="AD99:AF100"/>
    <mergeCell ref="R169:W169"/>
    <mergeCell ref="X169:Y169"/>
    <mergeCell ref="S172:X172"/>
    <mergeCell ref="R173:R174"/>
    <mergeCell ref="S173:X174"/>
    <mergeCell ref="Y173:Y174"/>
    <mergeCell ref="Z173:Z174"/>
    <mergeCell ref="Z132:AE132"/>
    <mergeCell ref="AD136:AF137"/>
    <mergeCell ref="AB136:AB137"/>
    <mergeCell ref="S149:X149"/>
    <mergeCell ref="AD149:AF149"/>
    <mergeCell ref="S138:X139"/>
    <mergeCell ref="R150:R151"/>
    <mergeCell ref="S150:X151"/>
    <mergeCell ref="AA136:AA137"/>
    <mergeCell ref="R138:R139"/>
    <mergeCell ref="AB138:AB139"/>
    <mergeCell ref="AB48:AB49"/>
    <mergeCell ref="AC50:AC51"/>
    <mergeCell ref="AC101:AC102"/>
    <mergeCell ref="AC71:AC72"/>
    <mergeCell ref="AD73:AF74"/>
    <mergeCell ref="R101:R102"/>
    <mergeCell ref="S101:X102"/>
    <mergeCell ref="Z118:AE118"/>
    <mergeCell ref="Z101:Z102"/>
    <mergeCell ref="AA101:AA102"/>
    <mergeCell ref="AD101:AF102"/>
    <mergeCell ref="AB101:AB102"/>
    <mergeCell ref="S121:X121"/>
    <mergeCell ref="AD121:AF121"/>
    <mergeCell ref="AC122:AC123"/>
    <mergeCell ref="AD122:AF123"/>
    <mergeCell ref="AB124:AB125"/>
    <mergeCell ref="AC124:AC125"/>
    <mergeCell ref="AD124:AF125"/>
    <mergeCell ref="AA122:AA123"/>
    <mergeCell ref="AB122:AB123"/>
    <mergeCell ref="AD34:AF35"/>
    <mergeCell ref="X44:Y44"/>
    <mergeCell ref="R44:W44"/>
    <mergeCell ref="R36:R37"/>
    <mergeCell ref="S36:X37"/>
    <mergeCell ref="S70:X70"/>
    <mergeCell ref="R50:R51"/>
    <mergeCell ref="S50:X51"/>
    <mergeCell ref="Y50:Y51"/>
    <mergeCell ref="AA36:AA37"/>
    <mergeCell ref="S48:X49"/>
    <mergeCell ref="AA50:AA51"/>
    <mergeCell ref="AD47:AF47"/>
    <mergeCell ref="AD48:AF49"/>
    <mergeCell ref="R71:R72"/>
    <mergeCell ref="R67:W67"/>
    <mergeCell ref="X67:Y67"/>
    <mergeCell ref="Z67:AE67"/>
    <mergeCell ref="AD70:AF70"/>
    <mergeCell ref="AD71:AF72"/>
    <mergeCell ref="AD50:AF51"/>
    <mergeCell ref="S47:X47"/>
    <mergeCell ref="AA124:AA125"/>
    <mergeCell ref="AC85:AC86"/>
    <mergeCell ref="S124:X125"/>
    <mergeCell ref="S952:X953"/>
    <mergeCell ref="Y952:Y953"/>
    <mergeCell ref="R968:R969"/>
    <mergeCell ref="R30:W30"/>
    <mergeCell ref="R34:R35"/>
    <mergeCell ref="S34:X35"/>
    <mergeCell ref="AC36:AC37"/>
    <mergeCell ref="AC48:AC49"/>
    <mergeCell ref="AC34:AC35"/>
    <mergeCell ref="R48:R49"/>
    <mergeCell ref="AB34:AB35"/>
    <mergeCell ref="AB71:AB72"/>
    <mergeCell ref="Z36:Z37"/>
    <mergeCell ref="Y71:Y72"/>
    <mergeCell ref="AB50:AB51"/>
    <mergeCell ref="Z71:Z72"/>
    <mergeCell ref="AA71:AA72"/>
    <mergeCell ref="Z44:AE44"/>
    <mergeCell ref="Z50:Z51"/>
    <mergeCell ref="AB36:AB37"/>
    <mergeCell ref="B233:G234"/>
    <mergeCell ref="M232:P232"/>
    <mergeCell ref="M321:P322"/>
    <mergeCell ref="AD22:AF23"/>
    <mergeCell ref="H1976:H1977"/>
    <mergeCell ref="Y22:Y23"/>
    <mergeCell ref="AB22:AB23"/>
    <mergeCell ref="Y34:Y35"/>
    <mergeCell ref="X30:Y30"/>
    <mergeCell ref="I916:J916"/>
    <mergeCell ref="AA48:AA49"/>
    <mergeCell ref="Y20:Y21"/>
    <mergeCell ref="AA20:AA21"/>
    <mergeCell ref="Z20:Z21"/>
    <mergeCell ref="S22:X23"/>
    <mergeCell ref="Z30:AE30"/>
    <mergeCell ref="AC22:AC23"/>
    <mergeCell ref="Y36:Y37"/>
    <mergeCell ref="Z34:Z35"/>
    <mergeCell ref="AD36:AF37"/>
    <mergeCell ref="AA34:AA35"/>
    <mergeCell ref="Z48:Z49"/>
    <mergeCell ref="AA22:AA23"/>
    <mergeCell ref="S71:X72"/>
    <mergeCell ref="Z22:Z23"/>
    <mergeCell ref="R22:R23"/>
    <mergeCell ref="R73:R74"/>
    <mergeCell ref="AA85:AA86"/>
    <mergeCell ref="S968:X969"/>
    <mergeCell ref="Y968:Y969"/>
    <mergeCell ref="X962:Y962"/>
    <mergeCell ref="R20:R21"/>
    <mergeCell ref="B96:G96"/>
    <mergeCell ref="R656:W656"/>
    <mergeCell ref="S710:X710"/>
    <mergeCell ref="R897:W897"/>
    <mergeCell ref="X897:Y897"/>
    <mergeCell ref="H38:H39"/>
    <mergeCell ref="R99:R100"/>
    <mergeCell ref="X118:Y118"/>
    <mergeCell ref="R118:W118"/>
    <mergeCell ref="G1897:I1897"/>
    <mergeCell ref="M923:P923"/>
    <mergeCell ref="M1966:P1966"/>
    <mergeCell ref="B3350:G3350"/>
    <mergeCell ref="H3351:H3352"/>
    <mergeCell ref="I3351:I3352"/>
    <mergeCell ref="A17:A18"/>
    <mergeCell ref="I2804:J2804"/>
    <mergeCell ref="M2249:P2249"/>
    <mergeCell ref="M2300:P2300"/>
    <mergeCell ref="M2351:P2351"/>
    <mergeCell ref="M2530:P2531"/>
    <mergeCell ref="M2708:P2708"/>
    <mergeCell ref="M2759:P2759"/>
    <mergeCell ref="B232:G232"/>
    <mergeCell ref="A233:A234"/>
    <mergeCell ref="S20:X21"/>
    <mergeCell ref="X16:Y16"/>
    <mergeCell ref="R16:W16"/>
    <mergeCell ref="M2914:N2914"/>
    <mergeCell ref="A2307:P2307"/>
    <mergeCell ref="M15:P16"/>
    <mergeCell ref="M17:P18"/>
    <mergeCell ref="M21:P21"/>
    <mergeCell ref="J45:J46"/>
    <mergeCell ref="K22:K23"/>
    <mergeCell ref="Y48:Y49"/>
    <mergeCell ref="Y101:Y102"/>
    <mergeCell ref="K117:K118"/>
    <mergeCell ref="H22:H23"/>
    <mergeCell ref="Z16:AE16"/>
    <mergeCell ref="S19:X19"/>
    <mergeCell ref="AD19:AF19"/>
    <mergeCell ref="AC20:AC21"/>
    <mergeCell ref="AB20:AB21"/>
    <mergeCell ref="AD20:AF21"/>
    <mergeCell ref="R1509:W1509"/>
    <mergeCell ref="X1509:Y1509"/>
    <mergeCell ref="R1527:R1528"/>
    <mergeCell ref="S1527:X1528"/>
    <mergeCell ref="R1768:R1769"/>
    <mergeCell ref="S1768:X1769"/>
    <mergeCell ref="Y1768:Y1769"/>
    <mergeCell ref="R1560:W1560"/>
    <mergeCell ref="X1560:Y1560"/>
    <mergeCell ref="Y1529:Y1530"/>
    <mergeCell ref="S1169:X1169"/>
    <mergeCell ref="R1305:W1305"/>
    <mergeCell ref="X1305:Y1305"/>
    <mergeCell ref="R1323:R1324"/>
    <mergeCell ref="S1323:X1324"/>
    <mergeCell ref="R1362:R1363"/>
    <mergeCell ref="S1362:X1363"/>
    <mergeCell ref="Y1362:Y1363"/>
    <mergeCell ref="R1203:W1203"/>
    <mergeCell ref="X1217:Y1217"/>
    <mergeCell ref="S1019:X1020"/>
    <mergeCell ref="Y1019:Y1020"/>
    <mergeCell ref="R1101:W1101"/>
    <mergeCell ref="X1101:Y1101"/>
    <mergeCell ref="R1119:R1120"/>
    <mergeCell ref="S1119:X1120"/>
    <mergeCell ref="R1056:R1057"/>
    <mergeCell ref="S1056:X1057"/>
    <mergeCell ref="Y1056:Y1057"/>
    <mergeCell ref="X1036:Y1036"/>
    <mergeCell ref="R952:R953"/>
    <mergeCell ref="I3309:I3310"/>
    <mergeCell ref="M3336:P3336"/>
    <mergeCell ref="B3337:G3338"/>
    <mergeCell ref="M3350:P3350"/>
    <mergeCell ref="M3339:P3340"/>
    <mergeCell ref="B3343:G3343"/>
    <mergeCell ref="M3343:P3343"/>
    <mergeCell ref="A3339:A3340"/>
    <mergeCell ref="B3339:G3340"/>
    <mergeCell ref="B3357:G3357"/>
    <mergeCell ref="M3357:P3357"/>
    <mergeCell ref="L3346:L3347"/>
    <mergeCell ref="J3344:J3345"/>
    <mergeCell ref="M3344:P3345"/>
    <mergeCell ref="M3351:P3352"/>
    <mergeCell ref="M3346:P3347"/>
    <mergeCell ref="K3351:K3352"/>
    <mergeCell ref="L3358:L3359"/>
    <mergeCell ref="I3360:I3361"/>
    <mergeCell ref="J3360:J3361"/>
    <mergeCell ref="K3358:K3359"/>
    <mergeCell ref="J3353:J3354"/>
    <mergeCell ref="A3353:A3354"/>
    <mergeCell ref="B3353:G3354"/>
    <mergeCell ref="H3353:H3354"/>
    <mergeCell ref="I3353:I3354"/>
    <mergeCell ref="K3353:K3354"/>
    <mergeCell ref="A3360:A3361"/>
    <mergeCell ref="J3358:J3359"/>
    <mergeCell ref="B3360:G3360"/>
    <mergeCell ref="B3361:G3361"/>
    <mergeCell ref="A3358:A3359"/>
    <mergeCell ref="B3358:G3358"/>
    <mergeCell ref="H3358:H3359"/>
    <mergeCell ref="I3358:I3359"/>
    <mergeCell ref="H3360:H3361"/>
    <mergeCell ref="K3332:K3333"/>
    <mergeCell ref="L3332:L3333"/>
    <mergeCell ref="B3330:G3331"/>
    <mergeCell ref="H3330:H3331"/>
    <mergeCell ref="I3330:I3331"/>
    <mergeCell ref="A3330:A3331"/>
    <mergeCell ref="A3332:A3333"/>
    <mergeCell ref="M3330:P3331"/>
    <mergeCell ref="M3332:P3333"/>
    <mergeCell ref="M3337:P3338"/>
    <mergeCell ref="H3339:H3340"/>
    <mergeCell ref="I3339:I3340"/>
    <mergeCell ref="L3351:L3352"/>
    <mergeCell ref="J3339:J3340"/>
    <mergeCell ref="K3339:K3340"/>
    <mergeCell ref="L3339:L3340"/>
    <mergeCell ref="B3344:G3345"/>
    <mergeCell ref="H3344:H3345"/>
    <mergeCell ref="I3344:I3345"/>
    <mergeCell ref="B3336:G3336"/>
    <mergeCell ref="K3344:K3345"/>
    <mergeCell ref="J3346:J3347"/>
    <mergeCell ref="L3344:L3345"/>
    <mergeCell ref="A3344:A3345"/>
    <mergeCell ref="I3346:I3347"/>
    <mergeCell ref="K3346:K3347"/>
    <mergeCell ref="A3351:A3352"/>
    <mergeCell ref="B3351:G3352"/>
    <mergeCell ref="I2574:I2575"/>
    <mergeCell ref="J2579:J2580"/>
    <mergeCell ref="K2579:K2580"/>
    <mergeCell ref="I2579:I2580"/>
    <mergeCell ref="B2578:G2578"/>
    <mergeCell ref="B2579:G2580"/>
    <mergeCell ref="H2579:H2580"/>
    <mergeCell ref="B2596:G2596"/>
    <mergeCell ref="A1976:A1977"/>
    <mergeCell ref="B1976:G1977"/>
    <mergeCell ref="A2595:A2596"/>
    <mergeCell ref="B3329:G3329"/>
    <mergeCell ref="M3329:P3329"/>
    <mergeCell ref="J3330:J3331"/>
    <mergeCell ref="B3332:G3333"/>
    <mergeCell ref="H3332:H3333"/>
    <mergeCell ref="I3332:I3333"/>
    <mergeCell ref="J3332:J3333"/>
    <mergeCell ref="M3360:P3361"/>
    <mergeCell ref="M3358:P3359"/>
    <mergeCell ref="H3337:H3338"/>
    <mergeCell ref="I3337:I3338"/>
    <mergeCell ref="J3337:J3338"/>
    <mergeCell ref="K3337:K3338"/>
    <mergeCell ref="L3337:L3338"/>
    <mergeCell ref="M3353:P3354"/>
    <mergeCell ref="L3353:L3354"/>
    <mergeCell ref="L3360:L3361"/>
    <mergeCell ref="G3365:H3365"/>
    <mergeCell ref="I3365:J3365"/>
    <mergeCell ref="K3360:K3361"/>
    <mergeCell ref="B3359:G3359"/>
    <mergeCell ref="F3363:K3363"/>
    <mergeCell ref="G3364:H3364"/>
    <mergeCell ref="I3364:J3364"/>
    <mergeCell ref="L3302:L3303"/>
    <mergeCell ref="I3314:J3314"/>
    <mergeCell ref="K3302:K3303"/>
    <mergeCell ref="J3351:J3352"/>
    <mergeCell ref="A3346:A3347"/>
    <mergeCell ref="B3346:G3347"/>
    <mergeCell ref="H3346:H3347"/>
    <mergeCell ref="A3337:A3338"/>
    <mergeCell ref="K3330:K3331"/>
    <mergeCell ref="L3330:L3331"/>
    <mergeCell ref="A3325:F3325"/>
    <mergeCell ref="J3325:O3325"/>
    <mergeCell ref="G3314:H3314"/>
    <mergeCell ref="M3322:N3322"/>
    <mergeCell ref="A3307:A3308"/>
    <mergeCell ref="B3307:G3307"/>
    <mergeCell ref="H3307:H3308"/>
    <mergeCell ref="A3309:A3310"/>
    <mergeCell ref="H3309:H3310"/>
    <mergeCell ref="B3310:G3310"/>
    <mergeCell ref="B3309:G3309"/>
    <mergeCell ref="I3307:I3308"/>
    <mergeCell ref="B3308:G3308"/>
    <mergeCell ref="L3309:L3310"/>
    <mergeCell ref="M3307:P3308"/>
    <mergeCell ref="M3309:P3310"/>
    <mergeCell ref="A3327:P3327"/>
    <mergeCell ref="G3325:I3325"/>
    <mergeCell ref="M3320:P3320"/>
    <mergeCell ref="A3274:F3274"/>
    <mergeCell ref="A3279:A3280"/>
    <mergeCell ref="K3279:K3280"/>
    <mergeCell ref="M2268:P2269"/>
    <mergeCell ref="A3302:A3303"/>
    <mergeCell ref="B3302:G3303"/>
    <mergeCell ref="H3302:H3303"/>
    <mergeCell ref="I3302:I3303"/>
    <mergeCell ref="K3300:K3301"/>
    <mergeCell ref="B3281:G3282"/>
    <mergeCell ref="H3281:H3282"/>
    <mergeCell ref="M2606:P2606"/>
    <mergeCell ref="M2133:P2133"/>
    <mergeCell ref="M1945:N1945"/>
    <mergeCell ref="M1996:N1996"/>
    <mergeCell ref="M2045:P2045"/>
    <mergeCell ref="M2085:P2086"/>
    <mergeCell ref="M2083:P2084"/>
    <mergeCell ref="M2075:P2075"/>
    <mergeCell ref="M1980:P1980"/>
    <mergeCell ref="K2044:P2044"/>
    <mergeCell ref="G2396:H2396"/>
    <mergeCell ref="M2353:N2353"/>
    <mergeCell ref="M2388:P2388"/>
    <mergeCell ref="I2389:I2390"/>
    <mergeCell ref="M2389:P2390"/>
    <mergeCell ref="M2557:N2557"/>
    <mergeCell ref="M2504:P2504"/>
    <mergeCell ref="M2170:P2170"/>
    <mergeCell ref="L2185:L2186"/>
    <mergeCell ref="L2187:L2188"/>
    <mergeCell ref="J2187:J2188"/>
    <mergeCell ref="A2266:A2267"/>
    <mergeCell ref="B2266:G2267"/>
    <mergeCell ref="H2266:H2267"/>
    <mergeCell ref="M2259:P2260"/>
    <mergeCell ref="M2266:P2267"/>
    <mergeCell ref="L2261:L2262"/>
    <mergeCell ref="M2261:P2262"/>
    <mergeCell ref="A2261:A2262"/>
    <mergeCell ref="B2261:G2262"/>
    <mergeCell ref="H2261:H2262"/>
    <mergeCell ref="I2261:I2262"/>
    <mergeCell ref="I2266:I2267"/>
    <mergeCell ref="B2265:G2265"/>
    <mergeCell ref="M2272:P2272"/>
    <mergeCell ref="J2273:J2274"/>
    <mergeCell ref="K2273:K2274"/>
    <mergeCell ref="A2268:A2269"/>
    <mergeCell ref="B2268:G2269"/>
    <mergeCell ref="L2588:L2589"/>
    <mergeCell ref="M2588:P2589"/>
    <mergeCell ref="J2588:J2589"/>
    <mergeCell ref="L2593:L2594"/>
    <mergeCell ref="K2593:K2594"/>
    <mergeCell ref="J2266:J2267"/>
    <mergeCell ref="F2604:I2604"/>
    <mergeCell ref="K2605:P2605"/>
    <mergeCell ref="H2595:H2596"/>
    <mergeCell ref="I2595:I2596"/>
    <mergeCell ref="J2593:J2594"/>
    <mergeCell ref="A2574:A2575"/>
    <mergeCell ref="B2574:G2575"/>
    <mergeCell ref="H2574:H2575"/>
    <mergeCell ref="B3255:G3255"/>
    <mergeCell ref="K3251:K3252"/>
    <mergeCell ref="H3251:H3252"/>
    <mergeCell ref="I3251:I3252"/>
    <mergeCell ref="M3256:P3257"/>
    <mergeCell ref="L3258:L3259"/>
    <mergeCell ref="M3258:P3259"/>
    <mergeCell ref="L3249:L3250"/>
    <mergeCell ref="M3249:P3250"/>
    <mergeCell ref="M3255:P3255"/>
    <mergeCell ref="J3251:J3252"/>
    <mergeCell ref="H3256:H3257"/>
    <mergeCell ref="A3003:A3004"/>
    <mergeCell ref="A2996:A2997"/>
    <mergeCell ref="G1988:H1988"/>
    <mergeCell ref="I1988:J1988"/>
    <mergeCell ref="F1986:K1986"/>
    <mergeCell ref="H2273:H2274"/>
    <mergeCell ref="I2273:I2274"/>
    <mergeCell ref="A2254:F2254"/>
    <mergeCell ref="M3300:P3301"/>
    <mergeCell ref="I3313:J3313"/>
    <mergeCell ref="J3322:L3322"/>
    <mergeCell ref="I3286:I3287"/>
    <mergeCell ref="A1983:A1984"/>
    <mergeCell ref="H1983:H1984"/>
    <mergeCell ref="L2273:L2274"/>
    <mergeCell ref="J2254:O2254"/>
    <mergeCell ref="B2258:G2258"/>
    <mergeCell ref="M2258:P2258"/>
    <mergeCell ref="A3300:A3301"/>
    <mergeCell ref="J3302:J3303"/>
    <mergeCell ref="B3299:G3299"/>
    <mergeCell ref="L3295:L3296"/>
    <mergeCell ref="M3295:P3296"/>
    <mergeCell ref="M3299:P3299"/>
    <mergeCell ref="J3295:J3296"/>
    <mergeCell ref="B3300:G3301"/>
    <mergeCell ref="H3300:H3301"/>
    <mergeCell ref="I3300:I3301"/>
    <mergeCell ref="A3295:A3296"/>
    <mergeCell ref="B3295:G3296"/>
    <mergeCell ref="H3295:H3296"/>
    <mergeCell ref="B3293:G3294"/>
    <mergeCell ref="H3293:H3294"/>
    <mergeCell ref="I3293:I3294"/>
    <mergeCell ref="I3295:I3296"/>
    <mergeCell ref="A3293:A3294"/>
    <mergeCell ref="G3313:H3313"/>
    <mergeCell ref="M3293:P3294"/>
    <mergeCell ref="L3307:L3308"/>
    <mergeCell ref="K3295:K3296"/>
    <mergeCell ref="J3293:J3294"/>
    <mergeCell ref="K3293:K3294"/>
    <mergeCell ref="A3281:A3282"/>
    <mergeCell ref="A3286:A3287"/>
    <mergeCell ref="B3286:G3287"/>
    <mergeCell ref="H3286:H3287"/>
    <mergeCell ref="M3054:P3055"/>
    <mergeCell ref="A3256:A3257"/>
    <mergeCell ref="B3256:G3256"/>
    <mergeCell ref="J3256:J3257"/>
    <mergeCell ref="K3256:K3257"/>
    <mergeCell ref="I3256:I3257"/>
    <mergeCell ref="A3288:A3289"/>
    <mergeCell ref="B3292:G3292"/>
    <mergeCell ref="M3288:P3289"/>
    <mergeCell ref="B3288:G3289"/>
    <mergeCell ref="H3288:H3289"/>
    <mergeCell ref="M3292:P3292"/>
    <mergeCell ref="J3288:J3289"/>
    <mergeCell ref="K3288:K3289"/>
    <mergeCell ref="L3286:L3287"/>
    <mergeCell ref="P3222:Q3222"/>
    <mergeCell ref="D3220:G3220"/>
    <mergeCell ref="A3223:F3223"/>
    <mergeCell ref="J3223:O3223"/>
    <mergeCell ref="L3230:L3231"/>
    <mergeCell ref="B3228:G3229"/>
    <mergeCell ref="H3228:H3229"/>
    <mergeCell ref="I3228:I3229"/>
    <mergeCell ref="J3228:J3229"/>
    <mergeCell ref="B3230:G3231"/>
    <mergeCell ref="H3230:H3231"/>
    <mergeCell ref="I3230:I3231"/>
    <mergeCell ref="J3230:J3231"/>
    <mergeCell ref="A3228:A3229"/>
    <mergeCell ref="K3228:K3229"/>
    <mergeCell ref="L3228:L3229"/>
    <mergeCell ref="M3228:P3229"/>
    <mergeCell ref="A3230:A3231"/>
    <mergeCell ref="K3230:K3231"/>
    <mergeCell ref="M3230:P3231"/>
    <mergeCell ref="A3198:A3199"/>
    <mergeCell ref="B3197:G3197"/>
    <mergeCell ref="A3191:A3192"/>
    <mergeCell ref="B3191:G3192"/>
    <mergeCell ref="B3198:G3199"/>
    <mergeCell ref="I3191:I3192"/>
    <mergeCell ref="A3193:A3194"/>
    <mergeCell ref="H3198:H3199"/>
    <mergeCell ref="M3197:P3197"/>
    <mergeCell ref="K3205:K3206"/>
    <mergeCell ref="L3205:L3206"/>
    <mergeCell ref="P3273:Q3273"/>
    <mergeCell ref="M3279:P3280"/>
    <mergeCell ref="L3279:L3280"/>
    <mergeCell ref="J3274:O3274"/>
    <mergeCell ref="B3278:G3278"/>
    <mergeCell ref="M3278:P3278"/>
    <mergeCell ref="A3276:P3276"/>
    <mergeCell ref="G3274:I3274"/>
    <mergeCell ref="L3256:L3257"/>
    <mergeCell ref="I3249:I3250"/>
    <mergeCell ref="J3281:J3282"/>
    <mergeCell ref="B3285:G3285"/>
    <mergeCell ref="M3285:P3285"/>
    <mergeCell ref="K3281:K3282"/>
    <mergeCell ref="M3281:P3282"/>
    <mergeCell ref="B3279:G3280"/>
    <mergeCell ref="H3279:H3280"/>
    <mergeCell ref="I3279:I3280"/>
    <mergeCell ref="F3266:I3266"/>
    <mergeCell ref="F3267:I3267"/>
    <mergeCell ref="D3271:G3271"/>
    <mergeCell ref="K3249:K3250"/>
    <mergeCell ref="B3259:G3259"/>
    <mergeCell ref="M3251:P3252"/>
    <mergeCell ref="I3198:I3199"/>
    <mergeCell ref="J3198:J3199"/>
    <mergeCell ref="L3198:L3199"/>
    <mergeCell ref="M3198:P3199"/>
    <mergeCell ref="B3193:G3194"/>
    <mergeCell ref="G3211:H3211"/>
    <mergeCell ref="M3205:P3206"/>
    <mergeCell ref="M3200:P3201"/>
    <mergeCell ref="K3200:K3201"/>
    <mergeCell ref="L3200:L3201"/>
    <mergeCell ref="M3204:P3204"/>
    <mergeCell ref="I3211:J3211"/>
    <mergeCell ref="B3208:G3208"/>
    <mergeCell ref="L3207:L3208"/>
    <mergeCell ref="M3207:P3208"/>
    <mergeCell ref="J3200:J3201"/>
    <mergeCell ref="J3205:J3206"/>
    <mergeCell ref="B3205:G3205"/>
    <mergeCell ref="K3193:K3194"/>
    <mergeCell ref="B3207:G3207"/>
    <mergeCell ref="H3207:H3208"/>
    <mergeCell ref="I3207:I3208"/>
    <mergeCell ref="H3193:H3194"/>
    <mergeCell ref="I3193:I3194"/>
    <mergeCell ref="K3198:K3199"/>
    <mergeCell ref="A3207:A3208"/>
    <mergeCell ref="O3221:P3221"/>
    <mergeCell ref="M3177:P3178"/>
    <mergeCell ref="B3177:G3178"/>
    <mergeCell ref="H3177:H3178"/>
    <mergeCell ref="I3177:I3178"/>
    <mergeCell ref="B3183:G3183"/>
    <mergeCell ref="M3183:P3183"/>
    <mergeCell ref="L3179:L3180"/>
    <mergeCell ref="M3179:P3180"/>
    <mergeCell ref="A3177:A3178"/>
    <mergeCell ref="L3177:L3178"/>
    <mergeCell ref="J3177:J3178"/>
    <mergeCell ref="K3177:K3178"/>
    <mergeCell ref="B3179:G3180"/>
    <mergeCell ref="H3179:H3180"/>
    <mergeCell ref="A3179:A3180"/>
    <mergeCell ref="I3179:I3180"/>
    <mergeCell ref="J3179:J3180"/>
    <mergeCell ref="K3179:K3180"/>
    <mergeCell ref="M3184:P3185"/>
    <mergeCell ref="J3184:J3185"/>
    <mergeCell ref="K3184:K3185"/>
    <mergeCell ref="L3184:L3185"/>
    <mergeCell ref="A3184:A3185"/>
    <mergeCell ref="B3184:G3185"/>
    <mergeCell ref="H3184:H3185"/>
    <mergeCell ref="I3184:I3185"/>
    <mergeCell ref="L3193:L3194"/>
    <mergeCell ref="B3186:G3187"/>
    <mergeCell ref="H3186:H3187"/>
    <mergeCell ref="M3190:P3190"/>
    <mergeCell ref="J3186:J3187"/>
    <mergeCell ref="K3186:K3187"/>
    <mergeCell ref="M3186:P3187"/>
    <mergeCell ref="I3186:I3187"/>
    <mergeCell ref="L3186:L3187"/>
    <mergeCell ref="A3186:A3187"/>
    <mergeCell ref="J3193:J3194"/>
    <mergeCell ref="M3193:P3194"/>
    <mergeCell ref="L3191:L3192"/>
    <mergeCell ref="M3191:P3192"/>
    <mergeCell ref="J3191:J3192"/>
    <mergeCell ref="K3191:K3192"/>
    <mergeCell ref="R3178:W3178"/>
    <mergeCell ref="L3154:L3155"/>
    <mergeCell ref="M3154:P3155"/>
    <mergeCell ref="M3153:P3153"/>
    <mergeCell ref="L3156:L3157"/>
    <mergeCell ref="M3156:P3157"/>
    <mergeCell ref="J3154:J3155"/>
    <mergeCell ref="K3154:K3155"/>
    <mergeCell ref="A3156:A3157"/>
    <mergeCell ref="K3156:K3157"/>
    <mergeCell ref="B3155:G3155"/>
    <mergeCell ref="B3156:G3156"/>
    <mergeCell ref="H3156:H3157"/>
    <mergeCell ref="I3156:I3157"/>
    <mergeCell ref="A3154:A3155"/>
    <mergeCell ref="B3154:G3154"/>
    <mergeCell ref="J3156:J3157"/>
    <mergeCell ref="A3172:F3172"/>
    <mergeCell ref="J3172:O3172"/>
    <mergeCell ref="B3157:G3157"/>
    <mergeCell ref="G3161:H3161"/>
    <mergeCell ref="I3161:J3161"/>
    <mergeCell ref="F3159:K3159"/>
    <mergeCell ref="G3160:H3160"/>
    <mergeCell ref="I3160:J3160"/>
    <mergeCell ref="F3164:I3164"/>
    <mergeCell ref="M3176:P3176"/>
    <mergeCell ref="B3176:G3176"/>
    <mergeCell ref="G3172:I3172"/>
    <mergeCell ref="J3169:L3169"/>
    <mergeCell ref="M3169:N3169"/>
    <mergeCell ref="A3174:P3174"/>
    <mergeCell ref="G3173:I3173"/>
    <mergeCell ref="P3171:Q3171"/>
    <mergeCell ref="D3169:G3169"/>
    <mergeCell ref="B3190:G3190"/>
    <mergeCell ref="H3191:H3192"/>
    <mergeCell ref="H3147:H3148"/>
    <mergeCell ref="L3135:L3136"/>
    <mergeCell ref="M3135:P3136"/>
    <mergeCell ref="I3135:I3136"/>
    <mergeCell ref="L3140:L3141"/>
    <mergeCell ref="M3140:P3141"/>
    <mergeCell ref="I3147:I3148"/>
    <mergeCell ref="A3149:A3150"/>
    <mergeCell ref="B3149:G3150"/>
    <mergeCell ref="H3149:H3150"/>
    <mergeCell ref="I3149:I3150"/>
    <mergeCell ref="K3142:K3143"/>
    <mergeCell ref="J3149:J3150"/>
    <mergeCell ref="K3149:K3150"/>
    <mergeCell ref="A3147:A3148"/>
    <mergeCell ref="B3147:G3148"/>
    <mergeCell ref="J3147:J3148"/>
    <mergeCell ref="K3147:K3148"/>
    <mergeCell ref="M3142:P3143"/>
    <mergeCell ref="J3142:J3143"/>
    <mergeCell ref="L3147:L3148"/>
    <mergeCell ref="M3147:P3148"/>
    <mergeCell ref="A3128:A3129"/>
    <mergeCell ref="G3121:I3121"/>
    <mergeCell ref="Z3141:AE3141"/>
    <mergeCell ref="L3142:L3143"/>
    <mergeCell ref="B3146:G3146"/>
    <mergeCell ref="M3146:P3146"/>
    <mergeCell ref="A3140:A3141"/>
    <mergeCell ref="B3140:G3141"/>
    <mergeCell ref="H3140:H3141"/>
    <mergeCell ref="A3142:A3143"/>
    <mergeCell ref="AB3131:AB3132"/>
    <mergeCell ref="M3132:P3132"/>
    <mergeCell ref="A3121:F3121"/>
    <mergeCell ref="J3121:O3121"/>
    <mergeCell ref="M3125:P3125"/>
    <mergeCell ref="K3126:K3127"/>
    <mergeCell ref="L3126:L3127"/>
    <mergeCell ref="G3122:I3122"/>
    <mergeCell ref="B3125:G3125"/>
    <mergeCell ref="B3132:G3132"/>
    <mergeCell ref="B3126:G3127"/>
    <mergeCell ref="M3126:P3127"/>
    <mergeCell ref="H3128:H3129"/>
    <mergeCell ref="I3128:I3129"/>
    <mergeCell ref="B3128:G3129"/>
    <mergeCell ref="AD3131:AF3132"/>
    <mergeCell ref="AD3130:AF3130"/>
    <mergeCell ref="L3128:L3129"/>
    <mergeCell ref="R3131:R3132"/>
    <mergeCell ref="AA3131:AA3132"/>
    <mergeCell ref="B3135:G3136"/>
    <mergeCell ref="H3135:H3136"/>
    <mergeCell ref="X3127:Y3127"/>
    <mergeCell ref="A3126:A3127"/>
    <mergeCell ref="H3126:H3127"/>
    <mergeCell ref="I3126:I3127"/>
    <mergeCell ref="J3126:J3127"/>
    <mergeCell ref="J3128:J3129"/>
    <mergeCell ref="K3128:K3129"/>
    <mergeCell ref="M3149:P3150"/>
    <mergeCell ref="L3149:L3150"/>
    <mergeCell ref="M3128:P3129"/>
    <mergeCell ref="A3133:A3134"/>
    <mergeCell ref="B3133:G3134"/>
    <mergeCell ref="I3140:I3141"/>
    <mergeCell ref="K3140:K3141"/>
    <mergeCell ref="J3133:J3134"/>
    <mergeCell ref="K3133:K3134"/>
    <mergeCell ref="B3139:G3139"/>
    <mergeCell ref="A3135:A3136"/>
    <mergeCell ref="M3098:P3099"/>
    <mergeCell ref="Z3108:Z3109"/>
    <mergeCell ref="AA3108:AA3109"/>
    <mergeCell ref="S3096:X3097"/>
    <mergeCell ref="Y3096:Y3097"/>
    <mergeCell ref="Z3096:Z3097"/>
    <mergeCell ref="R3096:R3097"/>
    <mergeCell ref="K3096:K3097"/>
    <mergeCell ref="J3096:J3097"/>
    <mergeCell ref="L3098:L3099"/>
    <mergeCell ref="L3096:L3097"/>
    <mergeCell ref="L3103:L3104"/>
    <mergeCell ref="M3103:P3104"/>
    <mergeCell ref="M3096:P3097"/>
    <mergeCell ref="J3098:J3099"/>
    <mergeCell ref="M3102:P3102"/>
    <mergeCell ref="K3098:K3099"/>
    <mergeCell ref="A3105:A3106"/>
    <mergeCell ref="B3104:G3104"/>
    <mergeCell ref="J3105:J3106"/>
    <mergeCell ref="J3103:J3104"/>
    <mergeCell ref="A3103:A3104"/>
    <mergeCell ref="B3103:G3103"/>
    <mergeCell ref="H3103:H3104"/>
    <mergeCell ref="H3105:H3106"/>
    <mergeCell ref="B3106:G3106"/>
    <mergeCell ref="I3103:I3104"/>
    <mergeCell ref="M3116:P3116"/>
    <mergeCell ref="M3118:N3118"/>
    <mergeCell ref="F3108:K3108"/>
    <mergeCell ref="G3109:H3109"/>
    <mergeCell ref="K3105:K3106"/>
    <mergeCell ref="K3103:K3104"/>
    <mergeCell ref="M3105:P3106"/>
    <mergeCell ref="B3105:G3105"/>
    <mergeCell ref="L3105:L3106"/>
    <mergeCell ref="I3105:I3106"/>
    <mergeCell ref="B3102:G3102"/>
    <mergeCell ref="A3098:A3099"/>
    <mergeCell ref="B3098:G3099"/>
    <mergeCell ref="H3098:H3099"/>
    <mergeCell ref="I3098:I3099"/>
    <mergeCell ref="M3139:P3139"/>
    <mergeCell ref="J3135:J3136"/>
    <mergeCell ref="K3135:K3136"/>
    <mergeCell ref="S3133:X3134"/>
    <mergeCell ref="Y3133:Y3134"/>
    <mergeCell ref="Z3133:Z3134"/>
    <mergeCell ref="R3082:R3083"/>
    <mergeCell ref="L3091:L3092"/>
    <mergeCell ref="M3091:P3092"/>
    <mergeCell ref="J3084:J3085"/>
    <mergeCell ref="K3084:K3085"/>
    <mergeCell ref="L3089:L3090"/>
    <mergeCell ref="M3089:P3090"/>
    <mergeCell ref="K3082:K3083"/>
    <mergeCell ref="K3091:K3092"/>
    <mergeCell ref="A3084:A3085"/>
    <mergeCell ref="B3084:G3085"/>
    <mergeCell ref="H3084:H3085"/>
    <mergeCell ref="I3084:I3085"/>
    <mergeCell ref="A3091:A3092"/>
    <mergeCell ref="B3091:G3092"/>
    <mergeCell ref="H3091:H3092"/>
    <mergeCell ref="I3091:I3092"/>
    <mergeCell ref="B3088:G3088"/>
    <mergeCell ref="B3096:G3097"/>
    <mergeCell ref="H3096:H3097"/>
    <mergeCell ref="I3096:I3097"/>
    <mergeCell ref="J3089:J3090"/>
    <mergeCell ref="K3089:K3090"/>
    <mergeCell ref="A3089:A3090"/>
    <mergeCell ref="B3089:G3090"/>
    <mergeCell ref="H3089:H3090"/>
    <mergeCell ref="I3089:I3090"/>
    <mergeCell ref="J3091:J3092"/>
    <mergeCell ref="G3071:I3071"/>
    <mergeCell ref="A3072:P3072"/>
    <mergeCell ref="M3095:P3095"/>
    <mergeCell ref="B3095:G3095"/>
    <mergeCell ref="A3096:A3097"/>
    <mergeCell ref="A3077:A3078"/>
    <mergeCell ref="B3077:G3078"/>
    <mergeCell ref="H3077:H3078"/>
    <mergeCell ref="I3077:I3078"/>
    <mergeCell ref="B3074:G3074"/>
    <mergeCell ref="A3075:A3076"/>
    <mergeCell ref="B3075:G3076"/>
    <mergeCell ref="I3075:I3076"/>
    <mergeCell ref="M3074:P3074"/>
    <mergeCell ref="H3075:H3076"/>
    <mergeCell ref="J3077:J3078"/>
    <mergeCell ref="L3077:L3078"/>
    <mergeCell ref="M3077:P3078"/>
    <mergeCell ref="J3075:J3076"/>
    <mergeCell ref="K3075:K3076"/>
    <mergeCell ref="K3077:K3078"/>
    <mergeCell ref="M3075:P3076"/>
    <mergeCell ref="L3075:L3076"/>
    <mergeCell ref="A3082:A3083"/>
    <mergeCell ref="B3082:G3083"/>
    <mergeCell ref="H3082:H3083"/>
    <mergeCell ref="I3082:I3083"/>
    <mergeCell ref="M3082:P3083"/>
    <mergeCell ref="J3082:J3083"/>
    <mergeCell ref="M3081:P3081"/>
    <mergeCell ref="B3081:G3081"/>
    <mergeCell ref="L3084:L3085"/>
    <mergeCell ref="M3084:P3085"/>
    <mergeCell ref="L3082:L3083"/>
    <mergeCell ref="R3080:R3081"/>
    <mergeCell ref="B3024:G3025"/>
    <mergeCell ref="H3024:H3025"/>
    <mergeCell ref="B3023:G3023"/>
    <mergeCell ref="J3024:J3025"/>
    <mergeCell ref="A3021:P3021"/>
    <mergeCell ref="K3024:K3025"/>
    <mergeCell ref="L3024:L3025"/>
    <mergeCell ref="A3026:A3027"/>
    <mergeCell ref="J3031:J3032"/>
    <mergeCell ref="A3031:A3032"/>
    <mergeCell ref="B3031:G3032"/>
    <mergeCell ref="J3054:J3055"/>
    <mergeCell ref="L3054:L3055"/>
    <mergeCell ref="A3052:A3053"/>
    <mergeCell ref="B3044:G3044"/>
    <mergeCell ref="K3038:K3039"/>
    <mergeCell ref="J3038:J3039"/>
    <mergeCell ref="M3038:P3039"/>
    <mergeCell ref="L3052:L3053"/>
    <mergeCell ref="M3052:P3053"/>
    <mergeCell ref="K3047:K3048"/>
    <mergeCell ref="M3045:P3046"/>
    <mergeCell ref="J3052:J3053"/>
    <mergeCell ref="K3052:K3053"/>
    <mergeCell ref="H3052:H3053"/>
    <mergeCell ref="I3052:I3053"/>
    <mergeCell ref="J3045:J3046"/>
    <mergeCell ref="J3047:J3048"/>
    <mergeCell ref="B3053:G3053"/>
    <mergeCell ref="I3045:I3046"/>
    <mergeCell ref="B3051:G3051"/>
    <mergeCell ref="B3052:G3052"/>
    <mergeCell ref="B3037:G3037"/>
    <mergeCell ref="M3037:P3037"/>
    <mergeCell ref="A3033:A3034"/>
    <mergeCell ref="B3033:G3034"/>
    <mergeCell ref="H3033:H3034"/>
    <mergeCell ref="I3033:I3034"/>
    <mergeCell ref="J3033:J3034"/>
    <mergeCell ref="K3033:K3034"/>
    <mergeCell ref="L3033:L3034"/>
    <mergeCell ref="M3033:P3034"/>
    <mergeCell ref="M3040:P3041"/>
    <mergeCell ref="A3038:A3039"/>
    <mergeCell ref="B3038:G3039"/>
    <mergeCell ref="H3038:H3039"/>
    <mergeCell ref="I3038:I3039"/>
    <mergeCell ref="K3040:K3041"/>
    <mergeCell ref="L3040:L3041"/>
    <mergeCell ref="B3040:G3041"/>
    <mergeCell ref="H3040:H3041"/>
    <mergeCell ref="L3038:L3039"/>
    <mergeCell ref="A3047:A3048"/>
    <mergeCell ref="B3047:G3048"/>
    <mergeCell ref="H3047:H3048"/>
    <mergeCell ref="I3047:I3048"/>
    <mergeCell ref="K3045:K3046"/>
    <mergeCell ref="A3040:A3041"/>
    <mergeCell ref="I3040:I3041"/>
    <mergeCell ref="A3045:A3046"/>
    <mergeCell ref="B3045:G3046"/>
    <mergeCell ref="H3045:H3046"/>
    <mergeCell ref="L3031:L3032"/>
    <mergeCell ref="M3051:P3051"/>
    <mergeCell ref="A3001:A3002"/>
    <mergeCell ref="B3003:G3003"/>
    <mergeCell ref="H3003:H3004"/>
    <mergeCell ref="K3003:K3004"/>
    <mergeCell ref="A3024:A3025"/>
    <mergeCell ref="F3011:I3011"/>
    <mergeCell ref="F3012:I3012"/>
    <mergeCell ref="K3013:P3013"/>
    <mergeCell ref="M2993:P2993"/>
    <mergeCell ref="B2994:G2995"/>
    <mergeCell ref="H2994:H2995"/>
    <mergeCell ref="I2994:I2995"/>
    <mergeCell ref="J2994:J2995"/>
    <mergeCell ref="L2994:L2995"/>
    <mergeCell ref="M2994:P2995"/>
    <mergeCell ref="K2994:K2995"/>
    <mergeCell ref="M3067:N3067"/>
    <mergeCell ref="M3044:P3044"/>
    <mergeCell ref="L3045:L3046"/>
    <mergeCell ref="L3047:L3048"/>
    <mergeCell ref="B3054:G3054"/>
    <mergeCell ref="H3054:H3055"/>
    <mergeCell ref="M3024:P3025"/>
    <mergeCell ref="M3030:P3030"/>
    <mergeCell ref="M3026:P3027"/>
    <mergeCell ref="K3026:K3027"/>
    <mergeCell ref="M3031:P3032"/>
    <mergeCell ref="H3031:H3032"/>
    <mergeCell ref="H3026:H3027"/>
    <mergeCell ref="K2996:K2997"/>
    <mergeCell ref="L2996:L2997"/>
    <mergeCell ref="M2996:P2997"/>
    <mergeCell ref="J2996:J2997"/>
    <mergeCell ref="K3001:K3002"/>
    <mergeCell ref="L3001:L3002"/>
    <mergeCell ref="H3001:H3002"/>
    <mergeCell ref="I3003:I3004"/>
    <mergeCell ref="F3006:K3006"/>
    <mergeCell ref="M3000:P3000"/>
    <mergeCell ref="I3001:I3002"/>
    <mergeCell ref="M3001:P3002"/>
    <mergeCell ref="L3003:L3004"/>
    <mergeCell ref="G3007:H3007"/>
    <mergeCell ref="M3014:P3014"/>
    <mergeCell ref="H2996:H2997"/>
    <mergeCell ref="B3002:G3002"/>
    <mergeCell ref="I3007:J3007"/>
    <mergeCell ref="J3001:J3002"/>
    <mergeCell ref="I2996:I2997"/>
    <mergeCell ref="B3000:G3000"/>
    <mergeCell ref="B3001:G3001"/>
    <mergeCell ref="B2996:G2997"/>
    <mergeCell ref="M3016:N3016"/>
    <mergeCell ref="I3024:I3025"/>
    <mergeCell ref="J3003:J3004"/>
    <mergeCell ref="M3003:P3004"/>
    <mergeCell ref="G3019:I3019"/>
    <mergeCell ref="B3004:G3004"/>
    <mergeCell ref="G3008:H3008"/>
    <mergeCell ref="J3016:L3016"/>
    <mergeCell ref="I3008:J3008"/>
    <mergeCell ref="M3023:P3023"/>
    <mergeCell ref="A3019:F3019"/>
    <mergeCell ref="J3019:O3019"/>
    <mergeCell ref="B2951:G2951"/>
    <mergeCell ref="A2950:A2951"/>
    <mergeCell ref="B2950:G2950"/>
    <mergeCell ref="H2950:H2951"/>
    <mergeCell ref="L2973:L2974"/>
    <mergeCell ref="J2973:J2974"/>
    <mergeCell ref="K2973:K2974"/>
    <mergeCell ref="A2970:P2970"/>
    <mergeCell ref="M2973:P2974"/>
    <mergeCell ref="A2968:F2968"/>
    <mergeCell ref="J2968:O2968"/>
    <mergeCell ref="A2973:A2974"/>
    <mergeCell ref="B2973:G2974"/>
    <mergeCell ref="H2973:H2974"/>
    <mergeCell ref="I2973:I2974"/>
    <mergeCell ref="G2957:H2957"/>
    <mergeCell ref="I2957:J2957"/>
    <mergeCell ref="J2965:L2965"/>
    <mergeCell ref="F2960:I2960"/>
    <mergeCell ref="F2961:I2961"/>
    <mergeCell ref="K2962:P2962"/>
    <mergeCell ref="B3030:G3030"/>
    <mergeCell ref="K3031:K3032"/>
    <mergeCell ref="B3026:G3027"/>
    <mergeCell ref="K2975:K2976"/>
    <mergeCell ref="B2979:G2979"/>
    <mergeCell ref="M2980:P2981"/>
    <mergeCell ref="B2980:G2981"/>
    <mergeCell ref="J2980:J2981"/>
    <mergeCell ref="K2980:K2981"/>
    <mergeCell ref="L2980:L2981"/>
    <mergeCell ref="L2975:L2976"/>
    <mergeCell ref="M2975:P2976"/>
    <mergeCell ref="M2979:P2979"/>
    <mergeCell ref="A2975:A2976"/>
    <mergeCell ref="B2975:G2976"/>
    <mergeCell ref="H2975:H2976"/>
    <mergeCell ref="I2975:I2976"/>
    <mergeCell ref="M2986:P2986"/>
    <mergeCell ref="J2982:J2983"/>
    <mergeCell ref="K2982:K2983"/>
    <mergeCell ref="L2982:L2983"/>
    <mergeCell ref="M2982:P2983"/>
    <mergeCell ref="J2975:J2976"/>
    <mergeCell ref="A2987:A2988"/>
    <mergeCell ref="B2987:G2988"/>
    <mergeCell ref="H2980:H2981"/>
    <mergeCell ref="I2980:I2981"/>
    <mergeCell ref="B2986:G2986"/>
    <mergeCell ref="A2980:A2981"/>
    <mergeCell ref="A2982:A2983"/>
    <mergeCell ref="B2982:G2983"/>
    <mergeCell ref="H2982:H2983"/>
    <mergeCell ref="I2982:I2983"/>
    <mergeCell ref="A2994:A2995"/>
    <mergeCell ref="B2993:G2993"/>
    <mergeCell ref="J2989:J2990"/>
    <mergeCell ref="K2989:K2990"/>
    <mergeCell ref="A2989:A2990"/>
    <mergeCell ref="B2989:G2990"/>
    <mergeCell ref="H2989:H2990"/>
    <mergeCell ref="I2989:I2990"/>
    <mergeCell ref="L2989:L2990"/>
    <mergeCell ref="M2989:P2990"/>
    <mergeCell ref="B2972:G2972"/>
    <mergeCell ref="M2972:P2972"/>
    <mergeCell ref="G2968:I2968"/>
    <mergeCell ref="F2955:K2955"/>
    <mergeCell ref="G2956:H2956"/>
    <mergeCell ref="I2956:J2956"/>
    <mergeCell ref="B2952:G2952"/>
    <mergeCell ref="L2938:L2939"/>
    <mergeCell ref="A2931:A2932"/>
    <mergeCell ref="B2931:G2932"/>
    <mergeCell ref="H2931:H2932"/>
    <mergeCell ref="I2931:I2932"/>
    <mergeCell ref="A2936:A2937"/>
    <mergeCell ref="B2936:G2937"/>
    <mergeCell ref="B2935:G2935"/>
    <mergeCell ref="M2943:P2944"/>
    <mergeCell ref="M2942:P2942"/>
    <mergeCell ref="J2931:J2932"/>
    <mergeCell ref="K2931:K2932"/>
    <mergeCell ref="L2931:L2932"/>
    <mergeCell ref="M2931:P2932"/>
    <mergeCell ref="L2936:L2937"/>
    <mergeCell ref="M2936:P2937"/>
    <mergeCell ref="M2938:P2939"/>
    <mergeCell ref="K2938:K2939"/>
    <mergeCell ref="J2936:J2937"/>
    <mergeCell ref="H2936:H2937"/>
    <mergeCell ref="I2936:I2937"/>
    <mergeCell ref="K2945:K2946"/>
    <mergeCell ref="K2936:K2937"/>
    <mergeCell ref="J2938:J2939"/>
    <mergeCell ref="A2945:A2946"/>
    <mergeCell ref="K2943:K2944"/>
    <mergeCell ref="L2943:L2944"/>
    <mergeCell ref="A2943:A2944"/>
    <mergeCell ref="B2943:G2944"/>
    <mergeCell ref="H2943:H2944"/>
    <mergeCell ref="A2938:A2939"/>
    <mergeCell ref="B2938:G2939"/>
    <mergeCell ref="H2938:H2939"/>
    <mergeCell ref="I2938:I2939"/>
    <mergeCell ref="I2943:I2944"/>
    <mergeCell ref="J2943:J2944"/>
    <mergeCell ref="B2942:G2942"/>
    <mergeCell ref="M2965:N2965"/>
    <mergeCell ref="M2963:P2963"/>
    <mergeCell ref="M2949:P2949"/>
    <mergeCell ref="B2945:G2946"/>
    <mergeCell ref="H2945:H2946"/>
    <mergeCell ref="I2945:I2946"/>
    <mergeCell ref="J2945:J2946"/>
    <mergeCell ref="I2950:I2951"/>
    <mergeCell ref="B2953:G2953"/>
    <mergeCell ref="J2950:J2951"/>
    <mergeCell ref="L2950:L2951"/>
    <mergeCell ref="M2950:P2951"/>
    <mergeCell ref="L2952:L2953"/>
    <mergeCell ref="M2952:P2953"/>
    <mergeCell ref="H2952:H2953"/>
    <mergeCell ref="I2952:I2953"/>
    <mergeCell ref="J2952:J2953"/>
    <mergeCell ref="K2950:K2951"/>
    <mergeCell ref="A2952:A2953"/>
    <mergeCell ref="K2952:K2953"/>
    <mergeCell ref="F2909:I2909"/>
    <mergeCell ref="F2910:I2910"/>
    <mergeCell ref="K2911:P2911"/>
    <mergeCell ref="B2902:G2902"/>
    <mergeCell ref="K2901:K2902"/>
    <mergeCell ref="G2906:H2906"/>
    <mergeCell ref="I2906:J2906"/>
    <mergeCell ref="F2904:K2904"/>
    <mergeCell ref="G2905:H2905"/>
    <mergeCell ref="I2901:I2902"/>
    <mergeCell ref="Y2906:Y2907"/>
    <mergeCell ref="Y2904:Y2905"/>
    <mergeCell ref="Z2904:Z2905"/>
    <mergeCell ref="R2904:R2905"/>
    <mergeCell ref="S2904:X2905"/>
    <mergeCell ref="I2905:J2905"/>
    <mergeCell ref="R2906:R2907"/>
    <mergeCell ref="S2906:X2907"/>
    <mergeCell ref="B2899:G2899"/>
    <mergeCell ref="H2899:H2900"/>
    <mergeCell ref="H2901:H2902"/>
    <mergeCell ref="A2901:A2902"/>
    <mergeCell ref="B2901:G2901"/>
    <mergeCell ref="B2900:G2900"/>
    <mergeCell ref="L2924:L2925"/>
    <mergeCell ref="S2927:X2928"/>
    <mergeCell ref="S2926:X2926"/>
    <mergeCell ref="Z2927:Z2928"/>
    <mergeCell ref="AA2927:AA2928"/>
    <mergeCell ref="A2917:F2917"/>
    <mergeCell ref="J2917:O2917"/>
    <mergeCell ref="B2921:G2921"/>
    <mergeCell ref="M2921:P2921"/>
    <mergeCell ref="G2917:I2917"/>
    <mergeCell ref="J2914:L2914"/>
    <mergeCell ref="R2927:R2928"/>
    <mergeCell ref="R2923:W2923"/>
    <mergeCell ref="X2923:Y2923"/>
    <mergeCell ref="AA2904:AA2905"/>
    <mergeCell ref="M2899:P2900"/>
    <mergeCell ref="D2914:G2914"/>
    <mergeCell ref="Z2906:Z2907"/>
    <mergeCell ref="R2890:R2891"/>
    <mergeCell ref="S2890:X2891"/>
    <mergeCell ref="Y2890:Y2891"/>
    <mergeCell ref="R2886:W2886"/>
    <mergeCell ref="X2886:Y2886"/>
    <mergeCell ref="A2894:A2895"/>
    <mergeCell ref="B2894:G2895"/>
    <mergeCell ref="H2894:H2895"/>
    <mergeCell ref="I2894:I2895"/>
    <mergeCell ref="AB2906:AB2907"/>
    <mergeCell ref="AC2904:AC2905"/>
    <mergeCell ref="AD2904:AF2905"/>
    <mergeCell ref="A2892:A2893"/>
    <mergeCell ref="L2873:L2874"/>
    <mergeCell ref="M2873:P2874"/>
    <mergeCell ref="J2878:J2879"/>
    <mergeCell ref="K2878:K2879"/>
    <mergeCell ref="M2877:P2877"/>
    <mergeCell ref="J2873:J2874"/>
    <mergeCell ref="K2873:K2874"/>
    <mergeCell ref="A2873:A2874"/>
    <mergeCell ref="B2873:G2874"/>
    <mergeCell ref="H2873:H2874"/>
    <mergeCell ref="I2873:I2874"/>
    <mergeCell ref="A2878:A2879"/>
    <mergeCell ref="B2878:G2879"/>
    <mergeCell ref="H2878:H2879"/>
    <mergeCell ref="I2878:I2879"/>
    <mergeCell ref="B2877:G2877"/>
    <mergeCell ref="L2878:L2879"/>
    <mergeCell ref="J2880:J2881"/>
    <mergeCell ref="K2880:K2881"/>
    <mergeCell ref="L2880:L2881"/>
    <mergeCell ref="M2880:P2881"/>
    <mergeCell ref="M2878:P2879"/>
    <mergeCell ref="A2929:A2930"/>
    <mergeCell ref="H2924:H2925"/>
    <mergeCell ref="L2922:L2923"/>
    <mergeCell ref="M2924:P2925"/>
    <mergeCell ref="M2922:P2923"/>
    <mergeCell ref="M2928:P2928"/>
    <mergeCell ref="B2922:G2923"/>
    <mergeCell ref="H2922:H2923"/>
    <mergeCell ref="I2922:I2923"/>
    <mergeCell ref="J2922:J2923"/>
    <mergeCell ref="B2928:G2928"/>
    <mergeCell ref="K2922:K2923"/>
    <mergeCell ref="A2924:A2925"/>
    <mergeCell ref="I2924:I2925"/>
    <mergeCell ref="J2924:J2925"/>
    <mergeCell ref="K2924:K2925"/>
    <mergeCell ref="B2924:G2925"/>
    <mergeCell ref="M2884:P2884"/>
    <mergeCell ref="J2885:J2886"/>
    <mergeCell ref="K2885:K2886"/>
    <mergeCell ref="M2861:P2861"/>
    <mergeCell ref="M2863:N2863"/>
    <mergeCell ref="A2922:A2923"/>
    <mergeCell ref="L2885:L2886"/>
    <mergeCell ref="A2919:P2919"/>
    <mergeCell ref="J2901:J2902"/>
    <mergeCell ref="A2899:A2900"/>
    <mergeCell ref="B2898:G2898"/>
    <mergeCell ref="B2892:G2893"/>
    <mergeCell ref="A2885:A2886"/>
    <mergeCell ref="B2885:G2886"/>
    <mergeCell ref="B2884:G2884"/>
    <mergeCell ref="A2880:A2881"/>
    <mergeCell ref="B2880:G2881"/>
    <mergeCell ref="H2880:H2881"/>
    <mergeCell ref="I2880:I2881"/>
    <mergeCell ref="I2885:I2886"/>
    <mergeCell ref="H2885:H2886"/>
    <mergeCell ref="L2887:L2888"/>
    <mergeCell ref="M2887:P2888"/>
    <mergeCell ref="B2891:G2891"/>
    <mergeCell ref="J2887:J2888"/>
    <mergeCell ref="K2887:K2888"/>
    <mergeCell ref="A2887:A2888"/>
    <mergeCell ref="B2887:G2888"/>
    <mergeCell ref="H2887:H2888"/>
    <mergeCell ref="I2887:I2888"/>
    <mergeCell ref="L2901:L2902"/>
    <mergeCell ref="M2891:P2891"/>
    <mergeCell ref="L2899:L2900"/>
    <mergeCell ref="J2894:J2895"/>
    <mergeCell ref="M2898:P2898"/>
    <mergeCell ref="K2894:K2895"/>
    <mergeCell ref="L2894:L2895"/>
    <mergeCell ref="M2894:P2895"/>
    <mergeCell ref="J2892:J2893"/>
    <mergeCell ref="L2892:L2893"/>
    <mergeCell ref="K2892:K2893"/>
    <mergeCell ref="K2899:K2900"/>
    <mergeCell ref="H2892:H2893"/>
    <mergeCell ref="I2892:I2893"/>
    <mergeCell ref="M2892:P2893"/>
    <mergeCell ref="I2899:I2900"/>
    <mergeCell ref="J2899:J2900"/>
    <mergeCell ref="F2858:I2858"/>
    <mergeCell ref="F2859:I2859"/>
    <mergeCell ref="B2847:G2847"/>
    <mergeCell ref="M2847:P2847"/>
    <mergeCell ref="L2848:L2849"/>
    <mergeCell ref="M2848:P2849"/>
    <mergeCell ref="M2850:P2851"/>
    <mergeCell ref="A2848:A2849"/>
    <mergeCell ref="B2848:G2848"/>
    <mergeCell ref="H2848:H2849"/>
    <mergeCell ref="I2848:I2849"/>
    <mergeCell ref="J2848:J2849"/>
    <mergeCell ref="A2850:A2851"/>
    <mergeCell ref="K2850:K2851"/>
    <mergeCell ref="B2849:G2849"/>
    <mergeCell ref="F2853:K2853"/>
    <mergeCell ref="G2854:H2854"/>
    <mergeCell ref="I2854:J2854"/>
    <mergeCell ref="B2850:G2850"/>
    <mergeCell ref="H2850:H2851"/>
    <mergeCell ref="I2850:I2851"/>
    <mergeCell ref="A2841:A2842"/>
    <mergeCell ref="B2841:G2842"/>
    <mergeCell ref="H2841:H2842"/>
    <mergeCell ref="I2841:I2842"/>
    <mergeCell ref="L2829:L2830"/>
    <mergeCell ref="M2829:P2830"/>
    <mergeCell ref="M2834:P2835"/>
    <mergeCell ref="J2863:L2863"/>
    <mergeCell ref="A2868:P2868"/>
    <mergeCell ref="A2871:A2872"/>
    <mergeCell ref="B2871:G2872"/>
    <mergeCell ref="H2871:H2872"/>
    <mergeCell ref="B2870:G2870"/>
    <mergeCell ref="M2870:P2870"/>
    <mergeCell ref="M2871:P2872"/>
    <mergeCell ref="J2850:J2851"/>
    <mergeCell ref="B2851:G2851"/>
    <mergeCell ref="L2850:L2851"/>
    <mergeCell ref="G2855:H2855"/>
    <mergeCell ref="I2855:J2855"/>
    <mergeCell ref="A2866:F2866"/>
    <mergeCell ref="G2866:I2866"/>
    <mergeCell ref="K2860:P2860"/>
    <mergeCell ref="L2871:L2872"/>
    <mergeCell ref="J2871:J2872"/>
    <mergeCell ref="K2871:K2872"/>
    <mergeCell ref="D2863:G2863"/>
    <mergeCell ref="H2797:H2798"/>
    <mergeCell ref="B2799:G2799"/>
    <mergeCell ref="L2797:L2798"/>
    <mergeCell ref="M2812:N2812"/>
    <mergeCell ref="G2803:H2803"/>
    <mergeCell ref="I2803:J2803"/>
    <mergeCell ref="A2792:A2793"/>
    <mergeCell ref="B2792:G2793"/>
    <mergeCell ref="H2792:H2793"/>
    <mergeCell ref="B2798:G2798"/>
    <mergeCell ref="B2796:G2796"/>
    <mergeCell ref="J2797:J2798"/>
    <mergeCell ref="I2799:I2800"/>
    <mergeCell ref="A2815:F2815"/>
    <mergeCell ref="J2815:O2815"/>
    <mergeCell ref="F2802:K2802"/>
    <mergeCell ref="A2799:A2800"/>
    <mergeCell ref="I2820:I2821"/>
    <mergeCell ref="J2820:J2821"/>
    <mergeCell ref="K2820:K2821"/>
    <mergeCell ref="L2820:L2821"/>
    <mergeCell ref="B2800:G2800"/>
    <mergeCell ref="D2812:G2812"/>
    <mergeCell ref="K2848:K2849"/>
    <mergeCell ref="M2836:P2837"/>
    <mergeCell ref="K2836:K2837"/>
    <mergeCell ref="L2836:L2837"/>
    <mergeCell ref="K2841:K2842"/>
    <mergeCell ref="L2841:L2842"/>
    <mergeCell ref="B2833:G2833"/>
    <mergeCell ref="M2833:P2833"/>
    <mergeCell ref="J2834:J2835"/>
    <mergeCell ref="J2841:J2842"/>
    <mergeCell ref="B2840:G2840"/>
    <mergeCell ref="K2829:K2830"/>
    <mergeCell ref="K2834:K2835"/>
    <mergeCell ref="L2834:L2835"/>
    <mergeCell ref="A2836:A2837"/>
    <mergeCell ref="B2836:G2837"/>
    <mergeCell ref="H2836:H2837"/>
    <mergeCell ref="I2836:I2837"/>
    <mergeCell ref="A2834:A2835"/>
    <mergeCell ref="B2834:G2835"/>
    <mergeCell ref="H2834:H2835"/>
    <mergeCell ref="M2840:P2840"/>
    <mergeCell ref="M2841:P2842"/>
    <mergeCell ref="A2843:A2844"/>
    <mergeCell ref="B2843:G2844"/>
    <mergeCell ref="H2843:H2844"/>
    <mergeCell ref="I2843:I2844"/>
    <mergeCell ref="J2843:J2844"/>
    <mergeCell ref="K2843:K2844"/>
    <mergeCell ref="M2843:P2844"/>
    <mergeCell ref="L2843:L2844"/>
    <mergeCell ref="B2827:G2828"/>
    <mergeCell ref="H2827:H2828"/>
    <mergeCell ref="I2827:I2828"/>
    <mergeCell ref="I2792:I2793"/>
    <mergeCell ref="A2820:A2821"/>
    <mergeCell ref="B2822:G2823"/>
    <mergeCell ref="H2822:H2823"/>
    <mergeCell ref="I2822:I2823"/>
    <mergeCell ref="J2822:J2823"/>
    <mergeCell ref="M2820:P2821"/>
    <mergeCell ref="B2771:G2772"/>
    <mergeCell ref="H2771:H2772"/>
    <mergeCell ref="I2771:I2772"/>
    <mergeCell ref="J2776:J2777"/>
    <mergeCell ref="A2822:A2823"/>
    <mergeCell ref="J2812:L2812"/>
    <mergeCell ref="A2829:A2830"/>
    <mergeCell ref="B2829:G2830"/>
    <mergeCell ref="H2829:H2830"/>
    <mergeCell ref="I2829:I2830"/>
    <mergeCell ref="A2827:A2828"/>
    <mergeCell ref="B2826:G2826"/>
    <mergeCell ref="M2826:P2826"/>
    <mergeCell ref="L2827:L2828"/>
    <mergeCell ref="M2827:P2828"/>
    <mergeCell ref="J2827:J2828"/>
    <mergeCell ref="H2783:H2784"/>
    <mergeCell ref="B2782:G2782"/>
    <mergeCell ref="I2778:I2779"/>
    <mergeCell ref="M2796:P2796"/>
    <mergeCell ref="A2778:A2779"/>
    <mergeCell ref="B2778:G2779"/>
    <mergeCell ref="H2778:H2779"/>
    <mergeCell ref="M2782:P2782"/>
    <mergeCell ref="J2778:J2779"/>
    <mergeCell ref="K2778:K2779"/>
    <mergeCell ref="L2778:L2779"/>
    <mergeCell ref="M2778:P2779"/>
    <mergeCell ref="A2783:A2784"/>
    <mergeCell ref="A2785:A2786"/>
    <mergeCell ref="B2785:G2786"/>
    <mergeCell ref="B2790:G2791"/>
    <mergeCell ref="H2790:H2791"/>
    <mergeCell ref="I2790:I2791"/>
    <mergeCell ref="H2785:H2786"/>
    <mergeCell ref="I2785:I2786"/>
    <mergeCell ref="A2790:A2791"/>
    <mergeCell ref="B2789:G2789"/>
    <mergeCell ref="M2792:P2793"/>
    <mergeCell ref="J2792:J2793"/>
    <mergeCell ref="K2792:K2793"/>
    <mergeCell ref="M2789:P2789"/>
    <mergeCell ref="J2790:J2791"/>
    <mergeCell ref="L2790:L2791"/>
    <mergeCell ref="M2790:P2791"/>
    <mergeCell ref="K2790:K2791"/>
    <mergeCell ref="K2809:P2809"/>
    <mergeCell ref="L2799:L2800"/>
    <mergeCell ref="I2797:I2798"/>
    <mergeCell ref="M2797:P2798"/>
    <mergeCell ref="K2797:K2798"/>
    <mergeCell ref="F2807:I2807"/>
    <mergeCell ref="F2808:I2808"/>
    <mergeCell ref="G2804:H2804"/>
    <mergeCell ref="H2799:H2800"/>
    <mergeCell ref="M2819:P2819"/>
    <mergeCell ref="A2817:P2817"/>
    <mergeCell ref="G2815:I2815"/>
    <mergeCell ref="K2799:K2800"/>
    <mergeCell ref="J2799:J2800"/>
    <mergeCell ref="A2797:A2798"/>
    <mergeCell ref="B2797:G2797"/>
    <mergeCell ref="B2783:G2784"/>
    <mergeCell ref="J2783:J2784"/>
    <mergeCell ref="Z2686:Z2687"/>
    <mergeCell ref="AB2737:AB2738"/>
    <mergeCell ref="R2733:W2733"/>
    <mergeCell ref="X2733:Y2733"/>
    <mergeCell ref="S2801:X2801"/>
    <mergeCell ref="J2836:J2837"/>
    <mergeCell ref="R2825:R2826"/>
    <mergeCell ref="R2821:W2821"/>
    <mergeCell ref="K2827:K2828"/>
    <mergeCell ref="J2829:J2830"/>
    <mergeCell ref="R2788:R2789"/>
    <mergeCell ref="S2788:X2789"/>
    <mergeCell ref="M2799:P2800"/>
    <mergeCell ref="M2785:P2786"/>
    <mergeCell ref="K2785:K2786"/>
    <mergeCell ref="L2783:L2784"/>
    <mergeCell ref="M2783:P2784"/>
    <mergeCell ref="J2785:J2786"/>
    <mergeCell ref="I2783:I2784"/>
    <mergeCell ref="R2776:R2777"/>
    <mergeCell ref="R2696:W2696"/>
    <mergeCell ref="X2696:Y2696"/>
    <mergeCell ref="Z2696:AE2696"/>
    <mergeCell ref="S2699:X2699"/>
    <mergeCell ref="AD2699:AF2699"/>
    <mergeCell ref="AC2725:AC2726"/>
    <mergeCell ref="AD2725:AF2726"/>
    <mergeCell ref="AB2702:AB2703"/>
    <mergeCell ref="R2719:W2719"/>
    <mergeCell ref="G2764:I2764"/>
    <mergeCell ref="L2769:L2770"/>
    <mergeCell ref="A2769:A2770"/>
    <mergeCell ref="B2769:G2770"/>
    <mergeCell ref="H2769:H2770"/>
    <mergeCell ref="I2769:I2770"/>
    <mergeCell ref="G2765:I2765"/>
    <mergeCell ref="J2764:O2764"/>
    <mergeCell ref="J2769:J2770"/>
    <mergeCell ref="A2766:P2766"/>
    <mergeCell ref="Z2774:Z2775"/>
    <mergeCell ref="M2775:P2775"/>
    <mergeCell ref="AA2774:AA2775"/>
    <mergeCell ref="B2768:G2768"/>
    <mergeCell ref="M2768:P2768"/>
    <mergeCell ref="K2769:K2770"/>
    <mergeCell ref="M2769:P2770"/>
    <mergeCell ref="A2764:F2764"/>
    <mergeCell ref="K2776:K2777"/>
    <mergeCell ref="B2775:G2775"/>
    <mergeCell ref="A2776:A2777"/>
    <mergeCell ref="M2776:P2777"/>
    <mergeCell ref="B2776:G2777"/>
    <mergeCell ref="L2776:L2777"/>
    <mergeCell ref="H2776:H2777"/>
    <mergeCell ref="AD2774:AF2775"/>
    <mergeCell ref="L2771:L2772"/>
    <mergeCell ref="M2771:P2772"/>
    <mergeCell ref="R2774:R2775"/>
    <mergeCell ref="S2774:X2775"/>
    <mergeCell ref="Y2774:Y2775"/>
    <mergeCell ref="AB2774:AB2775"/>
    <mergeCell ref="AC2774:AC2775"/>
    <mergeCell ref="I2776:I2777"/>
    <mergeCell ref="A2771:A2772"/>
    <mergeCell ref="H2674:H2675"/>
    <mergeCell ref="K2697:K2698"/>
    <mergeCell ref="B2696:G2696"/>
    <mergeCell ref="K2690:K2691"/>
    <mergeCell ref="AD2737:AF2738"/>
    <mergeCell ref="R2737:R2738"/>
    <mergeCell ref="S2737:X2738"/>
    <mergeCell ref="Y2737:Y2738"/>
    <mergeCell ref="Z2737:Z2738"/>
    <mergeCell ref="AC2737:AC2738"/>
    <mergeCell ref="AA2737:AA2738"/>
    <mergeCell ref="I2669:I2670"/>
    <mergeCell ref="I2674:I2675"/>
    <mergeCell ref="B2673:G2673"/>
    <mergeCell ref="M2680:P2680"/>
    <mergeCell ref="J2681:J2682"/>
    <mergeCell ref="K2681:K2682"/>
    <mergeCell ref="M2676:P2677"/>
    <mergeCell ref="M2681:P2682"/>
    <mergeCell ref="J2674:J2675"/>
    <mergeCell ref="K2674:K2675"/>
    <mergeCell ref="J2669:J2670"/>
    <mergeCell ref="K2669:K2670"/>
    <mergeCell ref="L2674:L2675"/>
    <mergeCell ref="J2676:J2677"/>
    <mergeCell ref="K2676:K2677"/>
    <mergeCell ref="L2676:L2677"/>
    <mergeCell ref="H2683:H2684"/>
    <mergeCell ref="A2676:A2677"/>
    <mergeCell ref="B2676:G2677"/>
    <mergeCell ref="H2676:H2677"/>
    <mergeCell ref="I2676:I2677"/>
    <mergeCell ref="A2681:A2682"/>
    <mergeCell ref="B2681:G2682"/>
    <mergeCell ref="B2680:G2680"/>
    <mergeCell ref="H2681:H2682"/>
    <mergeCell ref="I2681:I2682"/>
    <mergeCell ref="L2681:L2682"/>
    <mergeCell ref="L2683:L2684"/>
    <mergeCell ref="M2683:P2684"/>
    <mergeCell ref="M2687:P2687"/>
    <mergeCell ref="A2688:A2689"/>
    <mergeCell ref="B2687:G2687"/>
    <mergeCell ref="J2683:J2684"/>
    <mergeCell ref="K2683:K2684"/>
    <mergeCell ref="A2683:A2684"/>
    <mergeCell ref="B2683:G2684"/>
    <mergeCell ref="G2701:H2701"/>
    <mergeCell ref="I2701:J2701"/>
    <mergeCell ref="B2698:G2698"/>
    <mergeCell ref="F2705:I2705"/>
    <mergeCell ref="L2718:L2719"/>
    <mergeCell ref="M2718:P2719"/>
    <mergeCell ref="B2718:G2719"/>
    <mergeCell ref="H2718:H2719"/>
    <mergeCell ref="I2718:I2719"/>
    <mergeCell ref="J2718:J2719"/>
    <mergeCell ref="M2731:P2731"/>
    <mergeCell ref="L2727:L2728"/>
    <mergeCell ref="AD2686:AF2687"/>
    <mergeCell ref="AD2688:AF2689"/>
    <mergeCell ref="AA2688:AA2689"/>
    <mergeCell ref="AB2688:AB2689"/>
    <mergeCell ref="AC2688:AC2689"/>
    <mergeCell ref="B2724:G2724"/>
    <mergeCell ref="M2724:P2724"/>
    <mergeCell ref="H2720:H2721"/>
    <mergeCell ref="L2720:L2721"/>
    <mergeCell ref="J2720:J2721"/>
    <mergeCell ref="G2702:H2702"/>
    <mergeCell ref="Z2733:AE2733"/>
    <mergeCell ref="AA2725:AA2726"/>
    <mergeCell ref="AB2725:AB2726"/>
    <mergeCell ref="Y2723:Y2724"/>
    <mergeCell ref="Y2725:Y2726"/>
    <mergeCell ref="R2725:R2726"/>
    <mergeCell ref="S2725:X2726"/>
    <mergeCell ref="Z2725:Z2726"/>
    <mergeCell ref="AA2723:AA2724"/>
    <mergeCell ref="AD2723:AF2724"/>
    <mergeCell ref="R2723:R2724"/>
    <mergeCell ref="S2723:X2724"/>
    <mergeCell ref="Z2723:Z2724"/>
    <mergeCell ref="AB2723:AB2724"/>
    <mergeCell ref="AC2723:AC2724"/>
    <mergeCell ref="G2663:I2663"/>
    <mergeCell ref="K2656:P2656"/>
    <mergeCell ref="I2667:I2668"/>
    <mergeCell ref="A2662:F2662"/>
    <mergeCell ref="J2662:O2662"/>
    <mergeCell ref="B2666:G2666"/>
    <mergeCell ref="M2666:P2666"/>
    <mergeCell ref="G2662:I2662"/>
    <mergeCell ref="A2664:P2664"/>
    <mergeCell ref="M2667:P2668"/>
    <mergeCell ref="M2674:P2675"/>
    <mergeCell ref="L2669:L2670"/>
    <mergeCell ref="M2669:P2670"/>
    <mergeCell ref="A2669:A2670"/>
    <mergeCell ref="B2669:G2670"/>
    <mergeCell ref="H2669:H2670"/>
    <mergeCell ref="A2667:A2668"/>
    <mergeCell ref="B2667:G2668"/>
    <mergeCell ref="H2667:H2668"/>
    <mergeCell ref="A2697:A2698"/>
    <mergeCell ref="J2688:J2689"/>
    <mergeCell ref="J2697:J2698"/>
    <mergeCell ref="J2690:J2691"/>
    <mergeCell ref="A2690:A2691"/>
    <mergeCell ref="B2690:G2691"/>
    <mergeCell ref="H2690:H2691"/>
    <mergeCell ref="I2690:I2691"/>
    <mergeCell ref="B2694:G2694"/>
    <mergeCell ref="F2706:I2706"/>
    <mergeCell ref="K2707:P2707"/>
    <mergeCell ref="D2710:G2710"/>
    <mergeCell ref="A2695:A2696"/>
    <mergeCell ref="B2695:G2695"/>
    <mergeCell ref="H2695:H2696"/>
    <mergeCell ref="B2697:G2697"/>
    <mergeCell ref="B2688:G2689"/>
    <mergeCell ref="I2683:I2684"/>
    <mergeCell ref="H2688:H2689"/>
    <mergeCell ref="I2697:I2698"/>
    <mergeCell ref="J2695:J2696"/>
    <mergeCell ref="K2688:K2689"/>
    <mergeCell ref="A2674:A2675"/>
    <mergeCell ref="B2674:G2675"/>
    <mergeCell ref="A2644:A2645"/>
    <mergeCell ref="B2644:G2644"/>
    <mergeCell ref="H2644:H2645"/>
    <mergeCell ref="I2644:I2645"/>
    <mergeCell ref="J2644:J2645"/>
    <mergeCell ref="J2639:J2640"/>
    <mergeCell ref="A2639:A2640"/>
    <mergeCell ref="B2639:G2640"/>
    <mergeCell ref="H2639:H2640"/>
    <mergeCell ref="I2639:I2640"/>
    <mergeCell ref="M2657:P2657"/>
    <mergeCell ref="D2659:G2659"/>
    <mergeCell ref="P2661:Q2661"/>
    <mergeCell ref="B2643:G2643"/>
    <mergeCell ref="M2643:P2643"/>
    <mergeCell ref="L2644:L2645"/>
    <mergeCell ref="M2644:P2645"/>
    <mergeCell ref="M2646:P2647"/>
    <mergeCell ref="L2646:L2647"/>
    <mergeCell ref="J2646:J2647"/>
    <mergeCell ref="K2644:K2645"/>
    <mergeCell ref="A2646:A2647"/>
    <mergeCell ref="K2646:K2647"/>
    <mergeCell ref="B2645:G2645"/>
    <mergeCell ref="F2649:K2649"/>
    <mergeCell ref="G2650:H2650"/>
    <mergeCell ref="I2650:J2650"/>
    <mergeCell ref="B2646:G2646"/>
    <mergeCell ref="H2646:H2647"/>
    <mergeCell ref="I2646:I2647"/>
    <mergeCell ref="B2647:G2647"/>
    <mergeCell ref="G2651:H2651"/>
    <mergeCell ref="I2651:J2651"/>
    <mergeCell ref="J2659:L2659"/>
    <mergeCell ref="A2625:A2626"/>
    <mergeCell ref="B2625:G2626"/>
    <mergeCell ref="H2625:H2626"/>
    <mergeCell ref="I2625:I2626"/>
    <mergeCell ref="A2623:A2624"/>
    <mergeCell ref="B2623:G2624"/>
    <mergeCell ref="H2623:H2624"/>
    <mergeCell ref="I2623:I2624"/>
    <mergeCell ref="K2632:K2633"/>
    <mergeCell ref="L2632:L2633"/>
    <mergeCell ref="L2625:L2626"/>
    <mergeCell ref="M2625:P2626"/>
    <mergeCell ref="K2625:K2626"/>
    <mergeCell ref="J2625:J2626"/>
    <mergeCell ref="J2637:J2638"/>
    <mergeCell ref="B2636:G2636"/>
    <mergeCell ref="M2630:P2631"/>
    <mergeCell ref="K2630:K2631"/>
    <mergeCell ref="L2630:L2631"/>
    <mergeCell ref="L2623:L2624"/>
    <mergeCell ref="M2623:P2624"/>
    <mergeCell ref="J2623:J2624"/>
    <mergeCell ref="K2623:K2624"/>
    <mergeCell ref="M2632:P2633"/>
    <mergeCell ref="A2630:A2631"/>
    <mergeCell ref="B2630:G2631"/>
    <mergeCell ref="H2630:H2631"/>
    <mergeCell ref="I2630:I2631"/>
    <mergeCell ref="B2629:G2629"/>
    <mergeCell ref="M2629:P2629"/>
    <mergeCell ref="J2630:J2631"/>
    <mergeCell ref="D2608:G2608"/>
    <mergeCell ref="J2632:J2633"/>
    <mergeCell ref="A2637:A2638"/>
    <mergeCell ref="B2637:G2638"/>
    <mergeCell ref="H2637:H2638"/>
    <mergeCell ref="I2637:I2638"/>
    <mergeCell ref="A2632:A2633"/>
    <mergeCell ref="B2632:G2633"/>
    <mergeCell ref="H2632:H2633"/>
    <mergeCell ref="I2632:I2633"/>
    <mergeCell ref="P2610:Q2610"/>
    <mergeCell ref="A2611:F2611"/>
    <mergeCell ref="J2611:O2611"/>
    <mergeCell ref="J2608:L2608"/>
    <mergeCell ref="M2608:N2608"/>
    <mergeCell ref="M2636:P2636"/>
    <mergeCell ref="M2637:P2638"/>
    <mergeCell ref="K2637:K2638"/>
    <mergeCell ref="L2637:L2638"/>
    <mergeCell ref="A2616:A2617"/>
    <mergeCell ref="B2615:G2615"/>
    <mergeCell ref="M2615:P2615"/>
    <mergeCell ref="A2613:P2613"/>
    <mergeCell ref="G2611:I2611"/>
    <mergeCell ref="G2612:I2612"/>
    <mergeCell ref="B2622:G2622"/>
    <mergeCell ref="M2622:P2622"/>
    <mergeCell ref="L2616:L2617"/>
    <mergeCell ref="A2618:A2619"/>
    <mergeCell ref="K2618:K2619"/>
    <mergeCell ref="L2618:L2619"/>
    <mergeCell ref="B2616:G2617"/>
    <mergeCell ref="H2616:H2617"/>
    <mergeCell ref="I2616:I2617"/>
    <mergeCell ref="J2616:J2617"/>
    <mergeCell ref="B2618:G2619"/>
    <mergeCell ref="H2618:H2619"/>
    <mergeCell ref="I2618:I2619"/>
    <mergeCell ref="J2618:J2619"/>
    <mergeCell ref="M2616:P2617"/>
    <mergeCell ref="K2616:K2617"/>
    <mergeCell ref="A2581:A2582"/>
    <mergeCell ref="B2581:G2582"/>
    <mergeCell ref="L2579:L2580"/>
    <mergeCell ref="A2586:A2587"/>
    <mergeCell ref="B2586:G2587"/>
    <mergeCell ref="H2586:H2587"/>
    <mergeCell ref="I2586:I2587"/>
    <mergeCell ref="H2581:H2582"/>
    <mergeCell ref="I2581:I2582"/>
    <mergeCell ref="B2585:G2585"/>
    <mergeCell ref="L2586:L2587"/>
    <mergeCell ref="A2579:A2580"/>
    <mergeCell ref="M2586:P2587"/>
    <mergeCell ref="K2586:K2587"/>
    <mergeCell ref="J2586:J2587"/>
    <mergeCell ref="J2581:J2582"/>
    <mergeCell ref="K2581:K2582"/>
    <mergeCell ref="L2581:L2582"/>
    <mergeCell ref="M2581:P2582"/>
    <mergeCell ref="M2585:P2585"/>
    <mergeCell ref="F2603:I2603"/>
    <mergeCell ref="G2600:H2600"/>
    <mergeCell ref="I2600:J2600"/>
    <mergeCell ref="M2592:P2592"/>
    <mergeCell ref="B2595:G2595"/>
    <mergeCell ref="B2545:G2545"/>
    <mergeCell ref="K2544:K2545"/>
    <mergeCell ref="I2565:I2566"/>
    <mergeCell ref="G2561:I2561"/>
    <mergeCell ref="F2553:I2553"/>
    <mergeCell ref="K2554:P2554"/>
    <mergeCell ref="D2557:G2557"/>
    <mergeCell ref="Z2572:Z2573"/>
    <mergeCell ref="H2572:H2573"/>
    <mergeCell ref="I2572:I2573"/>
    <mergeCell ref="K2567:K2568"/>
    <mergeCell ref="M2555:P2555"/>
    <mergeCell ref="P2559:Q2559"/>
    <mergeCell ref="F2552:I2552"/>
    <mergeCell ref="L2565:L2566"/>
    <mergeCell ref="J2565:J2566"/>
    <mergeCell ref="K2565:K2566"/>
    <mergeCell ref="A2562:P2562"/>
    <mergeCell ref="A2565:A2566"/>
    <mergeCell ref="B2565:G2566"/>
    <mergeCell ref="H2565:H2566"/>
    <mergeCell ref="M2565:P2566"/>
    <mergeCell ref="I2593:I2594"/>
    <mergeCell ref="M2593:P2594"/>
    <mergeCell ref="K2595:K2596"/>
    <mergeCell ref="A2588:A2589"/>
    <mergeCell ref="B2588:G2589"/>
    <mergeCell ref="H2588:H2589"/>
    <mergeCell ref="B2594:G2594"/>
    <mergeCell ref="I2588:I2589"/>
    <mergeCell ref="J2595:J2596"/>
    <mergeCell ref="B2592:G2592"/>
    <mergeCell ref="A2593:A2594"/>
    <mergeCell ref="B2593:G2593"/>
    <mergeCell ref="H2593:H2594"/>
    <mergeCell ref="Z2580:AE2580"/>
    <mergeCell ref="AD2572:AF2573"/>
    <mergeCell ref="AA2572:AA2573"/>
    <mergeCell ref="AD2570:AF2571"/>
    <mergeCell ref="AB2570:AB2571"/>
    <mergeCell ref="Z2570:Z2571"/>
    <mergeCell ref="AC2570:AC2571"/>
    <mergeCell ref="R2580:W2580"/>
    <mergeCell ref="X2580:Y2580"/>
    <mergeCell ref="R2572:R2573"/>
    <mergeCell ref="S2572:X2573"/>
    <mergeCell ref="Y2572:Y2573"/>
    <mergeCell ref="Y2570:Y2571"/>
    <mergeCell ref="AA2570:AA2571"/>
    <mergeCell ref="L2567:L2568"/>
    <mergeCell ref="M2567:P2568"/>
    <mergeCell ref="R2570:R2571"/>
    <mergeCell ref="S2570:X2571"/>
    <mergeCell ref="S2569:X2569"/>
    <mergeCell ref="M2579:P2580"/>
    <mergeCell ref="B2571:G2571"/>
    <mergeCell ref="M2572:P2573"/>
    <mergeCell ref="A2567:A2568"/>
    <mergeCell ref="B2567:G2568"/>
    <mergeCell ref="H2567:H2568"/>
    <mergeCell ref="I2567:I2568"/>
    <mergeCell ref="A2572:A2573"/>
    <mergeCell ref="B2572:G2573"/>
    <mergeCell ref="J2567:J2568"/>
    <mergeCell ref="A2560:F2560"/>
    <mergeCell ref="J2560:O2560"/>
    <mergeCell ref="R2543:W2543"/>
    <mergeCell ref="X2543:Y2543"/>
    <mergeCell ref="Z2543:AE2543"/>
    <mergeCell ref="S2546:X2546"/>
    <mergeCell ref="AD2546:AF2546"/>
    <mergeCell ref="AC2535:AC2536"/>
    <mergeCell ref="AD2535:AF2536"/>
    <mergeCell ref="R2535:R2536"/>
    <mergeCell ref="S2535:X2536"/>
    <mergeCell ref="L2523:L2524"/>
    <mergeCell ref="M2523:P2524"/>
    <mergeCell ref="B2564:G2564"/>
    <mergeCell ref="M2564:P2564"/>
    <mergeCell ref="G2560:I2560"/>
    <mergeCell ref="G2549:H2549"/>
    <mergeCell ref="I2549:J2549"/>
    <mergeCell ref="J2557:L2557"/>
    <mergeCell ref="A2530:A2531"/>
    <mergeCell ref="B2530:G2531"/>
    <mergeCell ref="B2534:G2534"/>
    <mergeCell ref="H2530:H2531"/>
    <mergeCell ref="I2530:I2531"/>
    <mergeCell ref="J2528:J2529"/>
    <mergeCell ref="A2528:A2529"/>
    <mergeCell ref="B2528:G2529"/>
    <mergeCell ref="H2528:H2529"/>
    <mergeCell ref="I2528:I2529"/>
    <mergeCell ref="M2528:P2529"/>
    <mergeCell ref="K2530:K2531"/>
    <mergeCell ref="L2530:L2531"/>
    <mergeCell ref="K2528:K2529"/>
    <mergeCell ref="L2542:L2543"/>
    <mergeCell ref="M2542:P2543"/>
    <mergeCell ref="L2535:L2536"/>
    <mergeCell ref="M2537:P2538"/>
    <mergeCell ref="L2537:L2538"/>
    <mergeCell ref="L2528:L2529"/>
    <mergeCell ref="A2535:A2536"/>
    <mergeCell ref="B2535:G2536"/>
    <mergeCell ref="H2535:H2536"/>
    <mergeCell ref="I2535:I2536"/>
    <mergeCell ref="A2537:A2538"/>
    <mergeCell ref="L2544:L2545"/>
    <mergeCell ref="B2537:G2538"/>
    <mergeCell ref="H2537:H2538"/>
    <mergeCell ref="I2537:I2538"/>
    <mergeCell ref="A2544:A2545"/>
    <mergeCell ref="K2542:K2543"/>
    <mergeCell ref="B2543:G2543"/>
    <mergeCell ref="A2542:A2543"/>
    <mergeCell ref="B2542:G2542"/>
    <mergeCell ref="H2542:H2543"/>
    <mergeCell ref="I2542:I2543"/>
    <mergeCell ref="J2542:J2543"/>
    <mergeCell ref="F2547:K2547"/>
    <mergeCell ref="G2548:H2548"/>
    <mergeCell ref="I2548:J2548"/>
    <mergeCell ref="B2541:G2541"/>
    <mergeCell ref="B2544:G2544"/>
    <mergeCell ref="H2544:H2545"/>
    <mergeCell ref="I2544:I2545"/>
    <mergeCell ref="J2544:J2545"/>
    <mergeCell ref="B2527:G2527"/>
    <mergeCell ref="B2514:G2515"/>
    <mergeCell ref="H2514:H2515"/>
    <mergeCell ref="I2514:I2515"/>
    <mergeCell ref="J2514:J2515"/>
    <mergeCell ref="H2516:H2517"/>
    <mergeCell ref="L2514:L2515"/>
    <mergeCell ref="I2516:I2517"/>
    <mergeCell ref="J2516:J2517"/>
    <mergeCell ref="K2516:K2517"/>
    <mergeCell ref="M2516:P2517"/>
    <mergeCell ref="K2521:K2522"/>
    <mergeCell ref="A2514:A2515"/>
    <mergeCell ref="B2520:G2520"/>
    <mergeCell ref="M2520:P2520"/>
    <mergeCell ref="K2514:K2515"/>
    <mergeCell ref="A2516:A2517"/>
    <mergeCell ref="L2521:L2522"/>
    <mergeCell ref="M2521:P2522"/>
    <mergeCell ref="A2521:A2522"/>
    <mergeCell ref="L2516:L2517"/>
    <mergeCell ref="M2527:P2527"/>
    <mergeCell ref="J2523:J2524"/>
    <mergeCell ref="B2521:G2522"/>
    <mergeCell ref="H2521:H2522"/>
    <mergeCell ref="I2521:I2522"/>
    <mergeCell ref="A2523:A2524"/>
    <mergeCell ref="B2523:G2524"/>
    <mergeCell ref="H2523:H2524"/>
    <mergeCell ref="I2523:I2524"/>
    <mergeCell ref="J2521:J2522"/>
    <mergeCell ref="M2514:P2515"/>
    <mergeCell ref="M2534:P2534"/>
    <mergeCell ref="H2472:H2473"/>
    <mergeCell ref="I2472:I2473"/>
    <mergeCell ref="A2477:A2478"/>
    <mergeCell ref="B2477:G2478"/>
    <mergeCell ref="B2476:G2476"/>
    <mergeCell ref="H2477:H2478"/>
    <mergeCell ref="I2477:I2478"/>
    <mergeCell ref="M2463:P2464"/>
    <mergeCell ref="H2479:H2480"/>
    <mergeCell ref="I2479:I2480"/>
    <mergeCell ref="M2479:P2480"/>
    <mergeCell ref="A2442:A2443"/>
    <mergeCell ref="J2486:J2487"/>
    <mergeCell ref="M2490:P2490"/>
    <mergeCell ref="K2486:K2487"/>
    <mergeCell ref="L2486:L2487"/>
    <mergeCell ref="M2486:P2487"/>
    <mergeCell ref="M2483:P2483"/>
    <mergeCell ref="K2493:K2494"/>
    <mergeCell ref="J2493:J2494"/>
    <mergeCell ref="L2493:L2494"/>
    <mergeCell ref="I2493:I2494"/>
    <mergeCell ref="H2493:H2494"/>
    <mergeCell ref="L2479:L2480"/>
    <mergeCell ref="H2484:H2485"/>
    <mergeCell ref="I2484:I2485"/>
    <mergeCell ref="J2484:J2485"/>
    <mergeCell ref="L2484:L2485"/>
    <mergeCell ref="J2442:J2443"/>
    <mergeCell ref="G2497:H2497"/>
    <mergeCell ref="B2491:G2491"/>
    <mergeCell ref="A2486:A2487"/>
    <mergeCell ref="B2486:G2487"/>
    <mergeCell ref="H2486:H2487"/>
    <mergeCell ref="I2486:I2487"/>
    <mergeCell ref="A2491:A2492"/>
    <mergeCell ref="H2491:H2492"/>
    <mergeCell ref="B2490:G2490"/>
    <mergeCell ref="B2494:G2494"/>
    <mergeCell ref="B2442:G2442"/>
    <mergeCell ref="L2477:L2478"/>
    <mergeCell ref="J2470:J2471"/>
    <mergeCell ref="K2470:K2471"/>
    <mergeCell ref="M2477:P2478"/>
    <mergeCell ref="H2440:H2441"/>
    <mergeCell ref="I2440:I2441"/>
    <mergeCell ref="J2440:J2441"/>
    <mergeCell ref="K2440:K2441"/>
    <mergeCell ref="B2443:G2443"/>
    <mergeCell ref="M2506:N2506"/>
    <mergeCell ref="B2516:G2517"/>
    <mergeCell ref="A2493:A2494"/>
    <mergeCell ref="B2493:G2493"/>
    <mergeCell ref="B2492:G2492"/>
    <mergeCell ref="I2491:I2492"/>
    <mergeCell ref="G2498:H2498"/>
    <mergeCell ref="I2498:J2498"/>
    <mergeCell ref="F2496:K2496"/>
    <mergeCell ref="A2509:F2509"/>
    <mergeCell ref="J2509:O2509"/>
    <mergeCell ref="B2513:G2513"/>
    <mergeCell ref="M2513:P2513"/>
    <mergeCell ref="G2509:I2509"/>
    <mergeCell ref="A2511:P2511"/>
    <mergeCell ref="G2510:I2510"/>
    <mergeCell ref="M2465:P2466"/>
    <mergeCell ref="H2470:H2471"/>
    <mergeCell ref="I2470:I2471"/>
    <mergeCell ref="A2465:A2466"/>
    <mergeCell ref="A2470:A2471"/>
    <mergeCell ref="B2470:G2471"/>
    <mergeCell ref="M2470:P2471"/>
    <mergeCell ref="L2465:L2466"/>
    <mergeCell ref="A2484:A2485"/>
    <mergeCell ref="B2483:G2483"/>
    <mergeCell ref="B2484:G2485"/>
    <mergeCell ref="F2501:I2501"/>
    <mergeCell ref="F2502:I2502"/>
    <mergeCell ref="K2503:P2503"/>
    <mergeCell ref="J2491:J2492"/>
    <mergeCell ref="K2491:K2492"/>
    <mergeCell ref="L2491:L2492"/>
    <mergeCell ref="I2497:J2497"/>
    <mergeCell ref="M2484:P2485"/>
    <mergeCell ref="J2479:J2480"/>
    <mergeCell ref="K2479:K2480"/>
    <mergeCell ref="A2479:A2480"/>
    <mergeCell ref="B2479:G2480"/>
    <mergeCell ref="B2462:G2462"/>
    <mergeCell ref="M2462:P2462"/>
    <mergeCell ref="B2469:G2469"/>
    <mergeCell ref="K2484:K2485"/>
    <mergeCell ref="M2493:P2494"/>
    <mergeCell ref="M2491:P2492"/>
    <mergeCell ref="B2465:G2466"/>
    <mergeCell ref="H2465:H2466"/>
    <mergeCell ref="I2465:I2466"/>
    <mergeCell ref="M2469:P2469"/>
    <mergeCell ref="J2465:J2466"/>
    <mergeCell ref="K2465:K2466"/>
    <mergeCell ref="M2476:P2476"/>
    <mergeCell ref="M2472:P2473"/>
    <mergeCell ref="J2477:J2478"/>
    <mergeCell ref="K2477:K2478"/>
    <mergeCell ref="L2470:L2471"/>
    <mergeCell ref="J2472:J2473"/>
    <mergeCell ref="A2472:A2473"/>
    <mergeCell ref="B2472:G2473"/>
    <mergeCell ref="B2414:G2415"/>
    <mergeCell ref="H2414:H2415"/>
    <mergeCell ref="I2414:I2415"/>
    <mergeCell ref="K2414:K2415"/>
    <mergeCell ref="L2414:L2415"/>
    <mergeCell ref="S2417:X2418"/>
    <mergeCell ref="B2412:G2413"/>
    <mergeCell ref="K2421:K2422"/>
    <mergeCell ref="K2426:K2427"/>
    <mergeCell ref="M2425:P2425"/>
    <mergeCell ref="L2426:L2427"/>
    <mergeCell ref="L2421:L2422"/>
    <mergeCell ref="M2421:P2422"/>
    <mergeCell ref="M2426:P2427"/>
    <mergeCell ref="A2412:A2413"/>
    <mergeCell ref="A2414:A2415"/>
    <mergeCell ref="H2412:H2413"/>
    <mergeCell ref="I2412:I2413"/>
    <mergeCell ref="A2419:A2420"/>
    <mergeCell ref="B2419:G2420"/>
    <mergeCell ref="H2419:H2420"/>
    <mergeCell ref="B2418:G2418"/>
    <mergeCell ref="I2419:I2420"/>
    <mergeCell ref="J2421:J2422"/>
    <mergeCell ref="H2426:H2427"/>
    <mergeCell ref="A2421:A2422"/>
    <mergeCell ref="A2426:A2427"/>
    <mergeCell ref="B2426:G2427"/>
    <mergeCell ref="B2425:G2425"/>
    <mergeCell ref="I2426:I2427"/>
    <mergeCell ref="I2421:I2422"/>
    <mergeCell ref="J2426:J2427"/>
    <mergeCell ref="B2421:G2422"/>
    <mergeCell ref="J2419:J2420"/>
    <mergeCell ref="J2414:J2415"/>
    <mergeCell ref="B2392:G2392"/>
    <mergeCell ref="H2391:H2392"/>
    <mergeCell ref="B2388:G2388"/>
    <mergeCell ref="A2389:A2390"/>
    <mergeCell ref="B2389:G2389"/>
    <mergeCell ref="H2389:H2390"/>
    <mergeCell ref="M2411:P2411"/>
    <mergeCell ref="A2409:P2409"/>
    <mergeCell ref="M2404:N2404"/>
    <mergeCell ref="F2394:K2394"/>
    <mergeCell ref="G2395:H2395"/>
    <mergeCell ref="I2395:J2395"/>
    <mergeCell ref="G2407:I2407"/>
    <mergeCell ref="H2421:H2422"/>
    <mergeCell ref="J2458:O2458"/>
    <mergeCell ref="G2458:I2458"/>
    <mergeCell ref="A2463:A2464"/>
    <mergeCell ref="B2463:G2464"/>
    <mergeCell ref="H2463:H2464"/>
    <mergeCell ref="I2463:I2464"/>
    <mergeCell ref="L2463:L2464"/>
    <mergeCell ref="J2463:J2464"/>
    <mergeCell ref="K2463:K2464"/>
    <mergeCell ref="B2432:G2432"/>
    <mergeCell ref="A2458:F2458"/>
    <mergeCell ref="G2446:H2446"/>
    <mergeCell ref="A2460:P2460"/>
    <mergeCell ref="B2441:G2441"/>
    <mergeCell ref="F2445:K2445"/>
    <mergeCell ref="I2446:J2446"/>
    <mergeCell ref="H2442:H2443"/>
    <mergeCell ref="I2442:I2443"/>
    <mergeCell ref="G2447:H2447"/>
    <mergeCell ref="M2433:P2434"/>
    <mergeCell ref="A2433:A2434"/>
    <mergeCell ref="J2455:L2455"/>
    <mergeCell ref="G2459:I2459"/>
    <mergeCell ref="K2452:P2452"/>
    <mergeCell ref="M2453:P2453"/>
    <mergeCell ref="M2455:N2455"/>
    <mergeCell ref="I2433:I2434"/>
    <mergeCell ref="I2447:J2447"/>
    <mergeCell ref="F2450:I2450"/>
    <mergeCell ref="H2428:H2429"/>
    <mergeCell ref="J2428:J2429"/>
    <mergeCell ref="J2433:J2434"/>
    <mergeCell ref="L2440:L2441"/>
    <mergeCell ref="K2428:K2429"/>
    <mergeCell ref="A2435:A2436"/>
    <mergeCell ref="B2435:G2436"/>
    <mergeCell ref="H2435:H2436"/>
    <mergeCell ref="I2435:I2436"/>
    <mergeCell ref="A2428:A2429"/>
    <mergeCell ref="B2428:G2429"/>
    <mergeCell ref="I2428:I2429"/>
    <mergeCell ref="B2433:G2434"/>
    <mergeCell ref="H2433:H2434"/>
    <mergeCell ref="K2442:K2443"/>
    <mergeCell ref="M2435:P2436"/>
    <mergeCell ref="L2435:L2436"/>
    <mergeCell ref="B2439:G2439"/>
    <mergeCell ref="M2439:P2439"/>
    <mergeCell ref="A2440:A2441"/>
    <mergeCell ref="B2440:G2440"/>
    <mergeCell ref="A2368:A2369"/>
    <mergeCell ref="M2368:P2369"/>
    <mergeCell ref="B2368:G2369"/>
    <mergeCell ref="M2375:P2376"/>
    <mergeCell ref="H2377:H2378"/>
    <mergeCell ref="I2396:J2396"/>
    <mergeCell ref="M2412:P2413"/>
    <mergeCell ref="M2402:P2402"/>
    <mergeCell ref="B2411:G2411"/>
    <mergeCell ref="G2408:I2408"/>
    <mergeCell ref="A2407:F2407"/>
    <mergeCell ref="A2375:A2376"/>
    <mergeCell ref="B2375:G2376"/>
    <mergeCell ref="J2375:J2376"/>
    <mergeCell ref="K2375:K2376"/>
    <mergeCell ref="H2375:H2376"/>
    <mergeCell ref="I2375:I2376"/>
    <mergeCell ref="A2370:A2371"/>
    <mergeCell ref="B2370:G2371"/>
    <mergeCell ref="H2370:H2371"/>
    <mergeCell ref="I2370:I2371"/>
    <mergeCell ref="L2370:L2371"/>
    <mergeCell ref="M2370:P2371"/>
    <mergeCell ref="A2382:A2383"/>
    <mergeCell ref="B2381:G2381"/>
    <mergeCell ref="J2377:J2378"/>
    <mergeCell ref="K2377:K2378"/>
    <mergeCell ref="A2377:A2378"/>
    <mergeCell ref="H2382:H2383"/>
    <mergeCell ref="I2382:I2383"/>
    <mergeCell ref="K2382:K2383"/>
    <mergeCell ref="B2377:G2378"/>
    <mergeCell ref="L2377:L2378"/>
    <mergeCell ref="M2377:P2378"/>
    <mergeCell ref="B2382:G2383"/>
    <mergeCell ref="J2382:J2383"/>
    <mergeCell ref="L2382:L2383"/>
    <mergeCell ref="I2377:I2378"/>
    <mergeCell ref="H2368:H2369"/>
    <mergeCell ref="I2368:I2369"/>
    <mergeCell ref="B2374:G2374"/>
    <mergeCell ref="L2389:L2390"/>
    <mergeCell ref="L2391:L2392"/>
    <mergeCell ref="L2412:L2413"/>
    <mergeCell ref="M2384:P2385"/>
    <mergeCell ref="J2384:J2385"/>
    <mergeCell ref="M2381:P2381"/>
    <mergeCell ref="A2391:A2392"/>
    <mergeCell ref="K2391:K2392"/>
    <mergeCell ref="B2390:G2390"/>
    <mergeCell ref="J2389:J2390"/>
    <mergeCell ref="M2382:P2383"/>
    <mergeCell ref="I2384:I2385"/>
    <mergeCell ref="K2384:K2385"/>
    <mergeCell ref="A2384:A2385"/>
    <mergeCell ref="B2384:G2385"/>
    <mergeCell ref="H2384:H2385"/>
    <mergeCell ref="B2391:G2391"/>
    <mergeCell ref="J2404:L2404"/>
    <mergeCell ref="L2384:L2385"/>
    <mergeCell ref="F2399:I2399"/>
    <mergeCell ref="F2400:I2400"/>
    <mergeCell ref="K2389:K2390"/>
    <mergeCell ref="I2391:I2392"/>
    <mergeCell ref="B2341:G2341"/>
    <mergeCell ref="M2333:P2334"/>
    <mergeCell ref="L2333:L2334"/>
    <mergeCell ref="B2337:G2337"/>
    <mergeCell ref="M2337:P2337"/>
    <mergeCell ref="L2338:L2339"/>
    <mergeCell ref="M2338:P2339"/>
    <mergeCell ref="L2340:L2341"/>
    <mergeCell ref="F2343:K2343"/>
    <mergeCell ref="G2344:H2344"/>
    <mergeCell ref="I2344:J2344"/>
    <mergeCell ref="B2340:G2340"/>
    <mergeCell ref="H2340:H2341"/>
    <mergeCell ref="I2340:I2341"/>
    <mergeCell ref="J2340:J2341"/>
    <mergeCell ref="G2345:H2345"/>
    <mergeCell ref="I2345:J2345"/>
    <mergeCell ref="L2361:L2362"/>
    <mergeCell ref="J2361:J2362"/>
    <mergeCell ref="K2361:K2362"/>
    <mergeCell ref="A2358:P2358"/>
    <mergeCell ref="M2361:P2362"/>
    <mergeCell ref="A2356:F2356"/>
    <mergeCell ref="J2356:O2356"/>
    <mergeCell ref="J2353:L2353"/>
    <mergeCell ref="AA2366:AA2367"/>
    <mergeCell ref="B2360:G2360"/>
    <mergeCell ref="M2360:P2360"/>
    <mergeCell ref="G2356:I2356"/>
    <mergeCell ref="A2361:A2362"/>
    <mergeCell ref="B2361:G2362"/>
    <mergeCell ref="H2361:H2362"/>
    <mergeCell ref="I2361:I2362"/>
    <mergeCell ref="G2357:I2357"/>
    <mergeCell ref="B2367:G2367"/>
    <mergeCell ref="K2350:P2350"/>
    <mergeCell ref="R2345:R2346"/>
    <mergeCell ref="R2362:W2362"/>
    <mergeCell ref="L2363:L2364"/>
    <mergeCell ref="M2363:P2364"/>
    <mergeCell ref="R2366:R2367"/>
    <mergeCell ref="S2366:X2367"/>
    <mergeCell ref="Y2366:Y2367"/>
    <mergeCell ref="M2367:P2367"/>
    <mergeCell ref="A2363:A2364"/>
    <mergeCell ref="B2363:G2364"/>
    <mergeCell ref="H2363:H2364"/>
    <mergeCell ref="I2363:I2364"/>
    <mergeCell ref="A2310:A2311"/>
    <mergeCell ref="B2316:G2316"/>
    <mergeCell ref="K2310:K2311"/>
    <mergeCell ref="A2340:A2341"/>
    <mergeCell ref="K2340:K2341"/>
    <mergeCell ref="B2339:G2339"/>
    <mergeCell ref="A2338:A2339"/>
    <mergeCell ref="B2338:G2338"/>
    <mergeCell ref="H2338:H2339"/>
    <mergeCell ref="I2338:I2339"/>
    <mergeCell ref="B2310:G2311"/>
    <mergeCell ref="H2310:H2311"/>
    <mergeCell ref="I2310:I2311"/>
    <mergeCell ref="J2310:J2311"/>
    <mergeCell ref="M2312:P2313"/>
    <mergeCell ref="M2316:P2316"/>
    <mergeCell ref="M2317:P2318"/>
    <mergeCell ref="I2312:I2313"/>
    <mergeCell ref="B2323:G2323"/>
    <mergeCell ref="M2323:P2323"/>
    <mergeCell ref="L2319:L2320"/>
    <mergeCell ref="M2319:P2320"/>
    <mergeCell ref="B2312:G2313"/>
    <mergeCell ref="J2312:J2313"/>
    <mergeCell ref="K2312:K2313"/>
    <mergeCell ref="A2317:A2318"/>
    <mergeCell ref="B2317:G2318"/>
    <mergeCell ref="H2317:H2318"/>
    <mergeCell ref="I2317:I2318"/>
    <mergeCell ref="A2319:A2320"/>
    <mergeCell ref="H2319:H2320"/>
    <mergeCell ref="I2319:I2320"/>
    <mergeCell ref="A2324:A2325"/>
    <mergeCell ref="B2324:G2325"/>
    <mergeCell ref="H2324:H2325"/>
    <mergeCell ref="I2324:I2325"/>
    <mergeCell ref="B2319:G2320"/>
    <mergeCell ref="L2324:L2325"/>
    <mergeCell ref="J2324:J2325"/>
    <mergeCell ref="J2333:J2334"/>
    <mergeCell ref="K2319:K2320"/>
    <mergeCell ref="J2317:J2318"/>
    <mergeCell ref="K2317:K2318"/>
    <mergeCell ref="L2317:L2318"/>
    <mergeCell ref="J2319:J2320"/>
    <mergeCell ref="J2331:J2332"/>
    <mergeCell ref="B2333:G2334"/>
    <mergeCell ref="H2333:H2334"/>
    <mergeCell ref="I2333:I2334"/>
    <mergeCell ref="A2331:A2332"/>
    <mergeCell ref="B2331:G2332"/>
    <mergeCell ref="H2331:H2332"/>
    <mergeCell ref="I2331:I2332"/>
    <mergeCell ref="M2340:P2341"/>
    <mergeCell ref="K2333:K2334"/>
    <mergeCell ref="A2326:A2327"/>
    <mergeCell ref="M2330:P2330"/>
    <mergeCell ref="B2326:G2327"/>
    <mergeCell ref="H2326:H2327"/>
    <mergeCell ref="I2326:I2327"/>
    <mergeCell ref="J2326:J2327"/>
    <mergeCell ref="B2330:G2330"/>
    <mergeCell ref="A2333:A2334"/>
    <mergeCell ref="J2338:J2339"/>
    <mergeCell ref="A2275:A2276"/>
    <mergeCell ref="B2275:G2276"/>
    <mergeCell ref="H2275:H2276"/>
    <mergeCell ref="AD2278:AF2279"/>
    <mergeCell ref="AD2280:AF2281"/>
    <mergeCell ref="AA2280:AA2281"/>
    <mergeCell ref="AB2280:AB2281"/>
    <mergeCell ref="AC2280:AC2281"/>
    <mergeCell ref="Z2278:Z2279"/>
    <mergeCell ref="R2280:R2281"/>
    <mergeCell ref="L2289:L2290"/>
    <mergeCell ref="M2279:P2279"/>
    <mergeCell ref="L2280:L2281"/>
    <mergeCell ref="M2280:P2281"/>
    <mergeCell ref="L2287:L2288"/>
    <mergeCell ref="M2286:P2286"/>
    <mergeCell ref="L2282:L2283"/>
    <mergeCell ref="M2282:P2283"/>
    <mergeCell ref="K2287:K2288"/>
    <mergeCell ref="H2280:H2281"/>
    <mergeCell ref="I2280:I2281"/>
    <mergeCell ref="J2280:J2281"/>
    <mergeCell ref="H2287:H2288"/>
    <mergeCell ref="H2282:H2283"/>
    <mergeCell ref="I2282:I2283"/>
    <mergeCell ref="J2287:J2288"/>
    <mergeCell ref="I2275:I2276"/>
    <mergeCell ref="L2275:L2276"/>
    <mergeCell ref="J2282:J2283"/>
    <mergeCell ref="K2282:K2283"/>
    <mergeCell ref="A2282:A2283"/>
    <mergeCell ref="B2282:G2283"/>
    <mergeCell ref="A2280:A2281"/>
    <mergeCell ref="B2279:G2279"/>
    <mergeCell ref="J2275:J2276"/>
    <mergeCell ref="K2275:K2276"/>
    <mergeCell ref="K2289:K2290"/>
    <mergeCell ref="I2289:I2290"/>
    <mergeCell ref="A2305:F2305"/>
    <mergeCell ref="A2289:A2290"/>
    <mergeCell ref="B2286:G2286"/>
    <mergeCell ref="A2287:A2288"/>
    <mergeCell ref="B2287:G2287"/>
    <mergeCell ref="B2280:G2281"/>
    <mergeCell ref="AB2315:AB2316"/>
    <mergeCell ref="Z2311:AE2311"/>
    <mergeCell ref="J2302:L2302"/>
    <mergeCell ref="AD2315:AF2316"/>
    <mergeCell ref="R2315:R2316"/>
    <mergeCell ref="S2315:X2316"/>
    <mergeCell ref="L2310:L2311"/>
    <mergeCell ref="M2310:P2311"/>
    <mergeCell ref="S2314:X2314"/>
    <mergeCell ref="Z2315:Z2316"/>
    <mergeCell ref="A2312:A2313"/>
    <mergeCell ref="H2312:H2313"/>
    <mergeCell ref="B2289:G2289"/>
    <mergeCell ref="B2288:G2288"/>
    <mergeCell ref="I2287:I2288"/>
    <mergeCell ref="G2294:H2294"/>
    <mergeCell ref="I2294:J2294"/>
    <mergeCell ref="F2292:K2292"/>
    <mergeCell ref="G2293:H2293"/>
    <mergeCell ref="I2293:J2293"/>
    <mergeCell ref="K2231:K2232"/>
    <mergeCell ref="M2231:P2232"/>
    <mergeCell ref="B2309:G2309"/>
    <mergeCell ref="M2309:P2309"/>
    <mergeCell ref="G2305:I2305"/>
    <mergeCell ref="L2312:L2313"/>
    <mergeCell ref="B2290:G2290"/>
    <mergeCell ref="G2306:I2306"/>
    <mergeCell ref="H2289:H2290"/>
    <mergeCell ref="J2289:J2290"/>
    <mergeCell ref="A2236:A2237"/>
    <mergeCell ref="B2236:G2236"/>
    <mergeCell ref="H2236:H2237"/>
    <mergeCell ref="I2236:I2237"/>
    <mergeCell ref="J2236:J2237"/>
    <mergeCell ref="J2231:J2232"/>
    <mergeCell ref="B2235:G2235"/>
    <mergeCell ref="M2235:P2235"/>
    <mergeCell ref="L2236:L2237"/>
    <mergeCell ref="M2236:P2237"/>
    <mergeCell ref="M2238:P2239"/>
    <mergeCell ref="K2236:K2237"/>
    <mergeCell ref="A2238:A2239"/>
    <mergeCell ref="K2238:K2239"/>
    <mergeCell ref="B2237:G2237"/>
    <mergeCell ref="F2241:K2241"/>
    <mergeCell ref="G2242:H2242"/>
    <mergeCell ref="I2242:J2242"/>
    <mergeCell ref="B2238:G2238"/>
    <mergeCell ref="H2238:H2239"/>
    <mergeCell ref="I2238:I2239"/>
    <mergeCell ref="L2238:L2239"/>
    <mergeCell ref="G2255:I2255"/>
    <mergeCell ref="M2251:N2251"/>
    <mergeCell ref="J2251:L2251"/>
    <mergeCell ref="A2256:P2256"/>
    <mergeCell ref="P2253:Q2253"/>
    <mergeCell ref="G2254:I2254"/>
    <mergeCell ref="A2208:A2209"/>
    <mergeCell ref="B2210:G2211"/>
    <mergeCell ref="H2210:H2211"/>
    <mergeCell ref="I2210:I2211"/>
    <mergeCell ref="J2210:J2211"/>
    <mergeCell ref="J2217:J2218"/>
    <mergeCell ref="M2208:P2209"/>
    <mergeCell ref="K2208:K2209"/>
    <mergeCell ref="A2217:A2218"/>
    <mergeCell ref="B2217:G2218"/>
    <mergeCell ref="H2217:H2218"/>
    <mergeCell ref="I2217:I2218"/>
    <mergeCell ref="A2215:A2216"/>
    <mergeCell ref="B2215:G2216"/>
    <mergeCell ref="H2215:H2216"/>
    <mergeCell ref="I2243:J2243"/>
    <mergeCell ref="I2224:I2225"/>
    <mergeCell ref="A2222:A2223"/>
    <mergeCell ref="B2222:G2223"/>
    <mergeCell ref="H2222:H2223"/>
    <mergeCell ref="I2222:I2223"/>
    <mergeCell ref="L2217:L2218"/>
    <mergeCell ref="M2217:P2218"/>
    <mergeCell ref="M2222:P2223"/>
    <mergeCell ref="K2217:K2218"/>
    <mergeCell ref="K2222:K2223"/>
    <mergeCell ref="L2222:L2223"/>
    <mergeCell ref="J2224:J2225"/>
    <mergeCell ref="B2229:G2230"/>
    <mergeCell ref="H2229:H2230"/>
    <mergeCell ref="I2229:I2230"/>
    <mergeCell ref="M2224:P2225"/>
    <mergeCell ref="B2214:G2214"/>
    <mergeCell ref="M2214:P2214"/>
    <mergeCell ref="L2215:L2216"/>
    <mergeCell ref="M2215:P2216"/>
    <mergeCell ref="J2215:J2216"/>
    <mergeCell ref="K2215:K2216"/>
    <mergeCell ref="I2215:I2216"/>
    <mergeCell ref="I2208:I2209"/>
    <mergeCell ref="J2208:J2209"/>
    <mergeCell ref="J2229:J2230"/>
    <mergeCell ref="B2228:G2228"/>
    <mergeCell ref="A2224:A2225"/>
    <mergeCell ref="B2224:G2225"/>
    <mergeCell ref="H2224:H2225"/>
    <mergeCell ref="H2185:H2186"/>
    <mergeCell ref="I2185:I2186"/>
    <mergeCell ref="B2187:G2187"/>
    <mergeCell ref="H2187:H2188"/>
    <mergeCell ref="B2186:G2186"/>
    <mergeCell ref="J2185:J2186"/>
    <mergeCell ref="A2187:A2188"/>
    <mergeCell ref="M2187:P2188"/>
    <mergeCell ref="K2185:K2186"/>
    <mergeCell ref="A2180:A2181"/>
    <mergeCell ref="B2180:G2181"/>
    <mergeCell ref="H2180:H2181"/>
    <mergeCell ref="I2180:I2181"/>
    <mergeCell ref="B2184:G2184"/>
    <mergeCell ref="A2185:A2186"/>
    <mergeCell ref="B2185:G2185"/>
    <mergeCell ref="J2200:L2200"/>
    <mergeCell ref="M2200:N2200"/>
    <mergeCell ref="P2202:Q2202"/>
    <mergeCell ref="B2188:G2188"/>
    <mergeCell ref="G2192:H2192"/>
    <mergeCell ref="I2192:J2192"/>
    <mergeCell ref="I2187:I2188"/>
    <mergeCell ref="G2191:H2191"/>
    <mergeCell ref="I2191:J2191"/>
    <mergeCell ref="M2198:P2198"/>
    <mergeCell ref="M2171:P2172"/>
    <mergeCell ref="J2171:J2172"/>
    <mergeCell ref="K2171:K2172"/>
    <mergeCell ref="H2171:H2172"/>
    <mergeCell ref="J2166:J2167"/>
    <mergeCell ref="H2164:H2165"/>
    <mergeCell ref="K2166:K2167"/>
    <mergeCell ref="I2171:I2172"/>
    <mergeCell ref="M2164:P2165"/>
    <mergeCell ref="J2164:J2165"/>
    <mergeCell ref="F2190:K2190"/>
    <mergeCell ref="K2187:K2188"/>
    <mergeCell ref="L2166:L2167"/>
    <mergeCell ref="A2166:A2167"/>
    <mergeCell ref="B2166:G2167"/>
    <mergeCell ref="H2166:H2167"/>
    <mergeCell ref="L2171:L2172"/>
    <mergeCell ref="B2170:G2170"/>
    <mergeCell ref="A2171:A2172"/>
    <mergeCell ref="B2171:G2172"/>
    <mergeCell ref="A2178:A2179"/>
    <mergeCell ref="B2178:G2179"/>
    <mergeCell ref="H2178:H2179"/>
    <mergeCell ref="I2178:I2179"/>
    <mergeCell ref="H2173:H2174"/>
    <mergeCell ref="I2173:I2174"/>
    <mergeCell ref="B2177:G2177"/>
    <mergeCell ref="A2173:A2174"/>
    <mergeCell ref="B2173:G2174"/>
    <mergeCell ref="J2173:J2174"/>
    <mergeCell ref="K2173:K2174"/>
    <mergeCell ref="L2173:L2174"/>
    <mergeCell ref="M2173:P2174"/>
    <mergeCell ref="J2180:J2181"/>
    <mergeCell ref="M2177:P2177"/>
    <mergeCell ref="M2185:P2186"/>
    <mergeCell ref="D2200:G2200"/>
    <mergeCell ref="A2152:F2152"/>
    <mergeCell ref="J2152:O2152"/>
    <mergeCell ref="G2152:I2152"/>
    <mergeCell ref="M2149:N2149"/>
    <mergeCell ref="A2136:A2137"/>
    <mergeCell ref="J2134:J2135"/>
    <mergeCell ref="F2139:K2139"/>
    <mergeCell ref="G2140:H2140"/>
    <mergeCell ref="I2140:J2140"/>
    <mergeCell ref="B2136:G2136"/>
    <mergeCell ref="H2157:H2158"/>
    <mergeCell ref="K2136:K2137"/>
    <mergeCell ref="G2141:H2141"/>
    <mergeCell ref="I2141:J2141"/>
    <mergeCell ref="H2136:H2137"/>
    <mergeCell ref="I2136:I2137"/>
    <mergeCell ref="J2136:J2137"/>
    <mergeCell ref="B2137:G2137"/>
    <mergeCell ref="K2164:K2165"/>
    <mergeCell ref="L2164:L2165"/>
    <mergeCell ref="I2166:I2167"/>
    <mergeCell ref="L2159:L2160"/>
    <mergeCell ref="M2159:P2160"/>
    <mergeCell ref="M2163:P2163"/>
    <mergeCell ref="M2166:P2167"/>
    <mergeCell ref="A2159:A2160"/>
    <mergeCell ref="B2159:G2160"/>
    <mergeCell ref="H2159:H2160"/>
    <mergeCell ref="I2159:I2160"/>
    <mergeCell ref="A2164:A2165"/>
    <mergeCell ref="B2164:G2165"/>
    <mergeCell ref="B2163:G2163"/>
    <mergeCell ref="I2164:I2165"/>
    <mergeCell ref="K2159:K2160"/>
    <mergeCell ref="J2159:J2160"/>
    <mergeCell ref="L2157:L2158"/>
    <mergeCell ref="J2157:J2158"/>
    <mergeCell ref="K2157:K2158"/>
    <mergeCell ref="A2154:P2154"/>
    <mergeCell ref="A2157:A2158"/>
    <mergeCell ref="I2157:I2158"/>
    <mergeCell ref="B2156:G2156"/>
    <mergeCell ref="M2156:P2156"/>
    <mergeCell ref="B2157:G2158"/>
    <mergeCell ref="J2149:L2149"/>
    <mergeCell ref="P2151:Q2151"/>
    <mergeCell ref="G2153:I2153"/>
    <mergeCell ref="M2157:P2158"/>
    <mergeCell ref="M2136:P2137"/>
    <mergeCell ref="F2145:I2145"/>
    <mergeCell ref="L2134:L2135"/>
    <mergeCell ref="M2134:P2135"/>
    <mergeCell ref="K2134:K2135"/>
    <mergeCell ref="B2135:G2135"/>
    <mergeCell ref="A2134:A2135"/>
    <mergeCell ref="B2134:G2134"/>
    <mergeCell ref="H2134:H2135"/>
    <mergeCell ref="D2149:G2149"/>
    <mergeCell ref="F2144:I2144"/>
    <mergeCell ref="J2115:J2116"/>
    <mergeCell ref="K2115:K2116"/>
    <mergeCell ref="M2115:P2116"/>
    <mergeCell ref="I2115:I2116"/>
    <mergeCell ref="A2120:A2121"/>
    <mergeCell ref="B2120:G2121"/>
    <mergeCell ref="H2120:H2121"/>
    <mergeCell ref="I2120:I2121"/>
    <mergeCell ref="L2120:L2121"/>
    <mergeCell ref="B2119:G2119"/>
    <mergeCell ref="A2115:A2116"/>
    <mergeCell ref="B2115:G2116"/>
    <mergeCell ref="H2115:H2116"/>
    <mergeCell ref="B2129:G2130"/>
    <mergeCell ref="H2129:H2130"/>
    <mergeCell ref="I2129:I2130"/>
    <mergeCell ref="A2122:A2123"/>
    <mergeCell ref="B2122:G2123"/>
    <mergeCell ref="B2126:G2126"/>
    <mergeCell ref="H2122:H2123"/>
    <mergeCell ref="M2120:P2121"/>
    <mergeCell ref="K2122:K2123"/>
    <mergeCell ref="L2122:L2123"/>
    <mergeCell ref="K2120:K2121"/>
    <mergeCell ref="J2129:J2130"/>
    <mergeCell ref="K2129:K2130"/>
    <mergeCell ref="J2122:J2123"/>
    <mergeCell ref="J2127:J2128"/>
    <mergeCell ref="J2120:J2121"/>
    <mergeCell ref="M2126:P2126"/>
    <mergeCell ref="M2127:P2128"/>
    <mergeCell ref="A2127:A2128"/>
    <mergeCell ref="B2127:G2128"/>
    <mergeCell ref="K2127:K2128"/>
    <mergeCell ref="L2127:L2128"/>
    <mergeCell ref="M2129:P2130"/>
    <mergeCell ref="L2129:L2130"/>
    <mergeCell ref="A2129:A2130"/>
    <mergeCell ref="G2102:I2102"/>
    <mergeCell ref="B2108:G2109"/>
    <mergeCell ref="I2108:I2109"/>
    <mergeCell ref="H2106:H2107"/>
    <mergeCell ref="I2122:I2123"/>
    <mergeCell ref="L2136:L2137"/>
    <mergeCell ref="B2133:G2133"/>
    <mergeCell ref="H2127:H2128"/>
    <mergeCell ref="I2127:I2128"/>
    <mergeCell ref="Z2107:AE2107"/>
    <mergeCell ref="A2101:F2101"/>
    <mergeCell ref="J2101:O2101"/>
    <mergeCell ref="B2105:G2105"/>
    <mergeCell ref="M2105:P2105"/>
    <mergeCell ref="G2101:I2101"/>
    <mergeCell ref="A2103:P2103"/>
    <mergeCell ref="J2106:J2107"/>
    <mergeCell ref="M2106:P2107"/>
    <mergeCell ref="A2106:A2107"/>
    <mergeCell ref="AB2111:AB2112"/>
    <mergeCell ref="AC2111:AC2112"/>
    <mergeCell ref="AD2111:AF2112"/>
    <mergeCell ref="L2108:L2109"/>
    <mergeCell ref="S2111:X2112"/>
    <mergeCell ref="S2110:X2110"/>
    <mergeCell ref="Z2111:Z2112"/>
    <mergeCell ref="AA2111:AA2112"/>
    <mergeCell ref="M2108:P2109"/>
    <mergeCell ref="R2111:R2112"/>
    <mergeCell ref="M2112:P2112"/>
    <mergeCell ref="J2108:J2109"/>
    <mergeCell ref="K2108:K2109"/>
    <mergeCell ref="L2115:L2116"/>
    <mergeCell ref="J2113:J2114"/>
    <mergeCell ref="K2113:K2114"/>
    <mergeCell ref="M2113:P2114"/>
    <mergeCell ref="B2112:G2112"/>
    <mergeCell ref="K2106:K2107"/>
    <mergeCell ref="A2108:A2109"/>
    <mergeCell ref="A2113:A2114"/>
    <mergeCell ref="H2108:H2109"/>
    <mergeCell ref="L2106:L2107"/>
    <mergeCell ref="L2113:L2114"/>
    <mergeCell ref="B2106:G2107"/>
    <mergeCell ref="I2106:I2107"/>
    <mergeCell ref="M2122:P2123"/>
    <mergeCell ref="I2134:I2135"/>
    <mergeCell ref="AC2113:AC2114"/>
    <mergeCell ref="AD2113:AF2114"/>
    <mergeCell ref="R2127:R2128"/>
    <mergeCell ref="R2135:W2135"/>
    <mergeCell ref="X2135:Y2135"/>
    <mergeCell ref="Z2135:AE2135"/>
    <mergeCell ref="AC2127:AC2128"/>
    <mergeCell ref="AD2127:AF2128"/>
    <mergeCell ref="Z2127:Z2128"/>
    <mergeCell ref="AA2127:AA2128"/>
    <mergeCell ref="AB2127:AB2128"/>
    <mergeCell ref="S2127:X2128"/>
    <mergeCell ref="Y2127:Y2128"/>
    <mergeCell ref="M2119:P2119"/>
    <mergeCell ref="B2113:G2114"/>
    <mergeCell ref="H2113:H2114"/>
    <mergeCell ref="I2113:I2114"/>
    <mergeCell ref="B2076:G2077"/>
    <mergeCell ref="J2078:J2079"/>
    <mergeCell ref="H2076:H2077"/>
    <mergeCell ref="I2076:I2077"/>
    <mergeCell ref="A2076:A2077"/>
    <mergeCell ref="J2076:J2077"/>
    <mergeCell ref="A2078:A2079"/>
    <mergeCell ref="B2078:G2079"/>
    <mergeCell ref="H2078:H2079"/>
    <mergeCell ref="I2078:I2079"/>
    <mergeCell ref="K2076:K2077"/>
    <mergeCell ref="M2082:P2082"/>
    <mergeCell ref="K2078:K2079"/>
    <mergeCell ref="L2078:L2079"/>
    <mergeCell ref="M2078:P2079"/>
    <mergeCell ref="L2076:L2077"/>
    <mergeCell ref="M2076:P2077"/>
    <mergeCell ref="A2083:A2084"/>
    <mergeCell ref="B2083:G2083"/>
    <mergeCell ref="K2085:K2086"/>
    <mergeCell ref="L2085:L2086"/>
    <mergeCell ref="I2085:I2086"/>
    <mergeCell ref="B2085:G2085"/>
    <mergeCell ref="J2083:J2084"/>
    <mergeCell ref="L2083:L2084"/>
    <mergeCell ref="H2085:H2086"/>
    <mergeCell ref="I2083:I2084"/>
    <mergeCell ref="M2064:P2065"/>
    <mergeCell ref="M2068:P2068"/>
    <mergeCell ref="A2085:A2086"/>
    <mergeCell ref="B2086:G2086"/>
    <mergeCell ref="B2084:G2084"/>
    <mergeCell ref="G2089:H2089"/>
    <mergeCell ref="I2089:J2089"/>
    <mergeCell ref="J2085:J2086"/>
    <mergeCell ref="K2083:K2084"/>
    <mergeCell ref="B2082:G2082"/>
    <mergeCell ref="M2062:P2063"/>
    <mergeCell ref="L2057:L2058"/>
    <mergeCell ref="M2057:P2058"/>
    <mergeCell ref="J2062:J2063"/>
    <mergeCell ref="K2062:K2063"/>
    <mergeCell ref="I2057:I2058"/>
    <mergeCell ref="J2057:J2058"/>
    <mergeCell ref="L2064:L2065"/>
    <mergeCell ref="K2057:K2058"/>
    <mergeCell ref="L2062:L2063"/>
    <mergeCell ref="A2062:A2063"/>
    <mergeCell ref="B2062:G2063"/>
    <mergeCell ref="H2062:H2063"/>
    <mergeCell ref="I2062:I2063"/>
    <mergeCell ref="A2064:A2065"/>
    <mergeCell ref="B2064:G2065"/>
    <mergeCell ref="H2064:H2065"/>
    <mergeCell ref="I2064:I2065"/>
    <mergeCell ref="J2064:J2065"/>
    <mergeCell ref="K2064:K2065"/>
    <mergeCell ref="A2069:A2070"/>
    <mergeCell ref="B2069:G2070"/>
    <mergeCell ref="B2068:G2068"/>
    <mergeCell ref="L2071:L2072"/>
    <mergeCell ref="L2069:L2070"/>
    <mergeCell ref="M2069:P2070"/>
    <mergeCell ref="H2069:H2070"/>
    <mergeCell ref="I2069:I2070"/>
    <mergeCell ref="J2069:J2070"/>
    <mergeCell ref="K2069:K2070"/>
    <mergeCell ref="M2054:P2054"/>
    <mergeCell ref="M2027:P2028"/>
    <mergeCell ref="B2075:G2075"/>
    <mergeCell ref="J2071:J2072"/>
    <mergeCell ref="K2071:K2072"/>
    <mergeCell ref="A2071:A2072"/>
    <mergeCell ref="M2071:P2072"/>
    <mergeCell ref="B2071:G2072"/>
    <mergeCell ref="H2071:H2072"/>
    <mergeCell ref="I2071:I2072"/>
    <mergeCell ref="M2034:P2035"/>
    <mergeCell ref="J2034:J2035"/>
    <mergeCell ref="L2034:L2035"/>
    <mergeCell ref="J2047:L2047"/>
    <mergeCell ref="P2049:Q2049"/>
    <mergeCell ref="A2052:P2052"/>
    <mergeCell ref="F2042:I2042"/>
    <mergeCell ref="F2043:I2043"/>
    <mergeCell ref="J2027:J2028"/>
    <mergeCell ref="A2027:A2028"/>
    <mergeCell ref="B2027:G2028"/>
    <mergeCell ref="I2027:I2028"/>
    <mergeCell ref="J2050:O2050"/>
    <mergeCell ref="G2050:I2050"/>
    <mergeCell ref="M2047:N2047"/>
    <mergeCell ref="M2031:P2031"/>
    <mergeCell ref="L2032:L2033"/>
    <mergeCell ref="M2032:P2033"/>
    <mergeCell ref="M2055:P2056"/>
    <mergeCell ref="A2050:F2050"/>
    <mergeCell ref="A2057:A2058"/>
    <mergeCell ref="A2055:A2056"/>
    <mergeCell ref="J2032:J2033"/>
    <mergeCell ref="K2032:K2033"/>
    <mergeCell ref="A2034:A2035"/>
    <mergeCell ref="K2034:K2035"/>
    <mergeCell ref="B2033:G2033"/>
    <mergeCell ref="B2054:G2054"/>
    <mergeCell ref="B2055:G2056"/>
    <mergeCell ref="H2055:H2056"/>
    <mergeCell ref="I2055:I2056"/>
    <mergeCell ref="M2061:P2061"/>
    <mergeCell ref="L2055:L2056"/>
    <mergeCell ref="J2055:J2056"/>
    <mergeCell ref="K2055:K2056"/>
    <mergeCell ref="B2061:G2061"/>
    <mergeCell ref="B2057:G2058"/>
    <mergeCell ref="H2057:H2058"/>
    <mergeCell ref="B2017:G2017"/>
    <mergeCell ref="I2018:I2019"/>
    <mergeCell ref="F2037:K2037"/>
    <mergeCell ref="B2031:G2031"/>
    <mergeCell ref="I2034:I2035"/>
    <mergeCell ref="H2027:H2028"/>
    <mergeCell ref="J2020:J2021"/>
    <mergeCell ref="B2034:G2034"/>
    <mergeCell ref="H2034:H2035"/>
    <mergeCell ref="B2032:G2032"/>
    <mergeCell ref="L2013:L2014"/>
    <mergeCell ref="M2013:P2014"/>
    <mergeCell ref="M2018:P2019"/>
    <mergeCell ref="L2020:L2021"/>
    <mergeCell ref="A2013:A2014"/>
    <mergeCell ref="B2013:G2014"/>
    <mergeCell ref="H2013:H2014"/>
    <mergeCell ref="I2013:I2014"/>
    <mergeCell ref="K2013:K2014"/>
    <mergeCell ref="J2013:J2014"/>
    <mergeCell ref="K2027:K2028"/>
    <mergeCell ref="K2018:K2019"/>
    <mergeCell ref="M2017:P2017"/>
    <mergeCell ref="L2018:L2019"/>
    <mergeCell ref="H2018:H2019"/>
    <mergeCell ref="J2018:J2019"/>
    <mergeCell ref="H2020:H2021"/>
    <mergeCell ref="I2020:I2021"/>
    <mergeCell ref="M2020:P2021"/>
    <mergeCell ref="L2027:L2028"/>
    <mergeCell ref="M2024:P2024"/>
    <mergeCell ref="M2025:P2026"/>
    <mergeCell ref="K2020:K2021"/>
    <mergeCell ref="K2025:K2026"/>
    <mergeCell ref="L2025:L2026"/>
    <mergeCell ref="B2024:G2024"/>
    <mergeCell ref="B2020:G2021"/>
    <mergeCell ref="I2038:J2038"/>
    <mergeCell ref="G2039:H2039"/>
    <mergeCell ref="I2039:J2039"/>
    <mergeCell ref="B2035:G2035"/>
    <mergeCell ref="A2018:A2019"/>
    <mergeCell ref="B2018:G2019"/>
    <mergeCell ref="A2020:A2021"/>
    <mergeCell ref="A2032:A2033"/>
    <mergeCell ref="H2032:H2033"/>
    <mergeCell ref="I2032:I2033"/>
    <mergeCell ref="D2047:G2047"/>
    <mergeCell ref="O2048:P2048"/>
    <mergeCell ref="F1992:I1992"/>
    <mergeCell ref="K1993:P1993"/>
    <mergeCell ref="B1982:G1982"/>
    <mergeCell ref="F1991:I1991"/>
    <mergeCell ref="A2025:A2026"/>
    <mergeCell ref="B2025:G2026"/>
    <mergeCell ref="H2025:H2026"/>
    <mergeCell ref="I2025:I2026"/>
    <mergeCell ref="J2025:J2026"/>
    <mergeCell ref="M1994:P1994"/>
    <mergeCell ref="B2010:G2010"/>
    <mergeCell ref="M2003:P2003"/>
    <mergeCell ref="B2003:G2003"/>
    <mergeCell ref="M2010:P2010"/>
    <mergeCell ref="A1981:A1982"/>
    <mergeCell ref="B1981:G1981"/>
    <mergeCell ref="H1981:H1982"/>
    <mergeCell ref="K1976:K1977"/>
    <mergeCell ref="K1981:K1982"/>
    <mergeCell ref="L1981:L1982"/>
    <mergeCell ref="A2001:P2001"/>
    <mergeCell ref="G1999:I1999"/>
    <mergeCell ref="K1983:K1984"/>
    <mergeCell ref="J1983:J1984"/>
    <mergeCell ref="B1984:G1984"/>
    <mergeCell ref="M1983:P1984"/>
    <mergeCell ref="L1983:L1984"/>
    <mergeCell ref="J1996:L1996"/>
    <mergeCell ref="P1998:Q1998"/>
    <mergeCell ref="J1999:O1999"/>
    <mergeCell ref="B1983:G1983"/>
    <mergeCell ref="H2006:H2007"/>
    <mergeCell ref="I2006:I2007"/>
    <mergeCell ref="J2006:J2007"/>
    <mergeCell ref="M2004:P2005"/>
    <mergeCell ref="K2006:K2007"/>
    <mergeCell ref="L2004:L2005"/>
    <mergeCell ref="G1987:H1987"/>
    <mergeCell ref="I1983:I1984"/>
    <mergeCell ref="M2006:P2007"/>
    <mergeCell ref="A2004:A2005"/>
    <mergeCell ref="A2006:A2007"/>
    <mergeCell ref="H2004:H2005"/>
    <mergeCell ref="I2004:I2005"/>
    <mergeCell ref="J2004:J2005"/>
    <mergeCell ref="B2006:G2007"/>
    <mergeCell ref="A1999:F1999"/>
    <mergeCell ref="B2004:G2005"/>
    <mergeCell ref="L2011:L2012"/>
    <mergeCell ref="M2011:P2012"/>
    <mergeCell ref="J2011:J2012"/>
    <mergeCell ref="K2011:K2012"/>
    <mergeCell ref="A2011:A2012"/>
    <mergeCell ref="B2011:G2012"/>
    <mergeCell ref="H2011:H2012"/>
    <mergeCell ref="I2011:I2012"/>
    <mergeCell ref="L2006:L2007"/>
    <mergeCell ref="D1996:G1996"/>
    <mergeCell ref="O1997:P1997"/>
    <mergeCell ref="H1969:H1970"/>
    <mergeCell ref="I1969:I1970"/>
    <mergeCell ref="J1962:J1963"/>
    <mergeCell ref="K1962:K1963"/>
    <mergeCell ref="L1962:L1963"/>
    <mergeCell ref="M1962:P1963"/>
    <mergeCell ref="A1967:A1968"/>
    <mergeCell ref="B1967:G1968"/>
    <mergeCell ref="J1967:J1968"/>
    <mergeCell ref="K1967:K1968"/>
    <mergeCell ref="H1967:H1968"/>
    <mergeCell ref="L1967:L1968"/>
    <mergeCell ref="B1966:G1966"/>
    <mergeCell ref="A1960:A1961"/>
    <mergeCell ref="A1962:A1963"/>
    <mergeCell ref="B1962:G1963"/>
    <mergeCell ref="H1962:H1963"/>
    <mergeCell ref="I1962:I1963"/>
    <mergeCell ref="A1974:A1975"/>
    <mergeCell ref="B1973:G1973"/>
    <mergeCell ref="J1969:J1970"/>
    <mergeCell ref="K1969:K1970"/>
    <mergeCell ref="A1969:A1970"/>
    <mergeCell ref="B1969:G1970"/>
    <mergeCell ref="B1974:G1975"/>
    <mergeCell ref="H1974:H1975"/>
    <mergeCell ref="I1974:I1975"/>
    <mergeCell ref="J1974:J1975"/>
    <mergeCell ref="I1967:I1968"/>
    <mergeCell ref="J1981:J1982"/>
    <mergeCell ref="I1976:I1977"/>
    <mergeCell ref="L1974:L1975"/>
    <mergeCell ref="M1974:P1975"/>
    <mergeCell ref="K1974:K1975"/>
    <mergeCell ref="I1981:I1982"/>
    <mergeCell ref="M1981:P1982"/>
    <mergeCell ref="M1976:P1977"/>
    <mergeCell ref="J1976:J1977"/>
    <mergeCell ref="J1960:J1961"/>
    <mergeCell ref="K1960:K1961"/>
    <mergeCell ref="H1960:H1961"/>
    <mergeCell ref="I1960:I1961"/>
    <mergeCell ref="B1980:G1980"/>
    <mergeCell ref="M1969:P1970"/>
    <mergeCell ref="M1967:P1968"/>
    <mergeCell ref="M1973:P1973"/>
    <mergeCell ref="AA1937:AA1938"/>
    <mergeCell ref="S1937:X1938"/>
    <mergeCell ref="Z1937:Z1938"/>
    <mergeCell ref="AB1937:AB1938"/>
    <mergeCell ref="M1943:P1943"/>
    <mergeCell ref="G1937:H1937"/>
    <mergeCell ref="I1937:J1937"/>
    <mergeCell ref="L1953:L1954"/>
    <mergeCell ref="J1953:J1954"/>
    <mergeCell ref="K1953:K1954"/>
    <mergeCell ref="A1950:P1950"/>
    <mergeCell ref="M1953:P1954"/>
    <mergeCell ref="A1948:F1948"/>
    <mergeCell ref="J1948:O1948"/>
    <mergeCell ref="P1947:Q1947"/>
    <mergeCell ref="G1948:I1948"/>
    <mergeCell ref="A1953:A1954"/>
    <mergeCell ref="B1953:G1954"/>
    <mergeCell ref="H1953:H1954"/>
    <mergeCell ref="I1953:I1954"/>
    <mergeCell ref="G1949:I1949"/>
    <mergeCell ref="AD1958:AF1959"/>
    <mergeCell ref="L1955:L1956"/>
    <mergeCell ref="M1955:P1956"/>
    <mergeCell ref="R1958:R1959"/>
    <mergeCell ref="S1958:X1959"/>
    <mergeCell ref="Y1958:Y1959"/>
    <mergeCell ref="AB1958:AB1959"/>
    <mergeCell ref="Z1958:Z1959"/>
    <mergeCell ref="M1959:P1959"/>
    <mergeCell ref="AA1958:AA1959"/>
    <mergeCell ref="A1955:A1956"/>
    <mergeCell ref="B1955:G1956"/>
    <mergeCell ref="H1955:H1956"/>
    <mergeCell ref="I1955:I1956"/>
    <mergeCell ref="D1945:G1945"/>
    <mergeCell ref="O1946:P1946"/>
    <mergeCell ref="M1916:P1917"/>
    <mergeCell ref="K1916:K1917"/>
    <mergeCell ref="J1916:J1917"/>
    <mergeCell ref="K1925:K1926"/>
    <mergeCell ref="B1959:G1959"/>
    <mergeCell ref="M1960:P1961"/>
    <mergeCell ref="B1960:G1961"/>
    <mergeCell ref="L1960:L1961"/>
    <mergeCell ref="B1952:G1952"/>
    <mergeCell ref="M1952:P1952"/>
    <mergeCell ref="J1925:J1926"/>
    <mergeCell ref="J1923:J1924"/>
    <mergeCell ref="L1930:L1931"/>
    <mergeCell ref="J1932:J1933"/>
    <mergeCell ref="A1916:A1917"/>
    <mergeCell ref="B1916:G1917"/>
    <mergeCell ref="H1916:H1917"/>
    <mergeCell ref="I1916:I1917"/>
    <mergeCell ref="L1916:L1917"/>
    <mergeCell ref="A1932:A1933"/>
    <mergeCell ref="M1923:P1924"/>
    <mergeCell ref="M1918:P1919"/>
    <mergeCell ref="K1918:K1919"/>
    <mergeCell ref="L1918:L1919"/>
    <mergeCell ref="K1923:K1924"/>
    <mergeCell ref="L1923:L1924"/>
    <mergeCell ref="B1925:G1926"/>
    <mergeCell ref="H1925:H1926"/>
    <mergeCell ref="I1925:I1926"/>
    <mergeCell ref="A1923:A1924"/>
    <mergeCell ref="B1923:G1924"/>
    <mergeCell ref="H1923:H1924"/>
    <mergeCell ref="I1923:I1924"/>
    <mergeCell ref="J1930:J1931"/>
    <mergeCell ref="K1930:K1931"/>
    <mergeCell ref="A1918:A1919"/>
    <mergeCell ref="M1922:P1922"/>
    <mergeCell ref="B1918:G1919"/>
    <mergeCell ref="H1918:H1919"/>
    <mergeCell ref="I1918:I1919"/>
    <mergeCell ref="J1918:J1919"/>
    <mergeCell ref="B1922:G1922"/>
    <mergeCell ref="A1925:A1926"/>
    <mergeCell ref="J1945:L1945"/>
    <mergeCell ref="AB1909:AB1910"/>
    <mergeCell ref="Y1907:Y1908"/>
    <mergeCell ref="Y1909:Y1910"/>
    <mergeCell ref="R1909:R1910"/>
    <mergeCell ref="S1909:X1910"/>
    <mergeCell ref="Z1909:Z1910"/>
    <mergeCell ref="AA1907:AA1908"/>
    <mergeCell ref="K1911:K1912"/>
    <mergeCell ref="J1909:J1910"/>
    <mergeCell ref="K1909:K1910"/>
    <mergeCell ref="L1909:L1910"/>
    <mergeCell ref="J1911:J1912"/>
    <mergeCell ref="AA1909:AA1910"/>
    <mergeCell ref="A1902:A1903"/>
    <mergeCell ref="B1908:G1908"/>
    <mergeCell ref="M1908:P1908"/>
    <mergeCell ref="K1902:K1903"/>
    <mergeCell ref="A1904:A1905"/>
    <mergeCell ref="H1904:H1905"/>
    <mergeCell ref="L1902:L1903"/>
    <mergeCell ref="L1904:L1905"/>
    <mergeCell ref="B1904:G1905"/>
    <mergeCell ref="H1902:H1903"/>
    <mergeCell ref="M1909:P1910"/>
    <mergeCell ref="I1904:I1905"/>
    <mergeCell ref="M1904:P1905"/>
    <mergeCell ref="AC1907:AC1908"/>
    <mergeCell ref="AB1907:AB1908"/>
    <mergeCell ref="R1907:R1908"/>
    <mergeCell ref="S1907:X1908"/>
    <mergeCell ref="S1906:X1906"/>
    <mergeCell ref="Z1907:Z1908"/>
    <mergeCell ref="L1911:L1912"/>
    <mergeCell ref="M1911:P1912"/>
    <mergeCell ref="K1904:K1905"/>
    <mergeCell ref="J1904:J1905"/>
    <mergeCell ref="J1902:J1903"/>
    <mergeCell ref="R1903:W1903"/>
    <mergeCell ref="X1903:Y1903"/>
    <mergeCell ref="M1823:P1824"/>
    <mergeCell ref="L1823:L1824"/>
    <mergeCell ref="P1845:Q1845"/>
    <mergeCell ref="I1834:J1834"/>
    <mergeCell ref="A1828:A1829"/>
    <mergeCell ref="B1828:G1828"/>
    <mergeCell ref="H1828:H1829"/>
    <mergeCell ref="I1828:I1829"/>
    <mergeCell ref="J1828:J1829"/>
    <mergeCell ref="K1840:P1840"/>
    <mergeCell ref="F1838:I1838"/>
    <mergeCell ref="F1839:I1839"/>
    <mergeCell ref="A1830:A1831"/>
    <mergeCell ref="B1915:G1915"/>
    <mergeCell ref="M1915:P1915"/>
    <mergeCell ref="M1902:P1903"/>
    <mergeCell ref="I1902:I1903"/>
    <mergeCell ref="B1902:G1903"/>
    <mergeCell ref="A1909:A1910"/>
    <mergeCell ref="B1909:G1910"/>
    <mergeCell ref="H1909:H1910"/>
    <mergeCell ref="I1909:I1910"/>
    <mergeCell ref="A1911:A1912"/>
    <mergeCell ref="H1911:H1912"/>
    <mergeCell ref="I1911:I1912"/>
    <mergeCell ref="B1911:G1912"/>
    <mergeCell ref="L1851:L1852"/>
    <mergeCell ref="J1851:J1852"/>
    <mergeCell ref="K1851:K1852"/>
    <mergeCell ref="J1843:L1843"/>
    <mergeCell ref="G1847:I1847"/>
    <mergeCell ref="K1828:K1829"/>
    <mergeCell ref="K1830:K1831"/>
    <mergeCell ref="B1829:G1829"/>
    <mergeCell ref="F1833:K1833"/>
    <mergeCell ref="G1834:H1834"/>
    <mergeCell ref="J1846:O1846"/>
    <mergeCell ref="B1850:G1850"/>
    <mergeCell ref="M1850:P1850"/>
    <mergeCell ref="G1846:I1846"/>
    <mergeCell ref="D1843:G1843"/>
    <mergeCell ref="G1835:H1835"/>
    <mergeCell ref="I1835:J1835"/>
    <mergeCell ref="A1848:P1848"/>
    <mergeCell ref="M1853:P1854"/>
    <mergeCell ref="A1853:A1854"/>
    <mergeCell ref="B1853:G1854"/>
    <mergeCell ref="H1853:H1854"/>
    <mergeCell ref="M1843:N1843"/>
    <mergeCell ref="A1851:A1852"/>
    <mergeCell ref="B1851:G1852"/>
    <mergeCell ref="H1851:H1852"/>
    <mergeCell ref="I1851:I1852"/>
    <mergeCell ref="A1846:F1846"/>
    <mergeCell ref="J1830:J1831"/>
    <mergeCell ref="B1831:G1831"/>
    <mergeCell ref="B1830:G1830"/>
    <mergeCell ref="H1830:H1831"/>
    <mergeCell ref="I1830:I1831"/>
    <mergeCell ref="D1894:G1894"/>
    <mergeCell ref="H1872:H1873"/>
    <mergeCell ref="B1827:G1827"/>
    <mergeCell ref="M1827:P1827"/>
    <mergeCell ref="B1874:G1875"/>
    <mergeCell ref="L1828:L1829"/>
    <mergeCell ref="M1828:P1829"/>
    <mergeCell ref="M1830:P1831"/>
    <mergeCell ref="M1820:P1820"/>
    <mergeCell ref="M1821:P1822"/>
    <mergeCell ref="L1809:L1810"/>
    <mergeCell ref="M1809:P1810"/>
    <mergeCell ref="L1802:L1803"/>
    <mergeCell ref="B1800:G1801"/>
    <mergeCell ref="H1800:H1801"/>
    <mergeCell ref="I1800:I1801"/>
    <mergeCell ref="J1800:J1801"/>
    <mergeCell ref="B1799:G1799"/>
    <mergeCell ref="A1800:A1801"/>
    <mergeCell ref="R1805:R1806"/>
    <mergeCell ref="R1801:W1801"/>
    <mergeCell ref="B1802:G1803"/>
    <mergeCell ref="H1802:H1803"/>
    <mergeCell ref="I1802:I1803"/>
    <mergeCell ref="J1802:J1803"/>
    <mergeCell ref="M1800:P1801"/>
    <mergeCell ref="K1800:K1801"/>
    <mergeCell ref="A1802:A1803"/>
    <mergeCell ref="J1809:J1810"/>
    <mergeCell ref="A1809:A1810"/>
    <mergeCell ref="B1809:G1810"/>
    <mergeCell ref="H1809:H1810"/>
    <mergeCell ref="I1809:I1810"/>
    <mergeCell ref="A1807:A1808"/>
    <mergeCell ref="B1807:G1808"/>
    <mergeCell ref="H1807:H1808"/>
    <mergeCell ref="I1807:I1808"/>
    <mergeCell ref="L1816:L1817"/>
    <mergeCell ref="K1821:K1822"/>
    <mergeCell ref="L1821:L1822"/>
    <mergeCell ref="M1814:P1815"/>
    <mergeCell ref="K1809:K1810"/>
    <mergeCell ref="K1814:K1815"/>
    <mergeCell ref="L1814:L1815"/>
    <mergeCell ref="A1816:A1817"/>
    <mergeCell ref="B1816:G1817"/>
    <mergeCell ref="H1816:H1817"/>
    <mergeCell ref="I1816:I1817"/>
    <mergeCell ref="A1814:A1815"/>
    <mergeCell ref="B1814:G1815"/>
    <mergeCell ref="A1823:A1824"/>
    <mergeCell ref="B1823:G1824"/>
    <mergeCell ref="H1823:H1824"/>
    <mergeCell ref="I1823:I1824"/>
    <mergeCell ref="L1830:L1831"/>
    <mergeCell ref="J1816:J1817"/>
    <mergeCell ref="A1821:A1822"/>
    <mergeCell ref="B1821:G1822"/>
    <mergeCell ref="H1821:H1822"/>
    <mergeCell ref="I1821:I1822"/>
    <mergeCell ref="B1806:G1806"/>
    <mergeCell ref="M1806:P1806"/>
    <mergeCell ref="L1807:L1808"/>
    <mergeCell ref="M1807:P1808"/>
    <mergeCell ref="J1807:J1808"/>
    <mergeCell ref="K1807:K1808"/>
    <mergeCell ref="M1802:P1803"/>
    <mergeCell ref="K1802:K1803"/>
    <mergeCell ref="K1823:K1824"/>
    <mergeCell ref="A1797:P1797"/>
    <mergeCell ref="G1795:I1795"/>
    <mergeCell ref="G1796:I1796"/>
    <mergeCell ref="L1777:L1778"/>
    <mergeCell ref="M1779:P1780"/>
    <mergeCell ref="H1765:H1766"/>
    <mergeCell ref="I1765:I1766"/>
    <mergeCell ref="B1769:G1769"/>
    <mergeCell ref="A1765:A1766"/>
    <mergeCell ref="B1765:G1766"/>
    <mergeCell ref="L1758:L1759"/>
    <mergeCell ref="A1758:A1759"/>
    <mergeCell ref="B1758:G1759"/>
    <mergeCell ref="H1758:H1759"/>
    <mergeCell ref="L1763:L1764"/>
    <mergeCell ref="J1772:J1773"/>
    <mergeCell ref="M1769:P1769"/>
    <mergeCell ref="A1770:A1771"/>
    <mergeCell ref="B1770:G1771"/>
    <mergeCell ref="H1770:H1771"/>
    <mergeCell ref="I1770:I1771"/>
    <mergeCell ref="L1772:L1773"/>
    <mergeCell ref="M1772:P1773"/>
    <mergeCell ref="A1772:A1773"/>
    <mergeCell ref="B1772:G1773"/>
    <mergeCell ref="G1783:H1783"/>
    <mergeCell ref="I1783:J1783"/>
    <mergeCell ref="K1751:K1752"/>
    <mergeCell ref="J1751:J1752"/>
    <mergeCell ref="L1770:L1771"/>
    <mergeCell ref="M1770:P1771"/>
    <mergeCell ref="K1770:K1771"/>
    <mergeCell ref="J1770:J1771"/>
    <mergeCell ref="J1765:J1766"/>
    <mergeCell ref="K1765:K1766"/>
    <mergeCell ref="L1765:L1766"/>
    <mergeCell ref="M1765:P1766"/>
    <mergeCell ref="M1776:P1776"/>
    <mergeCell ref="I1749:I1750"/>
    <mergeCell ref="A1744:F1744"/>
    <mergeCell ref="J1744:O1744"/>
    <mergeCell ref="B1748:G1748"/>
    <mergeCell ref="M1748:P1748"/>
    <mergeCell ref="G1744:I1744"/>
    <mergeCell ref="B1749:G1750"/>
    <mergeCell ref="H1749:H1750"/>
    <mergeCell ref="M1749:P1750"/>
    <mergeCell ref="AD1754:AF1755"/>
    <mergeCell ref="L1751:L1752"/>
    <mergeCell ref="M1751:P1752"/>
    <mergeCell ref="R1754:R1755"/>
    <mergeCell ref="S1754:X1755"/>
    <mergeCell ref="Y1754:Y1755"/>
    <mergeCell ref="AB1754:AB1755"/>
    <mergeCell ref="Z1754:Z1755"/>
    <mergeCell ref="M1755:P1755"/>
    <mergeCell ref="AA1754:AA1755"/>
    <mergeCell ref="I1763:I1764"/>
    <mergeCell ref="R1756:R1757"/>
    <mergeCell ref="B1755:G1755"/>
    <mergeCell ref="M1756:P1757"/>
    <mergeCell ref="I1756:I1757"/>
    <mergeCell ref="J1756:J1757"/>
    <mergeCell ref="K1756:K1757"/>
    <mergeCell ref="L1756:L1757"/>
    <mergeCell ref="I1758:I1759"/>
    <mergeCell ref="M1763:P1764"/>
    <mergeCell ref="A1751:A1752"/>
    <mergeCell ref="B1751:G1752"/>
    <mergeCell ref="H1751:H1752"/>
    <mergeCell ref="I1751:I1752"/>
    <mergeCell ref="A1756:A1757"/>
    <mergeCell ref="B1756:G1757"/>
    <mergeCell ref="L1749:L1750"/>
    <mergeCell ref="J1749:J1750"/>
    <mergeCell ref="K1749:K1750"/>
    <mergeCell ref="A1746:P1746"/>
    <mergeCell ref="A1749:A1750"/>
    <mergeCell ref="A1763:A1764"/>
    <mergeCell ref="B1763:G1764"/>
    <mergeCell ref="K1758:K1759"/>
    <mergeCell ref="M1762:P1762"/>
    <mergeCell ref="M1758:P1759"/>
    <mergeCell ref="AD1756:AF1757"/>
    <mergeCell ref="AA1756:AA1757"/>
    <mergeCell ref="J1763:J1764"/>
    <mergeCell ref="K1763:K1764"/>
    <mergeCell ref="H1763:H1764"/>
    <mergeCell ref="J1758:J1759"/>
    <mergeCell ref="H1756:H1757"/>
    <mergeCell ref="B1762:G1762"/>
    <mergeCell ref="A1714:A1715"/>
    <mergeCell ref="B1714:G1715"/>
    <mergeCell ref="B1718:G1718"/>
    <mergeCell ref="H1714:H1715"/>
    <mergeCell ref="I1714:I1715"/>
    <mergeCell ref="A1707:A1708"/>
    <mergeCell ref="B1707:G1708"/>
    <mergeCell ref="A1721:A1722"/>
    <mergeCell ref="A1719:A1720"/>
    <mergeCell ref="B1719:G1720"/>
    <mergeCell ref="L1728:L1729"/>
    <mergeCell ref="M1712:P1713"/>
    <mergeCell ref="K1714:K1715"/>
    <mergeCell ref="L1714:L1715"/>
    <mergeCell ref="K1712:K1713"/>
    <mergeCell ref="J1721:J1722"/>
    <mergeCell ref="K1721:K1722"/>
    <mergeCell ref="J1714:J1715"/>
    <mergeCell ref="J1719:J1720"/>
    <mergeCell ref="K1719:K1720"/>
    <mergeCell ref="L1726:L1727"/>
    <mergeCell ref="M1726:P1727"/>
    <mergeCell ref="L1719:L1720"/>
    <mergeCell ref="M1714:P1715"/>
    <mergeCell ref="M1718:P1718"/>
    <mergeCell ref="A1728:A1729"/>
    <mergeCell ref="G1745:I1745"/>
    <mergeCell ref="M1719:P1720"/>
    <mergeCell ref="M1725:P1725"/>
    <mergeCell ref="M1741:N1741"/>
    <mergeCell ref="M1728:P1729"/>
    <mergeCell ref="P1743:Q1743"/>
    <mergeCell ref="D1741:G1741"/>
    <mergeCell ref="F1736:I1736"/>
    <mergeCell ref="F1737:I1737"/>
    <mergeCell ref="H1719:H1720"/>
    <mergeCell ref="I1719:I1720"/>
    <mergeCell ref="I1721:I1722"/>
    <mergeCell ref="B1727:G1727"/>
    <mergeCell ref="A1726:A1727"/>
    <mergeCell ref="B1721:G1722"/>
    <mergeCell ref="H1721:H1722"/>
    <mergeCell ref="F1731:K1731"/>
    <mergeCell ref="G1732:H1732"/>
    <mergeCell ref="I1732:J1732"/>
    <mergeCell ref="K1728:K1729"/>
    <mergeCell ref="M1721:P1722"/>
    <mergeCell ref="L1721:L1722"/>
    <mergeCell ref="K1726:K1727"/>
    <mergeCell ref="J1726:J1727"/>
    <mergeCell ref="B1725:G1725"/>
    <mergeCell ref="B1728:G1728"/>
    <mergeCell ref="H1728:H1729"/>
    <mergeCell ref="I1728:I1729"/>
    <mergeCell ref="J1728:J1729"/>
    <mergeCell ref="B1729:G1729"/>
    <mergeCell ref="B1726:G1726"/>
    <mergeCell ref="H1726:H1727"/>
    <mergeCell ref="I1726:I1727"/>
    <mergeCell ref="G1733:H1733"/>
    <mergeCell ref="I1733:J1733"/>
    <mergeCell ref="J1741:L1741"/>
    <mergeCell ref="K1738:P1738"/>
    <mergeCell ref="M1739:P1739"/>
    <mergeCell ref="I1700:I1701"/>
    <mergeCell ref="H1698:H1699"/>
    <mergeCell ref="I1698:I1699"/>
    <mergeCell ref="A1698:A1699"/>
    <mergeCell ref="B1700:G1701"/>
    <mergeCell ref="D1690:G1690"/>
    <mergeCell ref="R1713:W1713"/>
    <mergeCell ref="X1713:Y1713"/>
    <mergeCell ref="Z1713:AE1713"/>
    <mergeCell ref="AA1705:AA1706"/>
    <mergeCell ref="AB1705:AB1706"/>
    <mergeCell ref="Y1703:Y1704"/>
    <mergeCell ref="Y1705:Y1706"/>
    <mergeCell ref="R1705:R1706"/>
    <mergeCell ref="S1705:X1706"/>
    <mergeCell ref="Z1705:Z1706"/>
    <mergeCell ref="AD1703:AF1704"/>
    <mergeCell ref="L1700:L1701"/>
    <mergeCell ref="S1703:X1704"/>
    <mergeCell ref="S1702:X1702"/>
    <mergeCell ref="Z1703:Z1704"/>
    <mergeCell ref="AA1703:AA1704"/>
    <mergeCell ref="M1700:P1701"/>
    <mergeCell ref="AC1703:AC1704"/>
    <mergeCell ref="R1703:R1704"/>
    <mergeCell ref="AB1703:AB1704"/>
    <mergeCell ref="J1690:L1690"/>
    <mergeCell ref="L1698:L1699"/>
    <mergeCell ref="J1698:J1699"/>
    <mergeCell ref="M1698:P1699"/>
    <mergeCell ref="M1704:P1704"/>
    <mergeCell ref="A1695:P1695"/>
    <mergeCell ref="J1693:O1693"/>
    <mergeCell ref="B1704:G1704"/>
    <mergeCell ref="K1698:K1699"/>
    <mergeCell ref="B1697:G1697"/>
    <mergeCell ref="A1700:A1701"/>
    <mergeCell ref="A1705:A1706"/>
    <mergeCell ref="H1700:H1701"/>
    <mergeCell ref="B1698:G1699"/>
    <mergeCell ref="K1705:K1706"/>
    <mergeCell ref="B1705:G1706"/>
    <mergeCell ref="H1705:H1706"/>
    <mergeCell ref="M1697:P1697"/>
    <mergeCell ref="J1700:J1701"/>
    <mergeCell ref="K1700:K1701"/>
    <mergeCell ref="L1712:L1713"/>
    <mergeCell ref="I1707:I1708"/>
    <mergeCell ref="L1705:L1706"/>
    <mergeCell ref="J1705:J1706"/>
    <mergeCell ref="M1711:P1711"/>
    <mergeCell ref="I1705:I1706"/>
    <mergeCell ref="M1705:P1706"/>
    <mergeCell ref="B1711:G1711"/>
    <mergeCell ref="B1712:G1713"/>
    <mergeCell ref="H1712:H1713"/>
    <mergeCell ref="I1712:I1713"/>
    <mergeCell ref="K1707:K1708"/>
    <mergeCell ref="L1707:L1708"/>
    <mergeCell ref="J1707:J1708"/>
    <mergeCell ref="H1707:H1708"/>
    <mergeCell ref="M1707:P1708"/>
    <mergeCell ref="J1712:J1713"/>
    <mergeCell ref="A1712:A1713"/>
    <mergeCell ref="F1686:I1686"/>
    <mergeCell ref="K1687:P1687"/>
    <mergeCell ref="J1677:J1678"/>
    <mergeCell ref="K1677:K1678"/>
    <mergeCell ref="H1677:H1678"/>
    <mergeCell ref="G1694:I1694"/>
    <mergeCell ref="M1663:P1664"/>
    <mergeCell ref="M1677:P1678"/>
    <mergeCell ref="M1675:P1676"/>
    <mergeCell ref="M1667:P1667"/>
    <mergeCell ref="L1668:L1669"/>
    <mergeCell ref="M1668:P1669"/>
    <mergeCell ref="M1674:P1674"/>
    <mergeCell ref="M1670:P1671"/>
    <mergeCell ref="L1677:L1678"/>
    <mergeCell ref="L1663:L1664"/>
    <mergeCell ref="J1670:J1671"/>
    <mergeCell ref="H1668:H1669"/>
    <mergeCell ref="I1668:I1669"/>
    <mergeCell ref="J1668:J1669"/>
    <mergeCell ref="L1670:L1671"/>
    <mergeCell ref="K1675:K1676"/>
    <mergeCell ref="B1675:G1675"/>
    <mergeCell ref="H1675:H1676"/>
    <mergeCell ref="K1670:K1671"/>
    <mergeCell ref="B1674:G1674"/>
    <mergeCell ref="I1663:I1664"/>
    <mergeCell ref="B1676:G1676"/>
    <mergeCell ref="G1681:H1681"/>
    <mergeCell ref="I1681:J1681"/>
    <mergeCell ref="A1670:A1671"/>
    <mergeCell ref="B1670:G1671"/>
    <mergeCell ref="H1670:H1671"/>
    <mergeCell ref="I1670:I1671"/>
    <mergeCell ref="A1675:A1676"/>
    <mergeCell ref="M1690:N1690"/>
    <mergeCell ref="M1688:P1688"/>
    <mergeCell ref="A1649:A1650"/>
    <mergeCell ref="B1649:G1650"/>
    <mergeCell ref="H1649:H1650"/>
    <mergeCell ref="L1647:L1648"/>
    <mergeCell ref="J1647:J1648"/>
    <mergeCell ref="L1649:L1650"/>
    <mergeCell ref="I1647:I1648"/>
    <mergeCell ref="B1653:G1653"/>
    <mergeCell ref="J1642:O1642"/>
    <mergeCell ref="G1642:I1642"/>
    <mergeCell ref="A1647:A1648"/>
    <mergeCell ref="B1647:G1648"/>
    <mergeCell ref="H1647:H1648"/>
    <mergeCell ref="K1647:K1648"/>
    <mergeCell ref="A1644:P1644"/>
    <mergeCell ref="M1647:P1648"/>
    <mergeCell ref="A1642:F1642"/>
    <mergeCell ref="L1626:L1627"/>
    <mergeCell ref="M1661:P1662"/>
    <mergeCell ref="B1677:G1677"/>
    <mergeCell ref="A1693:F1693"/>
    <mergeCell ref="G1693:I1693"/>
    <mergeCell ref="I1675:I1676"/>
    <mergeCell ref="I1677:I1678"/>
    <mergeCell ref="J1675:J1676"/>
    <mergeCell ref="G1682:H1682"/>
    <mergeCell ref="I1682:J1682"/>
    <mergeCell ref="F1680:K1680"/>
    <mergeCell ref="A1654:A1655"/>
    <mergeCell ref="B1654:G1655"/>
    <mergeCell ref="H1654:H1655"/>
    <mergeCell ref="I1654:I1655"/>
    <mergeCell ref="M1660:P1660"/>
    <mergeCell ref="M1656:P1657"/>
    <mergeCell ref="A1656:A1657"/>
    <mergeCell ref="B1656:G1657"/>
    <mergeCell ref="H1656:H1657"/>
    <mergeCell ref="I1656:I1657"/>
    <mergeCell ref="J1656:J1657"/>
    <mergeCell ref="K1656:K1657"/>
    <mergeCell ref="L1656:L1657"/>
    <mergeCell ref="A1661:A1662"/>
    <mergeCell ref="B1661:G1662"/>
    <mergeCell ref="B1660:G1660"/>
    <mergeCell ref="L1661:L1662"/>
    <mergeCell ref="H1661:H1662"/>
    <mergeCell ref="I1661:I1662"/>
    <mergeCell ref="J1661:J1662"/>
    <mergeCell ref="K1661:K1662"/>
    <mergeCell ref="A1668:A1669"/>
    <mergeCell ref="B1667:G1667"/>
    <mergeCell ref="J1663:J1664"/>
    <mergeCell ref="K1663:K1664"/>
    <mergeCell ref="A1663:A1664"/>
    <mergeCell ref="K1668:K1669"/>
    <mergeCell ref="B1668:G1669"/>
    <mergeCell ref="B1663:G1664"/>
    <mergeCell ref="H1663:H1664"/>
    <mergeCell ref="M1654:P1655"/>
    <mergeCell ref="L1675:L1676"/>
    <mergeCell ref="A1677:A1678"/>
    <mergeCell ref="B1678:G1678"/>
    <mergeCell ref="P1692:Q1692"/>
    <mergeCell ref="F1685:I1685"/>
    <mergeCell ref="I1649:I1650"/>
    <mergeCell ref="J1649:J1650"/>
    <mergeCell ref="K1649:K1650"/>
    <mergeCell ref="L1654:L1655"/>
    <mergeCell ref="H1610:H1611"/>
    <mergeCell ref="I1610:I1611"/>
    <mergeCell ref="I1605:I1606"/>
    <mergeCell ref="H1612:H1613"/>
    <mergeCell ref="I1612:I1613"/>
    <mergeCell ref="B1616:G1616"/>
    <mergeCell ref="L1605:L1606"/>
    <mergeCell ref="K1617:K1618"/>
    <mergeCell ref="L1617:L1618"/>
    <mergeCell ref="A1612:A1613"/>
    <mergeCell ref="B1612:G1613"/>
    <mergeCell ref="M1605:P1606"/>
    <mergeCell ref="M1610:P1611"/>
    <mergeCell ref="K1605:K1606"/>
    <mergeCell ref="K1610:K1611"/>
    <mergeCell ref="L1610:L1611"/>
    <mergeCell ref="M1616:P1616"/>
    <mergeCell ref="M1617:P1618"/>
    <mergeCell ref="A1619:A1620"/>
    <mergeCell ref="B1619:G1620"/>
    <mergeCell ref="H1619:H1620"/>
    <mergeCell ref="I1619:I1620"/>
    <mergeCell ref="A1617:A1618"/>
    <mergeCell ref="B1617:G1618"/>
    <mergeCell ref="H1617:H1618"/>
    <mergeCell ref="I1617:I1618"/>
    <mergeCell ref="A1624:A1625"/>
    <mergeCell ref="B1624:G1624"/>
    <mergeCell ref="H1624:H1625"/>
    <mergeCell ref="I1624:I1625"/>
    <mergeCell ref="J1624:J1625"/>
    <mergeCell ref="J1619:J1620"/>
    <mergeCell ref="M1649:P1650"/>
    <mergeCell ref="D1639:G1639"/>
    <mergeCell ref="F1634:I1634"/>
    <mergeCell ref="F1635:I1635"/>
    <mergeCell ref="K1636:P1636"/>
    <mergeCell ref="J1654:J1655"/>
    <mergeCell ref="K1654:K1655"/>
    <mergeCell ref="M1637:P1637"/>
    <mergeCell ref="H1626:H1627"/>
    <mergeCell ref="I1626:I1627"/>
    <mergeCell ref="J1626:J1627"/>
    <mergeCell ref="F1629:K1629"/>
    <mergeCell ref="M1653:P1653"/>
    <mergeCell ref="M1639:N1639"/>
    <mergeCell ref="P1641:Q1641"/>
    <mergeCell ref="B1646:G1646"/>
    <mergeCell ref="G1643:I1643"/>
    <mergeCell ref="M1646:P1646"/>
    <mergeCell ref="K1624:K1625"/>
    <mergeCell ref="A1626:A1627"/>
    <mergeCell ref="K1626:K1627"/>
    <mergeCell ref="B1625:G1625"/>
    <mergeCell ref="G1630:H1630"/>
    <mergeCell ref="I1630:J1630"/>
    <mergeCell ref="B1626:G1626"/>
    <mergeCell ref="G1631:H1631"/>
    <mergeCell ref="I1631:J1631"/>
    <mergeCell ref="J1639:L1639"/>
    <mergeCell ref="B1623:G1623"/>
    <mergeCell ref="M1623:P1623"/>
    <mergeCell ref="L1624:L1625"/>
    <mergeCell ref="M1624:P1625"/>
    <mergeCell ref="M1626:P1627"/>
    <mergeCell ref="B1627:G1627"/>
    <mergeCell ref="K1619:K1620"/>
    <mergeCell ref="M1619:P1620"/>
    <mergeCell ref="L1619:L1620"/>
    <mergeCell ref="B1602:G1602"/>
    <mergeCell ref="J1605:J1606"/>
    <mergeCell ref="L1603:L1604"/>
    <mergeCell ref="B1598:G1599"/>
    <mergeCell ref="M1586:P1586"/>
    <mergeCell ref="A1575:A1576"/>
    <mergeCell ref="H1575:H1576"/>
    <mergeCell ref="F1578:K1578"/>
    <mergeCell ref="G1579:H1579"/>
    <mergeCell ref="F1583:I1583"/>
    <mergeCell ref="J1588:L1588"/>
    <mergeCell ref="P1590:Q1590"/>
    <mergeCell ref="M1588:N1588"/>
    <mergeCell ref="K1598:K1599"/>
    <mergeCell ref="L1598:L1599"/>
    <mergeCell ref="K1596:K1597"/>
    <mergeCell ref="L1596:L1597"/>
    <mergeCell ref="A1593:P1593"/>
    <mergeCell ref="G1591:I1591"/>
    <mergeCell ref="G1592:I1592"/>
    <mergeCell ref="A1591:F1591"/>
    <mergeCell ref="J1591:O1591"/>
    <mergeCell ref="B1595:G1595"/>
    <mergeCell ref="A1596:A1597"/>
    <mergeCell ref="A1598:A1599"/>
    <mergeCell ref="I1575:I1576"/>
    <mergeCell ref="M1575:P1576"/>
    <mergeCell ref="K1575:K1576"/>
    <mergeCell ref="J1575:J1576"/>
    <mergeCell ref="L1575:L1576"/>
    <mergeCell ref="B1576:G1576"/>
    <mergeCell ref="B1575:G1575"/>
    <mergeCell ref="M1595:P1595"/>
    <mergeCell ref="H1598:H1599"/>
    <mergeCell ref="I1598:I1599"/>
    <mergeCell ref="J1598:J1599"/>
    <mergeCell ref="M1596:P1597"/>
    <mergeCell ref="M1602:P1602"/>
    <mergeCell ref="B1596:G1597"/>
    <mergeCell ref="H1596:H1597"/>
    <mergeCell ref="I1596:I1597"/>
    <mergeCell ref="J1596:J1597"/>
    <mergeCell ref="M1598:P1599"/>
    <mergeCell ref="L1612:L1613"/>
    <mergeCell ref="A1603:A1604"/>
    <mergeCell ref="B1603:G1604"/>
    <mergeCell ref="H1603:H1604"/>
    <mergeCell ref="I1603:I1604"/>
    <mergeCell ref="A1605:A1606"/>
    <mergeCell ref="B1605:G1606"/>
    <mergeCell ref="H1605:H1606"/>
    <mergeCell ref="A1610:A1611"/>
    <mergeCell ref="B1610:G1611"/>
    <mergeCell ref="G1580:H1580"/>
    <mergeCell ref="J1617:J1618"/>
    <mergeCell ref="M1603:P1604"/>
    <mergeCell ref="J1603:J1604"/>
    <mergeCell ref="K1603:K1604"/>
    <mergeCell ref="J1612:J1613"/>
    <mergeCell ref="B1609:G1609"/>
    <mergeCell ref="M1609:P1609"/>
    <mergeCell ref="J1610:J1611"/>
    <mergeCell ref="M1612:P1613"/>
    <mergeCell ref="K1612:K1613"/>
    <mergeCell ref="L1561:L1562"/>
    <mergeCell ref="I1579:J1579"/>
    <mergeCell ref="I1568:I1569"/>
    <mergeCell ref="L1566:L1567"/>
    <mergeCell ref="M1566:P1567"/>
    <mergeCell ref="K1566:K1567"/>
    <mergeCell ref="M1572:P1572"/>
    <mergeCell ref="M1561:P1562"/>
    <mergeCell ref="A1559:A1560"/>
    <mergeCell ref="B1559:G1560"/>
    <mergeCell ref="J1559:J1560"/>
    <mergeCell ref="K1559:K1560"/>
    <mergeCell ref="H1559:H1560"/>
    <mergeCell ref="K1568:K1569"/>
    <mergeCell ref="B1558:G1558"/>
    <mergeCell ref="I1554:I1555"/>
    <mergeCell ref="M1558:P1558"/>
    <mergeCell ref="J1554:J1555"/>
    <mergeCell ref="K1554:K1555"/>
    <mergeCell ref="L1554:L1555"/>
    <mergeCell ref="M1554:P1555"/>
    <mergeCell ref="J1561:J1562"/>
    <mergeCell ref="K1561:K1562"/>
    <mergeCell ref="A1561:A1562"/>
    <mergeCell ref="B1561:G1562"/>
    <mergeCell ref="B1566:G1567"/>
    <mergeCell ref="J1566:J1567"/>
    <mergeCell ref="H1561:H1562"/>
    <mergeCell ref="I1561:I1562"/>
    <mergeCell ref="I1566:I1567"/>
    <mergeCell ref="M1573:P1574"/>
    <mergeCell ref="K1573:K1574"/>
    <mergeCell ref="J1573:J1574"/>
    <mergeCell ref="A1566:A1567"/>
    <mergeCell ref="B1565:G1565"/>
    <mergeCell ref="L1568:L1569"/>
    <mergeCell ref="L1573:L1574"/>
    <mergeCell ref="I1573:I1574"/>
    <mergeCell ref="M1559:P1560"/>
    <mergeCell ref="I1559:I1560"/>
    <mergeCell ref="A1568:A1569"/>
    <mergeCell ref="B1568:G1569"/>
    <mergeCell ref="H1568:H1569"/>
    <mergeCell ref="M1568:P1569"/>
    <mergeCell ref="J1568:J1569"/>
    <mergeCell ref="M1565:P1565"/>
    <mergeCell ref="H1566:H1567"/>
    <mergeCell ref="B1574:G1574"/>
    <mergeCell ref="B1572:G1572"/>
    <mergeCell ref="A1573:A1574"/>
    <mergeCell ref="B1573:G1573"/>
    <mergeCell ref="H1573:H1574"/>
    <mergeCell ref="D1588:G1588"/>
    <mergeCell ref="F1584:I1584"/>
    <mergeCell ref="K1585:P1585"/>
    <mergeCell ref="I1580:J1580"/>
    <mergeCell ref="A1545:A1546"/>
    <mergeCell ref="B1545:G1546"/>
    <mergeCell ref="H1545:H1546"/>
    <mergeCell ref="I1545:I1546"/>
    <mergeCell ref="G1541:I1541"/>
    <mergeCell ref="J1547:J1548"/>
    <mergeCell ref="AD1550:AF1551"/>
    <mergeCell ref="L1547:L1548"/>
    <mergeCell ref="M1547:P1548"/>
    <mergeCell ref="R1550:R1551"/>
    <mergeCell ref="S1550:X1551"/>
    <mergeCell ref="Y1550:Y1551"/>
    <mergeCell ref="AB1550:AB1551"/>
    <mergeCell ref="Z1550:Z1551"/>
    <mergeCell ref="M1551:P1551"/>
    <mergeCell ref="AA1550:AA1551"/>
    <mergeCell ref="B1547:G1548"/>
    <mergeCell ref="H1547:H1548"/>
    <mergeCell ref="I1547:I1548"/>
    <mergeCell ref="J1552:J1553"/>
    <mergeCell ref="K1552:K1553"/>
    <mergeCell ref="L1552:L1553"/>
    <mergeCell ref="K1547:K1548"/>
    <mergeCell ref="H1552:H1553"/>
    <mergeCell ref="I1552:I1553"/>
    <mergeCell ref="K1534:P1534"/>
    <mergeCell ref="D1537:G1537"/>
    <mergeCell ref="B1551:G1551"/>
    <mergeCell ref="A1552:A1553"/>
    <mergeCell ref="A1554:A1555"/>
    <mergeCell ref="B1554:G1555"/>
    <mergeCell ref="H1554:H1555"/>
    <mergeCell ref="M1552:P1553"/>
    <mergeCell ref="B1552:G1553"/>
    <mergeCell ref="A1547:A1548"/>
    <mergeCell ref="M1535:P1535"/>
    <mergeCell ref="M1537:N1537"/>
    <mergeCell ref="J1537:L1537"/>
    <mergeCell ref="P1539:Q1539"/>
    <mergeCell ref="L1545:L1546"/>
    <mergeCell ref="J1545:J1546"/>
    <mergeCell ref="K1545:K1546"/>
    <mergeCell ref="A1542:P1542"/>
    <mergeCell ref="M1545:P1546"/>
    <mergeCell ref="A1540:F1540"/>
    <mergeCell ref="J1540:O1540"/>
    <mergeCell ref="B1544:G1544"/>
    <mergeCell ref="M1544:P1544"/>
    <mergeCell ref="G1540:I1540"/>
    <mergeCell ref="L1559:L1560"/>
    <mergeCell ref="J1515:J1516"/>
    <mergeCell ref="K1510:K1511"/>
    <mergeCell ref="K1515:K1516"/>
    <mergeCell ref="M1514:P1514"/>
    <mergeCell ref="J1503:J1504"/>
    <mergeCell ref="K1503:K1504"/>
    <mergeCell ref="L1503:L1504"/>
    <mergeCell ref="M1503:P1504"/>
    <mergeCell ref="L1508:L1509"/>
    <mergeCell ref="M1508:P1509"/>
    <mergeCell ref="F1527:K1527"/>
    <mergeCell ref="B1525:G1525"/>
    <mergeCell ref="G1528:H1528"/>
    <mergeCell ref="I1528:J1528"/>
    <mergeCell ref="F1532:I1532"/>
    <mergeCell ref="F1533:I1533"/>
    <mergeCell ref="A1515:A1516"/>
    <mergeCell ref="I1515:I1516"/>
    <mergeCell ref="B1522:G1522"/>
    <mergeCell ref="H1517:H1518"/>
    <mergeCell ref="I1517:I1518"/>
    <mergeCell ref="J1517:J1518"/>
    <mergeCell ref="B1521:G1521"/>
    <mergeCell ref="H1510:H1511"/>
    <mergeCell ref="I1510:I1511"/>
    <mergeCell ref="L1524:L1525"/>
    <mergeCell ref="H1522:H1523"/>
    <mergeCell ref="I1522:I1523"/>
    <mergeCell ref="I1524:I1525"/>
    <mergeCell ref="J1524:J1525"/>
    <mergeCell ref="K1517:K1518"/>
    <mergeCell ref="M1515:P1516"/>
    <mergeCell ref="M1517:P1518"/>
    <mergeCell ref="A1517:A1518"/>
    <mergeCell ref="B1517:G1518"/>
    <mergeCell ref="M1510:P1511"/>
    <mergeCell ref="L1510:L1511"/>
    <mergeCell ref="L1515:L1516"/>
    <mergeCell ref="L1517:L1518"/>
    <mergeCell ref="A1510:A1511"/>
    <mergeCell ref="B1510:G1511"/>
    <mergeCell ref="M1524:P1525"/>
    <mergeCell ref="M1521:P1521"/>
    <mergeCell ref="L1522:L1523"/>
    <mergeCell ref="M1522:P1523"/>
    <mergeCell ref="J1522:J1523"/>
    <mergeCell ref="K1522:K1523"/>
    <mergeCell ref="K1524:K1525"/>
    <mergeCell ref="B1514:G1514"/>
    <mergeCell ref="B1515:G1516"/>
    <mergeCell ref="H1515:H1516"/>
    <mergeCell ref="A1522:A1523"/>
    <mergeCell ref="G1529:H1529"/>
    <mergeCell ref="I1529:J1529"/>
    <mergeCell ref="A1524:A1525"/>
    <mergeCell ref="B1523:G1523"/>
    <mergeCell ref="B1524:G1524"/>
    <mergeCell ref="H1524:H1525"/>
    <mergeCell ref="F1481:I1481"/>
    <mergeCell ref="F1482:I1482"/>
    <mergeCell ref="A1489:F1489"/>
    <mergeCell ref="J1489:O1489"/>
    <mergeCell ref="B1493:G1493"/>
    <mergeCell ref="M1493:P1493"/>
    <mergeCell ref="G1489:I1489"/>
    <mergeCell ref="A1494:A1495"/>
    <mergeCell ref="M1500:P1500"/>
    <mergeCell ref="K1494:K1495"/>
    <mergeCell ref="L1496:L1497"/>
    <mergeCell ref="M1496:P1497"/>
    <mergeCell ref="M1494:P1495"/>
    <mergeCell ref="B1507:G1507"/>
    <mergeCell ref="I1508:I1509"/>
    <mergeCell ref="A1508:A1509"/>
    <mergeCell ref="B1508:G1509"/>
    <mergeCell ref="H1508:H1509"/>
    <mergeCell ref="M1501:P1502"/>
    <mergeCell ref="I1496:I1497"/>
    <mergeCell ref="J1496:J1497"/>
    <mergeCell ref="H1496:H1497"/>
    <mergeCell ref="J1501:J1502"/>
    <mergeCell ref="K1501:K1502"/>
    <mergeCell ref="L1501:L1502"/>
    <mergeCell ref="B1496:G1497"/>
    <mergeCell ref="B1494:G1495"/>
    <mergeCell ref="H1494:H1495"/>
    <mergeCell ref="I1494:I1495"/>
    <mergeCell ref="A1496:A1497"/>
    <mergeCell ref="J1494:J1495"/>
    <mergeCell ref="L1494:L1495"/>
    <mergeCell ref="K1496:K1497"/>
    <mergeCell ref="H1501:H1502"/>
    <mergeCell ref="I1501:I1502"/>
    <mergeCell ref="A1503:A1504"/>
    <mergeCell ref="B1503:G1504"/>
    <mergeCell ref="H1503:H1504"/>
    <mergeCell ref="I1503:I1504"/>
    <mergeCell ref="K1464:K1465"/>
    <mergeCell ref="L1457:L1458"/>
    <mergeCell ref="H1457:H1458"/>
    <mergeCell ref="I1457:I1458"/>
    <mergeCell ref="A1464:A1465"/>
    <mergeCell ref="B1463:G1463"/>
    <mergeCell ref="J1459:J1460"/>
    <mergeCell ref="K1459:K1460"/>
    <mergeCell ref="A1459:A1460"/>
    <mergeCell ref="B1459:G1460"/>
    <mergeCell ref="M1473:P1474"/>
    <mergeCell ref="M1471:P1472"/>
    <mergeCell ref="L1471:L1472"/>
    <mergeCell ref="L1473:L1474"/>
    <mergeCell ref="I1459:I1460"/>
    <mergeCell ref="H1464:H1465"/>
    <mergeCell ref="I1464:I1465"/>
    <mergeCell ref="J1464:J1465"/>
    <mergeCell ref="L1464:L1465"/>
    <mergeCell ref="L1459:L1460"/>
    <mergeCell ref="M1449:P1449"/>
    <mergeCell ref="M1463:P1463"/>
    <mergeCell ref="M1464:P1465"/>
    <mergeCell ref="M1470:P1470"/>
    <mergeCell ref="L1466:L1467"/>
    <mergeCell ref="M1466:P1467"/>
    <mergeCell ref="M1459:P1460"/>
    <mergeCell ref="M1484:P1484"/>
    <mergeCell ref="A1491:P1491"/>
    <mergeCell ref="P1488:Q1488"/>
    <mergeCell ref="D1486:G1486"/>
    <mergeCell ref="K1508:K1509"/>
    <mergeCell ref="J1510:J1511"/>
    <mergeCell ref="J1508:J1509"/>
    <mergeCell ref="M1507:P1507"/>
    <mergeCell ref="A1501:A1502"/>
    <mergeCell ref="B1501:G1502"/>
    <mergeCell ref="B1464:G1465"/>
    <mergeCell ref="B1474:G1474"/>
    <mergeCell ref="K1473:K1474"/>
    <mergeCell ref="I1473:I1474"/>
    <mergeCell ref="B1473:G1473"/>
    <mergeCell ref="B1472:G1472"/>
    <mergeCell ref="I1471:I1472"/>
    <mergeCell ref="J1473:J1474"/>
    <mergeCell ref="K1466:K1467"/>
    <mergeCell ref="A1466:A1467"/>
    <mergeCell ref="B1466:G1467"/>
    <mergeCell ref="H1466:H1467"/>
    <mergeCell ref="I1466:I1467"/>
    <mergeCell ref="K1471:K1472"/>
    <mergeCell ref="M1486:N1486"/>
    <mergeCell ref="J1486:L1486"/>
    <mergeCell ref="J1471:J1472"/>
    <mergeCell ref="K1483:P1483"/>
    <mergeCell ref="B1470:G1470"/>
    <mergeCell ref="B1500:G1500"/>
    <mergeCell ref="G1490:I1490"/>
    <mergeCell ref="A1471:A1472"/>
    <mergeCell ref="B1471:G1471"/>
    <mergeCell ref="H1471:H1472"/>
    <mergeCell ref="H1473:H1474"/>
    <mergeCell ref="A1473:A1474"/>
    <mergeCell ref="G1477:H1477"/>
    <mergeCell ref="A1450:A1451"/>
    <mergeCell ref="B1450:G1451"/>
    <mergeCell ref="H1450:H1451"/>
    <mergeCell ref="M1443:P1444"/>
    <mergeCell ref="M1450:P1451"/>
    <mergeCell ref="L1445:L1446"/>
    <mergeCell ref="M1445:P1446"/>
    <mergeCell ref="A1445:A1446"/>
    <mergeCell ref="B1445:G1446"/>
    <mergeCell ref="H1445:H1446"/>
    <mergeCell ref="M1456:P1456"/>
    <mergeCell ref="J1457:J1458"/>
    <mergeCell ref="K1457:K1458"/>
    <mergeCell ref="M1452:P1453"/>
    <mergeCell ref="M1457:P1458"/>
    <mergeCell ref="J1450:J1451"/>
    <mergeCell ref="K1450:K1451"/>
    <mergeCell ref="F1430:I1430"/>
    <mergeCell ref="F1431:I1431"/>
    <mergeCell ref="D1435:G1435"/>
    <mergeCell ref="L1450:L1451"/>
    <mergeCell ref="J1452:J1453"/>
    <mergeCell ref="K1452:K1453"/>
    <mergeCell ref="L1452:L1453"/>
    <mergeCell ref="I1445:I1446"/>
    <mergeCell ref="I1450:I1451"/>
    <mergeCell ref="B1449:G1449"/>
    <mergeCell ref="H1459:H1460"/>
    <mergeCell ref="A1452:A1453"/>
    <mergeCell ref="B1452:G1453"/>
    <mergeCell ref="H1452:H1453"/>
    <mergeCell ref="I1452:I1453"/>
    <mergeCell ref="A1457:A1458"/>
    <mergeCell ref="B1457:G1458"/>
    <mergeCell ref="B1456:G1456"/>
    <mergeCell ref="A1415:A1416"/>
    <mergeCell ref="B1415:G1416"/>
    <mergeCell ref="H1415:H1416"/>
    <mergeCell ref="I1415:I1416"/>
    <mergeCell ref="J1408:J1409"/>
    <mergeCell ref="A1413:A1414"/>
    <mergeCell ref="B1413:G1414"/>
    <mergeCell ref="H1413:H1414"/>
    <mergeCell ref="I1413:I1414"/>
    <mergeCell ref="J1415:J1416"/>
    <mergeCell ref="K1415:K1416"/>
    <mergeCell ref="M1415:P1416"/>
    <mergeCell ref="L1415:L1416"/>
    <mergeCell ref="J1445:J1446"/>
    <mergeCell ref="K1445:K1446"/>
    <mergeCell ref="P1437:Q1437"/>
    <mergeCell ref="M1433:P1433"/>
    <mergeCell ref="B1419:G1419"/>
    <mergeCell ref="M1419:P1419"/>
    <mergeCell ref="L1420:L1421"/>
    <mergeCell ref="M1420:P1421"/>
    <mergeCell ref="M1422:P1423"/>
    <mergeCell ref="A1420:A1421"/>
    <mergeCell ref="B1420:G1420"/>
    <mergeCell ref="H1420:H1421"/>
    <mergeCell ref="I1420:I1421"/>
    <mergeCell ref="J1420:J1421"/>
    <mergeCell ref="K1420:K1421"/>
    <mergeCell ref="A1422:A1423"/>
    <mergeCell ref="K1422:K1423"/>
    <mergeCell ref="B1421:G1421"/>
    <mergeCell ref="F1425:K1425"/>
    <mergeCell ref="G1426:H1426"/>
    <mergeCell ref="I1426:J1426"/>
    <mergeCell ref="B1422:G1422"/>
    <mergeCell ref="H1422:H1423"/>
    <mergeCell ref="I1422:I1423"/>
    <mergeCell ref="J1422:J1423"/>
    <mergeCell ref="B1423:G1423"/>
    <mergeCell ref="G1427:H1427"/>
    <mergeCell ref="I1427:J1427"/>
    <mergeCell ref="L1443:L1444"/>
    <mergeCell ref="J1443:J1444"/>
    <mergeCell ref="K1443:K1444"/>
    <mergeCell ref="J1435:L1435"/>
    <mergeCell ref="G1439:I1439"/>
    <mergeCell ref="K1432:P1432"/>
    <mergeCell ref="L1422:L1423"/>
    <mergeCell ref="M1435:N1435"/>
    <mergeCell ref="A1443:A1444"/>
    <mergeCell ref="B1443:G1444"/>
    <mergeCell ref="H1443:H1444"/>
    <mergeCell ref="I1443:I1444"/>
    <mergeCell ref="A1438:F1438"/>
    <mergeCell ref="J1438:O1438"/>
    <mergeCell ref="B1442:G1442"/>
    <mergeCell ref="M1442:P1442"/>
    <mergeCell ref="G1438:I1438"/>
    <mergeCell ref="A1440:P1440"/>
    <mergeCell ref="I1392:I1393"/>
    <mergeCell ref="J1392:J1393"/>
    <mergeCell ref="B1394:G1395"/>
    <mergeCell ref="H1394:H1395"/>
    <mergeCell ref="I1394:I1395"/>
    <mergeCell ref="J1394:J1395"/>
    <mergeCell ref="M1392:P1393"/>
    <mergeCell ref="K1392:K1393"/>
    <mergeCell ref="M1394:P1395"/>
    <mergeCell ref="A1401:A1402"/>
    <mergeCell ref="B1401:G1402"/>
    <mergeCell ref="H1401:H1402"/>
    <mergeCell ref="I1401:I1402"/>
    <mergeCell ref="A1399:A1400"/>
    <mergeCell ref="B1399:G1400"/>
    <mergeCell ref="H1399:H1400"/>
    <mergeCell ref="I1399:I1400"/>
    <mergeCell ref="K1408:K1409"/>
    <mergeCell ref="L1408:L1409"/>
    <mergeCell ref="L1401:L1402"/>
    <mergeCell ref="M1401:P1402"/>
    <mergeCell ref="K1401:K1402"/>
    <mergeCell ref="J1401:J1402"/>
    <mergeCell ref="J1413:J1414"/>
    <mergeCell ref="B1412:G1412"/>
    <mergeCell ref="M1406:P1407"/>
    <mergeCell ref="K1406:K1407"/>
    <mergeCell ref="L1406:L1407"/>
    <mergeCell ref="L1399:L1400"/>
    <mergeCell ref="M1399:P1400"/>
    <mergeCell ref="J1399:J1400"/>
    <mergeCell ref="K1399:K1400"/>
    <mergeCell ref="M1408:P1409"/>
    <mergeCell ref="A1408:A1409"/>
    <mergeCell ref="B1408:G1409"/>
    <mergeCell ref="H1408:H1409"/>
    <mergeCell ref="I1408:I1409"/>
    <mergeCell ref="A1406:A1407"/>
    <mergeCell ref="B1406:G1407"/>
    <mergeCell ref="H1406:H1407"/>
    <mergeCell ref="I1406:I1407"/>
    <mergeCell ref="A1357:A1358"/>
    <mergeCell ref="B1357:G1358"/>
    <mergeCell ref="L1362:L1363"/>
    <mergeCell ref="M1362:P1363"/>
    <mergeCell ref="K1362:K1363"/>
    <mergeCell ref="J1362:J1363"/>
    <mergeCell ref="J1357:J1358"/>
    <mergeCell ref="K1357:K1358"/>
    <mergeCell ref="L1357:L1358"/>
    <mergeCell ref="M1357:P1358"/>
    <mergeCell ref="M1361:P1361"/>
    <mergeCell ref="M1369:P1370"/>
    <mergeCell ref="K1364:K1365"/>
    <mergeCell ref="L1364:L1365"/>
    <mergeCell ref="M1364:P1365"/>
    <mergeCell ref="J1364:J1365"/>
    <mergeCell ref="J1369:J1370"/>
    <mergeCell ref="K1369:K1370"/>
    <mergeCell ref="L1369:L1370"/>
    <mergeCell ref="M1368:P1368"/>
    <mergeCell ref="B1364:G1365"/>
    <mergeCell ref="H1364:H1365"/>
    <mergeCell ref="B1370:G1370"/>
    <mergeCell ref="B1368:G1368"/>
    <mergeCell ref="I1369:I1370"/>
    <mergeCell ref="I1364:I1365"/>
    <mergeCell ref="G1376:H1376"/>
    <mergeCell ref="P1386:Q1386"/>
    <mergeCell ref="D1384:G1384"/>
    <mergeCell ref="M1412:P1412"/>
    <mergeCell ref="M1413:P1414"/>
    <mergeCell ref="K1413:K1414"/>
    <mergeCell ref="L1413:L1414"/>
    <mergeCell ref="B1405:G1405"/>
    <mergeCell ref="M1405:P1405"/>
    <mergeCell ref="J1406:J1407"/>
    <mergeCell ref="L1371:L1372"/>
    <mergeCell ref="M1371:P1372"/>
    <mergeCell ref="K1371:K1372"/>
    <mergeCell ref="A1387:F1387"/>
    <mergeCell ref="J1387:O1387"/>
    <mergeCell ref="M1384:N1384"/>
    <mergeCell ref="J1384:L1384"/>
    <mergeCell ref="M1382:P1382"/>
    <mergeCell ref="G1375:H1375"/>
    <mergeCell ref="I1375:J1375"/>
    <mergeCell ref="A1392:A1393"/>
    <mergeCell ref="B1372:G1372"/>
    <mergeCell ref="I1376:J1376"/>
    <mergeCell ref="B1391:G1391"/>
    <mergeCell ref="M1391:P1391"/>
    <mergeCell ref="A1389:P1389"/>
    <mergeCell ref="G1387:I1387"/>
    <mergeCell ref="G1388:I1388"/>
    <mergeCell ref="I1371:I1372"/>
    <mergeCell ref="F1374:K1374"/>
    <mergeCell ref="B1398:G1398"/>
    <mergeCell ref="M1398:P1398"/>
    <mergeCell ref="L1392:L1393"/>
    <mergeCell ref="A1394:A1395"/>
    <mergeCell ref="K1394:K1395"/>
    <mergeCell ref="L1394:L1395"/>
    <mergeCell ref="B1392:G1393"/>
    <mergeCell ref="H1392:H1393"/>
    <mergeCell ref="B1313:G1314"/>
    <mergeCell ref="P1335:Q1335"/>
    <mergeCell ref="I1274:J1274"/>
    <mergeCell ref="M1306:P1307"/>
    <mergeCell ref="M1310:P1310"/>
    <mergeCell ref="M1304:P1305"/>
    <mergeCell ref="I1306:I1307"/>
    <mergeCell ref="M1354:P1354"/>
    <mergeCell ref="M1350:P1351"/>
    <mergeCell ref="A1369:A1370"/>
    <mergeCell ref="B1369:G1369"/>
    <mergeCell ref="H1369:H1370"/>
    <mergeCell ref="J1371:J1372"/>
    <mergeCell ref="A1371:A1372"/>
    <mergeCell ref="B1371:G1371"/>
    <mergeCell ref="H1371:H1372"/>
    <mergeCell ref="A1364:A1365"/>
    <mergeCell ref="AD1346:AF1347"/>
    <mergeCell ref="L1343:L1344"/>
    <mergeCell ref="M1343:P1344"/>
    <mergeCell ref="R1346:R1347"/>
    <mergeCell ref="S1346:X1347"/>
    <mergeCell ref="Y1346:Y1347"/>
    <mergeCell ref="AB1346:AB1347"/>
    <mergeCell ref="Z1346:Z1347"/>
    <mergeCell ref="M1347:P1347"/>
    <mergeCell ref="AA1346:AA1347"/>
    <mergeCell ref="B1348:G1349"/>
    <mergeCell ref="I1355:I1356"/>
    <mergeCell ref="R1348:R1349"/>
    <mergeCell ref="B1347:G1347"/>
    <mergeCell ref="M1348:P1349"/>
    <mergeCell ref="I1348:I1349"/>
    <mergeCell ref="J1348:J1349"/>
    <mergeCell ref="K1348:K1349"/>
    <mergeCell ref="L1348:L1349"/>
    <mergeCell ref="I1350:I1351"/>
    <mergeCell ref="H1348:H1349"/>
    <mergeCell ref="B1354:G1354"/>
    <mergeCell ref="A1355:A1356"/>
    <mergeCell ref="B1355:G1356"/>
    <mergeCell ref="K1350:K1351"/>
    <mergeCell ref="A1343:A1344"/>
    <mergeCell ref="B1343:G1344"/>
    <mergeCell ref="H1343:H1344"/>
    <mergeCell ref="I1343:I1344"/>
    <mergeCell ref="A1348:A1349"/>
    <mergeCell ref="L1350:L1351"/>
    <mergeCell ref="A1350:A1351"/>
    <mergeCell ref="B1350:G1351"/>
    <mergeCell ref="H1350:H1351"/>
    <mergeCell ref="L1355:L1356"/>
    <mergeCell ref="M1355:P1356"/>
    <mergeCell ref="J1355:J1356"/>
    <mergeCell ref="K1355:K1356"/>
    <mergeCell ref="H1355:H1356"/>
    <mergeCell ref="J1350:J1351"/>
    <mergeCell ref="A1362:A1363"/>
    <mergeCell ref="B1362:G1363"/>
    <mergeCell ref="H1362:H1363"/>
    <mergeCell ref="I1362:I1363"/>
    <mergeCell ref="H1357:H1358"/>
    <mergeCell ref="I1357:I1358"/>
    <mergeCell ref="B1361:G1361"/>
    <mergeCell ref="A1299:A1300"/>
    <mergeCell ref="B1299:G1300"/>
    <mergeCell ref="H1299:H1300"/>
    <mergeCell ref="I1299:I1300"/>
    <mergeCell ref="K1297:K1298"/>
    <mergeCell ref="L1297:L1298"/>
    <mergeCell ref="B1306:G1307"/>
    <mergeCell ref="B1268:G1268"/>
    <mergeCell ref="M1320:P1321"/>
    <mergeCell ref="M1340:P1340"/>
    <mergeCell ref="J1336:O1336"/>
    <mergeCell ref="L1341:L1342"/>
    <mergeCell ref="L1320:L1321"/>
    <mergeCell ref="J1313:J1314"/>
    <mergeCell ref="K1313:K1314"/>
    <mergeCell ref="J1333:L1333"/>
    <mergeCell ref="M1311:P1312"/>
    <mergeCell ref="M1317:P1317"/>
    <mergeCell ref="M1333:N1333"/>
    <mergeCell ref="M1331:P1331"/>
    <mergeCell ref="L1318:L1319"/>
    <mergeCell ref="M1318:P1319"/>
    <mergeCell ref="L1311:L1312"/>
    <mergeCell ref="M1313:P1314"/>
    <mergeCell ref="L1313:L1314"/>
    <mergeCell ref="A1311:A1312"/>
    <mergeCell ref="B1311:G1312"/>
    <mergeCell ref="H1311:H1312"/>
    <mergeCell ref="I1311:I1312"/>
    <mergeCell ref="B1317:G1317"/>
    <mergeCell ref="I1324:J1324"/>
    <mergeCell ref="A1320:A1321"/>
    <mergeCell ref="K1320:K1321"/>
    <mergeCell ref="B1319:G1319"/>
    <mergeCell ref="A1318:A1319"/>
    <mergeCell ref="B1318:G1318"/>
    <mergeCell ref="H1318:H1319"/>
    <mergeCell ref="I1318:I1319"/>
    <mergeCell ref="J1318:J1319"/>
    <mergeCell ref="K1318:K1319"/>
    <mergeCell ref="M1341:P1342"/>
    <mergeCell ref="G1325:H1325"/>
    <mergeCell ref="I1325:J1325"/>
    <mergeCell ref="B1320:G1320"/>
    <mergeCell ref="H1320:H1321"/>
    <mergeCell ref="I1320:I1321"/>
    <mergeCell ref="J1320:J1321"/>
    <mergeCell ref="B1321:G1321"/>
    <mergeCell ref="F1323:K1323"/>
    <mergeCell ref="G1324:H1324"/>
    <mergeCell ref="H1313:H1314"/>
    <mergeCell ref="I1313:I1314"/>
    <mergeCell ref="G1336:I1336"/>
    <mergeCell ref="B1341:G1342"/>
    <mergeCell ref="H1341:H1342"/>
    <mergeCell ref="A1336:F1336"/>
    <mergeCell ref="G1337:I1337"/>
    <mergeCell ref="A1338:P1338"/>
    <mergeCell ref="A1341:A1342"/>
    <mergeCell ref="I1341:I1342"/>
    <mergeCell ref="B1340:G1340"/>
    <mergeCell ref="J1311:J1312"/>
    <mergeCell ref="K1311:K1312"/>
    <mergeCell ref="A1313:A1314"/>
    <mergeCell ref="B1310:G1310"/>
    <mergeCell ref="H1306:H1307"/>
    <mergeCell ref="A1304:A1305"/>
    <mergeCell ref="B1304:G1305"/>
    <mergeCell ref="H1304:H1305"/>
    <mergeCell ref="J1306:J1307"/>
    <mergeCell ref="J1304:J1305"/>
    <mergeCell ref="M1303:P1303"/>
    <mergeCell ref="A1306:A1307"/>
    <mergeCell ref="P1284:Q1284"/>
    <mergeCell ref="K1279:P1279"/>
    <mergeCell ref="M1282:N1282"/>
    <mergeCell ref="M1280:P1280"/>
    <mergeCell ref="M1290:P1291"/>
    <mergeCell ref="M1299:P1300"/>
    <mergeCell ref="B1303:G1303"/>
    <mergeCell ref="A1285:F1285"/>
    <mergeCell ref="J1285:O1285"/>
    <mergeCell ref="B1289:G1289"/>
    <mergeCell ref="M1289:P1289"/>
    <mergeCell ref="G1285:I1285"/>
    <mergeCell ref="A1287:P1287"/>
    <mergeCell ref="G1286:I1286"/>
    <mergeCell ref="D1282:G1282"/>
    <mergeCell ref="K1255:K1256"/>
    <mergeCell ref="L1248:L1249"/>
    <mergeCell ref="L1255:L1256"/>
    <mergeCell ref="M1255:P1256"/>
    <mergeCell ref="J1248:J1249"/>
    <mergeCell ref="K1248:K1249"/>
    <mergeCell ref="M1253:P1254"/>
    <mergeCell ref="M1245:P1245"/>
    <mergeCell ref="B1245:G1245"/>
    <mergeCell ref="K1306:K1307"/>
    <mergeCell ref="L1306:L1307"/>
    <mergeCell ref="K1304:K1305"/>
    <mergeCell ref="M1296:P1296"/>
    <mergeCell ref="K1290:K1291"/>
    <mergeCell ref="L1292:L1293"/>
    <mergeCell ref="M1292:P1293"/>
    <mergeCell ref="J1299:J1300"/>
    <mergeCell ref="K1299:K1300"/>
    <mergeCell ref="L1299:L1300"/>
    <mergeCell ref="J1297:J1298"/>
    <mergeCell ref="M1297:P1298"/>
    <mergeCell ref="A1297:A1298"/>
    <mergeCell ref="B1297:G1298"/>
    <mergeCell ref="B1290:G1291"/>
    <mergeCell ref="H1290:H1291"/>
    <mergeCell ref="I1290:I1291"/>
    <mergeCell ref="J1292:J1293"/>
    <mergeCell ref="L1290:L1291"/>
    <mergeCell ref="B1292:G1293"/>
    <mergeCell ref="K1292:K1293"/>
    <mergeCell ref="A1290:A1291"/>
    <mergeCell ref="B1296:G1296"/>
    <mergeCell ref="J1290:J1291"/>
    <mergeCell ref="H1292:H1293"/>
    <mergeCell ref="I1292:I1293"/>
    <mergeCell ref="A1292:A1293"/>
    <mergeCell ref="I1304:I1305"/>
    <mergeCell ref="L1304:L1305"/>
    <mergeCell ref="H1297:H1298"/>
    <mergeCell ref="I1297:I1298"/>
    <mergeCell ref="K1262:K1263"/>
    <mergeCell ref="L1262:L1263"/>
    <mergeCell ref="M1259:P1259"/>
    <mergeCell ref="B1266:G1266"/>
    <mergeCell ref="B1260:G1261"/>
    <mergeCell ref="I1262:I1263"/>
    <mergeCell ref="A1262:A1263"/>
    <mergeCell ref="B1262:G1263"/>
    <mergeCell ref="H1262:H1263"/>
    <mergeCell ref="J1282:L1282"/>
    <mergeCell ref="L1269:L1270"/>
    <mergeCell ref="M1262:P1263"/>
    <mergeCell ref="K1269:K1270"/>
    <mergeCell ref="I1269:I1270"/>
    <mergeCell ref="L1267:L1268"/>
    <mergeCell ref="I1260:I1261"/>
    <mergeCell ref="J1260:J1261"/>
    <mergeCell ref="L1260:L1261"/>
    <mergeCell ref="B1259:G1259"/>
    <mergeCell ref="M1269:P1270"/>
    <mergeCell ref="M1267:P1268"/>
    <mergeCell ref="K1267:K1268"/>
    <mergeCell ref="K1260:K1261"/>
    <mergeCell ref="J1262:J1263"/>
    <mergeCell ref="M1266:P1266"/>
    <mergeCell ref="J1267:J1268"/>
    <mergeCell ref="A1267:A1268"/>
    <mergeCell ref="B1267:G1267"/>
    <mergeCell ref="H1267:H1268"/>
    <mergeCell ref="H1269:H1270"/>
    <mergeCell ref="A1269:A1270"/>
    <mergeCell ref="J1269:J1270"/>
    <mergeCell ref="I1267:I1268"/>
    <mergeCell ref="B1270:G1270"/>
    <mergeCell ref="B1269:G1269"/>
    <mergeCell ref="G1274:H1274"/>
    <mergeCell ref="J1231:L1231"/>
    <mergeCell ref="G1235:I1235"/>
    <mergeCell ref="G1223:H1223"/>
    <mergeCell ref="I1223:J1223"/>
    <mergeCell ref="I1239:I1240"/>
    <mergeCell ref="F1221:K1221"/>
    <mergeCell ref="G1222:H1222"/>
    <mergeCell ref="I1222:J1222"/>
    <mergeCell ref="A1236:P1236"/>
    <mergeCell ref="M1239:P1240"/>
    <mergeCell ref="A1234:F1234"/>
    <mergeCell ref="A1241:A1242"/>
    <mergeCell ref="J1234:O1234"/>
    <mergeCell ref="G1234:I1234"/>
    <mergeCell ref="A1239:A1240"/>
    <mergeCell ref="M1241:P1242"/>
    <mergeCell ref="M1238:P1238"/>
    <mergeCell ref="B1238:G1238"/>
    <mergeCell ref="B1239:G1240"/>
    <mergeCell ref="H1239:H1240"/>
    <mergeCell ref="B1246:G1247"/>
    <mergeCell ref="H1246:H1247"/>
    <mergeCell ref="I1246:I1247"/>
    <mergeCell ref="M1252:P1252"/>
    <mergeCell ref="M1248:P1249"/>
    <mergeCell ref="A1248:A1249"/>
    <mergeCell ref="B1248:G1249"/>
    <mergeCell ref="H1248:H1249"/>
    <mergeCell ref="I1248:I1249"/>
    <mergeCell ref="J1246:J1247"/>
    <mergeCell ref="A1260:A1261"/>
    <mergeCell ref="H1260:H1261"/>
    <mergeCell ref="A1253:A1254"/>
    <mergeCell ref="B1253:G1254"/>
    <mergeCell ref="B1252:G1252"/>
    <mergeCell ref="L1253:L1254"/>
    <mergeCell ref="H1253:H1254"/>
    <mergeCell ref="I1253:I1254"/>
    <mergeCell ref="J1253:J1254"/>
    <mergeCell ref="K1253:K1254"/>
    <mergeCell ref="M1231:N1231"/>
    <mergeCell ref="M1229:P1229"/>
    <mergeCell ref="K1241:K1242"/>
    <mergeCell ref="J1255:J1256"/>
    <mergeCell ref="A1255:A1256"/>
    <mergeCell ref="B1255:G1256"/>
    <mergeCell ref="H1255:H1256"/>
    <mergeCell ref="I1255:I1256"/>
    <mergeCell ref="A1246:A1247"/>
    <mergeCell ref="M1246:P1247"/>
    <mergeCell ref="B1241:G1242"/>
    <mergeCell ref="L1241:L1242"/>
    <mergeCell ref="L1239:L1240"/>
    <mergeCell ref="J1239:J1240"/>
    <mergeCell ref="K1239:K1240"/>
    <mergeCell ref="K1246:K1247"/>
    <mergeCell ref="I1241:I1242"/>
    <mergeCell ref="J1241:J1242"/>
    <mergeCell ref="L1246:L1247"/>
    <mergeCell ref="H1241:H1242"/>
    <mergeCell ref="M1260:P1261"/>
    <mergeCell ref="M1208:P1208"/>
    <mergeCell ref="M1209:P1210"/>
    <mergeCell ref="A1204:A1205"/>
    <mergeCell ref="B1204:G1205"/>
    <mergeCell ref="H1204:H1205"/>
    <mergeCell ref="I1204:I1205"/>
    <mergeCell ref="M1204:P1205"/>
    <mergeCell ref="K1204:K1205"/>
    <mergeCell ref="L1204:L1205"/>
    <mergeCell ref="K1209:K1210"/>
    <mergeCell ref="A1202:A1203"/>
    <mergeCell ref="B1202:G1203"/>
    <mergeCell ref="L1197:L1198"/>
    <mergeCell ref="M1197:P1198"/>
    <mergeCell ref="M1202:P1203"/>
    <mergeCell ref="K1197:K1198"/>
    <mergeCell ref="K1202:K1203"/>
    <mergeCell ref="L1202:L1203"/>
    <mergeCell ref="M1201:P1201"/>
    <mergeCell ref="J1202:J1203"/>
    <mergeCell ref="H1211:H1212"/>
    <mergeCell ref="I1211:I1212"/>
    <mergeCell ref="L1209:L1210"/>
    <mergeCell ref="L1218:L1219"/>
    <mergeCell ref="J1211:J1212"/>
    <mergeCell ref="K1211:K1212"/>
    <mergeCell ref="K1218:K1219"/>
    <mergeCell ref="K1216:K1217"/>
    <mergeCell ref="A1209:A1210"/>
    <mergeCell ref="B1209:G1210"/>
    <mergeCell ref="H1209:H1210"/>
    <mergeCell ref="I1209:I1210"/>
    <mergeCell ref="J1209:J1210"/>
    <mergeCell ref="B1208:G1208"/>
    <mergeCell ref="H1197:H1198"/>
    <mergeCell ref="J1204:J1205"/>
    <mergeCell ref="I1197:I1198"/>
    <mergeCell ref="B1217:G1217"/>
    <mergeCell ref="M1211:P1212"/>
    <mergeCell ref="L1211:L1212"/>
    <mergeCell ref="B1215:G1215"/>
    <mergeCell ref="M1215:P1215"/>
    <mergeCell ref="L1216:L1217"/>
    <mergeCell ref="M1216:P1217"/>
    <mergeCell ref="A1211:A1212"/>
    <mergeCell ref="B1211:G1212"/>
    <mergeCell ref="B1218:G1218"/>
    <mergeCell ref="H1218:H1219"/>
    <mergeCell ref="I1218:I1219"/>
    <mergeCell ref="J1218:J1219"/>
    <mergeCell ref="B1219:G1219"/>
    <mergeCell ref="A1216:A1217"/>
    <mergeCell ref="B1216:G1216"/>
    <mergeCell ref="H1216:H1217"/>
    <mergeCell ref="I1216:I1217"/>
    <mergeCell ref="J1216:J1217"/>
    <mergeCell ref="M1218:P1219"/>
    <mergeCell ref="A1218:A1219"/>
    <mergeCell ref="I1172:J1172"/>
    <mergeCell ref="K1177:P1177"/>
    <mergeCell ref="A1183:F1183"/>
    <mergeCell ref="L1167:L1168"/>
    <mergeCell ref="M1167:P1168"/>
    <mergeCell ref="I1171:J1171"/>
    <mergeCell ref="B1187:G1187"/>
    <mergeCell ref="M1187:P1187"/>
    <mergeCell ref="A1185:P1185"/>
    <mergeCell ref="R1189:W1189"/>
    <mergeCell ref="B1190:G1191"/>
    <mergeCell ref="H1190:H1191"/>
    <mergeCell ref="I1190:I1191"/>
    <mergeCell ref="J1190:J1191"/>
    <mergeCell ref="M1188:P1189"/>
    <mergeCell ref="K1190:K1191"/>
    <mergeCell ref="L1190:L1191"/>
    <mergeCell ref="I1188:I1189"/>
    <mergeCell ref="J1188:J1189"/>
    <mergeCell ref="J1197:J1198"/>
    <mergeCell ref="H1202:H1203"/>
    <mergeCell ref="A1195:A1196"/>
    <mergeCell ref="B1195:G1196"/>
    <mergeCell ref="H1195:H1196"/>
    <mergeCell ref="I1195:I1196"/>
    <mergeCell ref="A1197:A1198"/>
    <mergeCell ref="B1197:G1198"/>
    <mergeCell ref="B1201:G1201"/>
    <mergeCell ref="I1202:I1203"/>
    <mergeCell ref="L1195:L1196"/>
    <mergeCell ref="M1195:P1196"/>
    <mergeCell ref="J1195:J1196"/>
    <mergeCell ref="K1195:K1196"/>
    <mergeCell ref="A1190:A1191"/>
    <mergeCell ref="S1193:X1194"/>
    <mergeCell ref="M1190:P1191"/>
    <mergeCell ref="R1193:R1194"/>
    <mergeCell ref="A1151:A1152"/>
    <mergeCell ref="B1151:G1152"/>
    <mergeCell ref="B1165:G1165"/>
    <mergeCell ref="A1165:A1166"/>
    <mergeCell ref="B1194:G1194"/>
    <mergeCell ref="M1194:P1194"/>
    <mergeCell ref="K1167:K1168"/>
    <mergeCell ref="A1188:A1189"/>
    <mergeCell ref="I1167:I1168"/>
    <mergeCell ref="K1188:K1189"/>
    <mergeCell ref="A1158:A1159"/>
    <mergeCell ref="B1157:G1157"/>
    <mergeCell ref="J1153:J1154"/>
    <mergeCell ref="K1153:K1154"/>
    <mergeCell ref="A1153:A1154"/>
    <mergeCell ref="B1153:G1154"/>
    <mergeCell ref="H1153:H1154"/>
    <mergeCell ref="I1153:I1154"/>
    <mergeCell ref="L1153:L1154"/>
    <mergeCell ref="M1153:P1154"/>
    <mergeCell ref="L1151:L1152"/>
    <mergeCell ref="M1151:P1152"/>
    <mergeCell ref="J1151:J1152"/>
    <mergeCell ref="K1151:K1152"/>
    <mergeCell ref="H1151:H1152"/>
    <mergeCell ref="I1151:I1152"/>
    <mergeCell ref="M1157:P1157"/>
    <mergeCell ref="B1158:G1159"/>
    <mergeCell ref="H1158:H1159"/>
    <mergeCell ref="I1158:I1159"/>
    <mergeCell ref="J1158:J1159"/>
    <mergeCell ref="L1158:L1159"/>
    <mergeCell ref="M1158:P1159"/>
    <mergeCell ref="K1158:K1159"/>
    <mergeCell ref="L1165:L1166"/>
    <mergeCell ref="L1160:L1161"/>
    <mergeCell ref="M1160:P1161"/>
    <mergeCell ref="J1160:J1161"/>
    <mergeCell ref="K1160:K1161"/>
    <mergeCell ref="M1164:P1164"/>
    <mergeCell ref="M1165:P1166"/>
    <mergeCell ref="K1165:K1166"/>
    <mergeCell ref="J1165:J1166"/>
    <mergeCell ref="H1165:H1166"/>
    <mergeCell ref="I1165:I1166"/>
    <mergeCell ref="A1160:A1161"/>
    <mergeCell ref="B1160:G1161"/>
    <mergeCell ref="H1160:H1161"/>
    <mergeCell ref="B1166:G1166"/>
    <mergeCell ref="I1160:I1161"/>
    <mergeCell ref="B1164:G1164"/>
    <mergeCell ref="J1167:J1168"/>
    <mergeCell ref="M1178:P1178"/>
    <mergeCell ref="F1170:K1170"/>
    <mergeCell ref="G1171:H1171"/>
    <mergeCell ref="F1176:I1176"/>
    <mergeCell ref="J1180:L1180"/>
    <mergeCell ref="G1183:I1183"/>
    <mergeCell ref="G1184:I1184"/>
    <mergeCell ref="J1183:O1183"/>
    <mergeCell ref="M1180:N1180"/>
    <mergeCell ref="B1188:G1189"/>
    <mergeCell ref="H1188:H1189"/>
    <mergeCell ref="L1188:L1189"/>
    <mergeCell ref="H1107:H1108"/>
    <mergeCell ref="I1107:I1108"/>
    <mergeCell ref="M1113:P1113"/>
    <mergeCell ref="M1107:P1108"/>
    <mergeCell ref="M1109:P1110"/>
    <mergeCell ref="K1107:K1108"/>
    <mergeCell ref="L1107:L1108"/>
    <mergeCell ref="L1109:L1110"/>
    <mergeCell ref="J1137:J1138"/>
    <mergeCell ref="K1137:K1138"/>
    <mergeCell ref="M1137:P1138"/>
    <mergeCell ref="B1136:G1136"/>
    <mergeCell ref="I1144:I1145"/>
    <mergeCell ref="B1150:G1150"/>
    <mergeCell ref="H1144:H1145"/>
    <mergeCell ref="AB1142:AB1143"/>
    <mergeCell ref="Z1142:Z1143"/>
    <mergeCell ref="M1143:P1143"/>
    <mergeCell ref="AA1142:AA1143"/>
    <mergeCell ref="M1136:P1136"/>
    <mergeCell ref="A1137:A1138"/>
    <mergeCell ref="B1137:G1138"/>
    <mergeCell ref="H1137:H1138"/>
    <mergeCell ref="I1137:I1138"/>
    <mergeCell ref="L1137:L1138"/>
    <mergeCell ref="B1144:G1145"/>
    <mergeCell ref="J1144:J1145"/>
    <mergeCell ref="K1144:K1145"/>
    <mergeCell ref="L1144:L1145"/>
    <mergeCell ref="AD1142:AF1143"/>
    <mergeCell ref="L1139:L1140"/>
    <mergeCell ref="M1139:P1140"/>
    <mergeCell ref="R1142:R1143"/>
    <mergeCell ref="S1142:X1143"/>
    <mergeCell ref="Y1142:Y1143"/>
    <mergeCell ref="M1150:P1150"/>
    <mergeCell ref="J1146:J1147"/>
    <mergeCell ref="K1146:K1147"/>
    <mergeCell ref="L1146:L1147"/>
    <mergeCell ref="M1146:P1147"/>
    <mergeCell ref="J1139:J1140"/>
    <mergeCell ref="K1139:K1140"/>
    <mergeCell ref="M1144:P1145"/>
    <mergeCell ref="A1144:A1145"/>
    <mergeCell ref="A1146:A1147"/>
    <mergeCell ref="B1146:G1147"/>
    <mergeCell ref="H1146:H1147"/>
    <mergeCell ref="I1146:I1147"/>
    <mergeCell ref="A1139:A1140"/>
    <mergeCell ref="B1139:G1140"/>
    <mergeCell ref="H1139:H1140"/>
    <mergeCell ref="I1139:I1140"/>
    <mergeCell ref="B1143:G1143"/>
    <mergeCell ref="AC1119:AC1120"/>
    <mergeCell ref="Y1119:Y1120"/>
    <mergeCell ref="AA1119:AA1120"/>
    <mergeCell ref="AA1121:AA1122"/>
    <mergeCell ref="S1121:X1122"/>
    <mergeCell ref="Y1107:Y1108"/>
    <mergeCell ref="Z1121:Z1122"/>
    <mergeCell ref="AB1121:AB1122"/>
    <mergeCell ref="S1118:X1118"/>
    <mergeCell ref="H1114:H1115"/>
    <mergeCell ref="S1141:X1141"/>
    <mergeCell ref="I1114:I1115"/>
    <mergeCell ref="L1114:L1115"/>
    <mergeCell ref="M1114:P1115"/>
    <mergeCell ref="L1116:L1117"/>
    <mergeCell ref="M1116:P1117"/>
    <mergeCell ref="J1114:J1115"/>
    <mergeCell ref="K1114:K1115"/>
    <mergeCell ref="J1107:J1108"/>
    <mergeCell ref="J1086:J1087"/>
    <mergeCell ref="H1088:H1089"/>
    <mergeCell ref="L1086:L1087"/>
    <mergeCell ref="I1088:I1089"/>
    <mergeCell ref="J1088:J1089"/>
    <mergeCell ref="K1088:K1089"/>
    <mergeCell ref="L1088:L1089"/>
    <mergeCell ref="A1086:A1087"/>
    <mergeCell ref="B1092:G1092"/>
    <mergeCell ref="M1092:P1092"/>
    <mergeCell ref="K1086:K1087"/>
    <mergeCell ref="A1088:A1089"/>
    <mergeCell ref="L1093:L1094"/>
    <mergeCell ref="M1093:P1094"/>
    <mergeCell ref="B1086:G1087"/>
    <mergeCell ref="H1086:H1087"/>
    <mergeCell ref="I1086:I1087"/>
    <mergeCell ref="A1095:A1096"/>
    <mergeCell ref="B1095:G1096"/>
    <mergeCell ref="H1095:H1096"/>
    <mergeCell ref="I1095:I1096"/>
    <mergeCell ref="J1093:J1094"/>
    <mergeCell ref="K1093:K1094"/>
    <mergeCell ref="L1100:L1101"/>
    <mergeCell ref="M1100:P1101"/>
    <mergeCell ref="M1102:P1103"/>
    <mergeCell ref="K1102:K1103"/>
    <mergeCell ref="L1102:L1103"/>
    <mergeCell ref="M1099:P1099"/>
    <mergeCell ref="B1099:G1099"/>
    <mergeCell ref="M1106:P1106"/>
    <mergeCell ref="B1106:G1106"/>
    <mergeCell ref="B1117:G1117"/>
    <mergeCell ref="B1113:G1113"/>
    <mergeCell ref="B1107:G1108"/>
    <mergeCell ref="A1114:A1115"/>
    <mergeCell ref="A1116:A1117"/>
    <mergeCell ref="K1116:K1117"/>
    <mergeCell ref="A1107:A1108"/>
    <mergeCell ref="J1100:J1101"/>
    <mergeCell ref="J1109:J1110"/>
    <mergeCell ref="K1109:K1110"/>
    <mergeCell ref="K1100:K1101"/>
    <mergeCell ref="J1102:J1103"/>
    <mergeCell ref="A1100:A1101"/>
    <mergeCell ref="B1100:G1101"/>
    <mergeCell ref="H1100:H1101"/>
    <mergeCell ref="I1100:I1101"/>
    <mergeCell ref="A1109:A1110"/>
    <mergeCell ref="B1109:G1110"/>
    <mergeCell ref="H1109:H1110"/>
    <mergeCell ref="I1109:I1110"/>
    <mergeCell ref="A1102:A1103"/>
    <mergeCell ref="B1102:G1103"/>
    <mergeCell ref="H1102:H1103"/>
    <mergeCell ref="I1102:I1103"/>
    <mergeCell ref="M1065:P1066"/>
    <mergeCell ref="M1063:P1064"/>
    <mergeCell ref="L1065:L1066"/>
    <mergeCell ref="M1055:P1055"/>
    <mergeCell ref="L1063:L1064"/>
    <mergeCell ref="I1051:I1052"/>
    <mergeCell ref="K1051:K1052"/>
    <mergeCell ref="J1051:J1052"/>
    <mergeCell ref="A1056:A1057"/>
    <mergeCell ref="D1078:G1078"/>
    <mergeCell ref="J1095:J1096"/>
    <mergeCell ref="K1095:K1096"/>
    <mergeCell ref="L1095:L1096"/>
    <mergeCell ref="M1095:P1096"/>
    <mergeCell ref="A1093:A1094"/>
    <mergeCell ref="B1093:G1094"/>
    <mergeCell ref="H1093:H1094"/>
    <mergeCell ref="I1093:I1094"/>
    <mergeCell ref="B1056:G1057"/>
    <mergeCell ref="M1056:P1057"/>
    <mergeCell ref="J1056:J1057"/>
    <mergeCell ref="B1058:G1059"/>
    <mergeCell ref="H1058:H1059"/>
    <mergeCell ref="I1058:I1059"/>
    <mergeCell ref="L1056:L1057"/>
    <mergeCell ref="A1058:A1059"/>
    <mergeCell ref="B1055:G1055"/>
    <mergeCell ref="K1065:K1066"/>
    <mergeCell ref="I1065:I1066"/>
    <mergeCell ref="J1063:J1064"/>
    <mergeCell ref="K1056:K1057"/>
    <mergeCell ref="K1063:K1064"/>
    <mergeCell ref="H1056:H1057"/>
    <mergeCell ref="I1056:I1057"/>
    <mergeCell ref="J1058:J1059"/>
    <mergeCell ref="B1088:G1089"/>
    <mergeCell ref="B1065:G1065"/>
    <mergeCell ref="B1064:G1064"/>
    <mergeCell ref="I1063:I1064"/>
    <mergeCell ref="G1070:H1070"/>
    <mergeCell ref="I1070:J1070"/>
    <mergeCell ref="F1068:K1068"/>
    <mergeCell ref="G1069:H1069"/>
    <mergeCell ref="I1069:J1069"/>
    <mergeCell ref="J1065:J1066"/>
    <mergeCell ref="A1063:A1064"/>
    <mergeCell ref="B1063:G1063"/>
    <mergeCell ref="H1063:H1064"/>
    <mergeCell ref="H1065:H1066"/>
    <mergeCell ref="A1065:A1066"/>
    <mergeCell ref="B1066:G1066"/>
    <mergeCell ref="A1081:F1081"/>
    <mergeCell ref="J1081:O1081"/>
    <mergeCell ref="B1085:G1085"/>
    <mergeCell ref="M1085:P1085"/>
    <mergeCell ref="G1081:I1081"/>
    <mergeCell ref="M1078:N1078"/>
    <mergeCell ref="G1082:I1082"/>
    <mergeCell ref="J1078:L1078"/>
    <mergeCell ref="A1083:P1083"/>
    <mergeCell ref="M1088:P1089"/>
    <mergeCell ref="L1051:L1052"/>
    <mergeCell ref="M1051:P1052"/>
    <mergeCell ref="A1051:A1052"/>
    <mergeCell ref="J1030:O1030"/>
    <mergeCell ref="L1035:L1036"/>
    <mergeCell ref="J1035:J1036"/>
    <mergeCell ref="K1035:K1036"/>
    <mergeCell ref="G1031:I1031"/>
    <mergeCell ref="G1030:I1030"/>
    <mergeCell ref="K1042:K1043"/>
    <mergeCell ref="A1042:A1043"/>
    <mergeCell ref="B1042:G1043"/>
    <mergeCell ref="H1042:H1043"/>
    <mergeCell ref="M1035:P1036"/>
    <mergeCell ref="M1042:P1043"/>
    <mergeCell ref="L1037:L1038"/>
    <mergeCell ref="M1037:P1038"/>
    <mergeCell ref="H1037:H1038"/>
    <mergeCell ref="A1035:A1036"/>
    <mergeCell ref="A1037:A1038"/>
    <mergeCell ref="B1037:G1038"/>
    <mergeCell ref="L1044:L1045"/>
    <mergeCell ref="I1037:I1038"/>
    <mergeCell ref="I1042:I1043"/>
    <mergeCell ref="B1041:G1041"/>
    <mergeCell ref="J1049:J1050"/>
    <mergeCell ref="K1049:K1050"/>
    <mergeCell ref="M1044:P1045"/>
    <mergeCell ref="M1049:P1050"/>
    <mergeCell ref="J1042:J1043"/>
    <mergeCell ref="B1049:G1050"/>
    <mergeCell ref="B1048:G1048"/>
    <mergeCell ref="M1041:P1041"/>
    <mergeCell ref="J1037:J1038"/>
    <mergeCell ref="K1037:K1038"/>
    <mergeCell ref="L1042:L1043"/>
    <mergeCell ref="J1044:J1045"/>
    <mergeCell ref="K1044:K1045"/>
    <mergeCell ref="A1044:A1045"/>
    <mergeCell ref="B1044:G1045"/>
    <mergeCell ref="H1044:H1045"/>
    <mergeCell ref="I1044:I1045"/>
    <mergeCell ref="A1049:A1050"/>
    <mergeCell ref="B1051:G1052"/>
    <mergeCell ref="H1051:H1052"/>
    <mergeCell ref="J1005:J1006"/>
    <mergeCell ref="B998:G999"/>
    <mergeCell ref="H998:H999"/>
    <mergeCell ref="I998:I999"/>
    <mergeCell ref="B1034:G1034"/>
    <mergeCell ref="M1034:P1034"/>
    <mergeCell ref="I1019:J1019"/>
    <mergeCell ref="M1027:N1027"/>
    <mergeCell ref="J1027:L1027"/>
    <mergeCell ref="K1012:K1013"/>
    <mergeCell ref="A1005:A1006"/>
    <mergeCell ref="B1005:G1006"/>
    <mergeCell ref="H1005:H1006"/>
    <mergeCell ref="I1005:I1006"/>
    <mergeCell ref="A1000:A1001"/>
    <mergeCell ref="B1000:G1001"/>
    <mergeCell ref="H1000:H1001"/>
    <mergeCell ref="I1000:I1001"/>
    <mergeCell ref="M1007:P1008"/>
    <mergeCell ref="L1007:L1008"/>
    <mergeCell ref="M1004:P1004"/>
    <mergeCell ref="M1005:P1006"/>
    <mergeCell ref="K1005:K1006"/>
    <mergeCell ref="L1005:L1006"/>
    <mergeCell ref="J1007:J1008"/>
    <mergeCell ref="A1007:A1008"/>
    <mergeCell ref="B1007:G1008"/>
    <mergeCell ref="H1007:H1008"/>
    <mergeCell ref="I1007:I1008"/>
    <mergeCell ref="K1007:K1008"/>
    <mergeCell ref="B1011:G1011"/>
    <mergeCell ref="M1011:P1011"/>
    <mergeCell ref="L1012:L1013"/>
    <mergeCell ref="M1012:P1013"/>
    <mergeCell ref="M1014:P1015"/>
    <mergeCell ref="L1014:L1015"/>
    <mergeCell ref="B1012:G1012"/>
    <mergeCell ref="H1012:H1013"/>
    <mergeCell ref="I1012:I1013"/>
    <mergeCell ref="J1012:J1013"/>
    <mergeCell ref="B1004:G1004"/>
    <mergeCell ref="H1014:H1015"/>
    <mergeCell ref="I1014:I1015"/>
    <mergeCell ref="A1012:A1013"/>
    <mergeCell ref="D1027:G1027"/>
    <mergeCell ref="L1049:L1050"/>
    <mergeCell ref="H1049:H1050"/>
    <mergeCell ref="I1049:I1050"/>
    <mergeCell ref="J1014:J1015"/>
    <mergeCell ref="B1015:G1015"/>
    <mergeCell ref="G1019:H1019"/>
    <mergeCell ref="A1014:A1015"/>
    <mergeCell ref="K1014:K1015"/>
    <mergeCell ref="B1013:G1013"/>
    <mergeCell ref="F1017:K1017"/>
    <mergeCell ref="G1018:H1018"/>
    <mergeCell ref="I1018:J1018"/>
    <mergeCell ref="B1014:G1014"/>
    <mergeCell ref="B1035:G1036"/>
    <mergeCell ref="H1035:H1036"/>
    <mergeCell ref="I1035:I1036"/>
    <mergeCell ref="A1030:F1030"/>
    <mergeCell ref="A991:A992"/>
    <mergeCell ref="B991:G992"/>
    <mergeCell ref="H991:H992"/>
    <mergeCell ref="I991:I992"/>
    <mergeCell ref="R989:R990"/>
    <mergeCell ref="R985:W985"/>
    <mergeCell ref="B986:G987"/>
    <mergeCell ref="H986:H987"/>
    <mergeCell ref="I986:I987"/>
    <mergeCell ref="J986:J987"/>
    <mergeCell ref="J993:J994"/>
    <mergeCell ref="A993:A994"/>
    <mergeCell ref="B993:G994"/>
    <mergeCell ref="H993:H994"/>
    <mergeCell ref="I993:I994"/>
    <mergeCell ref="A998:A999"/>
    <mergeCell ref="L991:L992"/>
    <mergeCell ref="M991:P992"/>
    <mergeCell ref="J991:J992"/>
    <mergeCell ref="K991:K992"/>
    <mergeCell ref="M1000:P1001"/>
    <mergeCell ref="K1000:K1001"/>
    <mergeCell ref="L1000:L1001"/>
    <mergeCell ref="L993:L994"/>
    <mergeCell ref="M993:P994"/>
    <mergeCell ref="K993:K994"/>
    <mergeCell ref="B997:G997"/>
    <mergeCell ref="M997:P997"/>
    <mergeCell ref="J998:J999"/>
    <mergeCell ref="M998:P999"/>
    <mergeCell ref="K998:K999"/>
    <mergeCell ref="L998:L999"/>
    <mergeCell ref="J1000:J1001"/>
    <mergeCell ref="H956:H957"/>
    <mergeCell ref="B962:G962"/>
    <mergeCell ref="A963:A964"/>
    <mergeCell ref="B963:G963"/>
    <mergeCell ref="H963:H964"/>
    <mergeCell ref="I963:I964"/>
    <mergeCell ref="F966:K966"/>
    <mergeCell ref="G967:H967"/>
    <mergeCell ref="I967:J967"/>
    <mergeCell ref="G968:H968"/>
    <mergeCell ref="K961:K962"/>
    <mergeCell ref="L961:L962"/>
    <mergeCell ref="L963:L964"/>
    <mergeCell ref="M963:P964"/>
    <mergeCell ref="K963:K964"/>
    <mergeCell ref="I968:J968"/>
    <mergeCell ref="J963:J964"/>
    <mergeCell ref="L984:L985"/>
    <mergeCell ref="A979:F979"/>
    <mergeCell ref="J979:O979"/>
    <mergeCell ref="J976:L976"/>
    <mergeCell ref="M976:N976"/>
    <mergeCell ref="M974:P974"/>
    <mergeCell ref="D976:G976"/>
    <mergeCell ref="M984:P985"/>
    <mergeCell ref="K984:K985"/>
    <mergeCell ref="B990:G990"/>
    <mergeCell ref="M990:P990"/>
    <mergeCell ref="A986:A987"/>
    <mergeCell ref="K986:K987"/>
    <mergeCell ref="L986:L987"/>
    <mergeCell ref="B984:G985"/>
    <mergeCell ref="H984:H985"/>
    <mergeCell ref="I984:I985"/>
    <mergeCell ref="J984:J985"/>
    <mergeCell ref="A984:A985"/>
    <mergeCell ref="B983:G983"/>
    <mergeCell ref="M983:P983"/>
    <mergeCell ref="A981:P981"/>
    <mergeCell ref="G979:I979"/>
    <mergeCell ref="G980:I980"/>
    <mergeCell ref="B964:G964"/>
    <mergeCell ref="I956:I957"/>
    <mergeCell ref="B960:G960"/>
    <mergeCell ref="M960:P960"/>
    <mergeCell ref="I961:I962"/>
    <mergeCell ref="M961:P962"/>
    <mergeCell ref="K956:K957"/>
    <mergeCell ref="L956:L957"/>
    <mergeCell ref="M956:P957"/>
    <mergeCell ref="J956:J957"/>
    <mergeCell ref="J961:J962"/>
    <mergeCell ref="A961:A962"/>
    <mergeCell ref="B961:G961"/>
    <mergeCell ref="H961:H962"/>
    <mergeCell ref="A956:A957"/>
    <mergeCell ref="B956:G957"/>
    <mergeCell ref="I942:I943"/>
    <mergeCell ref="H940:H941"/>
    <mergeCell ref="B946:G946"/>
    <mergeCell ref="A947:A948"/>
    <mergeCell ref="B947:G948"/>
    <mergeCell ref="K942:K943"/>
    <mergeCell ref="L947:L948"/>
    <mergeCell ref="B940:G941"/>
    <mergeCell ref="I947:I948"/>
    <mergeCell ref="A935:A936"/>
    <mergeCell ref="B935:G936"/>
    <mergeCell ref="H935:H936"/>
    <mergeCell ref="I935:I936"/>
    <mergeCell ref="A940:A941"/>
    <mergeCell ref="L942:L943"/>
    <mergeCell ref="A942:A943"/>
    <mergeCell ref="B942:G943"/>
    <mergeCell ref="H942:H943"/>
    <mergeCell ref="K940:K941"/>
    <mergeCell ref="M947:P948"/>
    <mergeCell ref="J947:J948"/>
    <mergeCell ref="K947:K948"/>
    <mergeCell ref="H947:H948"/>
    <mergeCell ref="J942:J943"/>
    <mergeCell ref="A954:A955"/>
    <mergeCell ref="B954:G955"/>
    <mergeCell ref="H954:H955"/>
    <mergeCell ref="I954:I955"/>
    <mergeCell ref="H949:H950"/>
    <mergeCell ref="I949:I950"/>
    <mergeCell ref="B953:G953"/>
    <mergeCell ref="A949:A950"/>
    <mergeCell ref="B949:G950"/>
    <mergeCell ref="L954:L955"/>
    <mergeCell ref="M954:P955"/>
    <mergeCell ref="K954:K955"/>
    <mergeCell ref="J954:J955"/>
    <mergeCell ref="J949:J950"/>
    <mergeCell ref="K949:K950"/>
    <mergeCell ref="L949:L950"/>
    <mergeCell ref="M949:P950"/>
    <mergeCell ref="M939:P939"/>
    <mergeCell ref="K935:K936"/>
    <mergeCell ref="J935:J936"/>
    <mergeCell ref="J925:L925"/>
    <mergeCell ref="L933:L934"/>
    <mergeCell ref="K912:K913"/>
    <mergeCell ref="B911:G911"/>
    <mergeCell ref="J933:J934"/>
    <mergeCell ref="K933:K934"/>
    <mergeCell ref="A930:P930"/>
    <mergeCell ref="A933:A934"/>
    <mergeCell ref="I933:I934"/>
    <mergeCell ref="A928:F928"/>
    <mergeCell ref="J928:O928"/>
    <mergeCell ref="B932:G932"/>
    <mergeCell ref="G928:I928"/>
    <mergeCell ref="B933:G934"/>
    <mergeCell ref="M932:P932"/>
    <mergeCell ref="L935:L936"/>
    <mergeCell ref="M935:P936"/>
    <mergeCell ref="H933:H934"/>
    <mergeCell ref="G929:I929"/>
    <mergeCell ref="I910:I911"/>
    <mergeCell ref="I905:I906"/>
    <mergeCell ref="A912:A913"/>
    <mergeCell ref="A910:A911"/>
    <mergeCell ref="J905:J906"/>
    <mergeCell ref="A903:A904"/>
    <mergeCell ref="B903:G904"/>
    <mergeCell ref="H903:H904"/>
    <mergeCell ref="B939:G939"/>
    <mergeCell ref="M940:P941"/>
    <mergeCell ref="I940:I941"/>
    <mergeCell ref="J940:J941"/>
    <mergeCell ref="J903:J904"/>
    <mergeCell ref="K905:K906"/>
    <mergeCell ref="K903:K904"/>
    <mergeCell ref="A905:A906"/>
    <mergeCell ref="B905:G906"/>
    <mergeCell ref="H905:H906"/>
    <mergeCell ref="L940:L941"/>
    <mergeCell ref="M933:P934"/>
    <mergeCell ref="G916:H916"/>
    <mergeCell ref="B898:G899"/>
    <mergeCell ref="B902:G902"/>
    <mergeCell ref="H898:H899"/>
    <mergeCell ref="L910:L911"/>
    <mergeCell ref="M910:P911"/>
    <mergeCell ref="L903:L904"/>
    <mergeCell ref="M905:P906"/>
    <mergeCell ref="L905:L906"/>
    <mergeCell ref="I898:I899"/>
    <mergeCell ref="I903:I904"/>
    <mergeCell ref="K898:K899"/>
    <mergeCell ref="L898:L899"/>
    <mergeCell ref="J910:J911"/>
    <mergeCell ref="AD914:AF914"/>
    <mergeCell ref="Z915:Z916"/>
    <mergeCell ref="AB915:AB916"/>
    <mergeCell ref="AD915:AF916"/>
    <mergeCell ref="R903:R904"/>
    <mergeCell ref="R911:W911"/>
    <mergeCell ref="X911:Y911"/>
    <mergeCell ref="Z911:AE911"/>
    <mergeCell ref="AC903:AC904"/>
    <mergeCell ref="AD903:AF904"/>
    <mergeCell ref="B881:G881"/>
    <mergeCell ref="M881:P881"/>
    <mergeCell ref="Y903:Y904"/>
    <mergeCell ref="Z917:Z918"/>
    <mergeCell ref="AB917:AB918"/>
    <mergeCell ref="S914:X914"/>
    <mergeCell ref="Z903:Z904"/>
    <mergeCell ref="AA903:AA904"/>
    <mergeCell ref="AB903:AB904"/>
    <mergeCell ref="S903:X904"/>
    <mergeCell ref="B910:G910"/>
    <mergeCell ref="H910:H911"/>
    <mergeCell ref="R915:R916"/>
    <mergeCell ref="S915:X916"/>
    <mergeCell ref="AC915:AC916"/>
    <mergeCell ref="Y915:Y916"/>
    <mergeCell ref="AA915:AA916"/>
    <mergeCell ref="H912:H913"/>
    <mergeCell ref="J912:J913"/>
    <mergeCell ref="K910:K911"/>
    <mergeCell ref="B913:G913"/>
    <mergeCell ref="G917:H917"/>
    <mergeCell ref="I917:J917"/>
    <mergeCell ref="G877:I877"/>
    <mergeCell ref="A879:P879"/>
    <mergeCell ref="M902:P902"/>
    <mergeCell ref="M898:P899"/>
    <mergeCell ref="A896:A897"/>
    <mergeCell ref="B896:G897"/>
    <mergeCell ref="M896:P897"/>
    <mergeCell ref="J882:J883"/>
    <mergeCell ref="H884:H885"/>
    <mergeCell ref="L882:L883"/>
    <mergeCell ref="I884:I885"/>
    <mergeCell ref="J884:J885"/>
    <mergeCell ref="K884:K885"/>
    <mergeCell ref="R887:R888"/>
    <mergeCell ref="S887:X888"/>
    <mergeCell ref="S886:X886"/>
    <mergeCell ref="Z887:Z888"/>
    <mergeCell ref="AA887:AA888"/>
    <mergeCell ref="L884:L885"/>
    <mergeCell ref="B888:G888"/>
    <mergeCell ref="M888:P888"/>
    <mergeCell ref="K882:K883"/>
    <mergeCell ref="A884:A885"/>
    <mergeCell ref="L889:L890"/>
    <mergeCell ref="M889:P890"/>
    <mergeCell ref="M884:P885"/>
    <mergeCell ref="B882:G883"/>
    <mergeCell ref="H882:H883"/>
    <mergeCell ref="I882:I883"/>
    <mergeCell ref="L859:L860"/>
    <mergeCell ref="M872:P872"/>
    <mergeCell ref="A889:A890"/>
    <mergeCell ref="B889:G890"/>
    <mergeCell ref="H889:H890"/>
    <mergeCell ref="I889:I890"/>
    <mergeCell ref="M882:P883"/>
    <mergeCell ref="J889:J890"/>
    <mergeCell ref="K889:K890"/>
    <mergeCell ref="A882:A883"/>
    <mergeCell ref="G878:I878"/>
    <mergeCell ref="A891:A892"/>
    <mergeCell ref="B891:G892"/>
    <mergeCell ref="H891:H892"/>
    <mergeCell ref="I891:I892"/>
    <mergeCell ref="M861:P862"/>
    <mergeCell ref="M859:P860"/>
    <mergeCell ref="L891:L892"/>
    <mergeCell ref="M891:P892"/>
    <mergeCell ref="B895:G895"/>
    <mergeCell ref="M895:P895"/>
    <mergeCell ref="H896:H897"/>
    <mergeCell ref="I896:I897"/>
    <mergeCell ref="J891:J892"/>
    <mergeCell ref="K891:K892"/>
    <mergeCell ref="L896:L897"/>
    <mergeCell ref="J896:J897"/>
    <mergeCell ref="K896:K897"/>
    <mergeCell ref="R889:R890"/>
    <mergeCell ref="S889:X890"/>
    <mergeCell ref="Z889:Z890"/>
    <mergeCell ref="F869:I869"/>
    <mergeCell ref="F870:I870"/>
    <mergeCell ref="J898:J899"/>
    <mergeCell ref="A898:A899"/>
    <mergeCell ref="J854:J855"/>
    <mergeCell ref="M858:P858"/>
    <mergeCell ref="K854:K855"/>
    <mergeCell ref="L854:L855"/>
    <mergeCell ref="M854:P855"/>
    <mergeCell ref="J859:J860"/>
    <mergeCell ref="K859:K860"/>
    <mergeCell ref="I865:J865"/>
    <mergeCell ref="B858:G858"/>
    <mergeCell ref="B852:G853"/>
    <mergeCell ref="B862:G862"/>
    <mergeCell ref="K861:K862"/>
    <mergeCell ref="L861:L862"/>
    <mergeCell ref="I861:I862"/>
    <mergeCell ref="H852:H853"/>
    <mergeCell ref="I852:I853"/>
    <mergeCell ref="J852:J853"/>
    <mergeCell ref="A861:A862"/>
    <mergeCell ref="A854:A855"/>
    <mergeCell ref="B854:G855"/>
    <mergeCell ref="H854:H855"/>
    <mergeCell ref="I854:I855"/>
    <mergeCell ref="B884:G885"/>
    <mergeCell ref="B861:G861"/>
    <mergeCell ref="B860:G860"/>
    <mergeCell ref="I859:I860"/>
    <mergeCell ref="G866:H866"/>
    <mergeCell ref="A833:A834"/>
    <mergeCell ref="B833:G834"/>
    <mergeCell ref="H833:H834"/>
    <mergeCell ref="J874:L874"/>
    <mergeCell ref="M874:N874"/>
    <mergeCell ref="J861:J862"/>
    <mergeCell ref="A859:A860"/>
    <mergeCell ref="B859:G859"/>
    <mergeCell ref="H859:H860"/>
    <mergeCell ref="H861:H862"/>
    <mergeCell ref="L833:L834"/>
    <mergeCell ref="M833:P834"/>
    <mergeCell ref="J838:J839"/>
    <mergeCell ref="K838:K839"/>
    <mergeCell ref="I833:I834"/>
    <mergeCell ref="L838:L839"/>
    <mergeCell ref="M837:P837"/>
    <mergeCell ref="M840:P841"/>
    <mergeCell ref="A840:A841"/>
    <mergeCell ref="B840:G841"/>
    <mergeCell ref="H840:H841"/>
    <mergeCell ref="I840:I841"/>
    <mergeCell ref="M838:P839"/>
    <mergeCell ref="A845:A846"/>
    <mergeCell ref="B845:G846"/>
    <mergeCell ref="B844:G844"/>
    <mergeCell ref="L845:L846"/>
    <mergeCell ref="J845:J846"/>
    <mergeCell ref="A838:A839"/>
    <mergeCell ref="B838:G839"/>
    <mergeCell ref="H838:H839"/>
    <mergeCell ref="I838:I839"/>
    <mergeCell ref="I845:I846"/>
    <mergeCell ref="M852:P853"/>
    <mergeCell ref="J877:O877"/>
    <mergeCell ref="L847:L848"/>
    <mergeCell ref="M847:P848"/>
    <mergeCell ref="K852:K853"/>
    <mergeCell ref="L840:L841"/>
    <mergeCell ref="J833:J834"/>
    <mergeCell ref="K833:K834"/>
    <mergeCell ref="J840:J841"/>
    <mergeCell ref="K840:K841"/>
    <mergeCell ref="M844:P844"/>
    <mergeCell ref="H847:H848"/>
    <mergeCell ref="I847:I848"/>
    <mergeCell ref="K845:K846"/>
    <mergeCell ref="M845:P846"/>
    <mergeCell ref="A852:A853"/>
    <mergeCell ref="B851:G851"/>
    <mergeCell ref="J847:J848"/>
    <mergeCell ref="K847:K848"/>
    <mergeCell ref="A847:A848"/>
    <mergeCell ref="M851:P851"/>
    <mergeCell ref="A808:A809"/>
    <mergeCell ref="B808:G808"/>
    <mergeCell ref="H808:H809"/>
    <mergeCell ref="I808:I809"/>
    <mergeCell ref="J808:J809"/>
    <mergeCell ref="M821:P821"/>
    <mergeCell ref="B807:G807"/>
    <mergeCell ref="M807:P807"/>
    <mergeCell ref="L808:L809"/>
    <mergeCell ref="M808:P809"/>
    <mergeCell ref="M810:P811"/>
    <mergeCell ref="L810:L811"/>
    <mergeCell ref="L831:L832"/>
    <mergeCell ref="J831:J832"/>
    <mergeCell ref="K831:K832"/>
    <mergeCell ref="A828:P828"/>
    <mergeCell ref="M831:P832"/>
    <mergeCell ref="K808:K809"/>
    <mergeCell ref="A810:A811"/>
    <mergeCell ref="K810:K811"/>
    <mergeCell ref="B809:G809"/>
    <mergeCell ref="F813:K813"/>
    <mergeCell ref="J810:J811"/>
    <mergeCell ref="B811:G811"/>
    <mergeCell ref="G815:H815"/>
    <mergeCell ref="I815:J815"/>
    <mergeCell ref="G814:H814"/>
    <mergeCell ref="I814:J814"/>
    <mergeCell ref="B810:G810"/>
    <mergeCell ref="H810:H811"/>
    <mergeCell ref="I810:I811"/>
    <mergeCell ref="M830:P830"/>
    <mergeCell ref="B837:G837"/>
    <mergeCell ref="A826:F826"/>
    <mergeCell ref="J826:O826"/>
    <mergeCell ref="G826:I826"/>
    <mergeCell ref="A831:A832"/>
    <mergeCell ref="B831:G832"/>
    <mergeCell ref="H831:H832"/>
    <mergeCell ref="I831:I832"/>
    <mergeCell ref="B830:G830"/>
    <mergeCell ref="G827:I827"/>
    <mergeCell ref="L852:L853"/>
    <mergeCell ref="F818:I818"/>
    <mergeCell ref="F819:I819"/>
    <mergeCell ref="K820:P820"/>
    <mergeCell ref="M823:N823"/>
    <mergeCell ref="H789:H790"/>
    <mergeCell ref="I789:I790"/>
    <mergeCell ref="A787:A788"/>
    <mergeCell ref="B787:G788"/>
    <mergeCell ref="H787:H788"/>
    <mergeCell ref="I787:I788"/>
    <mergeCell ref="M793:P793"/>
    <mergeCell ref="J794:J795"/>
    <mergeCell ref="B786:G786"/>
    <mergeCell ref="M786:P786"/>
    <mergeCell ref="L787:L788"/>
    <mergeCell ref="M787:P788"/>
    <mergeCell ref="J787:J788"/>
    <mergeCell ref="K787:K788"/>
    <mergeCell ref="J789:J790"/>
    <mergeCell ref="M789:P790"/>
    <mergeCell ref="M801:P802"/>
    <mergeCell ref="M796:P797"/>
    <mergeCell ref="K796:K797"/>
    <mergeCell ref="L796:L797"/>
    <mergeCell ref="K801:K802"/>
    <mergeCell ref="L801:L802"/>
    <mergeCell ref="M800:P800"/>
    <mergeCell ref="M794:P795"/>
    <mergeCell ref="K789:K790"/>
    <mergeCell ref="K794:K795"/>
    <mergeCell ref="L794:L795"/>
    <mergeCell ref="A796:A797"/>
    <mergeCell ref="B796:G797"/>
    <mergeCell ref="H796:H797"/>
    <mergeCell ref="I796:I797"/>
    <mergeCell ref="A794:A795"/>
    <mergeCell ref="J796:J797"/>
    <mergeCell ref="L789:L790"/>
    <mergeCell ref="B794:G795"/>
    <mergeCell ref="H794:H795"/>
    <mergeCell ref="I794:I795"/>
    <mergeCell ref="B793:G793"/>
    <mergeCell ref="B800:G800"/>
    <mergeCell ref="M803:P804"/>
    <mergeCell ref="L803:L804"/>
    <mergeCell ref="A803:A804"/>
    <mergeCell ref="B803:G804"/>
    <mergeCell ref="H803:H804"/>
    <mergeCell ref="I803:I804"/>
    <mergeCell ref="A750:A751"/>
    <mergeCell ref="K757:K758"/>
    <mergeCell ref="L759:L760"/>
    <mergeCell ref="J801:J802"/>
    <mergeCell ref="J803:J804"/>
    <mergeCell ref="A801:A802"/>
    <mergeCell ref="B801:G802"/>
    <mergeCell ref="H801:H802"/>
    <mergeCell ref="K803:K804"/>
    <mergeCell ref="I801:I802"/>
    <mergeCell ref="L750:L751"/>
    <mergeCell ref="M750:P751"/>
    <mergeCell ref="K750:K751"/>
    <mergeCell ref="B752:G753"/>
    <mergeCell ref="H752:H753"/>
    <mergeCell ref="B756:G756"/>
    <mergeCell ref="M756:P756"/>
    <mergeCell ref="I752:I753"/>
    <mergeCell ref="M752:P753"/>
    <mergeCell ref="L752:L753"/>
    <mergeCell ref="G764:H764"/>
    <mergeCell ref="I764:J764"/>
    <mergeCell ref="J759:J760"/>
    <mergeCell ref="I757:I758"/>
    <mergeCell ref="I763:J763"/>
    <mergeCell ref="A757:A758"/>
    <mergeCell ref="B757:G757"/>
    <mergeCell ref="H757:H758"/>
    <mergeCell ref="B760:G760"/>
    <mergeCell ref="F762:K762"/>
    <mergeCell ref="L757:L758"/>
    <mergeCell ref="J757:J758"/>
    <mergeCell ref="M757:P758"/>
    <mergeCell ref="B758:G758"/>
    <mergeCell ref="A759:A760"/>
    <mergeCell ref="B759:G759"/>
    <mergeCell ref="H759:H760"/>
    <mergeCell ref="I759:I760"/>
    <mergeCell ref="M759:P760"/>
    <mergeCell ref="K759:K760"/>
    <mergeCell ref="M779:P779"/>
    <mergeCell ref="A777:P777"/>
    <mergeCell ref="G775:I775"/>
    <mergeCell ref="J772:L772"/>
    <mergeCell ref="M772:N772"/>
    <mergeCell ref="G776:I776"/>
    <mergeCell ref="A775:F775"/>
    <mergeCell ref="J775:O775"/>
    <mergeCell ref="A780:A781"/>
    <mergeCell ref="B782:G783"/>
    <mergeCell ref="H782:H783"/>
    <mergeCell ref="I782:I783"/>
    <mergeCell ref="J782:J783"/>
    <mergeCell ref="M780:P781"/>
    <mergeCell ref="K780:K781"/>
    <mergeCell ref="L780:L781"/>
    <mergeCell ref="A789:A790"/>
    <mergeCell ref="B789:G790"/>
    <mergeCell ref="A782:A783"/>
    <mergeCell ref="K782:K783"/>
    <mergeCell ref="L782:L783"/>
    <mergeCell ref="B780:G781"/>
    <mergeCell ref="H780:H781"/>
    <mergeCell ref="I780:I781"/>
    <mergeCell ref="J780:J781"/>
    <mergeCell ref="B779:G779"/>
    <mergeCell ref="A743:A744"/>
    <mergeCell ref="B743:G744"/>
    <mergeCell ref="J743:J744"/>
    <mergeCell ref="K743:K744"/>
    <mergeCell ref="H743:H744"/>
    <mergeCell ref="I743:I744"/>
    <mergeCell ref="A731:A732"/>
    <mergeCell ref="B731:G732"/>
    <mergeCell ref="H731:H732"/>
    <mergeCell ref="I731:I732"/>
    <mergeCell ref="B735:G735"/>
    <mergeCell ref="M736:P737"/>
    <mergeCell ref="J731:J732"/>
    <mergeCell ref="K731:K732"/>
    <mergeCell ref="A736:A737"/>
    <mergeCell ref="L738:L739"/>
    <mergeCell ref="M738:P739"/>
    <mergeCell ref="B742:G742"/>
    <mergeCell ref="M742:P742"/>
    <mergeCell ref="B736:G737"/>
    <mergeCell ref="H736:H737"/>
    <mergeCell ref="I736:I737"/>
    <mergeCell ref="J736:J737"/>
    <mergeCell ref="K736:K737"/>
    <mergeCell ref="L736:L737"/>
    <mergeCell ref="M782:P783"/>
    <mergeCell ref="I738:I739"/>
    <mergeCell ref="L743:L744"/>
    <mergeCell ref="M743:P744"/>
    <mergeCell ref="J745:J746"/>
    <mergeCell ref="F767:I767"/>
    <mergeCell ref="F768:I768"/>
    <mergeCell ref="K745:K746"/>
    <mergeCell ref="AD761:AF761"/>
    <mergeCell ref="AD764:AF765"/>
    <mergeCell ref="S762:X763"/>
    <mergeCell ref="Y762:Y763"/>
    <mergeCell ref="AB762:AB763"/>
    <mergeCell ref="Z764:Z765"/>
    <mergeCell ref="AA764:AA765"/>
    <mergeCell ref="AB764:AB765"/>
    <mergeCell ref="Z762:Z763"/>
    <mergeCell ref="AA762:AA763"/>
    <mergeCell ref="X781:Y781"/>
    <mergeCell ref="K769:P769"/>
    <mergeCell ref="M770:P770"/>
    <mergeCell ref="A738:A739"/>
    <mergeCell ref="A694:A695"/>
    <mergeCell ref="B694:G695"/>
    <mergeCell ref="H694:H695"/>
    <mergeCell ref="B698:G698"/>
    <mergeCell ref="J701:J702"/>
    <mergeCell ref="K701:K702"/>
    <mergeCell ref="J694:J695"/>
    <mergeCell ref="K694:K695"/>
    <mergeCell ref="B701:G702"/>
    <mergeCell ref="H701:H702"/>
    <mergeCell ref="M701:P702"/>
    <mergeCell ref="L701:L702"/>
    <mergeCell ref="B705:G705"/>
    <mergeCell ref="L708:L709"/>
    <mergeCell ref="M708:P709"/>
    <mergeCell ref="I701:I702"/>
    <mergeCell ref="M705:P705"/>
    <mergeCell ref="L706:L707"/>
    <mergeCell ref="A752:A753"/>
    <mergeCell ref="I699:I700"/>
    <mergeCell ref="M706:P707"/>
    <mergeCell ref="L694:L695"/>
    <mergeCell ref="M698:P698"/>
    <mergeCell ref="L699:L700"/>
    <mergeCell ref="M699:P700"/>
    <mergeCell ref="M694:P695"/>
    <mergeCell ref="I694:I695"/>
    <mergeCell ref="B709:G709"/>
    <mergeCell ref="L745:L746"/>
    <mergeCell ref="M745:P746"/>
    <mergeCell ref="Y697:Y698"/>
    <mergeCell ref="AD697:AF698"/>
    <mergeCell ref="Z699:Z700"/>
    <mergeCell ref="AC699:AC700"/>
    <mergeCell ref="AD699:AF700"/>
    <mergeCell ref="AA697:AA698"/>
    <mergeCell ref="Z697:Z698"/>
    <mergeCell ref="AB697:AB698"/>
    <mergeCell ref="R699:R700"/>
    <mergeCell ref="S699:X700"/>
    <mergeCell ref="Y699:Y700"/>
    <mergeCell ref="Z730:AE730"/>
    <mergeCell ref="R713:R714"/>
    <mergeCell ref="AA711:AA712"/>
    <mergeCell ref="AA713:AA714"/>
    <mergeCell ref="Y711:Y712"/>
    <mergeCell ref="R707:W707"/>
    <mergeCell ref="X707:Y707"/>
    <mergeCell ref="AD710:AF710"/>
    <mergeCell ref="AA699:AA700"/>
    <mergeCell ref="B691:G691"/>
    <mergeCell ref="B750:G751"/>
    <mergeCell ref="K752:K753"/>
    <mergeCell ref="H750:H751"/>
    <mergeCell ref="I750:I751"/>
    <mergeCell ref="J750:J751"/>
    <mergeCell ref="J752:J753"/>
    <mergeCell ref="K738:K739"/>
    <mergeCell ref="H745:H746"/>
    <mergeCell ref="I745:I746"/>
    <mergeCell ref="A701:A702"/>
    <mergeCell ref="A699:A700"/>
    <mergeCell ref="A708:A709"/>
    <mergeCell ref="A706:A707"/>
    <mergeCell ref="M728:P728"/>
    <mergeCell ref="G724:I724"/>
    <mergeCell ref="A729:A730"/>
    <mergeCell ref="B729:G730"/>
    <mergeCell ref="H729:H730"/>
    <mergeCell ref="L729:L730"/>
    <mergeCell ref="J729:J730"/>
    <mergeCell ref="K729:K730"/>
    <mergeCell ref="L731:L732"/>
    <mergeCell ref="M731:P732"/>
    <mergeCell ref="M735:P735"/>
    <mergeCell ref="R679:W679"/>
    <mergeCell ref="J685:J686"/>
    <mergeCell ref="K685:K686"/>
    <mergeCell ref="L685:L686"/>
    <mergeCell ref="M685:P686"/>
    <mergeCell ref="R683:R684"/>
    <mergeCell ref="S683:X684"/>
    <mergeCell ref="S682:X682"/>
    <mergeCell ref="M678:P679"/>
    <mergeCell ref="L678:L679"/>
    <mergeCell ref="S733:X733"/>
    <mergeCell ref="A687:A688"/>
    <mergeCell ref="B687:G688"/>
    <mergeCell ref="H687:H688"/>
    <mergeCell ref="I687:I688"/>
    <mergeCell ref="A685:A686"/>
    <mergeCell ref="B685:G686"/>
    <mergeCell ref="H685:H686"/>
    <mergeCell ref="B684:G684"/>
    <mergeCell ref="M684:P684"/>
    <mergeCell ref="I685:I686"/>
    <mergeCell ref="J687:J688"/>
    <mergeCell ref="K687:K688"/>
    <mergeCell ref="L687:L688"/>
    <mergeCell ref="R685:R686"/>
    <mergeCell ref="M691:P691"/>
    <mergeCell ref="J692:J693"/>
    <mergeCell ref="M687:P688"/>
    <mergeCell ref="L692:L693"/>
    <mergeCell ref="M692:P693"/>
    <mergeCell ref="A692:A693"/>
    <mergeCell ref="B692:G693"/>
    <mergeCell ref="H692:H693"/>
    <mergeCell ref="K692:K693"/>
    <mergeCell ref="I692:I693"/>
    <mergeCell ref="M749:P749"/>
    <mergeCell ref="F716:I716"/>
    <mergeCell ref="F717:I717"/>
    <mergeCell ref="K718:P718"/>
    <mergeCell ref="M650:P651"/>
    <mergeCell ref="B677:G677"/>
    <mergeCell ref="F666:I666"/>
    <mergeCell ref="B657:G657"/>
    <mergeCell ref="B658:G658"/>
    <mergeCell ref="F665:I665"/>
    <mergeCell ref="K667:P667"/>
    <mergeCell ref="D670:G670"/>
    <mergeCell ref="A655:A656"/>
    <mergeCell ref="M655:P656"/>
    <mergeCell ref="K655:K656"/>
    <mergeCell ref="A650:A651"/>
    <mergeCell ref="B650:G651"/>
    <mergeCell ref="H650:H651"/>
    <mergeCell ref="I650:I651"/>
    <mergeCell ref="J650:J651"/>
    <mergeCell ref="M654:P654"/>
    <mergeCell ref="K650:K651"/>
    <mergeCell ref="K657:K658"/>
    <mergeCell ref="M668:P668"/>
    <mergeCell ref="L657:L658"/>
    <mergeCell ref="M657:P658"/>
    <mergeCell ref="A680:A681"/>
    <mergeCell ref="B680:G681"/>
    <mergeCell ref="A678:A679"/>
    <mergeCell ref="A657:A658"/>
    <mergeCell ref="A673:F673"/>
    <mergeCell ref="I662:J662"/>
    <mergeCell ref="I678:I679"/>
    <mergeCell ref="B655:G655"/>
    <mergeCell ref="H655:H656"/>
    <mergeCell ref="I655:I656"/>
    <mergeCell ref="B656:G656"/>
    <mergeCell ref="G673:I673"/>
    <mergeCell ref="I661:J661"/>
    <mergeCell ref="G662:H662"/>
    <mergeCell ref="G661:H661"/>
    <mergeCell ref="M677:P677"/>
    <mergeCell ref="J678:J679"/>
    <mergeCell ref="H680:H681"/>
    <mergeCell ref="I680:I681"/>
    <mergeCell ref="L680:L681"/>
    <mergeCell ref="B678:G679"/>
    <mergeCell ref="H678:H679"/>
    <mergeCell ref="J680:J681"/>
    <mergeCell ref="K680:K681"/>
    <mergeCell ref="K678:K679"/>
    <mergeCell ref="M670:N670"/>
    <mergeCell ref="F615:I615"/>
    <mergeCell ref="K616:P616"/>
    <mergeCell ref="K634:K635"/>
    <mergeCell ref="A634:A635"/>
    <mergeCell ref="B634:G635"/>
    <mergeCell ref="H634:H635"/>
    <mergeCell ref="A636:A637"/>
    <mergeCell ref="B636:G637"/>
    <mergeCell ref="L636:L637"/>
    <mergeCell ref="M636:P637"/>
    <mergeCell ref="J641:J642"/>
    <mergeCell ref="K641:K642"/>
    <mergeCell ref="M640:P640"/>
    <mergeCell ref="L641:L642"/>
    <mergeCell ref="M641:P642"/>
    <mergeCell ref="J636:J637"/>
    <mergeCell ref="K636:K637"/>
    <mergeCell ref="M647:P647"/>
    <mergeCell ref="L643:L644"/>
    <mergeCell ref="M643:P644"/>
    <mergeCell ref="J643:J644"/>
    <mergeCell ref="K643:K644"/>
    <mergeCell ref="A641:A642"/>
    <mergeCell ref="B641:G642"/>
    <mergeCell ref="H641:H642"/>
    <mergeCell ref="I641:I642"/>
    <mergeCell ref="A629:A630"/>
    <mergeCell ref="B629:G630"/>
    <mergeCell ref="K629:K630"/>
    <mergeCell ref="L629:L630"/>
    <mergeCell ref="J627:J628"/>
    <mergeCell ref="K627:K628"/>
    <mergeCell ref="J629:J630"/>
    <mergeCell ref="M634:P635"/>
    <mergeCell ref="L627:L628"/>
    <mergeCell ref="I629:I630"/>
    <mergeCell ref="K648:K649"/>
    <mergeCell ref="J648:J649"/>
    <mergeCell ref="L650:L651"/>
    <mergeCell ref="A648:A649"/>
    <mergeCell ref="B647:G647"/>
    <mergeCell ref="A643:A644"/>
    <mergeCell ref="B643:G644"/>
    <mergeCell ref="S595:X596"/>
    <mergeCell ref="Y595:Y596"/>
    <mergeCell ref="Z595:Z596"/>
    <mergeCell ref="AB595:AB596"/>
    <mergeCell ref="AA595:AA596"/>
    <mergeCell ref="R611:R612"/>
    <mergeCell ref="S611:X612"/>
    <mergeCell ref="Z581:Z582"/>
    <mergeCell ref="AC581:AC582"/>
    <mergeCell ref="A583:A584"/>
    <mergeCell ref="A599:A600"/>
    <mergeCell ref="B599:G600"/>
    <mergeCell ref="R591:W591"/>
    <mergeCell ref="X591:Y591"/>
    <mergeCell ref="Z591:AE591"/>
    <mergeCell ref="AD595:AF596"/>
    <mergeCell ref="R595:R596"/>
    <mergeCell ref="A585:A586"/>
    <mergeCell ref="B585:G586"/>
    <mergeCell ref="H585:H586"/>
    <mergeCell ref="I585:I586"/>
    <mergeCell ref="AD581:AF582"/>
    <mergeCell ref="AA581:AA582"/>
    <mergeCell ref="AB581:AB582"/>
    <mergeCell ref="B583:G584"/>
    <mergeCell ref="H583:H584"/>
    <mergeCell ref="I583:I584"/>
    <mergeCell ref="K606:K607"/>
    <mergeCell ref="AD583:AF584"/>
    <mergeCell ref="B582:G582"/>
    <mergeCell ref="M582:P582"/>
    <mergeCell ref="Y581:Y582"/>
    <mergeCell ref="A590:A591"/>
    <mergeCell ref="B590:G591"/>
    <mergeCell ref="H590:H591"/>
    <mergeCell ref="K585:K586"/>
    <mergeCell ref="L585:L586"/>
    <mergeCell ref="M589:P589"/>
    <mergeCell ref="I590:I591"/>
    <mergeCell ref="M590:P591"/>
    <mergeCell ref="L590:L591"/>
    <mergeCell ref="M592:P593"/>
    <mergeCell ref="B596:G596"/>
    <mergeCell ref="H597:H598"/>
    <mergeCell ref="J583:J584"/>
    <mergeCell ref="K583:K584"/>
    <mergeCell ref="L583:L584"/>
    <mergeCell ref="M583:P584"/>
    <mergeCell ref="S581:X582"/>
    <mergeCell ref="I611:J611"/>
    <mergeCell ref="G623:I623"/>
    <mergeCell ref="G611:H611"/>
    <mergeCell ref="M629:P630"/>
    <mergeCell ref="M617:P617"/>
    <mergeCell ref="M633:P633"/>
    <mergeCell ref="M627:P628"/>
    <mergeCell ref="J622:O622"/>
    <mergeCell ref="L553:L554"/>
    <mergeCell ref="A553:A554"/>
    <mergeCell ref="B553:G553"/>
    <mergeCell ref="A555:A556"/>
    <mergeCell ref="I553:I554"/>
    <mergeCell ref="I555:I556"/>
    <mergeCell ref="B554:G554"/>
    <mergeCell ref="M552:P552"/>
    <mergeCell ref="L546:L547"/>
    <mergeCell ref="M546:P547"/>
    <mergeCell ref="M548:P549"/>
    <mergeCell ref="L548:L549"/>
    <mergeCell ref="B552:G552"/>
    <mergeCell ref="B548:G549"/>
    <mergeCell ref="H548:H549"/>
    <mergeCell ref="I548:I549"/>
    <mergeCell ref="L555:L556"/>
    <mergeCell ref="J555:J556"/>
    <mergeCell ref="K555:K556"/>
    <mergeCell ref="B556:G556"/>
    <mergeCell ref="B555:G555"/>
    <mergeCell ref="H555:H556"/>
    <mergeCell ref="B648:G649"/>
    <mergeCell ref="L648:L649"/>
    <mergeCell ref="I648:I649"/>
    <mergeCell ref="B627:G628"/>
    <mergeCell ref="M626:P626"/>
    <mergeCell ref="G622:I622"/>
    <mergeCell ref="A622:F622"/>
    <mergeCell ref="B626:G626"/>
    <mergeCell ref="M619:N619"/>
    <mergeCell ref="D619:G619"/>
    <mergeCell ref="H627:H628"/>
    <mergeCell ref="I627:I628"/>
    <mergeCell ref="A627:A628"/>
    <mergeCell ref="I597:I598"/>
    <mergeCell ref="L592:L593"/>
    <mergeCell ref="H599:H600"/>
    <mergeCell ref="M596:P596"/>
    <mergeCell ref="J590:J591"/>
    <mergeCell ref="K590:K591"/>
    <mergeCell ref="I599:I600"/>
    <mergeCell ref="K597:K598"/>
    <mergeCell ref="J597:J598"/>
    <mergeCell ref="L606:L607"/>
    <mergeCell ref="M606:P607"/>
    <mergeCell ref="F609:K609"/>
    <mergeCell ref="M585:P586"/>
    <mergeCell ref="L599:L600"/>
    <mergeCell ref="B597:G598"/>
    <mergeCell ref="L597:L598"/>
    <mergeCell ref="M597:P598"/>
    <mergeCell ref="K592:K593"/>
    <mergeCell ref="G559:H559"/>
    <mergeCell ref="D568:G568"/>
    <mergeCell ref="F558:K558"/>
    <mergeCell ref="G560:H560"/>
    <mergeCell ref="I559:J559"/>
    <mergeCell ref="J592:J593"/>
    <mergeCell ref="B589:G589"/>
    <mergeCell ref="J585:J586"/>
    <mergeCell ref="B575:G575"/>
    <mergeCell ref="M575:P575"/>
    <mergeCell ref="A573:P573"/>
    <mergeCell ref="G571:I571"/>
    <mergeCell ref="A571:F571"/>
    <mergeCell ref="J571:O571"/>
    <mergeCell ref="G572:I572"/>
    <mergeCell ref="M568:N568"/>
    <mergeCell ref="R577:W577"/>
    <mergeCell ref="X577:Y577"/>
    <mergeCell ref="K576:K577"/>
    <mergeCell ref="L576:L577"/>
    <mergeCell ref="K578:K579"/>
    <mergeCell ref="L578:L579"/>
    <mergeCell ref="M578:P579"/>
    <mergeCell ref="R581:R582"/>
    <mergeCell ref="H576:H577"/>
    <mergeCell ref="I576:I577"/>
    <mergeCell ref="J576:J577"/>
    <mergeCell ref="B578:G579"/>
    <mergeCell ref="H578:H579"/>
    <mergeCell ref="I578:I579"/>
    <mergeCell ref="J578:J579"/>
    <mergeCell ref="J553:J554"/>
    <mergeCell ref="M553:P554"/>
    <mergeCell ref="M576:P577"/>
    <mergeCell ref="A578:A579"/>
    <mergeCell ref="S546:X547"/>
    <mergeCell ref="Y546:Y547"/>
    <mergeCell ref="A534:A535"/>
    <mergeCell ref="B534:G535"/>
    <mergeCell ref="H534:H535"/>
    <mergeCell ref="I534:I535"/>
    <mergeCell ref="A532:A533"/>
    <mergeCell ref="B532:G533"/>
    <mergeCell ref="H532:H533"/>
    <mergeCell ref="S532:X533"/>
    <mergeCell ref="L534:L535"/>
    <mergeCell ref="M534:P535"/>
    <mergeCell ref="R540:W540"/>
    <mergeCell ref="L539:L540"/>
    <mergeCell ref="M538:P538"/>
    <mergeCell ref="X540:Y540"/>
    <mergeCell ref="Y532:Y533"/>
    <mergeCell ref="M539:P540"/>
    <mergeCell ref="I539:I540"/>
    <mergeCell ref="K539:K540"/>
    <mergeCell ref="J539:J540"/>
    <mergeCell ref="K548:K549"/>
    <mergeCell ref="M545:P545"/>
    <mergeCell ref="A541:A542"/>
    <mergeCell ref="B541:G542"/>
    <mergeCell ref="H541:H542"/>
    <mergeCell ref="K541:K542"/>
    <mergeCell ref="I541:I542"/>
    <mergeCell ref="L541:L542"/>
    <mergeCell ref="J541:J542"/>
    <mergeCell ref="A548:A549"/>
    <mergeCell ref="A546:A547"/>
    <mergeCell ref="B546:G547"/>
    <mergeCell ref="I546:I547"/>
    <mergeCell ref="B538:G538"/>
    <mergeCell ref="H546:H547"/>
    <mergeCell ref="A539:A540"/>
    <mergeCell ref="B539:G540"/>
    <mergeCell ref="H539:H540"/>
    <mergeCell ref="B545:G545"/>
    <mergeCell ref="A576:A577"/>
    <mergeCell ref="B576:G577"/>
    <mergeCell ref="M541:P542"/>
    <mergeCell ref="H553:H554"/>
    <mergeCell ref="K553:K554"/>
    <mergeCell ref="D517:G517"/>
    <mergeCell ref="A522:P522"/>
    <mergeCell ref="J532:J533"/>
    <mergeCell ref="K532:K533"/>
    <mergeCell ref="R532:R533"/>
    <mergeCell ref="J534:J535"/>
    <mergeCell ref="K534:K535"/>
    <mergeCell ref="H527:H528"/>
    <mergeCell ref="M527:P528"/>
    <mergeCell ref="I532:I533"/>
    <mergeCell ref="B501:G501"/>
    <mergeCell ref="K504:K505"/>
    <mergeCell ref="L504:L505"/>
    <mergeCell ref="M504:P505"/>
    <mergeCell ref="B504:G504"/>
    <mergeCell ref="I504:I505"/>
    <mergeCell ref="M502:P503"/>
    <mergeCell ref="J504:J505"/>
    <mergeCell ref="J502:J503"/>
    <mergeCell ref="B505:G505"/>
    <mergeCell ref="A497:A498"/>
    <mergeCell ref="B497:G498"/>
    <mergeCell ref="H497:H498"/>
    <mergeCell ref="I497:I498"/>
    <mergeCell ref="A504:A505"/>
    <mergeCell ref="B503:G503"/>
    <mergeCell ref="A502:A503"/>
    <mergeCell ref="B502:G502"/>
    <mergeCell ref="H502:H503"/>
    <mergeCell ref="H504:H505"/>
    <mergeCell ref="M524:P524"/>
    <mergeCell ref="G520:I520"/>
    <mergeCell ref="A520:F520"/>
    <mergeCell ref="J520:O520"/>
    <mergeCell ref="B524:G524"/>
    <mergeCell ref="G521:I521"/>
    <mergeCell ref="K502:K503"/>
    <mergeCell ref="L502:L503"/>
    <mergeCell ref="I508:J508"/>
    <mergeCell ref="G509:H509"/>
    <mergeCell ref="I509:J509"/>
    <mergeCell ref="F507:K507"/>
    <mergeCell ref="G508:H508"/>
    <mergeCell ref="L527:L528"/>
    <mergeCell ref="B525:G526"/>
    <mergeCell ref="M525:P526"/>
    <mergeCell ref="R530:R531"/>
    <mergeCell ref="B531:G531"/>
    <mergeCell ref="M531:P531"/>
    <mergeCell ref="J527:J528"/>
    <mergeCell ref="B527:G528"/>
    <mergeCell ref="A527:A528"/>
    <mergeCell ref="K525:K526"/>
    <mergeCell ref="L525:L526"/>
    <mergeCell ref="R526:W526"/>
    <mergeCell ref="K527:K528"/>
    <mergeCell ref="I527:I528"/>
    <mergeCell ref="A525:A526"/>
    <mergeCell ref="H525:H526"/>
    <mergeCell ref="I525:I526"/>
    <mergeCell ref="J525:J526"/>
    <mergeCell ref="S529:X529"/>
    <mergeCell ref="M532:P533"/>
    <mergeCell ref="L532:L533"/>
    <mergeCell ref="M490:P491"/>
    <mergeCell ref="L488:L489"/>
    <mergeCell ref="M488:P489"/>
    <mergeCell ref="M487:P487"/>
    <mergeCell ref="L490:L491"/>
    <mergeCell ref="A483:A484"/>
    <mergeCell ref="B483:G484"/>
    <mergeCell ref="B490:G491"/>
    <mergeCell ref="H490:H491"/>
    <mergeCell ref="I490:I491"/>
    <mergeCell ref="J490:J491"/>
    <mergeCell ref="K490:K491"/>
    <mergeCell ref="J483:J484"/>
    <mergeCell ref="K483:K484"/>
    <mergeCell ref="J488:J489"/>
    <mergeCell ref="K488:K489"/>
    <mergeCell ref="A488:A489"/>
    <mergeCell ref="B488:G489"/>
    <mergeCell ref="H488:H489"/>
    <mergeCell ref="I488:I489"/>
    <mergeCell ref="M501:P501"/>
    <mergeCell ref="K497:K498"/>
    <mergeCell ref="M497:P498"/>
    <mergeCell ref="L497:L498"/>
    <mergeCell ref="M494:P494"/>
    <mergeCell ref="J495:J496"/>
    <mergeCell ref="D466:G466"/>
    <mergeCell ref="H481:H482"/>
    <mergeCell ref="I481:I482"/>
    <mergeCell ref="A495:A496"/>
    <mergeCell ref="B495:G496"/>
    <mergeCell ref="H495:H496"/>
    <mergeCell ref="I495:I496"/>
    <mergeCell ref="B494:G494"/>
    <mergeCell ref="B487:G487"/>
    <mergeCell ref="A490:A491"/>
    <mergeCell ref="H483:H484"/>
    <mergeCell ref="I483:I484"/>
    <mergeCell ref="L483:L484"/>
    <mergeCell ref="M483:P484"/>
    <mergeCell ref="F512:I512"/>
    <mergeCell ref="F513:I513"/>
    <mergeCell ref="K463:P463"/>
    <mergeCell ref="R456:R457"/>
    <mergeCell ref="R481:R482"/>
    <mergeCell ref="S481:X482"/>
    <mergeCell ref="R479:R480"/>
    <mergeCell ref="R475:W475"/>
    <mergeCell ref="X475:Y475"/>
    <mergeCell ref="R458:R459"/>
    <mergeCell ref="S458:X459"/>
    <mergeCell ref="Y481:Y482"/>
    <mergeCell ref="B473:G473"/>
    <mergeCell ref="I457:J457"/>
    <mergeCell ref="G470:I470"/>
    <mergeCell ref="G458:H458"/>
    <mergeCell ref="I458:J458"/>
    <mergeCell ref="A469:F469"/>
    <mergeCell ref="J469:O469"/>
    <mergeCell ref="M464:P464"/>
    <mergeCell ref="F461:I461"/>
    <mergeCell ref="F462:I462"/>
    <mergeCell ref="S478:X478"/>
    <mergeCell ref="M474:P475"/>
    <mergeCell ref="A471:P471"/>
    <mergeCell ref="L474:L475"/>
    <mergeCell ref="J474:J475"/>
    <mergeCell ref="K474:K475"/>
    <mergeCell ref="H474:H475"/>
    <mergeCell ref="A474:A475"/>
    <mergeCell ref="B474:G475"/>
    <mergeCell ref="I474:I475"/>
    <mergeCell ref="A476:A477"/>
    <mergeCell ref="B476:G477"/>
    <mergeCell ref="H476:H477"/>
    <mergeCell ref="I476:I477"/>
    <mergeCell ref="L476:L477"/>
    <mergeCell ref="M476:P477"/>
    <mergeCell ref="A481:A482"/>
    <mergeCell ref="B481:G482"/>
    <mergeCell ref="B480:G480"/>
    <mergeCell ref="Y479:Y480"/>
    <mergeCell ref="M480:P480"/>
    <mergeCell ref="M473:P473"/>
    <mergeCell ref="G469:I469"/>
    <mergeCell ref="F456:K456"/>
    <mergeCell ref="G457:H457"/>
    <mergeCell ref="L432:L433"/>
    <mergeCell ref="M432:P433"/>
    <mergeCell ref="L430:L431"/>
    <mergeCell ref="R430:R431"/>
    <mergeCell ref="S430:X431"/>
    <mergeCell ref="I430:I431"/>
    <mergeCell ref="A432:A433"/>
    <mergeCell ref="B432:G433"/>
    <mergeCell ref="H432:H433"/>
    <mergeCell ref="I432:I433"/>
    <mergeCell ref="M430:P431"/>
    <mergeCell ref="A430:A431"/>
    <mergeCell ref="B430:G431"/>
    <mergeCell ref="J430:J431"/>
    <mergeCell ref="K430:K431"/>
    <mergeCell ref="J432:J433"/>
    <mergeCell ref="B436:G436"/>
    <mergeCell ref="H430:H431"/>
    <mergeCell ref="M436:P436"/>
    <mergeCell ref="J437:J438"/>
    <mergeCell ref="K437:K438"/>
    <mergeCell ref="M439:P440"/>
    <mergeCell ref="L437:L438"/>
    <mergeCell ref="I437:I438"/>
    <mergeCell ref="M437:P438"/>
    <mergeCell ref="J439:J440"/>
    <mergeCell ref="A437:A438"/>
    <mergeCell ref="B437:G438"/>
    <mergeCell ref="A446:A447"/>
    <mergeCell ref="B446:G447"/>
    <mergeCell ref="H446:H447"/>
    <mergeCell ref="H437:H438"/>
    <mergeCell ref="B439:G440"/>
    <mergeCell ref="H439:H440"/>
    <mergeCell ref="I439:I440"/>
    <mergeCell ref="K439:K440"/>
    <mergeCell ref="L439:L440"/>
    <mergeCell ref="A444:A445"/>
    <mergeCell ref="B444:G445"/>
    <mergeCell ref="H444:H445"/>
    <mergeCell ref="I444:I445"/>
    <mergeCell ref="A439:A440"/>
    <mergeCell ref="M444:P445"/>
    <mergeCell ref="B443:G443"/>
    <mergeCell ref="M443:P443"/>
    <mergeCell ref="B399:G399"/>
    <mergeCell ref="A402:A403"/>
    <mergeCell ref="B402:G402"/>
    <mergeCell ref="H402:H403"/>
    <mergeCell ref="H400:H401"/>
    <mergeCell ref="B403:G403"/>
    <mergeCell ref="I407:J407"/>
    <mergeCell ref="K400:K401"/>
    <mergeCell ref="K402:K403"/>
    <mergeCell ref="G407:H407"/>
    <mergeCell ref="A395:A396"/>
    <mergeCell ref="B395:G396"/>
    <mergeCell ref="H395:H396"/>
    <mergeCell ref="I395:I396"/>
    <mergeCell ref="B401:G401"/>
    <mergeCell ref="A400:A401"/>
    <mergeCell ref="M413:P413"/>
    <mergeCell ref="G418:I418"/>
    <mergeCell ref="A418:F418"/>
    <mergeCell ref="A420:P420"/>
    <mergeCell ref="J415:L415"/>
    <mergeCell ref="M415:N415"/>
    <mergeCell ref="G419:I419"/>
    <mergeCell ref="D415:G415"/>
    <mergeCell ref="I453:I454"/>
    <mergeCell ref="J453:J454"/>
    <mergeCell ref="H453:H454"/>
    <mergeCell ref="K444:K445"/>
    <mergeCell ref="J444:J445"/>
    <mergeCell ref="L444:L445"/>
    <mergeCell ref="B450:G450"/>
    <mergeCell ref="M450:P450"/>
    <mergeCell ref="M451:P452"/>
    <mergeCell ref="J446:J447"/>
    <mergeCell ref="K446:K447"/>
    <mergeCell ref="I446:I447"/>
    <mergeCell ref="I451:I452"/>
    <mergeCell ref="J451:J452"/>
    <mergeCell ref="K451:K452"/>
    <mergeCell ref="L451:L452"/>
    <mergeCell ref="M446:P447"/>
    <mergeCell ref="L446:L447"/>
    <mergeCell ref="L453:L454"/>
    <mergeCell ref="M453:P454"/>
    <mergeCell ref="B454:G454"/>
    <mergeCell ref="A425:A426"/>
    <mergeCell ref="B425:G426"/>
    <mergeCell ref="H425:H426"/>
    <mergeCell ref="I425:I426"/>
    <mergeCell ref="B452:G452"/>
    <mergeCell ref="B453:G453"/>
    <mergeCell ref="A451:A452"/>
    <mergeCell ref="B451:G451"/>
    <mergeCell ref="A453:A454"/>
    <mergeCell ref="H451:H452"/>
    <mergeCell ref="B429:G429"/>
    <mergeCell ref="M429:P429"/>
    <mergeCell ref="A423:A424"/>
    <mergeCell ref="B423:G424"/>
    <mergeCell ref="H423:H424"/>
    <mergeCell ref="I423:I424"/>
    <mergeCell ref="J418:O418"/>
    <mergeCell ref="B422:G422"/>
    <mergeCell ref="M422:P422"/>
    <mergeCell ref="S376:X376"/>
    <mergeCell ref="R377:R378"/>
    <mergeCell ref="J374:J375"/>
    <mergeCell ref="M379:P380"/>
    <mergeCell ref="J379:J380"/>
    <mergeCell ref="K379:K380"/>
    <mergeCell ref="L374:L375"/>
    <mergeCell ref="M374:P375"/>
    <mergeCell ref="M378:P378"/>
    <mergeCell ref="M385:P385"/>
    <mergeCell ref="J381:J382"/>
    <mergeCell ref="K381:K382"/>
    <mergeCell ref="L381:L382"/>
    <mergeCell ref="M381:P382"/>
    <mergeCell ref="A374:A375"/>
    <mergeCell ref="B374:G375"/>
    <mergeCell ref="H374:H375"/>
    <mergeCell ref="I374:I375"/>
    <mergeCell ref="A379:A380"/>
    <mergeCell ref="Y379:Y380"/>
    <mergeCell ref="B379:G380"/>
    <mergeCell ref="H379:H380"/>
    <mergeCell ref="I379:I380"/>
    <mergeCell ref="L379:L380"/>
    <mergeCell ref="A386:A387"/>
    <mergeCell ref="B386:G387"/>
    <mergeCell ref="H386:H387"/>
    <mergeCell ref="I386:I387"/>
    <mergeCell ref="A381:A382"/>
    <mergeCell ref="B381:G382"/>
    <mergeCell ref="B385:G385"/>
    <mergeCell ref="L386:L387"/>
    <mergeCell ref="M386:P387"/>
    <mergeCell ref="L388:L389"/>
    <mergeCell ref="J386:J387"/>
    <mergeCell ref="K386:K387"/>
    <mergeCell ref="J388:J389"/>
    <mergeCell ref="K388:K389"/>
    <mergeCell ref="K393:K394"/>
    <mergeCell ref="L393:L394"/>
    <mergeCell ref="A393:A394"/>
    <mergeCell ref="B393:G394"/>
    <mergeCell ref="J393:J394"/>
    <mergeCell ref="A388:A389"/>
    <mergeCell ref="I393:I394"/>
    <mergeCell ref="B392:G392"/>
    <mergeCell ref="M402:P403"/>
    <mergeCell ref="J402:J403"/>
    <mergeCell ref="K395:K396"/>
    <mergeCell ref="J395:J396"/>
    <mergeCell ref="L395:L396"/>
    <mergeCell ref="M395:P396"/>
    <mergeCell ref="M400:P401"/>
    <mergeCell ref="L402:L403"/>
    <mergeCell ref="L400:L401"/>
    <mergeCell ref="J400:J401"/>
    <mergeCell ref="B400:G400"/>
    <mergeCell ref="Z354:Z355"/>
    <mergeCell ref="S353:X353"/>
    <mergeCell ref="AD353:AF353"/>
    <mergeCell ref="AD354:AF355"/>
    <mergeCell ref="AB354:AB355"/>
    <mergeCell ref="AC354:AC355"/>
    <mergeCell ref="AA354:AA355"/>
    <mergeCell ref="A349:A350"/>
    <mergeCell ref="B349:G349"/>
    <mergeCell ref="B350:G350"/>
    <mergeCell ref="R354:R355"/>
    <mergeCell ref="S354:X355"/>
    <mergeCell ref="Y354:Y355"/>
    <mergeCell ref="A351:A352"/>
    <mergeCell ref="B351:G351"/>
    <mergeCell ref="F354:K354"/>
    <mergeCell ref="G355:H355"/>
    <mergeCell ref="K372:K373"/>
    <mergeCell ref="A372:A373"/>
    <mergeCell ref="J372:J373"/>
    <mergeCell ref="I355:J355"/>
    <mergeCell ref="J351:J352"/>
    <mergeCell ref="D364:G364"/>
    <mergeCell ref="K351:K352"/>
    <mergeCell ref="G356:H356"/>
    <mergeCell ref="I356:J356"/>
    <mergeCell ref="H351:H352"/>
    <mergeCell ref="I351:I352"/>
    <mergeCell ref="A367:F367"/>
    <mergeCell ref="J367:O367"/>
    <mergeCell ref="G367:I367"/>
    <mergeCell ref="L351:L352"/>
    <mergeCell ref="M351:P352"/>
    <mergeCell ref="M371:P371"/>
    <mergeCell ref="G368:I368"/>
    <mergeCell ref="M372:P373"/>
    <mergeCell ref="R350:W350"/>
    <mergeCell ref="X350:Y350"/>
    <mergeCell ref="Z350:AE350"/>
    <mergeCell ref="X373:Y373"/>
    <mergeCell ref="Z373:AE373"/>
    <mergeCell ref="L372:L373"/>
    <mergeCell ref="B341:G341"/>
    <mergeCell ref="J335:J336"/>
    <mergeCell ref="I335:I336"/>
    <mergeCell ref="J337:J338"/>
    <mergeCell ref="J349:J350"/>
    <mergeCell ref="M344:P345"/>
    <mergeCell ref="J342:J343"/>
    <mergeCell ref="M335:P336"/>
    <mergeCell ref="M349:P350"/>
    <mergeCell ref="M341:P341"/>
    <mergeCell ref="L335:L336"/>
    <mergeCell ref="M337:P338"/>
    <mergeCell ref="K335:K336"/>
    <mergeCell ref="L349:L350"/>
    <mergeCell ref="L344:L345"/>
    <mergeCell ref="M348:P348"/>
    <mergeCell ref="K349:K350"/>
    <mergeCell ref="L342:L343"/>
    <mergeCell ref="M342:P343"/>
    <mergeCell ref="K344:K345"/>
    <mergeCell ref="L330:L331"/>
    <mergeCell ref="K342:K343"/>
    <mergeCell ref="K337:K338"/>
    <mergeCell ref="L337:L338"/>
    <mergeCell ref="K330:K331"/>
    <mergeCell ref="M334:P334"/>
    <mergeCell ref="M330:P331"/>
    <mergeCell ref="F359:I359"/>
    <mergeCell ref="F360:I360"/>
    <mergeCell ref="B352:G352"/>
    <mergeCell ref="B372:G373"/>
    <mergeCell ref="H372:H373"/>
    <mergeCell ref="B330:G331"/>
    <mergeCell ref="H330:H331"/>
    <mergeCell ref="P366:Q366"/>
    <mergeCell ref="A369:P369"/>
    <mergeCell ref="A337:A338"/>
    <mergeCell ref="B337:G338"/>
    <mergeCell ref="A335:A336"/>
    <mergeCell ref="B388:G389"/>
    <mergeCell ref="H388:H389"/>
    <mergeCell ref="I388:I389"/>
    <mergeCell ref="I381:I382"/>
    <mergeCell ref="K374:K375"/>
    <mergeCell ref="M298:P299"/>
    <mergeCell ref="M291:P292"/>
    <mergeCell ref="M293:P294"/>
    <mergeCell ref="M300:P301"/>
    <mergeCell ref="H293:H294"/>
    <mergeCell ref="A344:A345"/>
    <mergeCell ref="B344:G345"/>
    <mergeCell ref="H344:H345"/>
    <mergeCell ref="A342:A343"/>
    <mergeCell ref="B342:G343"/>
    <mergeCell ref="H323:H324"/>
    <mergeCell ref="I321:I322"/>
    <mergeCell ref="J313:L313"/>
    <mergeCell ref="G317:I317"/>
    <mergeCell ref="P315:Q315"/>
    <mergeCell ref="B320:G320"/>
    <mergeCell ref="M320:P320"/>
    <mergeCell ref="D313:G313"/>
    <mergeCell ref="M313:N313"/>
    <mergeCell ref="M323:P324"/>
    <mergeCell ref="F309:I309"/>
    <mergeCell ref="K310:P310"/>
    <mergeCell ref="L323:L324"/>
    <mergeCell ref="K323:K324"/>
    <mergeCell ref="K321:K322"/>
    <mergeCell ref="A316:F316"/>
    <mergeCell ref="J316:O316"/>
    <mergeCell ref="G316:I316"/>
    <mergeCell ref="A318:P318"/>
    <mergeCell ref="L321:L322"/>
    <mergeCell ref="F303:K303"/>
    <mergeCell ref="G304:H304"/>
    <mergeCell ref="I304:J304"/>
    <mergeCell ref="G305:H305"/>
    <mergeCell ref="I305:J305"/>
    <mergeCell ref="F308:I308"/>
    <mergeCell ref="L328:L329"/>
    <mergeCell ref="A328:A329"/>
    <mergeCell ref="B328:G329"/>
    <mergeCell ref="H328:H329"/>
    <mergeCell ref="I328:I329"/>
    <mergeCell ref="M327:P327"/>
    <mergeCell ref="M328:P329"/>
    <mergeCell ref="B327:G327"/>
    <mergeCell ref="A323:A324"/>
    <mergeCell ref="B323:G324"/>
    <mergeCell ref="B321:G322"/>
    <mergeCell ref="J328:J329"/>
    <mergeCell ref="K328:K329"/>
    <mergeCell ref="H321:H322"/>
    <mergeCell ref="J321:J322"/>
    <mergeCell ref="A321:A322"/>
    <mergeCell ref="J323:J324"/>
    <mergeCell ref="I323:I324"/>
    <mergeCell ref="B299:G299"/>
    <mergeCell ref="J330:J331"/>
    <mergeCell ref="J344:J345"/>
    <mergeCell ref="A330:A331"/>
    <mergeCell ref="I330:I331"/>
    <mergeCell ref="M286:P287"/>
    <mergeCell ref="B290:G290"/>
    <mergeCell ref="M290:P290"/>
    <mergeCell ref="J293:J294"/>
    <mergeCell ref="I293:I294"/>
    <mergeCell ref="H286:H287"/>
    <mergeCell ref="I286:I287"/>
    <mergeCell ref="J286:J287"/>
    <mergeCell ref="K286:K287"/>
    <mergeCell ref="M297:P297"/>
    <mergeCell ref="J298:J299"/>
    <mergeCell ref="K298:K299"/>
    <mergeCell ref="I298:I299"/>
    <mergeCell ref="A291:A292"/>
    <mergeCell ref="B291:G292"/>
    <mergeCell ref="H291:H292"/>
    <mergeCell ref="A298:A299"/>
    <mergeCell ref="B298:G298"/>
    <mergeCell ref="B297:G297"/>
    <mergeCell ref="M272:P273"/>
    <mergeCell ref="A300:A301"/>
    <mergeCell ref="B300:G300"/>
    <mergeCell ref="B301:G301"/>
    <mergeCell ref="K293:K294"/>
    <mergeCell ref="L293:L294"/>
    <mergeCell ref="L298:L299"/>
    <mergeCell ref="H298:H299"/>
    <mergeCell ref="A293:A294"/>
    <mergeCell ref="B293:G294"/>
    <mergeCell ref="H300:H301"/>
    <mergeCell ref="I300:I301"/>
    <mergeCell ref="L300:L301"/>
    <mergeCell ref="J300:J301"/>
    <mergeCell ref="K300:K301"/>
    <mergeCell ref="L272:L273"/>
    <mergeCell ref="L286:L287"/>
    <mergeCell ref="A272:A273"/>
    <mergeCell ref="B272:G273"/>
    <mergeCell ref="H272:H273"/>
    <mergeCell ref="I272:I273"/>
    <mergeCell ref="K272:K273"/>
    <mergeCell ref="B276:G276"/>
    <mergeCell ref="J272:J273"/>
    <mergeCell ref="A279:A280"/>
    <mergeCell ref="A277:A278"/>
    <mergeCell ref="B277:G278"/>
    <mergeCell ref="H277:H278"/>
    <mergeCell ref="I277:I278"/>
    <mergeCell ref="B279:G280"/>
    <mergeCell ref="H279:H280"/>
    <mergeCell ref="A286:A287"/>
    <mergeCell ref="B286:G287"/>
    <mergeCell ref="M284:P285"/>
    <mergeCell ref="J284:J285"/>
    <mergeCell ref="K284:K285"/>
    <mergeCell ref="L284:L285"/>
    <mergeCell ref="H284:H285"/>
    <mergeCell ref="I284:I285"/>
    <mergeCell ref="A284:A285"/>
    <mergeCell ref="B284:G285"/>
    <mergeCell ref="B283:G283"/>
    <mergeCell ref="M277:P278"/>
    <mergeCell ref="R275:R276"/>
    <mergeCell ref="S275:X276"/>
    <mergeCell ref="Y275:Y276"/>
    <mergeCell ref="K247:K248"/>
    <mergeCell ref="I247:I248"/>
    <mergeCell ref="M260:P260"/>
    <mergeCell ref="F252:K252"/>
    <mergeCell ref="G253:H253"/>
    <mergeCell ref="M262:N262"/>
    <mergeCell ref="G254:H254"/>
    <mergeCell ref="I254:J254"/>
    <mergeCell ref="J262:L262"/>
    <mergeCell ref="K259:P259"/>
    <mergeCell ref="J270:J271"/>
    <mergeCell ref="M270:P271"/>
    <mergeCell ref="A249:A250"/>
    <mergeCell ref="B249:G249"/>
    <mergeCell ref="H249:H250"/>
    <mergeCell ref="I253:J253"/>
    <mergeCell ref="B250:G250"/>
    <mergeCell ref="K249:K250"/>
    <mergeCell ref="J249:J250"/>
    <mergeCell ref="I249:I250"/>
    <mergeCell ref="L249:L250"/>
    <mergeCell ref="A270:A271"/>
    <mergeCell ref="K270:K271"/>
    <mergeCell ref="R271:W271"/>
    <mergeCell ref="X271:Y271"/>
    <mergeCell ref="B270:G271"/>
    <mergeCell ref="H270:H271"/>
    <mergeCell ref="I270:I271"/>
    <mergeCell ref="A267:P267"/>
    <mergeCell ref="L270:L271"/>
    <mergeCell ref="A247:A248"/>
    <mergeCell ref="B247:G247"/>
    <mergeCell ref="B228:G229"/>
    <mergeCell ref="H228:H229"/>
    <mergeCell ref="A226:A227"/>
    <mergeCell ref="B226:G227"/>
    <mergeCell ref="H226:H227"/>
    <mergeCell ref="A221:A222"/>
    <mergeCell ref="A228:A229"/>
    <mergeCell ref="B225:G225"/>
    <mergeCell ref="J235:J236"/>
    <mergeCell ref="K235:K236"/>
    <mergeCell ref="L235:L236"/>
    <mergeCell ref="K228:K229"/>
    <mergeCell ref="J226:J227"/>
    <mergeCell ref="K226:K227"/>
    <mergeCell ref="A240:A241"/>
    <mergeCell ref="B240:G241"/>
    <mergeCell ref="H240:H241"/>
    <mergeCell ref="A235:A236"/>
    <mergeCell ref="B235:G236"/>
    <mergeCell ref="B239:G239"/>
    <mergeCell ref="K219:K220"/>
    <mergeCell ref="J221:J222"/>
    <mergeCell ref="H233:H234"/>
    <mergeCell ref="K221:K222"/>
    <mergeCell ref="I221:I222"/>
    <mergeCell ref="I228:I229"/>
    <mergeCell ref="J228:J229"/>
    <mergeCell ref="J219:J220"/>
    <mergeCell ref="I219:I220"/>
    <mergeCell ref="I226:I227"/>
    <mergeCell ref="B219:G220"/>
    <mergeCell ref="H219:H220"/>
    <mergeCell ref="M283:P283"/>
    <mergeCell ref="L279:L280"/>
    <mergeCell ref="M279:P280"/>
    <mergeCell ref="J279:J280"/>
    <mergeCell ref="J277:J278"/>
    <mergeCell ref="K277:K278"/>
    <mergeCell ref="L277:L278"/>
    <mergeCell ref="B248:G248"/>
    <mergeCell ref="J265:O265"/>
    <mergeCell ref="B269:G269"/>
    <mergeCell ref="A265:F265"/>
    <mergeCell ref="M269:P269"/>
    <mergeCell ref="G265:I265"/>
    <mergeCell ref="K279:K280"/>
    <mergeCell ref="M276:P276"/>
    <mergeCell ref="I279:I280"/>
    <mergeCell ref="A242:A243"/>
    <mergeCell ref="H247:H248"/>
    <mergeCell ref="J247:J248"/>
    <mergeCell ref="K242:K243"/>
    <mergeCell ref="B246:G246"/>
    <mergeCell ref="B242:G243"/>
    <mergeCell ref="H242:H243"/>
    <mergeCell ref="I242:I243"/>
    <mergeCell ref="R234:W234"/>
    <mergeCell ref="X234:Y234"/>
    <mergeCell ref="J233:J234"/>
    <mergeCell ref="K233:K234"/>
    <mergeCell ref="I233:I234"/>
    <mergeCell ref="J177:J178"/>
    <mergeCell ref="A175:A176"/>
    <mergeCell ref="B175:G176"/>
    <mergeCell ref="H175:H176"/>
    <mergeCell ref="I175:I176"/>
    <mergeCell ref="A177:A178"/>
    <mergeCell ref="B177:G178"/>
    <mergeCell ref="I177:I178"/>
    <mergeCell ref="A216:P216"/>
    <mergeCell ref="M242:P243"/>
    <mergeCell ref="J240:J241"/>
    <mergeCell ref="K240:K241"/>
    <mergeCell ref="M246:P246"/>
    <mergeCell ref="M240:P241"/>
    <mergeCell ref="L240:L241"/>
    <mergeCell ref="I235:I236"/>
    <mergeCell ref="H235:H236"/>
    <mergeCell ref="I240:I241"/>
    <mergeCell ref="L198:L199"/>
    <mergeCell ref="M198:P199"/>
    <mergeCell ref="B199:G199"/>
    <mergeCell ref="J198:J199"/>
    <mergeCell ref="K198:K199"/>
    <mergeCell ref="B197:G197"/>
    <mergeCell ref="B195:G195"/>
    <mergeCell ref="M195:P195"/>
    <mergeCell ref="M218:P218"/>
    <mergeCell ref="L196:L197"/>
    <mergeCell ref="M196:P197"/>
    <mergeCell ref="K196:K197"/>
    <mergeCell ref="I196:I197"/>
    <mergeCell ref="J196:J197"/>
    <mergeCell ref="I198:I199"/>
    <mergeCell ref="M209:P209"/>
    <mergeCell ref="G203:H203"/>
    <mergeCell ref="I203:J203"/>
    <mergeCell ref="G214:I214"/>
    <mergeCell ref="J214:O214"/>
    <mergeCell ref="M211:N211"/>
    <mergeCell ref="J211:L211"/>
    <mergeCell ref="F206:I206"/>
    <mergeCell ref="F207:I207"/>
    <mergeCell ref="K208:P208"/>
    <mergeCell ref="F201:K201"/>
    <mergeCell ref="G202:H202"/>
    <mergeCell ref="I202:J202"/>
    <mergeCell ref="B221:G222"/>
    <mergeCell ref="H221:H222"/>
    <mergeCell ref="B218:G218"/>
    <mergeCell ref="A214:F214"/>
    <mergeCell ref="A219:A220"/>
    <mergeCell ref="A191:A192"/>
    <mergeCell ref="J182:J183"/>
    <mergeCell ref="A182:A183"/>
    <mergeCell ref="B182:G183"/>
    <mergeCell ref="B188:G188"/>
    <mergeCell ref="B191:G192"/>
    <mergeCell ref="A184:A185"/>
    <mergeCell ref="J184:J185"/>
    <mergeCell ref="A189:A190"/>
    <mergeCell ref="B184:G185"/>
    <mergeCell ref="H184:H185"/>
    <mergeCell ref="I184:I185"/>
    <mergeCell ref="B189:G190"/>
    <mergeCell ref="M191:P192"/>
    <mergeCell ref="M188:P188"/>
    <mergeCell ref="M184:P185"/>
    <mergeCell ref="K184:K185"/>
    <mergeCell ref="L184:L185"/>
    <mergeCell ref="M189:P190"/>
    <mergeCell ref="J191:J192"/>
    <mergeCell ref="M167:P167"/>
    <mergeCell ref="H191:H192"/>
    <mergeCell ref="J189:J190"/>
    <mergeCell ref="L189:L190"/>
    <mergeCell ref="K191:K192"/>
    <mergeCell ref="L191:L192"/>
    <mergeCell ref="H189:H190"/>
    <mergeCell ref="I189:I190"/>
    <mergeCell ref="I191:I192"/>
    <mergeCell ref="K189:K190"/>
    <mergeCell ref="M175:P176"/>
    <mergeCell ref="M170:P171"/>
    <mergeCell ref="M174:P174"/>
    <mergeCell ref="J170:J171"/>
    <mergeCell ref="B170:G171"/>
    <mergeCell ref="A170:A171"/>
    <mergeCell ref="Z122:Z123"/>
    <mergeCell ref="B130:G130"/>
    <mergeCell ref="Y124:Y125"/>
    <mergeCell ref="Z124:Z125"/>
    <mergeCell ref="B124:G125"/>
    <mergeCell ref="H124:H125"/>
    <mergeCell ref="I124:I125"/>
    <mergeCell ref="K131:K132"/>
    <mergeCell ref="L131:L132"/>
    <mergeCell ref="K126:K127"/>
    <mergeCell ref="L126:L127"/>
    <mergeCell ref="J131:J132"/>
    <mergeCell ref="A126:A127"/>
    <mergeCell ref="B126:G127"/>
    <mergeCell ref="H126:H127"/>
    <mergeCell ref="I126:I127"/>
    <mergeCell ref="L133:L134"/>
    <mergeCell ref="J133:J134"/>
    <mergeCell ref="K133:K134"/>
    <mergeCell ref="I133:I134"/>
    <mergeCell ref="B137:G137"/>
    <mergeCell ref="M133:P134"/>
    <mergeCell ref="A131:A132"/>
    <mergeCell ref="B131:G132"/>
    <mergeCell ref="H131:H132"/>
    <mergeCell ref="I131:I132"/>
    <mergeCell ref="A133:A134"/>
    <mergeCell ref="B133:G134"/>
    <mergeCell ref="H133:H134"/>
    <mergeCell ref="R124:R125"/>
    <mergeCell ref="J124:J125"/>
    <mergeCell ref="I182:I183"/>
    <mergeCell ref="M181:P181"/>
    <mergeCell ref="K182:K183"/>
    <mergeCell ref="K177:K178"/>
    <mergeCell ref="L182:L183"/>
    <mergeCell ref="M182:P183"/>
    <mergeCell ref="L177:L178"/>
    <mergeCell ref="H177:H178"/>
    <mergeCell ref="A145:A146"/>
    <mergeCell ref="B145:G145"/>
    <mergeCell ref="L147:L148"/>
    <mergeCell ref="M147:P148"/>
    <mergeCell ref="J147:J148"/>
    <mergeCell ref="K147:K148"/>
    <mergeCell ref="M140:P141"/>
    <mergeCell ref="B146:G146"/>
    <mergeCell ref="K170:K171"/>
    <mergeCell ref="L170:L171"/>
    <mergeCell ref="H170:H171"/>
    <mergeCell ref="I170:I171"/>
    <mergeCell ref="L168:L169"/>
    <mergeCell ref="M168:P169"/>
    <mergeCell ref="J168:J169"/>
    <mergeCell ref="A168:A169"/>
    <mergeCell ref="B168:G169"/>
    <mergeCell ref="I168:I169"/>
    <mergeCell ref="A147:A148"/>
    <mergeCell ref="B147:G147"/>
    <mergeCell ref="H147:H148"/>
    <mergeCell ref="I147:I148"/>
    <mergeCell ref="B148:G148"/>
    <mergeCell ref="A165:P165"/>
    <mergeCell ref="B167:G167"/>
    <mergeCell ref="K168:K169"/>
    <mergeCell ref="G164:I164"/>
    <mergeCell ref="M130:P130"/>
    <mergeCell ref="M131:P132"/>
    <mergeCell ref="R132:W132"/>
    <mergeCell ref="K175:K176"/>
    <mergeCell ref="X132:Y132"/>
    <mergeCell ref="M124:P125"/>
    <mergeCell ref="L124:L125"/>
    <mergeCell ref="J126:J127"/>
    <mergeCell ref="I22:I23"/>
    <mergeCell ref="K45:K46"/>
    <mergeCell ref="J43:J44"/>
    <mergeCell ref="M36:P37"/>
    <mergeCell ref="M35:P35"/>
    <mergeCell ref="M42:P42"/>
    <mergeCell ref="M43:P44"/>
    <mergeCell ref="K43:K44"/>
    <mergeCell ref="B80:G81"/>
    <mergeCell ref="M94:P95"/>
    <mergeCell ref="L94:L95"/>
    <mergeCell ref="M93:P93"/>
    <mergeCell ref="M80:P81"/>
    <mergeCell ref="M82:P83"/>
    <mergeCell ref="L82:L83"/>
    <mergeCell ref="M89:P90"/>
    <mergeCell ref="L87:L88"/>
    <mergeCell ref="M56:P56"/>
    <mergeCell ref="L89:L90"/>
    <mergeCell ref="A45:A46"/>
    <mergeCell ref="B45:G45"/>
    <mergeCell ref="B46:G46"/>
    <mergeCell ref="H43:H44"/>
    <mergeCell ref="A43:A44"/>
    <mergeCell ref="B43:G43"/>
    <mergeCell ref="B44:G44"/>
    <mergeCell ref="B75:G76"/>
    <mergeCell ref="M72:P72"/>
    <mergeCell ref="B42:G42"/>
    <mergeCell ref="J36:J37"/>
    <mergeCell ref="J38:J39"/>
    <mergeCell ref="F48:K48"/>
    <mergeCell ref="L45:L46"/>
    <mergeCell ref="G61:I61"/>
    <mergeCell ref="G49:H49"/>
    <mergeCell ref="I50:J50"/>
    <mergeCell ref="G50:H50"/>
    <mergeCell ref="B65:G65"/>
    <mergeCell ref="L68:L69"/>
    <mergeCell ref="M68:P69"/>
    <mergeCell ref="K68:K69"/>
    <mergeCell ref="B66:G67"/>
    <mergeCell ref="H66:H67"/>
    <mergeCell ref="J66:J67"/>
    <mergeCell ref="A75:A76"/>
    <mergeCell ref="H68:H69"/>
    <mergeCell ref="I68:I69"/>
    <mergeCell ref="A73:A74"/>
    <mergeCell ref="A94:A95"/>
    <mergeCell ref="I89:I90"/>
    <mergeCell ref="A87:A88"/>
    <mergeCell ref="H87:H88"/>
    <mergeCell ref="I87:I88"/>
    <mergeCell ref="H75:H76"/>
    <mergeCell ref="B73:G74"/>
    <mergeCell ref="A89:A90"/>
    <mergeCell ref="H73:H74"/>
    <mergeCell ref="I75:I76"/>
    <mergeCell ref="A61:F61"/>
    <mergeCell ref="A66:A67"/>
    <mergeCell ref="A10:F10"/>
    <mergeCell ref="B14:G14"/>
    <mergeCell ref="L24:L25"/>
    <mergeCell ref="G10:I10"/>
    <mergeCell ref="J10:O10"/>
    <mergeCell ref="G11:I11"/>
    <mergeCell ref="A15:A16"/>
    <mergeCell ref="B17:G18"/>
    <mergeCell ref="B15:G16"/>
    <mergeCell ref="M24:P25"/>
    <mergeCell ref="A22:A23"/>
    <mergeCell ref="A24:A25"/>
    <mergeCell ref="B28:G28"/>
    <mergeCell ref="K31:K32"/>
    <mergeCell ref="J22:J23"/>
    <mergeCell ref="H24:H25"/>
    <mergeCell ref="J24:J25"/>
    <mergeCell ref="K29:K30"/>
    <mergeCell ref="H29:H30"/>
    <mergeCell ref="B24:G25"/>
    <mergeCell ref="I38:I39"/>
    <mergeCell ref="B31:G32"/>
    <mergeCell ref="M28:P28"/>
    <mergeCell ref="L36:L37"/>
    <mergeCell ref="H31:H32"/>
    <mergeCell ref="M38:P39"/>
    <mergeCell ref="M31:P32"/>
    <mergeCell ref="J673:O673"/>
    <mergeCell ref="L73:L74"/>
    <mergeCell ref="M86:P86"/>
    <mergeCell ref="L75:L76"/>
    <mergeCell ref="M75:P76"/>
    <mergeCell ref="M79:P79"/>
    <mergeCell ref="L80:L81"/>
    <mergeCell ref="L96:L97"/>
    <mergeCell ref="M137:P137"/>
    <mergeCell ref="J138:J139"/>
    <mergeCell ref="M481:P482"/>
    <mergeCell ref="J476:J477"/>
    <mergeCell ref="K476:K477"/>
    <mergeCell ref="L481:L482"/>
    <mergeCell ref="I502:I503"/>
    <mergeCell ref="J657:J658"/>
    <mergeCell ref="M495:P496"/>
    <mergeCell ref="K495:K496"/>
    <mergeCell ref="L495:L496"/>
    <mergeCell ref="J497:J498"/>
    <mergeCell ref="M423:P424"/>
    <mergeCell ref="J423:J424"/>
    <mergeCell ref="K423:K424"/>
    <mergeCell ref="L423:L424"/>
    <mergeCell ref="K432:K433"/>
    <mergeCell ref="K453:K454"/>
    <mergeCell ref="J425:J426"/>
    <mergeCell ref="K425:K426"/>
    <mergeCell ref="L425:L426"/>
    <mergeCell ref="M425:P426"/>
    <mergeCell ref="J163:O163"/>
    <mergeCell ref="L175:L176"/>
    <mergeCell ref="J242:J243"/>
    <mergeCell ref="J291:J292"/>
    <mergeCell ref="K291:K292"/>
    <mergeCell ref="I291:I292"/>
    <mergeCell ref="L291:L292"/>
    <mergeCell ref="K15:K16"/>
    <mergeCell ref="J29:J30"/>
    <mergeCell ref="L29:L30"/>
    <mergeCell ref="J31:J32"/>
    <mergeCell ref="L31:L32"/>
    <mergeCell ref="I49:J49"/>
    <mergeCell ref="J61:O61"/>
    <mergeCell ref="K75:K76"/>
    <mergeCell ref="M73:P74"/>
    <mergeCell ref="M58:N58"/>
    <mergeCell ref="J634:J635"/>
    <mergeCell ref="G674:I674"/>
    <mergeCell ref="I643:I644"/>
    <mergeCell ref="H657:H658"/>
    <mergeCell ref="I657:I658"/>
    <mergeCell ref="I706:I707"/>
    <mergeCell ref="J706:J707"/>
    <mergeCell ref="K706:K707"/>
    <mergeCell ref="B699:G700"/>
    <mergeCell ref="H699:H700"/>
    <mergeCell ref="K708:K709"/>
    <mergeCell ref="B707:G707"/>
    <mergeCell ref="B708:G708"/>
    <mergeCell ref="H708:H709"/>
    <mergeCell ref="I708:I709"/>
    <mergeCell ref="J708:J709"/>
    <mergeCell ref="B706:G706"/>
    <mergeCell ref="H706:H707"/>
    <mergeCell ref="L634:L635"/>
    <mergeCell ref="H636:H637"/>
    <mergeCell ref="F711:K711"/>
    <mergeCell ref="G712:H712"/>
    <mergeCell ref="I712:J712"/>
    <mergeCell ref="I31:I32"/>
    <mergeCell ref="I36:I37"/>
    <mergeCell ref="I15:I16"/>
    <mergeCell ref="H15:H16"/>
    <mergeCell ref="H17:H18"/>
    <mergeCell ref="I17:I18"/>
    <mergeCell ref="G101:H101"/>
    <mergeCell ref="I101:J101"/>
    <mergeCell ref="J96:J97"/>
    <mergeCell ref="H96:H97"/>
    <mergeCell ref="I96:I97"/>
    <mergeCell ref="I100:J100"/>
    <mergeCell ref="M22:P23"/>
    <mergeCell ref="K38:K39"/>
    <mergeCell ref="B29:G30"/>
    <mergeCell ref="B21:G21"/>
    <mergeCell ref="B22:G23"/>
    <mergeCell ref="H45:H46"/>
    <mergeCell ref="B36:G37"/>
    <mergeCell ref="B35:G35"/>
    <mergeCell ref="I45:I46"/>
    <mergeCell ref="B38:G39"/>
    <mergeCell ref="L17:L18"/>
    <mergeCell ref="J17:J18"/>
    <mergeCell ref="J15:J16"/>
    <mergeCell ref="L43:L44"/>
    <mergeCell ref="L22:L23"/>
    <mergeCell ref="I43:I44"/>
    <mergeCell ref="L38:L39"/>
    <mergeCell ref="K36:K37"/>
    <mergeCell ref="I29:I30"/>
    <mergeCell ref="I24:I25"/>
    <mergeCell ref="K119:K120"/>
    <mergeCell ref="I119:I120"/>
    <mergeCell ref="L119:L120"/>
    <mergeCell ref="M107:P107"/>
    <mergeCell ref="M117:P118"/>
    <mergeCell ref="J112:O112"/>
    <mergeCell ref="L66:L67"/>
    <mergeCell ref="M66:P67"/>
    <mergeCell ref="M45:P46"/>
    <mergeCell ref="J364:L364"/>
    <mergeCell ref="J823:L823"/>
    <mergeCell ref="J466:L466"/>
    <mergeCell ref="J517:L517"/>
    <mergeCell ref="J568:L568"/>
    <mergeCell ref="J619:L619"/>
    <mergeCell ref="J670:L670"/>
    <mergeCell ref="J721:L721"/>
    <mergeCell ref="J481:J482"/>
    <mergeCell ref="K481:K482"/>
    <mergeCell ref="J160:L160"/>
    <mergeCell ref="K24:K25"/>
    <mergeCell ref="I729:I730"/>
    <mergeCell ref="G713:H713"/>
    <mergeCell ref="I713:J713"/>
    <mergeCell ref="G725:I725"/>
    <mergeCell ref="A724:F724"/>
    <mergeCell ref="A29:A30"/>
    <mergeCell ref="A36:A37"/>
    <mergeCell ref="A31:A32"/>
    <mergeCell ref="A68:A69"/>
    <mergeCell ref="M126:P127"/>
    <mergeCell ref="G163:I163"/>
    <mergeCell ref="A163:F163"/>
    <mergeCell ref="H145:H146"/>
    <mergeCell ref="I145:I146"/>
    <mergeCell ref="M144:P144"/>
    <mergeCell ref="K140:K141"/>
    <mergeCell ref="A196:A197"/>
    <mergeCell ref="B196:G196"/>
    <mergeCell ref="H196:H197"/>
    <mergeCell ref="A198:A199"/>
    <mergeCell ref="B198:G198"/>
    <mergeCell ref="H198:H199"/>
    <mergeCell ref="M233:P234"/>
    <mergeCell ref="M177:P178"/>
    <mergeCell ref="H182:H183"/>
    <mergeCell ref="M729:P730"/>
    <mergeCell ref="A138:A139"/>
    <mergeCell ref="B138:G139"/>
    <mergeCell ref="H138:H139"/>
    <mergeCell ref="M138:P139"/>
    <mergeCell ref="M158:P158"/>
    <mergeCell ref="I152:J152"/>
    <mergeCell ref="F155:I155"/>
    <mergeCell ref="F156:I156"/>
    <mergeCell ref="K157:P157"/>
    <mergeCell ref="A140:A141"/>
    <mergeCell ref="B140:G141"/>
    <mergeCell ref="H140:H141"/>
    <mergeCell ref="I140:I141"/>
    <mergeCell ref="P60:Q60"/>
    <mergeCell ref="P111:Q111"/>
    <mergeCell ref="P162:Q162"/>
    <mergeCell ref="J7:L7"/>
    <mergeCell ref="J58:L58"/>
    <mergeCell ref="J109:L109"/>
    <mergeCell ref="J73:J74"/>
    <mergeCell ref="K73:K74"/>
    <mergeCell ref="L15:L16"/>
    <mergeCell ref="K17:K18"/>
    <mergeCell ref="K80:K81"/>
    <mergeCell ref="J80:J81"/>
    <mergeCell ref="J89:J90"/>
    <mergeCell ref="A82:A83"/>
    <mergeCell ref="B82:G83"/>
    <mergeCell ref="I82:I83"/>
    <mergeCell ref="J87:J88"/>
    <mergeCell ref="A80:A81"/>
    <mergeCell ref="I80:I81"/>
    <mergeCell ref="B87:G88"/>
    <mergeCell ref="B93:G93"/>
    <mergeCell ref="H94:H95"/>
    <mergeCell ref="H89:H90"/>
    <mergeCell ref="K89:K90"/>
    <mergeCell ref="I94:I95"/>
    <mergeCell ref="J82:J83"/>
    <mergeCell ref="H82:H83"/>
    <mergeCell ref="K82:K83"/>
    <mergeCell ref="H381:H382"/>
    <mergeCell ref="H393:H394"/>
    <mergeCell ref="B119:G120"/>
    <mergeCell ref="B97:G97"/>
    <mergeCell ref="K87:K88"/>
    <mergeCell ref="K66:K67"/>
    <mergeCell ref="I66:I67"/>
    <mergeCell ref="B95:G95"/>
    <mergeCell ref="K94:K95"/>
    <mergeCell ref="J94:J95"/>
    <mergeCell ref="H349:H350"/>
    <mergeCell ref="I344:I345"/>
    <mergeCell ref="B348:G348"/>
    <mergeCell ref="H335:H336"/>
    <mergeCell ref="B335:G336"/>
    <mergeCell ref="B378:G378"/>
    <mergeCell ref="I372:I373"/>
    <mergeCell ref="H342:H343"/>
    <mergeCell ref="I342:I343"/>
    <mergeCell ref="B371:G371"/>
    <mergeCell ref="G62:I62"/>
    <mergeCell ref="G113:I113"/>
    <mergeCell ref="A124:A125"/>
    <mergeCell ref="A119:A120"/>
    <mergeCell ref="A117:A118"/>
    <mergeCell ref="B117:G118"/>
    <mergeCell ref="F99:K99"/>
    <mergeCell ref="G100:H100"/>
    <mergeCell ref="K96:K97"/>
    <mergeCell ref="J75:J76"/>
    <mergeCell ref="J68:J69"/>
    <mergeCell ref="B94:G94"/>
    <mergeCell ref="B89:G90"/>
    <mergeCell ref="G215:I215"/>
    <mergeCell ref="G266:I266"/>
    <mergeCell ref="I349:I350"/>
    <mergeCell ref="B334:G334"/>
    <mergeCell ref="I337:I338"/>
    <mergeCell ref="B68:G69"/>
    <mergeCell ref="J2098:L2098"/>
    <mergeCell ref="J1955:J1956"/>
    <mergeCell ref="K1955:K1956"/>
    <mergeCell ref="L1969:L1970"/>
    <mergeCell ref="L1976:L1977"/>
    <mergeCell ref="I1987:J1987"/>
    <mergeCell ref="K2004:K2005"/>
    <mergeCell ref="G2000:I2000"/>
    <mergeCell ref="G2051:I2051"/>
    <mergeCell ref="G2038:H2038"/>
    <mergeCell ref="B654:G654"/>
    <mergeCell ref="I634:I635"/>
    <mergeCell ref="H643:H644"/>
    <mergeCell ref="H648:H649"/>
    <mergeCell ref="F660:K660"/>
    <mergeCell ref="F1935:K1935"/>
    <mergeCell ref="J724:O724"/>
    <mergeCell ref="B728:G728"/>
    <mergeCell ref="J699:J700"/>
    <mergeCell ref="K699:K700"/>
    <mergeCell ref="B86:G86"/>
    <mergeCell ref="H80:H81"/>
    <mergeCell ref="H629:H630"/>
    <mergeCell ref="B640:G640"/>
    <mergeCell ref="I636:I637"/>
    <mergeCell ref="B633:G633"/>
    <mergeCell ref="G112:I112"/>
    <mergeCell ref="H337:H338"/>
    <mergeCell ref="P978:Q978"/>
    <mergeCell ref="P2304:Q2304"/>
    <mergeCell ref="P2355:Q2355"/>
    <mergeCell ref="P2406:Q2406"/>
    <mergeCell ref="P2457:Q2457"/>
    <mergeCell ref="P417:Q417"/>
    <mergeCell ref="P468:Q468"/>
    <mergeCell ref="P519:Q519"/>
    <mergeCell ref="P570:Q570"/>
    <mergeCell ref="P621:Q621"/>
    <mergeCell ref="M392:P392"/>
    <mergeCell ref="M388:P389"/>
    <mergeCell ref="M393:P394"/>
    <mergeCell ref="M399:P399"/>
    <mergeCell ref="J175:J176"/>
    <mergeCell ref="H168:H169"/>
    <mergeCell ref="B174:G174"/>
    <mergeCell ref="B181:G181"/>
    <mergeCell ref="J140:J141"/>
    <mergeCell ref="I138:I139"/>
    <mergeCell ref="J145:J146"/>
    <mergeCell ref="K145:K146"/>
    <mergeCell ref="L145:L146"/>
    <mergeCell ref="B144:G144"/>
    <mergeCell ref="K138:K139"/>
    <mergeCell ref="L138:L139"/>
    <mergeCell ref="L140:L141"/>
    <mergeCell ref="M145:P146"/>
    <mergeCell ref="M228:P229"/>
    <mergeCell ref="L228:L229"/>
    <mergeCell ref="M221:P222"/>
    <mergeCell ref="L219:L220"/>
    <mergeCell ref="L226:L227"/>
    <mergeCell ref="M225:P225"/>
    <mergeCell ref="L221:L222"/>
    <mergeCell ref="M226:P227"/>
    <mergeCell ref="P213:Q213"/>
    <mergeCell ref="P264:Q264"/>
    <mergeCell ref="M87:P88"/>
    <mergeCell ref="M96:P97"/>
    <mergeCell ref="M119:P120"/>
    <mergeCell ref="M123:P123"/>
    <mergeCell ref="G3326:I3326"/>
    <mergeCell ref="G2816:I2816"/>
    <mergeCell ref="G2867:I2867"/>
    <mergeCell ref="G2918:I2918"/>
    <mergeCell ref="G2969:I2969"/>
    <mergeCell ref="G3020:I3020"/>
    <mergeCell ref="B2819:G2819"/>
    <mergeCell ref="B2820:G2821"/>
    <mergeCell ref="H2820:H2821"/>
    <mergeCell ref="I2834:I2835"/>
    <mergeCell ref="B116:G116"/>
    <mergeCell ref="M116:P116"/>
    <mergeCell ref="L117:L118"/>
    <mergeCell ref="J119:J120"/>
    <mergeCell ref="J117:J118"/>
    <mergeCell ref="I117:I118"/>
    <mergeCell ref="H119:H120"/>
    <mergeCell ref="K124:K125"/>
    <mergeCell ref="J2761:L2761"/>
    <mergeCell ref="J2771:J2772"/>
    <mergeCell ref="B72:G72"/>
    <mergeCell ref="I73:I74"/>
    <mergeCell ref="P1029:Q1029"/>
    <mergeCell ref="P1080:Q1080"/>
    <mergeCell ref="P1131:Q1131"/>
    <mergeCell ref="P1182:Q1182"/>
    <mergeCell ref="P1233:Q1233"/>
    <mergeCell ref="M986:P987"/>
    <mergeCell ref="M1048:P1048"/>
    <mergeCell ref="M1062:P1062"/>
    <mergeCell ref="M1086:P1087"/>
    <mergeCell ref="P672:Q672"/>
    <mergeCell ref="P723:Q723"/>
    <mergeCell ref="P774:Q774"/>
    <mergeCell ref="P825:Q825"/>
    <mergeCell ref="P876:Q876"/>
    <mergeCell ref="P927:Q927"/>
    <mergeCell ref="M680:P681"/>
    <mergeCell ref="J2391:J2392"/>
    <mergeCell ref="K2433:K2434"/>
    <mergeCell ref="L2433:L2434"/>
    <mergeCell ref="K2435:K2436"/>
    <mergeCell ref="J2435:J2436"/>
    <mergeCell ref="K2326:K2327"/>
    <mergeCell ref="L2326:L2327"/>
    <mergeCell ref="K2331:K2332"/>
    <mergeCell ref="L2331:L2332"/>
    <mergeCell ref="P2100:Q2100"/>
    <mergeCell ref="B79:G79"/>
    <mergeCell ref="A112:F112"/>
    <mergeCell ref="A96:A97"/>
    <mergeCell ref="H117:H118"/>
    <mergeCell ref="B123:G123"/>
    <mergeCell ref="J2741:J2742"/>
    <mergeCell ref="K2727:K2728"/>
    <mergeCell ref="K2771:K2772"/>
    <mergeCell ref="L2785:L2786"/>
    <mergeCell ref="L2792:L2793"/>
    <mergeCell ref="M2265:P2265"/>
    <mergeCell ref="M2289:P2290"/>
    <mergeCell ref="M2287:P2288"/>
    <mergeCell ref="M2302:N2302"/>
    <mergeCell ref="M2275:P2276"/>
    <mergeCell ref="K2338:K2339"/>
    <mergeCell ref="L2368:L2369"/>
    <mergeCell ref="M2418:P2418"/>
    <mergeCell ref="L2419:L2420"/>
    <mergeCell ref="M2419:P2420"/>
    <mergeCell ref="K2419:K2420"/>
    <mergeCell ref="M2414:P2415"/>
    <mergeCell ref="K2725:K2726"/>
    <mergeCell ref="L2725:L2726"/>
    <mergeCell ref="J2305:O2305"/>
    <mergeCell ref="M2324:P2325"/>
    <mergeCell ref="K2324:K2325"/>
    <mergeCell ref="M2331:P2332"/>
    <mergeCell ref="M2326:P2327"/>
    <mergeCell ref="J2506:L2506"/>
    <mergeCell ref="J2363:J2364"/>
    <mergeCell ref="K2363:K2364"/>
    <mergeCell ref="L2375:L2376"/>
    <mergeCell ref="J2407:O2407"/>
    <mergeCell ref="M2391:P2392"/>
    <mergeCell ref="K2412:K2413"/>
    <mergeCell ref="M2374:P2374"/>
    <mergeCell ref="J2370:J2371"/>
    <mergeCell ref="K2370:K2371"/>
    <mergeCell ref="P2508:Q2508"/>
    <mergeCell ref="J2368:J2369"/>
    <mergeCell ref="K2368:K2369"/>
    <mergeCell ref="M2822:P2823"/>
    <mergeCell ref="K2401:P2401"/>
    <mergeCell ref="L2442:L2443"/>
    <mergeCell ref="M2440:P2441"/>
    <mergeCell ref="M2442:P2443"/>
    <mergeCell ref="K2472:K2473"/>
    <mergeCell ref="L2472:L2473"/>
    <mergeCell ref="J2412:J2413"/>
    <mergeCell ref="F2598:K2598"/>
    <mergeCell ref="G2599:H2599"/>
    <mergeCell ref="I2599:J2599"/>
    <mergeCell ref="I2720:I2721"/>
    <mergeCell ref="B2731:G2731"/>
    <mergeCell ref="K2718:K2719"/>
    <mergeCell ref="A2713:F2713"/>
    <mergeCell ref="J2713:O2713"/>
    <mergeCell ref="J2710:L2710"/>
    <mergeCell ref="K2695:K2696"/>
    <mergeCell ref="I2688:I2689"/>
    <mergeCell ref="L2697:L2698"/>
    <mergeCell ref="L2688:L2689"/>
    <mergeCell ref="M2688:P2689"/>
    <mergeCell ref="L2695:L2696"/>
    <mergeCell ref="M2694:P2694"/>
    <mergeCell ref="L2690:L2691"/>
    <mergeCell ref="M2690:P2691"/>
    <mergeCell ref="I2695:I2696"/>
    <mergeCell ref="B2717:G2717"/>
    <mergeCell ref="M2717:P2717"/>
    <mergeCell ref="M2727:P2728"/>
    <mergeCell ref="B2720:G2721"/>
    <mergeCell ref="B2727:G2728"/>
    <mergeCell ref="M2535:P2536"/>
    <mergeCell ref="J2574:J2575"/>
    <mergeCell ref="K2574:K2575"/>
    <mergeCell ref="K2639:K2640"/>
    <mergeCell ref="M2639:P2640"/>
    <mergeCell ref="L2639:L2640"/>
    <mergeCell ref="L2667:L2668"/>
    <mergeCell ref="J2667:J2668"/>
    <mergeCell ref="K2667:K2668"/>
    <mergeCell ref="M2748:P2749"/>
    <mergeCell ref="M2428:P2429"/>
    <mergeCell ref="L2428:L2429"/>
    <mergeCell ref="M2432:P2432"/>
    <mergeCell ref="J2537:J2538"/>
    <mergeCell ref="K2537:K2538"/>
    <mergeCell ref="J2530:J2531"/>
    <mergeCell ref="J2535:J2536"/>
    <mergeCell ref="K2535:K2536"/>
    <mergeCell ref="L2574:L2575"/>
    <mergeCell ref="J2572:J2573"/>
    <mergeCell ref="K2572:K2573"/>
    <mergeCell ref="L2572:L2573"/>
    <mergeCell ref="L2595:L2596"/>
    <mergeCell ref="K2588:K2589"/>
    <mergeCell ref="J2725:J2726"/>
    <mergeCell ref="P3324:Q3324"/>
    <mergeCell ref="P2865:Q2865"/>
    <mergeCell ref="P2916:Q2916"/>
    <mergeCell ref="P2967:Q2967"/>
    <mergeCell ref="P3018:Q3018"/>
    <mergeCell ref="P3069:Q3069"/>
    <mergeCell ref="P3120:Q3120"/>
    <mergeCell ref="M2885:P2886"/>
    <mergeCell ref="M2901:P2902"/>
    <mergeCell ref="P2712:Q2712"/>
    <mergeCell ref="P2763:Q2763"/>
    <mergeCell ref="P2814:Q2814"/>
    <mergeCell ref="M2571:P2571"/>
    <mergeCell ref="M2618:P2619"/>
    <mergeCell ref="M2659:N2659"/>
    <mergeCell ref="M2673:P2673"/>
    <mergeCell ref="M2697:P2698"/>
    <mergeCell ref="M2695:P2696"/>
    <mergeCell ref="M2595:P2596"/>
    <mergeCell ref="M2912:P2912"/>
    <mergeCell ref="M2945:P2946"/>
    <mergeCell ref="L2945:L2946"/>
    <mergeCell ref="L2987:L2988"/>
    <mergeCell ref="M2987:P2988"/>
    <mergeCell ref="J2987:J2988"/>
    <mergeCell ref="K2783:K2784"/>
    <mergeCell ref="K2822:K2823"/>
    <mergeCell ref="L2822:L2823"/>
    <mergeCell ref="K2987:K2988"/>
    <mergeCell ref="M3088:P3088"/>
    <mergeCell ref="L3133:L3134"/>
    <mergeCell ref="M3133:P3134"/>
    <mergeCell ref="L3251:L3252"/>
    <mergeCell ref="J3249:J3250"/>
    <mergeCell ref="K3307:K3308"/>
    <mergeCell ref="J3309:J3310"/>
    <mergeCell ref="M2541:P2541"/>
    <mergeCell ref="M2574:P2575"/>
    <mergeCell ref="M2544:P2545"/>
  </mergeCells>
  <phoneticPr fontId="1" type="noConversion"/>
  <dataValidations count="2">
    <dataValidation type="list" allowBlank="1" showInputMessage="1" showErrorMessage="1" sqref="B36:G39 B29:G32 B22:G25 B3177:G3180 B3198:G3201 B3191:G3194 B3184:G3187 B3228:G3231 B3249:G3252 B3242:G3245 B3235:G3238 B3279:G3282 B3300:G3303 B3293:G3296 B3286:G3289 B66:G69 B87:G90 B80:G83 B73:G76 B117:G120 B138:G141 B131:G134 B124:G127 B168:G171 B189:G192 B182:G185 B175:G178 B219:G222 B240:G243 B233:G236 B226:G229 B270:G273 B291:G294 B284:G287 B277:G280 B321:G324 B342:G345 B335:G338 B328:G331 B372:G375 B393:G396 B386:G389 B379:G382 B423:G426 B444:G447 B437:G440 B430:G433 B474:G477 B495:G498 B488:G491 B481:G484 B525:G528 B546:G549 B539:G542 B532:G535 B576:G579 B597:G600 B590:G593 B583:G586 B627:G630 B648:G651 B641:G644 B634:G637 B678:G681 B699:G702 B692:G695 B685:G688 B729:G732 B750:G753 B743:G746 B736:G739 B780:G783 B801:G804 B794:G797 B787:G790 B831:G834 B852:G855 B845:G848 B838:G841 B882:G885 B903:G906 B896:G899 B889:G892 B933:G936 B954:G957 B947:G950 B940:G943 B984:G987 B1005:G1008 B998:G1001 B991:G994 B1035:G1038 B1056:G1059 B1049:G1052 B1042:G1045 B1086:G1089 B1107:G1110 B1100:G1103 B1093:G1096 B1137:G1140 B1158:G1161 B1151:G1154 B1144:G1147 B1188:G1191 B1209:G1212 B1202:G1205 B1195:G1198 B1239:G1242 B1260:G1263 B1253:G1256 B1246:G1249 B1290:G1293 B1311:G1314 B1304:G1307 B1297:G1300 B1341:G1344 B1362:G1365 B1355:G1358 B1348:G1351 B1392:G1395 B1413:G1416 B1406:G1409 B1399:G1402 B1443:G1446 B1464:G1467 B1457:G1460 B1450:G1453 B1494:G1497 B1515:G1518 B1508:G1511 B1501:G1504 B1545:G1548 B1566:G1569 B1559:G1562 B1552:G1555 B1596:G1599 B1617:G1620 B1610:G1613 B1603:G1606 B1647:G1650 B1668:G1671 B1661:G1664 B1654:G1657 B1698:G1701 B1719:G1722 B1712:G1715 B1705:G1708 B1749:G1752 B1770:G1773 B1763:G1766 B1756:G1759 B1800:G1803 B1821:G1824 B1814:G1817 B1807:G1810 B1851:G1854 B1872:G1875 B1865:G1868 B1858:G1861 B1902:G1905 B1923:G1926 B1916:G1919 B1909:G1912 B1953:G1956 B1974:G1977 B1967:G1970 B1960:G1963 B2004:G2007 B2025:G2028 B2018:G2021 B2011:G2014 B2055:G2058 B2076:G2079 B2069:G2072 B2062:G2065 B2106:G2109 B2127:G2130 B2120:G2123 B2113:G2116 B2157:G2160 B2178:G2181 B2171:G2174 B2164:G2167 B2208:G2211 B2229:G2232 B2222:G2225 B2215:G2218 B2259:G2262 B2280:G2283 B2273:G2276 B2266:G2269 B2310:G2313 B2331:G2334 B2324:G2327 B2317:G2320 B2361:G2364 B2382:G2385 B2375:G2378 B2368:G2371 B2412:G2415 B2433:G2436 B2426:G2429 B2419:G2422 B2463:G2466 B2484:G2487 B2477:G2480 B2470:G2473 B2514:G2517 B2535:G2538 B2528:G2531 B2521:G2524 B2565:G2568 B2586:G2589 B2579:G2582 B2572:G2575 B2616:G2619 B2637:G2640 B2630:G2633 B2623:G2626 B2667:G2670 B2688:G2691 B2681:G2684 B2674:G2677 B2718:G2721 B2739:G2742 B2732:G2735 B2725:G2728 B2769:G2772 B2790:G2793 B2783:G2786 B2776:G2779 B2820:G2823 B2841:G2844 B2834:G2837 B2827:G2830 B2871:G2874 B2892:G2895 B2885:G2888 B2878:G2881 B2922:G2925 B2943:G2946 B2936:G2939 B2929:G2932 B2973:G2976 B2994:G2997 B2987:G2990 B2980:G2983 B3024:G3027 B3045:G3048 B3038:G3041 B3031:G3034 B3075:G3078 B3096:G3099 B3089:G3092 B3082:G3085 B3126:G3129 B3147:G3150 B3140:G3143 B3133:G3136 B3337:G3340 B3344:G3347 B3351:G3354 B3330:G3333 B15:G18">
      <formula1>CHOOSE(VLOOKUP($A15,$AM$1:$AN$12,2,FALSE),AV,BV,CV,DV,EV,FV,GV,HV,IV,JV,KV,LV)</formula1>
    </dataValidation>
    <dataValidation type="list" allowBlank="1" showInputMessage="1" showErrorMessage="1" sqref="B46:G46 B3155:G3155 B3157:G3157 B3206:G3206 B3208:G3208 B3257:G3257 B3259:G3259 B3308:G3308 B3310:G3310 B95:G95 B97:G97 B146:G146 B148:G148 B197:G197 B199:G199 B248:G248 B250:G250 B299:G299 B301:G301 B350:G350 B352:G352 B401:G401 B403:G403 B452:G452 B454:G454 B503:G503 B505:G505 B554:G554 B556:G556 B605:G605 B607:G607 B656:G656 B658:G658 B707:G707 B709:G709 B758:G758 B760:G760 B809:G809 B811:G811 B860:G860 B862:G862 B911:G911 B913:G913 B962:G962 B964:G964 B1013:G1013 B1015:G1015 B1064:G1064 B1066:G1066 B1115:G1115 B1117:G1117 B1166:G1166 B1168:G1168 B1217:G1217 B1219:G1219 B1268:G1268 B1270:G1270 B1319:G1319 B1321:G1321 B1370:G1370 B1372:G1372 B1421:G1421 B1423:G1423 B1472:G1472 B1474:G1474 B1523:G1523 B1525:G1525 B1574:G1574 B1576:G1576 B1625:G1625 B1627:G1627 B1676:G1676 B1678:G1678 B1727:G1727 B1729:G1729 B1778:G1778 B1780:G1780 B1829:G1829 B1831:G1831 B1880:G1880 B1882:G1882 B1931:G1931 B1933:G1933 B1982:G1982 B1984:G1984 B2033:G2033 B2035:G2035 B2084:G2084 B2086:G2086 B2135:G2135 B2137:G2137 B2186:G2186 B2188:G2188 B2237:G2237 B2239:G2239 B2288:G2288 B2290:G2290 B2339:G2339 B2341:G2341 B2390:G2390 B2392:G2392 B2441:G2441 B2443:G2443 B2492:G2492 B2494:G2494 B2543:G2543 B2545:G2545 B2594:G2594 B2596:G2596 B2645:G2645 B2647:G2647 B2696:G2696 B2698:G2698 B2747:G2747 B2749:G2749 B2798:G2798 B2800:G2800 B2849:G2849 B2851:G2851 B2900:G2900 B2902:G2902 B2951:G2951 B2953:G2953 B3002:G3002 B3004:G3004 B3053:G3053 B3055:G3055 B3104:G3104 B3106:G3106 B44:G44 B3359:G3359 B3361:G3361">
      <formula1>CHOOSE(VLOOKUP($A43,$AM$1:$AN$12,2,FALSE),AV,BV,CV,DV,EV,FV,GV,HV,IV,JV,KV,LV)</formula1>
    </dataValidation>
  </dataValidations>
  <pageMargins left="0.75" right="0.75" top="1" bottom="1" header="0.5" footer="0.5"/>
  <pageSetup pageOrder="overThenDown" orientation="portrait" r:id="rId1"/>
  <headerFooter alignWithMargins="0"/>
  <rowBreaks count="65" manualBreakCount="65">
    <brk id="51" max="31" man="1"/>
    <brk id="102" max="31" man="1"/>
    <brk id="153" max="31" man="1"/>
    <brk id="204" max="31" man="1"/>
    <brk id="255" max="31" man="1"/>
    <brk id="306" max="31" man="1"/>
    <brk id="357" max="31" man="1"/>
    <brk id="408" max="31" man="1"/>
    <brk id="459" max="31" man="1"/>
    <brk id="510" max="31" man="1"/>
    <brk id="561" max="31" man="1"/>
    <brk id="612" max="31" man="1"/>
    <brk id="663" max="31" man="1"/>
    <brk id="714" max="31" man="1"/>
    <brk id="765" max="31" man="1"/>
    <brk id="816" max="31" man="1"/>
    <brk id="867" max="31" man="1"/>
    <brk id="918" max="31" man="1"/>
    <brk id="969" max="31" man="1"/>
    <brk id="1020" max="31" man="1"/>
    <brk id="1071" max="31" man="1"/>
    <brk id="1122" max="31" man="1"/>
    <brk id="1173" max="31" man="1"/>
    <brk id="1224" max="31" man="1"/>
    <brk id="1275" max="31" man="1"/>
    <brk id="1326" max="31" man="1"/>
    <brk id="1377" max="31" man="1"/>
    <brk id="1428" max="31" man="1"/>
    <brk id="1479" max="31" man="1"/>
    <brk id="1530" max="31" man="1"/>
    <brk id="1581" max="31" man="1"/>
    <brk id="1632" max="31" man="1"/>
    <brk id="1683" max="31" man="1"/>
    <brk id="1734" max="31" man="1"/>
    <brk id="1785" max="31" man="1"/>
    <brk id="1836" max="31" man="1"/>
    <brk id="1887" max="31" man="1"/>
    <brk id="1938" max="31" man="1"/>
    <brk id="1989" max="31" man="1"/>
    <brk id="2040" max="31" man="1"/>
    <brk id="2091" max="31" man="1"/>
    <brk id="2142" max="31" man="1"/>
    <brk id="2193" max="31" man="1"/>
    <brk id="2244" max="31" man="1"/>
    <brk id="2295" max="31" man="1"/>
    <brk id="2346" max="31" man="1"/>
    <brk id="2397" max="31" man="1"/>
    <brk id="2448" max="31" man="1"/>
    <brk id="2499" max="31" man="1"/>
    <brk id="2550" max="31" man="1"/>
    <brk id="2601" max="31" man="1"/>
    <brk id="2652" max="31" man="1"/>
    <brk id="2703" max="31" man="1"/>
    <brk id="2754" max="31" man="1"/>
    <brk id="2805" max="31" man="1"/>
    <brk id="2856" max="31" man="1"/>
    <brk id="2907" max="31" man="1"/>
    <brk id="2958" max="31" man="1"/>
    <brk id="3009" max="31" man="1"/>
    <brk id="3060" max="31" man="1"/>
    <brk id="3111" max="31" man="1"/>
    <brk id="3162" max="31" man="1"/>
    <brk id="3213" max="31" man="1"/>
    <brk id="3264" max="31" man="1"/>
    <brk id="3315" max="31" man="1"/>
  </rowBreaks>
  <colBreaks count="1" manualBreakCount="1">
    <brk id="16" max="3365" man="1"/>
  </colBreaks>
  <drawing r:id="rId2"/>
</worksheet>
</file>

<file path=xl/worksheets/sheet5.xml><?xml version="1.0" encoding="utf-8"?>
<worksheet xmlns="http://schemas.openxmlformats.org/spreadsheetml/2006/main" xmlns:r="http://schemas.openxmlformats.org/officeDocument/2006/relationships">
  <sheetPr codeName="Sheet5"/>
  <dimension ref="A1:G8134"/>
  <sheetViews>
    <sheetView workbookViewId="0">
      <pane ySplit="1" topLeftCell="A2" activePane="bottomLeft" state="frozenSplit"/>
      <selection pane="bottomLeft" activeCell="A2" sqref="A2"/>
    </sheetView>
  </sheetViews>
  <sheetFormatPr defaultRowHeight="12.75"/>
  <cols>
    <col min="1" max="1" width="32.85546875" style="209" bestFit="1" customWidth="1"/>
    <col min="2" max="2" width="8.28515625" style="209" bestFit="1" customWidth="1"/>
    <col min="3" max="3" width="6.5703125" style="209" bestFit="1" customWidth="1"/>
    <col min="4" max="4" width="7.7109375" style="209" bestFit="1" customWidth="1"/>
    <col min="5" max="5" width="40" style="209" bestFit="1" customWidth="1"/>
    <col min="6" max="6" width="45.42578125" style="209" bestFit="1" customWidth="1"/>
    <col min="7" max="16384" width="9.140625" style="209"/>
  </cols>
  <sheetData>
    <row r="1" spans="1:7" ht="15">
      <c r="A1" s="204" t="s">
        <v>1252</v>
      </c>
      <c r="B1" s="204" t="s">
        <v>7157</v>
      </c>
      <c r="C1" s="204" t="s">
        <v>1125</v>
      </c>
      <c r="D1" s="204" t="s">
        <v>4922</v>
      </c>
      <c r="E1" s="204" t="s">
        <v>1253</v>
      </c>
      <c r="F1" s="204" t="s">
        <v>7158</v>
      </c>
      <c r="G1" s="204"/>
    </row>
    <row r="2" spans="1:7">
      <c r="A2" s="211" t="s">
        <v>7161</v>
      </c>
      <c r="B2" s="211">
        <v>737</v>
      </c>
      <c r="C2" s="211" t="s">
        <v>10385</v>
      </c>
      <c r="D2" s="211" t="s">
        <v>1255</v>
      </c>
      <c r="E2" s="211" t="s">
        <v>10385</v>
      </c>
      <c r="F2" s="211" t="s">
        <v>7162</v>
      </c>
    </row>
    <row r="3" spans="1:7">
      <c r="A3" s="211" t="s">
        <v>7163</v>
      </c>
      <c r="B3" s="211">
        <v>734</v>
      </c>
      <c r="C3" s="211" t="s">
        <v>10385</v>
      </c>
      <c r="D3" s="211" t="s">
        <v>1255</v>
      </c>
      <c r="E3" s="211" t="s">
        <v>10385</v>
      </c>
      <c r="F3" s="211" t="s">
        <v>7162</v>
      </c>
    </row>
    <row r="4" spans="1:7">
      <c r="A4" s="211" t="s">
        <v>7164</v>
      </c>
      <c r="B4" s="211">
        <v>1433</v>
      </c>
      <c r="C4" s="211" t="s">
        <v>10385</v>
      </c>
      <c r="D4" s="211" t="s">
        <v>1255</v>
      </c>
      <c r="E4" s="211" t="s">
        <v>10385</v>
      </c>
      <c r="F4" s="211" t="s">
        <v>7165</v>
      </c>
    </row>
    <row r="5" spans="1:7">
      <c r="A5" s="211" t="s">
        <v>7166</v>
      </c>
      <c r="B5" s="211">
        <v>1062</v>
      </c>
      <c r="C5" s="211" t="s">
        <v>10385</v>
      </c>
      <c r="D5" s="211" t="s">
        <v>1255</v>
      </c>
      <c r="E5" s="211" t="s">
        <v>10385</v>
      </c>
      <c r="F5" s="211" t="s">
        <v>7167</v>
      </c>
    </row>
    <row r="6" spans="1:7">
      <c r="A6" s="211" t="s">
        <v>7168</v>
      </c>
      <c r="B6" s="211">
        <v>996</v>
      </c>
      <c r="C6" s="211" t="s">
        <v>10385</v>
      </c>
      <c r="D6" s="211" t="s">
        <v>1255</v>
      </c>
      <c r="E6" s="211" t="s">
        <v>10385</v>
      </c>
      <c r="F6" s="211" t="s">
        <v>7169</v>
      </c>
    </row>
    <row r="7" spans="1:7">
      <c r="A7" s="211" t="s">
        <v>7170</v>
      </c>
      <c r="B7" s="211">
        <v>784</v>
      </c>
      <c r="C7" s="211" t="s">
        <v>10385</v>
      </c>
      <c r="D7" s="211" t="s">
        <v>1255</v>
      </c>
      <c r="E7" s="211" t="s">
        <v>10385</v>
      </c>
      <c r="F7" s="211" t="s">
        <v>7171</v>
      </c>
    </row>
    <row r="8" spans="1:7">
      <c r="A8" s="211" t="s">
        <v>7172</v>
      </c>
      <c r="B8" s="211">
        <v>6177</v>
      </c>
      <c r="C8" s="211" t="s">
        <v>10385</v>
      </c>
      <c r="D8" s="211" t="s">
        <v>1255</v>
      </c>
      <c r="E8" s="211" t="s">
        <v>10385</v>
      </c>
      <c r="F8" s="211" t="s">
        <v>7173</v>
      </c>
    </row>
    <row r="9" spans="1:7">
      <c r="A9" s="211" t="s">
        <v>7174</v>
      </c>
      <c r="B9" s="211">
        <v>977</v>
      </c>
      <c r="C9" s="211" t="s">
        <v>10385</v>
      </c>
      <c r="D9" s="211" t="s">
        <v>1255</v>
      </c>
      <c r="E9" s="211" t="s">
        <v>10385</v>
      </c>
      <c r="F9" s="211" t="s">
        <v>7175</v>
      </c>
    </row>
    <row r="10" spans="1:7">
      <c r="A10" s="211" t="s">
        <v>7176</v>
      </c>
      <c r="B10" s="211">
        <v>711</v>
      </c>
      <c r="C10" s="211" t="s">
        <v>10385</v>
      </c>
      <c r="D10" s="211" t="s">
        <v>1255</v>
      </c>
      <c r="E10" s="211" t="s">
        <v>10385</v>
      </c>
      <c r="F10" s="211" t="s">
        <v>7177</v>
      </c>
    </row>
    <row r="11" spans="1:7">
      <c r="A11" s="211" t="s">
        <v>7178</v>
      </c>
      <c r="B11" s="211">
        <v>1064</v>
      </c>
      <c r="C11" s="211" t="s">
        <v>10385</v>
      </c>
      <c r="D11" s="211" t="s">
        <v>1255</v>
      </c>
      <c r="E11" s="211" t="s">
        <v>10385</v>
      </c>
      <c r="F11" s="211" t="s">
        <v>7167</v>
      </c>
    </row>
    <row r="12" spans="1:7">
      <c r="A12" s="211" t="s">
        <v>7179</v>
      </c>
      <c r="B12" s="211">
        <v>736</v>
      </c>
      <c r="C12" s="211" t="s">
        <v>10385</v>
      </c>
      <c r="D12" s="211" t="s">
        <v>1255</v>
      </c>
      <c r="E12" s="211" t="s">
        <v>10385</v>
      </c>
      <c r="F12" s="211" t="s">
        <v>7162</v>
      </c>
    </row>
    <row r="13" spans="1:7">
      <c r="A13" s="211" t="s">
        <v>7180</v>
      </c>
      <c r="B13" s="211">
        <v>735</v>
      </c>
      <c r="C13" s="211" t="s">
        <v>10385</v>
      </c>
      <c r="D13" s="211" t="s">
        <v>1255</v>
      </c>
      <c r="E13" s="211" t="s">
        <v>10385</v>
      </c>
      <c r="F13" s="211" t="s">
        <v>7162</v>
      </c>
    </row>
    <row r="14" spans="1:7">
      <c r="A14" s="211" t="s">
        <v>7181</v>
      </c>
      <c r="B14" s="211">
        <v>1065</v>
      </c>
      <c r="C14" s="211" t="s">
        <v>10385</v>
      </c>
      <c r="D14" s="211" t="s">
        <v>1255</v>
      </c>
      <c r="E14" s="211" t="s">
        <v>10385</v>
      </c>
      <c r="F14" s="211" t="s">
        <v>7167</v>
      </c>
    </row>
    <row r="15" spans="1:7">
      <c r="A15" s="211" t="s">
        <v>7182</v>
      </c>
      <c r="B15" s="211">
        <v>1068</v>
      </c>
      <c r="C15" s="211" t="s">
        <v>10385</v>
      </c>
      <c r="D15" s="211" t="s">
        <v>1255</v>
      </c>
      <c r="E15" s="211" t="s">
        <v>10385</v>
      </c>
      <c r="F15" s="211" t="s">
        <v>7167</v>
      </c>
    </row>
    <row r="16" spans="1:7">
      <c r="A16" s="211" t="s">
        <v>7159</v>
      </c>
      <c r="B16" s="211">
        <v>2273</v>
      </c>
      <c r="C16" s="211" t="s">
        <v>10385</v>
      </c>
      <c r="D16" s="211" t="s">
        <v>1255</v>
      </c>
      <c r="E16" s="211" t="s">
        <v>10385</v>
      </c>
      <c r="F16" s="211" t="s">
        <v>7160</v>
      </c>
    </row>
    <row r="17" spans="1:6">
      <c r="A17" s="211" t="s">
        <v>7183</v>
      </c>
      <c r="B17" s="211">
        <v>3701</v>
      </c>
      <c r="C17" s="211" t="s">
        <v>10385</v>
      </c>
      <c r="D17" s="211" t="s">
        <v>1255</v>
      </c>
      <c r="E17" s="211" t="s">
        <v>10385</v>
      </c>
      <c r="F17" s="211" t="s">
        <v>7184</v>
      </c>
    </row>
    <row r="18" spans="1:6">
      <c r="A18" s="211" t="s">
        <v>7185</v>
      </c>
      <c r="B18" s="211">
        <v>6437</v>
      </c>
      <c r="C18" s="211" t="s">
        <v>10385</v>
      </c>
      <c r="D18" s="211" t="s">
        <v>1255</v>
      </c>
      <c r="E18" s="211" t="s">
        <v>10385</v>
      </c>
      <c r="F18" s="211" t="s">
        <v>7186</v>
      </c>
    </row>
    <row r="19" spans="1:6">
      <c r="A19" s="211" t="s">
        <v>7187</v>
      </c>
      <c r="B19" s="211">
        <v>6436</v>
      </c>
      <c r="C19" s="211" t="s">
        <v>10385</v>
      </c>
      <c r="D19" s="211" t="s">
        <v>1255</v>
      </c>
      <c r="E19" s="211" t="s">
        <v>10385</v>
      </c>
      <c r="F19" s="211" t="s">
        <v>7186</v>
      </c>
    </row>
    <row r="20" spans="1:6">
      <c r="A20" s="211" t="s">
        <v>7188</v>
      </c>
      <c r="B20" s="211">
        <v>3211</v>
      </c>
      <c r="C20" s="211" t="s">
        <v>10385</v>
      </c>
      <c r="D20" s="211" t="s">
        <v>1255</v>
      </c>
      <c r="E20" s="211" t="s">
        <v>10385</v>
      </c>
      <c r="F20" s="211" t="s">
        <v>7189</v>
      </c>
    </row>
    <row r="21" spans="1:6">
      <c r="A21" s="211" t="s">
        <v>7190</v>
      </c>
      <c r="B21" s="211">
        <v>4863</v>
      </c>
      <c r="C21" s="211" t="s">
        <v>10385</v>
      </c>
      <c r="D21" s="211" t="s">
        <v>1255</v>
      </c>
      <c r="E21" s="211" t="s">
        <v>10385</v>
      </c>
      <c r="F21" s="211" t="s">
        <v>7189</v>
      </c>
    </row>
    <row r="22" spans="1:6">
      <c r="A22" s="211" t="s">
        <v>7191</v>
      </c>
      <c r="B22" s="211">
        <v>4860</v>
      </c>
      <c r="C22" s="211" t="s">
        <v>10385</v>
      </c>
      <c r="D22" s="211" t="s">
        <v>1255</v>
      </c>
      <c r="E22" s="211" t="s">
        <v>10385</v>
      </c>
      <c r="F22" s="211" t="s">
        <v>7192</v>
      </c>
    </row>
    <row r="23" spans="1:6">
      <c r="A23" s="211" t="s">
        <v>1254</v>
      </c>
      <c r="B23" s="211">
        <v>2019</v>
      </c>
      <c r="C23" s="211">
        <v>1037</v>
      </c>
      <c r="D23" s="211" t="s">
        <v>1255</v>
      </c>
      <c r="E23" s="211" t="s">
        <v>10385</v>
      </c>
      <c r="F23" s="211" t="s">
        <v>9024</v>
      </c>
    </row>
    <row r="24" spans="1:6">
      <c r="A24" s="211" t="s">
        <v>7193</v>
      </c>
      <c r="B24" s="211">
        <v>3957</v>
      </c>
      <c r="C24" s="211" t="s">
        <v>10385</v>
      </c>
      <c r="D24" s="211" t="s">
        <v>1255</v>
      </c>
      <c r="E24" s="211" t="s">
        <v>10385</v>
      </c>
      <c r="F24" s="211" t="s">
        <v>7194</v>
      </c>
    </row>
    <row r="25" spans="1:6">
      <c r="A25" s="211" t="s">
        <v>1256</v>
      </c>
      <c r="B25" s="211">
        <v>3644</v>
      </c>
      <c r="C25" s="211">
        <v>852</v>
      </c>
      <c r="D25" s="211" t="s">
        <v>1117</v>
      </c>
      <c r="E25" s="211" t="s">
        <v>10385</v>
      </c>
      <c r="F25" s="211" t="s">
        <v>7192</v>
      </c>
    </row>
    <row r="26" spans="1:6">
      <c r="A26" s="211" t="s">
        <v>1257</v>
      </c>
      <c r="B26" s="211">
        <v>3316</v>
      </c>
      <c r="C26" s="211">
        <v>1408</v>
      </c>
      <c r="D26" s="211" t="s">
        <v>1255</v>
      </c>
      <c r="E26" s="211" t="s">
        <v>10385</v>
      </c>
      <c r="F26" s="211" t="s">
        <v>7195</v>
      </c>
    </row>
    <row r="27" spans="1:6">
      <c r="A27" s="211" t="s">
        <v>1258</v>
      </c>
      <c r="B27" s="211">
        <v>2188</v>
      </c>
      <c r="C27" s="211">
        <v>996</v>
      </c>
      <c r="D27" s="211" t="s">
        <v>1255</v>
      </c>
      <c r="E27" s="211" t="s">
        <v>10385</v>
      </c>
      <c r="F27" s="211" t="s">
        <v>7189</v>
      </c>
    </row>
    <row r="28" spans="1:6">
      <c r="A28" s="211" t="s">
        <v>1259</v>
      </c>
      <c r="B28" s="211">
        <v>768</v>
      </c>
      <c r="C28" s="211">
        <v>1379</v>
      </c>
      <c r="D28" s="211" t="s">
        <v>1255</v>
      </c>
      <c r="E28" s="211" t="s">
        <v>10385</v>
      </c>
      <c r="F28" s="211" t="s">
        <v>7196</v>
      </c>
    </row>
    <row r="29" spans="1:6">
      <c r="A29" s="211" t="s">
        <v>5508</v>
      </c>
      <c r="B29" s="211">
        <v>7402</v>
      </c>
      <c r="C29" s="211">
        <v>999</v>
      </c>
      <c r="D29" s="211" t="s">
        <v>1255</v>
      </c>
      <c r="E29" s="211" t="s">
        <v>5509</v>
      </c>
      <c r="F29" s="211" t="s">
        <v>7197</v>
      </c>
    </row>
    <row r="30" spans="1:6">
      <c r="A30" s="211" t="s">
        <v>7198</v>
      </c>
      <c r="B30" s="211">
        <v>440</v>
      </c>
      <c r="C30" s="211" t="s">
        <v>10385</v>
      </c>
      <c r="D30" s="211" t="s">
        <v>1255</v>
      </c>
      <c r="E30" s="211" t="s">
        <v>10385</v>
      </c>
      <c r="F30" s="211" t="s">
        <v>7199</v>
      </c>
    </row>
    <row r="31" spans="1:6">
      <c r="A31" s="211" t="s">
        <v>1260</v>
      </c>
      <c r="B31" s="211">
        <v>5631</v>
      </c>
      <c r="C31" s="211">
        <v>1130</v>
      </c>
      <c r="D31" s="211" t="s">
        <v>1255</v>
      </c>
      <c r="E31" s="211" t="s">
        <v>10385</v>
      </c>
      <c r="F31" s="211" t="s">
        <v>7186</v>
      </c>
    </row>
    <row r="32" spans="1:6">
      <c r="A32" s="211" t="s">
        <v>1261</v>
      </c>
      <c r="B32" s="211">
        <v>5477</v>
      </c>
      <c r="C32" s="211">
        <v>980</v>
      </c>
      <c r="D32" s="211" t="s">
        <v>1255</v>
      </c>
      <c r="E32" s="211" t="s">
        <v>10385</v>
      </c>
      <c r="F32" s="211" t="s">
        <v>7200</v>
      </c>
    </row>
    <row r="33" spans="1:6">
      <c r="A33" s="211" t="s">
        <v>1262</v>
      </c>
      <c r="B33" s="211">
        <v>1673</v>
      </c>
      <c r="C33" s="211">
        <v>1007</v>
      </c>
      <c r="D33" s="211" t="s">
        <v>1255</v>
      </c>
      <c r="E33" s="211" t="s">
        <v>10385</v>
      </c>
      <c r="F33" s="211" t="s">
        <v>7201</v>
      </c>
    </row>
    <row r="34" spans="1:6">
      <c r="A34" s="211" t="s">
        <v>10386</v>
      </c>
      <c r="B34" s="211">
        <v>8765</v>
      </c>
      <c r="C34" s="211">
        <v>1600</v>
      </c>
      <c r="D34" s="211" t="s">
        <v>1255</v>
      </c>
      <c r="E34" s="211" t="s">
        <v>10387</v>
      </c>
      <c r="F34" s="211" t="s">
        <v>7217</v>
      </c>
    </row>
    <row r="35" spans="1:6">
      <c r="A35" s="211" t="s">
        <v>1263</v>
      </c>
      <c r="B35" s="211">
        <v>5255</v>
      </c>
      <c r="C35" s="211">
        <v>479</v>
      </c>
      <c r="D35" s="211" t="s">
        <v>1255</v>
      </c>
      <c r="E35" s="211" t="s">
        <v>10385</v>
      </c>
      <c r="F35" s="211" t="s">
        <v>7202</v>
      </c>
    </row>
    <row r="36" spans="1:6">
      <c r="A36" s="211" t="s">
        <v>1264</v>
      </c>
      <c r="B36" s="211">
        <v>5431</v>
      </c>
      <c r="C36" s="211">
        <v>872</v>
      </c>
      <c r="D36" s="211" t="s">
        <v>1255</v>
      </c>
      <c r="E36" s="211" t="s">
        <v>10385</v>
      </c>
      <c r="F36" s="211" t="s">
        <v>7203</v>
      </c>
    </row>
    <row r="37" spans="1:6">
      <c r="A37" s="211" t="s">
        <v>1265</v>
      </c>
      <c r="B37" s="211">
        <v>879</v>
      </c>
      <c r="C37" s="211">
        <v>837</v>
      </c>
      <c r="D37" s="211" t="s">
        <v>1255</v>
      </c>
      <c r="E37" s="211" t="s">
        <v>10385</v>
      </c>
      <c r="F37" s="211" t="s">
        <v>7204</v>
      </c>
    </row>
    <row r="38" spans="1:6">
      <c r="A38" s="211" t="s">
        <v>1266</v>
      </c>
      <c r="B38" s="211">
        <v>2535</v>
      </c>
      <c r="C38" s="211">
        <v>1181</v>
      </c>
      <c r="D38" s="211" t="s">
        <v>1255</v>
      </c>
      <c r="E38" s="211" t="s">
        <v>10385</v>
      </c>
      <c r="F38" s="211" t="s">
        <v>7205</v>
      </c>
    </row>
    <row r="39" spans="1:6">
      <c r="A39" s="211" t="s">
        <v>7206</v>
      </c>
      <c r="B39" s="211">
        <v>319</v>
      </c>
      <c r="C39" s="211" t="s">
        <v>10385</v>
      </c>
      <c r="D39" s="211" t="s">
        <v>1255</v>
      </c>
      <c r="E39" s="211" t="s">
        <v>10385</v>
      </c>
      <c r="F39" s="211" t="s">
        <v>7207</v>
      </c>
    </row>
    <row r="40" spans="1:6">
      <c r="A40" s="211" t="s">
        <v>1267</v>
      </c>
      <c r="B40" s="211">
        <v>3656</v>
      </c>
      <c r="C40" s="211">
        <v>1249</v>
      </c>
      <c r="D40" s="211" t="s">
        <v>1255</v>
      </c>
      <c r="E40" s="211" t="s">
        <v>10385</v>
      </c>
      <c r="F40" s="211" t="s">
        <v>7208</v>
      </c>
    </row>
    <row r="41" spans="1:6">
      <c r="A41" s="211" t="s">
        <v>7209</v>
      </c>
      <c r="B41" s="211">
        <v>4620</v>
      </c>
      <c r="C41" s="211" t="s">
        <v>10385</v>
      </c>
      <c r="D41" s="211" t="s">
        <v>1255</v>
      </c>
      <c r="E41" s="211" t="s">
        <v>10385</v>
      </c>
      <c r="F41" s="211" t="s">
        <v>7208</v>
      </c>
    </row>
    <row r="42" spans="1:6">
      <c r="A42" s="211" t="s">
        <v>1268</v>
      </c>
      <c r="B42" s="211">
        <v>1335</v>
      </c>
      <c r="C42" s="211">
        <v>802</v>
      </c>
      <c r="D42" s="211" t="s">
        <v>1255</v>
      </c>
      <c r="E42" s="211" t="s">
        <v>10385</v>
      </c>
      <c r="F42" s="211" t="s">
        <v>7210</v>
      </c>
    </row>
    <row r="43" spans="1:6">
      <c r="A43" s="211" t="s">
        <v>7211</v>
      </c>
      <c r="B43" s="211">
        <v>3548</v>
      </c>
      <c r="C43" s="211" t="s">
        <v>10385</v>
      </c>
      <c r="D43" s="211" t="s">
        <v>1255</v>
      </c>
      <c r="E43" s="211" t="s">
        <v>10385</v>
      </c>
      <c r="F43" s="211" t="s">
        <v>7212</v>
      </c>
    </row>
    <row r="44" spans="1:6">
      <c r="A44" s="211" t="s">
        <v>1269</v>
      </c>
      <c r="B44" s="211">
        <v>1322</v>
      </c>
      <c r="C44" s="211">
        <v>960</v>
      </c>
      <c r="D44" s="211" t="s">
        <v>1255</v>
      </c>
      <c r="E44" s="211" t="s">
        <v>10385</v>
      </c>
      <c r="F44" s="211" t="s">
        <v>7213</v>
      </c>
    </row>
    <row r="45" spans="1:6">
      <c r="A45" s="211" t="s">
        <v>7214</v>
      </c>
      <c r="B45" s="211">
        <v>2314</v>
      </c>
      <c r="C45" s="211" t="s">
        <v>10385</v>
      </c>
      <c r="D45" s="211" t="s">
        <v>1255</v>
      </c>
      <c r="E45" s="211" t="s">
        <v>10385</v>
      </c>
      <c r="F45" s="211" t="s">
        <v>7196</v>
      </c>
    </row>
    <row r="46" spans="1:6">
      <c r="A46" s="211" t="s">
        <v>1270</v>
      </c>
      <c r="B46" s="211">
        <v>1181</v>
      </c>
      <c r="C46" s="211">
        <v>1595</v>
      </c>
      <c r="D46" s="211" t="s">
        <v>1255</v>
      </c>
      <c r="E46" s="211" t="s">
        <v>10385</v>
      </c>
      <c r="F46" s="211" t="s">
        <v>7213</v>
      </c>
    </row>
    <row r="47" spans="1:6">
      <c r="A47" s="211" t="s">
        <v>5310</v>
      </c>
      <c r="B47" s="211">
        <v>6299</v>
      </c>
      <c r="C47" s="211">
        <v>1379</v>
      </c>
      <c r="D47" s="211" t="s">
        <v>1255</v>
      </c>
      <c r="E47" s="211" t="s">
        <v>5510</v>
      </c>
      <c r="F47" s="211" t="s">
        <v>7215</v>
      </c>
    </row>
    <row r="48" spans="1:6">
      <c r="A48" s="211" t="s">
        <v>1271</v>
      </c>
      <c r="B48" s="211">
        <v>1245</v>
      </c>
      <c r="C48" s="211">
        <v>472</v>
      </c>
      <c r="D48" s="211" t="s">
        <v>1255</v>
      </c>
      <c r="E48" s="211" t="s">
        <v>10385</v>
      </c>
      <c r="F48" s="211" t="s">
        <v>7216</v>
      </c>
    </row>
    <row r="49" spans="1:6">
      <c r="A49" s="211" t="s">
        <v>4931</v>
      </c>
      <c r="B49" s="211">
        <v>6851</v>
      </c>
      <c r="C49" s="211">
        <v>970</v>
      </c>
      <c r="D49" s="211" t="s">
        <v>1255</v>
      </c>
      <c r="E49" s="211" t="s">
        <v>5511</v>
      </c>
      <c r="F49" s="211" t="s">
        <v>7217</v>
      </c>
    </row>
    <row r="50" spans="1:6">
      <c r="A50" s="211" t="s">
        <v>7218</v>
      </c>
      <c r="B50" s="211">
        <v>395</v>
      </c>
      <c r="C50" s="211" t="s">
        <v>10385</v>
      </c>
      <c r="D50" s="211" t="s">
        <v>1255</v>
      </c>
      <c r="E50" s="211" t="s">
        <v>10385</v>
      </c>
      <c r="F50" s="211" t="s">
        <v>7219</v>
      </c>
    </row>
    <row r="51" spans="1:6">
      <c r="A51" s="211" t="s">
        <v>7220</v>
      </c>
      <c r="B51" s="211">
        <v>79</v>
      </c>
      <c r="C51" s="211" t="s">
        <v>10385</v>
      </c>
      <c r="D51" s="211" t="s">
        <v>1255</v>
      </c>
      <c r="E51" s="211" t="s">
        <v>10385</v>
      </c>
      <c r="F51" s="211" t="s">
        <v>7221</v>
      </c>
    </row>
    <row r="52" spans="1:6">
      <c r="A52" s="211" t="s">
        <v>7222</v>
      </c>
      <c r="B52" s="211">
        <v>4975</v>
      </c>
      <c r="C52" s="211" t="s">
        <v>10385</v>
      </c>
      <c r="D52" s="211" t="s">
        <v>1255</v>
      </c>
      <c r="E52" s="211" t="s">
        <v>10385</v>
      </c>
      <c r="F52" s="211" t="s">
        <v>7223</v>
      </c>
    </row>
    <row r="53" spans="1:6">
      <c r="A53" s="211" t="s">
        <v>4932</v>
      </c>
      <c r="B53" s="211">
        <v>6235</v>
      </c>
      <c r="C53" s="211">
        <v>1475</v>
      </c>
      <c r="D53" s="211" t="s">
        <v>1255</v>
      </c>
      <c r="E53" s="211" t="s">
        <v>6613</v>
      </c>
      <c r="F53" s="211" t="s">
        <v>7224</v>
      </c>
    </row>
    <row r="54" spans="1:6">
      <c r="A54" s="211" t="s">
        <v>1272</v>
      </c>
      <c r="B54" s="211">
        <v>4421</v>
      </c>
      <c r="C54" s="211">
        <v>1201</v>
      </c>
      <c r="D54" s="211" t="s">
        <v>1255</v>
      </c>
      <c r="E54" s="211" t="s">
        <v>10385</v>
      </c>
      <c r="F54" s="211" t="s">
        <v>7225</v>
      </c>
    </row>
    <row r="55" spans="1:6">
      <c r="A55" s="211" t="s">
        <v>1273</v>
      </c>
      <c r="B55" s="211">
        <v>447</v>
      </c>
      <c r="C55" s="211">
        <v>1756</v>
      </c>
      <c r="D55" s="211" t="s">
        <v>1255</v>
      </c>
      <c r="E55" s="211" t="s">
        <v>10385</v>
      </c>
      <c r="F55" s="211" t="s">
        <v>7226</v>
      </c>
    </row>
    <row r="56" spans="1:6">
      <c r="A56" s="211" t="s">
        <v>7227</v>
      </c>
      <c r="B56" s="211">
        <v>1784</v>
      </c>
      <c r="C56" s="211" t="s">
        <v>10385</v>
      </c>
      <c r="D56" s="211" t="s">
        <v>1255</v>
      </c>
      <c r="E56" s="211" t="s">
        <v>10385</v>
      </c>
      <c r="F56" s="211" t="s">
        <v>7226</v>
      </c>
    </row>
    <row r="57" spans="1:6">
      <c r="A57" s="211" t="s">
        <v>4745</v>
      </c>
      <c r="B57" s="211">
        <v>6189</v>
      </c>
      <c r="C57" s="211">
        <v>912</v>
      </c>
      <c r="D57" s="211" t="s">
        <v>1255</v>
      </c>
      <c r="E57" s="211" t="s">
        <v>10385</v>
      </c>
      <c r="F57" s="211" t="s">
        <v>7228</v>
      </c>
    </row>
    <row r="58" spans="1:6">
      <c r="A58" s="211" t="s">
        <v>1274</v>
      </c>
      <c r="B58" s="211">
        <v>1635</v>
      </c>
      <c r="C58" s="211">
        <v>1787</v>
      </c>
      <c r="D58" s="211" t="s">
        <v>1255</v>
      </c>
      <c r="E58" s="211" t="s">
        <v>10385</v>
      </c>
      <c r="F58" s="211" t="s">
        <v>7229</v>
      </c>
    </row>
    <row r="59" spans="1:6">
      <c r="A59" s="211" t="s">
        <v>1275</v>
      </c>
      <c r="B59" s="211">
        <v>1868</v>
      </c>
      <c r="C59" s="211">
        <v>1282</v>
      </c>
      <c r="D59" s="211" t="s">
        <v>1255</v>
      </c>
      <c r="E59" s="211" t="s">
        <v>10385</v>
      </c>
      <c r="F59" s="211" t="s">
        <v>7230</v>
      </c>
    </row>
    <row r="60" spans="1:6">
      <c r="A60" s="211" t="s">
        <v>5512</v>
      </c>
      <c r="B60" s="211">
        <v>7052</v>
      </c>
      <c r="C60" s="211">
        <v>836</v>
      </c>
      <c r="D60" s="211" t="s">
        <v>1255</v>
      </c>
      <c r="E60" s="211" t="s">
        <v>6614</v>
      </c>
      <c r="F60" s="211" t="s">
        <v>7231</v>
      </c>
    </row>
    <row r="61" spans="1:6">
      <c r="A61" s="211" t="s">
        <v>1276</v>
      </c>
      <c r="B61" s="211">
        <v>5671</v>
      </c>
      <c r="C61" s="211">
        <v>1628</v>
      </c>
      <c r="D61" s="211" t="s">
        <v>1255</v>
      </c>
      <c r="E61" s="211" t="s">
        <v>10385</v>
      </c>
      <c r="F61" s="211" t="s">
        <v>7232</v>
      </c>
    </row>
    <row r="62" spans="1:6">
      <c r="A62" s="211" t="s">
        <v>1277</v>
      </c>
      <c r="B62" s="211">
        <v>1256</v>
      </c>
      <c r="C62" s="211">
        <v>1673</v>
      </c>
      <c r="D62" s="211" t="s">
        <v>1255</v>
      </c>
      <c r="E62" s="211" t="s">
        <v>10385</v>
      </c>
      <c r="F62" s="211" t="s">
        <v>7231</v>
      </c>
    </row>
    <row r="63" spans="1:6">
      <c r="A63" s="211" t="s">
        <v>4555</v>
      </c>
      <c r="B63" s="211">
        <v>6490</v>
      </c>
      <c r="C63" s="211">
        <v>1344</v>
      </c>
      <c r="D63" s="211" t="s">
        <v>1255</v>
      </c>
      <c r="E63" s="211" t="s">
        <v>9025</v>
      </c>
      <c r="F63" s="211" t="s">
        <v>7233</v>
      </c>
    </row>
    <row r="64" spans="1:6">
      <c r="A64" s="211" t="s">
        <v>7234</v>
      </c>
      <c r="B64" s="211">
        <v>3614</v>
      </c>
      <c r="C64" s="211" t="s">
        <v>10385</v>
      </c>
      <c r="D64" s="211" t="s">
        <v>1255</v>
      </c>
      <c r="E64" s="211" t="s">
        <v>10385</v>
      </c>
      <c r="F64" s="211" t="s">
        <v>7205</v>
      </c>
    </row>
    <row r="65" spans="1:6">
      <c r="A65" s="211" t="s">
        <v>1278</v>
      </c>
      <c r="B65" s="211">
        <v>3992</v>
      </c>
      <c r="C65" s="211">
        <v>1152</v>
      </c>
      <c r="D65" s="211" t="s">
        <v>1255</v>
      </c>
      <c r="E65" s="211" t="s">
        <v>10385</v>
      </c>
      <c r="F65" s="211" t="s">
        <v>7235</v>
      </c>
    </row>
    <row r="66" spans="1:6">
      <c r="A66" s="211" t="s">
        <v>7236</v>
      </c>
      <c r="B66" s="211">
        <v>2349</v>
      </c>
      <c r="C66" s="211" t="s">
        <v>10385</v>
      </c>
      <c r="D66" s="211" t="s">
        <v>1255</v>
      </c>
      <c r="E66" s="211" t="s">
        <v>10385</v>
      </c>
      <c r="F66" s="211" t="s">
        <v>7237</v>
      </c>
    </row>
    <row r="67" spans="1:6">
      <c r="A67" s="211" t="s">
        <v>1279</v>
      </c>
      <c r="B67" s="211">
        <v>3433</v>
      </c>
      <c r="C67" s="211">
        <v>1923</v>
      </c>
      <c r="D67" s="211" t="s">
        <v>1255</v>
      </c>
      <c r="E67" s="211" t="s">
        <v>10385</v>
      </c>
      <c r="F67" s="211" t="s">
        <v>7165</v>
      </c>
    </row>
    <row r="68" spans="1:6">
      <c r="A68" s="211" t="s">
        <v>4933</v>
      </c>
      <c r="B68" s="211">
        <v>6933</v>
      </c>
      <c r="C68" s="211">
        <v>1019</v>
      </c>
      <c r="D68" s="211" t="s">
        <v>1255</v>
      </c>
      <c r="E68" s="211" t="s">
        <v>10385</v>
      </c>
      <c r="F68" s="211" t="s">
        <v>7238</v>
      </c>
    </row>
    <row r="69" spans="1:6">
      <c r="A69" s="211" t="s">
        <v>1280</v>
      </c>
      <c r="B69" s="211">
        <v>4795</v>
      </c>
      <c r="C69" s="211">
        <v>844</v>
      </c>
      <c r="D69" s="211" t="s">
        <v>1255</v>
      </c>
      <c r="E69" s="211" t="s">
        <v>10385</v>
      </c>
      <c r="F69" s="211" t="s">
        <v>7239</v>
      </c>
    </row>
    <row r="70" spans="1:6">
      <c r="A70" s="211" t="s">
        <v>4934</v>
      </c>
      <c r="B70" s="211">
        <v>6624</v>
      </c>
      <c r="C70" s="211">
        <v>773</v>
      </c>
      <c r="D70" s="211" t="s">
        <v>1255</v>
      </c>
      <c r="E70" s="211" t="s">
        <v>10385</v>
      </c>
      <c r="F70" s="211" t="s">
        <v>7240</v>
      </c>
    </row>
    <row r="71" spans="1:6">
      <c r="A71" s="211" t="s">
        <v>1281</v>
      </c>
      <c r="B71" s="211">
        <v>4758</v>
      </c>
      <c r="C71" s="211">
        <v>879</v>
      </c>
      <c r="D71" s="211" t="s">
        <v>1255</v>
      </c>
      <c r="E71" s="211" t="s">
        <v>10385</v>
      </c>
      <c r="F71" s="211" t="s">
        <v>7186</v>
      </c>
    </row>
    <row r="72" spans="1:6">
      <c r="A72" s="211" t="s">
        <v>1282</v>
      </c>
      <c r="B72" s="211">
        <v>5001</v>
      </c>
      <c r="C72" s="211">
        <v>1185</v>
      </c>
      <c r="D72" s="211" t="s">
        <v>1255</v>
      </c>
      <c r="E72" s="211" t="s">
        <v>10385</v>
      </c>
      <c r="F72" s="211" t="s">
        <v>7241</v>
      </c>
    </row>
    <row r="73" spans="1:6">
      <c r="A73" s="211" t="s">
        <v>1283</v>
      </c>
      <c r="B73" s="211">
        <v>4959</v>
      </c>
      <c r="C73" s="211">
        <v>1661</v>
      </c>
      <c r="D73" s="211" t="s">
        <v>1255</v>
      </c>
      <c r="E73" s="211" t="s">
        <v>10385</v>
      </c>
      <c r="F73" s="211" t="s">
        <v>7242</v>
      </c>
    </row>
    <row r="74" spans="1:6">
      <c r="A74" s="211" t="s">
        <v>1284</v>
      </c>
      <c r="B74" s="211">
        <v>3693</v>
      </c>
      <c r="C74" s="211">
        <v>949</v>
      </c>
      <c r="D74" s="211" t="s">
        <v>1255</v>
      </c>
      <c r="E74" s="211" t="s">
        <v>10385</v>
      </c>
      <c r="F74" s="211" t="s">
        <v>7243</v>
      </c>
    </row>
    <row r="75" spans="1:6">
      <c r="A75" s="211" t="s">
        <v>7244</v>
      </c>
      <c r="B75" s="211">
        <v>5369</v>
      </c>
      <c r="C75" s="211" t="s">
        <v>10385</v>
      </c>
      <c r="D75" s="211" t="s">
        <v>1255</v>
      </c>
      <c r="E75" s="211" t="s">
        <v>10385</v>
      </c>
      <c r="F75" s="211" t="s">
        <v>7223</v>
      </c>
    </row>
    <row r="76" spans="1:6">
      <c r="A76" s="211" t="s">
        <v>1285</v>
      </c>
      <c r="B76" s="211">
        <v>1114</v>
      </c>
      <c r="C76" s="211">
        <v>1157</v>
      </c>
      <c r="D76" s="211" t="s">
        <v>1255</v>
      </c>
      <c r="E76" s="211" t="s">
        <v>10385</v>
      </c>
      <c r="F76" s="211" t="s">
        <v>7245</v>
      </c>
    </row>
    <row r="77" spans="1:6">
      <c r="A77" s="211" t="s">
        <v>1286</v>
      </c>
      <c r="B77" s="211">
        <v>1451</v>
      </c>
      <c r="C77" s="211">
        <v>1293</v>
      </c>
      <c r="D77" s="211" t="s">
        <v>1255</v>
      </c>
      <c r="E77" s="211" t="s">
        <v>10385</v>
      </c>
      <c r="F77" s="211" t="s">
        <v>7246</v>
      </c>
    </row>
    <row r="78" spans="1:6">
      <c r="A78" s="211" t="s">
        <v>3046</v>
      </c>
      <c r="B78" s="211">
        <v>6254</v>
      </c>
      <c r="C78" s="211">
        <v>2016</v>
      </c>
      <c r="D78" s="211" t="s">
        <v>1117</v>
      </c>
      <c r="E78" s="211" t="s">
        <v>5513</v>
      </c>
      <c r="F78" s="211" t="s">
        <v>7247</v>
      </c>
    </row>
    <row r="79" spans="1:6">
      <c r="A79" s="211" t="s">
        <v>1287</v>
      </c>
      <c r="B79" s="211">
        <v>1551</v>
      </c>
      <c r="C79" s="211">
        <v>1486</v>
      </c>
      <c r="D79" s="211" t="s">
        <v>1255</v>
      </c>
      <c r="E79" s="211" t="s">
        <v>10385</v>
      </c>
      <c r="F79" s="211" t="s">
        <v>7248</v>
      </c>
    </row>
    <row r="80" spans="1:6">
      <c r="A80" s="211" t="s">
        <v>5514</v>
      </c>
      <c r="B80" s="211">
        <v>7433</v>
      </c>
      <c r="C80" s="211">
        <v>1396</v>
      </c>
      <c r="D80" s="211" t="s">
        <v>1255</v>
      </c>
      <c r="E80" s="211" t="s">
        <v>10385</v>
      </c>
      <c r="F80" s="211" t="s">
        <v>7249</v>
      </c>
    </row>
    <row r="81" spans="1:6">
      <c r="A81" s="211" t="s">
        <v>4935</v>
      </c>
      <c r="B81" s="211">
        <v>6986</v>
      </c>
      <c r="C81" s="211">
        <v>1043</v>
      </c>
      <c r="D81" s="211" t="s">
        <v>1255</v>
      </c>
      <c r="E81" s="211" t="s">
        <v>10385</v>
      </c>
      <c r="F81" s="211" t="s">
        <v>7250</v>
      </c>
    </row>
    <row r="82" spans="1:6">
      <c r="A82" s="211" t="s">
        <v>7251</v>
      </c>
      <c r="B82" s="211">
        <v>3829</v>
      </c>
      <c r="C82" s="211" t="s">
        <v>10385</v>
      </c>
      <c r="D82" s="211" t="s">
        <v>1255</v>
      </c>
      <c r="E82" s="211" t="s">
        <v>10385</v>
      </c>
      <c r="F82" s="211" t="s">
        <v>7232</v>
      </c>
    </row>
    <row r="83" spans="1:6">
      <c r="A83" s="211" t="s">
        <v>7252</v>
      </c>
      <c r="B83" s="211">
        <v>1265</v>
      </c>
      <c r="C83" s="211" t="s">
        <v>10385</v>
      </c>
      <c r="D83" s="211" t="s">
        <v>1255</v>
      </c>
      <c r="E83" s="211" t="s">
        <v>10385</v>
      </c>
      <c r="F83" s="211" t="s">
        <v>7240</v>
      </c>
    </row>
    <row r="84" spans="1:6">
      <c r="A84" s="211" t="s">
        <v>1288</v>
      </c>
      <c r="B84" s="211">
        <v>3542</v>
      </c>
      <c r="C84" s="211">
        <v>1291</v>
      </c>
      <c r="D84" s="211" t="s">
        <v>1255</v>
      </c>
      <c r="E84" s="211" t="s">
        <v>10385</v>
      </c>
      <c r="F84" s="211" t="s">
        <v>7199</v>
      </c>
    </row>
    <row r="85" spans="1:6">
      <c r="A85" s="211" t="s">
        <v>7253</v>
      </c>
      <c r="B85" s="211">
        <v>37</v>
      </c>
      <c r="C85" s="211" t="s">
        <v>10385</v>
      </c>
      <c r="D85" s="211" t="s">
        <v>1255</v>
      </c>
      <c r="E85" s="211" t="s">
        <v>10385</v>
      </c>
      <c r="F85" s="211" t="s">
        <v>7199</v>
      </c>
    </row>
    <row r="86" spans="1:6">
      <c r="A86" s="211" t="s">
        <v>1289</v>
      </c>
      <c r="B86" s="211">
        <v>1762</v>
      </c>
      <c r="C86" s="211">
        <v>767</v>
      </c>
      <c r="D86" s="211" t="s">
        <v>1255</v>
      </c>
      <c r="E86" s="211" t="s">
        <v>10385</v>
      </c>
      <c r="F86" s="211" t="s">
        <v>7254</v>
      </c>
    </row>
    <row r="87" spans="1:6">
      <c r="A87" s="211" t="s">
        <v>1290</v>
      </c>
      <c r="B87" s="211">
        <v>5702</v>
      </c>
      <c r="C87" s="211">
        <v>785</v>
      </c>
      <c r="D87" s="211" t="s">
        <v>1255</v>
      </c>
      <c r="E87" s="211" t="s">
        <v>10385</v>
      </c>
      <c r="F87" s="211" t="s">
        <v>7194</v>
      </c>
    </row>
    <row r="88" spans="1:6">
      <c r="A88" s="211" t="s">
        <v>1291</v>
      </c>
      <c r="B88" s="211">
        <v>2611</v>
      </c>
      <c r="C88" s="211">
        <v>1233</v>
      </c>
      <c r="D88" s="211" t="s">
        <v>1255</v>
      </c>
      <c r="E88" s="211" t="s">
        <v>10385</v>
      </c>
      <c r="F88" s="211" t="s">
        <v>7255</v>
      </c>
    </row>
    <row r="89" spans="1:6">
      <c r="A89" s="211" t="s">
        <v>1292</v>
      </c>
      <c r="B89" s="211">
        <v>4873</v>
      </c>
      <c r="C89" s="211">
        <v>828</v>
      </c>
      <c r="D89" s="211" t="s">
        <v>1255</v>
      </c>
      <c r="E89" s="211" t="s">
        <v>10385</v>
      </c>
      <c r="F89" s="211" t="s">
        <v>7192</v>
      </c>
    </row>
    <row r="90" spans="1:6">
      <c r="A90" s="211" t="s">
        <v>10388</v>
      </c>
      <c r="B90" s="211">
        <v>8828</v>
      </c>
      <c r="C90" s="211" t="s">
        <v>10385</v>
      </c>
      <c r="D90" s="211" t="s">
        <v>1255</v>
      </c>
      <c r="E90" s="211" t="s">
        <v>10389</v>
      </c>
      <c r="F90" s="211" t="s">
        <v>7285</v>
      </c>
    </row>
    <row r="91" spans="1:6">
      <c r="A91" s="211" t="s">
        <v>4936</v>
      </c>
      <c r="B91" s="211">
        <v>6787</v>
      </c>
      <c r="C91" s="211">
        <v>972</v>
      </c>
      <c r="D91" s="211" t="s">
        <v>1255</v>
      </c>
      <c r="E91" s="211" t="s">
        <v>10390</v>
      </c>
      <c r="F91" s="211" t="s">
        <v>7212</v>
      </c>
    </row>
    <row r="92" spans="1:6">
      <c r="A92" s="211" t="s">
        <v>1293</v>
      </c>
      <c r="B92" s="211">
        <v>3361</v>
      </c>
      <c r="C92" s="211">
        <v>1016</v>
      </c>
      <c r="D92" s="211" t="s">
        <v>1255</v>
      </c>
      <c r="E92" s="211" t="s">
        <v>10385</v>
      </c>
      <c r="F92" s="211" t="s">
        <v>7256</v>
      </c>
    </row>
    <row r="93" spans="1:6">
      <c r="A93" s="211" t="s">
        <v>1294</v>
      </c>
      <c r="B93" s="211">
        <v>1691</v>
      </c>
      <c r="C93" s="211">
        <v>1250</v>
      </c>
      <c r="D93" s="211" t="s">
        <v>1255</v>
      </c>
      <c r="E93" s="211" t="s">
        <v>10385</v>
      </c>
      <c r="F93" s="211" t="s">
        <v>7250</v>
      </c>
    </row>
    <row r="94" spans="1:6">
      <c r="A94" s="211" t="s">
        <v>9026</v>
      </c>
      <c r="B94" s="211">
        <v>7958</v>
      </c>
      <c r="C94" s="211">
        <v>1294</v>
      </c>
      <c r="D94" s="211" t="s">
        <v>1255</v>
      </c>
      <c r="E94" s="211" t="s">
        <v>9027</v>
      </c>
      <c r="F94" s="211" t="s">
        <v>7325</v>
      </c>
    </row>
    <row r="95" spans="1:6">
      <c r="A95" s="211" t="s">
        <v>1295</v>
      </c>
      <c r="B95" s="211">
        <v>5124</v>
      </c>
      <c r="C95" s="211">
        <v>1327</v>
      </c>
      <c r="D95" s="211" t="s">
        <v>1255</v>
      </c>
      <c r="E95" s="211" t="s">
        <v>10385</v>
      </c>
      <c r="F95" s="211" t="s">
        <v>7246</v>
      </c>
    </row>
    <row r="96" spans="1:6">
      <c r="A96" s="211" t="s">
        <v>1296</v>
      </c>
      <c r="B96" s="211">
        <v>4485</v>
      </c>
      <c r="C96" s="211">
        <v>1385</v>
      </c>
      <c r="D96" s="211" t="s">
        <v>1255</v>
      </c>
      <c r="E96" s="211" t="s">
        <v>10385</v>
      </c>
      <c r="F96" s="211" t="s">
        <v>7257</v>
      </c>
    </row>
    <row r="97" spans="1:6">
      <c r="A97" s="211" t="s">
        <v>4899</v>
      </c>
      <c r="B97" s="211">
        <v>5143</v>
      </c>
      <c r="C97" s="211">
        <v>1512</v>
      </c>
      <c r="D97" s="211" t="s">
        <v>1255</v>
      </c>
      <c r="E97" s="211" t="s">
        <v>10385</v>
      </c>
      <c r="F97" s="211" t="s">
        <v>10391</v>
      </c>
    </row>
    <row r="98" spans="1:6">
      <c r="A98" s="211" t="s">
        <v>4937</v>
      </c>
      <c r="B98" s="211">
        <v>6745</v>
      </c>
      <c r="C98" s="211">
        <v>771</v>
      </c>
      <c r="D98" s="211" t="s">
        <v>1117</v>
      </c>
      <c r="E98" s="211" t="s">
        <v>10385</v>
      </c>
      <c r="F98" s="211" t="s">
        <v>7258</v>
      </c>
    </row>
    <row r="99" spans="1:6">
      <c r="A99" s="211" t="s">
        <v>4602</v>
      </c>
      <c r="B99" s="211">
        <v>6515</v>
      </c>
      <c r="C99" s="211">
        <v>959</v>
      </c>
      <c r="D99" s="211" t="s">
        <v>1255</v>
      </c>
      <c r="E99" s="211" t="s">
        <v>10385</v>
      </c>
      <c r="F99" s="211" t="s">
        <v>7259</v>
      </c>
    </row>
    <row r="100" spans="1:6">
      <c r="A100" s="211" t="s">
        <v>7260</v>
      </c>
      <c r="B100" s="211">
        <v>471</v>
      </c>
      <c r="C100" s="211" t="s">
        <v>10385</v>
      </c>
      <c r="D100" s="211" t="s">
        <v>1255</v>
      </c>
      <c r="E100" s="211" t="s">
        <v>10385</v>
      </c>
      <c r="F100" s="211" t="s">
        <v>7261</v>
      </c>
    </row>
    <row r="101" spans="1:6">
      <c r="A101" s="211" t="s">
        <v>1297</v>
      </c>
      <c r="B101" s="211">
        <v>3776</v>
      </c>
      <c r="C101" s="211">
        <v>903</v>
      </c>
      <c r="D101" s="211" t="s">
        <v>1255</v>
      </c>
      <c r="E101" s="211" t="s">
        <v>10385</v>
      </c>
      <c r="F101" s="211" t="s">
        <v>7262</v>
      </c>
    </row>
    <row r="102" spans="1:6">
      <c r="A102" s="211" t="s">
        <v>1298</v>
      </c>
      <c r="B102" s="211">
        <v>5231</v>
      </c>
      <c r="C102" s="211">
        <v>1564</v>
      </c>
      <c r="D102" s="211" t="s">
        <v>1255</v>
      </c>
      <c r="E102" s="211" t="s">
        <v>10385</v>
      </c>
      <c r="F102" s="211" t="s">
        <v>7263</v>
      </c>
    </row>
    <row r="103" spans="1:6">
      <c r="A103" s="211" t="s">
        <v>2980</v>
      </c>
      <c r="B103" s="211">
        <v>2516</v>
      </c>
      <c r="C103" s="211">
        <v>1303</v>
      </c>
      <c r="D103" s="211" t="s">
        <v>1255</v>
      </c>
      <c r="E103" s="211" t="s">
        <v>10385</v>
      </c>
      <c r="F103" s="211" t="s">
        <v>7264</v>
      </c>
    </row>
    <row r="104" spans="1:6">
      <c r="A104" s="211" t="s">
        <v>1299</v>
      </c>
      <c r="B104" s="211">
        <v>2737</v>
      </c>
      <c r="C104" s="211">
        <v>1541</v>
      </c>
      <c r="D104" s="211" t="s">
        <v>1255</v>
      </c>
      <c r="E104" s="211" t="s">
        <v>10385</v>
      </c>
      <c r="F104" s="211" t="s">
        <v>7265</v>
      </c>
    </row>
    <row r="105" spans="1:6">
      <c r="A105" s="211" t="s">
        <v>7266</v>
      </c>
      <c r="B105" s="211">
        <v>2100</v>
      </c>
      <c r="C105" s="211" t="s">
        <v>10385</v>
      </c>
      <c r="D105" s="211" t="s">
        <v>1255</v>
      </c>
      <c r="E105" s="211" t="s">
        <v>10385</v>
      </c>
      <c r="F105" s="211" t="s">
        <v>7265</v>
      </c>
    </row>
    <row r="106" spans="1:6">
      <c r="A106" s="211" t="s">
        <v>2900</v>
      </c>
      <c r="B106" s="211">
        <v>2276</v>
      </c>
      <c r="C106" s="211">
        <v>1763</v>
      </c>
      <c r="D106" s="211" t="s">
        <v>1255</v>
      </c>
      <c r="E106" s="211" t="s">
        <v>6615</v>
      </c>
      <c r="F106" s="211" t="s">
        <v>7267</v>
      </c>
    </row>
    <row r="107" spans="1:6">
      <c r="A107" s="211" t="s">
        <v>1300</v>
      </c>
      <c r="B107" s="211">
        <v>5096</v>
      </c>
      <c r="C107" s="211">
        <v>1019</v>
      </c>
      <c r="D107" s="211" t="s">
        <v>1255</v>
      </c>
      <c r="E107" s="211" t="s">
        <v>10385</v>
      </c>
      <c r="F107" s="211" t="s">
        <v>7217</v>
      </c>
    </row>
    <row r="108" spans="1:6">
      <c r="A108" s="211" t="s">
        <v>1301</v>
      </c>
      <c r="B108" s="211">
        <v>3452</v>
      </c>
      <c r="C108" s="211">
        <v>916</v>
      </c>
      <c r="D108" s="211" t="s">
        <v>1255</v>
      </c>
      <c r="E108" s="211" t="s">
        <v>10385</v>
      </c>
      <c r="F108" s="211" t="s">
        <v>7268</v>
      </c>
    </row>
    <row r="109" spans="1:6">
      <c r="A109" s="211" t="s">
        <v>1302</v>
      </c>
      <c r="B109" s="211">
        <v>1773</v>
      </c>
      <c r="C109" s="211">
        <v>995</v>
      </c>
      <c r="D109" s="211" t="s">
        <v>1255</v>
      </c>
      <c r="E109" s="211" t="s">
        <v>10385</v>
      </c>
      <c r="F109" s="211" t="s">
        <v>7262</v>
      </c>
    </row>
    <row r="110" spans="1:6">
      <c r="A110" s="211" t="s">
        <v>9028</v>
      </c>
      <c r="B110" s="211">
        <v>7888</v>
      </c>
      <c r="C110" s="211">
        <v>1994</v>
      </c>
      <c r="D110" s="211" t="s">
        <v>1255</v>
      </c>
      <c r="E110" s="211" t="s">
        <v>9029</v>
      </c>
      <c r="F110" s="211" t="s">
        <v>7224</v>
      </c>
    </row>
    <row r="111" spans="1:6">
      <c r="A111" s="211" t="s">
        <v>1303</v>
      </c>
      <c r="B111" s="211">
        <v>1184</v>
      </c>
      <c r="C111" s="211">
        <v>893</v>
      </c>
      <c r="D111" s="211" t="s">
        <v>1255</v>
      </c>
      <c r="E111" s="211" t="s">
        <v>10385</v>
      </c>
      <c r="F111" s="211" t="s">
        <v>7269</v>
      </c>
    </row>
    <row r="112" spans="1:6">
      <c r="A112" s="211" t="s">
        <v>1304</v>
      </c>
      <c r="B112" s="211">
        <v>5474</v>
      </c>
      <c r="C112" s="211">
        <v>1185</v>
      </c>
      <c r="D112" s="211" t="s">
        <v>1255</v>
      </c>
      <c r="E112" s="211" t="s">
        <v>10385</v>
      </c>
      <c r="F112" s="211" t="s">
        <v>7212</v>
      </c>
    </row>
    <row r="113" spans="1:6">
      <c r="A113" s="211" t="s">
        <v>1305</v>
      </c>
      <c r="B113" s="211">
        <v>2846</v>
      </c>
      <c r="C113" s="211">
        <v>872</v>
      </c>
      <c r="D113" s="211" t="s">
        <v>1117</v>
      </c>
      <c r="E113" s="211" t="s">
        <v>10385</v>
      </c>
      <c r="F113" s="211" t="s">
        <v>7171</v>
      </c>
    </row>
    <row r="114" spans="1:6">
      <c r="A114" s="211" t="s">
        <v>1306</v>
      </c>
      <c r="B114" s="211">
        <v>5967</v>
      </c>
      <c r="C114" s="211">
        <v>947</v>
      </c>
      <c r="D114" s="211" t="s">
        <v>1255</v>
      </c>
      <c r="E114" s="211" t="s">
        <v>10385</v>
      </c>
      <c r="F114" s="211" t="s">
        <v>7270</v>
      </c>
    </row>
    <row r="115" spans="1:6">
      <c r="A115" s="211" t="s">
        <v>7271</v>
      </c>
      <c r="B115" s="211">
        <v>317</v>
      </c>
      <c r="C115" s="211" t="s">
        <v>10385</v>
      </c>
      <c r="D115" s="211" t="s">
        <v>1255</v>
      </c>
      <c r="E115" s="211" t="s">
        <v>10385</v>
      </c>
      <c r="F115" s="211" t="s">
        <v>7272</v>
      </c>
    </row>
    <row r="116" spans="1:6">
      <c r="A116" s="211" t="s">
        <v>7273</v>
      </c>
      <c r="B116" s="211">
        <v>1564</v>
      </c>
      <c r="C116" s="211" t="s">
        <v>10385</v>
      </c>
      <c r="D116" s="211" t="s">
        <v>1255</v>
      </c>
      <c r="E116" s="211" t="s">
        <v>10385</v>
      </c>
      <c r="F116" s="211" t="s">
        <v>7274</v>
      </c>
    </row>
    <row r="117" spans="1:6">
      <c r="A117" s="211" t="s">
        <v>9030</v>
      </c>
      <c r="B117" s="211">
        <v>8280</v>
      </c>
      <c r="C117" s="211" t="s">
        <v>10385</v>
      </c>
      <c r="D117" s="211" t="s">
        <v>1255</v>
      </c>
      <c r="E117" s="211" t="s">
        <v>10385</v>
      </c>
      <c r="F117" s="211" t="s">
        <v>7233</v>
      </c>
    </row>
    <row r="118" spans="1:6">
      <c r="A118" s="211" t="s">
        <v>10392</v>
      </c>
      <c r="B118" s="211">
        <v>8783</v>
      </c>
      <c r="C118" s="211">
        <v>959</v>
      </c>
      <c r="D118" s="211" t="s">
        <v>1255</v>
      </c>
      <c r="E118" s="211" t="s">
        <v>10385</v>
      </c>
      <c r="F118" s="211" t="s">
        <v>9281</v>
      </c>
    </row>
    <row r="119" spans="1:6">
      <c r="A119" s="211" t="s">
        <v>1307</v>
      </c>
      <c r="B119" s="211">
        <v>2406</v>
      </c>
      <c r="C119" s="211">
        <v>1110</v>
      </c>
      <c r="D119" s="211" t="s">
        <v>1255</v>
      </c>
      <c r="E119" s="211" t="s">
        <v>10385</v>
      </c>
      <c r="F119" s="211" t="s">
        <v>7275</v>
      </c>
    </row>
    <row r="120" spans="1:6">
      <c r="A120" s="211" t="s">
        <v>7276</v>
      </c>
      <c r="B120" s="211">
        <v>624</v>
      </c>
      <c r="C120" s="211" t="s">
        <v>10385</v>
      </c>
      <c r="D120" s="211" t="s">
        <v>1255</v>
      </c>
      <c r="E120" s="211" t="s">
        <v>10385</v>
      </c>
      <c r="F120" s="211" t="s">
        <v>7277</v>
      </c>
    </row>
    <row r="121" spans="1:6">
      <c r="A121" s="211" t="s">
        <v>7278</v>
      </c>
      <c r="B121" s="211">
        <v>1201</v>
      </c>
      <c r="C121" s="211" t="s">
        <v>10385</v>
      </c>
      <c r="D121" s="211" t="s">
        <v>1255</v>
      </c>
      <c r="E121" s="211" t="s">
        <v>10385</v>
      </c>
      <c r="F121" s="211" t="s">
        <v>7279</v>
      </c>
    </row>
    <row r="122" spans="1:6">
      <c r="A122" s="211" t="s">
        <v>1308</v>
      </c>
      <c r="B122" s="211">
        <v>1637</v>
      </c>
      <c r="C122" s="211">
        <v>268</v>
      </c>
      <c r="D122" s="211" t="s">
        <v>1255</v>
      </c>
      <c r="E122" s="211" t="s">
        <v>10385</v>
      </c>
      <c r="F122" s="211" t="s">
        <v>7229</v>
      </c>
    </row>
    <row r="123" spans="1:6">
      <c r="A123" s="211" t="s">
        <v>5515</v>
      </c>
      <c r="B123" s="211">
        <v>7039</v>
      </c>
      <c r="C123" s="211">
        <v>1362</v>
      </c>
      <c r="D123" s="211" t="s">
        <v>1255</v>
      </c>
      <c r="E123" s="211" t="s">
        <v>5516</v>
      </c>
      <c r="F123" s="211" t="s">
        <v>9024</v>
      </c>
    </row>
    <row r="124" spans="1:6">
      <c r="A124" s="211" t="s">
        <v>1309</v>
      </c>
      <c r="B124" s="211">
        <v>1440</v>
      </c>
      <c r="C124" s="211">
        <v>1013</v>
      </c>
      <c r="D124" s="211" t="s">
        <v>1255</v>
      </c>
      <c r="E124" s="211" t="s">
        <v>10385</v>
      </c>
      <c r="F124" s="211" t="s">
        <v>7280</v>
      </c>
    </row>
    <row r="125" spans="1:6">
      <c r="A125" s="211" t="s">
        <v>5517</v>
      </c>
      <c r="B125" s="211">
        <v>7532</v>
      </c>
      <c r="C125" s="211">
        <v>831</v>
      </c>
      <c r="D125" s="211" t="s">
        <v>1255</v>
      </c>
      <c r="E125" s="211" t="s">
        <v>10385</v>
      </c>
      <c r="F125" s="211" t="s">
        <v>7224</v>
      </c>
    </row>
    <row r="126" spans="1:6">
      <c r="A126" s="211" t="s">
        <v>7281</v>
      </c>
      <c r="B126" s="211">
        <v>7611</v>
      </c>
      <c r="C126" s="211" t="s">
        <v>10385</v>
      </c>
      <c r="D126" s="211" t="s">
        <v>1255</v>
      </c>
      <c r="E126" s="211" t="s">
        <v>10385</v>
      </c>
      <c r="F126" s="211" t="s">
        <v>7282</v>
      </c>
    </row>
    <row r="127" spans="1:6">
      <c r="A127" s="211" t="s">
        <v>1310</v>
      </c>
      <c r="B127" s="211">
        <v>1193</v>
      </c>
      <c r="C127" s="211">
        <v>1580</v>
      </c>
      <c r="D127" s="211" t="s">
        <v>1255</v>
      </c>
      <c r="E127" s="211" t="s">
        <v>10385</v>
      </c>
      <c r="F127" s="211" t="s">
        <v>7283</v>
      </c>
    </row>
    <row r="128" spans="1:6">
      <c r="A128" s="211" t="s">
        <v>1311</v>
      </c>
      <c r="B128" s="211">
        <v>5570</v>
      </c>
      <c r="C128" s="211">
        <v>1220</v>
      </c>
      <c r="D128" s="211" t="s">
        <v>1255</v>
      </c>
      <c r="E128" s="211" t="s">
        <v>10385</v>
      </c>
      <c r="F128" s="211" t="s">
        <v>7284</v>
      </c>
    </row>
    <row r="129" spans="1:6">
      <c r="A129" s="211" t="s">
        <v>1312</v>
      </c>
      <c r="B129" s="211">
        <v>854</v>
      </c>
      <c r="C129" s="211">
        <v>1969</v>
      </c>
      <c r="D129" s="211" t="s">
        <v>1255</v>
      </c>
      <c r="E129" s="211" t="s">
        <v>10385</v>
      </c>
      <c r="F129" s="211" t="s">
        <v>7279</v>
      </c>
    </row>
    <row r="130" spans="1:6">
      <c r="A130" s="211" t="s">
        <v>5518</v>
      </c>
      <c r="B130" s="211">
        <v>7312</v>
      </c>
      <c r="C130" s="211">
        <v>881</v>
      </c>
      <c r="D130" s="211" t="s">
        <v>1255</v>
      </c>
      <c r="E130" s="211" t="s">
        <v>10385</v>
      </c>
      <c r="F130" s="211" t="s">
        <v>7285</v>
      </c>
    </row>
    <row r="131" spans="1:6">
      <c r="A131" s="211" t="s">
        <v>1313</v>
      </c>
      <c r="B131" s="211">
        <v>4570</v>
      </c>
      <c r="C131" s="211">
        <v>900</v>
      </c>
      <c r="D131" s="211" t="s">
        <v>1255</v>
      </c>
      <c r="E131" s="211" t="s">
        <v>10385</v>
      </c>
      <c r="F131" s="211" t="s">
        <v>7286</v>
      </c>
    </row>
    <row r="132" spans="1:6">
      <c r="A132" s="211" t="s">
        <v>1314</v>
      </c>
      <c r="B132" s="211">
        <v>5254</v>
      </c>
      <c r="C132" s="211">
        <v>1425</v>
      </c>
      <c r="D132" s="211" t="s">
        <v>1255</v>
      </c>
      <c r="E132" s="211" t="s">
        <v>6616</v>
      </c>
      <c r="F132" s="211" t="s">
        <v>7202</v>
      </c>
    </row>
    <row r="133" spans="1:6">
      <c r="A133" s="211" t="s">
        <v>1315</v>
      </c>
      <c r="B133" s="211">
        <v>1867</v>
      </c>
      <c r="C133" s="211">
        <v>1069</v>
      </c>
      <c r="D133" s="211" t="s">
        <v>1255</v>
      </c>
      <c r="E133" s="211" t="s">
        <v>10385</v>
      </c>
      <c r="F133" s="211" t="s">
        <v>7203</v>
      </c>
    </row>
    <row r="134" spans="1:6">
      <c r="A134" s="211" t="s">
        <v>1316</v>
      </c>
      <c r="B134" s="211">
        <v>2452</v>
      </c>
      <c r="C134" s="211">
        <v>944</v>
      </c>
      <c r="D134" s="211" t="s">
        <v>1255</v>
      </c>
      <c r="E134" s="211" t="s">
        <v>10385</v>
      </c>
      <c r="F134" s="211" t="s">
        <v>9024</v>
      </c>
    </row>
    <row r="135" spans="1:6">
      <c r="A135" s="211" t="s">
        <v>1317</v>
      </c>
      <c r="B135" s="211">
        <v>846</v>
      </c>
      <c r="C135" s="211">
        <v>1874</v>
      </c>
      <c r="D135" s="211" t="s">
        <v>1255</v>
      </c>
      <c r="E135" s="211" t="s">
        <v>10385</v>
      </c>
      <c r="F135" s="211" t="s">
        <v>9024</v>
      </c>
    </row>
    <row r="136" spans="1:6">
      <c r="A136" s="211" t="s">
        <v>4528</v>
      </c>
      <c r="B136" s="211">
        <v>6652</v>
      </c>
      <c r="C136" s="211">
        <v>1023</v>
      </c>
      <c r="D136" s="211" t="s">
        <v>1255</v>
      </c>
      <c r="E136" s="211" t="s">
        <v>10385</v>
      </c>
      <c r="F136" s="211" t="s">
        <v>7287</v>
      </c>
    </row>
    <row r="137" spans="1:6">
      <c r="A137" s="211" t="s">
        <v>1318</v>
      </c>
      <c r="B137" s="211">
        <v>4883</v>
      </c>
      <c r="C137" s="211">
        <v>1081</v>
      </c>
      <c r="D137" s="211" t="s">
        <v>1255</v>
      </c>
      <c r="E137" s="211" t="s">
        <v>10385</v>
      </c>
      <c r="F137" s="211" t="s">
        <v>7189</v>
      </c>
    </row>
    <row r="138" spans="1:6">
      <c r="A138" s="211" t="s">
        <v>9031</v>
      </c>
      <c r="B138" s="211">
        <v>8275</v>
      </c>
      <c r="C138" s="211">
        <v>1363</v>
      </c>
      <c r="D138" s="211" t="s">
        <v>1255</v>
      </c>
      <c r="E138" s="211" t="s">
        <v>10393</v>
      </c>
      <c r="F138" s="211" t="s">
        <v>7199</v>
      </c>
    </row>
    <row r="139" spans="1:6">
      <c r="A139" s="211" t="s">
        <v>4938</v>
      </c>
      <c r="B139" s="211">
        <v>6041</v>
      </c>
      <c r="C139" s="211">
        <v>850</v>
      </c>
      <c r="D139" s="211" t="s">
        <v>1255</v>
      </c>
      <c r="E139" s="211" t="s">
        <v>10385</v>
      </c>
      <c r="F139" s="211" t="s">
        <v>7192</v>
      </c>
    </row>
    <row r="140" spans="1:6">
      <c r="A140" s="211" t="s">
        <v>6617</v>
      </c>
      <c r="B140" s="211">
        <v>7704</v>
      </c>
      <c r="C140" s="211">
        <v>666</v>
      </c>
      <c r="D140" s="211" t="s">
        <v>1117</v>
      </c>
      <c r="E140" s="211" t="s">
        <v>6618</v>
      </c>
      <c r="F140" s="211" t="s">
        <v>7288</v>
      </c>
    </row>
    <row r="141" spans="1:6">
      <c r="A141" s="211" t="s">
        <v>7289</v>
      </c>
      <c r="B141" s="211">
        <v>47</v>
      </c>
      <c r="C141" s="211" t="s">
        <v>10385</v>
      </c>
      <c r="D141" s="211" t="s">
        <v>1255</v>
      </c>
      <c r="E141" s="211" t="s">
        <v>10385</v>
      </c>
      <c r="F141" s="211" t="s">
        <v>7243</v>
      </c>
    </row>
    <row r="142" spans="1:6">
      <c r="A142" s="211" t="s">
        <v>1319</v>
      </c>
      <c r="B142" s="211">
        <v>5478</v>
      </c>
      <c r="C142" s="211">
        <v>820</v>
      </c>
      <c r="D142" s="211" t="s">
        <v>1255</v>
      </c>
      <c r="E142" s="211" t="s">
        <v>10385</v>
      </c>
      <c r="F142" s="211" t="s">
        <v>7200</v>
      </c>
    </row>
    <row r="143" spans="1:6">
      <c r="A143" s="211" t="s">
        <v>1320</v>
      </c>
      <c r="B143" s="211">
        <v>2579</v>
      </c>
      <c r="C143" s="211">
        <v>1215</v>
      </c>
      <c r="D143" s="211" t="s">
        <v>1255</v>
      </c>
      <c r="E143" s="211" t="s">
        <v>10385</v>
      </c>
      <c r="F143" s="211" t="s">
        <v>7290</v>
      </c>
    </row>
    <row r="144" spans="1:6">
      <c r="A144" s="211" t="s">
        <v>9032</v>
      </c>
      <c r="B144" s="211">
        <v>7950</v>
      </c>
      <c r="C144" s="211">
        <v>926</v>
      </c>
      <c r="D144" s="211" t="s">
        <v>1117</v>
      </c>
      <c r="E144" s="211" t="s">
        <v>9033</v>
      </c>
      <c r="F144" s="211" t="s">
        <v>7288</v>
      </c>
    </row>
    <row r="145" spans="1:6">
      <c r="A145" s="211" t="s">
        <v>7291</v>
      </c>
      <c r="B145" s="211">
        <v>4800</v>
      </c>
      <c r="C145" s="211" t="s">
        <v>10385</v>
      </c>
      <c r="D145" s="211" t="s">
        <v>1117</v>
      </c>
      <c r="E145" s="211" t="s">
        <v>10385</v>
      </c>
      <c r="F145" s="211" t="s">
        <v>7292</v>
      </c>
    </row>
    <row r="146" spans="1:6">
      <c r="A146" s="211" t="s">
        <v>1321</v>
      </c>
      <c r="B146" s="211">
        <v>7310</v>
      </c>
      <c r="C146" s="211">
        <v>895</v>
      </c>
      <c r="D146" s="211" t="s">
        <v>1255</v>
      </c>
      <c r="E146" s="211" t="s">
        <v>10385</v>
      </c>
      <c r="F146" s="211" t="s">
        <v>7285</v>
      </c>
    </row>
    <row r="147" spans="1:6">
      <c r="A147" s="211" t="s">
        <v>7293</v>
      </c>
      <c r="B147" s="211">
        <v>7844</v>
      </c>
      <c r="C147" s="211">
        <v>1060</v>
      </c>
      <c r="D147" s="211" t="s">
        <v>1255</v>
      </c>
      <c r="E147" s="211" t="s">
        <v>10385</v>
      </c>
      <c r="F147" s="211" t="s">
        <v>7285</v>
      </c>
    </row>
    <row r="148" spans="1:6">
      <c r="A148" s="211" t="s">
        <v>7294</v>
      </c>
      <c r="B148" s="211">
        <v>7610</v>
      </c>
      <c r="C148" s="211" t="s">
        <v>10385</v>
      </c>
      <c r="D148" s="211" t="s">
        <v>1255</v>
      </c>
      <c r="E148" s="211" t="s">
        <v>10385</v>
      </c>
      <c r="F148" s="211" t="s">
        <v>7282</v>
      </c>
    </row>
    <row r="149" spans="1:6">
      <c r="A149" s="211" t="s">
        <v>2842</v>
      </c>
      <c r="B149" s="211">
        <v>3485</v>
      </c>
      <c r="C149" s="211">
        <v>1676</v>
      </c>
      <c r="D149" s="211" t="s">
        <v>1255</v>
      </c>
      <c r="E149" s="211" t="s">
        <v>10385</v>
      </c>
      <c r="F149" s="211" t="s">
        <v>7224</v>
      </c>
    </row>
    <row r="150" spans="1:6">
      <c r="A150" s="211" t="s">
        <v>1322</v>
      </c>
      <c r="B150" s="211">
        <v>3518</v>
      </c>
      <c r="C150" s="211">
        <v>2116</v>
      </c>
      <c r="D150" s="211" t="s">
        <v>1255</v>
      </c>
      <c r="E150" s="211" t="s">
        <v>6619</v>
      </c>
      <c r="F150" s="211" t="s">
        <v>7295</v>
      </c>
    </row>
    <row r="151" spans="1:6">
      <c r="A151" s="211" t="s">
        <v>7296</v>
      </c>
      <c r="B151" s="211">
        <v>1829</v>
      </c>
      <c r="C151" s="211" t="s">
        <v>10385</v>
      </c>
      <c r="D151" s="211" t="s">
        <v>1255</v>
      </c>
      <c r="E151" s="211" t="s">
        <v>10385</v>
      </c>
      <c r="F151" s="211" t="s">
        <v>7297</v>
      </c>
    </row>
    <row r="152" spans="1:6">
      <c r="A152" s="211" t="s">
        <v>6620</v>
      </c>
      <c r="B152" s="211">
        <v>7632</v>
      </c>
      <c r="C152" s="211">
        <v>1443</v>
      </c>
      <c r="D152" s="211" t="s">
        <v>1255</v>
      </c>
      <c r="E152" s="211" t="s">
        <v>6621</v>
      </c>
      <c r="F152" s="211" t="s">
        <v>7298</v>
      </c>
    </row>
    <row r="153" spans="1:6">
      <c r="A153" s="211" t="s">
        <v>4794</v>
      </c>
      <c r="B153" s="211">
        <v>6125</v>
      </c>
      <c r="C153" s="211">
        <v>1672</v>
      </c>
      <c r="D153" s="211" t="s">
        <v>1255</v>
      </c>
      <c r="E153" s="211" t="s">
        <v>10385</v>
      </c>
      <c r="F153" s="211" t="s">
        <v>7299</v>
      </c>
    </row>
    <row r="154" spans="1:6">
      <c r="A154" s="211" t="s">
        <v>1323</v>
      </c>
      <c r="B154" s="211">
        <v>2574</v>
      </c>
      <c r="C154" s="211">
        <v>812</v>
      </c>
      <c r="D154" s="211" t="s">
        <v>1255</v>
      </c>
      <c r="E154" s="211" t="s">
        <v>10385</v>
      </c>
      <c r="F154" s="211" t="s">
        <v>7290</v>
      </c>
    </row>
    <row r="155" spans="1:6">
      <c r="A155" s="211" t="s">
        <v>1324</v>
      </c>
      <c r="B155" s="211">
        <v>223</v>
      </c>
      <c r="C155" s="211">
        <v>1775</v>
      </c>
      <c r="D155" s="211" t="s">
        <v>1255</v>
      </c>
      <c r="E155" s="211" t="s">
        <v>10385</v>
      </c>
      <c r="F155" s="211" t="s">
        <v>7171</v>
      </c>
    </row>
    <row r="156" spans="1:6">
      <c r="A156" s="211" t="s">
        <v>4939</v>
      </c>
      <c r="B156" s="211">
        <v>6619</v>
      </c>
      <c r="C156" s="211">
        <v>835</v>
      </c>
      <c r="D156" s="211" t="s">
        <v>1255</v>
      </c>
      <c r="E156" s="211" t="s">
        <v>10385</v>
      </c>
      <c r="F156" s="211" t="s">
        <v>7192</v>
      </c>
    </row>
    <row r="157" spans="1:6">
      <c r="A157" s="211" t="s">
        <v>7300</v>
      </c>
      <c r="B157" s="211">
        <v>92</v>
      </c>
      <c r="C157" s="211" t="s">
        <v>10385</v>
      </c>
      <c r="D157" s="211" t="s">
        <v>1255</v>
      </c>
      <c r="E157" s="211" t="s">
        <v>10385</v>
      </c>
      <c r="F157" s="211" t="s">
        <v>7301</v>
      </c>
    </row>
    <row r="158" spans="1:6">
      <c r="A158" s="211" t="s">
        <v>5519</v>
      </c>
      <c r="B158" s="211">
        <v>7311</v>
      </c>
      <c r="C158" s="211">
        <v>866</v>
      </c>
      <c r="D158" s="211" t="s">
        <v>1255</v>
      </c>
      <c r="E158" s="211" t="s">
        <v>10385</v>
      </c>
      <c r="F158" s="211" t="s">
        <v>7285</v>
      </c>
    </row>
    <row r="159" spans="1:6">
      <c r="A159" s="211" t="s">
        <v>4940</v>
      </c>
      <c r="B159" s="211">
        <v>6773</v>
      </c>
      <c r="C159" s="211">
        <v>1215</v>
      </c>
      <c r="D159" s="211" t="s">
        <v>1255</v>
      </c>
      <c r="E159" s="211" t="s">
        <v>9034</v>
      </c>
      <c r="F159" s="211" t="s">
        <v>7199</v>
      </c>
    </row>
    <row r="160" spans="1:6">
      <c r="A160" s="211" t="s">
        <v>7302</v>
      </c>
      <c r="B160" s="211">
        <v>4680</v>
      </c>
      <c r="C160" s="211" t="s">
        <v>10385</v>
      </c>
      <c r="D160" s="211" t="s">
        <v>1255</v>
      </c>
      <c r="E160" s="211" t="s">
        <v>10385</v>
      </c>
      <c r="F160" s="211" t="s">
        <v>7272</v>
      </c>
    </row>
    <row r="161" spans="1:6">
      <c r="A161" s="211" t="s">
        <v>1325</v>
      </c>
      <c r="B161" s="211">
        <v>4257</v>
      </c>
      <c r="C161" s="211">
        <v>862</v>
      </c>
      <c r="D161" s="211" t="s">
        <v>1255</v>
      </c>
      <c r="E161" s="211" t="s">
        <v>10385</v>
      </c>
      <c r="F161" s="211" t="s">
        <v>7303</v>
      </c>
    </row>
    <row r="162" spans="1:6">
      <c r="A162" s="211" t="s">
        <v>1326</v>
      </c>
      <c r="B162" s="211">
        <v>3755</v>
      </c>
      <c r="C162" s="211">
        <v>955</v>
      </c>
      <c r="D162" s="211" t="s">
        <v>1255</v>
      </c>
      <c r="E162" s="211" t="s">
        <v>10385</v>
      </c>
      <c r="F162" s="211" t="s">
        <v>7217</v>
      </c>
    </row>
    <row r="163" spans="1:6">
      <c r="A163" s="211" t="s">
        <v>5520</v>
      </c>
      <c r="B163" s="211">
        <v>7195</v>
      </c>
      <c r="C163" s="211">
        <v>876</v>
      </c>
      <c r="D163" s="211" t="s">
        <v>1255</v>
      </c>
      <c r="E163" s="211" t="s">
        <v>6622</v>
      </c>
      <c r="F163" s="211" t="s">
        <v>7298</v>
      </c>
    </row>
    <row r="164" spans="1:6">
      <c r="A164" s="211" t="s">
        <v>5521</v>
      </c>
      <c r="B164" s="211">
        <v>4553</v>
      </c>
      <c r="C164" s="211">
        <v>1748</v>
      </c>
      <c r="D164" s="211" t="s">
        <v>1255</v>
      </c>
      <c r="E164" s="211" t="s">
        <v>9035</v>
      </c>
      <c r="F164" s="211" t="s">
        <v>7304</v>
      </c>
    </row>
    <row r="165" spans="1:6">
      <c r="A165" s="211" t="s">
        <v>7305</v>
      </c>
      <c r="B165" s="211">
        <v>151</v>
      </c>
      <c r="C165" s="211" t="s">
        <v>10385</v>
      </c>
      <c r="D165" s="211" t="s">
        <v>1255</v>
      </c>
      <c r="E165" s="211" t="s">
        <v>10385</v>
      </c>
      <c r="F165" s="211" t="s">
        <v>7306</v>
      </c>
    </row>
    <row r="166" spans="1:6">
      <c r="A166" s="211" t="s">
        <v>5522</v>
      </c>
      <c r="B166" s="211">
        <v>7086</v>
      </c>
      <c r="C166" s="211">
        <v>1425</v>
      </c>
      <c r="D166" s="211" t="s">
        <v>1255</v>
      </c>
      <c r="E166" s="211" t="s">
        <v>5523</v>
      </c>
      <c r="F166" s="211" t="s">
        <v>7215</v>
      </c>
    </row>
    <row r="167" spans="1:6">
      <c r="A167" s="211" t="s">
        <v>1327</v>
      </c>
      <c r="B167" s="211">
        <v>3264</v>
      </c>
      <c r="C167" s="211">
        <v>1404</v>
      </c>
      <c r="D167" s="211" t="s">
        <v>1255</v>
      </c>
      <c r="E167" s="211" t="s">
        <v>10385</v>
      </c>
      <c r="F167" s="211" t="s">
        <v>7171</v>
      </c>
    </row>
    <row r="168" spans="1:6">
      <c r="A168" s="211" t="s">
        <v>1328</v>
      </c>
      <c r="B168" s="211">
        <v>5261</v>
      </c>
      <c r="C168" s="211">
        <v>1698</v>
      </c>
      <c r="D168" s="211" t="s">
        <v>1255</v>
      </c>
      <c r="E168" s="211" t="s">
        <v>10385</v>
      </c>
      <c r="F168" s="211" t="s">
        <v>7298</v>
      </c>
    </row>
    <row r="169" spans="1:6">
      <c r="A169" s="211" t="s">
        <v>1329</v>
      </c>
      <c r="B169" s="211">
        <v>3305</v>
      </c>
      <c r="C169" s="211">
        <v>2102</v>
      </c>
      <c r="D169" s="211" t="s">
        <v>1255</v>
      </c>
      <c r="E169" s="211" t="s">
        <v>10385</v>
      </c>
      <c r="F169" s="211" t="s">
        <v>7307</v>
      </c>
    </row>
    <row r="170" spans="1:6">
      <c r="A170" s="211" t="s">
        <v>1330</v>
      </c>
      <c r="B170" s="211">
        <v>3574</v>
      </c>
      <c r="C170" s="211">
        <v>983</v>
      </c>
      <c r="D170" s="211" t="s">
        <v>1117</v>
      </c>
      <c r="E170" s="211" t="s">
        <v>10385</v>
      </c>
      <c r="F170" s="211" t="s">
        <v>7308</v>
      </c>
    </row>
    <row r="171" spans="1:6">
      <c r="A171" s="211" t="s">
        <v>9036</v>
      </c>
      <c r="B171" s="211">
        <v>7980</v>
      </c>
      <c r="C171" s="211">
        <v>1872</v>
      </c>
      <c r="D171" s="211" t="s">
        <v>1255</v>
      </c>
      <c r="E171" s="211" t="s">
        <v>9037</v>
      </c>
      <c r="F171" s="211" t="s">
        <v>7399</v>
      </c>
    </row>
    <row r="172" spans="1:6">
      <c r="A172" s="211" t="s">
        <v>1331</v>
      </c>
      <c r="B172" s="211">
        <v>2807</v>
      </c>
      <c r="C172" s="211">
        <v>1487</v>
      </c>
      <c r="D172" s="211" t="s">
        <v>1255</v>
      </c>
      <c r="E172" s="211" t="s">
        <v>10385</v>
      </c>
      <c r="F172" s="211" t="s">
        <v>7262</v>
      </c>
    </row>
    <row r="173" spans="1:6">
      <c r="A173" s="211" t="s">
        <v>7309</v>
      </c>
      <c r="B173" s="211">
        <v>2460</v>
      </c>
      <c r="C173" s="211">
        <v>1750</v>
      </c>
      <c r="D173" s="211" t="s">
        <v>1255</v>
      </c>
      <c r="E173" s="211" t="s">
        <v>9038</v>
      </c>
      <c r="F173" s="211" t="s">
        <v>7365</v>
      </c>
    </row>
    <row r="174" spans="1:6">
      <c r="A174" s="211" t="s">
        <v>1332</v>
      </c>
      <c r="B174" s="211">
        <v>5632</v>
      </c>
      <c r="C174" s="211">
        <v>1258</v>
      </c>
      <c r="D174" s="211" t="s">
        <v>1255</v>
      </c>
      <c r="E174" s="211" t="s">
        <v>10385</v>
      </c>
      <c r="F174" s="211" t="s">
        <v>7186</v>
      </c>
    </row>
    <row r="175" spans="1:6">
      <c r="A175" s="211" t="s">
        <v>10339</v>
      </c>
      <c r="B175" s="211">
        <v>762</v>
      </c>
      <c r="C175" s="211" t="s">
        <v>10385</v>
      </c>
      <c r="D175" s="211" t="s">
        <v>1255</v>
      </c>
      <c r="E175" s="211" t="s">
        <v>10385</v>
      </c>
      <c r="F175" s="211" t="s">
        <v>7196</v>
      </c>
    </row>
    <row r="176" spans="1:6">
      <c r="A176" s="211" t="s">
        <v>1333</v>
      </c>
      <c r="B176" s="211">
        <v>1036</v>
      </c>
      <c r="C176" s="211">
        <v>1662</v>
      </c>
      <c r="D176" s="211" t="s">
        <v>1255</v>
      </c>
      <c r="E176" s="211" t="s">
        <v>10385</v>
      </c>
      <c r="F176" s="211" t="s">
        <v>7223</v>
      </c>
    </row>
    <row r="177" spans="1:6">
      <c r="A177" s="211" t="s">
        <v>9039</v>
      </c>
      <c r="B177" s="211">
        <v>8065</v>
      </c>
      <c r="C177" s="211">
        <v>792</v>
      </c>
      <c r="D177" s="211" t="s">
        <v>1117</v>
      </c>
      <c r="E177" s="211" t="s">
        <v>10385</v>
      </c>
      <c r="F177" s="211" t="s">
        <v>7331</v>
      </c>
    </row>
    <row r="178" spans="1:6">
      <c r="A178" s="211" t="s">
        <v>3047</v>
      </c>
      <c r="B178" s="211">
        <v>6266</v>
      </c>
      <c r="C178" s="211">
        <v>670</v>
      </c>
      <c r="D178" s="211" t="s">
        <v>1255</v>
      </c>
      <c r="E178" s="211" t="s">
        <v>10385</v>
      </c>
      <c r="F178" s="211" t="s">
        <v>7310</v>
      </c>
    </row>
    <row r="179" spans="1:6">
      <c r="A179" s="211" t="s">
        <v>1334</v>
      </c>
      <c r="B179" s="211">
        <v>5461</v>
      </c>
      <c r="C179" s="211">
        <v>1226</v>
      </c>
      <c r="D179" s="211" t="s">
        <v>1255</v>
      </c>
      <c r="E179" s="211" t="s">
        <v>10385</v>
      </c>
      <c r="F179" s="211" t="s">
        <v>7247</v>
      </c>
    </row>
    <row r="180" spans="1:6">
      <c r="A180" s="211" t="s">
        <v>7311</v>
      </c>
      <c r="B180" s="211">
        <v>4305</v>
      </c>
      <c r="C180" s="211" t="s">
        <v>10385</v>
      </c>
      <c r="D180" s="211" t="s">
        <v>1255</v>
      </c>
      <c r="E180" s="211" t="s">
        <v>10385</v>
      </c>
      <c r="F180" s="211" t="s">
        <v>7312</v>
      </c>
    </row>
    <row r="181" spans="1:6">
      <c r="A181" s="211" t="s">
        <v>7313</v>
      </c>
      <c r="B181" s="211">
        <v>3256</v>
      </c>
      <c r="C181" s="211" t="s">
        <v>10385</v>
      </c>
      <c r="D181" s="211" t="s">
        <v>1255</v>
      </c>
      <c r="E181" s="211" t="s">
        <v>10385</v>
      </c>
      <c r="F181" s="211" t="s">
        <v>7312</v>
      </c>
    </row>
    <row r="182" spans="1:6">
      <c r="A182" s="211" t="s">
        <v>1335</v>
      </c>
      <c r="B182" s="211">
        <v>1098</v>
      </c>
      <c r="C182" s="211">
        <v>2153</v>
      </c>
      <c r="D182" s="211" t="s">
        <v>1255</v>
      </c>
      <c r="E182" s="211" t="s">
        <v>10385</v>
      </c>
      <c r="F182" s="211" t="s">
        <v>7267</v>
      </c>
    </row>
    <row r="183" spans="1:6">
      <c r="A183" s="211" t="s">
        <v>1336</v>
      </c>
      <c r="B183" s="211">
        <v>2027</v>
      </c>
      <c r="C183" s="211">
        <v>1239</v>
      </c>
      <c r="D183" s="211" t="s">
        <v>1255</v>
      </c>
      <c r="E183" s="211" t="s">
        <v>10385</v>
      </c>
      <c r="F183" s="211" t="s">
        <v>7285</v>
      </c>
    </row>
    <row r="184" spans="1:6">
      <c r="A184" s="211" t="s">
        <v>1337</v>
      </c>
      <c r="B184" s="211">
        <v>1061</v>
      </c>
      <c r="C184" s="211">
        <v>1251</v>
      </c>
      <c r="D184" s="211" t="s">
        <v>1255</v>
      </c>
      <c r="E184" s="211" t="s">
        <v>10385</v>
      </c>
      <c r="F184" s="211" t="s">
        <v>7241</v>
      </c>
    </row>
    <row r="185" spans="1:6">
      <c r="A185" s="211" t="s">
        <v>1338</v>
      </c>
      <c r="B185" s="211">
        <v>5677</v>
      </c>
      <c r="C185" s="211">
        <v>1780</v>
      </c>
      <c r="D185" s="211" t="s">
        <v>1255</v>
      </c>
      <c r="E185" s="211" t="s">
        <v>5524</v>
      </c>
      <c r="F185" s="211" t="s">
        <v>7306</v>
      </c>
    </row>
    <row r="186" spans="1:6">
      <c r="A186" s="211" t="s">
        <v>7314</v>
      </c>
      <c r="B186" s="211">
        <v>4</v>
      </c>
      <c r="C186" s="211" t="s">
        <v>10385</v>
      </c>
      <c r="D186" s="211" t="s">
        <v>1255</v>
      </c>
      <c r="E186" s="211" t="s">
        <v>10385</v>
      </c>
      <c r="F186" s="211" t="s">
        <v>7261</v>
      </c>
    </row>
    <row r="187" spans="1:6">
      <c r="A187" s="211" t="s">
        <v>1339</v>
      </c>
      <c r="B187" s="211">
        <v>3597</v>
      </c>
      <c r="C187" s="211">
        <v>726</v>
      </c>
      <c r="D187" s="211" t="s">
        <v>1255</v>
      </c>
      <c r="E187" s="211" t="s">
        <v>10385</v>
      </c>
      <c r="F187" s="211" t="s">
        <v>7297</v>
      </c>
    </row>
    <row r="188" spans="1:6">
      <c r="A188" s="211" t="s">
        <v>4691</v>
      </c>
      <c r="B188" s="211">
        <v>6366</v>
      </c>
      <c r="C188" s="211">
        <v>1308</v>
      </c>
      <c r="D188" s="211" t="s">
        <v>1255</v>
      </c>
      <c r="E188" s="211" t="s">
        <v>6623</v>
      </c>
      <c r="F188" s="211" t="s">
        <v>7202</v>
      </c>
    </row>
    <row r="189" spans="1:6">
      <c r="A189" s="211" t="s">
        <v>7315</v>
      </c>
      <c r="B189" s="211">
        <v>6870</v>
      </c>
      <c r="C189" s="211" t="s">
        <v>10385</v>
      </c>
      <c r="D189" s="211" t="s">
        <v>1255</v>
      </c>
      <c r="E189" s="211" t="s">
        <v>10385</v>
      </c>
      <c r="F189" s="211" t="s">
        <v>7292</v>
      </c>
    </row>
    <row r="190" spans="1:6">
      <c r="A190" s="211" t="s">
        <v>4941</v>
      </c>
      <c r="B190" s="211">
        <v>6947</v>
      </c>
      <c r="C190" s="211">
        <v>2025</v>
      </c>
      <c r="D190" s="211" t="s">
        <v>1255</v>
      </c>
      <c r="E190" s="211" t="s">
        <v>9040</v>
      </c>
      <c r="F190" s="211" t="s">
        <v>7263</v>
      </c>
    </row>
    <row r="191" spans="1:6">
      <c r="A191" s="211" t="s">
        <v>9041</v>
      </c>
      <c r="B191" s="211">
        <v>8488</v>
      </c>
      <c r="C191" s="211">
        <v>1015</v>
      </c>
      <c r="D191" s="211" t="s">
        <v>1255</v>
      </c>
      <c r="E191" s="211" t="s">
        <v>10385</v>
      </c>
      <c r="F191" s="211" t="s">
        <v>7321</v>
      </c>
    </row>
    <row r="192" spans="1:6">
      <c r="A192" s="211" t="s">
        <v>10394</v>
      </c>
      <c r="B192" s="211">
        <v>8811</v>
      </c>
      <c r="C192" s="211">
        <v>1033</v>
      </c>
      <c r="D192" s="211" t="s">
        <v>1255</v>
      </c>
      <c r="E192" s="211" t="s">
        <v>10395</v>
      </c>
      <c r="F192" s="211" t="s">
        <v>7524</v>
      </c>
    </row>
    <row r="193" spans="1:6">
      <c r="A193" s="211" t="s">
        <v>1340</v>
      </c>
      <c r="B193" s="211">
        <v>2213</v>
      </c>
      <c r="C193" s="211">
        <v>942</v>
      </c>
      <c r="D193" s="211" t="s">
        <v>1255</v>
      </c>
      <c r="E193" s="211" t="s">
        <v>10385</v>
      </c>
      <c r="F193" s="211" t="s">
        <v>7230</v>
      </c>
    </row>
    <row r="194" spans="1:6">
      <c r="A194" s="211" t="s">
        <v>1341</v>
      </c>
      <c r="B194" s="211">
        <v>5108</v>
      </c>
      <c r="C194" s="211">
        <v>1295</v>
      </c>
      <c r="D194" s="211" t="s">
        <v>1255</v>
      </c>
      <c r="E194" s="211" t="s">
        <v>10385</v>
      </c>
      <c r="F194" s="211" t="s">
        <v>7316</v>
      </c>
    </row>
    <row r="195" spans="1:6">
      <c r="A195" s="211" t="s">
        <v>7317</v>
      </c>
      <c r="B195" s="211">
        <v>749</v>
      </c>
      <c r="C195" s="211" t="s">
        <v>10385</v>
      </c>
      <c r="D195" s="211" t="s">
        <v>1255</v>
      </c>
      <c r="E195" s="211" t="s">
        <v>10385</v>
      </c>
      <c r="F195" s="211" t="s">
        <v>7318</v>
      </c>
    </row>
    <row r="196" spans="1:6">
      <c r="A196" s="211" t="s">
        <v>1342</v>
      </c>
      <c r="B196" s="211">
        <v>4944</v>
      </c>
      <c r="C196" s="211">
        <v>2050</v>
      </c>
      <c r="D196" s="211" t="s">
        <v>1255</v>
      </c>
      <c r="E196" s="211" t="s">
        <v>10385</v>
      </c>
      <c r="F196" s="211" t="s">
        <v>7267</v>
      </c>
    </row>
    <row r="197" spans="1:6">
      <c r="A197" s="211" t="s">
        <v>4942</v>
      </c>
      <c r="B197" s="211">
        <v>6766</v>
      </c>
      <c r="C197" s="211">
        <v>1025</v>
      </c>
      <c r="D197" s="211" t="s">
        <v>1255</v>
      </c>
      <c r="E197" s="211" t="s">
        <v>10385</v>
      </c>
      <c r="F197" s="211" t="s">
        <v>7288</v>
      </c>
    </row>
    <row r="198" spans="1:6">
      <c r="A198" s="211" t="s">
        <v>9042</v>
      </c>
      <c r="B198" s="211">
        <v>8048</v>
      </c>
      <c r="C198" s="211">
        <v>923</v>
      </c>
      <c r="D198" s="211" t="s">
        <v>1255</v>
      </c>
      <c r="E198" s="211" t="s">
        <v>10396</v>
      </c>
      <c r="F198" s="211" t="s">
        <v>7864</v>
      </c>
    </row>
    <row r="199" spans="1:6">
      <c r="A199" s="211" t="s">
        <v>1343</v>
      </c>
      <c r="B199" s="211">
        <v>3462</v>
      </c>
      <c r="C199" s="211">
        <v>1133</v>
      </c>
      <c r="D199" s="211" t="s">
        <v>1255</v>
      </c>
      <c r="E199" s="211" t="s">
        <v>10385</v>
      </c>
      <c r="F199" s="211" t="s">
        <v>7319</v>
      </c>
    </row>
    <row r="200" spans="1:6">
      <c r="A200" s="211" t="s">
        <v>9043</v>
      </c>
      <c r="B200" s="211">
        <v>8499</v>
      </c>
      <c r="C200" s="211">
        <v>999</v>
      </c>
      <c r="D200" s="211" t="s">
        <v>1255</v>
      </c>
      <c r="E200" s="211" t="s">
        <v>10385</v>
      </c>
      <c r="F200" s="211" t="s">
        <v>9044</v>
      </c>
    </row>
    <row r="201" spans="1:6">
      <c r="A201" s="211" t="s">
        <v>1344</v>
      </c>
      <c r="B201" s="211">
        <v>1711</v>
      </c>
      <c r="C201" s="211">
        <v>705</v>
      </c>
      <c r="D201" s="211" t="s">
        <v>1117</v>
      </c>
      <c r="E201" s="211" t="s">
        <v>10385</v>
      </c>
      <c r="F201" s="211" t="s">
        <v>7213</v>
      </c>
    </row>
    <row r="202" spans="1:6">
      <c r="A202" s="211" t="s">
        <v>1345</v>
      </c>
      <c r="B202" s="211">
        <v>3752</v>
      </c>
      <c r="C202" s="211">
        <v>1010</v>
      </c>
      <c r="D202" s="211" t="s">
        <v>1255</v>
      </c>
      <c r="E202" s="211" t="s">
        <v>10385</v>
      </c>
      <c r="F202" s="211" t="s">
        <v>7217</v>
      </c>
    </row>
    <row r="203" spans="1:6">
      <c r="A203" s="211" t="s">
        <v>9045</v>
      </c>
      <c r="B203" s="211">
        <v>8252</v>
      </c>
      <c r="C203" s="211">
        <v>1029</v>
      </c>
      <c r="D203" s="211" t="s">
        <v>1255</v>
      </c>
      <c r="E203" s="211" t="s">
        <v>10385</v>
      </c>
      <c r="F203" s="211" t="s">
        <v>7335</v>
      </c>
    </row>
    <row r="204" spans="1:6">
      <c r="A204" s="211" t="s">
        <v>1346</v>
      </c>
      <c r="B204" s="211">
        <v>4436</v>
      </c>
      <c r="C204" s="211">
        <v>1237</v>
      </c>
      <c r="D204" s="211" t="s">
        <v>1255</v>
      </c>
      <c r="E204" s="211" t="s">
        <v>10385</v>
      </c>
      <c r="F204" s="211" t="s">
        <v>7320</v>
      </c>
    </row>
    <row r="205" spans="1:6">
      <c r="A205" s="211" t="s">
        <v>1347</v>
      </c>
      <c r="B205" s="211">
        <v>976</v>
      </c>
      <c r="C205" s="211">
        <v>1976</v>
      </c>
      <c r="D205" s="211" t="s">
        <v>1255</v>
      </c>
      <c r="E205" s="211" t="s">
        <v>10385</v>
      </c>
      <c r="F205" s="211" t="s">
        <v>7279</v>
      </c>
    </row>
    <row r="206" spans="1:6">
      <c r="A206" s="211" t="s">
        <v>6624</v>
      </c>
      <c r="B206" s="211">
        <v>7695</v>
      </c>
      <c r="C206" s="211">
        <v>1222</v>
      </c>
      <c r="D206" s="211" t="s">
        <v>1255</v>
      </c>
      <c r="E206" s="211" t="s">
        <v>6625</v>
      </c>
      <c r="F206" s="211" t="s">
        <v>7321</v>
      </c>
    </row>
    <row r="207" spans="1:6">
      <c r="A207" s="211" t="s">
        <v>4623</v>
      </c>
      <c r="B207" s="211">
        <v>6359</v>
      </c>
      <c r="C207" s="211">
        <v>1154</v>
      </c>
      <c r="D207" s="211" t="s">
        <v>1255</v>
      </c>
      <c r="E207" s="211" t="s">
        <v>6626</v>
      </c>
      <c r="F207" s="211" t="s">
        <v>7288</v>
      </c>
    </row>
    <row r="208" spans="1:6">
      <c r="A208" s="211" t="s">
        <v>5525</v>
      </c>
      <c r="B208" s="211">
        <v>7263</v>
      </c>
      <c r="C208" s="211">
        <v>815</v>
      </c>
      <c r="D208" s="211" t="s">
        <v>1117</v>
      </c>
      <c r="E208" s="211" t="s">
        <v>10385</v>
      </c>
      <c r="F208" s="211" t="s">
        <v>7322</v>
      </c>
    </row>
    <row r="209" spans="1:6">
      <c r="A209" s="211" t="s">
        <v>4943</v>
      </c>
      <c r="B209" s="211">
        <v>6746</v>
      </c>
      <c r="C209" s="211">
        <v>806</v>
      </c>
      <c r="D209" s="211" t="s">
        <v>1117</v>
      </c>
      <c r="E209" s="211" t="s">
        <v>10385</v>
      </c>
      <c r="F209" s="211" t="s">
        <v>7258</v>
      </c>
    </row>
    <row r="210" spans="1:6">
      <c r="A210" s="211" t="s">
        <v>4821</v>
      </c>
      <c r="B210" s="211">
        <v>5945</v>
      </c>
      <c r="C210" s="211">
        <v>1516</v>
      </c>
      <c r="D210" s="211" t="s">
        <v>1255</v>
      </c>
      <c r="E210" s="211" t="s">
        <v>5526</v>
      </c>
      <c r="F210" s="211" t="s">
        <v>7323</v>
      </c>
    </row>
    <row r="211" spans="1:6">
      <c r="A211" s="211" t="s">
        <v>7324</v>
      </c>
      <c r="B211" s="211">
        <v>5425</v>
      </c>
      <c r="C211" s="211" t="s">
        <v>10385</v>
      </c>
      <c r="D211" s="211" t="s">
        <v>1255</v>
      </c>
      <c r="E211" s="211" t="s">
        <v>10385</v>
      </c>
      <c r="F211" s="211" t="s">
        <v>7323</v>
      </c>
    </row>
    <row r="212" spans="1:6">
      <c r="A212" s="211" t="s">
        <v>1348</v>
      </c>
      <c r="B212" s="211">
        <v>1885</v>
      </c>
      <c r="C212" s="211">
        <v>2012</v>
      </c>
      <c r="D212" s="211" t="s">
        <v>1117</v>
      </c>
      <c r="E212" s="211" t="s">
        <v>10385</v>
      </c>
      <c r="F212" s="211" t="s">
        <v>7167</v>
      </c>
    </row>
    <row r="213" spans="1:6">
      <c r="A213" s="211" t="s">
        <v>1349</v>
      </c>
      <c r="B213" s="211">
        <v>1690</v>
      </c>
      <c r="C213" s="211">
        <v>1551</v>
      </c>
      <c r="D213" s="211" t="s">
        <v>1255</v>
      </c>
      <c r="E213" s="211" t="s">
        <v>10385</v>
      </c>
      <c r="F213" s="211" t="s">
        <v>7250</v>
      </c>
    </row>
    <row r="214" spans="1:6">
      <c r="A214" s="211" t="s">
        <v>10397</v>
      </c>
      <c r="B214" s="211">
        <v>8681</v>
      </c>
      <c r="C214" s="211">
        <v>1052</v>
      </c>
      <c r="D214" s="211" t="s">
        <v>1255</v>
      </c>
      <c r="E214" s="211" t="s">
        <v>10398</v>
      </c>
      <c r="F214" s="211" t="s">
        <v>7239</v>
      </c>
    </row>
    <row r="215" spans="1:6">
      <c r="A215" s="211" t="s">
        <v>2922</v>
      </c>
      <c r="B215" s="211">
        <v>3114</v>
      </c>
      <c r="C215" s="211">
        <v>1438</v>
      </c>
      <c r="D215" s="211" t="s">
        <v>1255</v>
      </c>
      <c r="E215" s="211" t="s">
        <v>3102</v>
      </c>
      <c r="F215" s="211" t="s">
        <v>7325</v>
      </c>
    </row>
    <row r="216" spans="1:6">
      <c r="A216" s="211" t="s">
        <v>1350</v>
      </c>
      <c r="B216" s="211">
        <v>390</v>
      </c>
      <c r="C216" s="211">
        <v>1849</v>
      </c>
      <c r="D216" s="211" t="s">
        <v>1255</v>
      </c>
      <c r="E216" s="211" t="s">
        <v>10385</v>
      </c>
      <c r="F216" s="211" t="s">
        <v>7326</v>
      </c>
    </row>
    <row r="217" spans="1:6">
      <c r="A217" s="211" t="s">
        <v>1351</v>
      </c>
      <c r="B217" s="211">
        <v>495</v>
      </c>
      <c r="C217" s="211">
        <v>1648</v>
      </c>
      <c r="D217" s="211" t="s">
        <v>1255</v>
      </c>
      <c r="E217" s="211" t="s">
        <v>10385</v>
      </c>
      <c r="F217" s="211" t="s">
        <v>7177</v>
      </c>
    </row>
    <row r="218" spans="1:6">
      <c r="A218" s="211" t="s">
        <v>1352</v>
      </c>
      <c r="B218" s="211">
        <v>1889</v>
      </c>
      <c r="C218" s="211">
        <v>1493</v>
      </c>
      <c r="D218" s="211" t="s">
        <v>1255</v>
      </c>
      <c r="E218" s="211" t="s">
        <v>10385</v>
      </c>
      <c r="F218" s="211" t="s">
        <v>7208</v>
      </c>
    </row>
    <row r="219" spans="1:6">
      <c r="A219" s="211" t="s">
        <v>1353</v>
      </c>
      <c r="B219" s="211">
        <v>3344</v>
      </c>
      <c r="C219" s="211">
        <v>1159</v>
      </c>
      <c r="D219" s="211" t="s">
        <v>1255</v>
      </c>
      <c r="E219" s="211" t="s">
        <v>10385</v>
      </c>
      <c r="F219" s="211" t="s">
        <v>7327</v>
      </c>
    </row>
    <row r="220" spans="1:6">
      <c r="A220" s="211" t="s">
        <v>4944</v>
      </c>
      <c r="B220" s="211">
        <v>6238</v>
      </c>
      <c r="C220" s="211">
        <v>588</v>
      </c>
      <c r="D220" s="211" t="s">
        <v>1255</v>
      </c>
      <c r="E220" s="211" t="s">
        <v>10385</v>
      </c>
      <c r="F220" s="211" t="s">
        <v>7328</v>
      </c>
    </row>
    <row r="221" spans="1:6">
      <c r="A221" s="211" t="s">
        <v>4556</v>
      </c>
      <c r="B221" s="211">
        <v>6491</v>
      </c>
      <c r="C221" s="211">
        <v>1081</v>
      </c>
      <c r="D221" s="211" t="s">
        <v>1117</v>
      </c>
      <c r="E221" s="211" t="s">
        <v>10385</v>
      </c>
      <c r="F221" s="211" t="s">
        <v>7295</v>
      </c>
    </row>
    <row r="222" spans="1:6">
      <c r="A222" s="211" t="s">
        <v>10399</v>
      </c>
      <c r="B222" s="211">
        <v>8624</v>
      </c>
      <c r="C222" s="211">
        <v>852</v>
      </c>
      <c r="D222" s="211" t="s">
        <v>1255</v>
      </c>
      <c r="E222" s="211" t="s">
        <v>10385</v>
      </c>
      <c r="F222" s="211" t="s">
        <v>9120</v>
      </c>
    </row>
    <row r="223" spans="1:6">
      <c r="A223" s="211" t="s">
        <v>6627</v>
      </c>
      <c r="B223" s="211">
        <v>7760</v>
      </c>
      <c r="C223" s="211">
        <v>964</v>
      </c>
      <c r="D223" s="211" t="s">
        <v>1255</v>
      </c>
      <c r="E223" s="211" t="s">
        <v>6628</v>
      </c>
      <c r="F223" s="211" t="s">
        <v>7217</v>
      </c>
    </row>
    <row r="224" spans="1:6">
      <c r="A224" s="211" t="s">
        <v>7329</v>
      </c>
      <c r="B224" s="211">
        <v>94</v>
      </c>
      <c r="C224" s="211" t="s">
        <v>10385</v>
      </c>
      <c r="D224" s="211" t="s">
        <v>1255</v>
      </c>
      <c r="E224" s="211" t="s">
        <v>10385</v>
      </c>
      <c r="F224" s="211" t="s">
        <v>7301</v>
      </c>
    </row>
    <row r="225" spans="1:6">
      <c r="A225" s="211" t="s">
        <v>1354</v>
      </c>
      <c r="B225" s="211">
        <v>5709</v>
      </c>
      <c r="C225" s="211">
        <v>1425</v>
      </c>
      <c r="D225" s="211" t="s">
        <v>1255</v>
      </c>
      <c r="E225" s="211" t="s">
        <v>10385</v>
      </c>
      <c r="F225" s="211" t="s">
        <v>7330</v>
      </c>
    </row>
    <row r="226" spans="1:6">
      <c r="A226" s="211" t="s">
        <v>1355</v>
      </c>
      <c r="B226" s="211">
        <v>2293</v>
      </c>
      <c r="C226" s="211">
        <v>1246</v>
      </c>
      <c r="D226" s="211" t="s">
        <v>1255</v>
      </c>
      <c r="E226" s="211" t="s">
        <v>10385</v>
      </c>
      <c r="F226" s="211" t="s">
        <v>7331</v>
      </c>
    </row>
    <row r="227" spans="1:6">
      <c r="A227" s="211" t="s">
        <v>1356</v>
      </c>
      <c r="B227" s="211">
        <v>4445</v>
      </c>
      <c r="C227" s="211">
        <v>1412</v>
      </c>
      <c r="D227" s="211" t="s">
        <v>1255</v>
      </c>
      <c r="E227" s="211" t="s">
        <v>10385</v>
      </c>
      <c r="F227" s="211" t="s">
        <v>7247</v>
      </c>
    </row>
    <row r="228" spans="1:6">
      <c r="A228" s="211" t="s">
        <v>7332</v>
      </c>
      <c r="B228" s="211">
        <v>5875</v>
      </c>
      <c r="C228" s="211" t="s">
        <v>10385</v>
      </c>
      <c r="D228" s="211" t="s">
        <v>1255</v>
      </c>
      <c r="E228" s="211" t="s">
        <v>10385</v>
      </c>
      <c r="F228" s="211" t="s">
        <v>7333</v>
      </c>
    </row>
    <row r="229" spans="1:6">
      <c r="A229" s="211" t="s">
        <v>1357</v>
      </c>
      <c r="B229" s="211">
        <v>2974</v>
      </c>
      <c r="C229" s="211">
        <v>1223</v>
      </c>
      <c r="D229" s="211" t="s">
        <v>1117</v>
      </c>
      <c r="E229" s="211" t="s">
        <v>10385</v>
      </c>
      <c r="F229" s="211" t="s">
        <v>7334</v>
      </c>
    </row>
    <row r="230" spans="1:6">
      <c r="A230" s="211" t="s">
        <v>5527</v>
      </c>
      <c r="B230" s="211">
        <v>7053</v>
      </c>
      <c r="C230" s="211">
        <v>1123</v>
      </c>
      <c r="D230" s="211" t="s">
        <v>1255</v>
      </c>
      <c r="E230" s="211" t="s">
        <v>6629</v>
      </c>
      <c r="F230" s="211" t="s">
        <v>7231</v>
      </c>
    </row>
    <row r="231" spans="1:6">
      <c r="A231" s="211" t="s">
        <v>1358</v>
      </c>
      <c r="B231" s="211">
        <v>5505</v>
      </c>
      <c r="C231" s="211">
        <v>1032</v>
      </c>
      <c r="D231" s="211" t="s">
        <v>1255</v>
      </c>
      <c r="E231" s="211" t="s">
        <v>10385</v>
      </c>
      <c r="F231" s="211" t="s">
        <v>7205</v>
      </c>
    </row>
    <row r="232" spans="1:6">
      <c r="A232" s="211" t="s">
        <v>1359</v>
      </c>
      <c r="B232" s="211">
        <v>4900</v>
      </c>
      <c r="C232" s="211">
        <v>1227</v>
      </c>
      <c r="D232" s="211" t="s">
        <v>1255</v>
      </c>
      <c r="E232" s="211" t="s">
        <v>10385</v>
      </c>
      <c r="F232" s="211" t="s">
        <v>7335</v>
      </c>
    </row>
    <row r="233" spans="1:6">
      <c r="A233" s="211" t="s">
        <v>4864</v>
      </c>
      <c r="B233" s="211">
        <v>2636</v>
      </c>
      <c r="C233" s="211">
        <v>1281</v>
      </c>
      <c r="D233" s="211" t="s">
        <v>1255</v>
      </c>
      <c r="E233" s="211" t="s">
        <v>3083</v>
      </c>
      <c r="F233" s="211" t="s">
        <v>7285</v>
      </c>
    </row>
    <row r="234" spans="1:6">
      <c r="A234" s="211" t="s">
        <v>7336</v>
      </c>
      <c r="B234" s="211">
        <v>103</v>
      </c>
      <c r="C234" s="211" t="s">
        <v>10385</v>
      </c>
      <c r="D234" s="211" t="s">
        <v>1255</v>
      </c>
      <c r="E234" s="211" t="s">
        <v>10385</v>
      </c>
      <c r="F234" s="211" t="s">
        <v>7337</v>
      </c>
    </row>
    <row r="235" spans="1:6">
      <c r="A235" s="211" t="s">
        <v>7338</v>
      </c>
      <c r="B235" s="211">
        <v>1940</v>
      </c>
      <c r="C235" s="211" t="s">
        <v>10385</v>
      </c>
      <c r="D235" s="211" t="s">
        <v>1255</v>
      </c>
      <c r="E235" s="211" t="s">
        <v>10385</v>
      </c>
      <c r="F235" s="211" t="s">
        <v>7189</v>
      </c>
    </row>
    <row r="236" spans="1:6">
      <c r="A236" s="211" t="s">
        <v>1360</v>
      </c>
      <c r="B236" s="211">
        <v>4567</v>
      </c>
      <c r="C236" s="211">
        <v>895</v>
      </c>
      <c r="D236" s="211" t="s">
        <v>1255</v>
      </c>
      <c r="E236" s="211" t="s">
        <v>10385</v>
      </c>
      <c r="F236" s="211" t="s">
        <v>7286</v>
      </c>
    </row>
    <row r="237" spans="1:6">
      <c r="A237" s="211" t="s">
        <v>1361</v>
      </c>
      <c r="B237" s="211">
        <v>3357</v>
      </c>
      <c r="C237" s="211">
        <v>1188</v>
      </c>
      <c r="D237" s="211" t="s">
        <v>1255</v>
      </c>
      <c r="E237" s="211" t="s">
        <v>10385</v>
      </c>
      <c r="F237" s="211" t="s">
        <v>7267</v>
      </c>
    </row>
    <row r="238" spans="1:6">
      <c r="A238" s="211" t="s">
        <v>4945</v>
      </c>
      <c r="B238" s="211">
        <v>6963</v>
      </c>
      <c r="C238" s="211">
        <v>1267</v>
      </c>
      <c r="D238" s="211" t="s">
        <v>1255</v>
      </c>
      <c r="E238" s="211" t="s">
        <v>10385</v>
      </c>
      <c r="F238" s="211" t="s">
        <v>7246</v>
      </c>
    </row>
    <row r="239" spans="1:6">
      <c r="A239" s="211" t="s">
        <v>4946</v>
      </c>
      <c r="B239" s="211">
        <v>6924</v>
      </c>
      <c r="C239" s="211">
        <v>2224</v>
      </c>
      <c r="D239" s="211" t="s">
        <v>1255</v>
      </c>
      <c r="E239" s="211" t="s">
        <v>10385</v>
      </c>
      <c r="F239" s="211" t="s">
        <v>7339</v>
      </c>
    </row>
    <row r="240" spans="1:6">
      <c r="A240" s="211" t="s">
        <v>7340</v>
      </c>
      <c r="B240" s="211">
        <v>653</v>
      </c>
      <c r="C240" s="211" t="s">
        <v>10385</v>
      </c>
      <c r="D240" s="211" t="s">
        <v>1255</v>
      </c>
      <c r="E240" s="211" t="s">
        <v>10385</v>
      </c>
      <c r="F240" s="211" t="s">
        <v>7283</v>
      </c>
    </row>
    <row r="241" spans="1:6">
      <c r="A241" s="211" t="s">
        <v>10400</v>
      </c>
      <c r="B241" s="211">
        <v>8788</v>
      </c>
      <c r="C241" s="211">
        <v>343</v>
      </c>
      <c r="D241" s="211" t="s">
        <v>1255</v>
      </c>
      <c r="E241" s="211" t="s">
        <v>10401</v>
      </c>
      <c r="F241" s="211" t="s">
        <v>7458</v>
      </c>
    </row>
    <row r="242" spans="1:6">
      <c r="A242" s="211" t="s">
        <v>1362</v>
      </c>
      <c r="B242" s="211">
        <v>5035</v>
      </c>
      <c r="C242" s="211">
        <v>1110</v>
      </c>
      <c r="D242" s="211" t="s">
        <v>1255</v>
      </c>
      <c r="E242" s="211" t="s">
        <v>10385</v>
      </c>
      <c r="F242" s="211" t="s">
        <v>7341</v>
      </c>
    </row>
    <row r="243" spans="1:6">
      <c r="A243" s="211" t="s">
        <v>2946</v>
      </c>
      <c r="B243" s="211">
        <v>1234</v>
      </c>
      <c r="C243" s="211">
        <v>1559</v>
      </c>
      <c r="D243" s="211" t="s">
        <v>1255</v>
      </c>
      <c r="E243" s="211" t="s">
        <v>3107</v>
      </c>
      <c r="F243" s="211" t="s">
        <v>7264</v>
      </c>
    </row>
    <row r="244" spans="1:6">
      <c r="A244" s="211" t="s">
        <v>1363</v>
      </c>
      <c r="B244" s="211">
        <v>4505</v>
      </c>
      <c r="C244" s="211">
        <v>1393</v>
      </c>
      <c r="D244" s="211" t="s">
        <v>1255</v>
      </c>
      <c r="E244" s="211" t="s">
        <v>10385</v>
      </c>
      <c r="F244" s="211" t="s">
        <v>7196</v>
      </c>
    </row>
    <row r="245" spans="1:6">
      <c r="A245" s="211" t="s">
        <v>5528</v>
      </c>
      <c r="B245" s="211">
        <v>7597</v>
      </c>
      <c r="C245" s="211">
        <v>922</v>
      </c>
      <c r="D245" s="211" t="s">
        <v>1255</v>
      </c>
      <c r="E245" s="211" t="s">
        <v>10385</v>
      </c>
      <c r="F245" s="211" t="s">
        <v>7342</v>
      </c>
    </row>
    <row r="246" spans="1:6">
      <c r="A246" s="211" t="s">
        <v>1364</v>
      </c>
      <c r="B246" s="211">
        <v>3807</v>
      </c>
      <c r="C246" s="211">
        <v>1549</v>
      </c>
      <c r="D246" s="211" t="s">
        <v>1255</v>
      </c>
      <c r="E246" s="211" t="s">
        <v>10385</v>
      </c>
      <c r="F246" s="211" t="s">
        <v>7201</v>
      </c>
    </row>
    <row r="247" spans="1:6">
      <c r="A247" s="211" t="s">
        <v>1365</v>
      </c>
      <c r="B247" s="211">
        <v>4906</v>
      </c>
      <c r="C247" s="211">
        <v>1005</v>
      </c>
      <c r="D247" s="211" t="s">
        <v>1117</v>
      </c>
      <c r="E247" s="211" t="s">
        <v>10385</v>
      </c>
      <c r="F247" s="211" t="s">
        <v>7343</v>
      </c>
    </row>
    <row r="248" spans="1:6">
      <c r="A248" s="211" t="s">
        <v>4947</v>
      </c>
      <c r="B248" s="211">
        <v>6741</v>
      </c>
      <c r="C248" s="211">
        <v>1058</v>
      </c>
      <c r="D248" s="211" t="s">
        <v>1255</v>
      </c>
      <c r="E248" s="211" t="s">
        <v>10385</v>
      </c>
      <c r="F248" s="211" t="s">
        <v>7258</v>
      </c>
    </row>
    <row r="249" spans="1:6">
      <c r="A249" s="211" t="s">
        <v>1366</v>
      </c>
      <c r="B249" s="211">
        <v>3948</v>
      </c>
      <c r="C249" s="211">
        <v>1392</v>
      </c>
      <c r="D249" s="211" t="s">
        <v>1255</v>
      </c>
      <c r="E249" s="211" t="s">
        <v>10385</v>
      </c>
      <c r="F249" s="211" t="s">
        <v>7344</v>
      </c>
    </row>
    <row r="250" spans="1:6">
      <c r="A250" s="211" t="s">
        <v>4772</v>
      </c>
      <c r="B250" s="211">
        <v>6153</v>
      </c>
      <c r="C250" s="211">
        <v>1162</v>
      </c>
      <c r="D250" s="211" t="s">
        <v>1255</v>
      </c>
      <c r="E250" s="211" t="s">
        <v>10385</v>
      </c>
      <c r="F250" s="211" t="s">
        <v>7275</v>
      </c>
    </row>
    <row r="251" spans="1:6">
      <c r="A251" s="211" t="s">
        <v>1367</v>
      </c>
      <c r="B251" s="211">
        <v>1656</v>
      </c>
      <c r="C251" s="211">
        <v>1225</v>
      </c>
      <c r="D251" s="211" t="s">
        <v>1255</v>
      </c>
      <c r="E251" s="211" t="s">
        <v>10385</v>
      </c>
      <c r="F251" s="211" t="s">
        <v>7201</v>
      </c>
    </row>
    <row r="252" spans="1:6">
      <c r="A252" s="211" t="s">
        <v>10402</v>
      </c>
      <c r="B252" s="211">
        <v>8822</v>
      </c>
      <c r="C252" s="211">
        <v>422</v>
      </c>
      <c r="D252" s="211" t="s">
        <v>1255</v>
      </c>
      <c r="E252" s="211" t="s">
        <v>10403</v>
      </c>
      <c r="F252" s="211" t="s">
        <v>7661</v>
      </c>
    </row>
    <row r="253" spans="1:6">
      <c r="A253" s="211" t="s">
        <v>9046</v>
      </c>
      <c r="B253" s="211">
        <v>8425</v>
      </c>
      <c r="C253" s="211">
        <v>1930</v>
      </c>
      <c r="D253" s="211" t="s">
        <v>1255</v>
      </c>
      <c r="E253" s="211" t="s">
        <v>9047</v>
      </c>
      <c r="F253" s="211" t="s">
        <v>9048</v>
      </c>
    </row>
    <row r="254" spans="1:6">
      <c r="A254" s="211" t="s">
        <v>1368</v>
      </c>
      <c r="B254" s="211">
        <v>1469</v>
      </c>
      <c r="C254" s="211">
        <v>1563</v>
      </c>
      <c r="D254" s="211" t="s">
        <v>1255</v>
      </c>
      <c r="E254" s="211" t="s">
        <v>10385</v>
      </c>
      <c r="F254" s="211" t="s">
        <v>7246</v>
      </c>
    </row>
    <row r="255" spans="1:6">
      <c r="A255" s="211" t="s">
        <v>1369</v>
      </c>
      <c r="B255" s="211">
        <v>3519</v>
      </c>
      <c r="C255" s="211">
        <v>2429</v>
      </c>
      <c r="D255" s="211" t="s">
        <v>1255</v>
      </c>
      <c r="E255" s="211" t="s">
        <v>10385</v>
      </c>
      <c r="F255" s="211" t="s">
        <v>7295</v>
      </c>
    </row>
    <row r="256" spans="1:6">
      <c r="A256" s="211" t="s">
        <v>7345</v>
      </c>
      <c r="B256" s="211">
        <v>210</v>
      </c>
      <c r="C256" s="211" t="s">
        <v>10385</v>
      </c>
      <c r="D256" s="211" t="s">
        <v>1255</v>
      </c>
      <c r="E256" s="211" t="s">
        <v>10385</v>
      </c>
      <c r="F256" s="211" t="s">
        <v>7207</v>
      </c>
    </row>
    <row r="257" spans="1:6">
      <c r="A257" s="211" t="s">
        <v>1370</v>
      </c>
      <c r="B257" s="211">
        <v>4617</v>
      </c>
      <c r="C257" s="211">
        <v>1049</v>
      </c>
      <c r="D257" s="211" t="s">
        <v>1255</v>
      </c>
      <c r="E257" s="211" t="s">
        <v>10385</v>
      </c>
      <c r="F257" s="211" t="s">
        <v>7346</v>
      </c>
    </row>
    <row r="258" spans="1:6">
      <c r="A258" s="211" t="s">
        <v>7347</v>
      </c>
      <c r="B258" s="211">
        <v>1651</v>
      </c>
      <c r="C258" s="211" t="s">
        <v>10385</v>
      </c>
      <c r="D258" s="211" t="s">
        <v>1255</v>
      </c>
      <c r="E258" s="211" t="s">
        <v>10385</v>
      </c>
      <c r="F258" s="211" t="s">
        <v>7320</v>
      </c>
    </row>
    <row r="259" spans="1:6">
      <c r="A259" s="211" t="s">
        <v>4948</v>
      </c>
      <c r="B259" s="211">
        <v>6957</v>
      </c>
      <c r="C259" s="211">
        <v>933</v>
      </c>
      <c r="D259" s="211" t="s">
        <v>1255</v>
      </c>
      <c r="E259" s="211" t="s">
        <v>10385</v>
      </c>
      <c r="F259" s="211" t="s">
        <v>7318</v>
      </c>
    </row>
    <row r="260" spans="1:6">
      <c r="A260" s="211" t="s">
        <v>7348</v>
      </c>
      <c r="B260" s="211">
        <v>313</v>
      </c>
      <c r="C260" s="211" t="s">
        <v>10385</v>
      </c>
      <c r="D260" s="211" t="s">
        <v>1255</v>
      </c>
      <c r="E260" s="211" t="s">
        <v>10385</v>
      </c>
      <c r="F260" s="211" t="s">
        <v>7284</v>
      </c>
    </row>
    <row r="261" spans="1:6">
      <c r="A261" s="211" t="s">
        <v>9049</v>
      </c>
      <c r="B261" s="211">
        <v>7938</v>
      </c>
      <c r="C261" s="211">
        <v>798</v>
      </c>
      <c r="D261" s="211" t="s">
        <v>1255</v>
      </c>
      <c r="E261" s="211" t="s">
        <v>9050</v>
      </c>
      <c r="F261" s="211" t="s">
        <v>7228</v>
      </c>
    </row>
    <row r="262" spans="1:6">
      <c r="A262" s="211" t="s">
        <v>10340</v>
      </c>
      <c r="B262" s="211">
        <v>1212</v>
      </c>
      <c r="C262" s="211" t="s">
        <v>10385</v>
      </c>
      <c r="D262" s="211" t="s">
        <v>1255</v>
      </c>
      <c r="E262" s="211" t="s">
        <v>10385</v>
      </c>
      <c r="F262" s="211" t="s">
        <v>7257</v>
      </c>
    </row>
    <row r="263" spans="1:6">
      <c r="A263" s="211" t="s">
        <v>9051</v>
      </c>
      <c r="B263" s="211">
        <v>8201</v>
      </c>
      <c r="C263" s="211">
        <v>1183</v>
      </c>
      <c r="D263" s="211" t="s">
        <v>1255</v>
      </c>
      <c r="E263" s="211" t="s">
        <v>9052</v>
      </c>
      <c r="F263" s="211" t="s">
        <v>7217</v>
      </c>
    </row>
    <row r="264" spans="1:6">
      <c r="A264" s="211" t="s">
        <v>1371</v>
      </c>
      <c r="B264" s="211">
        <v>914</v>
      </c>
      <c r="C264" s="211">
        <v>1801</v>
      </c>
      <c r="D264" s="211" t="s">
        <v>1255</v>
      </c>
      <c r="E264" s="211" t="s">
        <v>10385</v>
      </c>
      <c r="F264" s="211" t="s">
        <v>7267</v>
      </c>
    </row>
    <row r="265" spans="1:6">
      <c r="A265" s="211" t="s">
        <v>1372</v>
      </c>
      <c r="B265" s="211">
        <v>5071</v>
      </c>
      <c r="C265" s="211">
        <v>1859</v>
      </c>
      <c r="D265" s="211" t="s">
        <v>1255</v>
      </c>
      <c r="E265" s="211" t="s">
        <v>10385</v>
      </c>
      <c r="F265" s="211" t="s">
        <v>7349</v>
      </c>
    </row>
    <row r="266" spans="1:6">
      <c r="A266" s="211" t="s">
        <v>1373</v>
      </c>
      <c r="B266" s="211">
        <v>5072</v>
      </c>
      <c r="C266" s="211">
        <v>1061</v>
      </c>
      <c r="D266" s="211" t="s">
        <v>1255</v>
      </c>
      <c r="E266" s="211" t="s">
        <v>10385</v>
      </c>
      <c r="F266" s="211" t="s">
        <v>7349</v>
      </c>
    </row>
    <row r="267" spans="1:6">
      <c r="A267" s="211" t="s">
        <v>7350</v>
      </c>
      <c r="B267" s="211">
        <v>417</v>
      </c>
      <c r="C267" s="211" t="s">
        <v>10385</v>
      </c>
      <c r="D267" s="211" t="s">
        <v>1255</v>
      </c>
      <c r="E267" s="211" t="s">
        <v>10385</v>
      </c>
      <c r="F267" s="211" t="s">
        <v>7351</v>
      </c>
    </row>
    <row r="268" spans="1:6">
      <c r="A268" s="211" t="s">
        <v>1374</v>
      </c>
      <c r="B268" s="211">
        <v>3429</v>
      </c>
      <c r="C268" s="211">
        <v>872</v>
      </c>
      <c r="D268" s="211" t="s">
        <v>1255</v>
      </c>
      <c r="E268" s="211" t="s">
        <v>10385</v>
      </c>
      <c r="F268" s="211" t="s">
        <v>7629</v>
      </c>
    </row>
    <row r="269" spans="1:6">
      <c r="A269" s="211" t="s">
        <v>2950</v>
      </c>
      <c r="B269" s="211">
        <v>2643</v>
      </c>
      <c r="C269" s="211">
        <v>1030</v>
      </c>
      <c r="D269" s="211" t="s">
        <v>1255</v>
      </c>
      <c r="E269" s="211" t="s">
        <v>10385</v>
      </c>
      <c r="F269" s="211" t="s">
        <v>7322</v>
      </c>
    </row>
    <row r="270" spans="1:6">
      <c r="A270" s="211" t="s">
        <v>5529</v>
      </c>
      <c r="B270" s="211">
        <v>7521</v>
      </c>
      <c r="C270" s="211">
        <v>1040</v>
      </c>
      <c r="D270" s="211" t="s">
        <v>1255</v>
      </c>
      <c r="E270" s="211" t="s">
        <v>10385</v>
      </c>
      <c r="F270" s="211" t="s">
        <v>7224</v>
      </c>
    </row>
    <row r="271" spans="1:6">
      <c r="A271" s="211" t="s">
        <v>7352</v>
      </c>
      <c r="B271" s="211">
        <v>217</v>
      </c>
      <c r="C271" s="211" t="s">
        <v>10385</v>
      </c>
      <c r="D271" s="211" t="s">
        <v>1255</v>
      </c>
      <c r="E271" s="211" t="s">
        <v>10385</v>
      </c>
      <c r="F271" s="211" t="s">
        <v>7199</v>
      </c>
    </row>
    <row r="272" spans="1:6">
      <c r="A272" s="211" t="s">
        <v>7353</v>
      </c>
      <c r="B272" s="211">
        <v>6112</v>
      </c>
      <c r="C272" s="211">
        <v>1058</v>
      </c>
      <c r="D272" s="211" t="s">
        <v>1255</v>
      </c>
      <c r="E272" s="211" t="s">
        <v>10385</v>
      </c>
      <c r="F272" s="211" t="s">
        <v>7258</v>
      </c>
    </row>
    <row r="273" spans="1:6">
      <c r="A273" s="211" t="s">
        <v>1375</v>
      </c>
      <c r="B273" s="211">
        <v>4819</v>
      </c>
      <c r="C273" s="211">
        <v>943</v>
      </c>
      <c r="D273" s="211" t="s">
        <v>1255</v>
      </c>
      <c r="E273" s="211" t="s">
        <v>10385</v>
      </c>
      <c r="F273" s="211" t="s">
        <v>7292</v>
      </c>
    </row>
    <row r="274" spans="1:6">
      <c r="A274" s="211" t="s">
        <v>1376</v>
      </c>
      <c r="B274" s="211">
        <v>2874</v>
      </c>
      <c r="C274" s="211">
        <v>1727</v>
      </c>
      <c r="D274" s="211" t="s">
        <v>1255</v>
      </c>
      <c r="E274" s="211" t="s">
        <v>10385</v>
      </c>
      <c r="F274" s="211" t="s">
        <v>7316</v>
      </c>
    </row>
    <row r="275" spans="1:6">
      <c r="A275" s="211" t="s">
        <v>4837</v>
      </c>
      <c r="B275" s="211">
        <v>6079</v>
      </c>
      <c r="C275" s="211">
        <v>1113</v>
      </c>
      <c r="D275" s="211" t="s">
        <v>1255</v>
      </c>
      <c r="E275" s="211" t="s">
        <v>10385</v>
      </c>
      <c r="F275" s="211" t="s">
        <v>7354</v>
      </c>
    </row>
    <row r="276" spans="1:6">
      <c r="A276" s="211" t="s">
        <v>1377</v>
      </c>
      <c r="B276" s="211">
        <v>2488</v>
      </c>
      <c r="C276" s="211">
        <v>989</v>
      </c>
      <c r="D276" s="211" t="s">
        <v>1255</v>
      </c>
      <c r="E276" s="211" t="s">
        <v>10385</v>
      </c>
      <c r="F276" s="211" t="s">
        <v>7355</v>
      </c>
    </row>
    <row r="277" spans="1:6">
      <c r="A277" s="211" t="s">
        <v>1378</v>
      </c>
      <c r="B277" s="211">
        <v>5724</v>
      </c>
      <c r="C277" s="211">
        <v>1031</v>
      </c>
      <c r="D277" s="211" t="s">
        <v>1255</v>
      </c>
      <c r="E277" s="211" t="s">
        <v>10385</v>
      </c>
      <c r="F277" s="211" t="s">
        <v>7344</v>
      </c>
    </row>
    <row r="278" spans="1:6">
      <c r="A278" s="211" t="s">
        <v>1379</v>
      </c>
      <c r="B278" s="211">
        <v>5476</v>
      </c>
      <c r="C278" s="211">
        <v>1454</v>
      </c>
      <c r="D278" s="211" t="s">
        <v>1255</v>
      </c>
      <c r="E278" s="211" t="s">
        <v>5531</v>
      </c>
      <c r="F278" s="211" t="s">
        <v>7200</v>
      </c>
    </row>
    <row r="279" spans="1:6">
      <c r="A279" s="211" t="s">
        <v>1380</v>
      </c>
      <c r="B279" s="211">
        <v>5946</v>
      </c>
      <c r="C279" s="211">
        <v>1059</v>
      </c>
      <c r="D279" s="211" t="s">
        <v>1255</v>
      </c>
      <c r="E279" s="211" t="s">
        <v>10385</v>
      </c>
      <c r="F279" s="211" t="s">
        <v>7323</v>
      </c>
    </row>
    <row r="280" spans="1:6">
      <c r="A280" s="211" t="s">
        <v>1381</v>
      </c>
      <c r="B280" s="211">
        <v>2763</v>
      </c>
      <c r="C280" s="211">
        <v>896</v>
      </c>
      <c r="D280" s="211" t="s">
        <v>1255</v>
      </c>
      <c r="E280" s="211" t="s">
        <v>10385</v>
      </c>
      <c r="F280" s="211" t="s">
        <v>7162</v>
      </c>
    </row>
    <row r="281" spans="1:6">
      <c r="A281" s="211" t="s">
        <v>5532</v>
      </c>
      <c r="B281" s="211">
        <v>7120</v>
      </c>
      <c r="C281" s="211">
        <v>840</v>
      </c>
      <c r="D281" s="211" t="s">
        <v>1255</v>
      </c>
      <c r="E281" s="211" t="s">
        <v>10385</v>
      </c>
      <c r="F281" s="211" t="s">
        <v>7299</v>
      </c>
    </row>
    <row r="282" spans="1:6">
      <c r="A282" s="211" t="s">
        <v>1382</v>
      </c>
      <c r="B282" s="211">
        <v>25</v>
      </c>
      <c r="C282" s="211">
        <v>1352</v>
      </c>
      <c r="D282" s="211" t="s">
        <v>1255</v>
      </c>
      <c r="E282" s="211" t="s">
        <v>10385</v>
      </c>
      <c r="F282" s="211" t="s">
        <v>7356</v>
      </c>
    </row>
    <row r="283" spans="1:6">
      <c r="A283" s="211" t="s">
        <v>1383</v>
      </c>
      <c r="B283" s="211">
        <v>2835</v>
      </c>
      <c r="C283" s="211">
        <v>1072</v>
      </c>
      <c r="D283" s="211" t="s">
        <v>1255</v>
      </c>
      <c r="E283" s="211" t="s">
        <v>10385</v>
      </c>
      <c r="F283" s="211" t="s">
        <v>7208</v>
      </c>
    </row>
    <row r="284" spans="1:6">
      <c r="A284" s="211" t="s">
        <v>1384</v>
      </c>
      <c r="B284" s="211">
        <v>5761</v>
      </c>
      <c r="C284" s="211">
        <v>895</v>
      </c>
      <c r="D284" s="211" t="s">
        <v>1255</v>
      </c>
      <c r="E284" s="211" t="s">
        <v>10385</v>
      </c>
      <c r="F284" s="211" t="s">
        <v>7357</v>
      </c>
    </row>
    <row r="285" spans="1:6">
      <c r="A285" s="211" t="s">
        <v>7358</v>
      </c>
      <c r="B285" s="211">
        <v>4697</v>
      </c>
      <c r="C285" s="211" t="s">
        <v>10385</v>
      </c>
      <c r="D285" s="211" t="s">
        <v>1255</v>
      </c>
      <c r="E285" s="211" t="s">
        <v>10385</v>
      </c>
      <c r="F285" s="211" t="s">
        <v>7308</v>
      </c>
    </row>
    <row r="286" spans="1:6">
      <c r="A286" s="211" t="s">
        <v>7359</v>
      </c>
      <c r="B286" s="211">
        <v>7857</v>
      </c>
      <c r="C286" s="211">
        <v>785</v>
      </c>
      <c r="D286" s="211" t="s">
        <v>1255</v>
      </c>
      <c r="E286" s="211" t="s">
        <v>9053</v>
      </c>
      <c r="F286" s="211" t="s">
        <v>7192</v>
      </c>
    </row>
    <row r="287" spans="1:6">
      <c r="A287" s="211" t="s">
        <v>7360</v>
      </c>
      <c r="B287" s="211">
        <v>3958</v>
      </c>
      <c r="C287" s="211" t="s">
        <v>10385</v>
      </c>
      <c r="D287" s="211" t="s">
        <v>1255</v>
      </c>
      <c r="E287" s="211" t="s">
        <v>10385</v>
      </c>
      <c r="F287" s="211" t="s">
        <v>7194</v>
      </c>
    </row>
    <row r="288" spans="1:6">
      <c r="A288" s="211" t="s">
        <v>7361</v>
      </c>
      <c r="B288" s="211">
        <v>4834</v>
      </c>
      <c r="C288" s="211" t="s">
        <v>10385</v>
      </c>
      <c r="D288" s="211" t="s">
        <v>1255</v>
      </c>
      <c r="E288" s="211" t="s">
        <v>10385</v>
      </c>
      <c r="F288" s="211" t="s">
        <v>7268</v>
      </c>
    </row>
    <row r="289" spans="1:6">
      <c r="A289" s="211" t="s">
        <v>7362</v>
      </c>
      <c r="B289" s="211">
        <v>4833</v>
      </c>
      <c r="C289" s="211" t="s">
        <v>10385</v>
      </c>
      <c r="D289" s="211" t="s">
        <v>1255</v>
      </c>
      <c r="E289" s="211" t="s">
        <v>10385</v>
      </c>
      <c r="F289" s="211" t="s">
        <v>7268</v>
      </c>
    </row>
    <row r="290" spans="1:6">
      <c r="A290" s="211" t="s">
        <v>1385</v>
      </c>
      <c r="B290" s="211">
        <v>3239</v>
      </c>
      <c r="C290" s="211">
        <v>941</v>
      </c>
      <c r="D290" s="211" t="s">
        <v>1255</v>
      </c>
      <c r="E290" s="211" t="s">
        <v>10385</v>
      </c>
      <c r="F290" s="211" t="s">
        <v>7216</v>
      </c>
    </row>
    <row r="291" spans="1:6">
      <c r="A291" s="211" t="s">
        <v>7363</v>
      </c>
      <c r="B291" s="211">
        <v>5151</v>
      </c>
      <c r="C291" s="211" t="s">
        <v>10385</v>
      </c>
      <c r="D291" s="211" t="s">
        <v>1255</v>
      </c>
      <c r="E291" s="211" t="s">
        <v>10385</v>
      </c>
      <c r="F291" s="211" t="s">
        <v>7364</v>
      </c>
    </row>
    <row r="292" spans="1:6">
      <c r="A292" s="211" t="s">
        <v>1386</v>
      </c>
      <c r="B292" s="211">
        <v>5485</v>
      </c>
      <c r="C292" s="211">
        <v>1751</v>
      </c>
      <c r="D292" s="211" t="s">
        <v>1255</v>
      </c>
      <c r="E292" s="211" t="s">
        <v>10385</v>
      </c>
      <c r="F292" s="211" t="s">
        <v>7295</v>
      </c>
    </row>
    <row r="293" spans="1:6">
      <c r="A293" s="211" t="s">
        <v>1387</v>
      </c>
      <c r="B293" s="211">
        <v>4252</v>
      </c>
      <c r="C293" s="211">
        <v>1805</v>
      </c>
      <c r="D293" s="211" t="s">
        <v>1255</v>
      </c>
      <c r="E293" s="211" t="s">
        <v>10385</v>
      </c>
      <c r="F293" s="211" t="s">
        <v>7365</v>
      </c>
    </row>
    <row r="294" spans="1:6">
      <c r="A294" s="211" t="s">
        <v>1388</v>
      </c>
      <c r="B294" s="211">
        <v>3112</v>
      </c>
      <c r="C294" s="211">
        <v>1104</v>
      </c>
      <c r="D294" s="211" t="s">
        <v>1255</v>
      </c>
      <c r="E294" s="211" t="s">
        <v>10385</v>
      </c>
      <c r="F294" s="211" t="s">
        <v>7366</v>
      </c>
    </row>
    <row r="295" spans="1:6">
      <c r="A295" s="211" t="s">
        <v>7367</v>
      </c>
      <c r="B295" s="211">
        <v>104</v>
      </c>
      <c r="C295" s="211" t="s">
        <v>10385</v>
      </c>
      <c r="D295" s="211" t="s">
        <v>1255</v>
      </c>
      <c r="E295" s="211" t="s">
        <v>10385</v>
      </c>
      <c r="F295" s="211" t="s">
        <v>7318</v>
      </c>
    </row>
    <row r="296" spans="1:6">
      <c r="A296" s="211" t="s">
        <v>7368</v>
      </c>
      <c r="B296" s="211">
        <v>224</v>
      </c>
      <c r="C296" s="211" t="s">
        <v>10385</v>
      </c>
      <c r="D296" s="211" t="s">
        <v>1255</v>
      </c>
      <c r="E296" s="211" t="s">
        <v>10385</v>
      </c>
      <c r="F296" s="211" t="s">
        <v>7171</v>
      </c>
    </row>
    <row r="297" spans="1:6">
      <c r="A297" s="211" t="s">
        <v>9054</v>
      </c>
      <c r="B297" s="211">
        <v>8104</v>
      </c>
      <c r="C297" s="211">
        <v>1040</v>
      </c>
      <c r="D297" s="211" t="s">
        <v>1255</v>
      </c>
      <c r="E297" s="211" t="s">
        <v>9055</v>
      </c>
      <c r="F297" s="211" t="s">
        <v>9056</v>
      </c>
    </row>
    <row r="298" spans="1:6">
      <c r="A298" s="211" t="s">
        <v>1389</v>
      </c>
      <c r="B298" s="211">
        <v>4377</v>
      </c>
      <c r="C298" s="211">
        <v>876</v>
      </c>
      <c r="D298" s="211" t="s">
        <v>1255</v>
      </c>
      <c r="E298" s="211" t="s">
        <v>10385</v>
      </c>
      <c r="F298" s="211" t="s">
        <v>7369</v>
      </c>
    </row>
    <row r="299" spans="1:6">
      <c r="A299" s="211" t="s">
        <v>1390</v>
      </c>
      <c r="B299" s="211">
        <v>4884</v>
      </c>
      <c r="C299" s="211">
        <v>815</v>
      </c>
      <c r="D299" s="211" t="s">
        <v>1255</v>
      </c>
      <c r="E299" s="211" t="s">
        <v>10385</v>
      </c>
      <c r="F299" s="211" t="s">
        <v>7189</v>
      </c>
    </row>
    <row r="300" spans="1:6">
      <c r="A300" s="211" t="s">
        <v>1391</v>
      </c>
      <c r="B300" s="211">
        <v>4691</v>
      </c>
      <c r="C300" s="211">
        <v>1230</v>
      </c>
      <c r="D300" s="211" t="s">
        <v>1117</v>
      </c>
      <c r="E300" s="211" t="s">
        <v>10385</v>
      </c>
      <c r="F300" s="211" t="s">
        <v>7284</v>
      </c>
    </row>
    <row r="301" spans="1:6">
      <c r="A301" s="211" t="s">
        <v>7370</v>
      </c>
      <c r="B301" s="211">
        <v>5561</v>
      </c>
      <c r="C301" s="211" t="s">
        <v>10385</v>
      </c>
      <c r="D301" s="211" t="s">
        <v>1117</v>
      </c>
      <c r="E301" s="211" t="s">
        <v>10385</v>
      </c>
      <c r="F301" s="211" t="s">
        <v>7284</v>
      </c>
    </row>
    <row r="302" spans="1:6">
      <c r="A302" s="211" t="s">
        <v>7371</v>
      </c>
      <c r="B302" s="211">
        <v>5364</v>
      </c>
      <c r="C302" s="211" t="s">
        <v>10385</v>
      </c>
      <c r="D302" s="211" t="s">
        <v>1255</v>
      </c>
      <c r="E302" s="211" t="s">
        <v>10385</v>
      </c>
      <c r="F302" s="211" t="s">
        <v>7223</v>
      </c>
    </row>
    <row r="303" spans="1:6">
      <c r="A303" s="211" t="s">
        <v>7372</v>
      </c>
      <c r="B303" s="211">
        <v>5189</v>
      </c>
      <c r="C303" s="211" t="s">
        <v>10385</v>
      </c>
      <c r="D303" s="211" t="s">
        <v>1255</v>
      </c>
      <c r="E303" s="211" t="s">
        <v>10385</v>
      </c>
      <c r="F303" s="211" t="s">
        <v>7373</v>
      </c>
    </row>
    <row r="304" spans="1:6">
      <c r="A304" s="211" t="s">
        <v>1392</v>
      </c>
      <c r="B304" s="211">
        <v>178</v>
      </c>
      <c r="C304" s="211">
        <v>1708</v>
      </c>
      <c r="D304" s="211" t="s">
        <v>1255</v>
      </c>
      <c r="E304" s="211" t="s">
        <v>10385</v>
      </c>
      <c r="F304" s="211" t="s">
        <v>7199</v>
      </c>
    </row>
    <row r="305" spans="1:6">
      <c r="A305" s="211" t="s">
        <v>9057</v>
      </c>
      <c r="B305" s="211">
        <v>8363</v>
      </c>
      <c r="C305" s="211">
        <v>975</v>
      </c>
      <c r="D305" s="211" t="s">
        <v>1255</v>
      </c>
      <c r="E305" s="211" t="s">
        <v>9058</v>
      </c>
      <c r="F305" s="211" t="s">
        <v>9059</v>
      </c>
    </row>
    <row r="306" spans="1:6">
      <c r="A306" s="211" t="s">
        <v>3012</v>
      </c>
      <c r="B306" s="211">
        <v>1457</v>
      </c>
      <c r="C306" s="211">
        <v>1284</v>
      </c>
      <c r="D306" s="211" t="s">
        <v>1255</v>
      </c>
      <c r="E306" s="211" t="s">
        <v>10385</v>
      </c>
      <c r="F306" s="211" t="s">
        <v>7335</v>
      </c>
    </row>
    <row r="307" spans="1:6">
      <c r="A307" s="211" t="s">
        <v>1393</v>
      </c>
      <c r="B307" s="211">
        <v>4412</v>
      </c>
      <c r="C307" s="211">
        <v>1315</v>
      </c>
      <c r="D307" s="211" t="s">
        <v>1255</v>
      </c>
      <c r="E307" s="211" t="s">
        <v>10385</v>
      </c>
      <c r="F307" s="211" t="s">
        <v>7233</v>
      </c>
    </row>
    <row r="308" spans="1:6">
      <c r="A308" s="211" t="s">
        <v>7374</v>
      </c>
      <c r="B308" s="211">
        <v>436</v>
      </c>
      <c r="C308" s="211" t="s">
        <v>10385</v>
      </c>
      <c r="D308" s="211" t="s">
        <v>1255</v>
      </c>
      <c r="E308" s="211" t="s">
        <v>10385</v>
      </c>
      <c r="F308" s="211" t="s">
        <v>7233</v>
      </c>
    </row>
    <row r="309" spans="1:6">
      <c r="A309" s="211" t="s">
        <v>1394</v>
      </c>
      <c r="B309" s="211">
        <v>2499</v>
      </c>
      <c r="C309" s="211">
        <v>1245</v>
      </c>
      <c r="D309" s="211" t="s">
        <v>1255</v>
      </c>
      <c r="E309" s="211" t="s">
        <v>10385</v>
      </c>
      <c r="F309" s="211" t="s">
        <v>7217</v>
      </c>
    </row>
    <row r="310" spans="1:6">
      <c r="A310" s="211" t="s">
        <v>5533</v>
      </c>
      <c r="B310" s="211">
        <v>7353</v>
      </c>
      <c r="C310" s="211">
        <v>1925</v>
      </c>
      <c r="D310" s="211" t="s">
        <v>1255</v>
      </c>
      <c r="E310" s="211" t="s">
        <v>9060</v>
      </c>
      <c r="F310" s="211" t="s">
        <v>7375</v>
      </c>
    </row>
    <row r="311" spans="1:6">
      <c r="A311" s="211" t="s">
        <v>4949</v>
      </c>
      <c r="B311" s="211">
        <v>6913</v>
      </c>
      <c r="C311" s="211">
        <v>803</v>
      </c>
      <c r="D311" s="211" t="s">
        <v>1255</v>
      </c>
      <c r="E311" s="211" t="s">
        <v>10385</v>
      </c>
      <c r="F311" s="211" t="s">
        <v>7376</v>
      </c>
    </row>
    <row r="312" spans="1:6">
      <c r="A312" s="211" t="s">
        <v>4950</v>
      </c>
      <c r="B312" s="211">
        <v>6855</v>
      </c>
      <c r="C312" s="211">
        <v>989</v>
      </c>
      <c r="D312" s="211" t="s">
        <v>1255</v>
      </c>
      <c r="E312" s="211" t="s">
        <v>10385</v>
      </c>
      <c r="F312" s="211" t="s">
        <v>7217</v>
      </c>
    </row>
    <row r="313" spans="1:6">
      <c r="A313" s="211" t="s">
        <v>10404</v>
      </c>
      <c r="B313" s="211">
        <v>8613</v>
      </c>
      <c r="C313" s="211">
        <v>1201</v>
      </c>
      <c r="D313" s="211" t="s">
        <v>1255</v>
      </c>
      <c r="E313" s="211" t="s">
        <v>10405</v>
      </c>
      <c r="F313" s="211" t="s">
        <v>7200</v>
      </c>
    </row>
    <row r="314" spans="1:6">
      <c r="A314" s="211" t="s">
        <v>5534</v>
      </c>
      <c r="B314" s="211">
        <v>7114</v>
      </c>
      <c r="C314" s="211">
        <v>999</v>
      </c>
      <c r="D314" s="211" t="s">
        <v>1255</v>
      </c>
      <c r="E314" s="211" t="s">
        <v>6630</v>
      </c>
      <c r="F314" s="211" t="s">
        <v>7377</v>
      </c>
    </row>
    <row r="315" spans="1:6">
      <c r="A315" s="211" t="s">
        <v>1395</v>
      </c>
      <c r="B315" s="211">
        <v>3779</v>
      </c>
      <c r="C315" s="211">
        <v>887</v>
      </c>
      <c r="D315" s="211" t="s">
        <v>1117</v>
      </c>
      <c r="E315" s="211" t="s">
        <v>10385</v>
      </c>
      <c r="F315" s="211" t="s">
        <v>7262</v>
      </c>
    </row>
    <row r="316" spans="1:6">
      <c r="A316" s="211" t="s">
        <v>1396</v>
      </c>
      <c r="B316" s="211">
        <v>5387</v>
      </c>
      <c r="C316" s="211">
        <v>1334</v>
      </c>
      <c r="D316" s="211" t="s">
        <v>1255</v>
      </c>
      <c r="E316" s="211" t="s">
        <v>10385</v>
      </c>
      <c r="F316" s="211" t="s">
        <v>7304</v>
      </c>
    </row>
    <row r="317" spans="1:6">
      <c r="A317" s="211" t="s">
        <v>6631</v>
      </c>
      <c r="B317" s="211">
        <v>7615</v>
      </c>
      <c r="C317" s="211">
        <v>2519</v>
      </c>
      <c r="D317" s="211" t="s">
        <v>1255</v>
      </c>
      <c r="E317" s="211" t="s">
        <v>6632</v>
      </c>
      <c r="F317" s="211" t="s">
        <v>7267</v>
      </c>
    </row>
    <row r="318" spans="1:6">
      <c r="A318" s="211" t="s">
        <v>7378</v>
      </c>
      <c r="B318" s="211">
        <v>1974</v>
      </c>
      <c r="C318" s="211" t="s">
        <v>10385</v>
      </c>
      <c r="D318" s="211" t="s">
        <v>1255</v>
      </c>
      <c r="E318" s="211" t="s">
        <v>10385</v>
      </c>
      <c r="F318" s="211" t="s">
        <v>7177</v>
      </c>
    </row>
    <row r="319" spans="1:6">
      <c r="A319" s="211" t="s">
        <v>7379</v>
      </c>
      <c r="B319" s="211">
        <v>3772</v>
      </c>
      <c r="C319" s="211" t="s">
        <v>10385</v>
      </c>
      <c r="D319" s="211" t="s">
        <v>1255</v>
      </c>
      <c r="E319" s="211" t="s">
        <v>10385</v>
      </c>
      <c r="F319" s="211" t="s">
        <v>7380</v>
      </c>
    </row>
    <row r="320" spans="1:6">
      <c r="A320" s="211" t="s">
        <v>1397</v>
      </c>
      <c r="B320" s="211">
        <v>1556</v>
      </c>
      <c r="C320" s="211">
        <v>1260</v>
      </c>
      <c r="D320" s="211" t="s">
        <v>1255</v>
      </c>
      <c r="E320" s="211" t="s">
        <v>10385</v>
      </c>
      <c r="F320" s="211" t="s">
        <v>7381</v>
      </c>
    </row>
    <row r="321" spans="1:6">
      <c r="A321" s="211" t="s">
        <v>1398</v>
      </c>
      <c r="B321" s="211">
        <v>4657</v>
      </c>
      <c r="C321" s="211">
        <v>1031</v>
      </c>
      <c r="D321" s="211" t="s">
        <v>1255</v>
      </c>
      <c r="E321" s="211" t="s">
        <v>10385</v>
      </c>
      <c r="F321" s="211" t="s">
        <v>7223</v>
      </c>
    </row>
    <row r="322" spans="1:6">
      <c r="A322" s="211" t="s">
        <v>1399</v>
      </c>
      <c r="B322" s="211">
        <v>5646</v>
      </c>
      <c r="C322" s="211">
        <v>1190</v>
      </c>
      <c r="D322" s="211" t="s">
        <v>1255</v>
      </c>
      <c r="E322" s="211" t="s">
        <v>10385</v>
      </c>
      <c r="F322" s="211" t="s">
        <v>7186</v>
      </c>
    </row>
    <row r="323" spans="1:6">
      <c r="A323" s="211" t="s">
        <v>1400</v>
      </c>
      <c r="B323" s="211">
        <v>5769</v>
      </c>
      <c r="C323" s="211">
        <v>770</v>
      </c>
      <c r="D323" s="211" t="s">
        <v>1255</v>
      </c>
      <c r="E323" s="211" t="s">
        <v>10385</v>
      </c>
      <c r="F323" s="211" t="s">
        <v>7382</v>
      </c>
    </row>
    <row r="324" spans="1:6">
      <c r="A324" s="211" t="s">
        <v>1401</v>
      </c>
      <c r="B324" s="211">
        <v>2455</v>
      </c>
      <c r="C324" s="211">
        <v>851</v>
      </c>
      <c r="D324" s="211" t="s">
        <v>1255</v>
      </c>
      <c r="E324" s="211" t="s">
        <v>10385</v>
      </c>
      <c r="F324" s="211" t="s">
        <v>7286</v>
      </c>
    </row>
    <row r="325" spans="1:6">
      <c r="A325" s="211" t="s">
        <v>1402</v>
      </c>
      <c r="B325" s="211">
        <v>1149</v>
      </c>
      <c r="C325" s="211">
        <v>1482</v>
      </c>
      <c r="D325" s="211" t="s">
        <v>1255</v>
      </c>
      <c r="E325" s="211" t="s">
        <v>10385</v>
      </c>
      <c r="F325" s="211" t="s">
        <v>7383</v>
      </c>
    </row>
    <row r="326" spans="1:6">
      <c r="A326" s="211" t="s">
        <v>1403</v>
      </c>
      <c r="B326" s="211">
        <v>3507</v>
      </c>
      <c r="C326" s="211">
        <v>1974</v>
      </c>
      <c r="D326" s="211" t="s">
        <v>1255</v>
      </c>
      <c r="E326" s="211" t="s">
        <v>10385</v>
      </c>
      <c r="F326" s="211" t="s">
        <v>7384</v>
      </c>
    </row>
    <row r="327" spans="1:6">
      <c r="A327" s="211" t="s">
        <v>9061</v>
      </c>
      <c r="B327" s="211">
        <v>8533</v>
      </c>
      <c r="C327" s="211">
        <v>1000</v>
      </c>
      <c r="D327" s="211" t="s">
        <v>1255</v>
      </c>
      <c r="E327" s="211" t="s">
        <v>9062</v>
      </c>
      <c r="F327" s="211" t="s">
        <v>7255</v>
      </c>
    </row>
    <row r="328" spans="1:6">
      <c r="A328" s="211" t="s">
        <v>5535</v>
      </c>
      <c r="B328" s="211">
        <v>6062</v>
      </c>
      <c r="C328" s="211">
        <v>922</v>
      </c>
      <c r="D328" s="211" t="s">
        <v>1255</v>
      </c>
      <c r="E328" s="211" t="s">
        <v>10385</v>
      </c>
      <c r="F328" s="211" t="s">
        <v>7325</v>
      </c>
    </row>
    <row r="329" spans="1:6">
      <c r="A329" s="211" t="s">
        <v>3001</v>
      </c>
      <c r="B329" s="211">
        <v>1472</v>
      </c>
      <c r="C329" s="211">
        <v>1297</v>
      </c>
      <c r="D329" s="211" t="s">
        <v>1255</v>
      </c>
      <c r="E329" s="211" t="s">
        <v>10385</v>
      </c>
      <c r="F329" s="211" t="s">
        <v>7384</v>
      </c>
    </row>
    <row r="330" spans="1:6">
      <c r="A330" s="211" t="s">
        <v>9063</v>
      </c>
      <c r="B330" s="211">
        <v>7943</v>
      </c>
      <c r="C330" s="211">
        <v>987</v>
      </c>
      <c r="D330" s="211" t="s">
        <v>1255</v>
      </c>
      <c r="E330" s="211" t="s">
        <v>9064</v>
      </c>
      <c r="F330" s="211" t="s">
        <v>9065</v>
      </c>
    </row>
    <row r="331" spans="1:6">
      <c r="A331" s="211" t="s">
        <v>1404</v>
      </c>
      <c r="B331" s="211">
        <v>2398</v>
      </c>
      <c r="C331" s="211">
        <v>1533</v>
      </c>
      <c r="D331" s="211" t="s">
        <v>1255</v>
      </c>
      <c r="E331" s="211" t="s">
        <v>10385</v>
      </c>
      <c r="F331" s="211" t="s">
        <v>7165</v>
      </c>
    </row>
    <row r="332" spans="1:6">
      <c r="A332" s="211" t="s">
        <v>1405</v>
      </c>
      <c r="B332" s="211">
        <v>5140</v>
      </c>
      <c r="C332" s="211">
        <v>635</v>
      </c>
      <c r="D332" s="211" t="s">
        <v>1255</v>
      </c>
      <c r="E332" s="211" t="s">
        <v>10385</v>
      </c>
      <c r="F332" s="211" t="s">
        <v>7325</v>
      </c>
    </row>
    <row r="333" spans="1:6">
      <c r="A333" s="211" t="s">
        <v>5536</v>
      </c>
      <c r="B333" s="211">
        <v>7101</v>
      </c>
      <c r="C333" s="211">
        <v>2587</v>
      </c>
      <c r="D333" s="211" t="s">
        <v>1255</v>
      </c>
      <c r="E333" s="211" t="s">
        <v>6632</v>
      </c>
      <c r="F333" s="211" t="s">
        <v>7267</v>
      </c>
    </row>
    <row r="334" spans="1:6">
      <c r="A334" s="211" t="s">
        <v>1406</v>
      </c>
      <c r="B334" s="211">
        <v>4984</v>
      </c>
      <c r="C334" s="211">
        <v>991</v>
      </c>
      <c r="D334" s="211" t="s">
        <v>1255</v>
      </c>
      <c r="E334" s="211" t="s">
        <v>10385</v>
      </c>
      <c r="F334" s="211" t="s">
        <v>7224</v>
      </c>
    </row>
    <row r="335" spans="1:6">
      <c r="A335" s="211" t="s">
        <v>9066</v>
      </c>
      <c r="B335" s="211">
        <v>8187</v>
      </c>
      <c r="C335" s="211">
        <v>963</v>
      </c>
      <c r="D335" s="211" t="s">
        <v>1255</v>
      </c>
      <c r="E335" s="211" t="s">
        <v>9067</v>
      </c>
      <c r="F335" s="211" t="s">
        <v>9068</v>
      </c>
    </row>
    <row r="336" spans="1:6">
      <c r="A336" s="211" t="s">
        <v>1407</v>
      </c>
      <c r="B336" s="211">
        <v>2507</v>
      </c>
      <c r="C336" s="211">
        <v>1126</v>
      </c>
      <c r="D336" s="211" t="s">
        <v>1255</v>
      </c>
      <c r="E336" s="211" t="s">
        <v>10385</v>
      </c>
      <c r="F336" s="211" t="s">
        <v>7213</v>
      </c>
    </row>
    <row r="337" spans="1:6">
      <c r="A337" s="211" t="s">
        <v>6633</v>
      </c>
      <c r="B337" s="211">
        <v>7843</v>
      </c>
      <c r="C337" s="211">
        <v>860</v>
      </c>
      <c r="D337" s="211" t="s">
        <v>1255</v>
      </c>
      <c r="E337" s="211" t="s">
        <v>10385</v>
      </c>
      <c r="F337" s="211" t="s">
        <v>7285</v>
      </c>
    </row>
    <row r="338" spans="1:6">
      <c r="A338" s="211" t="s">
        <v>1408</v>
      </c>
      <c r="B338" s="211">
        <v>2872</v>
      </c>
      <c r="C338" s="211">
        <v>1812</v>
      </c>
      <c r="D338" s="211" t="s">
        <v>1255</v>
      </c>
      <c r="E338" s="211" t="s">
        <v>10385</v>
      </c>
      <c r="F338" s="211" t="s">
        <v>7316</v>
      </c>
    </row>
    <row r="339" spans="1:6">
      <c r="A339" s="211" t="s">
        <v>7385</v>
      </c>
      <c r="B339" s="211">
        <v>187</v>
      </c>
      <c r="C339" s="211" t="s">
        <v>10385</v>
      </c>
      <c r="D339" s="211" t="s">
        <v>1255</v>
      </c>
      <c r="E339" s="211" t="s">
        <v>10385</v>
      </c>
      <c r="F339" s="211" t="s">
        <v>7275</v>
      </c>
    </row>
    <row r="340" spans="1:6">
      <c r="A340" s="211" t="s">
        <v>6634</v>
      </c>
      <c r="B340" s="211">
        <v>7810</v>
      </c>
      <c r="C340" s="211">
        <v>1542</v>
      </c>
      <c r="D340" s="211" t="s">
        <v>1255</v>
      </c>
      <c r="E340" s="211" t="s">
        <v>9069</v>
      </c>
      <c r="F340" s="211" t="s">
        <v>7386</v>
      </c>
    </row>
    <row r="341" spans="1:6">
      <c r="A341" s="211" t="s">
        <v>1409</v>
      </c>
      <c r="B341" s="211">
        <v>5578</v>
      </c>
      <c r="C341" s="211">
        <v>1329</v>
      </c>
      <c r="D341" s="211" t="s">
        <v>1255</v>
      </c>
      <c r="E341" s="211" t="s">
        <v>6635</v>
      </c>
      <c r="F341" s="211" t="s">
        <v>7238</v>
      </c>
    </row>
    <row r="342" spans="1:6">
      <c r="A342" s="211" t="s">
        <v>7387</v>
      </c>
      <c r="B342" s="211">
        <v>307</v>
      </c>
      <c r="C342" s="211" t="s">
        <v>10385</v>
      </c>
      <c r="D342" s="211" t="s">
        <v>1255</v>
      </c>
      <c r="E342" s="211" t="s">
        <v>10385</v>
      </c>
      <c r="F342" s="211" t="s">
        <v>7221</v>
      </c>
    </row>
    <row r="343" spans="1:6">
      <c r="A343" s="211" t="s">
        <v>3037</v>
      </c>
      <c r="B343" s="211">
        <v>1437</v>
      </c>
      <c r="C343" s="211">
        <v>1351</v>
      </c>
      <c r="D343" s="211" t="s">
        <v>1255</v>
      </c>
      <c r="E343" s="211" t="s">
        <v>10385</v>
      </c>
      <c r="F343" s="211" t="s">
        <v>7388</v>
      </c>
    </row>
    <row r="344" spans="1:6">
      <c r="A344" s="211" t="s">
        <v>1410</v>
      </c>
      <c r="B344" s="211">
        <v>5600</v>
      </c>
      <c r="C344" s="211">
        <v>791</v>
      </c>
      <c r="D344" s="211" t="s">
        <v>1255</v>
      </c>
      <c r="E344" s="211" t="s">
        <v>10385</v>
      </c>
      <c r="F344" s="211" t="s">
        <v>7389</v>
      </c>
    </row>
    <row r="345" spans="1:6">
      <c r="A345" s="211" t="s">
        <v>1411</v>
      </c>
      <c r="B345" s="211">
        <v>1649</v>
      </c>
      <c r="C345" s="211">
        <v>975</v>
      </c>
      <c r="D345" s="211" t="s">
        <v>1255</v>
      </c>
      <c r="E345" s="211" t="s">
        <v>10385</v>
      </c>
      <c r="F345" s="211" t="s">
        <v>7192</v>
      </c>
    </row>
    <row r="346" spans="1:6">
      <c r="A346" s="211" t="s">
        <v>5537</v>
      </c>
      <c r="B346" s="211">
        <v>7218</v>
      </c>
      <c r="C346" s="211">
        <v>836</v>
      </c>
      <c r="D346" s="211" t="s">
        <v>1255</v>
      </c>
      <c r="E346" s="211" t="s">
        <v>10385</v>
      </c>
      <c r="F346" s="211" t="s">
        <v>7629</v>
      </c>
    </row>
    <row r="347" spans="1:6">
      <c r="A347" s="211" t="s">
        <v>1412</v>
      </c>
      <c r="B347" s="211">
        <v>5281</v>
      </c>
      <c r="C347" s="211">
        <v>938</v>
      </c>
      <c r="D347" s="211" t="s">
        <v>1255</v>
      </c>
      <c r="E347" s="211" t="s">
        <v>10385</v>
      </c>
      <c r="F347" s="211" t="s">
        <v>7390</v>
      </c>
    </row>
    <row r="348" spans="1:6">
      <c r="A348" s="211" t="s">
        <v>532</v>
      </c>
      <c r="B348" s="211">
        <v>1452</v>
      </c>
      <c r="C348" s="211">
        <v>1441</v>
      </c>
      <c r="D348" s="211" t="s">
        <v>1255</v>
      </c>
      <c r="E348" s="211" t="s">
        <v>10385</v>
      </c>
      <c r="F348" s="211" t="s">
        <v>7246</v>
      </c>
    </row>
    <row r="349" spans="1:6">
      <c r="A349" s="211" t="s">
        <v>7391</v>
      </c>
      <c r="B349" s="211">
        <v>182</v>
      </c>
      <c r="C349" s="211" t="s">
        <v>10385</v>
      </c>
      <c r="D349" s="211" t="s">
        <v>1255</v>
      </c>
      <c r="E349" s="211" t="s">
        <v>10385</v>
      </c>
      <c r="F349" s="211" t="s">
        <v>7301</v>
      </c>
    </row>
    <row r="350" spans="1:6">
      <c r="A350" s="211" t="s">
        <v>533</v>
      </c>
      <c r="B350" s="211">
        <v>6107</v>
      </c>
      <c r="C350" s="211">
        <v>2543</v>
      </c>
      <c r="D350" s="211" t="s">
        <v>1255</v>
      </c>
      <c r="E350" s="211" t="s">
        <v>6632</v>
      </c>
      <c r="F350" s="211" t="s">
        <v>7267</v>
      </c>
    </row>
    <row r="351" spans="1:6">
      <c r="A351" s="211" t="s">
        <v>534</v>
      </c>
      <c r="B351" s="211">
        <v>5821</v>
      </c>
      <c r="C351" s="211">
        <v>806</v>
      </c>
      <c r="D351" s="211" t="s">
        <v>1255</v>
      </c>
      <c r="E351" s="211" t="s">
        <v>10385</v>
      </c>
      <c r="F351" s="211" t="s">
        <v>7235</v>
      </c>
    </row>
    <row r="352" spans="1:6">
      <c r="A352" s="211" t="s">
        <v>535</v>
      </c>
      <c r="B352" s="211">
        <v>2854</v>
      </c>
      <c r="C352" s="211">
        <v>915</v>
      </c>
      <c r="D352" s="211" t="s">
        <v>1255</v>
      </c>
      <c r="E352" s="211" t="s">
        <v>10385</v>
      </c>
      <c r="F352" s="211" t="s">
        <v>7392</v>
      </c>
    </row>
    <row r="353" spans="1:6">
      <c r="A353" s="211" t="s">
        <v>536</v>
      </c>
      <c r="B353" s="211">
        <v>2702</v>
      </c>
      <c r="C353" s="211">
        <v>672</v>
      </c>
      <c r="D353" s="211" t="s">
        <v>1117</v>
      </c>
      <c r="E353" s="211" t="s">
        <v>10385</v>
      </c>
      <c r="F353" s="211" t="s">
        <v>7393</v>
      </c>
    </row>
    <row r="354" spans="1:6">
      <c r="A354" s="211" t="s">
        <v>537</v>
      </c>
      <c r="B354" s="211">
        <v>775</v>
      </c>
      <c r="C354" s="211">
        <v>1098</v>
      </c>
      <c r="D354" s="211" t="s">
        <v>1255</v>
      </c>
      <c r="E354" s="211" t="s">
        <v>10385</v>
      </c>
      <c r="F354" s="211" t="s">
        <v>7323</v>
      </c>
    </row>
    <row r="355" spans="1:6">
      <c r="A355" s="211" t="s">
        <v>538</v>
      </c>
      <c r="B355" s="211">
        <v>1376</v>
      </c>
      <c r="C355" s="211">
        <v>591</v>
      </c>
      <c r="D355" s="211" t="s">
        <v>1255</v>
      </c>
      <c r="E355" s="211" t="s">
        <v>10385</v>
      </c>
      <c r="F355" s="211" t="s">
        <v>7394</v>
      </c>
    </row>
    <row r="356" spans="1:6">
      <c r="A356" s="211" t="s">
        <v>10406</v>
      </c>
      <c r="B356" s="211">
        <v>8836</v>
      </c>
      <c r="C356" s="211">
        <v>122</v>
      </c>
      <c r="D356" s="211" t="s">
        <v>1117</v>
      </c>
      <c r="E356" s="211" t="s">
        <v>10407</v>
      </c>
      <c r="F356" s="211" t="s">
        <v>10408</v>
      </c>
    </row>
    <row r="357" spans="1:6">
      <c r="A357" s="211" t="s">
        <v>5538</v>
      </c>
      <c r="B357" s="211">
        <v>7224</v>
      </c>
      <c r="C357" s="211">
        <v>1127</v>
      </c>
      <c r="D357" s="211" t="s">
        <v>1255</v>
      </c>
      <c r="E357" s="211" t="s">
        <v>10385</v>
      </c>
      <c r="F357" s="211" t="s">
        <v>7376</v>
      </c>
    </row>
    <row r="358" spans="1:6">
      <c r="A358" s="211" t="s">
        <v>2887</v>
      </c>
      <c r="B358" s="211">
        <v>3447</v>
      </c>
      <c r="C358" s="211">
        <v>1015</v>
      </c>
      <c r="D358" s="211" t="s">
        <v>1255</v>
      </c>
      <c r="E358" s="211" t="s">
        <v>10385</v>
      </c>
      <c r="F358" s="211" t="s">
        <v>7268</v>
      </c>
    </row>
    <row r="359" spans="1:6">
      <c r="A359" s="211" t="s">
        <v>7395</v>
      </c>
      <c r="B359" s="211">
        <v>2704</v>
      </c>
      <c r="C359" s="211" t="s">
        <v>10385</v>
      </c>
      <c r="D359" s="211" t="s">
        <v>1117</v>
      </c>
      <c r="E359" s="211" t="s">
        <v>10385</v>
      </c>
      <c r="F359" s="211" t="s">
        <v>7393</v>
      </c>
    </row>
    <row r="360" spans="1:6">
      <c r="A360" s="211" t="s">
        <v>539</v>
      </c>
      <c r="B360" s="211">
        <v>5330</v>
      </c>
      <c r="C360" s="211">
        <v>835</v>
      </c>
      <c r="D360" s="211" t="s">
        <v>1255</v>
      </c>
      <c r="E360" s="211" t="s">
        <v>10385</v>
      </c>
      <c r="F360" s="211" t="s">
        <v>7396</v>
      </c>
    </row>
    <row r="361" spans="1:6">
      <c r="A361" s="211" t="s">
        <v>540</v>
      </c>
      <c r="B361" s="211">
        <v>1864</v>
      </c>
      <c r="C361" s="211">
        <v>847</v>
      </c>
      <c r="D361" s="211" t="s">
        <v>1255</v>
      </c>
      <c r="E361" s="211" t="s">
        <v>10385</v>
      </c>
      <c r="F361" s="211" t="s">
        <v>7213</v>
      </c>
    </row>
    <row r="362" spans="1:6">
      <c r="A362" s="211" t="s">
        <v>541</v>
      </c>
      <c r="B362" s="211">
        <v>2207</v>
      </c>
      <c r="C362" s="211">
        <v>1127</v>
      </c>
      <c r="D362" s="211" t="s">
        <v>1255</v>
      </c>
      <c r="E362" s="211" t="s">
        <v>10385</v>
      </c>
      <c r="F362" s="211" t="s">
        <v>7312</v>
      </c>
    </row>
    <row r="363" spans="1:6">
      <c r="A363" s="211" t="s">
        <v>5539</v>
      </c>
      <c r="B363" s="211">
        <v>7246</v>
      </c>
      <c r="C363" s="211">
        <v>796</v>
      </c>
      <c r="D363" s="211" t="s">
        <v>1255</v>
      </c>
      <c r="E363" s="211" t="s">
        <v>5540</v>
      </c>
      <c r="F363" s="211" t="s">
        <v>7397</v>
      </c>
    </row>
    <row r="364" spans="1:6">
      <c r="A364" s="211" t="s">
        <v>542</v>
      </c>
      <c r="B364" s="211">
        <v>4447</v>
      </c>
      <c r="C364" s="211">
        <v>1450</v>
      </c>
      <c r="D364" s="211" t="s">
        <v>1255</v>
      </c>
      <c r="E364" s="211" t="s">
        <v>10385</v>
      </c>
      <c r="F364" s="211" t="s">
        <v>7247</v>
      </c>
    </row>
    <row r="365" spans="1:6">
      <c r="A365" s="211" t="s">
        <v>9070</v>
      </c>
      <c r="B365" s="211">
        <v>8255</v>
      </c>
      <c r="C365" s="211">
        <v>1921</v>
      </c>
      <c r="D365" s="211" t="s">
        <v>1255</v>
      </c>
      <c r="E365" s="211" t="s">
        <v>10385</v>
      </c>
      <c r="F365" s="211" t="s">
        <v>9071</v>
      </c>
    </row>
    <row r="366" spans="1:6">
      <c r="A366" s="211" t="s">
        <v>543</v>
      </c>
      <c r="B366" s="211">
        <v>5326</v>
      </c>
      <c r="C366" s="211">
        <v>1302</v>
      </c>
      <c r="D366" s="211" t="s">
        <v>1117</v>
      </c>
      <c r="E366" s="211" t="s">
        <v>10385</v>
      </c>
      <c r="F366" s="211" t="s">
        <v>7398</v>
      </c>
    </row>
    <row r="367" spans="1:6">
      <c r="A367" s="211" t="s">
        <v>544</v>
      </c>
      <c r="B367" s="211">
        <v>2319</v>
      </c>
      <c r="C367" s="211">
        <v>851</v>
      </c>
      <c r="D367" s="211" t="s">
        <v>1255</v>
      </c>
      <c r="E367" s="211" t="s">
        <v>10385</v>
      </c>
      <c r="F367" s="211" t="s">
        <v>7399</v>
      </c>
    </row>
    <row r="368" spans="1:6">
      <c r="A368" s="211" t="s">
        <v>545</v>
      </c>
      <c r="B368" s="211">
        <v>3057</v>
      </c>
      <c r="C368" s="211">
        <v>1061</v>
      </c>
      <c r="D368" s="211" t="s">
        <v>1255</v>
      </c>
      <c r="E368" s="211" t="s">
        <v>10385</v>
      </c>
      <c r="F368" s="211" t="s">
        <v>7217</v>
      </c>
    </row>
    <row r="369" spans="1:6">
      <c r="A369" s="211" t="s">
        <v>546</v>
      </c>
      <c r="B369" s="211">
        <v>1026</v>
      </c>
      <c r="C369" s="211">
        <v>1213</v>
      </c>
      <c r="D369" s="211" t="s">
        <v>1255</v>
      </c>
      <c r="E369" s="211" t="s">
        <v>10385</v>
      </c>
      <c r="F369" s="211" t="s">
        <v>7243</v>
      </c>
    </row>
    <row r="370" spans="1:6">
      <c r="A370" s="211" t="s">
        <v>547</v>
      </c>
      <c r="B370" s="211">
        <v>1124</v>
      </c>
      <c r="C370" s="211">
        <v>2121</v>
      </c>
      <c r="D370" s="211" t="s">
        <v>1255</v>
      </c>
      <c r="E370" s="211" t="s">
        <v>10385</v>
      </c>
      <c r="F370" s="211" t="s">
        <v>7286</v>
      </c>
    </row>
    <row r="371" spans="1:6">
      <c r="A371" s="211" t="s">
        <v>7400</v>
      </c>
      <c r="B371" s="211">
        <v>144</v>
      </c>
      <c r="C371" s="211" t="s">
        <v>10385</v>
      </c>
      <c r="D371" s="211" t="s">
        <v>1255</v>
      </c>
      <c r="E371" s="211" t="s">
        <v>10385</v>
      </c>
      <c r="F371" s="211" t="s">
        <v>7284</v>
      </c>
    </row>
    <row r="372" spans="1:6">
      <c r="A372" s="211" t="s">
        <v>7401</v>
      </c>
      <c r="B372" s="211">
        <v>1812</v>
      </c>
      <c r="C372" s="211" t="s">
        <v>10385</v>
      </c>
      <c r="D372" s="211" t="s">
        <v>1255</v>
      </c>
      <c r="E372" s="211" t="s">
        <v>10385</v>
      </c>
      <c r="F372" s="211" t="s">
        <v>7272</v>
      </c>
    </row>
    <row r="373" spans="1:6">
      <c r="A373" s="211" t="s">
        <v>4951</v>
      </c>
      <c r="B373" s="211">
        <v>6220</v>
      </c>
      <c r="C373" s="211">
        <v>1142</v>
      </c>
      <c r="D373" s="211" t="s">
        <v>1255</v>
      </c>
      <c r="E373" s="211" t="s">
        <v>10385</v>
      </c>
      <c r="F373" s="211" t="s">
        <v>7328</v>
      </c>
    </row>
    <row r="374" spans="1:6">
      <c r="A374" s="211" t="s">
        <v>4952</v>
      </c>
      <c r="B374" s="211">
        <v>2671</v>
      </c>
      <c r="C374" s="211">
        <v>1204</v>
      </c>
      <c r="D374" s="211" t="s">
        <v>1255</v>
      </c>
      <c r="E374" s="211" t="s">
        <v>10385</v>
      </c>
      <c r="F374" s="211" t="s">
        <v>7402</v>
      </c>
    </row>
    <row r="375" spans="1:6">
      <c r="A375" s="211" t="s">
        <v>548</v>
      </c>
      <c r="B375" s="211">
        <v>3989</v>
      </c>
      <c r="C375" s="211">
        <v>820</v>
      </c>
      <c r="D375" s="211" t="s">
        <v>1117</v>
      </c>
      <c r="E375" s="211" t="s">
        <v>10385</v>
      </c>
      <c r="F375" s="211" t="s">
        <v>7403</v>
      </c>
    </row>
    <row r="376" spans="1:6">
      <c r="A376" s="211" t="s">
        <v>5541</v>
      </c>
      <c r="B376" s="211">
        <v>7558</v>
      </c>
      <c r="C376" s="211">
        <v>1114</v>
      </c>
      <c r="D376" s="211" t="s">
        <v>1255</v>
      </c>
      <c r="E376" s="211" t="s">
        <v>10385</v>
      </c>
      <c r="F376" s="211" t="s">
        <v>7263</v>
      </c>
    </row>
    <row r="377" spans="1:6">
      <c r="A377" s="211" t="s">
        <v>549</v>
      </c>
      <c r="B377" s="211">
        <v>2466</v>
      </c>
      <c r="C377" s="211">
        <v>892</v>
      </c>
      <c r="D377" s="211" t="s">
        <v>1255</v>
      </c>
      <c r="E377" s="211" t="s">
        <v>10385</v>
      </c>
      <c r="F377" s="211" t="s">
        <v>7404</v>
      </c>
    </row>
    <row r="378" spans="1:6">
      <c r="A378" s="211" t="s">
        <v>550</v>
      </c>
      <c r="B378" s="211">
        <v>2681</v>
      </c>
      <c r="C378" s="211">
        <v>1937</v>
      </c>
      <c r="D378" s="211" t="s">
        <v>1117</v>
      </c>
      <c r="E378" s="211" t="s">
        <v>10385</v>
      </c>
      <c r="F378" s="211" t="s">
        <v>7274</v>
      </c>
    </row>
    <row r="379" spans="1:6">
      <c r="A379" s="211" t="s">
        <v>7405</v>
      </c>
      <c r="B379" s="211">
        <v>371</v>
      </c>
      <c r="C379" s="211" t="s">
        <v>10385</v>
      </c>
      <c r="D379" s="211" t="s">
        <v>1255</v>
      </c>
      <c r="E379" s="211" t="s">
        <v>10385</v>
      </c>
      <c r="F379" s="211" t="s">
        <v>7275</v>
      </c>
    </row>
    <row r="380" spans="1:6">
      <c r="A380" s="211" t="s">
        <v>4953</v>
      </c>
      <c r="B380" s="211">
        <v>6756</v>
      </c>
      <c r="C380" s="211">
        <v>1946</v>
      </c>
      <c r="D380" s="211" t="s">
        <v>1255</v>
      </c>
      <c r="E380" s="211" t="s">
        <v>9072</v>
      </c>
      <c r="F380" s="211" t="s">
        <v>7320</v>
      </c>
    </row>
    <row r="381" spans="1:6">
      <c r="A381" s="211" t="s">
        <v>7406</v>
      </c>
      <c r="B381" s="211">
        <v>3805</v>
      </c>
      <c r="C381" s="211" t="s">
        <v>10385</v>
      </c>
      <c r="D381" s="211" t="s">
        <v>1255</v>
      </c>
      <c r="E381" s="211" t="s">
        <v>10385</v>
      </c>
      <c r="F381" s="211" t="s">
        <v>7201</v>
      </c>
    </row>
    <row r="382" spans="1:6">
      <c r="A382" s="211" t="s">
        <v>551</v>
      </c>
      <c r="B382" s="211">
        <v>2987</v>
      </c>
      <c r="C382" s="211">
        <v>913</v>
      </c>
      <c r="D382" s="211" t="s">
        <v>1255</v>
      </c>
      <c r="E382" s="211" t="s">
        <v>10385</v>
      </c>
      <c r="F382" s="211" t="s">
        <v>7286</v>
      </c>
    </row>
    <row r="383" spans="1:6">
      <c r="A383" s="211" t="s">
        <v>5542</v>
      </c>
      <c r="B383" s="211">
        <v>7038</v>
      </c>
      <c r="C383" s="211">
        <v>661</v>
      </c>
      <c r="D383" s="211" t="s">
        <v>1117</v>
      </c>
      <c r="E383" s="211" t="s">
        <v>5543</v>
      </c>
      <c r="F383" s="211" t="s">
        <v>7247</v>
      </c>
    </row>
    <row r="384" spans="1:6">
      <c r="A384" s="211" t="s">
        <v>9073</v>
      </c>
      <c r="B384" s="211">
        <v>8415</v>
      </c>
      <c r="C384" s="211">
        <v>1009</v>
      </c>
      <c r="D384" s="211" t="s">
        <v>1255</v>
      </c>
      <c r="E384" s="211" t="s">
        <v>10385</v>
      </c>
      <c r="F384" s="211" t="s">
        <v>7304</v>
      </c>
    </row>
    <row r="385" spans="1:6">
      <c r="A385" s="211" t="s">
        <v>552</v>
      </c>
      <c r="B385" s="211">
        <v>5706</v>
      </c>
      <c r="C385" s="211">
        <v>1635</v>
      </c>
      <c r="D385" s="211" t="s">
        <v>1255</v>
      </c>
      <c r="E385" s="211" t="s">
        <v>10409</v>
      </c>
      <c r="F385" s="211" t="s">
        <v>7208</v>
      </c>
    </row>
    <row r="386" spans="1:6">
      <c r="A386" s="211" t="s">
        <v>553</v>
      </c>
      <c r="B386" s="211">
        <v>1736</v>
      </c>
      <c r="C386" s="211">
        <v>1081</v>
      </c>
      <c r="D386" s="211" t="s">
        <v>1255</v>
      </c>
      <c r="E386" s="211" t="s">
        <v>10385</v>
      </c>
      <c r="F386" s="211" t="s">
        <v>7407</v>
      </c>
    </row>
    <row r="387" spans="1:6">
      <c r="A387" s="211" t="s">
        <v>4838</v>
      </c>
      <c r="B387" s="211">
        <v>6073</v>
      </c>
      <c r="C387" s="211">
        <v>1116</v>
      </c>
      <c r="D387" s="211" t="s">
        <v>1255</v>
      </c>
      <c r="E387" s="211" t="s">
        <v>10385</v>
      </c>
      <c r="F387" s="211" t="s">
        <v>7250</v>
      </c>
    </row>
    <row r="388" spans="1:6">
      <c r="A388" s="211" t="s">
        <v>7408</v>
      </c>
      <c r="B388" s="211">
        <v>683</v>
      </c>
      <c r="C388" s="211" t="s">
        <v>10385</v>
      </c>
      <c r="D388" s="211" t="s">
        <v>1255</v>
      </c>
      <c r="E388" s="211" t="s">
        <v>10385</v>
      </c>
      <c r="F388" s="211" t="s">
        <v>7409</v>
      </c>
    </row>
    <row r="389" spans="1:6">
      <c r="A389" s="211" t="s">
        <v>7410</v>
      </c>
      <c r="B389" s="211">
        <v>1246</v>
      </c>
      <c r="C389" s="211" t="s">
        <v>10385</v>
      </c>
      <c r="D389" s="211" t="s">
        <v>1255</v>
      </c>
      <c r="E389" s="211" t="s">
        <v>10385</v>
      </c>
      <c r="F389" s="211" t="s">
        <v>7216</v>
      </c>
    </row>
    <row r="390" spans="1:6">
      <c r="A390" s="211" t="s">
        <v>2856</v>
      </c>
      <c r="B390" s="211">
        <v>2172</v>
      </c>
      <c r="C390" s="211">
        <v>1195</v>
      </c>
      <c r="D390" s="211" t="s">
        <v>1255</v>
      </c>
      <c r="E390" s="211" t="s">
        <v>10385</v>
      </c>
      <c r="F390" s="211" t="s">
        <v>7386</v>
      </c>
    </row>
    <row r="391" spans="1:6">
      <c r="A391" s="211" t="s">
        <v>5544</v>
      </c>
      <c r="B391" s="211">
        <v>7349</v>
      </c>
      <c r="C391" s="211">
        <v>2049</v>
      </c>
      <c r="D391" s="211" t="s">
        <v>1255</v>
      </c>
      <c r="E391" s="211" t="s">
        <v>10385</v>
      </c>
      <c r="F391" s="211" t="s">
        <v>7411</v>
      </c>
    </row>
    <row r="392" spans="1:6">
      <c r="A392" s="211" t="s">
        <v>554</v>
      </c>
      <c r="B392" s="211">
        <v>1368</v>
      </c>
      <c r="C392" s="211">
        <v>1692</v>
      </c>
      <c r="D392" s="211" t="s">
        <v>1255</v>
      </c>
      <c r="E392" s="211" t="s">
        <v>10385</v>
      </c>
      <c r="F392" s="211" t="s">
        <v>10341</v>
      </c>
    </row>
    <row r="393" spans="1:6">
      <c r="A393" s="211" t="s">
        <v>555</v>
      </c>
      <c r="B393" s="211">
        <v>5520</v>
      </c>
      <c r="C393" s="211">
        <v>1470</v>
      </c>
      <c r="D393" s="211" t="s">
        <v>1255</v>
      </c>
      <c r="E393" s="211" t="s">
        <v>10385</v>
      </c>
      <c r="F393" s="211" t="s">
        <v>7412</v>
      </c>
    </row>
    <row r="394" spans="1:6">
      <c r="A394" s="211" t="s">
        <v>556</v>
      </c>
      <c r="B394" s="211">
        <v>2306</v>
      </c>
      <c r="C394" s="211">
        <v>961</v>
      </c>
      <c r="D394" s="211" t="s">
        <v>1255</v>
      </c>
      <c r="E394" s="211" t="s">
        <v>10385</v>
      </c>
      <c r="F394" s="211" t="s">
        <v>7257</v>
      </c>
    </row>
    <row r="395" spans="1:6">
      <c r="A395" s="211" t="s">
        <v>557</v>
      </c>
      <c r="B395" s="211">
        <v>4162</v>
      </c>
      <c r="C395" s="211">
        <v>1594</v>
      </c>
      <c r="D395" s="211" t="s">
        <v>1255</v>
      </c>
      <c r="E395" s="211" t="s">
        <v>10385</v>
      </c>
      <c r="F395" s="211" t="s">
        <v>7224</v>
      </c>
    </row>
    <row r="396" spans="1:6">
      <c r="A396" s="211" t="s">
        <v>558</v>
      </c>
      <c r="B396" s="211">
        <v>5383</v>
      </c>
      <c r="C396" s="211">
        <v>999</v>
      </c>
      <c r="D396" s="211" t="s">
        <v>1255</v>
      </c>
      <c r="E396" s="211" t="s">
        <v>10385</v>
      </c>
      <c r="F396" s="211" t="s">
        <v>7286</v>
      </c>
    </row>
    <row r="397" spans="1:6">
      <c r="A397" s="211" t="s">
        <v>4954</v>
      </c>
      <c r="B397" s="211">
        <v>6967</v>
      </c>
      <c r="C397" s="211">
        <v>891</v>
      </c>
      <c r="D397" s="211" t="s">
        <v>1255</v>
      </c>
      <c r="E397" s="211" t="s">
        <v>10385</v>
      </c>
      <c r="F397" s="211" t="s">
        <v>7263</v>
      </c>
    </row>
    <row r="398" spans="1:6">
      <c r="A398" s="211" t="s">
        <v>559</v>
      </c>
      <c r="B398" s="211">
        <v>1533</v>
      </c>
      <c r="C398" s="211">
        <v>1075</v>
      </c>
      <c r="D398" s="211" t="s">
        <v>1255</v>
      </c>
      <c r="E398" s="211" t="s">
        <v>10385</v>
      </c>
      <c r="F398" s="211" t="s">
        <v>7233</v>
      </c>
    </row>
    <row r="399" spans="1:6">
      <c r="A399" s="211" t="s">
        <v>7413</v>
      </c>
      <c r="B399" s="211">
        <v>322</v>
      </c>
      <c r="C399" s="211" t="s">
        <v>10385</v>
      </c>
      <c r="D399" s="211" t="s">
        <v>1255</v>
      </c>
      <c r="E399" s="211" t="s">
        <v>10385</v>
      </c>
      <c r="F399" s="211" t="s">
        <v>7284</v>
      </c>
    </row>
    <row r="400" spans="1:6">
      <c r="A400" s="211" t="s">
        <v>560</v>
      </c>
      <c r="B400" s="211">
        <v>4385</v>
      </c>
      <c r="C400" s="211">
        <v>1886</v>
      </c>
      <c r="D400" s="211" t="s">
        <v>1255</v>
      </c>
      <c r="E400" s="211" t="s">
        <v>5545</v>
      </c>
      <c r="F400" s="211" t="s">
        <v>7247</v>
      </c>
    </row>
    <row r="401" spans="1:6">
      <c r="A401" s="211" t="s">
        <v>4955</v>
      </c>
      <c r="B401" s="211">
        <v>6941</v>
      </c>
      <c r="C401" s="211">
        <v>1000</v>
      </c>
      <c r="D401" s="211" t="s">
        <v>1255</v>
      </c>
      <c r="E401" s="211" t="s">
        <v>10385</v>
      </c>
      <c r="F401" s="211" t="s">
        <v>7414</v>
      </c>
    </row>
    <row r="402" spans="1:6">
      <c r="A402" s="211" t="s">
        <v>5546</v>
      </c>
      <c r="B402" s="211">
        <v>7473</v>
      </c>
      <c r="C402" s="211">
        <v>1022</v>
      </c>
      <c r="D402" s="211" t="s">
        <v>1255</v>
      </c>
      <c r="E402" s="211" t="s">
        <v>10385</v>
      </c>
      <c r="F402" s="211" t="s">
        <v>7250</v>
      </c>
    </row>
    <row r="403" spans="1:6">
      <c r="A403" s="211" t="s">
        <v>561</v>
      </c>
      <c r="B403" s="211">
        <v>2559</v>
      </c>
      <c r="C403" s="211">
        <v>974</v>
      </c>
      <c r="D403" s="211" t="s">
        <v>1255</v>
      </c>
      <c r="E403" s="211" t="s">
        <v>10385</v>
      </c>
      <c r="F403" s="211" t="s">
        <v>7415</v>
      </c>
    </row>
    <row r="404" spans="1:6">
      <c r="A404" s="211" t="s">
        <v>562</v>
      </c>
      <c r="B404" s="211">
        <v>4816</v>
      </c>
      <c r="C404" s="211">
        <v>1073</v>
      </c>
      <c r="D404" s="211" t="s">
        <v>1255</v>
      </c>
      <c r="E404" s="211" t="s">
        <v>10385</v>
      </c>
      <c r="F404" s="211" t="s">
        <v>7210</v>
      </c>
    </row>
    <row r="405" spans="1:6">
      <c r="A405" s="211" t="s">
        <v>9074</v>
      </c>
      <c r="B405" s="211">
        <v>8339</v>
      </c>
      <c r="C405" s="211">
        <v>1480</v>
      </c>
      <c r="D405" s="211" t="s">
        <v>1255</v>
      </c>
      <c r="E405" s="211" t="s">
        <v>9075</v>
      </c>
      <c r="F405" s="211" t="s">
        <v>7247</v>
      </c>
    </row>
    <row r="406" spans="1:6">
      <c r="A406" s="211" t="s">
        <v>9076</v>
      </c>
      <c r="B406" s="211">
        <v>7890</v>
      </c>
      <c r="C406" s="211">
        <v>1373</v>
      </c>
      <c r="D406" s="211" t="s">
        <v>1255</v>
      </c>
      <c r="E406" s="211" t="s">
        <v>9077</v>
      </c>
      <c r="F406" s="211" t="s">
        <v>7224</v>
      </c>
    </row>
    <row r="407" spans="1:6">
      <c r="A407" s="211" t="s">
        <v>7416</v>
      </c>
      <c r="B407" s="211">
        <v>1444</v>
      </c>
      <c r="C407" s="211" t="s">
        <v>10385</v>
      </c>
      <c r="D407" s="211" t="s">
        <v>1255</v>
      </c>
      <c r="E407" s="211" t="s">
        <v>10385</v>
      </c>
      <c r="F407" s="211" t="s">
        <v>7280</v>
      </c>
    </row>
    <row r="408" spans="1:6">
      <c r="A408" s="211" t="s">
        <v>563</v>
      </c>
      <c r="B408" s="211">
        <v>2965</v>
      </c>
      <c r="C408" s="211">
        <v>945</v>
      </c>
      <c r="D408" s="211" t="s">
        <v>1255</v>
      </c>
      <c r="E408" s="211" t="s">
        <v>10385</v>
      </c>
      <c r="F408" s="211" t="s">
        <v>7284</v>
      </c>
    </row>
    <row r="409" spans="1:6">
      <c r="A409" s="211" t="s">
        <v>7417</v>
      </c>
      <c r="B409" s="211">
        <v>928</v>
      </c>
      <c r="C409" s="211" t="s">
        <v>10385</v>
      </c>
      <c r="D409" s="211" t="s">
        <v>1255</v>
      </c>
      <c r="E409" s="211" t="s">
        <v>10385</v>
      </c>
      <c r="F409" s="211" t="s">
        <v>7263</v>
      </c>
    </row>
    <row r="410" spans="1:6">
      <c r="A410" s="211" t="s">
        <v>6636</v>
      </c>
      <c r="B410" s="211">
        <v>7649</v>
      </c>
      <c r="C410" s="211">
        <v>117</v>
      </c>
      <c r="D410" s="211" t="s">
        <v>1255</v>
      </c>
      <c r="E410" s="211" t="s">
        <v>6637</v>
      </c>
      <c r="F410" s="211" t="s">
        <v>7418</v>
      </c>
    </row>
    <row r="411" spans="1:6">
      <c r="A411" s="211" t="s">
        <v>564</v>
      </c>
      <c r="B411" s="211">
        <v>4398</v>
      </c>
      <c r="C411" s="211">
        <v>1041</v>
      </c>
      <c r="D411" s="211" t="s">
        <v>1255</v>
      </c>
      <c r="E411" s="211" t="s">
        <v>10385</v>
      </c>
      <c r="F411" s="211" t="s">
        <v>7200</v>
      </c>
    </row>
    <row r="412" spans="1:6">
      <c r="A412" s="211" t="s">
        <v>565</v>
      </c>
      <c r="B412" s="211">
        <v>918</v>
      </c>
      <c r="C412" s="211">
        <v>1991</v>
      </c>
      <c r="D412" s="211" t="s">
        <v>1255</v>
      </c>
      <c r="E412" s="211" t="s">
        <v>10385</v>
      </c>
      <c r="F412" s="211" t="s">
        <v>7419</v>
      </c>
    </row>
    <row r="413" spans="1:6">
      <c r="A413" s="211" t="s">
        <v>9078</v>
      </c>
      <c r="B413" s="211">
        <v>8374</v>
      </c>
      <c r="C413" s="211">
        <v>998</v>
      </c>
      <c r="D413" s="211" t="s">
        <v>1255</v>
      </c>
      <c r="E413" s="211" t="s">
        <v>9079</v>
      </c>
      <c r="F413" s="211" t="s">
        <v>9059</v>
      </c>
    </row>
    <row r="414" spans="1:6">
      <c r="A414" s="211" t="s">
        <v>566</v>
      </c>
      <c r="B414" s="211">
        <v>3381</v>
      </c>
      <c r="C414" s="211">
        <v>915</v>
      </c>
      <c r="D414" s="211" t="s">
        <v>1255</v>
      </c>
      <c r="E414" s="211" t="s">
        <v>10385</v>
      </c>
      <c r="F414" s="211" t="s">
        <v>7420</v>
      </c>
    </row>
    <row r="415" spans="1:6">
      <c r="A415" s="211" t="s">
        <v>567</v>
      </c>
      <c r="B415" s="211">
        <v>4446</v>
      </c>
      <c r="C415" s="211">
        <v>1189</v>
      </c>
      <c r="D415" s="211" t="s">
        <v>1255</v>
      </c>
      <c r="E415" s="211" t="s">
        <v>10385</v>
      </c>
      <c r="F415" s="211" t="s">
        <v>7247</v>
      </c>
    </row>
    <row r="416" spans="1:6">
      <c r="A416" s="211" t="s">
        <v>7421</v>
      </c>
      <c r="B416" s="211">
        <v>1567</v>
      </c>
      <c r="C416" s="211" t="s">
        <v>10385</v>
      </c>
      <c r="D416" s="211" t="s">
        <v>1255</v>
      </c>
      <c r="E416" s="211" t="s">
        <v>10385</v>
      </c>
      <c r="F416" s="211" t="s">
        <v>7422</v>
      </c>
    </row>
    <row r="417" spans="1:6">
      <c r="A417" s="211" t="s">
        <v>7423</v>
      </c>
      <c r="B417" s="211">
        <v>1622</v>
      </c>
      <c r="C417" s="211" t="s">
        <v>10385</v>
      </c>
      <c r="D417" s="211" t="s">
        <v>1255</v>
      </c>
      <c r="E417" s="211" t="s">
        <v>10385</v>
      </c>
      <c r="F417" s="211" t="s">
        <v>7175</v>
      </c>
    </row>
    <row r="418" spans="1:6">
      <c r="A418" s="211" t="s">
        <v>568</v>
      </c>
      <c r="B418" s="211">
        <v>4565</v>
      </c>
      <c r="C418" s="211">
        <v>890</v>
      </c>
      <c r="D418" s="211" t="s">
        <v>1255</v>
      </c>
      <c r="E418" s="211" t="s">
        <v>10385</v>
      </c>
      <c r="F418" s="211" t="s">
        <v>7286</v>
      </c>
    </row>
    <row r="419" spans="1:6">
      <c r="A419" s="211" t="s">
        <v>569</v>
      </c>
      <c r="B419" s="211">
        <v>4326</v>
      </c>
      <c r="C419" s="211">
        <v>1533</v>
      </c>
      <c r="D419" s="211" t="s">
        <v>1255</v>
      </c>
      <c r="E419" s="211" t="s">
        <v>10385</v>
      </c>
      <c r="F419" s="211" t="s">
        <v>7212</v>
      </c>
    </row>
    <row r="420" spans="1:6">
      <c r="A420" s="211" t="s">
        <v>7424</v>
      </c>
      <c r="B420" s="211">
        <v>519</v>
      </c>
      <c r="C420" s="211" t="s">
        <v>10385</v>
      </c>
      <c r="D420" s="211" t="s">
        <v>1255</v>
      </c>
      <c r="E420" s="211" t="s">
        <v>10385</v>
      </c>
      <c r="F420" s="211" t="s">
        <v>7297</v>
      </c>
    </row>
    <row r="421" spans="1:6">
      <c r="A421" s="211" t="s">
        <v>570</v>
      </c>
      <c r="B421" s="211">
        <v>2384</v>
      </c>
      <c r="C421" s="211">
        <v>1433</v>
      </c>
      <c r="D421" s="211" t="s">
        <v>1255</v>
      </c>
      <c r="E421" s="211" t="s">
        <v>10385</v>
      </c>
      <c r="F421" s="211" t="s">
        <v>7425</v>
      </c>
    </row>
    <row r="422" spans="1:6">
      <c r="A422" s="211" t="s">
        <v>7426</v>
      </c>
      <c r="B422" s="211">
        <v>327</v>
      </c>
      <c r="C422" s="211" t="s">
        <v>10385</v>
      </c>
      <c r="D422" s="211" t="s">
        <v>1255</v>
      </c>
      <c r="E422" s="211" t="s">
        <v>10385</v>
      </c>
      <c r="F422" s="211" t="s">
        <v>7272</v>
      </c>
    </row>
    <row r="423" spans="1:6">
      <c r="A423" s="211" t="s">
        <v>6638</v>
      </c>
      <c r="B423" s="211">
        <v>7637</v>
      </c>
      <c r="C423" s="211">
        <v>1894</v>
      </c>
      <c r="D423" s="211" t="s">
        <v>1255</v>
      </c>
      <c r="E423" s="211" t="s">
        <v>10385</v>
      </c>
      <c r="F423" s="211" t="s">
        <v>7427</v>
      </c>
    </row>
    <row r="424" spans="1:6">
      <c r="A424" s="211" t="s">
        <v>4956</v>
      </c>
      <c r="B424" s="211">
        <v>6981</v>
      </c>
      <c r="C424" s="211">
        <v>1454</v>
      </c>
      <c r="D424" s="211" t="s">
        <v>1255</v>
      </c>
      <c r="E424" s="211" t="s">
        <v>10410</v>
      </c>
      <c r="F424" s="211" t="s">
        <v>7427</v>
      </c>
    </row>
    <row r="425" spans="1:6">
      <c r="A425" s="211" t="s">
        <v>571</v>
      </c>
      <c r="B425" s="211">
        <v>1900</v>
      </c>
      <c r="C425" s="211">
        <v>1038</v>
      </c>
      <c r="D425" s="211" t="s">
        <v>1117</v>
      </c>
      <c r="E425" s="211" t="s">
        <v>10385</v>
      </c>
      <c r="F425" s="211" t="s">
        <v>7212</v>
      </c>
    </row>
    <row r="426" spans="1:6">
      <c r="A426" s="211" t="s">
        <v>572</v>
      </c>
      <c r="B426" s="211">
        <v>3909</v>
      </c>
      <c r="C426" s="211">
        <v>985</v>
      </c>
      <c r="D426" s="211" t="s">
        <v>1255</v>
      </c>
      <c r="E426" s="211" t="s">
        <v>10385</v>
      </c>
      <c r="F426" s="211" t="s">
        <v>7248</v>
      </c>
    </row>
    <row r="427" spans="1:6">
      <c r="A427" s="211" t="s">
        <v>7428</v>
      </c>
      <c r="B427" s="211">
        <v>5181</v>
      </c>
      <c r="C427" s="211" t="s">
        <v>10385</v>
      </c>
      <c r="D427" s="211" t="s">
        <v>1255</v>
      </c>
      <c r="E427" s="211" t="s">
        <v>10385</v>
      </c>
      <c r="F427" s="211" t="s">
        <v>7235</v>
      </c>
    </row>
    <row r="428" spans="1:6">
      <c r="A428" s="211" t="s">
        <v>573</v>
      </c>
      <c r="B428" s="211">
        <v>5972</v>
      </c>
      <c r="C428" s="211">
        <v>2145</v>
      </c>
      <c r="D428" s="211" t="s">
        <v>1255</v>
      </c>
      <c r="E428" s="211" t="s">
        <v>6639</v>
      </c>
      <c r="F428" s="211" t="s">
        <v>7429</v>
      </c>
    </row>
    <row r="429" spans="1:6">
      <c r="A429" s="211" t="s">
        <v>3048</v>
      </c>
      <c r="B429" s="211">
        <v>6260</v>
      </c>
      <c r="C429" s="211">
        <v>242</v>
      </c>
      <c r="D429" s="211" t="s">
        <v>1255</v>
      </c>
      <c r="E429" s="211" t="s">
        <v>10385</v>
      </c>
      <c r="F429" s="211" t="s">
        <v>7279</v>
      </c>
    </row>
    <row r="430" spans="1:6">
      <c r="A430" s="211" t="s">
        <v>4576</v>
      </c>
      <c r="B430" s="211">
        <v>6523</v>
      </c>
      <c r="C430" s="211">
        <v>1299</v>
      </c>
      <c r="D430" s="211" t="s">
        <v>1255</v>
      </c>
      <c r="E430" s="211" t="s">
        <v>10385</v>
      </c>
      <c r="F430" s="211" t="s">
        <v>7231</v>
      </c>
    </row>
    <row r="431" spans="1:6">
      <c r="A431" s="211" t="s">
        <v>574</v>
      </c>
      <c r="B431" s="211">
        <v>5133</v>
      </c>
      <c r="C431" s="211">
        <v>1559</v>
      </c>
      <c r="D431" s="211" t="s">
        <v>1255</v>
      </c>
      <c r="E431" s="211" t="s">
        <v>10385</v>
      </c>
      <c r="F431" s="211" t="s">
        <v>7233</v>
      </c>
    </row>
    <row r="432" spans="1:6">
      <c r="A432" s="211" t="s">
        <v>575</v>
      </c>
      <c r="B432" s="211">
        <v>3154</v>
      </c>
      <c r="C432" s="211">
        <v>1488</v>
      </c>
      <c r="D432" s="211" t="s">
        <v>1255</v>
      </c>
      <c r="E432" s="211" t="s">
        <v>10385</v>
      </c>
      <c r="F432" s="211" t="s">
        <v>7384</v>
      </c>
    </row>
    <row r="433" spans="1:6">
      <c r="A433" s="211" t="s">
        <v>576</v>
      </c>
      <c r="B433" s="211">
        <v>2202</v>
      </c>
      <c r="C433" s="211">
        <v>1854</v>
      </c>
      <c r="D433" s="211" t="s">
        <v>1255</v>
      </c>
      <c r="E433" s="211" t="s">
        <v>10385</v>
      </c>
      <c r="F433" s="211" t="s">
        <v>7283</v>
      </c>
    </row>
    <row r="434" spans="1:6">
      <c r="A434" s="211" t="s">
        <v>577</v>
      </c>
      <c r="B434" s="211">
        <v>502</v>
      </c>
      <c r="C434" s="211">
        <v>1805</v>
      </c>
      <c r="D434" s="211" t="s">
        <v>1255</v>
      </c>
      <c r="E434" s="211" t="s">
        <v>10385</v>
      </c>
      <c r="F434" s="211" t="s">
        <v>7226</v>
      </c>
    </row>
    <row r="435" spans="1:6">
      <c r="A435" s="211" t="s">
        <v>578</v>
      </c>
      <c r="B435" s="211">
        <v>4002</v>
      </c>
      <c r="C435" s="211">
        <v>908</v>
      </c>
      <c r="D435" s="211" t="s">
        <v>1255</v>
      </c>
      <c r="E435" s="211" t="s">
        <v>10385</v>
      </c>
      <c r="F435" s="211" t="s">
        <v>7430</v>
      </c>
    </row>
    <row r="436" spans="1:6">
      <c r="A436" s="211" t="s">
        <v>579</v>
      </c>
      <c r="B436" s="211">
        <v>2048</v>
      </c>
      <c r="C436" s="211">
        <v>1285</v>
      </c>
      <c r="D436" s="211" t="s">
        <v>1255</v>
      </c>
      <c r="E436" s="211" t="s">
        <v>10385</v>
      </c>
      <c r="F436" s="211" t="s">
        <v>7327</v>
      </c>
    </row>
    <row r="437" spans="1:6">
      <c r="A437" s="211" t="s">
        <v>10411</v>
      </c>
      <c r="B437" s="211">
        <v>8689</v>
      </c>
      <c r="C437" s="211">
        <v>1745</v>
      </c>
      <c r="D437" s="211" t="s">
        <v>1117</v>
      </c>
      <c r="E437" s="211" t="s">
        <v>10412</v>
      </c>
      <c r="F437" s="211" t="s">
        <v>7667</v>
      </c>
    </row>
    <row r="438" spans="1:6">
      <c r="A438" s="211" t="s">
        <v>580</v>
      </c>
      <c r="B438" s="211">
        <v>4813</v>
      </c>
      <c r="C438" s="211">
        <v>1522</v>
      </c>
      <c r="D438" s="211" t="s">
        <v>1255</v>
      </c>
      <c r="E438" s="211" t="s">
        <v>5547</v>
      </c>
      <c r="F438" s="211" t="s">
        <v>7210</v>
      </c>
    </row>
    <row r="439" spans="1:6">
      <c r="A439" s="211" t="s">
        <v>581</v>
      </c>
      <c r="B439" s="211">
        <v>4310</v>
      </c>
      <c r="C439" s="211">
        <v>1569</v>
      </c>
      <c r="D439" s="211" t="s">
        <v>1255</v>
      </c>
      <c r="E439" s="211" t="s">
        <v>9080</v>
      </c>
      <c r="F439" s="211" t="s">
        <v>7335</v>
      </c>
    </row>
    <row r="440" spans="1:6">
      <c r="A440" s="211" t="s">
        <v>582</v>
      </c>
      <c r="B440" s="211">
        <v>3110</v>
      </c>
      <c r="C440" s="211">
        <v>1269</v>
      </c>
      <c r="D440" s="211" t="s">
        <v>1255</v>
      </c>
      <c r="E440" s="211" t="s">
        <v>10385</v>
      </c>
      <c r="F440" s="211" t="s">
        <v>7366</v>
      </c>
    </row>
    <row r="441" spans="1:6">
      <c r="A441" s="211" t="s">
        <v>583</v>
      </c>
      <c r="B441" s="211">
        <v>3988</v>
      </c>
      <c r="C441" s="211">
        <v>790</v>
      </c>
      <c r="D441" s="211" t="s">
        <v>1255</v>
      </c>
      <c r="E441" s="211" t="s">
        <v>10385</v>
      </c>
      <c r="F441" s="211" t="s">
        <v>7403</v>
      </c>
    </row>
    <row r="442" spans="1:6">
      <c r="A442" s="211" t="s">
        <v>584</v>
      </c>
      <c r="B442" s="211">
        <v>4919</v>
      </c>
      <c r="C442" s="211">
        <v>995</v>
      </c>
      <c r="D442" s="211" t="s">
        <v>1255</v>
      </c>
      <c r="E442" s="211" t="s">
        <v>10385</v>
      </c>
      <c r="F442" s="211" t="s">
        <v>7196</v>
      </c>
    </row>
    <row r="443" spans="1:6">
      <c r="A443" s="211" t="s">
        <v>585</v>
      </c>
      <c r="B443" s="211">
        <v>570</v>
      </c>
      <c r="C443" s="211">
        <v>1472</v>
      </c>
      <c r="D443" s="211" t="s">
        <v>1255</v>
      </c>
      <c r="E443" s="211" t="s">
        <v>10385</v>
      </c>
      <c r="F443" s="211" t="s">
        <v>7226</v>
      </c>
    </row>
    <row r="444" spans="1:6">
      <c r="A444" s="211" t="s">
        <v>586</v>
      </c>
      <c r="B444" s="211">
        <v>448</v>
      </c>
      <c r="C444" s="211">
        <v>1248</v>
      </c>
      <c r="D444" s="211" t="s">
        <v>1255</v>
      </c>
      <c r="E444" s="211" t="s">
        <v>10385</v>
      </c>
      <c r="F444" s="211" t="s">
        <v>7226</v>
      </c>
    </row>
    <row r="445" spans="1:6">
      <c r="A445" s="211" t="s">
        <v>9081</v>
      </c>
      <c r="B445" s="211">
        <v>8333</v>
      </c>
      <c r="C445" s="211">
        <v>482</v>
      </c>
      <c r="D445" s="211" t="s">
        <v>1117</v>
      </c>
      <c r="E445" s="211" t="s">
        <v>9082</v>
      </c>
      <c r="F445" s="211" t="s">
        <v>7247</v>
      </c>
    </row>
    <row r="446" spans="1:6">
      <c r="A446" s="211" t="s">
        <v>5548</v>
      </c>
      <c r="B446" s="211">
        <v>7279</v>
      </c>
      <c r="C446" s="211">
        <v>2177</v>
      </c>
      <c r="D446" s="211" t="s">
        <v>1255</v>
      </c>
      <c r="E446" s="211" t="s">
        <v>5549</v>
      </c>
      <c r="F446" s="211" t="s">
        <v>7431</v>
      </c>
    </row>
    <row r="447" spans="1:6">
      <c r="A447" s="211" t="s">
        <v>587</v>
      </c>
      <c r="B447" s="211">
        <v>3369</v>
      </c>
      <c r="C447" s="211">
        <v>1191</v>
      </c>
      <c r="D447" s="211" t="s">
        <v>1255</v>
      </c>
      <c r="E447" s="211" t="s">
        <v>10385</v>
      </c>
      <c r="F447" s="211" t="s">
        <v>7257</v>
      </c>
    </row>
    <row r="448" spans="1:6">
      <c r="A448" s="211" t="s">
        <v>7432</v>
      </c>
      <c r="B448" s="211">
        <v>1596</v>
      </c>
      <c r="C448" s="211" t="s">
        <v>10385</v>
      </c>
      <c r="D448" s="211" t="s">
        <v>1255</v>
      </c>
      <c r="E448" s="211" t="s">
        <v>10385</v>
      </c>
      <c r="F448" s="211" t="s">
        <v>7162</v>
      </c>
    </row>
    <row r="449" spans="1:6">
      <c r="A449" s="211" t="s">
        <v>4746</v>
      </c>
      <c r="B449" s="211">
        <v>6206</v>
      </c>
      <c r="C449" s="211">
        <v>746</v>
      </c>
      <c r="D449" s="211" t="s">
        <v>1255</v>
      </c>
      <c r="E449" s="211" t="s">
        <v>10385</v>
      </c>
      <c r="F449" s="211" t="s">
        <v>7433</v>
      </c>
    </row>
    <row r="450" spans="1:6">
      <c r="A450" s="211" t="s">
        <v>588</v>
      </c>
      <c r="B450" s="211">
        <v>4406</v>
      </c>
      <c r="C450" s="211">
        <v>1117</v>
      </c>
      <c r="D450" s="211" t="s">
        <v>1255</v>
      </c>
      <c r="E450" s="211" t="s">
        <v>10385</v>
      </c>
      <c r="F450" s="211" t="s">
        <v>7354</v>
      </c>
    </row>
    <row r="451" spans="1:6">
      <c r="A451" s="211" t="s">
        <v>5550</v>
      </c>
      <c r="B451" s="211">
        <v>7598</v>
      </c>
      <c r="C451" s="211">
        <v>767</v>
      </c>
      <c r="D451" s="211" t="s">
        <v>1117</v>
      </c>
      <c r="E451" s="211" t="s">
        <v>10385</v>
      </c>
      <c r="F451" s="211" t="s">
        <v>7342</v>
      </c>
    </row>
    <row r="452" spans="1:6">
      <c r="A452" s="211" t="s">
        <v>7434</v>
      </c>
      <c r="B452" s="211">
        <v>605</v>
      </c>
      <c r="C452" s="211" t="s">
        <v>10385</v>
      </c>
      <c r="D452" s="211" t="s">
        <v>1255</v>
      </c>
      <c r="E452" s="211" t="s">
        <v>10385</v>
      </c>
      <c r="F452" s="211" t="s">
        <v>7262</v>
      </c>
    </row>
    <row r="453" spans="1:6">
      <c r="A453" s="211" t="s">
        <v>589</v>
      </c>
      <c r="B453" s="211">
        <v>1901</v>
      </c>
      <c r="C453" s="211">
        <v>1393</v>
      </c>
      <c r="D453" s="211" t="s">
        <v>1255</v>
      </c>
      <c r="E453" s="211" t="s">
        <v>10385</v>
      </c>
      <c r="F453" s="211" t="s">
        <v>7212</v>
      </c>
    </row>
    <row r="454" spans="1:6">
      <c r="A454" s="211" t="s">
        <v>5551</v>
      </c>
      <c r="B454" s="211">
        <v>7503</v>
      </c>
      <c r="C454" s="211">
        <v>828</v>
      </c>
      <c r="D454" s="211" t="s">
        <v>1117</v>
      </c>
      <c r="E454" s="211" t="s">
        <v>5552</v>
      </c>
      <c r="F454" s="211" t="s">
        <v>7435</v>
      </c>
    </row>
    <row r="455" spans="1:6">
      <c r="A455" s="211" t="s">
        <v>7436</v>
      </c>
      <c r="B455" s="211">
        <v>2998</v>
      </c>
      <c r="C455" s="211">
        <v>876</v>
      </c>
      <c r="D455" s="211" t="s">
        <v>1255</v>
      </c>
      <c r="E455" s="211" t="s">
        <v>10385</v>
      </c>
      <c r="F455" s="211" t="s">
        <v>10341</v>
      </c>
    </row>
    <row r="456" spans="1:6">
      <c r="A456" s="211" t="s">
        <v>9083</v>
      </c>
      <c r="B456" s="211">
        <v>7979</v>
      </c>
      <c r="C456" s="211">
        <v>960</v>
      </c>
      <c r="D456" s="211" t="s">
        <v>1255</v>
      </c>
      <c r="E456" s="211" t="s">
        <v>9084</v>
      </c>
      <c r="F456" s="211" t="s">
        <v>7453</v>
      </c>
    </row>
    <row r="457" spans="1:6">
      <c r="A457" s="211" t="s">
        <v>4957</v>
      </c>
      <c r="B457" s="211">
        <v>6849</v>
      </c>
      <c r="C457" s="211">
        <v>910</v>
      </c>
      <c r="D457" s="211" t="s">
        <v>1255</v>
      </c>
      <c r="E457" s="211" t="s">
        <v>5553</v>
      </c>
      <c r="F457" s="211" t="s">
        <v>7213</v>
      </c>
    </row>
    <row r="458" spans="1:6">
      <c r="A458" s="211" t="s">
        <v>590</v>
      </c>
      <c r="B458" s="211">
        <v>4826</v>
      </c>
      <c r="C458" s="211">
        <v>1075</v>
      </c>
      <c r="D458" s="211" t="s">
        <v>1255</v>
      </c>
      <c r="E458" s="211" t="s">
        <v>10385</v>
      </c>
      <c r="F458" s="211" t="s">
        <v>10391</v>
      </c>
    </row>
    <row r="459" spans="1:6">
      <c r="A459" s="211" t="s">
        <v>7437</v>
      </c>
      <c r="B459" s="211">
        <v>980</v>
      </c>
      <c r="C459" s="211" t="s">
        <v>10385</v>
      </c>
      <c r="D459" s="211" t="s">
        <v>1255</v>
      </c>
      <c r="E459" s="211" t="s">
        <v>10385</v>
      </c>
      <c r="F459" s="211" t="s">
        <v>7335</v>
      </c>
    </row>
    <row r="460" spans="1:6">
      <c r="A460" s="211" t="s">
        <v>6640</v>
      </c>
      <c r="B460" s="211">
        <v>7886</v>
      </c>
      <c r="C460" s="211">
        <v>1000</v>
      </c>
      <c r="D460" s="211" t="s">
        <v>1255</v>
      </c>
      <c r="E460" s="211" t="s">
        <v>9085</v>
      </c>
      <c r="F460" s="211" t="s">
        <v>7341</v>
      </c>
    </row>
    <row r="461" spans="1:6">
      <c r="A461" s="211" t="s">
        <v>5554</v>
      </c>
      <c r="B461" s="211">
        <v>7329</v>
      </c>
      <c r="C461" s="211">
        <v>798</v>
      </c>
      <c r="D461" s="211" t="s">
        <v>1117</v>
      </c>
      <c r="E461" s="211" t="s">
        <v>6641</v>
      </c>
      <c r="F461" s="211" t="s">
        <v>7425</v>
      </c>
    </row>
    <row r="462" spans="1:6">
      <c r="A462" s="211" t="s">
        <v>9086</v>
      </c>
      <c r="B462" s="211">
        <v>8335</v>
      </c>
      <c r="C462" s="211">
        <v>388</v>
      </c>
      <c r="D462" s="211" t="s">
        <v>1117</v>
      </c>
      <c r="E462" s="211" t="s">
        <v>9087</v>
      </c>
      <c r="F462" s="211" t="s">
        <v>7247</v>
      </c>
    </row>
    <row r="463" spans="1:6">
      <c r="A463" s="211" t="s">
        <v>5555</v>
      </c>
      <c r="B463" s="211">
        <v>7225</v>
      </c>
      <c r="C463" s="211">
        <v>1109</v>
      </c>
      <c r="D463" s="211" t="s">
        <v>1255</v>
      </c>
      <c r="E463" s="211" t="s">
        <v>9088</v>
      </c>
      <c r="F463" s="211" t="s">
        <v>7376</v>
      </c>
    </row>
    <row r="464" spans="1:6">
      <c r="A464" s="211" t="s">
        <v>591</v>
      </c>
      <c r="B464" s="211">
        <v>2509</v>
      </c>
      <c r="C464" s="211">
        <v>1822</v>
      </c>
      <c r="D464" s="211" t="s">
        <v>1255</v>
      </c>
      <c r="E464" s="211" t="s">
        <v>10385</v>
      </c>
      <c r="F464" s="211" t="s">
        <v>7323</v>
      </c>
    </row>
    <row r="465" spans="1:6">
      <c r="A465" s="211" t="s">
        <v>592</v>
      </c>
      <c r="B465" s="211">
        <v>1741</v>
      </c>
      <c r="C465" s="211">
        <v>1160</v>
      </c>
      <c r="D465" s="211" t="s">
        <v>1255</v>
      </c>
      <c r="E465" s="211" t="s">
        <v>10385</v>
      </c>
      <c r="F465" s="211" t="s">
        <v>7283</v>
      </c>
    </row>
    <row r="466" spans="1:6">
      <c r="A466" s="211" t="s">
        <v>593</v>
      </c>
      <c r="B466" s="211">
        <v>5820</v>
      </c>
      <c r="C466" s="211">
        <v>828</v>
      </c>
      <c r="D466" s="211" t="s">
        <v>1255</v>
      </c>
      <c r="E466" s="211" t="s">
        <v>10385</v>
      </c>
      <c r="F466" s="211" t="s">
        <v>7430</v>
      </c>
    </row>
    <row r="467" spans="1:6">
      <c r="A467" s="211" t="s">
        <v>594</v>
      </c>
      <c r="B467" s="211">
        <v>2205</v>
      </c>
      <c r="C467" s="211">
        <v>1205</v>
      </c>
      <c r="D467" s="211" t="s">
        <v>1255</v>
      </c>
      <c r="E467" s="211" t="s">
        <v>10385</v>
      </c>
      <c r="F467" s="211" t="s">
        <v>7283</v>
      </c>
    </row>
    <row r="468" spans="1:6">
      <c r="A468" s="211" t="s">
        <v>595</v>
      </c>
      <c r="B468" s="211">
        <v>1510</v>
      </c>
      <c r="C468" s="211">
        <v>925</v>
      </c>
      <c r="D468" s="211" t="s">
        <v>1117</v>
      </c>
      <c r="E468" s="211" t="s">
        <v>10385</v>
      </c>
      <c r="F468" s="211" t="s">
        <v>7438</v>
      </c>
    </row>
    <row r="469" spans="1:6">
      <c r="A469" s="211" t="s">
        <v>7439</v>
      </c>
      <c r="B469" s="211">
        <v>145</v>
      </c>
      <c r="C469" s="211" t="s">
        <v>10385</v>
      </c>
      <c r="D469" s="211" t="s">
        <v>1255</v>
      </c>
      <c r="E469" s="211" t="s">
        <v>10385</v>
      </c>
      <c r="F469" s="211" t="s">
        <v>7284</v>
      </c>
    </row>
    <row r="470" spans="1:6">
      <c r="A470" s="211" t="s">
        <v>596</v>
      </c>
      <c r="B470" s="211">
        <v>5573</v>
      </c>
      <c r="C470" s="211">
        <v>1908</v>
      </c>
      <c r="D470" s="211" t="s">
        <v>1255</v>
      </c>
      <c r="E470" s="211" t="s">
        <v>10385</v>
      </c>
      <c r="F470" s="211" t="s">
        <v>7167</v>
      </c>
    </row>
    <row r="471" spans="1:6">
      <c r="A471" s="211" t="s">
        <v>4958</v>
      </c>
      <c r="B471" s="211">
        <v>1078</v>
      </c>
      <c r="C471" s="211">
        <v>1627</v>
      </c>
      <c r="D471" s="211" t="s">
        <v>1255</v>
      </c>
      <c r="E471" s="211" t="s">
        <v>10385</v>
      </c>
      <c r="F471" s="211" t="s">
        <v>7306</v>
      </c>
    </row>
    <row r="472" spans="1:6">
      <c r="A472" s="211" t="s">
        <v>4959</v>
      </c>
      <c r="B472" s="211">
        <v>194</v>
      </c>
      <c r="C472" s="211">
        <v>929</v>
      </c>
      <c r="D472" s="211" t="s">
        <v>1255</v>
      </c>
      <c r="E472" s="211" t="s">
        <v>10385</v>
      </c>
      <c r="F472" s="211" t="s">
        <v>7173</v>
      </c>
    </row>
    <row r="473" spans="1:6">
      <c r="A473" s="211" t="s">
        <v>597</v>
      </c>
      <c r="B473" s="211">
        <v>5863</v>
      </c>
      <c r="C473" s="211">
        <v>1451</v>
      </c>
      <c r="D473" s="211" t="s">
        <v>1255</v>
      </c>
      <c r="E473" s="211" t="s">
        <v>10385</v>
      </c>
      <c r="F473" s="211" t="s">
        <v>7242</v>
      </c>
    </row>
    <row r="474" spans="1:6">
      <c r="A474" s="211" t="s">
        <v>7440</v>
      </c>
      <c r="B474" s="211">
        <v>5929</v>
      </c>
      <c r="C474" s="211" t="s">
        <v>10385</v>
      </c>
      <c r="D474" s="211" t="s">
        <v>1255</v>
      </c>
      <c r="E474" s="211" t="s">
        <v>10385</v>
      </c>
      <c r="F474" s="211" t="s">
        <v>7441</v>
      </c>
    </row>
    <row r="475" spans="1:6">
      <c r="A475" s="211" t="s">
        <v>598</v>
      </c>
      <c r="B475" s="211">
        <v>1125</v>
      </c>
      <c r="C475" s="211">
        <v>1531</v>
      </c>
      <c r="D475" s="211" t="s">
        <v>1255</v>
      </c>
      <c r="E475" s="211" t="s">
        <v>10385</v>
      </c>
      <c r="F475" s="211" t="s">
        <v>7286</v>
      </c>
    </row>
    <row r="476" spans="1:6">
      <c r="A476" s="211" t="s">
        <v>599</v>
      </c>
      <c r="B476" s="211">
        <v>4611</v>
      </c>
      <c r="C476" s="211">
        <v>1508</v>
      </c>
      <c r="D476" s="211" t="s">
        <v>1255</v>
      </c>
      <c r="E476" s="211" t="s">
        <v>10385</v>
      </c>
      <c r="F476" s="211" t="s">
        <v>7429</v>
      </c>
    </row>
    <row r="477" spans="1:6">
      <c r="A477" s="211" t="s">
        <v>7442</v>
      </c>
      <c r="B477" s="211">
        <v>3267</v>
      </c>
      <c r="C477" s="211" t="s">
        <v>10385</v>
      </c>
      <c r="D477" s="211" t="s">
        <v>1255</v>
      </c>
      <c r="E477" s="211" t="s">
        <v>10385</v>
      </c>
      <c r="F477" s="211" t="s">
        <v>7212</v>
      </c>
    </row>
    <row r="478" spans="1:6">
      <c r="A478" s="211" t="s">
        <v>7443</v>
      </c>
      <c r="B478" s="211">
        <v>254</v>
      </c>
      <c r="C478" s="211" t="s">
        <v>10385</v>
      </c>
      <c r="D478" s="211" t="s">
        <v>1255</v>
      </c>
      <c r="E478" s="211" t="s">
        <v>10385</v>
      </c>
      <c r="F478" s="211" t="s">
        <v>7196</v>
      </c>
    </row>
    <row r="479" spans="1:6">
      <c r="A479" s="211" t="s">
        <v>600</v>
      </c>
      <c r="B479" s="211">
        <v>5905</v>
      </c>
      <c r="C479" s="211">
        <v>968</v>
      </c>
      <c r="D479" s="211" t="s">
        <v>1255</v>
      </c>
      <c r="E479" s="211" t="s">
        <v>10385</v>
      </c>
      <c r="F479" s="211" t="s">
        <v>7250</v>
      </c>
    </row>
    <row r="480" spans="1:6">
      <c r="A480" s="211" t="s">
        <v>601</v>
      </c>
      <c r="B480" s="211">
        <v>1040</v>
      </c>
      <c r="C480" s="211">
        <v>922</v>
      </c>
      <c r="D480" s="211" t="s">
        <v>1255</v>
      </c>
      <c r="E480" s="211" t="s">
        <v>10385</v>
      </c>
      <c r="F480" s="211" t="s">
        <v>7242</v>
      </c>
    </row>
    <row r="481" spans="1:6">
      <c r="A481" s="211" t="s">
        <v>4888</v>
      </c>
      <c r="B481" s="211">
        <v>6969</v>
      </c>
      <c r="C481" s="211">
        <v>1421</v>
      </c>
      <c r="D481" s="211" t="s">
        <v>1255</v>
      </c>
      <c r="E481" s="211" t="s">
        <v>3089</v>
      </c>
      <c r="F481" s="211" t="s">
        <v>7264</v>
      </c>
    </row>
    <row r="482" spans="1:6">
      <c r="A482" s="211" t="s">
        <v>5556</v>
      </c>
      <c r="B482" s="211">
        <v>7348</v>
      </c>
      <c r="C482" s="211">
        <v>2076</v>
      </c>
      <c r="D482" s="211" t="s">
        <v>1255</v>
      </c>
      <c r="E482" s="211" t="s">
        <v>9089</v>
      </c>
      <c r="F482" s="211" t="s">
        <v>7411</v>
      </c>
    </row>
    <row r="483" spans="1:6">
      <c r="A483" s="211" t="s">
        <v>602</v>
      </c>
      <c r="B483" s="211">
        <v>1084</v>
      </c>
      <c r="C483" s="211">
        <v>1756</v>
      </c>
      <c r="D483" s="211" t="s">
        <v>1255</v>
      </c>
      <c r="E483" s="211" t="s">
        <v>10385</v>
      </c>
      <c r="F483" s="211" t="s">
        <v>7323</v>
      </c>
    </row>
    <row r="484" spans="1:6">
      <c r="A484" s="211" t="s">
        <v>603</v>
      </c>
      <c r="B484" s="211">
        <v>5685</v>
      </c>
      <c r="C484" s="211">
        <v>2110</v>
      </c>
      <c r="D484" s="211" t="s">
        <v>1255</v>
      </c>
      <c r="E484" s="211" t="s">
        <v>10385</v>
      </c>
      <c r="F484" s="211" t="s">
        <v>7441</v>
      </c>
    </row>
    <row r="485" spans="1:6">
      <c r="A485" s="211" t="s">
        <v>604</v>
      </c>
      <c r="B485" s="211">
        <v>3652</v>
      </c>
      <c r="C485" s="211">
        <v>839</v>
      </c>
      <c r="D485" s="211" t="s">
        <v>1255</v>
      </c>
      <c r="E485" s="211" t="s">
        <v>10385</v>
      </c>
      <c r="F485" s="211" t="s">
        <v>7192</v>
      </c>
    </row>
    <row r="486" spans="1:6">
      <c r="A486" s="211" t="s">
        <v>7445</v>
      </c>
      <c r="B486" s="211">
        <v>529</v>
      </c>
      <c r="C486" s="211" t="s">
        <v>10385</v>
      </c>
      <c r="D486" s="211" t="s">
        <v>1255</v>
      </c>
      <c r="E486" s="211" t="s">
        <v>10385</v>
      </c>
      <c r="F486" s="211" t="s">
        <v>7199</v>
      </c>
    </row>
    <row r="487" spans="1:6">
      <c r="A487" s="211" t="s">
        <v>9090</v>
      </c>
      <c r="B487" s="211">
        <v>7933</v>
      </c>
      <c r="C487" s="211">
        <v>1801</v>
      </c>
      <c r="D487" s="211" t="s">
        <v>1255</v>
      </c>
      <c r="E487" s="211" t="s">
        <v>9091</v>
      </c>
      <c r="F487" s="211" t="s">
        <v>7292</v>
      </c>
    </row>
    <row r="488" spans="1:6">
      <c r="A488" s="211" t="s">
        <v>605</v>
      </c>
      <c r="B488" s="211">
        <v>5229</v>
      </c>
      <c r="C488" s="211">
        <v>1520</v>
      </c>
      <c r="D488" s="211" t="s">
        <v>1255</v>
      </c>
      <c r="E488" s="211" t="s">
        <v>10385</v>
      </c>
      <c r="F488" s="211" t="s">
        <v>7283</v>
      </c>
    </row>
    <row r="489" spans="1:6">
      <c r="A489" s="211" t="s">
        <v>606</v>
      </c>
      <c r="B489" s="211">
        <v>1703</v>
      </c>
      <c r="C489" s="211">
        <v>1690</v>
      </c>
      <c r="D489" s="211" t="s">
        <v>1255</v>
      </c>
      <c r="E489" s="211" t="s">
        <v>10385</v>
      </c>
      <c r="F489" s="211" t="s">
        <v>7213</v>
      </c>
    </row>
    <row r="490" spans="1:6">
      <c r="A490" s="211" t="s">
        <v>607</v>
      </c>
      <c r="B490" s="211">
        <v>4171</v>
      </c>
      <c r="C490" s="211">
        <v>1190</v>
      </c>
      <c r="D490" s="211" t="s">
        <v>1255</v>
      </c>
      <c r="E490" s="211" t="s">
        <v>10385</v>
      </c>
      <c r="F490" s="211" t="s">
        <v>7224</v>
      </c>
    </row>
    <row r="491" spans="1:6">
      <c r="A491" s="211" t="s">
        <v>9092</v>
      </c>
      <c r="B491" s="211">
        <v>7909</v>
      </c>
      <c r="C491" s="211">
        <v>993</v>
      </c>
      <c r="D491" s="211" t="s">
        <v>1255</v>
      </c>
      <c r="E491" s="211" t="s">
        <v>9093</v>
      </c>
      <c r="F491" s="211" t="s">
        <v>10413</v>
      </c>
    </row>
    <row r="492" spans="1:6">
      <c r="A492" s="211" t="s">
        <v>608</v>
      </c>
      <c r="B492" s="211">
        <v>4284</v>
      </c>
      <c r="C492" s="211">
        <v>1163</v>
      </c>
      <c r="D492" s="211" t="s">
        <v>1255</v>
      </c>
      <c r="E492" s="211" t="s">
        <v>10385</v>
      </c>
      <c r="F492" s="211" t="s">
        <v>7213</v>
      </c>
    </row>
    <row r="493" spans="1:6">
      <c r="A493" s="211" t="s">
        <v>9094</v>
      </c>
      <c r="B493" s="211">
        <v>8359</v>
      </c>
      <c r="C493" s="211">
        <v>1016</v>
      </c>
      <c r="D493" s="211" t="s">
        <v>1255</v>
      </c>
      <c r="E493" s="211" t="s">
        <v>9095</v>
      </c>
      <c r="F493" s="211" t="s">
        <v>7414</v>
      </c>
    </row>
    <row r="494" spans="1:6">
      <c r="A494" s="211" t="s">
        <v>609</v>
      </c>
      <c r="B494" s="211">
        <v>3012</v>
      </c>
      <c r="C494" s="211">
        <v>1050</v>
      </c>
      <c r="D494" s="211" t="s">
        <v>1255</v>
      </c>
      <c r="E494" s="211" t="s">
        <v>10385</v>
      </c>
      <c r="F494" s="211" t="s">
        <v>7446</v>
      </c>
    </row>
    <row r="495" spans="1:6">
      <c r="A495" s="211" t="s">
        <v>7447</v>
      </c>
      <c r="B495" s="211">
        <v>333</v>
      </c>
      <c r="C495" s="211" t="s">
        <v>10385</v>
      </c>
      <c r="D495" s="211" t="s">
        <v>1255</v>
      </c>
      <c r="E495" s="211" t="s">
        <v>10385</v>
      </c>
      <c r="F495" s="211" t="s">
        <v>7210</v>
      </c>
    </row>
    <row r="496" spans="1:6">
      <c r="A496" s="211" t="s">
        <v>610</v>
      </c>
      <c r="B496" s="211">
        <v>2983</v>
      </c>
      <c r="C496" s="211">
        <v>1576</v>
      </c>
      <c r="D496" s="211" t="s">
        <v>1255</v>
      </c>
      <c r="E496" s="211" t="s">
        <v>10385</v>
      </c>
      <c r="F496" s="211" t="s">
        <v>7307</v>
      </c>
    </row>
    <row r="497" spans="1:6">
      <c r="A497" s="211" t="s">
        <v>9096</v>
      </c>
      <c r="B497" s="211">
        <v>8179</v>
      </c>
      <c r="C497" s="211">
        <v>1482</v>
      </c>
      <c r="D497" s="211" t="s">
        <v>1255</v>
      </c>
      <c r="E497" s="211" t="s">
        <v>9097</v>
      </c>
      <c r="F497" s="211" t="s">
        <v>7561</v>
      </c>
    </row>
    <row r="498" spans="1:6">
      <c r="A498" s="211" t="s">
        <v>6642</v>
      </c>
      <c r="B498" s="211">
        <v>7717</v>
      </c>
      <c r="C498" s="211">
        <v>677</v>
      </c>
      <c r="D498" s="211" t="s">
        <v>1117</v>
      </c>
      <c r="E498" s="211" t="s">
        <v>6643</v>
      </c>
      <c r="F498" s="211" t="s">
        <v>7215</v>
      </c>
    </row>
    <row r="499" spans="1:6">
      <c r="A499" s="211" t="s">
        <v>6644</v>
      </c>
      <c r="B499" s="211">
        <v>7835</v>
      </c>
      <c r="C499" s="211">
        <v>1530</v>
      </c>
      <c r="D499" s="211" t="s">
        <v>1255</v>
      </c>
      <c r="E499" s="211" t="s">
        <v>6645</v>
      </c>
      <c r="F499" s="211" t="s">
        <v>7307</v>
      </c>
    </row>
    <row r="500" spans="1:6">
      <c r="A500" s="211" t="s">
        <v>611</v>
      </c>
      <c r="B500" s="211">
        <v>4397</v>
      </c>
      <c r="C500" s="211">
        <v>1274</v>
      </c>
      <c r="D500" s="211" t="s">
        <v>1255</v>
      </c>
      <c r="E500" s="211" t="s">
        <v>10385</v>
      </c>
      <c r="F500" s="211" t="s">
        <v>7200</v>
      </c>
    </row>
    <row r="501" spans="1:6">
      <c r="A501" s="211" t="s">
        <v>3049</v>
      </c>
      <c r="B501" s="211">
        <v>6272</v>
      </c>
      <c r="C501" s="211">
        <v>1381</v>
      </c>
      <c r="D501" s="211" t="s">
        <v>1255</v>
      </c>
      <c r="E501" s="211" t="s">
        <v>9098</v>
      </c>
      <c r="F501" s="211" t="s">
        <v>9024</v>
      </c>
    </row>
    <row r="502" spans="1:6">
      <c r="A502" s="211" t="s">
        <v>5557</v>
      </c>
      <c r="B502" s="211">
        <v>7237</v>
      </c>
      <c r="C502" s="211">
        <v>2219</v>
      </c>
      <c r="D502" s="211" t="s">
        <v>1255</v>
      </c>
      <c r="E502" s="211" t="s">
        <v>5558</v>
      </c>
      <c r="F502" s="211" t="s">
        <v>7430</v>
      </c>
    </row>
    <row r="503" spans="1:6">
      <c r="A503" s="211" t="s">
        <v>7448</v>
      </c>
      <c r="B503" s="211">
        <v>492</v>
      </c>
      <c r="C503" s="211" t="s">
        <v>10385</v>
      </c>
      <c r="D503" s="211" t="s">
        <v>1255</v>
      </c>
      <c r="E503" s="211" t="s">
        <v>10385</v>
      </c>
      <c r="F503" s="211" t="s">
        <v>7402</v>
      </c>
    </row>
    <row r="504" spans="1:6">
      <c r="A504" s="211" t="s">
        <v>612</v>
      </c>
      <c r="B504" s="211">
        <v>2908</v>
      </c>
      <c r="C504" s="211">
        <v>1196</v>
      </c>
      <c r="D504" s="211" t="s">
        <v>1117</v>
      </c>
      <c r="E504" s="211" t="s">
        <v>10385</v>
      </c>
      <c r="F504" s="211" t="s">
        <v>7249</v>
      </c>
    </row>
    <row r="505" spans="1:6">
      <c r="A505" s="211" t="s">
        <v>2938</v>
      </c>
      <c r="B505" s="211">
        <v>1455</v>
      </c>
      <c r="C505" s="211">
        <v>1792</v>
      </c>
      <c r="D505" s="211" t="s">
        <v>1255</v>
      </c>
      <c r="E505" s="211" t="s">
        <v>10385</v>
      </c>
      <c r="F505" s="211" t="s">
        <v>7384</v>
      </c>
    </row>
    <row r="506" spans="1:6">
      <c r="A506" s="211" t="s">
        <v>7449</v>
      </c>
      <c r="B506" s="211">
        <v>53</v>
      </c>
      <c r="C506" s="211" t="s">
        <v>10385</v>
      </c>
      <c r="D506" s="211" t="s">
        <v>1255</v>
      </c>
      <c r="E506" s="211" t="s">
        <v>10385</v>
      </c>
      <c r="F506" s="211" t="s">
        <v>7196</v>
      </c>
    </row>
    <row r="507" spans="1:6">
      <c r="A507" s="211" t="s">
        <v>10414</v>
      </c>
      <c r="B507" s="211">
        <v>8777</v>
      </c>
      <c r="C507" s="211">
        <v>1506</v>
      </c>
      <c r="D507" s="211" t="s">
        <v>1255</v>
      </c>
      <c r="E507" s="211" t="s">
        <v>10415</v>
      </c>
      <c r="F507" s="211" t="s">
        <v>7316</v>
      </c>
    </row>
    <row r="508" spans="1:6">
      <c r="A508" s="211" t="s">
        <v>613</v>
      </c>
      <c r="B508" s="211">
        <v>3577</v>
      </c>
      <c r="C508" s="211">
        <v>665</v>
      </c>
      <c r="D508" s="211" t="s">
        <v>1117</v>
      </c>
      <c r="E508" s="211" t="s">
        <v>10385</v>
      </c>
      <c r="F508" s="211" t="s">
        <v>7249</v>
      </c>
    </row>
    <row r="509" spans="1:6">
      <c r="A509" s="211" t="s">
        <v>614</v>
      </c>
      <c r="B509" s="211">
        <v>5241</v>
      </c>
      <c r="C509" s="211">
        <v>2082</v>
      </c>
      <c r="D509" s="211" t="s">
        <v>1255</v>
      </c>
      <c r="E509" s="211" t="s">
        <v>10385</v>
      </c>
      <c r="F509" s="211" t="s">
        <v>7322</v>
      </c>
    </row>
    <row r="510" spans="1:6">
      <c r="A510" s="211" t="s">
        <v>615</v>
      </c>
      <c r="B510" s="211">
        <v>2732</v>
      </c>
      <c r="C510" s="211">
        <v>896</v>
      </c>
      <c r="D510" s="211" t="s">
        <v>1117</v>
      </c>
      <c r="E510" s="211" t="s">
        <v>10385</v>
      </c>
      <c r="F510" s="211" t="s">
        <v>7356</v>
      </c>
    </row>
    <row r="511" spans="1:6">
      <c r="A511" s="211" t="s">
        <v>616</v>
      </c>
      <c r="B511" s="211">
        <v>2736</v>
      </c>
      <c r="C511" s="211">
        <v>2200</v>
      </c>
      <c r="D511" s="211" t="s">
        <v>1255</v>
      </c>
      <c r="E511" s="211" t="s">
        <v>10385</v>
      </c>
      <c r="F511" s="211" t="s">
        <v>7265</v>
      </c>
    </row>
    <row r="512" spans="1:6">
      <c r="A512" s="211" t="s">
        <v>617</v>
      </c>
      <c r="B512" s="211">
        <v>3118</v>
      </c>
      <c r="C512" s="211">
        <v>1102</v>
      </c>
      <c r="D512" s="211" t="s">
        <v>1255</v>
      </c>
      <c r="E512" s="211" t="s">
        <v>10385</v>
      </c>
      <c r="F512" s="211" t="s">
        <v>7268</v>
      </c>
    </row>
    <row r="513" spans="1:6">
      <c r="A513" s="211" t="s">
        <v>6646</v>
      </c>
      <c r="B513" s="211">
        <v>7675</v>
      </c>
      <c r="C513" s="211">
        <v>1402</v>
      </c>
      <c r="D513" s="211" t="s">
        <v>1255</v>
      </c>
      <c r="E513" s="211" t="s">
        <v>10416</v>
      </c>
      <c r="F513" s="211" t="s">
        <v>9024</v>
      </c>
    </row>
    <row r="514" spans="1:6">
      <c r="A514" s="211" t="s">
        <v>618</v>
      </c>
      <c r="B514" s="211">
        <v>5262</v>
      </c>
      <c r="C514" s="211">
        <v>718</v>
      </c>
      <c r="D514" s="211" t="s">
        <v>1255</v>
      </c>
      <c r="E514" s="211" t="s">
        <v>10385</v>
      </c>
      <c r="F514" s="211" t="s">
        <v>7298</v>
      </c>
    </row>
    <row r="515" spans="1:6">
      <c r="A515" s="211" t="s">
        <v>7450</v>
      </c>
      <c r="B515" s="211">
        <v>388</v>
      </c>
      <c r="C515" s="211" t="s">
        <v>10385</v>
      </c>
      <c r="D515" s="211" t="s">
        <v>1255</v>
      </c>
      <c r="E515" s="211" t="s">
        <v>10385</v>
      </c>
      <c r="F515" s="211" t="s">
        <v>7316</v>
      </c>
    </row>
    <row r="516" spans="1:6">
      <c r="A516" s="211" t="s">
        <v>619</v>
      </c>
      <c r="B516" s="211">
        <v>828</v>
      </c>
      <c r="C516" s="211">
        <v>1860</v>
      </c>
      <c r="D516" s="211" t="s">
        <v>1255</v>
      </c>
      <c r="E516" s="211" t="s">
        <v>10385</v>
      </c>
      <c r="F516" s="211" t="s">
        <v>7269</v>
      </c>
    </row>
    <row r="517" spans="1:6">
      <c r="A517" s="211" t="s">
        <v>5559</v>
      </c>
      <c r="B517" s="211">
        <v>7137</v>
      </c>
      <c r="C517" s="211">
        <v>1193</v>
      </c>
      <c r="D517" s="211" t="s">
        <v>1255</v>
      </c>
      <c r="E517" s="211" t="s">
        <v>6647</v>
      </c>
      <c r="F517" s="211" t="s">
        <v>7217</v>
      </c>
    </row>
    <row r="518" spans="1:6">
      <c r="A518" s="211" t="s">
        <v>9099</v>
      </c>
      <c r="B518" s="211">
        <v>8207</v>
      </c>
      <c r="C518" s="211">
        <v>997</v>
      </c>
      <c r="D518" s="211" t="s">
        <v>1255</v>
      </c>
      <c r="E518" s="211" t="s">
        <v>10385</v>
      </c>
      <c r="F518" s="211" t="s">
        <v>7323</v>
      </c>
    </row>
    <row r="519" spans="1:6">
      <c r="A519" s="211" t="s">
        <v>620</v>
      </c>
      <c r="B519" s="211">
        <v>2792</v>
      </c>
      <c r="C519" s="211">
        <v>964</v>
      </c>
      <c r="D519" s="211" t="s">
        <v>1255</v>
      </c>
      <c r="E519" s="211" t="s">
        <v>10385</v>
      </c>
      <c r="F519" s="211" t="s">
        <v>7438</v>
      </c>
    </row>
    <row r="520" spans="1:6">
      <c r="A520" s="211" t="s">
        <v>7451</v>
      </c>
      <c r="B520" s="211">
        <v>1950</v>
      </c>
      <c r="C520" s="211" t="s">
        <v>10385</v>
      </c>
      <c r="D520" s="211" t="s">
        <v>1255</v>
      </c>
      <c r="E520" s="211" t="s">
        <v>10385</v>
      </c>
      <c r="F520" s="211" t="s">
        <v>7285</v>
      </c>
    </row>
    <row r="521" spans="1:6">
      <c r="A521" s="211" t="s">
        <v>621</v>
      </c>
      <c r="B521" s="211">
        <v>5030</v>
      </c>
      <c r="C521" s="211">
        <v>1388</v>
      </c>
      <c r="D521" s="211" t="s">
        <v>1255</v>
      </c>
      <c r="E521" s="211" t="s">
        <v>10385</v>
      </c>
      <c r="F521" s="211" t="s">
        <v>7249</v>
      </c>
    </row>
    <row r="522" spans="1:6">
      <c r="A522" s="211" t="s">
        <v>622</v>
      </c>
      <c r="B522" s="211">
        <v>432</v>
      </c>
      <c r="C522" s="211">
        <v>1821</v>
      </c>
      <c r="D522" s="211" t="s">
        <v>1255</v>
      </c>
      <c r="E522" s="211" t="s">
        <v>10385</v>
      </c>
      <c r="F522" s="211" t="s">
        <v>7269</v>
      </c>
    </row>
    <row r="523" spans="1:6">
      <c r="A523" s="211" t="s">
        <v>623</v>
      </c>
      <c r="B523" s="211">
        <v>988</v>
      </c>
      <c r="C523" s="211">
        <v>1044</v>
      </c>
      <c r="D523" s="211" t="s">
        <v>1255</v>
      </c>
      <c r="E523" s="211" t="s">
        <v>10385</v>
      </c>
      <c r="F523" s="211" t="s">
        <v>7262</v>
      </c>
    </row>
    <row r="524" spans="1:6">
      <c r="A524" s="211" t="s">
        <v>7452</v>
      </c>
      <c r="B524" s="211">
        <v>587</v>
      </c>
      <c r="C524" s="211" t="s">
        <v>10385</v>
      </c>
      <c r="D524" s="211" t="s">
        <v>1255</v>
      </c>
      <c r="E524" s="211" t="s">
        <v>10385</v>
      </c>
      <c r="F524" s="211" t="s">
        <v>7239</v>
      </c>
    </row>
    <row r="525" spans="1:6">
      <c r="A525" s="211" t="s">
        <v>4960</v>
      </c>
      <c r="B525" s="211">
        <v>6821</v>
      </c>
      <c r="C525" s="211">
        <v>1374</v>
      </c>
      <c r="D525" s="211" t="s">
        <v>1255</v>
      </c>
      <c r="E525" s="211" t="s">
        <v>10385</v>
      </c>
      <c r="F525" s="211" t="s">
        <v>7402</v>
      </c>
    </row>
    <row r="526" spans="1:6">
      <c r="A526" s="211" t="s">
        <v>624</v>
      </c>
      <c r="B526" s="211">
        <v>1869</v>
      </c>
      <c r="C526" s="211">
        <v>1223</v>
      </c>
      <c r="D526" s="211" t="s">
        <v>1255</v>
      </c>
      <c r="E526" s="211" t="s">
        <v>10385</v>
      </c>
      <c r="F526" s="211" t="s">
        <v>7230</v>
      </c>
    </row>
    <row r="527" spans="1:6">
      <c r="A527" s="211" t="s">
        <v>625</v>
      </c>
      <c r="B527" s="211">
        <v>3376</v>
      </c>
      <c r="C527" s="211">
        <v>950</v>
      </c>
      <c r="D527" s="211" t="s">
        <v>1255</v>
      </c>
      <c r="E527" s="211" t="s">
        <v>10385</v>
      </c>
      <c r="F527" s="211" t="s">
        <v>7453</v>
      </c>
    </row>
    <row r="528" spans="1:6">
      <c r="A528" s="211" t="s">
        <v>4961</v>
      </c>
      <c r="B528" s="211">
        <v>6940</v>
      </c>
      <c r="C528" s="211">
        <v>844</v>
      </c>
      <c r="D528" s="211" t="s">
        <v>1255</v>
      </c>
      <c r="E528" s="211" t="s">
        <v>10385</v>
      </c>
      <c r="F528" s="211" t="s">
        <v>7414</v>
      </c>
    </row>
    <row r="529" spans="1:6">
      <c r="A529" s="211" t="s">
        <v>9100</v>
      </c>
      <c r="B529" s="211">
        <v>8386</v>
      </c>
      <c r="C529" s="211">
        <v>788</v>
      </c>
      <c r="D529" s="211" t="s">
        <v>1117</v>
      </c>
      <c r="E529" s="211" t="s">
        <v>9101</v>
      </c>
      <c r="F529" s="211" t="s">
        <v>7342</v>
      </c>
    </row>
    <row r="530" spans="1:6">
      <c r="A530" s="211" t="s">
        <v>4962</v>
      </c>
      <c r="B530" s="211">
        <v>6806</v>
      </c>
      <c r="C530" s="211">
        <v>895</v>
      </c>
      <c r="D530" s="211" t="s">
        <v>1255</v>
      </c>
      <c r="E530" s="211" t="s">
        <v>10385</v>
      </c>
      <c r="F530" s="211" t="s">
        <v>7454</v>
      </c>
    </row>
    <row r="531" spans="1:6">
      <c r="A531" s="211" t="s">
        <v>626</v>
      </c>
      <c r="B531" s="211">
        <v>1910</v>
      </c>
      <c r="C531" s="211">
        <v>971</v>
      </c>
      <c r="D531" s="211" t="s">
        <v>1255</v>
      </c>
      <c r="E531" s="211" t="s">
        <v>10385</v>
      </c>
      <c r="F531" s="211" t="s">
        <v>7219</v>
      </c>
    </row>
    <row r="532" spans="1:6">
      <c r="A532" s="211" t="s">
        <v>627</v>
      </c>
      <c r="B532" s="211">
        <v>5812</v>
      </c>
      <c r="C532" s="211">
        <v>1210</v>
      </c>
      <c r="D532" s="211" t="s">
        <v>1255</v>
      </c>
      <c r="E532" s="211" t="s">
        <v>10385</v>
      </c>
      <c r="F532" s="211" t="s">
        <v>7322</v>
      </c>
    </row>
    <row r="533" spans="1:6">
      <c r="A533" s="211" t="s">
        <v>6648</v>
      </c>
      <c r="B533" s="211">
        <v>7618</v>
      </c>
      <c r="C533" s="211">
        <v>1066</v>
      </c>
      <c r="D533" s="211" t="s">
        <v>1255</v>
      </c>
      <c r="E533" s="211" t="s">
        <v>6649</v>
      </c>
      <c r="F533" s="211" t="s">
        <v>7455</v>
      </c>
    </row>
    <row r="534" spans="1:6">
      <c r="A534" s="211" t="s">
        <v>5560</v>
      </c>
      <c r="B534" s="211">
        <v>7506</v>
      </c>
      <c r="C534" s="211">
        <v>1044</v>
      </c>
      <c r="D534" s="211" t="s">
        <v>1255</v>
      </c>
      <c r="E534" s="211" t="s">
        <v>5561</v>
      </c>
      <c r="F534" s="211" t="s">
        <v>7284</v>
      </c>
    </row>
    <row r="535" spans="1:6">
      <c r="A535" s="211" t="s">
        <v>628</v>
      </c>
      <c r="B535" s="211">
        <v>796</v>
      </c>
      <c r="C535" s="211">
        <v>837</v>
      </c>
      <c r="D535" s="211" t="s">
        <v>1255</v>
      </c>
      <c r="E535" s="211" t="s">
        <v>10385</v>
      </c>
      <c r="F535" s="211" t="s">
        <v>7456</v>
      </c>
    </row>
    <row r="536" spans="1:6">
      <c r="A536" s="211" t="s">
        <v>629</v>
      </c>
      <c r="B536" s="211">
        <v>5399</v>
      </c>
      <c r="C536" s="211">
        <v>993</v>
      </c>
      <c r="D536" s="211" t="s">
        <v>1255</v>
      </c>
      <c r="E536" s="211" t="s">
        <v>10385</v>
      </c>
      <c r="F536" s="211" t="s">
        <v>7319</v>
      </c>
    </row>
    <row r="537" spans="1:6">
      <c r="A537" s="211" t="s">
        <v>2397</v>
      </c>
      <c r="B537" s="211">
        <v>3994</v>
      </c>
      <c r="C537" s="211">
        <v>978</v>
      </c>
      <c r="D537" s="211" t="s">
        <v>1255</v>
      </c>
      <c r="E537" s="211" t="s">
        <v>10385</v>
      </c>
      <c r="F537" s="211" t="s">
        <v>7235</v>
      </c>
    </row>
    <row r="538" spans="1:6">
      <c r="A538" s="211" t="s">
        <v>2398</v>
      </c>
      <c r="B538" s="211">
        <v>5088</v>
      </c>
      <c r="C538" s="211">
        <v>841</v>
      </c>
      <c r="D538" s="211" t="s">
        <v>1255</v>
      </c>
      <c r="E538" s="211" t="s">
        <v>10385</v>
      </c>
      <c r="F538" s="211" t="s">
        <v>7457</v>
      </c>
    </row>
    <row r="539" spans="1:6">
      <c r="A539" s="211" t="s">
        <v>2399</v>
      </c>
      <c r="B539" s="211">
        <v>4422</v>
      </c>
      <c r="C539" s="211">
        <v>901</v>
      </c>
      <c r="D539" s="211" t="s">
        <v>1117</v>
      </c>
      <c r="E539" s="211" t="s">
        <v>10385</v>
      </c>
      <c r="F539" s="211" t="s">
        <v>7225</v>
      </c>
    </row>
    <row r="540" spans="1:6">
      <c r="A540" s="211" t="s">
        <v>2400</v>
      </c>
      <c r="B540" s="211">
        <v>4560</v>
      </c>
      <c r="C540" s="211">
        <v>1125</v>
      </c>
      <c r="D540" s="211" t="s">
        <v>1255</v>
      </c>
      <c r="E540" s="211" t="s">
        <v>10385</v>
      </c>
      <c r="F540" s="211" t="s">
        <v>7286</v>
      </c>
    </row>
    <row r="541" spans="1:6">
      <c r="A541" s="211" t="s">
        <v>6650</v>
      </c>
      <c r="B541" s="211">
        <v>7696</v>
      </c>
      <c r="C541" s="211">
        <v>1141</v>
      </c>
      <c r="D541" s="211" t="s">
        <v>1255</v>
      </c>
      <c r="E541" s="211" t="s">
        <v>6651</v>
      </c>
      <c r="F541" s="211" t="s">
        <v>7321</v>
      </c>
    </row>
    <row r="542" spans="1:6">
      <c r="A542" s="211" t="s">
        <v>6652</v>
      </c>
      <c r="B542" s="211">
        <v>7730</v>
      </c>
      <c r="C542" s="211">
        <v>711</v>
      </c>
      <c r="D542" s="211" t="s">
        <v>1255</v>
      </c>
      <c r="E542" s="211" t="s">
        <v>6653</v>
      </c>
      <c r="F542" s="211" t="s">
        <v>7458</v>
      </c>
    </row>
    <row r="543" spans="1:6">
      <c r="A543" s="211" t="s">
        <v>2401</v>
      </c>
      <c r="B543" s="211">
        <v>2578</v>
      </c>
      <c r="C543" s="211">
        <v>1031</v>
      </c>
      <c r="D543" s="211" t="s">
        <v>1255</v>
      </c>
      <c r="E543" s="211" t="s">
        <v>10385</v>
      </c>
      <c r="F543" s="211" t="s">
        <v>7290</v>
      </c>
    </row>
    <row r="544" spans="1:6">
      <c r="A544" s="211" t="s">
        <v>2402</v>
      </c>
      <c r="B544" s="211">
        <v>1642</v>
      </c>
      <c r="C544" s="211">
        <v>1451</v>
      </c>
      <c r="D544" s="211" t="s">
        <v>1255</v>
      </c>
      <c r="E544" s="211" t="s">
        <v>10385</v>
      </c>
      <c r="F544" s="211" t="s">
        <v>7240</v>
      </c>
    </row>
    <row r="545" spans="1:6">
      <c r="A545" s="211" t="s">
        <v>2403</v>
      </c>
      <c r="B545" s="211">
        <v>5831</v>
      </c>
      <c r="C545" s="211">
        <v>1004</v>
      </c>
      <c r="D545" s="211" t="s">
        <v>1255</v>
      </c>
      <c r="E545" s="211" t="s">
        <v>10385</v>
      </c>
      <c r="F545" s="211" t="s">
        <v>7430</v>
      </c>
    </row>
    <row r="546" spans="1:6">
      <c r="A546" s="211" t="s">
        <v>4963</v>
      </c>
      <c r="B546" s="211">
        <v>5365</v>
      </c>
      <c r="C546" s="211">
        <v>939</v>
      </c>
      <c r="D546" s="211" t="s">
        <v>1255</v>
      </c>
      <c r="E546" s="211" t="s">
        <v>10385</v>
      </c>
      <c r="F546" s="211" t="s">
        <v>7223</v>
      </c>
    </row>
    <row r="547" spans="1:6">
      <c r="A547" s="211" t="s">
        <v>2404</v>
      </c>
      <c r="B547" s="211">
        <v>4367</v>
      </c>
      <c r="C547" s="211">
        <v>1021</v>
      </c>
      <c r="D547" s="211" t="s">
        <v>1255</v>
      </c>
      <c r="E547" s="211" t="s">
        <v>10385</v>
      </c>
      <c r="F547" s="211" t="s">
        <v>7427</v>
      </c>
    </row>
    <row r="548" spans="1:6">
      <c r="A548" s="211" t="s">
        <v>4490</v>
      </c>
      <c r="B548" s="211">
        <v>6607</v>
      </c>
      <c r="C548" s="211">
        <v>811</v>
      </c>
      <c r="D548" s="211" t="s">
        <v>1255</v>
      </c>
      <c r="E548" s="211" t="s">
        <v>10385</v>
      </c>
      <c r="F548" s="211" t="s">
        <v>7349</v>
      </c>
    </row>
    <row r="549" spans="1:6">
      <c r="A549" s="211" t="s">
        <v>2405</v>
      </c>
      <c r="B549" s="211">
        <v>1606</v>
      </c>
      <c r="C549" s="211">
        <v>1089</v>
      </c>
      <c r="D549" s="211" t="s">
        <v>1255</v>
      </c>
      <c r="E549" s="211" t="s">
        <v>10385</v>
      </c>
      <c r="F549" s="211" t="s">
        <v>7257</v>
      </c>
    </row>
    <row r="550" spans="1:6">
      <c r="A550" s="211" t="s">
        <v>2406</v>
      </c>
      <c r="B550" s="211">
        <v>5082</v>
      </c>
      <c r="C550" s="211">
        <v>1213</v>
      </c>
      <c r="D550" s="211" t="s">
        <v>1255</v>
      </c>
      <c r="E550" s="211" t="s">
        <v>5562</v>
      </c>
      <c r="F550" s="211" t="s">
        <v>7457</v>
      </c>
    </row>
    <row r="551" spans="1:6">
      <c r="A551" s="211" t="s">
        <v>3013</v>
      </c>
      <c r="B551" s="211">
        <v>1494</v>
      </c>
      <c r="C551" s="211">
        <v>737</v>
      </c>
      <c r="D551" s="211" t="s">
        <v>1255</v>
      </c>
      <c r="E551" s="211" t="s">
        <v>10385</v>
      </c>
      <c r="F551" s="211" t="s">
        <v>7335</v>
      </c>
    </row>
    <row r="552" spans="1:6">
      <c r="A552" s="211" t="s">
        <v>2947</v>
      </c>
      <c r="B552" s="211">
        <v>929</v>
      </c>
      <c r="C552" s="211">
        <v>1584</v>
      </c>
      <c r="D552" s="211" t="s">
        <v>1255</v>
      </c>
      <c r="E552" s="211" t="s">
        <v>10385</v>
      </c>
      <c r="F552" s="211" t="s">
        <v>7335</v>
      </c>
    </row>
    <row r="553" spans="1:6">
      <c r="A553" s="211" t="s">
        <v>2407</v>
      </c>
      <c r="B553" s="211">
        <v>1727</v>
      </c>
      <c r="C553" s="211">
        <v>858</v>
      </c>
      <c r="D553" s="211" t="s">
        <v>1255</v>
      </c>
      <c r="E553" s="211" t="s">
        <v>10385</v>
      </c>
      <c r="F553" s="211" t="s">
        <v>7459</v>
      </c>
    </row>
    <row r="554" spans="1:6">
      <c r="A554" s="211" t="s">
        <v>2408</v>
      </c>
      <c r="B554" s="211">
        <v>5484</v>
      </c>
      <c r="C554" s="211">
        <v>1294</v>
      </c>
      <c r="D554" s="211" t="s">
        <v>1255</v>
      </c>
      <c r="E554" s="211" t="s">
        <v>9102</v>
      </c>
      <c r="F554" s="211" t="s">
        <v>7460</v>
      </c>
    </row>
    <row r="555" spans="1:6">
      <c r="A555" s="211" t="s">
        <v>4914</v>
      </c>
      <c r="B555" s="211">
        <v>4058</v>
      </c>
      <c r="C555" s="211">
        <v>2028</v>
      </c>
      <c r="D555" s="211" t="s">
        <v>1255</v>
      </c>
      <c r="E555" s="211" t="s">
        <v>10385</v>
      </c>
      <c r="F555" s="211" t="s">
        <v>7386</v>
      </c>
    </row>
    <row r="556" spans="1:6">
      <c r="A556" s="211" t="s">
        <v>2409</v>
      </c>
      <c r="B556" s="211">
        <v>3437</v>
      </c>
      <c r="C556" s="211">
        <v>1239</v>
      </c>
      <c r="D556" s="211" t="s">
        <v>1255</v>
      </c>
      <c r="E556" s="211" t="s">
        <v>10385</v>
      </c>
      <c r="F556" s="211" t="s">
        <v>7243</v>
      </c>
    </row>
    <row r="557" spans="1:6">
      <c r="A557" s="211" t="s">
        <v>7461</v>
      </c>
      <c r="B557" s="211">
        <v>28</v>
      </c>
      <c r="C557" s="211" t="s">
        <v>10385</v>
      </c>
      <c r="D557" s="211" t="s">
        <v>1255</v>
      </c>
      <c r="E557" s="211" t="s">
        <v>10385</v>
      </c>
      <c r="F557" s="211" t="s">
        <v>7199</v>
      </c>
    </row>
    <row r="558" spans="1:6">
      <c r="A558" s="211" t="s">
        <v>2410</v>
      </c>
      <c r="B558" s="211">
        <v>5766</v>
      </c>
      <c r="C558" s="211">
        <v>814</v>
      </c>
      <c r="D558" s="211" t="s">
        <v>1255</v>
      </c>
      <c r="E558" s="211" t="s">
        <v>10385</v>
      </c>
      <c r="F558" s="211" t="s">
        <v>7382</v>
      </c>
    </row>
    <row r="559" spans="1:6">
      <c r="A559" s="211" t="s">
        <v>4624</v>
      </c>
      <c r="B559" s="211">
        <v>6328</v>
      </c>
      <c r="C559" s="211">
        <v>339</v>
      </c>
      <c r="D559" s="211" t="s">
        <v>1117</v>
      </c>
      <c r="E559" s="211" t="s">
        <v>10385</v>
      </c>
      <c r="F559" s="211" t="s">
        <v>7288</v>
      </c>
    </row>
    <row r="560" spans="1:6">
      <c r="A560" s="211" t="s">
        <v>10417</v>
      </c>
      <c r="B560" s="211">
        <v>8795</v>
      </c>
      <c r="C560" s="211">
        <v>603</v>
      </c>
      <c r="D560" s="211" t="s">
        <v>1255</v>
      </c>
      <c r="E560" s="211" t="s">
        <v>10418</v>
      </c>
      <c r="F560" s="211" t="s">
        <v>7663</v>
      </c>
    </row>
    <row r="561" spans="1:6">
      <c r="A561" s="211" t="s">
        <v>2411</v>
      </c>
      <c r="B561" s="211">
        <v>6379</v>
      </c>
      <c r="C561" s="211">
        <v>974</v>
      </c>
      <c r="D561" s="211" t="s">
        <v>1255</v>
      </c>
      <c r="E561" s="211" t="s">
        <v>10385</v>
      </c>
      <c r="F561" s="211" t="s">
        <v>7202</v>
      </c>
    </row>
    <row r="562" spans="1:6">
      <c r="A562" s="211" t="s">
        <v>2412</v>
      </c>
      <c r="B562" s="211">
        <v>4031</v>
      </c>
      <c r="C562" s="211">
        <v>778</v>
      </c>
      <c r="D562" s="211" t="s">
        <v>1255</v>
      </c>
      <c r="E562" s="211" t="s">
        <v>10385</v>
      </c>
      <c r="F562" s="211" t="s">
        <v>7221</v>
      </c>
    </row>
    <row r="563" spans="1:6">
      <c r="A563" s="211" t="s">
        <v>4918</v>
      </c>
      <c r="B563" s="211">
        <v>4366</v>
      </c>
      <c r="C563" s="211">
        <v>1017</v>
      </c>
      <c r="D563" s="211" t="s">
        <v>1255</v>
      </c>
      <c r="E563" s="211" t="s">
        <v>3096</v>
      </c>
      <c r="F563" s="211" t="s">
        <v>7459</v>
      </c>
    </row>
    <row r="564" spans="1:6">
      <c r="A564" s="211" t="s">
        <v>7462</v>
      </c>
      <c r="B564" s="211">
        <v>1394</v>
      </c>
      <c r="C564" s="211" t="s">
        <v>10385</v>
      </c>
      <c r="D564" s="211" t="s">
        <v>1255</v>
      </c>
      <c r="E564" s="211" t="s">
        <v>10385</v>
      </c>
      <c r="F564" s="211" t="s">
        <v>7299</v>
      </c>
    </row>
    <row r="565" spans="1:6">
      <c r="A565" s="211" t="s">
        <v>4964</v>
      </c>
      <c r="B565" s="211">
        <v>6801</v>
      </c>
      <c r="C565" s="211">
        <v>901</v>
      </c>
      <c r="D565" s="211" t="s">
        <v>1255</v>
      </c>
      <c r="E565" s="211" t="s">
        <v>10385</v>
      </c>
      <c r="F565" s="211" t="s">
        <v>7307</v>
      </c>
    </row>
    <row r="566" spans="1:6">
      <c r="A566" s="211" t="s">
        <v>2413</v>
      </c>
      <c r="B566" s="211">
        <v>3068</v>
      </c>
      <c r="C566" s="211">
        <v>1061</v>
      </c>
      <c r="D566" s="211" t="s">
        <v>1255</v>
      </c>
      <c r="E566" s="211" t="s">
        <v>10385</v>
      </c>
      <c r="F566" s="211" t="s">
        <v>7337</v>
      </c>
    </row>
    <row r="567" spans="1:6">
      <c r="A567" s="211" t="s">
        <v>7463</v>
      </c>
      <c r="B567" s="211">
        <v>5134</v>
      </c>
      <c r="C567" s="211" t="s">
        <v>10385</v>
      </c>
      <c r="D567" s="211" t="s">
        <v>1255</v>
      </c>
      <c r="E567" s="211" t="s">
        <v>10385</v>
      </c>
      <c r="F567" s="211" t="s">
        <v>7223</v>
      </c>
    </row>
    <row r="568" spans="1:6">
      <c r="A568" s="211" t="s">
        <v>5563</v>
      </c>
      <c r="B568" s="211">
        <v>7470</v>
      </c>
      <c r="C568" s="211">
        <v>829</v>
      </c>
      <c r="D568" s="211" t="s">
        <v>1255</v>
      </c>
      <c r="E568" s="211" t="s">
        <v>10385</v>
      </c>
      <c r="F568" s="211" t="s">
        <v>7354</v>
      </c>
    </row>
    <row r="569" spans="1:6">
      <c r="A569" s="211" t="s">
        <v>9103</v>
      </c>
      <c r="B569" s="211">
        <v>8531</v>
      </c>
      <c r="C569" s="211">
        <v>1392</v>
      </c>
      <c r="D569" s="211" t="s">
        <v>1255</v>
      </c>
      <c r="E569" s="211" t="s">
        <v>9104</v>
      </c>
      <c r="F569" s="211" t="s">
        <v>7255</v>
      </c>
    </row>
    <row r="570" spans="1:6">
      <c r="A570" s="211" t="s">
        <v>4965</v>
      </c>
      <c r="B570" s="211">
        <v>6683</v>
      </c>
      <c r="C570" s="211">
        <v>761</v>
      </c>
      <c r="D570" s="211" t="s">
        <v>1255</v>
      </c>
      <c r="E570" s="211" t="s">
        <v>10385</v>
      </c>
      <c r="F570" s="211" t="s">
        <v>7431</v>
      </c>
    </row>
    <row r="571" spans="1:6">
      <c r="A571" s="211" t="s">
        <v>2414</v>
      </c>
      <c r="B571" s="211">
        <v>5807</v>
      </c>
      <c r="C571" s="211">
        <v>1193</v>
      </c>
      <c r="D571" s="211" t="s">
        <v>1255</v>
      </c>
      <c r="E571" s="211" t="s">
        <v>10385</v>
      </c>
      <c r="F571" s="211" t="s">
        <v>7257</v>
      </c>
    </row>
    <row r="572" spans="1:6">
      <c r="A572" s="211" t="s">
        <v>9105</v>
      </c>
      <c r="B572" s="211">
        <v>8054</v>
      </c>
      <c r="C572" s="211">
        <v>727</v>
      </c>
      <c r="D572" s="211" t="s">
        <v>1117</v>
      </c>
      <c r="E572" s="211" t="s">
        <v>10385</v>
      </c>
      <c r="F572" s="211" t="s">
        <v>7458</v>
      </c>
    </row>
    <row r="573" spans="1:6">
      <c r="A573" s="211" t="s">
        <v>4795</v>
      </c>
      <c r="B573" s="211">
        <v>6136</v>
      </c>
      <c r="C573" s="211">
        <v>1155</v>
      </c>
      <c r="D573" s="211" t="s">
        <v>1255</v>
      </c>
      <c r="E573" s="211" t="s">
        <v>10419</v>
      </c>
      <c r="F573" s="211" t="s">
        <v>7258</v>
      </c>
    </row>
    <row r="574" spans="1:6">
      <c r="A574" s="211" t="s">
        <v>7464</v>
      </c>
      <c r="B574" s="211">
        <v>585</v>
      </c>
      <c r="C574" s="211" t="s">
        <v>10385</v>
      </c>
      <c r="D574" s="211" t="s">
        <v>1255</v>
      </c>
      <c r="E574" s="211" t="s">
        <v>10385</v>
      </c>
      <c r="F574" s="211" t="s">
        <v>7196</v>
      </c>
    </row>
    <row r="575" spans="1:6">
      <c r="A575" s="211" t="s">
        <v>5564</v>
      </c>
      <c r="B575" s="211">
        <v>7247</v>
      </c>
      <c r="C575" s="211">
        <v>916</v>
      </c>
      <c r="D575" s="211" t="s">
        <v>1255</v>
      </c>
      <c r="E575" s="211" t="s">
        <v>5565</v>
      </c>
      <c r="F575" s="211" t="s">
        <v>7397</v>
      </c>
    </row>
    <row r="576" spans="1:6">
      <c r="A576" s="211" t="s">
        <v>2415</v>
      </c>
      <c r="B576" s="211">
        <v>840</v>
      </c>
      <c r="C576" s="211">
        <v>2102</v>
      </c>
      <c r="D576" s="211" t="s">
        <v>1117</v>
      </c>
      <c r="E576" s="211" t="s">
        <v>10385</v>
      </c>
      <c r="F576" s="211" t="s">
        <v>7242</v>
      </c>
    </row>
    <row r="577" spans="1:6">
      <c r="A577" s="211" t="s">
        <v>7465</v>
      </c>
      <c r="B577" s="211">
        <v>618</v>
      </c>
      <c r="C577" s="211" t="s">
        <v>10385</v>
      </c>
      <c r="D577" s="211" t="s">
        <v>1255</v>
      </c>
      <c r="E577" s="211" t="s">
        <v>10385</v>
      </c>
      <c r="F577" s="211" t="s">
        <v>7466</v>
      </c>
    </row>
    <row r="578" spans="1:6">
      <c r="A578" s="211" t="s">
        <v>7467</v>
      </c>
      <c r="B578" s="211">
        <v>7069</v>
      </c>
      <c r="C578" s="211" t="s">
        <v>10385</v>
      </c>
      <c r="D578" s="211" t="s">
        <v>1117</v>
      </c>
      <c r="E578" s="211" t="s">
        <v>10385</v>
      </c>
      <c r="F578" s="211" t="s">
        <v>7257</v>
      </c>
    </row>
    <row r="579" spans="1:6">
      <c r="A579" s="211" t="s">
        <v>10420</v>
      </c>
      <c r="B579" s="211">
        <v>8690</v>
      </c>
      <c r="C579" s="211">
        <v>2229</v>
      </c>
      <c r="D579" s="211" t="s">
        <v>1255</v>
      </c>
      <c r="E579" s="211" t="s">
        <v>10421</v>
      </c>
      <c r="F579" s="211" t="s">
        <v>7587</v>
      </c>
    </row>
    <row r="580" spans="1:6">
      <c r="A580" s="211" t="s">
        <v>6654</v>
      </c>
      <c r="B580" s="211">
        <v>7674</v>
      </c>
      <c r="C580" s="211">
        <v>1189</v>
      </c>
      <c r="D580" s="211" t="s">
        <v>1255</v>
      </c>
      <c r="E580" s="211" t="s">
        <v>6655</v>
      </c>
      <c r="F580" s="211" t="s">
        <v>9024</v>
      </c>
    </row>
    <row r="581" spans="1:6">
      <c r="A581" s="211" t="s">
        <v>2416</v>
      </c>
      <c r="B581" s="211">
        <v>1057</v>
      </c>
      <c r="C581" s="211">
        <v>1076</v>
      </c>
      <c r="D581" s="211" t="s">
        <v>1255</v>
      </c>
      <c r="E581" s="211" t="s">
        <v>10385</v>
      </c>
      <c r="F581" s="211" t="s">
        <v>7272</v>
      </c>
    </row>
    <row r="582" spans="1:6">
      <c r="A582" s="211" t="s">
        <v>2417</v>
      </c>
      <c r="B582" s="211">
        <v>1109</v>
      </c>
      <c r="C582" s="211">
        <v>754</v>
      </c>
      <c r="D582" s="211" t="s">
        <v>1255</v>
      </c>
      <c r="E582" s="211" t="s">
        <v>10385</v>
      </c>
      <c r="F582" s="211" t="s">
        <v>7456</v>
      </c>
    </row>
    <row r="583" spans="1:6">
      <c r="A583" s="211" t="s">
        <v>2418</v>
      </c>
      <c r="B583" s="211">
        <v>3689</v>
      </c>
      <c r="C583" s="211">
        <v>1198</v>
      </c>
      <c r="D583" s="211" t="s">
        <v>1255</v>
      </c>
      <c r="E583" s="211" t="s">
        <v>10385</v>
      </c>
      <c r="F583" s="211" t="s">
        <v>7223</v>
      </c>
    </row>
    <row r="584" spans="1:6">
      <c r="A584" s="211" t="s">
        <v>7468</v>
      </c>
      <c r="B584" s="211">
        <v>185</v>
      </c>
      <c r="C584" s="211" t="s">
        <v>10385</v>
      </c>
      <c r="D584" s="211" t="s">
        <v>1255</v>
      </c>
      <c r="E584" s="211" t="s">
        <v>10385</v>
      </c>
      <c r="F584" s="211" t="s">
        <v>7173</v>
      </c>
    </row>
    <row r="585" spans="1:6">
      <c r="A585" s="211" t="s">
        <v>9106</v>
      </c>
      <c r="B585" s="211">
        <v>7985</v>
      </c>
      <c r="C585" s="211">
        <v>1302</v>
      </c>
      <c r="D585" s="211" t="s">
        <v>1255</v>
      </c>
      <c r="E585" s="211" t="s">
        <v>9107</v>
      </c>
      <c r="F585" s="211" t="s">
        <v>7399</v>
      </c>
    </row>
    <row r="586" spans="1:6">
      <c r="A586" s="211" t="s">
        <v>9108</v>
      </c>
      <c r="B586" s="211">
        <v>7984</v>
      </c>
      <c r="C586" s="211">
        <v>1109</v>
      </c>
      <c r="D586" s="211" t="s">
        <v>1255</v>
      </c>
      <c r="E586" s="211" t="s">
        <v>9109</v>
      </c>
      <c r="F586" s="211" t="s">
        <v>7399</v>
      </c>
    </row>
    <row r="587" spans="1:6">
      <c r="A587" s="211" t="s">
        <v>2419</v>
      </c>
      <c r="B587" s="211">
        <v>3899</v>
      </c>
      <c r="C587" s="211">
        <v>915</v>
      </c>
      <c r="D587" s="211" t="s">
        <v>1255</v>
      </c>
      <c r="E587" s="211" t="s">
        <v>10385</v>
      </c>
      <c r="F587" s="211" t="s">
        <v>7248</v>
      </c>
    </row>
    <row r="588" spans="1:6">
      <c r="A588" s="211" t="s">
        <v>4557</v>
      </c>
      <c r="B588" s="211">
        <v>6484</v>
      </c>
      <c r="C588" s="211">
        <v>1696</v>
      </c>
      <c r="D588" s="211" t="s">
        <v>1255</v>
      </c>
      <c r="E588" s="211" t="s">
        <v>10385</v>
      </c>
      <c r="F588" s="211" t="s">
        <v>7212</v>
      </c>
    </row>
    <row r="589" spans="1:6">
      <c r="A589" s="211" t="s">
        <v>4910</v>
      </c>
      <c r="B589" s="211">
        <v>6240</v>
      </c>
      <c r="C589" s="211">
        <v>1678</v>
      </c>
      <c r="D589" s="211" t="s">
        <v>1255</v>
      </c>
      <c r="E589" s="211" t="s">
        <v>10385</v>
      </c>
      <c r="F589" s="211" t="s">
        <v>7224</v>
      </c>
    </row>
    <row r="590" spans="1:6">
      <c r="A590" s="211" t="s">
        <v>6656</v>
      </c>
      <c r="B590" s="211">
        <v>7664</v>
      </c>
      <c r="C590" s="211">
        <v>817</v>
      </c>
      <c r="D590" s="211" t="s">
        <v>1255</v>
      </c>
      <c r="E590" s="211" t="s">
        <v>9110</v>
      </c>
      <c r="F590" s="211" t="s">
        <v>7228</v>
      </c>
    </row>
    <row r="591" spans="1:6">
      <c r="A591" s="211" t="s">
        <v>2420</v>
      </c>
      <c r="B591" s="211">
        <v>1482</v>
      </c>
      <c r="C591" s="211">
        <v>1112</v>
      </c>
      <c r="D591" s="211" t="s">
        <v>1255</v>
      </c>
      <c r="E591" s="211" t="s">
        <v>10385</v>
      </c>
      <c r="F591" s="211" t="s">
        <v>7335</v>
      </c>
    </row>
    <row r="592" spans="1:6">
      <c r="A592" s="211" t="s">
        <v>2421</v>
      </c>
      <c r="B592" s="211">
        <v>5430</v>
      </c>
      <c r="C592" s="211">
        <v>832</v>
      </c>
      <c r="D592" s="211" t="s">
        <v>1255</v>
      </c>
      <c r="E592" s="211" t="s">
        <v>10385</v>
      </c>
      <c r="F592" s="211" t="s">
        <v>7203</v>
      </c>
    </row>
    <row r="593" spans="1:6">
      <c r="A593" s="211" t="s">
        <v>7470</v>
      </c>
      <c r="B593" s="211">
        <v>5880</v>
      </c>
      <c r="C593" s="211" t="s">
        <v>10385</v>
      </c>
      <c r="D593" s="211" t="s">
        <v>1255</v>
      </c>
      <c r="E593" s="211" t="s">
        <v>10385</v>
      </c>
      <c r="F593" s="211" t="s">
        <v>7402</v>
      </c>
    </row>
    <row r="594" spans="1:6">
      <c r="A594" s="211" t="s">
        <v>2422</v>
      </c>
      <c r="B594" s="211">
        <v>3278</v>
      </c>
      <c r="C594" s="211">
        <v>892</v>
      </c>
      <c r="D594" s="211" t="s">
        <v>1255</v>
      </c>
      <c r="E594" s="211" t="s">
        <v>10385</v>
      </c>
      <c r="F594" s="211" t="s">
        <v>7241</v>
      </c>
    </row>
    <row r="595" spans="1:6">
      <c r="A595" s="211" t="s">
        <v>4558</v>
      </c>
      <c r="B595" s="211">
        <v>6488</v>
      </c>
      <c r="C595" s="211">
        <v>837</v>
      </c>
      <c r="D595" s="211" t="s">
        <v>1255</v>
      </c>
      <c r="E595" s="211" t="s">
        <v>10385</v>
      </c>
      <c r="F595" s="211" t="s">
        <v>7392</v>
      </c>
    </row>
    <row r="596" spans="1:6">
      <c r="A596" s="211" t="s">
        <v>2423</v>
      </c>
      <c r="B596" s="211">
        <v>4150</v>
      </c>
      <c r="C596" s="211">
        <v>1789</v>
      </c>
      <c r="D596" s="211" t="s">
        <v>1255</v>
      </c>
      <c r="E596" s="211" t="s">
        <v>10385</v>
      </c>
      <c r="F596" s="211" t="s">
        <v>7263</v>
      </c>
    </row>
    <row r="597" spans="1:6">
      <c r="A597" s="211" t="s">
        <v>9111</v>
      </c>
      <c r="B597" s="211">
        <v>8100</v>
      </c>
      <c r="C597" s="211">
        <v>1396</v>
      </c>
      <c r="D597" s="211" t="s">
        <v>1255</v>
      </c>
      <c r="E597" s="211" t="s">
        <v>9112</v>
      </c>
      <c r="F597" s="211" t="s">
        <v>9056</v>
      </c>
    </row>
    <row r="598" spans="1:6">
      <c r="A598" s="211" t="s">
        <v>9113</v>
      </c>
      <c r="B598" s="211">
        <v>8189</v>
      </c>
      <c r="C598" s="211">
        <v>988</v>
      </c>
      <c r="D598" s="211" t="s">
        <v>1255</v>
      </c>
      <c r="E598" s="211" t="s">
        <v>9114</v>
      </c>
      <c r="F598" s="211" t="s">
        <v>7457</v>
      </c>
    </row>
    <row r="599" spans="1:6">
      <c r="A599" s="211" t="s">
        <v>9115</v>
      </c>
      <c r="B599" s="211">
        <v>8527</v>
      </c>
      <c r="C599" s="211">
        <v>992</v>
      </c>
      <c r="D599" s="211" t="s">
        <v>1255</v>
      </c>
      <c r="E599" s="211" t="s">
        <v>9116</v>
      </c>
      <c r="F599" s="211" t="s">
        <v>7299</v>
      </c>
    </row>
    <row r="600" spans="1:6">
      <c r="A600" s="211" t="s">
        <v>2424</v>
      </c>
      <c r="B600" s="211">
        <v>5435</v>
      </c>
      <c r="C600" s="211">
        <v>1093</v>
      </c>
      <c r="D600" s="211" t="s">
        <v>1255</v>
      </c>
      <c r="E600" s="211" t="s">
        <v>10385</v>
      </c>
      <c r="F600" s="211" t="s">
        <v>7471</v>
      </c>
    </row>
    <row r="601" spans="1:6">
      <c r="A601" s="211" t="s">
        <v>7472</v>
      </c>
      <c r="B601" s="211">
        <v>1920</v>
      </c>
      <c r="C601" s="211" t="s">
        <v>10385</v>
      </c>
      <c r="D601" s="211" t="s">
        <v>1255</v>
      </c>
      <c r="E601" s="211" t="s">
        <v>10385</v>
      </c>
      <c r="F601" s="211" t="s">
        <v>7263</v>
      </c>
    </row>
    <row r="602" spans="1:6">
      <c r="A602" s="211" t="s">
        <v>2425</v>
      </c>
      <c r="B602" s="211">
        <v>1856</v>
      </c>
      <c r="C602" s="211">
        <v>1328</v>
      </c>
      <c r="D602" s="211" t="s">
        <v>1255</v>
      </c>
      <c r="E602" s="211" t="s">
        <v>10385</v>
      </c>
      <c r="F602" s="211" t="s">
        <v>7203</v>
      </c>
    </row>
    <row r="603" spans="1:6">
      <c r="A603" s="211" t="s">
        <v>2426</v>
      </c>
      <c r="B603" s="211">
        <v>877</v>
      </c>
      <c r="C603" s="211">
        <v>1047</v>
      </c>
      <c r="D603" s="211" t="s">
        <v>1255</v>
      </c>
      <c r="E603" s="211" t="s">
        <v>10385</v>
      </c>
      <c r="F603" s="211" t="s">
        <v>7204</v>
      </c>
    </row>
    <row r="604" spans="1:6">
      <c r="A604" s="211" t="s">
        <v>7473</v>
      </c>
      <c r="B604" s="211">
        <v>7765</v>
      </c>
      <c r="C604" s="211" t="s">
        <v>10385</v>
      </c>
      <c r="D604" s="211" t="s">
        <v>1255</v>
      </c>
      <c r="E604" s="211" t="s">
        <v>10385</v>
      </c>
      <c r="F604" s="211" t="s">
        <v>7453</v>
      </c>
    </row>
    <row r="605" spans="1:6">
      <c r="A605" s="211" t="s">
        <v>7474</v>
      </c>
      <c r="B605" s="211">
        <v>1828</v>
      </c>
      <c r="C605" s="211" t="s">
        <v>10385</v>
      </c>
      <c r="D605" s="211" t="s">
        <v>1255</v>
      </c>
      <c r="E605" s="211" t="s">
        <v>10385</v>
      </c>
      <c r="F605" s="211" t="s">
        <v>7297</v>
      </c>
    </row>
    <row r="606" spans="1:6">
      <c r="A606" s="211" t="s">
        <v>6657</v>
      </c>
      <c r="B606" s="211">
        <v>7650</v>
      </c>
      <c r="C606" s="211">
        <v>697</v>
      </c>
      <c r="D606" s="211" t="s">
        <v>1255</v>
      </c>
      <c r="E606" s="211" t="s">
        <v>6658</v>
      </c>
      <c r="F606" s="211" t="s">
        <v>7418</v>
      </c>
    </row>
    <row r="607" spans="1:6">
      <c r="A607" s="211" t="s">
        <v>4966</v>
      </c>
      <c r="B607" s="211">
        <v>6893</v>
      </c>
      <c r="C607" s="211">
        <v>717</v>
      </c>
      <c r="D607" s="211" t="s">
        <v>1117</v>
      </c>
      <c r="E607" s="211" t="s">
        <v>10422</v>
      </c>
      <c r="F607" s="211" t="s">
        <v>7629</v>
      </c>
    </row>
    <row r="608" spans="1:6">
      <c r="A608" s="211" t="s">
        <v>2427</v>
      </c>
      <c r="B608" s="211">
        <v>1327</v>
      </c>
      <c r="C608" s="211">
        <v>1107</v>
      </c>
      <c r="D608" s="211" t="s">
        <v>1255</v>
      </c>
      <c r="E608" s="211" t="s">
        <v>10385</v>
      </c>
      <c r="F608" s="211" t="s">
        <v>7237</v>
      </c>
    </row>
    <row r="609" spans="1:6">
      <c r="A609" s="211" t="s">
        <v>2428</v>
      </c>
      <c r="B609" s="211">
        <v>1547</v>
      </c>
      <c r="C609" s="211">
        <v>1113</v>
      </c>
      <c r="D609" s="211" t="s">
        <v>1255</v>
      </c>
      <c r="E609" s="211" t="s">
        <v>10385</v>
      </c>
      <c r="F609" s="211" t="s">
        <v>7422</v>
      </c>
    </row>
    <row r="610" spans="1:6">
      <c r="A610" s="211" t="s">
        <v>5566</v>
      </c>
      <c r="B610" s="211">
        <v>7294</v>
      </c>
      <c r="C610" s="211">
        <v>944</v>
      </c>
      <c r="D610" s="211" t="s">
        <v>1255</v>
      </c>
      <c r="E610" s="211" t="s">
        <v>5567</v>
      </c>
      <c r="F610" s="211" t="s">
        <v>7444</v>
      </c>
    </row>
    <row r="611" spans="1:6">
      <c r="A611" s="211" t="s">
        <v>2429</v>
      </c>
      <c r="B611" s="211">
        <v>3502</v>
      </c>
      <c r="C611" s="211">
        <v>928</v>
      </c>
      <c r="D611" s="211" t="s">
        <v>1255</v>
      </c>
      <c r="E611" s="211" t="s">
        <v>10385</v>
      </c>
      <c r="F611" s="211" t="s">
        <v>7444</v>
      </c>
    </row>
    <row r="612" spans="1:6">
      <c r="A612" s="211" t="s">
        <v>7475</v>
      </c>
      <c r="B612" s="211">
        <v>3791</v>
      </c>
      <c r="C612" s="211">
        <v>982</v>
      </c>
      <c r="D612" s="211" t="s">
        <v>1255</v>
      </c>
      <c r="E612" s="211" t="s">
        <v>10385</v>
      </c>
      <c r="F612" s="211" t="s">
        <v>7286</v>
      </c>
    </row>
    <row r="613" spans="1:6">
      <c r="A613" s="211" t="s">
        <v>2430</v>
      </c>
      <c r="B613" s="211">
        <v>1890</v>
      </c>
      <c r="C613" s="211">
        <v>1463</v>
      </c>
      <c r="D613" s="211" t="s">
        <v>1255</v>
      </c>
      <c r="E613" s="211" t="s">
        <v>10385</v>
      </c>
      <c r="F613" s="211" t="s">
        <v>7208</v>
      </c>
    </row>
    <row r="614" spans="1:6">
      <c r="A614" s="211" t="s">
        <v>2431</v>
      </c>
      <c r="B614" s="211">
        <v>4086</v>
      </c>
      <c r="C614" s="211">
        <v>860</v>
      </c>
      <c r="D614" s="211" t="s">
        <v>1255</v>
      </c>
      <c r="E614" s="211" t="s">
        <v>10385</v>
      </c>
      <c r="F614" s="211" t="s">
        <v>7476</v>
      </c>
    </row>
    <row r="615" spans="1:6">
      <c r="A615" s="211" t="s">
        <v>2432</v>
      </c>
      <c r="B615" s="211">
        <v>2262</v>
      </c>
      <c r="C615" s="211">
        <v>1179</v>
      </c>
      <c r="D615" s="211" t="s">
        <v>1255</v>
      </c>
      <c r="E615" s="211" t="s">
        <v>10385</v>
      </c>
      <c r="F615" s="211" t="s">
        <v>7430</v>
      </c>
    </row>
    <row r="616" spans="1:6">
      <c r="A616" s="211" t="s">
        <v>2433</v>
      </c>
      <c r="B616" s="211">
        <v>1970</v>
      </c>
      <c r="C616" s="211">
        <v>1059</v>
      </c>
      <c r="D616" s="211" t="s">
        <v>1255</v>
      </c>
      <c r="E616" s="211" t="s">
        <v>10385</v>
      </c>
      <c r="F616" s="211" t="s">
        <v>7477</v>
      </c>
    </row>
    <row r="617" spans="1:6">
      <c r="A617" s="211" t="s">
        <v>7478</v>
      </c>
      <c r="B617" s="211">
        <v>4976</v>
      </c>
      <c r="C617" s="211" t="s">
        <v>10385</v>
      </c>
      <c r="D617" s="211" t="s">
        <v>1255</v>
      </c>
      <c r="E617" s="211" t="s">
        <v>10385</v>
      </c>
      <c r="F617" s="211" t="s">
        <v>7479</v>
      </c>
    </row>
    <row r="618" spans="1:6">
      <c r="A618" s="211" t="s">
        <v>2434</v>
      </c>
      <c r="B618" s="211">
        <v>4598</v>
      </c>
      <c r="C618" s="211">
        <v>1272</v>
      </c>
      <c r="D618" s="211" t="s">
        <v>1255</v>
      </c>
      <c r="E618" s="211" t="s">
        <v>10385</v>
      </c>
      <c r="F618" s="211" t="s">
        <v>7398</v>
      </c>
    </row>
    <row r="619" spans="1:6">
      <c r="A619" s="211" t="s">
        <v>4967</v>
      </c>
      <c r="B619" s="211">
        <v>5864</v>
      </c>
      <c r="C619" s="211">
        <v>1037</v>
      </c>
      <c r="D619" s="211" t="s">
        <v>1255</v>
      </c>
      <c r="E619" s="211" t="s">
        <v>10385</v>
      </c>
      <c r="F619" s="211" t="s">
        <v>7248</v>
      </c>
    </row>
    <row r="620" spans="1:6">
      <c r="A620" s="211" t="s">
        <v>4968</v>
      </c>
      <c r="B620" s="211">
        <v>6904</v>
      </c>
      <c r="C620" s="211">
        <v>1341</v>
      </c>
      <c r="D620" s="211" t="s">
        <v>1255</v>
      </c>
      <c r="E620" s="211" t="s">
        <v>10385</v>
      </c>
      <c r="F620" s="211" t="s">
        <v>7322</v>
      </c>
    </row>
    <row r="621" spans="1:6">
      <c r="A621" s="211" t="s">
        <v>2435</v>
      </c>
      <c r="B621" s="211">
        <v>1522</v>
      </c>
      <c r="C621" s="211">
        <v>1182</v>
      </c>
      <c r="D621" s="211" t="s">
        <v>1255</v>
      </c>
      <c r="E621" s="211" t="s">
        <v>10385</v>
      </c>
      <c r="F621" s="211" t="s">
        <v>7255</v>
      </c>
    </row>
    <row r="622" spans="1:6">
      <c r="A622" s="211" t="s">
        <v>7480</v>
      </c>
      <c r="B622" s="211">
        <v>4023</v>
      </c>
      <c r="C622" s="211" t="s">
        <v>10385</v>
      </c>
      <c r="D622" s="211" t="s">
        <v>1255</v>
      </c>
      <c r="E622" s="211" t="s">
        <v>10385</v>
      </c>
      <c r="F622" s="211" t="s">
        <v>7219</v>
      </c>
    </row>
    <row r="623" spans="1:6">
      <c r="A623" s="211" t="s">
        <v>5568</v>
      </c>
      <c r="B623" s="211">
        <v>7242</v>
      </c>
      <c r="C623" s="211">
        <v>965</v>
      </c>
      <c r="D623" s="211" t="s">
        <v>1255</v>
      </c>
      <c r="E623" s="211" t="s">
        <v>6659</v>
      </c>
      <c r="F623" s="211" t="s">
        <v>7431</v>
      </c>
    </row>
    <row r="624" spans="1:6">
      <c r="A624" s="211" t="s">
        <v>3002</v>
      </c>
      <c r="B624" s="211">
        <v>930</v>
      </c>
      <c r="C624" s="211">
        <v>1319</v>
      </c>
      <c r="D624" s="211" t="s">
        <v>1255</v>
      </c>
      <c r="E624" s="211" t="s">
        <v>10385</v>
      </c>
      <c r="F624" s="211" t="s">
        <v>7335</v>
      </c>
    </row>
    <row r="625" spans="1:6">
      <c r="A625" s="211" t="s">
        <v>7481</v>
      </c>
      <c r="B625" s="211">
        <v>420</v>
      </c>
      <c r="C625" s="211" t="s">
        <v>10385</v>
      </c>
      <c r="D625" s="211" t="s">
        <v>1255</v>
      </c>
      <c r="E625" s="211" t="s">
        <v>10385</v>
      </c>
      <c r="F625" s="211" t="s">
        <v>7351</v>
      </c>
    </row>
    <row r="626" spans="1:6">
      <c r="A626" s="211" t="s">
        <v>7482</v>
      </c>
      <c r="B626" s="211">
        <v>191</v>
      </c>
      <c r="C626" s="211" t="s">
        <v>10385</v>
      </c>
      <c r="D626" s="211" t="s">
        <v>1255</v>
      </c>
      <c r="E626" s="211" t="s">
        <v>10385</v>
      </c>
      <c r="F626" s="211" t="s">
        <v>7483</v>
      </c>
    </row>
    <row r="627" spans="1:6">
      <c r="A627" s="211" t="s">
        <v>2436</v>
      </c>
      <c r="B627" s="211">
        <v>4331</v>
      </c>
      <c r="C627" s="211">
        <v>1150</v>
      </c>
      <c r="D627" s="211" t="s">
        <v>1255</v>
      </c>
      <c r="E627" s="211" t="s">
        <v>10385</v>
      </c>
      <c r="F627" s="211" t="s">
        <v>7277</v>
      </c>
    </row>
    <row r="628" spans="1:6">
      <c r="A628" s="211" t="s">
        <v>7484</v>
      </c>
      <c r="B628" s="211">
        <v>4928</v>
      </c>
      <c r="C628" s="211" t="s">
        <v>10385</v>
      </c>
      <c r="D628" s="211" t="s">
        <v>1255</v>
      </c>
      <c r="E628" s="211" t="s">
        <v>10385</v>
      </c>
      <c r="F628" s="211" t="s">
        <v>7256</v>
      </c>
    </row>
    <row r="629" spans="1:6">
      <c r="A629" s="211" t="s">
        <v>2437</v>
      </c>
      <c r="B629" s="211">
        <v>4417</v>
      </c>
      <c r="C629" s="211">
        <v>1174</v>
      </c>
      <c r="D629" s="211" t="s">
        <v>1255</v>
      </c>
      <c r="E629" s="211" t="s">
        <v>10385</v>
      </c>
      <c r="F629" s="211" t="s">
        <v>7335</v>
      </c>
    </row>
    <row r="630" spans="1:6">
      <c r="A630" s="211" t="s">
        <v>9117</v>
      </c>
      <c r="B630" s="211">
        <v>8044</v>
      </c>
      <c r="C630" s="211">
        <v>991</v>
      </c>
      <c r="D630" s="211" t="s">
        <v>1255</v>
      </c>
      <c r="E630" s="211" t="s">
        <v>10423</v>
      </c>
      <c r="F630" s="211" t="s">
        <v>7536</v>
      </c>
    </row>
    <row r="631" spans="1:6">
      <c r="A631" s="211" t="s">
        <v>7485</v>
      </c>
      <c r="B631" s="211">
        <v>406</v>
      </c>
      <c r="C631" s="211" t="s">
        <v>10385</v>
      </c>
      <c r="D631" s="211" t="s">
        <v>1255</v>
      </c>
      <c r="E631" s="211" t="s">
        <v>10385</v>
      </c>
      <c r="F631" s="211" t="s">
        <v>7169</v>
      </c>
    </row>
    <row r="632" spans="1:6">
      <c r="A632" s="211" t="s">
        <v>4969</v>
      </c>
      <c r="B632" s="211">
        <v>6874</v>
      </c>
      <c r="C632" s="211">
        <v>1296</v>
      </c>
      <c r="D632" s="211" t="s">
        <v>1255</v>
      </c>
      <c r="E632" s="211" t="s">
        <v>10385</v>
      </c>
      <c r="F632" s="211" t="s">
        <v>10424</v>
      </c>
    </row>
    <row r="633" spans="1:6">
      <c r="A633" s="211" t="s">
        <v>2438</v>
      </c>
      <c r="B633" s="211">
        <v>2857</v>
      </c>
      <c r="C633" s="211">
        <v>1212</v>
      </c>
      <c r="D633" s="211" t="s">
        <v>1255</v>
      </c>
      <c r="E633" s="211" t="s">
        <v>9118</v>
      </c>
      <c r="F633" s="211" t="s">
        <v>7199</v>
      </c>
    </row>
    <row r="634" spans="1:6">
      <c r="A634" s="211" t="s">
        <v>10425</v>
      </c>
      <c r="B634" s="211">
        <v>8846</v>
      </c>
      <c r="C634" s="211">
        <v>478</v>
      </c>
      <c r="D634" s="211" t="s">
        <v>1255</v>
      </c>
      <c r="E634" s="211" t="s">
        <v>10426</v>
      </c>
      <c r="F634" s="211" t="s">
        <v>7257</v>
      </c>
    </row>
    <row r="635" spans="1:6">
      <c r="A635" s="211" t="s">
        <v>4879</v>
      </c>
      <c r="B635" s="211">
        <v>1484</v>
      </c>
      <c r="C635" s="211">
        <v>928</v>
      </c>
      <c r="D635" s="211" t="s">
        <v>1255</v>
      </c>
      <c r="E635" s="211" t="s">
        <v>10385</v>
      </c>
      <c r="F635" s="211" t="s">
        <v>7335</v>
      </c>
    </row>
    <row r="636" spans="1:6">
      <c r="A636" s="211" t="s">
        <v>8882</v>
      </c>
      <c r="B636" s="211">
        <v>523</v>
      </c>
      <c r="C636" s="211" t="s">
        <v>10385</v>
      </c>
      <c r="D636" s="211" t="s">
        <v>1255</v>
      </c>
      <c r="E636" s="211" t="s">
        <v>10385</v>
      </c>
      <c r="F636" s="211" t="s">
        <v>7487</v>
      </c>
    </row>
    <row r="637" spans="1:6">
      <c r="A637" s="211" t="s">
        <v>8883</v>
      </c>
      <c r="B637" s="211">
        <v>458</v>
      </c>
      <c r="C637" s="211">
        <v>1402</v>
      </c>
      <c r="D637" s="211" t="s">
        <v>1255</v>
      </c>
      <c r="E637" s="211" t="s">
        <v>10385</v>
      </c>
      <c r="F637" s="211" t="s">
        <v>7486</v>
      </c>
    </row>
    <row r="638" spans="1:6">
      <c r="A638" s="211" t="s">
        <v>7488</v>
      </c>
      <c r="B638" s="211">
        <v>1863</v>
      </c>
      <c r="C638" s="211">
        <v>1264</v>
      </c>
      <c r="D638" s="211" t="s">
        <v>1255</v>
      </c>
      <c r="E638" s="211" t="s">
        <v>10385</v>
      </c>
      <c r="F638" s="211" t="s">
        <v>7213</v>
      </c>
    </row>
    <row r="639" spans="1:6">
      <c r="A639" s="211" t="s">
        <v>4603</v>
      </c>
      <c r="B639" s="211">
        <v>6499</v>
      </c>
      <c r="C639" s="211">
        <v>987</v>
      </c>
      <c r="D639" s="211" t="s">
        <v>1255</v>
      </c>
      <c r="E639" s="211" t="s">
        <v>10385</v>
      </c>
      <c r="F639" s="211" t="s">
        <v>7205</v>
      </c>
    </row>
    <row r="640" spans="1:6">
      <c r="A640" s="211" t="s">
        <v>4529</v>
      </c>
      <c r="B640" s="211">
        <v>6656</v>
      </c>
      <c r="C640" s="211">
        <v>1809</v>
      </c>
      <c r="D640" s="211" t="s">
        <v>1255</v>
      </c>
      <c r="E640" s="211" t="s">
        <v>5569</v>
      </c>
      <c r="F640" s="211" t="s">
        <v>7357</v>
      </c>
    </row>
    <row r="641" spans="1:6">
      <c r="A641" s="211" t="s">
        <v>2439</v>
      </c>
      <c r="B641" s="211">
        <v>3045</v>
      </c>
      <c r="C641" s="211">
        <v>1129</v>
      </c>
      <c r="D641" s="211" t="s">
        <v>1255</v>
      </c>
      <c r="E641" s="211" t="s">
        <v>10385</v>
      </c>
      <c r="F641" s="211" t="s">
        <v>7194</v>
      </c>
    </row>
    <row r="642" spans="1:6">
      <c r="A642" s="211" t="s">
        <v>4747</v>
      </c>
      <c r="B642" s="211">
        <v>6209</v>
      </c>
      <c r="C642" s="211">
        <v>1428</v>
      </c>
      <c r="D642" s="211" t="s">
        <v>1117</v>
      </c>
      <c r="E642" s="211" t="s">
        <v>10385</v>
      </c>
      <c r="F642" s="211" t="s">
        <v>7232</v>
      </c>
    </row>
    <row r="643" spans="1:6">
      <c r="A643" s="211" t="s">
        <v>2440</v>
      </c>
      <c r="B643" s="211">
        <v>7719</v>
      </c>
      <c r="C643" s="211">
        <v>833</v>
      </c>
      <c r="D643" s="211" t="s">
        <v>1255</v>
      </c>
      <c r="E643" s="211" t="s">
        <v>6660</v>
      </c>
      <c r="F643" s="211" t="s">
        <v>7431</v>
      </c>
    </row>
    <row r="644" spans="1:6">
      <c r="A644" s="211" t="s">
        <v>2441</v>
      </c>
      <c r="B644" s="211">
        <v>1031</v>
      </c>
      <c r="C644" s="211">
        <v>1951</v>
      </c>
      <c r="D644" s="211" t="s">
        <v>1255</v>
      </c>
      <c r="E644" s="211" t="s">
        <v>10385</v>
      </c>
      <c r="F644" s="211" t="s">
        <v>7177</v>
      </c>
    </row>
    <row r="645" spans="1:6">
      <c r="A645" s="211" t="s">
        <v>10427</v>
      </c>
      <c r="B645" s="211">
        <v>8608</v>
      </c>
      <c r="C645" s="211">
        <v>560</v>
      </c>
      <c r="D645" s="211" t="s">
        <v>1255</v>
      </c>
      <c r="E645" s="211" t="s">
        <v>10428</v>
      </c>
      <c r="F645" s="211" t="s">
        <v>7233</v>
      </c>
    </row>
    <row r="646" spans="1:6">
      <c r="A646" s="211" t="s">
        <v>7489</v>
      </c>
      <c r="B646" s="211">
        <v>5961</v>
      </c>
      <c r="C646" s="211" t="s">
        <v>10385</v>
      </c>
      <c r="D646" s="211" t="s">
        <v>1255</v>
      </c>
      <c r="E646" s="211" t="s">
        <v>10385</v>
      </c>
      <c r="F646" s="211" t="s">
        <v>7171</v>
      </c>
    </row>
    <row r="647" spans="1:6">
      <c r="A647" s="211" t="s">
        <v>2442</v>
      </c>
      <c r="B647" s="211">
        <v>5166</v>
      </c>
      <c r="C647" s="211">
        <v>824</v>
      </c>
      <c r="D647" s="211" t="s">
        <v>1255</v>
      </c>
      <c r="E647" s="211" t="s">
        <v>10385</v>
      </c>
      <c r="F647" s="211" t="s">
        <v>7233</v>
      </c>
    </row>
    <row r="648" spans="1:6">
      <c r="A648" s="211" t="s">
        <v>9119</v>
      </c>
      <c r="B648" s="211">
        <v>8069</v>
      </c>
      <c r="C648" s="211">
        <v>1501</v>
      </c>
      <c r="D648" s="211" t="s">
        <v>1255</v>
      </c>
      <c r="E648" s="211" t="s">
        <v>10385</v>
      </c>
      <c r="F648" s="211" t="s">
        <v>9120</v>
      </c>
    </row>
    <row r="649" spans="1:6">
      <c r="A649" s="211" t="s">
        <v>10429</v>
      </c>
      <c r="B649" s="211">
        <v>8792</v>
      </c>
      <c r="C649" s="211">
        <v>597</v>
      </c>
      <c r="D649" s="211" t="s">
        <v>1255</v>
      </c>
      <c r="E649" s="211" t="s">
        <v>10430</v>
      </c>
      <c r="F649" s="211" t="s">
        <v>7331</v>
      </c>
    </row>
    <row r="650" spans="1:6">
      <c r="A650" s="211" t="s">
        <v>2443</v>
      </c>
      <c r="B650" s="211">
        <v>5336</v>
      </c>
      <c r="C650" s="211">
        <v>1148</v>
      </c>
      <c r="D650" s="211" t="s">
        <v>1255</v>
      </c>
      <c r="E650" s="211" t="s">
        <v>10385</v>
      </c>
      <c r="F650" s="211" t="s">
        <v>7490</v>
      </c>
    </row>
    <row r="651" spans="1:6">
      <c r="A651" s="211" t="s">
        <v>5570</v>
      </c>
      <c r="B651" s="211">
        <v>7528</v>
      </c>
      <c r="C651" s="211">
        <v>862</v>
      </c>
      <c r="D651" s="211" t="s">
        <v>1255</v>
      </c>
      <c r="E651" s="211" t="s">
        <v>10385</v>
      </c>
      <c r="F651" s="211" t="s">
        <v>7402</v>
      </c>
    </row>
    <row r="652" spans="1:6">
      <c r="A652" s="211" t="s">
        <v>7491</v>
      </c>
      <c r="B652" s="211">
        <v>531</v>
      </c>
      <c r="C652" s="211" t="s">
        <v>10385</v>
      </c>
      <c r="D652" s="211" t="s">
        <v>1255</v>
      </c>
      <c r="E652" s="211" t="s">
        <v>10385</v>
      </c>
      <c r="F652" s="211" t="s">
        <v>7233</v>
      </c>
    </row>
    <row r="653" spans="1:6">
      <c r="A653" s="211" t="s">
        <v>2444</v>
      </c>
      <c r="B653" s="211">
        <v>3270</v>
      </c>
      <c r="C653" s="211">
        <v>1018</v>
      </c>
      <c r="D653" s="211" t="s">
        <v>1255</v>
      </c>
      <c r="E653" s="211" t="s">
        <v>10385</v>
      </c>
      <c r="F653" s="211" t="s">
        <v>7212</v>
      </c>
    </row>
    <row r="654" spans="1:6">
      <c r="A654" s="211" t="s">
        <v>7492</v>
      </c>
      <c r="B654" s="211">
        <v>301</v>
      </c>
      <c r="C654" s="211" t="s">
        <v>10385</v>
      </c>
      <c r="D654" s="211" t="s">
        <v>1255</v>
      </c>
      <c r="E654" s="211" t="s">
        <v>10385</v>
      </c>
      <c r="F654" s="211" t="s">
        <v>7221</v>
      </c>
    </row>
    <row r="655" spans="1:6">
      <c r="A655" s="211" t="s">
        <v>2445</v>
      </c>
      <c r="B655" s="211">
        <v>3942</v>
      </c>
      <c r="C655" s="211">
        <v>1251</v>
      </c>
      <c r="D655" s="211" t="s">
        <v>1255</v>
      </c>
      <c r="E655" s="211" t="s">
        <v>10385</v>
      </c>
      <c r="F655" s="211" t="s">
        <v>7365</v>
      </c>
    </row>
    <row r="656" spans="1:6">
      <c r="A656" s="211" t="s">
        <v>2446</v>
      </c>
      <c r="B656" s="211">
        <v>2527</v>
      </c>
      <c r="C656" s="211">
        <v>1034</v>
      </c>
      <c r="D656" s="211" t="s">
        <v>1255</v>
      </c>
      <c r="E656" s="211" t="s">
        <v>10385</v>
      </c>
      <c r="F656" s="211" t="s">
        <v>7207</v>
      </c>
    </row>
    <row r="657" spans="1:6">
      <c r="A657" s="211" t="s">
        <v>5571</v>
      </c>
      <c r="B657" s="211">
        <v>7036</v>
      </c>
      <c r="C657" s="211">
        <v>896</v>
      </c>
      <c r="D657" s="211" t="s">
        <v>1255</v>
      </c>
      <c r="E657" s="211" t="s">
        <v>5572</v>
      </c>
      <c r="F657" s="211" t="s">
        <v>7310</v>
      </c>
    </row>
    <row r="658" spans="1:6">
      <c r="A658" s="211" t="s">
        <v>7493</v>
      </c>
      <c r="B658" s="211">
        <v>599</v>
      </c>
      <c r="C658" s="211" t="s">
        <v>10385</v>
      </c>
      <c r="D658" s="211" t="s">
        <v>1255</v>
      </c>
      <c r="E658" s="211" t="s">
        <v>10385</v>
      </c>
      <c r="F658" s="211" t="s">
        <v>7226</v>
      </c>
    </row>
    <row r="659" spans="1:6">
      <c r="A659" s="211" t="s">
        <v>7494</v>
      </c>
      <c r="B659" s="211">
        <v>544</v>
      </c>
      <c r="C659" s="211" t="s">
        <v>10385</v>
      </c>
      <c r="D659" s="211" t="s">
        <v>1255</v>
      </c>
      <c r="E659" s="211" t="s">
        <v>10385</v>
      </c>
      <c r="F659" s="211" t="s">
        <v>7255</v>
      </c>
    </row>
    <row r="660" spans="1:6">
      <c r="A660" s="211" t="s">
        <v>2447</v>
      </c>
      <c r="B660" s="211">
        <v>4419</v>
      </c>
      <c r="C660" s="211">
        <v>890</v>
      </c>
      <c r="D660" s="211" t="s">
        <v>1255</v>
      </c>
      <c r="E660" s="211" t="s">
        <v>10385</v>
      </c>
      <c r="F660" s="211" t="s">
        <v>7335</v>
      </c>
    </row>
    <row r="661" spans="1:6">
      <c r="A661" s="211" t="s">
        <v>2448</v>
      </c>
      <c r="B661" s="211">
        <v>4335</v>
      </c>
      <c r="C661" s="211">
        <v>1088</v>
      </c>
      <c r="D661" s="211" t="s">
        <v>1255</v>
      </c>
      <c r="E661" s="211" t="s">
        <v>10385</v>
      </c>
      <c r="F661" s="211" t="s">
        <v>7171</v>
      </c>
    </row>
    <row r="662" spans="1:6">
      <c r="A662" s="211" t="s">
        <v>2843</v>
      </c>
      <c r="B662" s="211">
        <v>4144</v>
      </c>
      <c r="C662" s="211">
        <v>1758</v>
      </c>
      <c r="D662" s="211" t="s">
        <v>1255</v>
      </c>
      <c r="E662" s="211" t="s">
        <v>10385</v>
      </c>
      <c r="F662" s="211" t="s">
        <v>7495</v>
      </c>
    </row>
    <row r="663" spans="1:6">
      <c r="A663" s="211" t="s">
        <v>2449</v>
      </c>
      <c r="B663" s="211">
        <v>3025</v>
      </c>
      <c r="C663" s="211">
        <v>1061</v>
      </c>
      <c r="D663" s="211" t="s">
        <v>1255</v>
      </c>
      <c r="E663" s="211" t="s">
        <v>10385</v>
      </c>
      <c r="F663" s="211" t="s">
        <v>7399</v>
      </c>
    </row>
    <row r="664" spans="1:6">
      <c r="A664" s="211" t="s">
        <v>7496</v>
      </c>
      <c r="B664" s="211">
        <v>5000</v>
      </c>
      <c r="C664" s="211" t="s">
        <v>10385</v>
      </c>
      <c r="D664" s="211" t="s">
        <v>1255</v>
      </c>
      <c r="E664" s="211" t="s">
        <v>10385</v>
      </c>
      <c r="F664" s="211" t="s">
        <v>7241</v>
      </c>
    </row>
    <row r="665" spans="1:6">
      <c r="A665" s="211" t="s">
        <v>2450</v>
      </c>
      <c r="B665" s="211">
        <v>1194</v>
      </c>
      <c r="C665" s="211">
        <v>1353</v>
      </c>
      <c r="D665" s="211" t="s">
        <v>1255</v>
      </c>
      <c r="E665" s="211" t="s">
        <v>10385</v>
      </c>
      <c r="F665" s="211" t="s">
        <v>7283</v>
      </c>
    </row>
    <row r="666" spans="1:6">
      <c r="A666" s="211" t="s">
        <v>4970</v>
      </c>
      <c r="B666" s="211">
        <v>6830</v>
      </c>
      <c r="C666" s="211">
        <v>595</v>
      </c>
      <c r="D666" s="211" t="s">
        <v>1255</v>
      </c>
      <c r="E666" s="211" t="s">
        <v>10385</v>
      </c>
      <c r="F666" s="211" t="s">
        <v>7328</v>
      </c>
    </row>
    <row r="667" spans="1:6">
      <c r="A667" s="211" t="s">
        <v>7497</v>
      </c>
      <c r="B667" s="211">
        <v>592</v>
      </c>
      <c r="C667" s="211" t="s">
        <v>10385</v>
      </c>
      <c r="D667" s="211" t="s">
        <v>1255</v>
      </c>
      <c r="E667" s="211" t="s">
        <v>10385</v>
      </c>
      <c r="F667" s="211" t="s">
        <v>7306</v>
      </c>
    </row>
    <row r="668" spans="1:6">
      <c r="A668" s="211" t="s">
        <v>7498</v>
      </c>
      <c r="B668" s="211">
        <v>4882</v>
      </c>
      <c r="C668" s="211" t="s">
        <v>10385</v>
      </c>
      <c r="D668" s="211" t="s">
        <v>1255</v>
      </c>
      <c r="E668" s="211" t="s">
        <v>10385</v>
      </c>
      <c r="F668" s="211" t="s">
        <v>7189</v>
      </c>
    </row>
    <row r="669" spans="1:6">
      <c r="A669" s="211" t="s">
        <v>2451</v>
      </c>
      <c r="B669" s="211">
        <v>3214</v>
      </c>
      <c r="C669" s="211">
        <v>973</v>
      </c>
      <c r="D669" s="211" t="s">
        <v>1255</v>
      </c>
      <c r="E669" s="211" t="s">
        <v>10385</v>
      </c>
      <c r="F669" s="211" t="s">
        <v>7189</v>
      </c>
    </row>
    <row r="670" spans="1:6">
      <c r="A670" s="211" t="s">
        <v>2452</v>
      </c>
      <c r="B670" s="211">
        <v>4666</v>
      </c>
      <c r="C670" s="211">
        <v>1108</v>
      </c>
      <c r="D670" s="211" t="s">
        <v>1255</v>
      </c>
      <c r="E670" s="211" t="s">
        <v>10385</v>
      </c>
      <c r="F670" s="211" t="s">
        <v>7420</v>
      </c>
    </row>
    <row r="671" spans="1:6">
      <c r="A671" s="211" t="s">
        <v>2453</v>
      </c>
      <c r="B671" s="211">
        <v>3952</v>
      </c>
      <c r="C671" s="211">
        <v>865</v>
      </c>
      <c r="D671" s="211" t="s">
        <v>1255</v>
      </c>
      <c r="E671" s="211" t="s">
        <v>10385</v>
      </c>
      <c r="F671" s="211" t="s">
        <v>7256</v>
      </c>
    </row>
    <row r="672" spans="1:6">
      <c r="A672" s="211" t="s">
        <v>7499</v>
      </c>
      <c r="B672" s="211">
        <v>26</v>
      </c>
      <c r="C672" s="211" t="s">
        <v>10385</v>
      </c>
      <c r="D672" s="211" t="s">
        <v>1255</v>
      </c>
      <c r="E672" s="211" t="s">
        <v>10385</v>
      </c>
      <c r="F672" s="211" t="s">
        <v>7356</v>
      </c>
    </row>
    <row r="673" spans="1:6">
      <c r="A673" s="211" t="s">
        <v>2454</v>
      </c>
      <c r="B673" s="211">
        <v>5758</v>
      </c>
      <c r="C673" s="211">
        <v>980</v>
      </c>
      <c r="D673" s="211" t="s">
        <v>1255</v>
      </c>
      <c r="E673" s="211" t="s">
        <v>10385</v>
      </c>
      <c r="F673" s="211" t="s">
        <v>7285</v>
      </c>
    </row>
    <row r="674" spans="1:6">
      <c r="A674" s="211" t="s">
        <v>2455</v>
      </c>
      <c r="B674" s="211">
        <v>4208</v>
      </c>
      <c r="C674" s="211">
        <v>813</v>
      </c>
      <c r="D674" s="211" t="s">
        <v>1117</v>
      </c>
      <c r="E674" s="211" t="s">
        <v>10385</v>
      </c>
      <c r="F674" s="211" t="s">
        <v>7235</v>
      </c>
    </row>
    <row r="675" spans="1:6">
      <c r="A675" s="211" t="s">
        <v>5573</v>
      </c>
      <c r="B675" s="211">
        <v>7526</v>
      </c>
      <c r="C675" s="211">
        <v>956</v>
      </c>
      <c r="D675" s="211" t="s">
        <v>1255</v>
      </c>
      <c r="E675" s="211" t="s">
        <v>10385</v>
      </c>
      <c r="F675" s="211" t="s">
        <v>7402</v>
      </c>
    </row>
    <row r="676" spans="1:6">
      <c r="A676" s="211" t="s">
        <v>7500</v>
      </c>
      <c r="B676" s="211">
        <v>452</v>
      </c>
      <c r="C676" s="211" t="s">
        <v>10385</v>
      </c>
      <c r="D676" s="211" t="s">
        <v>1255</v>
      </c>
      <c r="E676" s="211" t="s">
        <v>10385</v>
      </c>
      <c r="F676" s="211" t="s">
        <v>7283</v>
      </c>
    </row>
    <row r="677" spans="1:6">
      <c r="A677" s="211" t="s">
        <v>2456</v>
      </c>
      <c r="B677" s="211">
        <v>4292</v>
      </c>
      <c r="C677" s="211">
        <v>932</v>
      </c>
      <c r="D677" s="211" t="s">
        <v>1255</v>
      </c>
      <c r="E677" s="211" t="s">
        <v>10385</v>
      </c>
      <c r="F677" s="211" t="s">
        <v>7471</v>
      </c>
    </row>
    <row r="678" spans="1:6">
      <c r="A678" s="211" t="s">
        <v>2457</v>
      </c>
      <c r="B678" s="211">
        <v>1541</v>
      </c>
      <c r="C678" s="211">
        <v>986</v>
      </c>
      <c r="D678" s="211" t="s">
        <v>1255</v>
      </c>
      <c r="E678" s="211" t="s">
        <v>10385</v>
      </c>
      <c r="F678" s="211" t="s">
        <v>7233</v>
      </c>
    </row>
    <row r="679" spans="1:6">
      <c r="A679" s="211" t="s">
        <v>5574</v>
      </c>
      <c r="B679" s="211">
        <v>7123</v>
      </c>
      <c r="C679" s="211">
        <v>471</v>
      </c>
      <c r="D679" s="211" t="s">
        <v>1117</v>
      </c>
      <c r="E679" s="211" t="s">
        <v>10385</v>
      </c>
      <c r="F679" s="211" t="s">
        <v>7267</v>
      </c>
    </row>
    <row r="680" spans="1:6">
      <c r="A680" s="211" t="s">
        <v>5575</v>
      </c>
      <c r="B680" s="211">
        <v>7110</v>
      </c>
      <c r="C680" s="211">
        <v>1207</v>
      </c>
      <c r="D680" s="211" t="s">
        <v>1255</v>
      </c>
      <c r="E680" s="211" t="s">
        <v>9121</v>
      </c>
      <c r="F680" s="211" t="s">
        <v>7501</v>
      </c>
    </row>
    <row r="681" spans="1:6">
      <c r="A681" s="211" t="s">
        <v>7502</v>
      </c>
      <c r="B681" s="211">
        <v>2686</v>
      </c>
      <c r="C681" s="211" t="s">
        <v>10385</v>
      </c>
      <c r="D681" s="211" t="s">
        <v>1255</v>
      </c>
      <c r="E681" s="211" t="s">
        <v>10385</v>
      </c>
      <c r="F681" s="211" t="s">
        <v>7249</v>
      </c>
    </row>
    <row r="682" spans="1:6">
      <c r="A682" s="211" t="s">
        <v>9122</v>
      </c>
      <c r="B682" s="211">
        <v>8508</v>
      </c>
      <c r="C682" s="211">
        <v>1645</v>
      </c>
      <c r="D682" s="211" t="s">
        <v>1255</v>
      </c>
      <c r="E682" s="211" t="s">
        <v>9123</v>
      </c>
      <c r="F682" s="211" t="s">
        <v>7308</v>
      </c>
    </row>
    <row r="683" spans="1:6">
      <c r="A683" s="211" t="s">
        <v>7503</v>
      </c>
      <c r="B683" s="211">
        <v>719</v>
      </c>
      <c r="C683" s="211" t="s">
        <v>10385</v>
      </c>
      <c r="D683" s="211" t="s">
        <v>1255</v>
      </c>
      <c r="E683" s="211" t="s">
        <v>10385</v>
      </c>
      <c r="F683" s="211" t="s">
        <v>7504</v>
      </c>
    </row>
    <row r="684" spans="1:6">
      <c r="A684" s="211" t="s">
        <v>5576</v>
      </c>
      <c r="B684" s="211">
        <v>7194</v>
      </c>
      <c r="C684" s="211">
        <v>1123</v>
      </c>
      <c r="D684" s="211" t="s">
        <v>1255</v>
      </c>
      <c r="E684" s="211" t="s">
        <v>5577</v>
      </c>
      <c r="F684" s="211" t="s">
        <v>7298</v>
      </c>
    </row>
    <row r="685" spans="1:6">
      <c r="A685" s="211" t="s">
        <v>6661</v>
      </c>
      <c r="B685" s="211">
        <v>7633</v>
      </c>
      <c r="C685" s="211">
        <v>1056</v>
      </c>
      <c r="D685" s="211" t="s">
        <v>1255</v>
      </c>
      <c r="E685" s="211" t="s">
        <v>6662</v>
      </c>
      <c r="F685" s="211" t="s">
        <v>7298</v>
      </c>
    </row>
    <row r="686" spans="1:6">
      <c r="A686" s="211" t="s">
        <v>7505</v>
      </c>
      <c r="B686" s="211">
        <v>5510</v>
      </c>
      <c r="C686" s="211" t="s">
        <v>10385</v>
      </c>
      <c r="D686" s="211" t="s">
        <v>1117</v>
      </c>
      <c r="E686" s="211" t="s">
        <v>10385</v>
      </c>
      <c r="F686" s="211" t="s">
        <v>7205</v>
      </c>
    </row>
    <row r="687" spans="1:6">
      <c r="A687" s="211" t="s">
        <v>2458</v>
      </c>
      <c r="B687" s="211">
        <v>5802</v>
      </c>
      <c r="C687" s="211">
        <v>2065</v>
      </c>
      <c r="D687" s="211" t="s">
        <v>1255</v>
      </c>
      <c r="E687" s="211" t="s">
        <v>6663</v>
      </c>
      <c r="F687" s="211" t="s">
        <v>7265</v>
      </c>
    </row>
    <row r="688" spans="1:6">
      <c r="A688" s="211" t="s">
        <v>2459</v>
      </c>
      <c r="B688" s="211">
        <v>2444</v>
      </c>
      <c r="C688" s="211">
        <v>919</v>
      </c>
      <c r="D688" s="211" t="s">
        <v>1255</v>
      </c>
      <c r="E688" s="211" t="s">
        <v>10385</v>
      </c>
      <c r="F688" s="211" t="s">
        <v>7208</v>
      </c>
    </row>
    <row r="689" spans="1:6">
      <c r="A689" s="211" t="s">
        <v>4822</v>
      </c>
      <c r="B689" s="211">
        <v>6102</v>
      </c>
      <c r="C689" s="211">
        <v>541</v>
      </c>
      <c r="D689" s="211" t="s">
        <v>1255</v>
      </c>
      <c r="E689" s="211" t="s">
        <v>9124</v>
      </c>
      <c r="F689" s="211" t="s">
        <v>7213</v>
      </c>
    </row>
    <row r="690" spans="1:6">
      <c r="A690" s="211" t="s">
        <v>7506</v>
      </c>
      <c r="B690" s="211">
        <v>7862</v>
      </c>
      <c r="C690" s="211">
        <v>1117</v>
      </c>
      <c r="D690" s="211" t="s">
        <v>1255</v>
      </c>
      <c r="E690" s="211" t="s">
        <v>10385</v>
      </c>
      <c r="F690" s="211" t="s">
        <v>7240</v>
      </c>
    </row>
    <row r="691" spans="1:6">
      <c r="A691" s="211" t="s">
        <v>2460</v>
      </c>
      <c r="B691" s="211">
        <v>5933</v>
      </c>
      <c r="C691" s="211">
        <v>1009</v>
      </c>
      <c r="D691" s="211" t="s">
        <v>1255</v>
      </c>
      <c r="E691" s="211" t="s">
        <v>10431</v>
      </c>
      <c r="F691" s="211" t="s">
        <v>7382</v>
      </c>
    </row>
    <row r="692" spans="1:6">
      <c r="A692" s="211" t="s">
        <v>5311</v>
      </c>
      <c r="B692" s="211">
        <v>6841</v>
      </c>
      <c r="C692" s="211">
        <v>1401</v>
      </c>
      <c r="D692" s="211" t="s">
        <v>1255</v>
      </c>
      <c r="E692" s="211" t="s">
        <v>10385</v>
      </c>
      <c r="F692" s="211" t="s">
        <v>7507</v>
      </c>
    </row>
    <row r="693" spans="1:6">
      <c r="A693" s="211" t="s">
        <v>9125</v>
      </c>
      <c r="B693" s="211">
        <v>8491</v>
      </c>
      <c r="C693" s="211">
        <v>1537</v>
      </c>
      <c r="D693" s="211" t="s">
        <v>1255</v>
      </c>
      <c r="E693" s="211" t="s">
        <v>10385</v>
      </c>
      <c r="F693" s="211" t="s">
        <v>7507</v>
      </c>
    </row>
    <row r="694" spans="1:6">
      <c r="A694" s="211" t="s">
        <v>2461</v>
      </c>
      <c r="B694" s="211">
        <v>2502</v>
      </c>
      <c r="C694" s="211">
        <v>998</v>
      </c>
      <c r="D694" s="211" t="s">
        <v>1255</v>
      </c>
      <c r="E694" s="211" t="s">
        <v>10385</v>
      </c>
      <c r="F694" s="211" t="s">
        <v>7217</v>
      </c>
    </row>
    <row r="695" spans="1:6">
      <c r="A695" s="211" t="s">
        <v>5578</v>
      </c>
      <c r="B695" s="211">
        <v>7527</v>
      </c>
      <c r="C695" s="211">
        <v>930</v>
      </c>
      <c r="D695" s="211" t="s">
        <v>1255</v>
      </c>
      <c r="E695" s="211" t="s">
        <v>10385</v>
      </c>
      <c r="F695" s="211" t="s">
        <v>7402</v>
      </c>
    </row>
    <row r="696" spans="1:6">
      <c r="A696" s="211" t="s">
        <v>4796</v>
      </c>
      <c r="B696" s="211">
        <v>6126</v>
      </c>
      <c r="C696" s="211">
        <v>1094</v>
      </c>
      <c r="D696" s="211" t="s">
        <v>1255</v>
      </c>
      <c r="E696" s="211" t="s">
        <v>10385</v>
      </c>
      <c r="F696" s="211" t="s">
        <v>7508</v>
      </c>
    </row>
    <row r="697" spans="1:6">
      <c r="A697" s="211" t="s">
        <v>7509</v>
      </c>
      <c r="B697" s="211">
        <v>42</v>
      </c>
      <c r="C697" s="211" t="s">
        <v>10385</v>
      </c>
      <c r="D697" s="211" t="s">
        <v>1255</v>
      </c>
      <c r="E697" s="211" t="s">
        <v>10385</v>
      </c>
      <c r="F697" s="211" t="s">
        <v>7243</v>
      </c>
    </row>
    <row r="698" spans="1:6">
      <c r="A698" s="211" t="s">
        <v>8884</v>
      </c>
      <c r="B698" s="211">
        <v>4533</v>
      </c>
      <c r="C698" s="211">
        <v>1334</v>
      </c>
      <c r="D698" s="211" t="s">
        <v>1255</v>
      </c>
      <c r="E698" s="211" t="s">
        <v>10385</v>
      </c>
      <c r="F698" s="211" t="s">
        <v>7510</v>
      </c>
    </row>
    <row r="699" spans="1:6">
      <c r="A699" s="211" t="s">
        <v>5579</v>
      </c>
      <c r="B699" s="211">
        <v>7184</v>
      </c>
      <c r="C699" s="211">
        <v>993</v>
      </c>
      <c r="D699" s="211" t="s">
        <v>1255</v>
      </c>
      <c r="E699" s="211" t="s">
        <v>9126</v>
      </c>
      <c r="F699" s="211" t="s">
        <v>7264</v>
      </c>
    </row>
    <row r="700" spans="1:6">
      <c r="A700" s="211" t="s">
        <v>5580</v>
      </c>
      <c r="B700" s="211">
        <v>7023</v>
      </c>
      <c r="C700" s="211">
        <v>1549</v>
      </c>
      <c r="D700" s="211" t="s">
        <v>1117</v>
      </c>
      <c r="E700" s="211" t="s">
        <v>5581</v>
      </c>
      <c r="F700" s="211" t="s">
        <v>7320</v>
      </c>
    </row>
    <row r="701" spans="1:6">
      <c r="A701" s="211" t="s">
        <v>5312</v>
      </c>
      <c r="B701" s="211">
        <v>6831</v>
      </c>
      <c r="C701" s="211">
        <v>1375</v>
      </c>
      <c r="D701" s="211" t="s">
        <v>1255</v>
      </c>
      <c r="E701" s="211" t="s">
        <v>5582</v>
      </c>
      <c r="F701" s="211" t="s">
        <v>7511</v>
      </c>
    </row>
    <row r="702" spans="1:6">
      <c r="A702" s="211" t="s">
        <v>5583</v>
      </c>
      <c r="B702" s="211">
        <v>7566</v>
      </c>
      <c r="C702" s="211">
        <v>740</v>
      </c>
      <c r="D702" s="211" t="s">
        <v>1255</v>
      </c>
      <c r="E702" s="211" t="s">
        <v>10385</v>
      </c>
      <c r="F702" s="211" t="s">
        <v>7283</v>
      </c>
    </row>
    <row r="703" spans="1:6">
      <c r="A703" s="211" t="s">
        <v>2462</v>
      </c>
      <c r="B703" s="211">
        <v>1617</v>
      </c>
      <c r="C703" s="211">
        <v>934</v>
      </c>
      <c r="D703" s="211" t="s">
        <v>1255</v>
      </c>
      <c r="E703" s="211" t="s">
        <v>10385</v>
      </c>
      <c r="F703" s="211" t="s">
        <v>7512</v>
      </c>
    </row>
    <row r="704" spans="1:6">
      <c r="A704" s="211" t="s">
        <v>9127</v>
      </c>
      <c r="B704" s="211">
        <v>8203</v>
      </c>
      <c r="C704" s="211">
        <v>1004</v>
      </c>
      <c r="D704" s="211" t="s">
        <v>1255</v>
      </c>
      <c r="E704" s="211" t="s">
        <v>9128</v>
      </c>
      <c r="F704" s="211" t="s">
        <v>7561</v>
      </c>
    </row>
    <row r="705" spans="1:6">
      <c r="A705" s="211" t="s">
        <v>9129</v>
      </c>
      <c r="B705" s="211">
        <v>8161</v>
      </c>
      <c r="C705" s="211">
        <v>1033</v>
      </c>
      <c r="D705" s="211" t="s">
        <v>1255</v>
      </c>
      <c r="E705" s="211" t="s">
        <v>9130</v>
      </c>
      <c r="F705" s="211" t="s">
        <v>7240</v>
      </c>
    </row>
    <row r="706" spans="1:6">
      <c r="A706" s="211" t="s">
        <v>3014</v>
      </c>
      <c r="B706" s="211">
        <v>1844</v>
      </c>
      <c r="C706" s="211">
        <v>1105</v>
      </c>
      <c r="D706" s="211" t="s">
        <v>1255</v>
      </c>
      <c r="E706" s="211" t="s">
        <v>10385</v>
      </c>
      <c r="F706" s="211" t="s">
        <v>7263</v>
      </c>
    </row>
    <row r="707" spans="1:6">
      <c r="A707" s="211" t="s">
        <v>2463</v>
      </c>
      <c r="B707" s="211">
        <v>2548</v>
      </c>
      <c r="C707" s="211">
        <v>1386</v>
      </c>
      <c r="D707" s="211" t="s">
        <v>1255</v>
      </c>
      <c r="E707" s="211" t="s">
        <v>10385</v>
      </c>
      <c r="F707" s="211" t="s">
        <v>7513</v>
      </c>
    </row>
    <row r="708" spans="1:6">
      <c r="A708" s="211" t="s">
        <v>7514</v>
      </c>
      <c r="B708" s="211">
        <v>482</v>
      </c>
      <c r="C708" s="211" t="s">
        <v>10385</v>
      </c>
      <c r="D708" s="211" t="s">
        <v>1255</v>
      </c>
      <c r="E708" s="211" t="s">
        <v>10385</v>
      </c>
      <c r="F708" s="211" t="s">
        <v>7306</v>
      </c>
    </row>
    <row r="709" spans="1:6">
      <c r="A709" s="211" t="s">
        <v>2464</v>
      </c>
      <c r="B709" s="211">
        <v>1975</v>
      </c>
      <c r="C709" s="211">
        <v>859</v>
      </c>
      <c r="D709" s="211" t="s">
        <v>1255</v>
      </c>
      <c r="E709" s="211" t="s">
        <v>10385</v>
      </c>
      <c r="F709" s="211" t="s">
        <v>7422</v>
      </c>
    </row>
    <row r="710" spans="1:6">
      <c r="A710" s="211" t="s">
        <v>2465</v>
      </c>
      <c r="B710" s="211">
        <v>4333</v>
      </c>
      <c r="C710" s="211">
        <v>823</v>
      </c>
      <c r="D710" s="211" t="s">
        <v>1255</v>
      </c>
      <c r="E710" s="211" t="s">
        <v>10385</v>
      </c>
      <c r="F710" s="211" t="s">
        <v>7277</v>
      </c>
    </row>
    <row r="711" spans="1:6">
      <c r="A711" s="211" t="s">
        <v>4625</v>
      </c>
      <c r="B711" s="211">
        <v>6340</v>
      </c>
      <c r="C711" s="211">
        <v>1085</v>
      </c>
      <c r="D711" s="211" t="s">
        <v>1255</v>
      </c>
      <c r="E711" s="211" t="s">
        <v>10385</v>
      </c>
      <c r="F711" s="211" t="s">
        <v>7288</v>
      </c>
    </row>
    <row r="712" spans="1:6">
      <c r="A712" s="211" t="s">
        <v>2466</v>
      </c>
      <c r="B712" s="211">
        <v>2190</v>
      </c>
      <c r="C712" s="211">
        <v>1587</v>
      </c>
      <c r="D712" s="211" t="s">
        <v>1255</v>
      </c>
      <c r="E712" s="211" t="s">
        <v>10385</v>
      </c>
      <c r="F712" s="211" t="s">
        <v>7318</v>
      </c>
    </row>
    <row r="713" spans="1:6">
      <c r="A713" s="211" t="s">
        <v>6664</v>
      </c>
      <c r="B713" s="211">
        <v>7731</v>
      </c>
      <c r="C713" s="211">
        <v>804</v>
      </c>
      <c r="D713" s="211" t="s">
        <v>1255</v>
      </c>
      <c r="E713" s="211" t="s">
        <v>6665</v>
      </c>
      <c r="F713" s="211" t="s">
        <v>7458</v>
      </c>
    </row>
    <row r="714" spans="1:6">
      <c r="A714" s="211" t="s">
        <v>9131</v>
      </c>
      <c r="B714" s="211">
        <v>7912</v>
      </c>
      <c r="C714" s="211">
        <v>1296</v>
      </c>
      <c r="D714" s="211" t="s">
        <v>1255</v>
      </c>
      <c r="E714" s="211" t="s">
        <v>9132</v>
      </c>
      <c r="F714" s="211" t="s">
        <v>7224</v>
      </c>
    </row>
    <row r="715" spans="1:6">
      <c r="A715" s="211" t="s">
        <v>7515</v>
      </c>
      <c r="B715" s="211">
        <v>597</v>
      </c>
      <c r="C715" s="211" t="s">
        <v>10385</v>
      </c>
      <c r="D715" s="211" t="s">
        <v>1255</v>
      </c>
      <c r="E715" s="211" t="s">
        <v>10385</v>
      </c>
      <c r="F715" s="211" t="s">
        <v>7306</v>
      </c>
    </row>
    <row r="716" spans="1:6">
      <c r="A716" s="211" t="s">
        <v>2467</v>
      </c>
      <c r="B716" s="211">
        <v>4176</v>
      </c>
      <c r="C716" s="211">
        <v>856</v>
      </c>
      <c r="D716" s="211" t="s">
        <v>1255</v>
      </c>
      <c r="E716" s="211" t="s">
        <v>10385</v>
      </c>
      <c r="F716" s="211" t="s">
        <v>7398</v>
      </c>
    </row>
    <row r="717" spans="1:6">
      <c r="A717" s="211" t="s">
        <v>2468</v>
      </c>
      <c r="B717" s="211">
        <v>4175</v>
      </c>
      <c r="C717" s="211">
        <v>1088</v>
      </c>
      <c r="D717" s="211" t="s">
        <v>1117</v>
      </c>
      <c r="E717" s="211" t="s">
        <v>10385</v>
      </c>
      <c r="F717" s="211" t="s">
        <v>7398</v>
      </c>
    </row>
    <row r="718" spans="1:6">
      <c r="A718" s="211" t="s">
        <v>2469</v>
      </c>
      <c r="B718" s="211">
        <v>1706</v>
      </c>
      <c r="C718" s="211">
        <v>1118</v>
      </c>
      <c r="D718" s="211" t="s">
        <v>1255</v>
      </c>
      <c r="E718" s="211" t="s">
        <v>10385</v>
      </c>
      <c r="F718" s="211" t="s">
        <v>7516</v>
      </c>
    </row>
    <row r="719" spans="1:6">
      <c r="A719" s="211" t="s">
        <v>2470</v>
      </c>
      <c r="B719" s="211">
        <v>4186</v>
      </c>
      <c r="C719" s="211">
        <v>865</v>
      </c>
      <c r="D719" s="211" t="s">
        <v>1117</v>
      </c>
      <c r="E719" s="211" t="s">
        <v>10385</v>
      </c>
      <c r="F719" s="211" t="s">
        <v>7223</v>
      </c>
    </row>
    <row r="720" spans="1:6">
      <c r="A720" s="211" t="s">
        <v>4971</v>
      </c>
      <c r="B720" s="211">
        <v>6968</v>
      </c>
      <c r="C720" s="211">
        <v>922</v>
      </c>
      <c r="D720" s="211" t="s">
        <v>1255</v>
      </c>
      <c r="E720" s="211" t="s">
        <v>10385</v>
      </c>
      <c r="F720" s="211" t="s">
        <v>7263</v>
      </c>
    </row>
    <row r="721" spans="1:6">
      <c r="A721" s="211" t="s">
        <v>5584</v>
      </c>
      <c r="B721" s="211">
        <v>7325</v>
      </c>
      <c r="C721" s="211">
        <v>796</v>
      </c>
      <c r="D721" s="211" t="s">
        <v>1117</v>
      </c>
      <c r="E721" s="211" t="s">
        <v>10385</v>
      </c>
      <c r="F721" s="211" t="s">
        <v>7285</v>
      </c>
    </row>
    <row r="722" spans="1:6">
      <c r="A722" s="211" t="s">
        <v>7517</v>
      </c>
      <c r="B722" s="211">
        <v>3568</v>
      </c>
      <c r="C722" s="211" t="s">
        <v>10385</v>
      </c>
      <c r="D722" s="211" t="s">
        <v>1255</v>
      </c>
      <c r="E722" s="211" t="s">
        <v>10385</v>
      </c>
      <c r="F722" s="211" t="s">
        <v>7518</v>
      </c>
    </row>
    <row r="723" spans="1:6">
      <c r="A723" s="211" t="s">
        <v>7519</v>
      </c>
      <c r="B723" s="211">
        <v>5504</v>
      </c>
      <c r="C723" s="211" t="s">
        <v>10385</v>
      </c>
      <c r="D723" s="211" t="s">
        <v>1255</v>
      </c>
      <c r="E723" s="211" t="s">
        <v>10385</v>
      </c>
      <c r="F723" s="211" t="s">
        <v>7272</v>
      </c>
    </row>
    <row r="724" spans="1:6">
      <c r="A724" s="211" t="s">
        <v>7520</v>
      </c>
      <c r="B724" s="211">
        <v>2513</v>
      </c>
      <c r="C724" s="211" t="s">
        <v>10385</v>
      </c>
      <c r="D724" s="211" t="s">
        <v>1255</v>
      </c>
      <c r="E724" s="211" t="s">
        <v>10385</v>
      </c>
      <c r="F724" s="211" t="s">
        <v>7246</v>
      </c>
    </row>
    <row r="725" spans="1:6">
      <c r="A725" s="211" t="s">
        <v>2471</v>
      </c>
      <c r="B725" s="211">
        <v>4336</v>
      </c>
      <c r="C725" s="211">
        <v>887</v>
      </c>
      <c r="D725" s="211" t="s">
        <v>1255</v>
      </c>
      <c r="E725" s="211" t="s">
        <v>10385</v>
      </c>
      <c r="F725" s="211" t="s">
        <v>7171</v>
      </c>
    </row>
    <row r="726" spans="1:6">
      <c r="A726" s="211" t="s">
        <v>2472</v>
      </c>
      <c r="B726" s="211">
        <v>5850</v>
      </c>
      <c r="C726" s="211">
        <v>2035</v>
      </c>
      <c r="D726" s="211" t="s">
        <v>1255</v>
      </c>
      <c r="E726" s="211" t="s">
        <v>6666</v>
      </c>
      <c r="F726" s="211" t="s">
        <v>7247</v>
      </c>
    </row>
    <row r="727" spans="1:6">
      <c r="A727" s="211" t="s">
        <v>5585</v>
      </c>
      <c r="B727" s="211">
        <v>7149</v>
      </c>
      <c r="C727" s="211">
        <v>835</v>
      </c>
      <c r="D727" s="211" t="s">
        <v>1255</v>
      </c>
      <c r="E727" s="211" t="s">
        <v>5586</v>
      </c>
      <c r="F727" s="211" t="s">
        <v>7521</v>
      </c>
    </row>
    <row r="728" spans="1:6">
      <c r="A728" s="211" t="s">
        <v>9133</v>
      </c>
      <c r="B728" s="211">
        <v>8546</v>
      </c>
      <c r="C728" s="211">
        <v>1001</v>
      </c>
      <c r="D728" s="211" t="s">
        <v>1117</v>
      </c>
      <c r="E728" s="211" t="s">
        <v>10385</v>
      </c>
      <c r="F728" s="211" t="s">
        <v>7377</v>
      </c>
    </row>
    <row r="729" spans="1:6">
      <c r="A729" s="211" t="s">
        <v>4604</v>
      </c>
      <c r="B729" s="211">
        <v>6497</v>
      </c>
      <c r="C729" s="211">
        <v>752</v>
      </c>
      <c r="D729" s="211" t="s">
        <v>1255</v>
      </c>
      <c r="E729" s="211" t="s">
        <v>10385</v>
      </c>
      <c r="F729" s="211" t="s">
        <v>7629</v>
      </c>
    </row>
    <row r="730" spans="1:6">
      <c r="A730" s="211" t="s">
        <v>4577</v>
      </c>
      <c r="B730" s="211">
        <v>6314</v>
      </c>
      <c r="C730" s="211">
        <v>790</v>
      </c>
      <c r="D730" s="211" t="s">
        <v>1117</v>
      </c>
      <c r="E730" s="211" t="s">
        <v>10385</v>
      </c>
      <c r="F730" s="211" t="s">
        <v>7231</v>
      </c>
    </row>
    <row r="731" spans="1:6">
      <c r="A731" s="211" t="s">
        <v>2473</v>
      </c>
      <c r="B731" s="211">
        <v>3342</v>
      </c>
      <c r="C731" s="211">
        <v>1003</v>
      </c>
      <c r="D731" s="211" t="s">
        <v>1255</v>
      </c>
      <c r="E731" s="211" t="s">
        <v>10385</v>
      </c>
      <c r="F731" s="211" t="s">
        <v>7327</v>
      </c>
    </row>
    <row r="732" spans="1:6">
      <c r="A732" s="211" t="s">
        <v>2474</v>
      </c>
      <c r="B732" s="211">
        <v>5639</v>
      </c>
      <c r="C732" s="211">
        <v>1244</v>
      </c>
      <c r="D732" s="211" t="s">
        <v>1117</v>
      </c>
      <c r="E732" s="211" t="s">
        <v>10385</v>
      </c>
      <c r="F732" s="211" t="s">
        <v>7167</v>
      </c>
    </row>
    <row r="733" spans="1:6">
      <c r="A733" s="211" t="s">
        <v>6667</v>
      </c>
      <c r="B733" s="211">
        <v>7804</v>
      </c>
      <c r="C733" s="211">
        <v>2049</v>
      </c>
      <c r="D733" s="211" t="s">
        <v>1255</v>
      </c>
      <c r="E733" s="211" t="s">
        <v>6668</v>
      </c>
      <c r="F733" s="211" t="s">
        <v>7522</v>
      </c>
    </row>
    <row r="734" spans="1:6">
      <c r="A734" s="211" t="s">
        <v>2475</v>
      </c>
      <c r="B734" s="211">
        <v>2803</v>
      </c>
      <c r="C734" s="211">
        <v>774</v>
      </c>
      <c r="D734" s="211" t="s">
        <v>1117</v>
      </c>
      <c r="E734" s="211" t="s">
        <v>10385</v>
      </c>
      <c r="F734" s="211" t="s">
        <v>7208</v>
      </c>
    </row>
    <row r="735" spans="1:6">
      <c r="A735" s="211" t="s">
        <v>2476</v>
      </c>
      <c r="B735" s="211">
        <v>3126</v>
      </c>
      <c r="C735" s="211">
        <v>1672</v>
      </c>
      <c r="D735" s="211" t="s">
        <v>1255</v>
      </c>
      <c r="E735" s="211" t="s">
        <v>10385</v>
      </c>
      <c r="F735" s="211" t="s">
        <v>7495</v>
      </c>
    </row>
    <row r="736" spans="1:6">
      <c r="A736" s="211" t="s">
        <v>7523</v>
      </c>
      <c r="B736" s="211">
        <v>6544</v>
      </c>
      <c r="C736" s="211">
        <v>1623</v>
      </c>
      <c r="D736" s="211" t="s">
        <v>1255</v>
      </c>
      <c r="E736" s="211" t="s">
        <v>9134</v>
      </c>
      <c r="F736" s="211" t="s">
        <v>7524</v>
      </c>
    </row>
    <row r="737" spans="1:6">
      <c r="A737" s="211" t="s">
        <v>4972</v>
      </c>
      <c r="B737" s="211">
        <v>5418</v>
      </c>
      <c r="C737" s="211">
        <v>2389</v>
      </c>
      <c r="D737" s="211" t="s">
        <v>1255</v>
      </c>
      <c r="E737" s="211" t="s">
        <v>9135</v>
      </c>
      <c r="F737" s="211" t="s">
        <v>7471</v>
      </c>
    </row>
    <row r="738" spans="1:6">
      <c r="A738" s="211" t="s">
        <v>2477</v>
      </c>
      <c r="B738" s="211">
        <v>2659</v>
      </c>
      <c r="C738" s="211">
        <v>1424</v>
      </c>
      <c r="D738" s="211" t="s">
        <v>1255</v>
      </c>
      <c r="E738" s="211" t="s">
        <v>10385</v>
      </c>
      <c r="F738" s="211" t="s">
        <v>7342</v>
      </c>
    </row>
    <row r="739" spans="1:6">
      <c r="A739" s="211" t="s">
        <v>2478</v>
      </c>
      <c r="B739" s="211">
        <v>2844</v>
      </c>
      <c r="C739" s="211">
        <v>1089</v>
      </c>
      <c r="D739" s="211" t="s">
        <v>1255</v>
      </c>
      <c r="E739" s="211" t="s">
        <v>10385</v>
      </c>
      <c r="F739" s="211" t="s">
        <v>7171</v>
      </c>
    </row>
    <row r="740" spans="1:6">
      <c r="A740" s="211" t="s">
        <v>7525</v>
      </c>
      <c r="B740" s="211">
        <v>2475</v>
      </c>
      <c r="C740" s="211" t="s">
        <v>10385</v>
      </c>
      <c r="D740" s="211" t="s">
        <v>1255</v>
      </c>
      <c r="E740" s="211" t="s">
        <v>10385</v>
      </c>
      <c r="F740" s="211" t="s">
        <v>7210</v>
      </c>
    </row>
    <row r="741" spans="1:6">
      <c r="A741" s="211" t="s">
        <v>10432</v>
      </c>
      <c r="B741" s="211">
        <v>8776</v>
      </c>
      <c r="C741" s="211">
        <v>973</v>
      </c>
      <c r="D741" s="211" t="s">
        <v>1255</v>
      </c>
      <c r="E741" s="211" t="s">
        <v>10433</v>
      </c>
      <c r="F741" s="211" t="s">
        <v>10434</v>
      </c>
    </row>
    <row r="742" spans="1:6">
      <c r="A742" s="211" t="s">
        <v>2479</v>
      </c>
      <c r="B742" s="211">
        <v>3640</v>
      </c>
      <c r="C742" s="211">
        <v>969</v>
      </c>
      <c r="D742" s="211" t="s">
        <v>1255</v>
      </c>
      <c r="E742" s="211" t="s">
        <v>10385</v>
      </c>
      <c r="F742" s="211" t="s">
        <v>7240</v>
      </c>
    </row>
    <row r="743" spans="1:6">
      <c r="A743" s="211" t="s">
        <v>2480</v>
      </c>
      <c r="B743" s="211">
        <v>4936</v>
      </c>
      <c r="C743" s="211">
        <v>872</v>
      </c>
      <c r="D743" s="211" t="s">
        <v>1255</v>
      </c>
      <c r="E743" s="211" t="s">
        <v>10385</v>
      </c>
      <c r="F743" s="211" t="s">
        <v>7526</v>
      </c>
    </row>
    <row r="744" spans="1:6">
      <c r="A744" s="211" t="s">
        <v>6669</v>
      </c>
      <c r="B744" s="211">
        <v>7641</v>
      </c>
      <c r="C744" s="211">
        <v>707</v>
      </c>
      <c r="D744" s="211" t="s">
        <v>1117</v>
      </c>
      <c r="E744" s="211" t="s">
        <v>10385</v>
      </c>
      <c r="F744" s="211" t="s">
        <v>7354</v>
      </c>
    </row>
    <row r="745" spans="1:6">
      <c r="A745" s="211" t="s">
        <v>2481</v>
      </c>
      <c r="B745" s="211">
        <v>5923</v>
      </c>
      <c r="C745" s="211">
        <v>1011</v>
      </c>
      <c r="D745" s="211" t="s">
        <v>1255</v>
      </c>
      <c r="E745" s="211" t="s">
        <v>10385</v>
      </c>
      <c r="F745" s="211" t="s">
        <v>7285</v>
      </c>
    </row>
    <row r="746" spans="1:6">
      <c r="A746" s="211" t="s">
        <v>4773</v>
      </c>
      <c r="B746" s="211">
        <v>6172</v>
      </c>
      <c r="C746" s="211">
        <v>949</v>
      </c>
      <c r="D746" s="211" t="s">
        <v>1255</v>
      </c>
      <c r="E746" s="211" t="s">
        <v>10385</v>
      </c>
      <c r="F746" s="211" t="s">
        <v>7275</v>
      </c>
    </row>
    <row r="747" spans="1:6">
      <c r="A747" s="211" t="s">
        <v>4973</v>
      </c>
      <c r="B747" s="211">
        <v>5879</v>
      </c>
      <c r="C747" s="211">
        <v>1026</v>
      </c>
      <c r="D747" s="211" t="s">
        <v>1255</v>
      </c>
      <c r="E747" s="211" t="s">
        <v>10385</v>
      </c>
      <c r="F747" s="211" t="s">
        <v>7402</v>
      </c>
    </row>
    <row r="748" spans="1:6">
      <c r="A748" s="211" t="s">
        <v>5313</v>
      </c>
      <c r="B748" s="211">
        <v>5885</v>
      </c>
      <c r="C748" s="211">
        <v>951</v>
      </c>
      <c r="D748" s="211" t="s">
        <v>1255</v>
      </c>
      <c r="E748" s="211" t="s">
        <v>10385</v>
      </c>
      <c r="F748" s="211" t="s">
        <v>7402</v>
      </c>
    </row>
    <row r="749" spans="1:6">
      <c r="A749" s="211" t="s">
        <v>2482</v>
      </c>
      <c r="B749" s="211">
        <v>5964</v>
      </c>
      <c r="C749" s="211">
        <v>894</v>
      </c>
      <c r="D749" s="211" t="s">
        <v>1255</v>
      </c>
      <c r="E749" s="211" t="s">
        <v>10385</v>
      </c>
      <c r="F749" s="211" t="s">
        <v>7217</v>
      </c>
    </row>
    <row r="750" spans="1:6">
      <c r="A750" s="211" t="s">
        <v>2483</v>
      </c>
      <c r="B750" s="211">
        <v>3946</v>
      </c>
      <c r="C750" s="211">
        <v>867</v>
      </c>
      <c r="D750" s="211" t="s">
        <v>1117</v>
      </c>
      <c r="E750" s="211" t="s">
        <v>10385</v>
      </c>
      <c r="F750" s="211" t="s">
        <v>7438</v>
      </c>
    </row>
    <row r="751" spans="1:6">
      <c r="A751" s="211" t="s">
        <v>2484</v>
      </c>
      <c r="B751" s="211">
        <v>4430</v>
      </c>
      <c r="C751" s="211">
        <v>839</v>
      </c>
      <c r="D751" s="211" t="s">
        <v>1255</v>
      </c>
      <c r="E751" s="211" t="s">
        <v>10385</v>
      </c>
      <c r="F751" s="211" t="s">
        <v>9024</v>
      </c>
    </row>
    <row r="752" spans="1:6">
      <c r="A752" s="211" t="s">
        <v>2485</v>
      </c>
      <c r="B752" s="211">
        <v>1187</v>
      </c>
      <c r="C752" s="211">
        <v>1227</v>
      </c>
      <c r="D752" s="211" t="s">
        <v>1255</v>
      </c>
      <c r="E752" s="211" t="s">
        <v>10385</v>
      </c>
      <c r="F752" s="211" t="s">
        <v>7177</v>
      </c>
    </row>
    <row r="753" spans="1:6">
      <c r="A753" s="211" t="s">
        <v>2486</v>
      </c>
      <c r="B753" s="211">
        <v>4114</v>
      </c>
      <c r="C753" s="211">
        <v>1007</v>
      </c>
      <c r="D753" s="211" t="s">
        <v>1255</v>
      </c>
      <c r="E753" s="211" t="s">
        <v>10385</v>
      </c>
      <c r="F753" s="211" t="s">
        <v>7334</v>
      </c>
    </row>
    <row r="754" spans="1:6">
      <c r="A754" s="211" t="s">
        <v>2487</v>
      </c>
      <c r="B754" s="211">
        <v>3733</v>
      </c>
      <c r="C754" s="211">
        <v>1173</v>
      </c>
      <c r="D754" s="211" t="s">
        <v>1255</v>
      </c>
      <c r="E754" s="211" t="s">
        <v>10385</v>
      </c>
      <c r="F754" s="211" t="s">
        <v>7203</v>
      </c>
    </row>
    <row r="755" spans="1:6">
      <c r="A755" s="211" t="s">
        <v>9136</v>
      </c>
      <c r="B755" s="211">
        <v>8209</v>
      </c>
      <c r="C755" s="211">
        <v>993</v>
      </c>
      <c r="D755" s="211" t="s">
        <v>1255</v>
      </c>
      <c r="E755" s="211" t="s">
        <v>10385</v>
      </c>
      <c r="F755" s="211" t="s">
        <v>7213</v>
      </c>
    </row>
    <row r="756" spans="1:6">
      <c r="A756" s="211" t="s">
        <v>5587</v>
      </c>
      <c r="B756" s="211">
        <v>7447</v>
      </c>
      <c r="C756" s="211">
        <v>1041</v>
      </c>
      <c r="D756" s="211" t="s">
        <v>1255</v>
      </c>
      <c r="E756" s="211" t="s">
        <v>10385</v>
      </c>
      <c r="F756" s="211" t="s">
        <v>7228</v>
      </c>
    </row>
    <row r="757" spans="1:6">
      <c r="A757" s="211" t="s">
        <v>4823</v>
      </c>
      <c r="B757" s="211">
        <v>6098</v>
      </c>
      <c r="C757" s="211">
        <v>965</v>
      </c>
      <c r="D757" s="211" t="s">
        <v>1255</v>
      </c>
      <c r="E757" s="211" t="s">
        <v>9137</v>
      </c>
      <c r="F757" s="211" t="s">
        <v>7457</v>
      </c>
    </row>
    <row r="758" spans="1:6">
      <c r="A758" s="211" t="s">
        <v>2488</v>
      </c>
      <c r="B758" s="211">
        <v>3388</v>
      </c>
      <c r="C758" s="211">
        <v>1230</v>
      </c>
      <c r="D758" s="211" t="s">
        <v>1255</v>
      </c>
      <c r="E758" s="211" t="s">
        <v>10385</v>
      </c>
      <c r="F758" s="211" t="s">
        <v>7231</v>
      </c>
    </row>
    <row r="759" spans="1:6">
      <c r="A759" s="211" t="s">
        <v>7527</v>
      </c>
      <c r="B759" s="211">
        <v>2215</v>
      </c>
      <c r="C759" s="211" t="s">
        <v>10385</v>
      </c>
      <c r="D759" s="211" t="s">
        <v>1255</v>
      </c>
      <c r="E759" s="211" t="s">
        <v>10385</v>
      </c>
      <c r="F759" s="211" t="s">
        <v>7230</v>
      </c>
    </row>
    <row r="760" spans="1:6">
      <c r="A760" s="211" t="s">
        <v>9138</v>
      </c>
      <c r="B760" s="211">
        <v>8282</v>
      </c>
      <c r="C760" s="211">
        <v>996</v>
      </c>
      <c r="D760" s="211" t="s">
        <v>1255</v>
      </c>
      <c r="E760" s="211" t="s">
        <v>10435</v>
      </c>
      <c r="F760" s="211" t="s">
        <v>7490</v>
      </c>
    </row>
    <row r="761" spans="1:6">
      <c r="A761" s="211" t="s">
        <v>2489</v>
      </c>
      <c r="B761" s="211">
        <v>4953</v>
      </c>
      <c r="C761" s="211">
        <v>2297</v>
      </c>
      <c r="D761" s="211" t="s">
        <v>1255</v>
      </c>
      <c r="E761" s="211" t="s">
        <v>5588</v>
      </c>
      <c r="F761" s="211" t="s">
        <v>7247</v>
      </c>
    </row>
    <row r="762" spans="1:6">
      <c r="A762" s="211" t="s">
        <v>2490</v>
      </c>
      <c r="B762" s="211">
        <v>1675</v>
      </c>
      <c r="C762" s="211">
        <v>1183</v>
      </c>
      <c r="D762" s="211" t="s">
        <v>1255</v>
      </c>
      <c r="E762" s="211" t="s">
        <v>10385</v>
      </c>
      <c r="F762" s="211" t="s">
        <v>7415</v>
      </c>
    </row>
    <row r="763" spans="1:6">
      <c r="A763" s="211" t="s">
        <v>2491</v>
      </c>
      <c r="B763" s="211">
        <v>1515</v>
      </c>
      <c r="C763" s="211">
        <v>1100</v>
      </c>
      <c r="D763" s="211" t="s">
        <v>1255</v>
      </c>
      <c r="E763" s="211" t="s">
        <v>10385</v>
      </c>
      <c r="F763" s="211" t="s">
        <v>7275</v>
      </c>
    </row>
    <row r="764" spans="1:6">
      <c r="A764" s="211" t="s">
        <v>7528</v>
      </c>
      <c r="B764" s="211">
        <v>3926</v>
      </c>
      <c r="C764" s="211" t="s">
        <v>10385</v>
      </c>
      <c r="D764" s="211" t="s">
        <v>1255</v>
      </c>
      <c r="E764" s="211" t="s">
        <v>10385</v>
      </c>
      <c r="F764" s="211" t="s">
        <v>7327</v>
      </c>
    </row>
    <row r="765" spans="1:6">
      <c r="A765" s="211" t="s">
        <v>7529</v>
      </c>
      <c r="B765" s="211">
        <v>4313</v>
      </c>
      <c r="C765" s="211" t="s">
        <v>10385</v>
      </c>
      <c r="D765" s="211" t="s">
        <v>1255</v>
      </c>
      <c r="E765" s="211" t="s">
        <v>10385</v>
      </c>
      <c r="F765" s="211" t="s">
        <v>7425</v>
      </c>
    </row>
    <row r="766" spans="1:6">
      <c r="A766" s="211" t="s">
        <v>2492</v>
      </c>
      <c r="B766" s="211">
        <v>809</v>
      </c>
      <c r="C766" s="211">
        <v>1916</v>
      </c>
      <c r="D766" s="211" t="s">
        <v>1255</v>
      </c>
      <c r="E766" s="211" t="s">
        <v>10385</v>
      </c>
      <c r="F766" s="211" t="s">
        <v>7173</v>
      </c>
    </row>
    <row r="767" spans="1:6">
      <c r="A767" s="211" t="s">
        <v>5589</v>
      </c>
      <c r="B767" s="211">
        <v>7220</v>
      </c>
      <c r="C767" s="211">
        <v>1341</v>
      </c>
      <c r="D767" s="211" t="s">
        <v>1255</v>
      </c>
      <c r="E767" s="211" t="s">
        <v>10385</v>
      </c>
      <c r="F767" s="211" t="s">
        <v>7341</v>
      </c>
    </row>
    <row r="768" spans="1:6">
      <c r="A768" s="211" t="s">
        <v>2493</v>
      </c>
      <c r="B768" s="211">
        <v>7017</v>
      </c>
      <c r="C768" s="211">
        <v>948</v>
      </c>
      <c r="D768" s="211" t="s">
        <v>1117</v>
      </c>
      <c r="E768" s="211" t="s">
        <v>10385</v>
      </c>
      <c r="F768" s="211" t="s">
        <v>7318</v>
      </c>
    </row>
    <row r="769" spans="1:6">
      <c r="A769" s="211" t="s">
        <v>2494</v>
      </c>
      <c r="B769" s="211">
        <v>2523</v>
      </c>
      <c r="C769" s="211">
        <v>897</v>
      </c>
      <c r="D769" s="211" t="s">
        <v>1117</v>
      </c>
      <c r="E769" s="211" t="s">
        <v>10385</v>
      </c>
      <c r="F769" s="211" t="s">
        <v>7272</v>
      </c>
    </row>
    <row r="770" spans="1:6">
      <c r="A770" s="211" t="s">
        <v>2495</v>
      </c>
      <c r="B770" s="211">
        <v>4717</v>
      </c>
      <c r="C770" s="211">
        <v>861</v>
      </c>
      <c r="D770" s="211" t="s">
        <v>1117</v>
      </c>
      <c r="E770" s="211" t="s">
        <v>10385</v>
      </c>
      <c r="F770" s="211" t="s">
        <v>7318</v>
      </c>
    </row>
    <row r="771" spans="1:6">
      <c r="A771" s="211" t="s">
        <v>10436</v>
      </c>
      <c r="B771" s="211">
        <v>8819</v>
      </c>
      <c r="C771" s="211">
        <v>984</v>
      </c>
      <c r="D771" s="211" t="s">
        <v>1117</v>
      </c>
      <c r="E771" s="211" t="s">
        <v>10437</v>
      </c>
      <c r="F771" s="211" t="s">
        <v>7307</v>
      </c>
    </row>
    <row r="772" spans="1:6">
      <c r="A772" s="211" t="s">
        <v>4748</v>
      </c>
      <c r="B772" s="211">
        <v>6184</v>
      </c>
      <c r="C772" s="211">
        <v>1019</v>
      </c>
      <c r="D772" s="211" t="s">
        <v>1255</v>
      </c>
      <c r="E772" s="211" t="s">
        <v>9139</v>
      </c>
      <c r="F772" s="211" t="s">
        <v>7228</v>
      </c>
    </row>
    <row r="773" spans="1:6">
      <c r="A773" s="211" t="s">
        <v>10438</v>
      </c>
      <c r="B773" s="211">
        <v>8825</v>
      </c>
      <c r="C773" s="211">
        <v>1140</v>
      </c>
      <c r="D773" s="211" t="s">
        <v>1255</v>
      </c>
      <c r="E773" s="211" t="s">
        <v>10439</v>
      </c>
      <c r="F773" s="211" t="s">
        <v>7285</v>
      </c>
    </row>
    <row r="774" spans="1:6">
      <c r="A774" s="211" t="s">
        <v>7530</v>
      </c>
      <c r="B774" s="211">
        <v>3128</v>
      </c>
      <c r="C774" s="211">
        <v>1691</v>
      </c>
      <c r="D774" s="211" t="s">
        <v>1255</v>
      </c>
      <c r="E774" s="211" t="s">
        <v>10385</v>
      </c>
      <c r="F774" s="211" t="s">
        <v>7325</v>
      </c>
    </row>
    <row r="775" spans="1:6">
      <c r="A775" s="211" t="s">
        <v>9140</v>
      </c>
      <c r="B775" s="211">
        <v>8553</v>
      </c>
      <c r="C775" s="211">
        <v>1048</v>
      </c>
      <c r="D775" s="211" t="s">
        <v>1255</v>
      </c>
      <c r="E775" s="211" t="s">
        <v>10440</v>
      </c>
      <c r="F775" s="211" t="s">
        <v>7258</v>
      </c>
    </row>
    <row r="776" spans="1:6">
      <c r="A776" s="211" t="s">
        <v>2496</v>
      </c>
      <c r="B776" s="211">
        <v>3130</v>
      </c>
      <c r="C776" s="211">
        <v>1825</v>
      </c>
      <c r="D776" s="211" t="s">
        <v>1255</v>
      </c>
      <c r="E776" s="211" t="s">
        <v>10385</v>
      </c>
      <c r="F776" s="211" t="s">
        <v>7325</v>
      </c>
    </row>
    <row r="777" spans="1:6">
      <c r="A777" s="211" t="s">
        <v>2497</v>
      </c>
      <c r="B777" s="211">
        <v>5155</v>
      </c>
      <c r="C777" s="211">
        <v>547</v>
      </c>
      <c r="D777" s="211" t="s">
        <v>1117</v>
      </c>
      <c r="E777" s="211" t="s">
        <v>10385</v>
      </c>
      <c r="F777" s="211" t="s">
        <v>7199</v>
      </c>
    </row>
    <row r="778" spans="1:6">
      <c r="A778" s="211" t="s">
        <v>2498</v>
      </c>
      <c r="B778" s="211">
        <v>3265</v>
      </c>
      <c r="C778" s="211">
        <v>964</v>
      </c>
      <c r="D778" s="211" t="s">
        <v>1117</v>
      </c>
      <c r="E778" s="211" t="s">
        <v>10385</v>
      </c>
      <c r="F778" s="211" t="s">
        <v>7171</v>
      </c>
    </row>
    <row r="779" spans="1:6">
      <c r="A779" s="211" t="s">
        <v>2499</v>
      </c>
      <c r="B779" s="211">
        <v>3039</v>
      </c>
      <c r="C779" s="211">
        <v>762</v>
      </c>
      <c r="D779" s="211" t="s">
        <v>1255</v>
      </c>
      <c r="E779" s="211" t="s">
        <v>10385</v>
      </c>
      <c r="F779" s="211" t="s">
        <v>7476</v>
      </c>
    </row>
    <row r="780" spans="1:6">
      <c r="A780" s="211" t="s">
        <v>2500</v>
      </c>
      <c r="B780" s="211">
        <v>4894</v>
      </c>
      <c r="C780" s="211">
        <v>813</v>
      </c>
      <c r="D780" s="211" t="s">
        <v>1255</v>
      </c>
      <c r="E780" s="211" t="s">
        <v>10385</v>
      </c>
      <c r="F780" s="211" t="s">
        <v>7246</v>
      </c>
    </row>
    <row r="781" spans="1:6">
      <c r="A781" s="211" t="s">
        <v>2501</v>
      </c>
      <c r="B781" s="211">
        <v>1100</v>
      </c>
      <c r="C781" s="211">
        <v>1399</v>
      </c>
      <c r="D781" s="211" t="s">
        <v>1255</v>
      </c>
      <c r="E781" s="211" t="s">
        <v>10385</v>
      </c>
      <c r="F781" s="211" t="s">
        <v>7267</v>
      </c>
    </row>
    <row r="782" spans="1:6">
      <c r="A782" s="211" t="s">
        <v>2502</v>
      </c>
      <c r="B782" s="211">
        <v>3383</v>
      </c>
      <c r="C782" s="211">
        <v>949</v>
      </c>
      <c r="D782" s="211" t="s">
        <v>1255</v>
      </c>
      <c r="E782" s="211" t="s">
        <v>10385</v>
      </c>
      <c r="F782" s="211" t="s">
        <v>7420</v>
      </c>
    </row>
    <row r="783" spans="1:6">
      <c r="A783" s="211" t="s">
        <v>7531</v>
      </c>
      <c r="B783" s="211">
        <v>5373</v>
      </c>
      <c r="C783" s="211" t="s">
        <v>10385</v>
      </c>
      <c r="D783" s="211" t="s">
        <v>1255</v>
      </c>
      <c r="E783" s="211" t="s">
        <v>10385</v>
      </c>
      <c r="F783" s="211" t="s">
        <v>7444</v>
      </c>
    </row>
    <row r="784" spans="1:6">
      <c r="A784" s="211" t="s">
        <v>5590</v>
      </c>
      <c r="B784" s="211">
        <v>7261</v>
      </c>
      <c r="C784" s="211">
        <v>896</v>
      </c>
      <c r="D784" s="211" t="s">
        <v>1117</v>
      </c>
      <c r="E784" s="211" t="s">
        <v>5591</v>
      </c>
      <c r="F784" s="211" t="s">
        <v>7403</v>
      </c>
    </row>
    <row r="785" spans="1:6">
      <c r="A785" s="211" t="s">
        <v>2503</v>
      </c>
      <c r="B785" s="211">
        <v>4507</v>
      </c>
      <c r="C785" s="211">
        <v>1143</v>
      </c>
      <c r="D785" s="211" t="s">
        <v>1255</v>
      </c>
      <c r="E785" s="211" t="s">
        <v>10385</v>
      </c>
      <c r="F785" s="211" t="s">
        <v>7196</v>
      </c>
    </row>
    <row r="786" spans="1:6">
      <c r="A786" s="211" t="s">
        <v>6670</v>
      </c>
      <c r="B786" s="211">
        <v>7723</v>
      </c>
      <c r="C786" s="211">
        <v>964</v>
      </c>
      <c r="D786" s="211" t="s">
        <v>1255</v>
      </c>
      <c r="E786" s="211" t="s">
        <v>6671</v>
      </c>
      <c r="F786" s="211" t="s">
        <v>7532</v>
      </c>
    </row>
    <row r="787" spans="1:6">
      <c r="A787" s="211" t="s">
        <v>2504</v>
      </c>
      <c r="B787" s="211">
        <v>6383</v>
      </c>
      <c r="C787" s="211">
        <v>1142</v>
      </c>
      <c r="D787" s="211" t="s">
        <v>1255</v>
      </c>
      <c r="E787" s="211" t="s">
        <v>10385</v>
      </c>
      <c r="F787" s="211" t="s">
        <v>7384</v>
      </c>
    </row>
    <row r="788" spans="1:6">
      <c r="A788" s="211" t="s">
        <v>7533</v>
      </c>
      <c r="B788" s="211">
        <v>3161</v>
      </c>
      <c r="C788" s="211" t="s">
        <v>10385</v>
      </c>
      <c r="D788" s="211" t="s">
        <v>1255</v>
      </c>
      <c r="E788" s="211" t="s">
        <v>10385</v>
      </c>
      <c r="F788" s="211" t="s">
        <v>7534</v>
      </c>
    </row>
    <row r="789" spans="1:6">
      <c r="A789" s="211" t="s">
        <v>9141</v>
      </c>
      <c r="B789" s="211">
        <v>8249</v>
      </c>
      <c r="C789" s="211">
        <v>1102</v>
      </c>
      <c r="D789" s="211" t="s">
        <v>1255</v>
      </c>
      <c r="E789" s="211" t="s">
        <v>10385</v>
      </c>
      <c r="F789" s="211" t="s">
        <v>7246</v>
      </c>
    </row>
    <row r="790" spans="1:6">
      <c r="A790" s="211" t="s">
        <v>2505</v>
      </c>
      <c r="B790" s="211">
        <v>5263</v>
      </c>
      <c r="C790" s="211">
        <v>870</v>
      </c>
      <c r="D790" s="211" t="s">
        <v>1117</v>
      </c>
      <c r="E790" s="211" t="s">
        <v>10441</v>
      </c>
      <c r="F790" s="211" t="s">
        <v>7383</v>
      </c>
    </row>
    <row r="791" spans="1:6">
      <c r="A791" s="211" t="s">
        <v>2506</v>
      </c>
      <c r="B791" s="211">
        <v>5980</v>
      </c>
      <c r="C791" s="211">
        <v>1170</v>
      </c>
      <c r="D791" s="211" t="s">
        <v>1255</v>
      </c>
      <c r="E791" s="211" t="s">
        <v>10385</v>
      </c>
      <c r="F791" s="211" t="s">
        <v>7316</v>
      </c>
    </row>
    <row r="792" spans="1:6">
      <c r="A792" s="211" t="s">
        <v>7535</v>
      </c>
      <c r="B792" s="211">
        <v>2077</v>
      </c>
      <c r="C792" s="211" t="s">
        <v>10385</v>
      </c>
      <c r="D792" s="211" t="s">
        <v>1255</v>
      </c>
      <c r="E792" s="211" t="s">
        <v>10385</v>
      </c>
      <c r="F792" s="211" t="s">
        <v>7284</v>
      </c>
    </row>
    <row r="793" spans="1:6">
      <c r="A793" s="211" t="s">
        <v>2507</v>
      </c>
      <c r="B793" s="211">
        <v>4000</v>
      </c>
      <c r="C793" s="211">
        <v>753</v>
      </c>
      <c r="D793" s="211" t="s">
        <v>1255</v>
      </c>
      <c r="E793" s="211" t="s">
        <v>10385</v>
      </c>
      <c r="F793" s="211" t="s">
        <v>7536</v>
      </c>
    </row>
    <row r="794" spans="1:6">
      <c r="A794" s="211" t="s">
        <v>2508</v>
      </c>
      <c r="B794" s="211">
        <v>2880</v>
      </c>
      <c r="C794" s="211">
        <v>921</v>
      </c>
      <c r="D794" s="211" t="s">
        <v>1255</v>
      </c>
      <c r="E794" s="211" t="s">
        <v>10385</v>
      </c>
      <c r="F794" s="211" t="s">
        <v>7331</v>
      </c>
    </row>
    <row r="795" spans="1:6">
      <c r="A795" s="211" t="s">
        <v>2509</v>
      </c>
      <c r="B795" s="211">
        <v>3042</v>
      </c>
      <c r="C795" s="211">
        <v>959</v>
      </c>
      <c r="D795" s="211" t="s">
        <v>1255</v>
      </c>
      <c r="E795" s="211" t="s">
        <v>10385</v>
      </c>
      <c r="F795" s="211" t="s">
        <v>7476</v>
      </c>
    </row>
    <row r="796" spans="1:6">
      <c r="A796" s="211" t="s">
        <v>2510</v>
      </c>
      <c r="B796" s="211">
        <v>3254</v>
      </c>
      <c r="C796" s="211">
        <v>1036</v>
      </c>
      <c r="D796" s="211" t="s">
        <v>1255</v>
      </c>
      <c r="E796" s="211" t="s">
        <v>10385</v>
      </c>
      <c r="F796" s="211" t="s">
        <v>7476</v>
      </c>
    </row>
    <row r="797" spans="1:6">
      <c r="A797" s="211" t="s">
        <v>7537</v>
      </c>
      <c r="B797" s="211">
        <v>703</v>
      </c>
      <c r="C797" s="211" t="s">
        <v>10385</v>
      </c>
      <c r="D797" s="211" t="s">
        <v>1255</v>
      </c>
      <c r="E797" s="211" t="s">
        <v>10385</v>
      </c>
      <c r="F797" s="211" t="s">
        <v>7210</v>
      </c>
    </row>
    <row r="798" spans="1:6">
      <c r="A798" s="211" t="s">
        <v>2511</v>
      </c>
      <c r="B798" s="211">
        <v>4647</v>
      </c>
      <c r="C798" s="211">
        <v>1204</v>
      </c>
      <c r="D798" s="211" t="s">
        <v>1255</v>
      </c>
      <c r="E798" s="211" t="s">
        <v>10385</v>
      </c>
      <c r="F798" s="211" t="s">
        <v>7275</v>
      </c>
    </row>
    <row r="799" spans="1:6">
      <c r="A799" s="211" t="s">
        <v>2512</v>
      </c>
      <c r="B799" s="211">
        <v>1938</v>
      </c>
      <c r="C799" s="211">
        <v>955</v>
      </c>
      <c r="D799" s="211" t="s">
        <v>1255</v>
      </c>
      <c r="E799" s="211" t="s">
        <v>10385</v>
      </c>
      <c r="F799" s="211" t="s">
        <v>7283</v>
      </c>
    </row>
    <row r="800" spans="1:6">
      <c r="A800" s="211" t="s">
        <v>2513</v>
      </c>
      <c r="B800" s="211">
        <v>3074</v>
      </c>
      <c r="C800" s="211">
        <v>996</v>
      </c>
      <c r="D800" s="211" t="s">
        <v>1255</v>
      </c>
      <c r="E800" s="211" t="s">
        <v>10385</v>
      </c>
      <c r="F800" s="211" t="s">
        <v>7538</v>
      </c>
    </row>
    <row r="801" spans="1:6">
      <c r="A801" s="211" t="s">
        <v>2514</v>
      </c>
      <c r="B801" s="211">
        <v>4941</v>
      </c>
      <c r="C801" s="211">
        <v>1302</v>
      </c>
      <c r="D801" s="211" t="s">
        <v>1255</v>
      </c>
      <c r="E801" s="211" t="s">
        <v>10385</v>
      </c>
      <c r="F801" s="211" t="s">
        <v>7508</v>
      </c>
    </row>
    <row r="802" spans="1:6">
      <c r="A802" s="211" t="s">
        <v>2515</v>
      </c>
      <c r="B802" s="211">
        <v>3775</v>
      </c>
      <c r="C802" s="211">
        <v>1211</v>
      </c>
      <c r="D802" s="211" t="s">
        <v>1255</v>
      </c>
      <c r="E802" s="211" t="s">
        <v>10385</v>
      </c>
      <c r="F802" s="211" t="s">
        <v>7262</v>
      </c>
    </row>
    <row r="803" spans="1:6">
      <c r="A803" s="211" t="s">
        <v>4839</v>
      </c>
      <c r="B803" s="211">
        <v>6067</v>
      </c>
      <c r="C803" s="211">
        <v>1908</v>
      </c>
      <c r="D803" s="211" t="s">
        <v>1255</v>
      </c>
      <c r="E803" s="211" t="s">
        <v>10385</v>
      </c>
      <c r="F803" s="211" t="s">
        <v>7427</v>
      </c>
    </row>
    <row r="804" spans="1:6">
      <c r="A804" s="211" t="s">
        <v>2516</v>
      </c>
      <c r="B804" s="211">
        <v>3230</v>
      </c>
      <c r="C804" s="211">
        <v>769</v>
      </c>
      <c r="D804" s="211" t="s">
        <v>1117</v>
      </c>
      <c r="E804" s="211" t="s">
        <v>10385</v>
      </c>
      <c r="F804" s="211" t="s">
        <v>7205</v>
      </c>
    </row>
    <row r="805" spans="1:6">
      <c r="A805" s="211" t="s">
        <v>7539</v>
      </c>
      <c r="B805" s="211">
        <v>235</v>
      </c>
      <c r="C805" s="211" t="s">
        <v>10385</v>
      </c>
      <c r="D805" s="211" t="s">
        <v>1255</v>
      </c>
      <c r="E805" s="211" t="s">
        <v>10385</v>
      </c>
      <c r="F805" s="211" t="s">
        <v>7171</v>
      </c>
    </row>
    <row r="806" spans="1:6">
      <c r="A806" s="211" t="s">
        <v>7540</v>
      </c>
      <c r="B806" s="211">
        <v>3717</v>
      </c>
      <c r="C806" s="211" t="s">
        <v>10385</v>
      </c>
      <c r="D806" s="211" t="s">
        <v>1255</v>
      </c>
      <c r="E806" s="211" t="s">
        <v>10385</v>
      </c>
      <c r="F806" s="211" t="s">
        <v>7192</v>
      </c>
    </row>
    <row r="807" spans="1:6">
      <c r="A807" s="211" t="s">
        <v>5314</v>
      </c>
      <c r="B807" s="211">
        <v>6832</v>
      </c>
      <c r="C807" s="211">
        <v>917</v>
      </c>
      <c r="D807" s="211" t="s">
        <v>1255</v>
      </c>
      <c r="E807" s="211" t="s">
        <v>10385</v>
      </c>
      <c r="F807" s="211" t="s">
        <v>7511</v>
      </c>
    </row>
    <row r="808" spans="1:6">
      <c r="A808" s="211" t="s">
        <v>2517</v>
      </c>
      <c r="B808" s="211">
        <v>667</v>
      </c>
      <c r="C808" s="211">
        <v>588</v>
      </c>
      <c r="D808" s="211" t="s">
        <v>1255</v>
      </c>
      <c r="E808" s="211" t="s">
        <v>10385</v>
      </c>
      <c r="F808" s="211" t="s">
        <v>7162</v>
      </c>
    </row>
    <row r="809" spans="1:6">
      <c r="A809" s="211" t="s">
        <v>2518</v>
      </c>
      <c r="B809" s="211">
        <v>822</v>
      </c>
      <c r="C809" s="211">
        <v>949</v>
      </c>
      <c r="D809" s="211" t="s">
        <v>1255</v>
      </c>
      <c r="E809" s="211" t="s">
        <v>10385</v>
      </c>
      <c r="F809" s="211" t="s">
        <v>7629</v>
      </c>
    </row>
    <row r="810" spans="1:6">
      <c r="A810" s="211" t="s">
        <v>6672</v>
      </c>
      <c r="B810" s="211">
        <v>7634</v>
      </c>
      <c r="C810" s="211">
        <v>921</v>
      </c>
      <c r="D810" s="211" t="s">
        <v>1255</v>
      </c>
      <c r="E810" s="211" t="s">
        <v>10385</v>
      </c>
      <c r="F810" s="211" t="s">
        <v>7235</v>
      </c>
    </row>
    <row r="811" spans="1:6">
      <c r="A811" s="211" t="s">
        <v>7541</v>
      </c>
      <c r="B811" s="211">
        <v>512</v>
      </c>
      <c r="C811" s="211" t="s">
        <v>10385</v>
      </c>
      <c r="D811" s="211" t="s">
        <v>1255</v>
      </c>
      <c r="E811" s="211" t="s">
        <v>10385</v>
      </c>
      <c r="F811" s="211" t="s">
        <v>7318</v>
      </c>
    </row>
    <row r="812" spans="1:6">
      <c r="A812" s="211" t="s">
        <v>7542</v>
      </c>
      <c r="B812" s="211">
        <v>90</v>
      </c>
      <c r="C812" s="211" t="s">
        <v>10385</v>
      </c>
      <c r="D812" s="211" t="s">
        <v>1255</v>
      </c>
      <c r="E812" s="211" t="s">
        <v>10385</v>
      </c>
      <c r="F812" s="211" t="s">
        <v>7402</v>
      </c>
    </row>
    <row r="813" spans="1:6">
      <c r="A813" s="211" t="s">
        <v>2519</v>
      </c>
      <c r="B813" s="211">
        <v>2754</v>
      </c>
      <c r="C813" s="211">
        <v>894</v>
      </c>
      <c r="D813" s="211" t="s">
        <v>1255</v>
      </c>
      <c r="E813" s="211" t="s">
        <v>10385</v>
      </c>
      <c r="F813" s="211" t="s">
        <v>7399</v>
      </c>
    </row>
    <row r="814" spans="1:6">
      <c r="A814" s="211" t="s">
        <v>10342</v>
      </c>
      <c r="B814" s="211">
        <v>1213</v>
      </c>
      <c r="C814" s="211" t="s">
        <v>10385</v>
      </c>
      <c r="D814" s="211" t="s">
        <v>1255</v>
      </c>
      <c r="E814" s="211" t="s">
        <v>10385</v>
      </c>
      <c r="F814" s="211" t="s">
        <v>7204</v>
      </c>
    </row>
    <row r="815" spans="1:6">
      <c r="A815" s="211" t="s">
        <v>8885</v>
      </c>
      <c r="B815" s="211">
        <v>876</v>
      </c>
      <c r="C815" s="211">
        <v>1107</v>
      </c>
      <c r="D815" s="211" t="s">
        <v>1255</v>
      </c>
      <c r="E815" s="211" t="s">
        <v>10385</v>
      </c>
      <c r="F815" s="211" t="s">
        <v>7257</v>
      </c>
    </row>
    <row r="816" spans="1:6">
      <c r="A816" s="211" t="s">
        <v>8886</v>
      </c>
      <c r="B816" s="211">
        <v>5847</v>
      </c>
      <c r="C816" s="211">
        <v>1107</v>
      </c>
      <c r="D816" s="211" t="s">
        <v>1255</v>
      </c>
      <c r="E816" s="211" t="s">
        <v>10385</v>
      </c>
      <c r="F816" s="211" t="s">
        <v>7241</v>
      </c>
    </row>
    <row r="817" spans="1:6">
      <c r="A817" s="211" t="s">
        <v>7543</v>
      </c>
      <c r="B817" s="211">
        <v>7875</v>
      </c>
      <c r="C817" s="211">
        <v>1238</v>
      </c>
      <c r="D817" s="211" t="s">
        <v>1117</v>
      </c>
      <c r="E817" s="211" t="s">
        <v>10442</v>
      </c>
      <c r="F817" s="211" t="s">
        <v>7205</v>
      </c>
    </row>
    <row r="818" spans="1:6">
      <c r="A818" s="211" t="s">
        <v>4723</v>
      </c>
      <c r="B818" s="211">
        <v>5590</v>
      </c>
      <c r="C818" s="211">
        <v>680</v>
      </c>
      <c r="D818" s="211" t="s">
        <v>1117</v>
      </c>
      <c r="E818" s="211" t="s">
        <v>10385</v>
      </c>
      <c r="F818" s="211" t="s">
        <v>7510</v>
      </c>
    </row>
    <row r="819" spans="1:6">
      <c r="A819" s="211" t="s">
        <v>7544</v>
      </c>
      <c r="B819" s="211">
        <v>160</v>
      </c>
      <c r="C819" s="211" t="s">
        <v>10385</v>
      </c>
      <c r="D819" s="211" t="s">
        <v>1255</v>
      </c>
      <c r="E819" s="211" t="s">
        <v>10385</v>
      </c>
      <c r="F819" s="211" t="s">
        <v>7306</v>
      </c>
    </row>
    <row r="820" spans="1:6">
      <c r="A820" s="211" t="s">
        <v>7545</v>
      </c>
      <c r="B820" s="211">
        <v>7799</v>
      </c>
      <c r="C820" s="211" t="s">
        <v>10385</v>
      </c>
      <c r="D820" s="211" t="s">
        <v>1117</v>
      </c>
      <c r="E820" s="211" t="s">
        <v>10385</v>
      </c>
      <c r="F820" s="211" t="s">
        <v>7205</v>
      </c>
    </row>
    <row r="821" spans="1:6">
      <c r="A821" s="211" t="s">
        <v>5592</v>
      </c>
      <c r="B821" s="211">
        <v>7507</v>
      </c>
      <c r="C821" s="211">
        <v>769</v>
      </c>
      <c r="D821" s="211" t="s">
        <v>1255</v>
      </c>
      <c r="E821" s="211" t="s">
        <v>9142</v>
      </c>
      <c r="F821" s="211" t="s">
        <v>7284</v>
      </c>
    </row>
    <row r="822" spans="1:6">
      <c r="A822" s="211" t="s">
        <v>2520</v>
      </c>
      <c r="B822" s="211">
        <v>4664</v>
      </c>
      <c r="C822" s="211">
        <v>1078</v>
      </c>
      <c r="D822" s="211" t="s">
        <v>1255</v>
      </c>
      <c r="E822" s="211" t="s">
        <v>10385</v>
      </c>
      <c r="F822" s="211" t="s">
        <v>7162</v>
      </c>
    </row>
    <row r="823" spans="1:6">
      <c r="A823" s="211" t="s">
        <v>10443</v>
      </c>
      <c r="B823" s="211">
        <v>8660</v>
      </c>
      <c r="C823" s="211">
        <v>1276</v>
      </c>
      <c r="D823" s="211" t="s">
        <v>1255</v>
      </c>
      <c r="E823" s="211" t="s">
        <v>10444</v>
      </c>
      <c r="F823" s="211" t="s">
        <v>10445</v>
      </c>
    </row>
    <row r="824" spans="1:6">
      <c r="A824" s="211" t="s">
        <v>2521</v>
      </c>
      <c r="B824" s="211">
        <v>3553</v>
      </c>
      <c r="C824" s="211">
        <v>978</v>
      </c>
      <c r="D824" s="211" t="s">
        <v>1117</v>
      </c>
      <c r="E824" s="211" t="s">
        <v>10385</v>
      </c>
      <c r="F824" s="211" t="s">
        <v>7275</v>
      </c>
    </row>
    <row r="825" spans="1:6">
      <c r="A825" s="211" t="s">
        <v>5593</v>
      </c>
      <c r="B825" s="211">
        <v>7067</v>
      </c>
      <c r="C825" s="211">
        <v>702</v>
      </c>
      <c r="D825" s="211" t="s">
        <v>1117</v>
      </c>
      <c r="E825" s="211" t="s">
        <v>10385</v>
      </c>
      <c r="F825" s="211" t="s">
        <v>7257</v>
      </c>
    </row>
    <row r="826" spans="1:6">
      <c r="A826" s="211" t="s">
        <v>2522</v>
      </c>
      <c r="B826" s="211">
        <v>4214</v>
      </c>
      <c r="C826" s="211">
        <v>1004</v>
      </c>
      <c r="D826" s="211" t="s">
        <v>1255</v>
      </c>
      <c r="E826" s="211" t="s">
        <v>10385</v>
      </c>
      <c r="F826" s="211" t="s">
        <v>7430</v>
      </c>
    </row>
    <row r="827" spans="1:6">
      <c r="A827" s="211" t="s">
        <v>4974</v>
      </c>
      <c r="B827" s="211">
        <v>6966</v>
      </c>
      <c r="C827" s="211">
        <v>1648</v>
      </c>
      <c r="D827" s="211" t="s">
        <v>1255</v>
      </c>
      <c r="E827" s="211" t="s">
        <v>10385</v>
      </c>
      <c r="F827" s="211" t="s">
        <v>7283</v>
      </c>
    </row>
    <row r="828" spans="1:6">
      <c r="A828" s="211" t="s">
        <v>2523</v>
      </c>
      <c r="B828" s="211">
        <v>3321</v>
      </c>
      <c r="C828" s="211">
        <v>884</v>
      </c>
      <c r="D828" s="211" t="s">
        <v>1255</v>
      </c>
      <c r="E828" s="211" t="s">
        <v>10385</v>
      </c>
      <c r="F828" s="211" t="s">
        <v>7195</v>
      </c>
    </row>
    <row r="829" spans="1:6">
      <c r="A829" s="211" t="s">
        <v>2524</v>
      </c>
      <c r="B829" s="211">
        <v>5150</v>
      </c>
      <c r="C829" s="211">
        <v>882</v>
      </c>
      <c r="D829" s="211" t="s">
        <v>1255</v>
      </c>
      <c r="E829" s="211" t="s">
        <v>10385</v>
      </c>
      <c r="F829" s="211" t="s">
        <v>7354</v>
      </c>
    </row>
    <row r="830" spans="1:6">
      <c r="A830" s="211" t="s">
        <v>2525</v>
      </c>
      <c r="B830" s="211">
        <v>5354</v>
      </c>
      <c r="C830" s="211">
        <v>932</v>
      </c>
      <c r="D830" s="211" t="s">
        <v>1255</v>
      </c>
      <c r="E830" s="211" t="s">
        <v>10385</v>
      </c>
      <c r="F830" s="211" t="s">
        <v>7223</v>
      </c>
    </row>
    <row r="831" spans="1:6">
      <c r="A831" s="211" t="s">
        <v>10343</v>
      </c>
      <c r="B831" s="211">
        <v>902</v>
      </c>
      <c r="C831" s="211" t="s">
        <v>10385</v>
      </c>
      <c r="D831" s="211" t="s">
        <v>1255</v>
      </c>
      <c r="E831" s="211" t="s">
        <v>10385</v>
      </c>
      <c r="F831" s="211" t="s">
        <v>7356</v>
      </c>
    </row>
    <row r="832" spans="1:6">
      <c r="A832" s="211" t="s">
        <v>7546</v>
      </c>
      <c r="B832" s="211">
        <v>562</v>
      </c>
      <c r="C832" s="211" t="s">
        <v>10385</v>
      </c>
      <c r="D832" s="211" t="s">
        <v>1255</v>
      </c>
      <c r="E832" s="211" t="s">
        <v>10385</v>
      </c>
      <c r="F832" s="211" t="s">
        <v>7262</v>
      </c>
    </row>
    <row r="833" spans="1:6">
      <c r="A833" s="211" t="s">
        <v>7547</v>
      </c>
      <c r="B833" s="211">
        <v>578</v>
      </c>
      <c r="C833" s="211" t="s">
        <v>10385</v>
      </c>
      <c r="D833" s="211" t="s">
        <v>1255</v>
      </c>
      <c r="E833" s="211" t="s">
        <v>10385</v>
      </c>
      <c r="F833" s="211" t="s">
        <v>7356</v>
      </c>
    </row>
    <row r="834" spans="1:6">
      <c r="A834" s="211" t="s">
        <v>2526</v>
      </c>
      <c r="B834" s="211">
        <v>1883</v>
      </c>
      <c r="C834" s="211">
        <v>2117</v>
      </c>
      <c r="D834" s="211" t="s">
        <v>1255</v>
      </c>
      <c r="E834" s="211" t="s">
        <v>10385</v>
      </c>
      <c r="F834" s="211" t="s">
        <v>7238</v>
      </c>
    </row>
    <row r="835" spans="1:6">
      <c r="A835" s="211" t="s">
        <v>2527</v>
      </c>
      <c r="B835" s="211">
        <v>4692</v>
      </c>
      <c r="C835" s="211">
        <v>1086</v>
      </c>
      <c r="D835" s="211" t="s">
        <v>1255</v>
      </c>
      <c r="E835" s="211" t="s">
        <v>10385</v>
      </c>
      <c r="F835" s="211" t="s">
        <v>7284</v>
      </c>
    </row>
    <row r="836" spans="1:6">
      <c r="A836" s="211" t="s">
        <v>9143</v>
      </c>
      <c r="B836" s="211">
        <v>8113</v>
      </c>
      <c r="C836" s="211">
        <v>2296</v>
      </c>
      <c r="D836" s="211" t="s">
        <v>1255</v>
      </c>
      <c r="E836" s="211" t="s">
        <v>9144</v>
      </c>
      <c r="F836" s="211" t="s">
        <v>7167</v>
      </c>
    </row>
    <row r="837" spans="1:6">
      <c r="A837" s="211" t="s">
        <v>7548</v>
      </c>
      <c r="B837" s="211">
        <v>341</v>
      </c>
      <c r="C837" s="211" t="s">
        <v>10385</v>
      </c>
      <c r="D837" s="211" t="s">
        <v>1255</v>
      </c>
      <c r="E837" s="211" t="s">
        <v>10385</v>
      </c>
      <c r="F837" s="211" t="s">
        <v>7239</v>
      </c>
    </row>
    <row r="838" spans="1:6">
      <c r="A838" s="211" t="s">
        <v>2528</v>
      </c>
      <c r="B838" s="211">
        <v>465</v>
      </c>
      <c r="C838" s="211">
        <v>1750</v>
      </c>
      <c r="D838" s="211" t="s">
        <v>1255</v>
      </c>
      <c r="E838" s="211" t="s">
        <v>10385</v>
      </c>
      <c r="F838" s="211" t="s">
        <v>7351</v>
      </c>
    </row>
    <row r="839" spans="1:6">
      <c r="A839" s="211" t="s">
        <v>2529</v>
      </c>
      <c r="B839" s="211">
        <v>1143</v>
      </c>
      <c r="C839" s="211">
        <v>1793</v>
      </c>
      <c r="D839" s="211" t="s">
        <v>1255</v>
      </c>
      <c r="E839" s="211" t="s">
        <v>10385</v>
      </c>
      <c r="F839" s="211" t="s">
        <v>7316</v>
      </c>
    </row>
    <row r="840" spans="1:6">
      <c r="A840" s="211" t="s">
        <v>7549</v>
      </c>
      <c r="B840" s="211">
        <v>7854</v>
      </c>
      <c r="C840" s="211">
        <v>959</v>
      </c>
      <c r="D840" s="211" t="s">
        <v>1255</v>
      </c>
      <c r="E840" s="211" t="s">
        <v>9145</v>
      </c>
      <c r="F840" s="211" t="s">
        <v>7446</v>
      </c>
    </row>
    <row r="841" spans="1:6">
      <c r="A841" s="211" t="s">
        <v>2530</v>
      </c>
      <c r="B841" s="211">
        <v>2423</v>
      </c>
      <c r="C841" s="211">
        <v>912</v>
      </c>
      <c r="D841" s="211" t="s">
        <v>1255</v>
      </c>
      <c r="E841" s="211" t="s">
        <v>10385</v>
      </c>
      <c r="F841" s="211" t="s">
        <v>7167</v>
      </c>
    </row>
    <row r="842" spans="1:6">
      <c r="A842" s="211" t="s">
        <v>2531</v>
      </c>
      <c r="B842" s="211">
        <v>5643</v>
      </c>
      <c r="C842" s="211">
        <v>978</v>
      </c>
      <c r="D842" s="211" t="s">
        <v>1117</v>
      </c>
      <c r="E842" s="211" t="s">
        <v>10385</v>
      </c>
      <c r="F842" s="211" t="s">
        <v>7241</v>
      </c>
    </row>
    <row r="843" spans="1:6">
      <c r="A843" s="211" t="s">
        <v>5594</v>
      </c>
      <c r="B843" s="211">
        <v>7384</v>
      </c>
      <c r="C843" s="211">
        <v>816</v>
      </c>
      <c r="D843" s="211" t="s">
        <v>1117</v>
      </c>
      <c r="E843" s="211" t="s">
        <v>5595</v>
      </c>
      <c r="F843" s="211" t="s">
        <v>7241</v>
      </c>
    </row>
    <row r="844" spans="1:6">
      <c r="A844" s="211" t="s">
        <v>4975</v>
      </c>
      <c r="B844" s="211">
        <v>6847</v>
      </c>
      <c r="C844" s="211">
        <v>843</v>
      </c>
      <c r="D844" s="211" t="s">
        <v>1255</v>
      </c>
      <c r="E844" s="211" t="s">
        <v>10385</v>
      </c>
      <c r="F844" s="211" t="s">
        <v>7457</v>
      </c>
    </row>
    <row r="845" spans="1:6">
      <c r="A845" s="211" t="s">
        <v>2532</v>
      </c>
      <c r="B845" s="211">
        <v>4116</v>
      </c>
      <c r="C845" s="211">
        <v>1104</v>
      </c>
      <c r="D845" s="211" t="s">
        <v>1255</v>
      </c>
      <c r="E845" s="211" t="s">
        <v>10385</v>
      </c>
      <c r="F845" s="211" t="s">
        <v>7320</v>
      </c>
    </row>
    <row r="846" spans="1:6">
      <c r="A846" s="211" t="s">
        <v>2533</v>
      </c>
      <c r="B846" s="211">
        <v>4854</v>
      </c>
      <c r="C846" s="211">
        <v>1064</v>
      </c>
      <c r="D846" s="211" t="s">
        <v>1117</v>
      </c>
      <c r="E846" s="211" t="s">
        <v>10385</v>
      </c>
      <c r="F846" s="211" t="s">
        <v>7240</v>
      </c>
    </row>
    <row r="847" spans="1:6">
      <c r="A847" s="211" t="s">
        <v>4976</v>
      </c>
      <c r="B847" s="211">
        <v>6595</v>
      </c>
      <c r="C847" s="211">
        <v>1835</v>
      </c>
      <c r="D847" s="211" t="s">
        <v>1255</v>
      </c>
      <c r="E847" s="211" t="s">
        <v>10385</v>
      </c>
      <c r="F847" s="211" t="s">
        <v>7189</v>
      </c>
    </row>
    <row r="848" spans="1:6">
      <c r="A848" s="211" t="s">
        <v>7550</v>
      </c>
      <c r="B848" s="211">
        <v>16</v>
      </c>
      <c r="C848" s="211" t="s">
        <v>10385</v>
      </c>
      <c r="D848" s="211" t="s">
        <v>1255</v>
      </c>
      <c r="E848" s="211" t="s">
        <v>10385</v>
      </c>
      <c r="F848" s="211" t="s">
        <v>7231</v>
      </c>
    </row>
    <row r="849" spans="1:6">
      <c r="A849" s="211" t="s">
        <v>2534</v>
      </c>
      <c r="B849" s="211">
        <v>4940</v>
      </c>
      <c r="C849" s="211">
        <v>1093</v>
      </c>
      <c r="D849" s="211" t="s">
        <v>1255</v>
      </c>
      <c r="E849" s="211" t="s">
        <v>10385</v>
      </c>
      <c r="F849" s="211" t="s">
        <v>7380</v>
      </c>
    </row>
    <row r="850" spans="1:6">
      <c r="A850" s="211" t="s">
        <v>9146</v>
      </c>
      <c r="B850" s="211">
        <v>8490</v>
      </c>
      <c r="C850" s="211">
        <v>1227</v>
      </c>
      <c r="D850" s="211" t="s">
        <v>1255</v>
      </c>
      <c r="E850" s="211" t="s">
        <v>10446</v>
      </c>
      <c r="F850" s="211" t="s">
        <v>7507</v>
      </c>
    </row>
    <row r="851" spans="1:6">
      <c r="A851" s="211" t="s">
        <v>7551</v>
      </c>
      <c r="B851" s="211">
        <v>3708</v>
      </c>
      <c r="C851" s="211" t="s">
        <v>10385</v>
      </c>
      <c r="D851" s="211" t="s">
        <v>1255</v>
      </c>
      <c r="E851" s="211" t="s">
        <v>10385</v>
      </c>
      <c r="F851" s="211" t="s">
        <v>7240</v>
      </c>
    </row>
    <row r="852" spans="1:6">
      <c r="A852" s="211" t="s">
        <v>7552</v>
      </c>
      <c r="B852" s="211">
        <v>139</v>
      </c>
      <c r="C852" s="211" t="s">
        <v>10385</v>
      </c>
      <c r="D852" s="211" t="s">
        <v>1255</v>
      </c>
      <c r="E852" s="211" t="s">
        <v>10385</v>
      </c>
      <c r="F852" s="211" t="s">
        <v>7232</v>
      </c>
    </row>
    <row r="853" spans="1:6">
      <c r="A853" s="211" t="s">
        <v>7553</v>
      </c>
      <c r="B853" s="211">
        <v>22</v>
      </c>
      <c r="C853" s="211" t="s">
        <v>10385</v>
      </c>
      <c r="D853" s="211" t="s">
        <v>1255</v>
      </c>
      <c r="E853" s="211" t="s">
        <v>10385</v>
      </c>
      <c r="F853" s="211" t="s">
        <v>7356</v>
      </c>
    </row>
    <row r="854" spans="1:6">
      <c r="A854" s="211" t="s">
        <v>2535</v>
      </c>
      <c r="B854" s="211">
        <v>5205</v>
      </c>
      <c r="C854" s="211">
        <v>799</v>
      </c>
      <c r="D854" s="211" t="s">
        <v>1255</v>
      </c>
      <c r="E854" s="211" t="s">
        <v>10385</v>
      </c>
      <c r="F854" s="211" t="s">
        <v>7303</v>
      </c>
    </row>
    <row r="855" spans="1:6">
      <c r="A855" s="211" t="s">
        <v>2536</v>
      </c>
      <c r="B855" s="211">
        <v>750</v>
      </c>
      <c r="C855" s="211">
        <v>1041</v>
      </c>
      <c r="D855" s="211" t="s">
        <v>1255</v>
      </c>
      <c r="E855" s="211" t="s">
        <v>10385</v>
      </c>
      <c r="F855" s="211" t="s">
        <v>7318</v>
      </c>
    </row>
    <row r="856" spans="1:6">
      <c r="A856" s="211" t="s">
        <v>5596</v>
      </c>
      <c r="B856" s="211">
        <v>7592</v>
      </c>
      <c r="C856" s="211">
        <v>725</v>
      </c>
      <c r="D856" s="211" t="s">
        <v>1255</v>
      </c>
      <c r="E856" s="211" t="s">
        <v>5597</v>
      </c>
      <c r="F856" s="211" t="s">
        <v>7282</v>
      </c>
    </row>
    <row r="857" spans="1:6">
      <c r="A857" s="211" t="s">
        <v>7554</v>
      </c>
      <c r="B857" s="211">
        <v>7851</v>
      </c>
      <c r="C857" s="211">
        <v>1674</v>
      </c>
      <c r="D857" s="211" t="s">
        <v>1255</v>
      </c>
      <c r="E857" s="211" t="s">
        <v>9147</v>
      </c>
      <c r="F857" s="211" t="s">
        <v>7240</v>
      </c>
    </row>
    <row r="858" spans="1:6">
      <c r="A858" s="211" t="s">
        <v>4977</v>
      </c>
      <c r="B858" s="211">
        <v>6994</v>
      </c>
      <c r="C858" s="211">
        <v>922</v>
      </c>
      <c r="D858" s="211" t="s">
        <v>1255</v>
      </c>
      <c r="E858" s="211" t="s">
        <v>9147</v>
      </c>
      <c r="F858" s="211" t="s">
        <v>7240</v>
      </c>
    </row>
    <row r="859" spans="1:6">
      <c r="A859" s="211" t="s">
        <v>5357</v>
      </c>
      <c r="B859" s="211">
        <v>4788</v>
      </c>
      <c r="C859" s="211">
        <v>985</v>
      </c>
      <c r="D859" s="211" t="s">
        <v>1255</v>
      </c>
      <c r="E859" s="211" t="s">
        <v>10385</v>
      </c>
      <c r="F859" s="211" t="s">
        <v>7518</v>
      </c>
    </row>
    <row r="860" spans="1:6">
      <c r="A860" s="211" t="s">
        <v>7555</v>
      </c>
      <c r="B860" s="211">
        <v>121</v>
      </c>
      <c r="C860" s="211" t="s">
        <v>10385</v>
      </c>
      <c r="D860" s="211" t="s">
        <v>1255</v>
      </c>
      <c r="E860" s="211" t="s">
        <v>10385</v>
      </c>
      <c r="F860" s="211" t="s">
        <v>7483</v>
      </c>
    </row>
    <row r="861" spans="1:6">
      <c r="A861" s="211" t="s">
        <v>4655</v>
      </c>
      <c r="B861" s="211">
        <v>6414</v>
      </c>
      <c r="C861" s="211">
        <v>767</v>
      </c>
      <c r="D861" s="211" t="s">
        <v>1255</v>
      </c>
      <c r="E861" s="211" t="s">
        <v>10385</v>
      </c>
      <c r="F861" s="211" t="s">
        <v>7556</v>
      </c>
    </row>
    <row r="862" spans="1:6">
      <c r="A862" s="211" t="s">
        <v>2537</v>
      </c>
      <c r="B862" s="211">
        <v>1227</v>
      </c>
      <c r="C862" s="211">
        <v>923</v>
      </c>
      <c r="D862" s="211" t="s">
        <v>1255</v>
      </c>
      <c r="E862" s="211" t="s">
        <v>10385</v>
      </c>
      <c r="F862" s="211" t="s">
        <v>7265</v>
      </c>
    </row>
    <row r="863" spans="1:6">
      <c r="A863" s="211" t="s">
        <v>5358</v>
      </c>
      <c r="B863" s="211">
        <v>4912</v>
      </c>
      <c r="C863" s="211">
        <v>1121</v>
      </c>
      <c r="D863" s="211" t="s">
        <v>1255</v>
      </c>
      <c r="E863" s="211" t="s">
        <v>10385</v>
      </c>
      <c r="F863" s="211" t="s">
        <v>7343</v>
      </c>
    </row>
    <row r="864" spans="1:6">
      <c r="A864" s="211" t="s">
        <v>4978</v>
      </c>
      <c r="B864" s="211">
        <v>5308</v>
      </c>
      <c r="C864" s="211">
        <v>1091</v>
      </c>
      <c r="D864" s="211" t="s">
        <v>1255</v>
      </c>
      <c r="E864" s="211" t="s">
        <v>5598</v>
      </c>
      <c r="F864" s="211" t="s">
        <v>7446</v>
      </c>
    </row>
    <row r="865" spans="1:6">
      <c r="A865" s="211" t="s">
        <v>4824</v>
      </c>
      <c r="B865" s="211">
        <v>6091</v>
      </c>
      <c r="C865" s="211">
        <v>1554</v>
      </c>
      <c r="D865" s="211" t="s">
        <v>1255</v>
      </c>
      <c r="E865" s="211" t="s">
        <v>6673</v>
      </c>
      <c r="F865" s="211" t="s">
        <v>7457</v>
      </c>
    </row>
    <row r="866" spans="1:6">
      <c r="A866" s="211" t="s">
        <v>4825</v>
      </c>
      <c r="B866" s="211">
        <v>6090</v>
      </c>
      <c r="C866" s="211">
        <v>1510</v>
      </c>
      <c r="D866" s="211" t="s">
        <v>1255</v>
      </c>
      <c r="E866" s="211" t="s">
        <v>6674</v>
      </c>
      <c r="F866" s="211" t="s">
        <v>7457</v>
      </c>
    </row>
    <row r="867" spans="1:6">
      <c r="A867" s="211" t="s">
        <v>7557</v>
      </c>
      <c r="B867" s="211">
        <v>398</v>
      </c>
      <c r="C867" s="211" t="s">
        <v>10385</v>
      </c>
      <c r="D867" s="211" t="s">
        <v>1255</v>
      </c>
      <c r="E867" s="211" t="s">
        <v>10385</v>
      </c>
      <c r="F867" s="211" t="s">
        <v>7351</v>
      </c>
    </row>
    <row r="868" spans="1:6">
      <c r="A868" s="211" t="s">
        <v>2538</v>
      </c>
      <c r="B868" s="211">
        <v>1716</v>
      </c>
      <c r="C868" s="211">
        <v>1888</v>
      </c>
      <c r="D868" s="211" t="s">
        <v>1255</v>
      </c>
      <c r="E868" s="211" t="s">
        <v>10385</v>
      </c>
      <c r="F868" s="211" t="s">
        <v>7354</v>
      </c>
    </row>
    <row r="869" spans="1:6">
      <c r="A869" s="211" t="s">
        <v>8887</v>
      </c>
      <c r="B869" s="211">
        <v>3761</v>
      </c>
      <c r="C869" s="211">
        <v>1758</v>
      </c>
      <c r="D869" s="211" t="s">
        <v>1255</v>
      </c>
      <c r="E869" s="211" t="s">
        <v>10385</v>
      </c>
      <c r="F869" s="211" t="s">
        <v>7526</v>
      </c>
    </row>
    <row r="870" spans="1:6">
      <c r="A870" s="211" t="s">
        <v>8888</v>
      </c>
      <c r="B870" s="211">
        <v>6631</v>
      </c>
      <c r="C870" s="211">
        <v>1758</v>
      </c>
      <c r="D870" s="211" t="s">
        <v>1255</v>
      </c>
      <c r="E870" s="211" t="s">
        <v>10385</v>
      </c>
      <c r="F870" s="211" t="s">
        <v>7373</v>
      </c>
    </row>
    <row r="871" spans="1:6">
      <c r="A871" s="211" t="s">
        <v>7558</v>
      </c>
      <c r="B871" s="211">
        <v>3334</v>
      </c>
      <c r="C871" s="211">
        <v>1514</v>
      </c>
      <c r="D871" s="211" t="s">
        <v>1255</v>
      </c>
      <c r="E871" s="211" t="s">
        <v>10385</v>
      </c>
      <c r="F871" s="211" t="s">
        <v>7285</v>
      </c>
    </row>
    <row r="872" spans="1:6">
      <c r="A872" s="211" t="s">
        <v>2539</v>
      </c>
      <c r="B872" s="211">
        <v>3482</v>
      </c>
      <c r="C872" s="211">
        <v>1423</v>
      </c>
      <c r="D872" s="211" t="s">
        <v>1255</v>
      </c>
      <c r="E872" s="211" t="s">
        <v>10385</v>
      </c>
      <c r="F872" s="211" t="s">
        <v>7208</v>
      </c>
    </row>
    <row r="873" spans="1:6">
      <c r="A873" s="211" t="s">
        <v>2540</v>
      </c>
      <c r="B873" s="211">
        <v>1389</v>
      </c>
      <c r="C873" s="211">
        <v>1351</v>
      </c>
      <c r="D873" s="211" t="s">
        <v>1255</v>
      </c>
      <c r="E873" s="211" t="s">
        <v>10385</v>
      </c>
      <c r="F873" s="211" t="s">
        <v>7318</v>
      </c>
    </row>
    <row r="874" spans="1:6">
      <c r="A874" s="211" t="s">
        <v>7559</v>
      </c>
      <c r="B874" s="211">
        <v>1857</v>
      </c>
      <c r="C874" s="211" t="s">
        <v>10385</v>
      </c>
      <c r="D874" s="211" t="s">
        <v>1255</v>
      </c>
      <c r="E874" s="211" t="s">
        <v>10385</v>
      </c>
      <c r="F874" s="211" t="s">
        <v>7203</v>
      </c>
    </row>
    <row r="875" spans="1:6">
      <c r="A875" s="211" t="s">
        <v>2541</v>
      </c>
      <c r="B875" s="211">
        <v>3669</v>
      </c>
      <c r="C875" s="211">
        <v>1083</v>
      </c>
      <c r="D875" s="211" t="s">
        <v>1117</v>
      </c>
      <c r="E875" s="211" t="s">
        <v>10385</v>
      </c>
      <c r="F875" s="211" t="s">
        <v>7224</v>
      </c>
    </row>
    <row r="876" spans="1:6">
      <c r="A876" s="211" t="s">
        <v>4530</v>
      </c>
      <c r="B876" s="211">
        <v>6576</v>
      </c>
      <c r="C876" s="211">
        <v>1078</v>
      </c>
      <c r="D876" s="211" t="s">
        <v>1255</v>
      </c>
      <c r="E876" s="211" t="s">
        <v>10447</v>
      </c>
      <c r="F876" s="211" t="s">
        <v>7287</v>
      </c>
    </row>
    <row r="877" spans="1:6">
      <c r="A877" s="211" t="s">
        <v>2542</v>
      </c>
      <c r="B877" s="211">
        <v>805</v>
      </c>
      <c r="C877" s="211">
        <v>1010</v>
      </c>
      <c r="D877" s="211" t="s">
        <v>1117</v>
      </c>
      <c r="E877" s="211" t="s">
        <v>10385</v>
      </c>
      <c r="F877" s="211" t="s">
        <v>7343</v>
      </c>
    </row>
    <row r="878" spans="1:6">
      <c r="A878" s="211" t="s">
        <v>6675</v>
      </c>
      <c r="B878" s="211">
        <v>7754</v>
      </c>
      <c r="C878" s="211">
        <v>924</v>
      </c>
      <c r="D878" s="211" t="s">
        <v>1255</v>
      </c>
      <c r="E878" s="211" t="s">
        <v>6676</v>
      </c>
      <c r="F878" s="211" t="s">
        <v>7561</v>
      </c>
    </row>
    <row r="879" spans="1:6">
      <c r="A879" s="211" t="s">
        <v>2543</v>
      </c>
      <c r="B879" s="211">
        <v>3836</v>
      </c>
      <c r="C879" s="211">
        <v>920</v>
      </c>
      <c r="D879" s="211" t="s">
        <v>1255</v>
      </c>
      <c r="E879" s="211" t="s">
        <v>10385</v>
      </c>
      <c r="F879" s="211" t="s">
        <v>7510</v>
      </c>
    </row>
    <row r="880" spans="1:6">
      <c r="A880" s="211" t="s">
        <v>9148</v>
      </c>
      <c r="B880" s="211">
        <v>8108</v>
      </c>
      <c r="C880" s="211">
        <v>1160</v>
      </c>
      <c r="D880" s="211" t="s">
        <v>1117</v>
      </c>
      <c r="E880" s="211" t="s">
        <v>10448</v>
      </c>
      <c r="F880" s="211" t="s">
        <v>7383</v>
      </c>
    </row>
    <row r="881" spans="1:6">
      <c r="A881" s="211" t="s">
        <v>2544</v>
      </c>
      <c r="B881" s="211">
        <v>4540</v>
      </c>
      <c r="C881" s="211">
        <v>931</v>
      </c>
      <c r="D881" s="211" t="s">
        <v>1117</v>
      </c>
      <c r="E881" s="211" t="s">
        <v>10385</v>
      </c>
      <c r="F881" s="211" t="s">
        <v>7262</v>
      </c>
    </row>
    <row r="882" spans="1:6">
      <c r="A882" s="211" t="s">
        <v>5599</v>
      </c>
      <c r="B882" s="211">
        <v>7085</v>
      </c>
      <c r="C882" s="211">
        <v>1024</v>
      </c>
      <c r="D882" s="211" t="s">
        <v>1255</v>
      </c>
      <c r="E882" s="211" t="s">
        <v>9149</v>
      </c>
      <c r="F882" s="211" t="s">
        <v>7415</v>
      </c>
    </row>
    <row r="883" spans="1:6">
      <c r="A883" s="211" t="s">
        <v>4915</v>
      </c>
      <c r="B883" s="211">
        <v>2184</v>
      </c>
      <c r="C883" s="211">
        <v>1037</v>
      </c>
      <c r="D883" s="211" t="s">
        <v>1117</v>
      </c>
      <c r="E883" s="211" t="s">
        <v>10385</v>
      </c>
      <c r="F883" s="211" t="s">
        <v>7386</v>
      </c>
    </row>
    <row r="884" spans="1:6">
      <c r="A884" s="211" t="s">
        <v>2545</v>
      </c>
      <c r="B884" s="211">
        <v>5497</v>
      </c>
      <c r="C884" s="211">
        <v>1254</v>
      </c>
      <c r="D884" s="211" t="s">
        <v>1255</v>
      </c>
      <c r="E884" s="211" t="s">
        <v>6677</v>
      </c>
      <c r="F884" s="211" t="s">
        <v>7219</v>
      </c>
    </row>
    <row r="885" spans="1:6">
      <c r="A885" s="211" t="s">
        <v>2546</v>
      </c>
      <c r="B885" s="211">
        <v>1386</v>
      </c>
      <c r="C885" s="211">
        <v>1557</v>
      </c>
      <c r="D885" s="211" t="s">
        <v>1255</v>
      </c>
      <c r="E885" s="211" t="s">
        <v>10385</v>
      </c>
      <c r="F885" s="211" t="s">
        <v>7272</v>
      </c>
    </row>
    <row r="886" spans="1:6">
      <c r="A886" s="211" t="s">
        <v>7562</v>
      </c>
      <c r="B886" s="211">
        <v>3229</v>
      </c>
      <c r="C886" s="211" t="s">
        <v>10385</v>
      </c>
      <c r="D886" s="211" t="s">
        <v>1255</v>
      </c>
      <c r="E886" s="211" t="s">
        <v>10385</v>
      </c>
      <c r="F886" s="211" t="s">
        <v>7284</v>
      </c>
    </row>
    <row r="887" spans="1:6">
      <c r="A887" s="211" t="s">
        <v>2547</v>
      </c>
      <c r="B887" s="211">
        <v>2180</v>
      </c>
      <c r="C887" s="211">
        <v>708</v>
      </c>
      <c r="D887" s="211" t="s">
        <v>1255</v>
      </c>
      <c r="E887" s="211" t="s">
        <v>10385</v>
      </c>
      <c r="F887" s="211" t="s">
        <v>7189</v>
      </c>
    </row>
    <row r="888" spans="1:6">
      <c r="A888" s="211" t="s">
        <v>2548</v>
      </c>
      <c r="B888" s="211">
        <v>4094</v>
      </c>
      <c r="C888" s="211">
        <v>859</v>
      </c>
      <c r="D888" s="211" t="s">
        <v>1255</v>
      </c>
      <c r="E888" s="211" t="s">
        <v>10385</v>
      </c>
      <c r="F888" s="211" t="s">
        <v>7213</v>
      </c>
    </row>
    <row r="889" spans="1:6">
      <c r="A889" s="211" t="s">
        <v>5359</v>
      </c>
      <c r="B889" s="211">
        <v>1011</v>
      </c>
      <c r="C889" s="211">
        <v>1262</v>
      </c>
      <c r="D889" s="211" t="s">
        <v>1255</v>
      </c>
      <c r="E889" s="211" t="s">
        <v>10385</v>
      </c>
      <c r="F889" s="211" t="s">
        <v>7269</v>
      </c>
    </row>
    <row r="890" spans="1:6">
      <c r="A890" s="211" t="s">
        <v>7563</v>
      </c>
      <c r="B890" s="211">
        <v>304</v>
      </c>
      <c r="C890" s="211" t="s">
        <v>10385</v>
      </c>
      <c r="D890" s="211" t="s">
        <v>1255</v>
      </c>
      <c r="E890" s="211" t="s">
        <v>10385</v>
      </c>
      <c r="F890" s="211" t="s">
        <v>7223</v>
      </c>
    </row>
    <row r="891" spans="1:6">
      <c r="A891" s="211" t="s">
        <v>5360</v>
      </c>
      <c r="B891" s="211">
        <v>1326</v>
      </c>
      <c r="C891" s="211">
        <v>1353</v>
      </c>
      <c r="D891" s="211" t="s">
        <v>1255</v>
      </c>
      <c r="E891" s="211" t="s">
        <v>10385</v>
      </c>
      <c r="F891" s="211" t="s">
        <v>7237</v>
      </c>
    </row>
    <row r="892" spans="1:6">
      <c r="A892" s="211" t="s">
        <v>9150</v>
      </c>
      <c r="B892" s="211">
        <v>8367</v>
      </c>
      <c r="C892" s="211">
        <v>1190</v>
      </c>
      <c r="D892" s="211" t="s">
        <v>1255</v>
      </c>
      <c r="E892" s="211" t="s">
        <v>10385</v>
      </c>
      <c r="F892" s="211" t="s">
        <v>7342</v>
      </c>
    </row>
    <row r="893" spans="1:6">
      <c r="A893" s="211" t="s">
        <v>2549</v>
      </c>
      <c r="B893" s="211">
        <v>2950</v>
      </c>
      <c r="C893" s="211">
        <v>794</v>
      </c>
      <c r="D893" s="211" t="s">
        <v>1117</v>
      </c>
      <c r="E893" s="211" t="s">
        <v>10385</v>
      </c>
      <c r="F893" s="211" t="s">
        <v>7402</v>
      </c>
    </row>
    <row r="894" spans="1:6">
      <c r="A894" s="211" t="s">
        <v>2550</v>
      </c>
      <c r="B894" s="211">
        <v>4205</v>
      </c>
      <c r="C894" s="211">
        <v>1374</v>
      </c>
      <c r="D894" s="211" t="s">
        <v>1255</v>
      </c>
      <c r="E894" s="211" t="s">
        <v>10385</v>
      </c>
      <c r="F894" s="211" t="s">
        <v>7383</v>
      </c>
    </row>
    <row r="895" spans="1:6">
      <c r="A895" s="211" t="s">
        <v>9151</v>
      </c>
      <c r="B895" s="211">
        <v>8366</v>
      </c>
      <c r="C895" s="211">
        <v>972</v>
      </c>
      <c r="D895" s="211" t="s">
        <v>1255</v>
      </c>
      <c r="E895" s="211" t="s">
        <v>10449</v>
      </c>
      <c r="F895" s="211" t="s">
        <v>7202</v>
      </c>
    </row>
    <row r="896" spans="1:6">
      <c r="A896" s="211" t="s">
        <v>2551</v>
      </c>
      <c r="B896" s="211">
        <v>1598</v>
      </c>
      <c r="C896" s="211">
        <v>954</v>
      </c>
      <c r="D896" s="211" t="s">
        <v>1255</v>
      </c>
      <c r="E896" s="211" t="s">
        <v>10385</v>
      </c>
      <c r="F896" s="211" t="s">
        <v>7265</v>
      </c>
    </row>
    <row r="897" spans="1:6">
      <c r="A897" s="211" t="s">
        <v>2552</v>
      </c>
      <c r="B897" s="211">
        <v>5033</v>
      </c>
      <c r="C897" s="211">
        <v>936</v>
      </c>
      <c r="D897" s="211" t="s">
        <v>1255</v>
      </c>
      <c r="E897" s="211" t="s">
        <v>10385</v>
      </c>
      <c r="F897" s="211" t="s">
        <v>7259</v>
      </c>
    </row>
    <row r="898" spans="1:6">
      <c r="A898" s="211" t="s">
        <v>7564</v>
      </c>
      <c r="B898" s="211">
        <v>1</v>
      </c>
      <c r="C898" s="211" t="s">
        <v>10385</v>
      </c>
      <c r="D898" s="211" t="s">
        <v>1255</v>
      </c>
      <c r="E898" s="211" t="s">
        <v>10385</v>
      </c>
      <c r="F898" s="211" t="s">
        <v>7261</v>
      </c>
    </row>
    <row r="899" spans="1:6">
      <c r="A899" s="211" t="s">
        <v>7565</v>
      </c>
      <c r="B899" s="211">
        <v>466</v>
      </c>
      <c r="C899" s="211">
        <v>1068</v>
      </c>
      <c r="D899" s="211" t="s">
        <v>1255</v>
      </c>
      <c r="E899" s="211" t="s">
        <v>10385</v>
      </c>
      <c r="F899" s="211" t="s">
        <v>7351</v>
      </c>
    </row>
    <row r="900" spans="1:6">
      <c r="A900" s="211" t="s">
        <v>2553</v>
      </c>
      <c r="B900" s="211">
        <v>5073</v>
      </c>
      <c r="C900" s="211">
        <v>987</v>
      </c>
      <c r="D900" s="211" t="s">
        <v>1117</v>
      </c>
      <c r="E900" s="211" t="s">
        <v>10385</v>
      </c>
      <c r="F900" s="211" t="s">
        <v>7349</v>
      </c>
    </row>
    <row r="901" spans="1:6">
      <c r="A901" s="211" t="s">
        <v>2554</v>
      </c>
      <c r="B901" s="211">
        <v>3092</v>
      </c>
      <c r="C901" s="211">
        <v>1194</v>
      </c>
      <c r="D901" s="211" t="s">
        <v>1255</v>
      </c>
      <c r="E901" s="211" t="s">
        <v>10385</v>
      </c>
      <c r="F901" s="211" t="s">
        <v>7446</v>
      </c>
    </row>
    <row r="902" spans="1:6">
      <c r="A902" s="211" t="s">
        <v>9152</v>
      </c>
      <c r="B902" s="211">
        <v>8159</v>
      </c>
      <c r="C902" s="211">
        <v>1216</v>
      </c>
      <c r="D902" s="211" t="s">
        <v>1255</v>
      </c>
      <c r="E902" s="211" t="s">
        <v>9153</v>
      </c>
      <c r="F902" s="211" t="s">
        <v>7189</v>
      </c>
    </row>
    <row r="903" spans="1:6">
      <c r="A903" s="211" t="s">
        <v>2555</v>
      </c>
      <c r="B903" s="211">
        <v>6193</v>
      </c>
      <c r="C903" s="211">
        <v>1866</v>
      </c>
      <c r="D903" s="211" t="s">
        <v>1255</v>
      </c>
      <c r="E903" s="211" t="s">
        <v>6678</v>
      </c>
      <c r="F903" s="211" t="s">
        <v>7342</v>
      </c>
    </row>
    <row r="904" spans="1:6">
      <c r="A904" s="211" t="s">
        <v>2556</v>
      </c>
      <c r="B904" s="211">
        <v>5456</v>
      </c>
      <c r="C904" s="211">
        <v>1459</v>
      </c>
      <c r="D904" s="211" t="s">
        <v>1255</v>
      </c>
      <c r="E904" s="211" t="s">
        <v>10385</v>
      </c>
      <c r="F904" s="211" t="s">
        <v>7320</v>
      </c>
    </row>
    <row r="905" spans="1:6">
      <c r="A905" s="211" t="s">
        <v>9154</v>
      </c>
      <c r="B905" s="211">
        <v>8220</v>
      </c>
      <c r="C905" s="211">
        <v>1274</v>
      </c>
      <c r="D905" s="211" t="s">
        <v>1117</v>
      </c>
      <c r="E905" s="211" t="s">
        <v>9155</v>
      </c>
      <c r="F905" s="211" t="s">
        <v>7446</v>
      </c>
    </row>
    <row r="906" spans="1:6">
      <c r="A906" s="211" t="s">
        <v>7566</v>
      </c>
      <c r="B906" s="211">
        <v>603</v>
      </c>
      <c r="C906" s="211" t="s">
        <v>10385</v>
      </c>
      <c r="D906" s="211" t="s">
        <v>1255</v>
      </c>
      <c r="E906" s="211" t="s">
        <v>10385</v>
      </c>
      <c r="F906" s="211" t="s">
        <v>7262</v>
      </c>
    </row>
    <row r="907" spans="1:6">
      <c r="A907" s="211" t="s">
        <v>4856</v>
      </c>
      <c r="B907" s="211">
        <v>3710</v>
      </c>
      <c r="C907" s="211">
        <v>968</v>
      </c>
      <c r="D907" s="211" t="s">
        <v>1117</v>
      </c>
      <c r="E907" s="211" t="s">
        <v>10385</v>
      </c>
      <c r="F907" s="211" t="s">
        <v>7386</v>
      </c>
    </row>
    <row r="908" spans="1:6">
      <c r="A908" s="211" t="s">
        <v>2557</v>
      </c>
      <c r="B908" s="211">
        <v>770</v>
      </c>
      <c r="C908" s="211">
        <v>1629</v>
      </c>
      <c r="D908" s="211" t="s">
        <v>1255</v>
      </c>
      <c r="E908" s="211" t="s">
        <v>10385</v>
      </c>
      <c r="F908" s="211" t="s">
        <v>7196</v>
      </c>
    </row>
    <row r="909" spans="1:6">
      <c r="A909" s="211" t="s">
        <v>10450</v>
      </c>
      <c r="B909" s="211">
        <v>8748</v>
      </c>
      <c r="C909" s="211">
        <v>752</v>
      </c>
      <c r="D909" s="211" t="s">
        <v>1117</v>
      </c>
      <c r="E909" s="211" t="s">
        <v>6478</v>
      </c>
      <c r="F909" s="211" t="s">
        <v>7173</v>
      </c>
    </row>
    <row r="910" spans="1:6">
      <c r="A910" s="211" t="s">
        <v>7567</v>
      </c>
      <c r="B910" s="211">
        <v>5623</v>
      </c>
      <c r="C910" s="211" t="s">
        <v>10385</v>
      </c>
      <c r="D910" s="211" t="s">
        <v>1255</v>
      </c>
      <c r="E910" s="211" t="s">
        <v>10385</v>
      </c>
      <c r="F910" s="211" t="s">
        <v>7454</v>
      </c>
    </row>
    <row r="911" spans="1:6">
      <c r="A911" s="211" t="s">
        <v>7568</v>
      </c>
      <c r="B911" s="211">
        <v>1383</v>
      </c>
      <c r="C911" s="211">
        <v>1710</v>
      </c>
      <c r="D911" s="211" t="s">
        <v>1117</v>
      </c>
      <c r="E911" s="211" t="s">
        <v>10385</v>
      </c>
      <c r="F911" s="211" t="s">
        <v>7384</v>
      </c>
    </row>
    <row r="912" spans="1:6">
      <c r="A912" s="211" t="s">
        <v>2558</v>
      </c>
      <c r="B912" s="211">
        <v>2967</v>
      </c>
      <c r="C912" s="211">
        <v>1104</v>
      </c>
      <c r="D912" s="211" t="s">
        <v>1255</v>
      </c>
      <c r="E912" s="211" t="s">
        <v>10385</v>
      </c>
      <c r="F912" s="211" t="s">
        <v>7272</v>
      </c>
    </row>
    <row r="913" spans="1:6">
      <c r="A913" s="211" t="s">
        <v>2559</v>
      </c>
      <c r="B913" s="211">
        <v>2909</v>
      </c>
      <c r="C913" s="211">
        <v>1643</v>
      </c>
      <c r="D913" s="211" t="s">
        <v>1255</v>
      </c>
      <c r="E913" s="211" t="s">
        <v>10385</v>
      </c>
      <c r="F913" s="211" t="s">
        <v>7284</v>
      </c>
    </row>
    <row r="914" spans="1:6">
      <c r="A914" s="211" t="s">
        <v>7560</v>
      </c>
      <c r="B914" s="211">
        <v>4361</v>
      </c>
      <c r="C914" s="211" t="s">
        <v>10385</v>
      </c>
      <c r="D914" s="211" t="s">
        <v>1255</v>
      </c>
      <c r="E914" s="211" t="s">
        <v>10385</v>
      </c>
      <c r="F914" s="211" t="s">
        <v>7427</v>
      </c>
    </row>
    <row r="915" spans="1:6">
      <c r="A915" s="211" t="s">
        <v>2560</v>
      </c>
      <c r="B915" s="211">
        <v>5988</v>
      </c>
      <c r="C915" s="211">
        <v>1363</v>
      </c>
      <c r="D915" s="211" t="s">
        <v>1255</v>
      </c>
      <c r="E915" s="211" t="s">
        <v>10385</v>
      </c>
      <c r="F915" s="211" t="s">
        <v>7262</v>
      </c>
    </row>
    <row r="916" spans="1:6">
      <c r="A916" s="211" t="s">
        <v>6679</v>
      </c>
      <c r="B916" s="211">
        <v>7788</v>
      </c>
      <c r="C916" s="211">
        <v>1162</v>
      </c>
      <c r="D916" s="211" t="s">
        <v>1255</v>
      </c>
      <c r="E916" s="211" t="s">
        <v>6680</v>
      </c>
      <c r="F916" s="211" t="s">
        <v>7490</v>
      </c>
    </row>
    <row r="917" spans="1:6">
      <c r="A917" s="211" t="s">
        <v>4724</v>
      </c>
      <c r="B917" s="211">
        <v>5997</v>
      </c>
      <c r="C917" s="211">
        <v>2013</v>
      </c>
      <c r="D917" s="211" t="s">
        <v>1255</v>
      </c>
      <c r="E917" s="211" t="s">
        <v>10385</v>
      </c>
      <c r="F917" s="211" t="s">
        <v>9044</v>
      </c>
    </row>
    <row r="918" spans="1:6">
      <c r="A918" s="211" t="s">
        <v>2561</v>
      </c>
      <c r="B918" s="211">
        <v>3651</v>
      </c>
      <c r="C918" s="211">
        <v>1060</v>
      </c>
      <c r="D918" s="211" t="s">
        <v>1255</v>
      </c>
      <c r="E918" s="211" t="s">
        <v>10385</v>
      </c>
      <c r="F918" s="211" t="s">
        <v>7192</v>
      </c>
    </row>
    <row r="919" spans="1:6">
      <c r="A919" s="211" t="s">
        <v>7569</v>
      </c>
      <c r="B919" s="211">
        <v>7078</v>
      </c>
      <c r="C919" s="211">
        <v>699</v>
      </c>
      <c r="D919" s="211" t="s">
        <v>1117</v>
      </c>
      <c r="E919" s="211" t="s">
        <v>9156</v>
      </c>
      <c r="F919" s="211" t="s">
        <v>7196</v>
      </c>
    </row>
    <row r="920" spans="1:6">
      <c r="A920" s="211" t="s">
        <v>3838</v>
      </c>
      <c r="B920" s="211">
        <v>3588</v>
      </c>
      <c r="C920" s="211">
        <v>872</v>
      </c>
      <c r="D920" s="211" t="s">
        <v>1117</v>
      </c>
      <c r="E920" s="211" t="s">
        <v>10385</v>
      </c>
      <c r="F920" s="211" t="s">
        <v>7205</v>
      </c>
    </row>
    <row r="921" spans="1:6">
      <c r="A921" s="211" t="s">
        <v>2562</v>
      </c>
      <c r="B921" s="211">
        <v>3860</v>
      </c>
      <c r="C921" s="211">
        <v>1104</v>
      </c>
      <c r="D921" s="211" t="s">
        <v>1117</v>
      </c>
      <c r="E921" s="211" t="s">
        <v>10385</v>
      </c>
      <c r="F921" s="211" t="s">
        <v>7334</v>
      </c>
    </row>
    <row r="922" spans="1:6">
      <c r="A922" s="211" t="s">
        <v>2563</v>
      </c>
      <c r="B922" s="211">
        <v>1183</v>
      </c>
      <c r="C922" s="211">
        <v>1645</v>
      </c>
      <c r="D922" s="211" t="s">
        <v>1255</v>
      </c>
      <c r="E922" s="211" t="s">
        <v>10385</v>
      </c>
      <c r="F922" s="211" t="s">
        <v>7213</v>
      </c>
    </row>
    <row r="923" spans="1:6">
      <c r="A923" s="211" t="s">
        <v>4979</v>
      </c>
      <c r="B923" s="211">
        <v>6717</v>
      </c>
      <c r="C923" s="211">
        <v>1335</v>
      </c>
      <c r="D923" s="211" t="s">
        <v>1255</v>
      </c>
      <c r="E923" s="211" t="s">
        <v>10385</v>
      </c>
      <c r="F923" s="211" t="s">
        <v>7384</v>
      </c>
    </row>
    <row r="924" spans="1:6">
      <c r="A924" s="211" t="s">
        <v>8889</v>
      </c>
      <c r="B924" s="211">
        <v>429</v>
      </c>
      <c r="C924" s="211">
        <v>1795</v>
      </c>
      <c r="D924" s="211" t="s">
        <v>1255</v>
      </c>
      <c r="E924" s="211" t="s">
        <v>10385</v>
      </c>
      <c r="F924" s="211" t="s">
        <v>7272</v>
      </c>
    </row>
    <row r="925" spans="1:6">
      <c r="A925" s="211" t="s">
        <v>8890</v>
      </c>
      <c r="B925" s="211">
        <v>1091</v>
      </c>
      <c r="C925" s="211" t="s">
        <v>10385</v>
      </c>
      <c r="D925" s="211" t="s">
        <v>1255</v>
      </c>
      <c r="E925" s="211" t="s">
        <v>10385</v>
      </c>
      <c r="F925" s="211" t="s">
        <v>7275</v>
      </c>
    </row>
    <row r="926" spans="1:6">
      <c r="A926" s="211" t="s">
        <v>7570</v>
      </c>
      <c r="B926" s="211">
        <v>783</v>
      </c>
      <c r="C926" s="211" t="s">
        <v>10385</v>
      </c>
      <c r="D926" s="211" t="s">
        <v>1255</v>
      </c>
      <c r="E926" s="211" t="s">
        <v>10385</v>
      </c>
      <c r="F926" s="211" t="s">
        <v>7171</v>
      </c>
    </row>
    <row r="927" spans="1:6">
      <c r="A927" s="211" t="s">
        <v>2564</v>
      </c>
      <c r="B927" s="211">
        <v>1745</v>
      </c>
      <c r="C927" s="211">
        <v>981</v>
      </c>
      <c r="D927" s="211" t="s">
        <v>1255</v>
      </c>
      <c r="E927" s="211" t="s">
        <v>10385</v>
      </c>
      <c r="F927" s="211" t="s">
        <v>7283</v>
      </c>
    </row>
    <row r="928" spans="1:6">
      <c r="A928" s="211" t="s">
        <v>2565</v>
      </c>
      <c r="B928" s="211">
        <v>3046</v>
      </c>
      <c r="C928" s="211">
        <v>943</v>
      </c>
      <c r="D928" s="211" t="s">
        <v>1255</v>
      </c>
      <c r="E928" s="211" t="s">
        <v>10385</v>
      </c>
      <c r="F928" s="211" t="s">
        <v>7194</v>
      </c>
    </row>
    <row r="929" spans="1:6">
      <c r="A929" s="211" t="s">
        <v>4980</v>
      </c>
      <c r="B929" s="211">
        <v>6857</v>
      </c>
      <c r="C929" s="211">
        <v>667</v>
      </c>
      <c r="D929" s="211" t="s">
        <v>1255</v>
      </c>
      <c r="E929" s="211" t="s">
        <v>10385</v>
      </c>
      <c r="F929" s="211" t="s">
        <v>7173</v>
      </c>
    </row>
    <row r="930" spans="1:6">
      <c r="A930" s="211" t="s">
        <v>10451</v>
      </c>
      <c r="B930" s="211">
        <v>8609</v>
      </c>
      <c r="C930" s="211">
        <v>1288</v>
      </c>
      <c r="D930" s="211" t="s">
        <v>1255</v>
      </c>
      <c r="E930" s="211" t="s">
        <v>10452</v>
      </c>
      <c r="F930" s="211" t="s">
        <v>7212</v>
      </c>
    </row>
    <row r="931" spans="1:6">
      <c r="A931" s="211" t="s">
        <v>2566</v>
      </c>
      <c r="B931" s="211">
        <v>1972</v>
      </c>
      <c r="C931" s="211">
        <v>860</v>
      </c>
      <c r="D931" s="211" t="s">
        <v>1255</v>
      </c>
      <c r="E931" s="211" t="s">
        <v>10385</v>
      </c>
      <c r="F931" s="211" t="s">
        <v>7477</v>
      </c>
    </row>
    <row r="932" spans="1:6">
      <c r="A932" s="211" t="s">
        <v>2844</v>
      </c>
      <c r="B932" s="211">
        <v>1631</v>
      </c>
      <c r="C932" s="211">
        <v>1972</v>
      </c>
      <c r="D932" s="211" t="s">
        <v>1255</v>
      </c>
      <c r="E932" s="211" t="s">
        <v>4981</v>
      </c>
      <c r="F932" s="211" t="s">
        <v>7322</v>
      </c>
    </row>
    <row r="933" spans="1:6">
      <c r="A933" s="211" t="s">
        <v>4626</v>
      </c>
      <c r="B933" s="211">
        <v>6350</v>
      </c>
      <c r="C933" s="211">
        <v>518</v>
      </c>
      <c r="D933" s="211" t="s">
        <v>1255</v>
      </c>
      <c r="E933" s="211" t="s">
        <v>10385</v>
      </c>
      <c r="F933" s="211" t="s">
        <v>7571</v>
      </c>
    </row>
    <row r="934" spans="1:6">
      <c r="A934" s="211" t="s">
        <v>2567</v>
      </c>
      <c r="B934" s="211">
        <v>4767</v>
      </c>
      <c r="C934" s="211">
        <v>1832</v>
      </c>
      <c r="D934" s="211" t="s">
        <v>1117</v>
      </c>
      <c r="E934" s="211" t="s">
        <v>10385</v>
      </c>
      <c r="F934" s="211" t="s">
        <v>7518</v>
      </c>
    </row>
    <row r="935" spans="1:6">
      <c r="A935" s="211" t="s">
        <v>2568</v>
      </c>
      <c r="B935" s="211">
        <v>4236</v>
      </c>
      <c r="C935" s="211">
        <v>1371</v>
      </c>
      <c r="D935" s="211" t="s">
        <v>1255</v>
      </c>
      <c r="E935" s="211" t="s">
        <v>5600</v>
      </c>
      <c r="F935" s="211" t="s">
        <v>7383</v>
      </c>
    </row>
    <row r="936" spans="1:6">
      <c r="A936" s="211" t="s">
        <v>7572</v>
      </c>
      <c r="B936" s="211">
        <v>506</v>
      </c>
      <c r="C936" s="211" t="s">
        <v>10385</v>
      </c>
      <c r="D936" s="211" t="s">
        <v>1255</v>
      </c>
      <c r="E936" s="211" t="s">
        <v>10385</v>
      </c>
      <c r="F936" s="211" t="s">
        <v>7318</v>
      </c>
    </row>
    <row r="937" spans="1:6">
      <c r="A937" s="211" t="s">
        <v>2569</v>
      </c>
      <c r="B937" s="211">
        <v>4887</v>
      </c>
      <c r="C937" s="211">
        <v>947</v>
      </c>
      <c r="D937" s="211" t="s">
        <v>1117</v>
      </c>
      <c r="E937" s="211" t="s">
        <v>10385</v>
      </c>
      <c r="F937" s="211" t="s">
        <v>7263</v>
      </c>
    </row>
    <row r="938" spans="1:6">
      <c r="A938" s="211" t="s">
        <v>5601</v>
      </c>
      <c r="B938" s="211">
        <v>7573</v>
      </c>
      <c r="C938" s="211">
        <v>540</v>
      </c>
      <c r="D938" s="211" t="s">
        <v>1117</v>
      </c>
      <c r="E938" s="211" t="s">
        <v>10385</v>
      </c>
      <c r="F938" s="211" t="s">
        <v>7318</v>
      </c>
    </row>
    <row r="939" spans="1:6">
      <c r="A939" s="211" t="s">
        <v>5602</v>
      </c>
      <c r="B939" s="211">
        <v>7483</v>
      </c>
      <c r="C939" s="211">
        <v>1000</v>
      </c>
      <c r="D939" s="211" t="s">
        <v>1255</v>
      </c>
      <c r="E939" s="211" t="s">
        <v>10385</v>
      </c>
      <c r="F939" s="211" t="s">
        <v>7573</v>
      </c>
    </row>
    <row r="940" spans="1:6">
      <c r="A940" s="211" t="s">
        <v>9157</v>
      </c>
      <c r="B940" s="211">
        <v>8111</v>
      </c>
      <c r="C940" s="211">
        <v>1816</v>
      </c>
      <c r="D940" s="211" t="s">
        <v>1255</v>
      </c>
      <c r="E940" s="211" t="s">
        <v>10453</v>
      </c>
      <c r="F940" s="211" t="s">
        <v>7556</v>
      </c>
    </row>
    <row r="941" spans="1:6">
      <c r="A941" s="211" t="s">
        <v>7574</v>
      </c>
      <c r="B941" s="211">
        <v>165</v>
      </c>
      <c r="C941" s="211" t="s">
        <v>10385</v>
      </c>
      <c r="D941" s="211" t="s">
        <v>1255</v>
      </c>
      <c r="E941" s="211" t="s">
        <v>10385</v>
      </c>
      <c r="F941" s="211" t="s">
        <v>7239</v>
      </c>
    </row>
    <row r="942" spans="1:6">
      <c r="A942" s="211" t="s">
        <v>6681</v>
      </c>
      <c r="B942" s="211">
        <v>7828</v>
      </c>
      <c r="C942" s="211">
        <v>1033</v>
      </c>
      <c r="D942" s="211" t="s">
        <v>1255</v>
      </c>
      <c r="E942" s="211" t="s">
        <v>6682</v>
      </c>
      <c r="F942" s="211" t="s">
        <v>7246</v>
      </c>
    </row>
    <row r="943" spans="1:6">
      <c r="A943" s="211" t="s">
        <v>4982</v>
      </c>
      <c r="B943" s="211">
        <v>6716</v>
      </c>
      <c r="C943" s="211">
        <v>1075</v>
      </c>
      <c r="D943" s="211" t="s">
        <v>1255</v>
      </c>
      <c r="E943" s="211" t="s">
        <v>6683</v>
      </c>
      <c r="F943" s="211" t="s">
        <v>7246</v>
      </c>
    </row>
    <row r="944" spans="1:6">
      <c r="A944" s="211" t="s">
        <v>7575</v>
      </c>
      <c r="B944" s="211">
        <v>1898</v>
      </c>
      <c r="C944" s="211" t="s">
        <v>10385</v>
      </c>
      <c r="D944" s="211" t="s">
        <v>1255</v>
      </c>
      <c r="E944" s="211" t="s">
        <v>10385</v>
      </c>
      <c r="F944" s="211" t="s">
        <v>7171</v>
      </c>
    </row>
    <row r="945" spans="1:6">
      <c r="A945" s="211" t="s">
        <v>2570</v>
      </c>
      <c r="B945" s="211">
        <v>5472</v>
      </c>
      <c r="C945" s="211">
        <v>1146</v>
      </c>
      <c r="D945" s="211" t="s">
        <v>1255</v>
      </c>
      <c r="E945" s="211" t="s">
        <v>10385</v>
      </c>
      <c r="F945" s="211" t="s">
        <v>7171</v>
      </c>
    </row>
    <row r="946" spans="1:6">
      <c r="A946" s="211" t="s">
        <v>2571</v>
      </c>
      <c r="B946" s="211">
        <v>1154</v>
      </c>
      <c r="C946" s="211">
        <v>897</v>
      </c>
      <c r="D946" s="211" t="s">
        <v>1255</v>
      </c>
      <c r="E946" s="211" t="s">
        <v>10385</v>
      </c>
      <c r="F946" s="211" t="s">
        <v>7274</v>
      </c>
    </row>
    <row r="947" spans="1:6">
      <c r="A947" s="211" t="s">
        <v>2572</v>
      </c>
      <c r="B947" s="211">
        <v>2210</v>
      </c>
      <c r="C947" s="211">
        <v>1363</v>
      </c>
      <c r="D947" s="211" t="s">
        <v>1255</v>
      </c>
      <c r="E947" s="211" t="s">
        <v>10385</v>
      </c>
      <c r="F947" s="211" t="s">
        <v>7225</v>
      </c>
    </row>
    <row r="948" spans="1:6">
      <c r="A948" s="211" t="s">
        <v>2573</v>
      </c>
      <c r="B948" s="211">
        <v>753</v>
      </c>
      <c r="C948" s="211">
        <v>1330</v>
      </c>
      <c r="D948" s="211" t="s">
        <v>1255</v>
      </c>
      <c r="E948" s="211" t="s">
        <v>10385</v>
      </c>
      <c r="F948" s="211" t="s">
        <v>7486</v>
      </c>
    </row>
    <row r="949" spans="1:6">
      <c r="A949" s="211" t="s">
        <v>6684</v>
      </c>
      <c r="B949" s="211">
        <v>7619</v>
      </c>
      <c r="C949" s="211">
        <v>2072</v>
      </c>
      <c r="D949" s="211" t="s">
        <v>1255</v>
      </c>
      <c r="E949" s="211" t="s">
        <v>6685</v>
      </c>
      <c r="F949" s="211" t="s">
        <v>7411</v>
      </c>
    </row>
    <row r="950" spans="1:6">
      <c r="A950" s="211" t="s">
        <v>4656</v>
      </c>
      <c r="B950" s="211">
        <v>6415</v>
      </c>
      <c r="C950" s="211">
        <v>773</v>
      </c>
      <c r="D950" s="211" t="s">
        <v>1255</v>
      </c>
      <c r="E950" s="211" t="s">
        <v>10385</v>
      </c>
      <c r="F950" s="211" t="s">
        <v>7556</v>
      </c>
    </row>
    <row r="951" spans="1:6">
      <c r="A951" s="211" t="s">
        <v>5603</v>
      </c>
      <c r="B951" s="211">
        <v>7538</v>
      </c>
      <c r="C951" s="211">
        <v>1151</v>
      </c>
      <c r="D951" s="211" t="s">
        <v>1255</v>
      </c>
      <c r="E951" s="211" t="s">
        <v>5604</v>
      </c>
      <c r="F951" s="211" t="s">
        <v>7243</v>
      </c>
    </row>
    <row r="952" spans="1:6">
      <c r="A952" s="211" t="s">
        <v>2574</v>
      </c>
      <c r="B952" s="211">
        <v>3747</v>
      </c>
      <c r="C952" s="211">
        <v>1350</v>
      </c>
      <c r="D952" s="211" t="s">
        <v>1255</v>
      </c>
      <c r="E952" s="211" t="s">
        <v>5605</v>
      </c>
      <c r="F952" s="211" t="s">
        <v>7217</v>
      </c>
    </row>
    <row r="953" spans="1:6">
      <c r="A953" s="211" t="s">
        <v>2575</v>
      </c>
      <c r="B953" s="211">
        <v>608</v>
      </c>
      <c r="C953" s="211">
        <v>871</v>
      </c>
      <c r="D953" s="211" t="s">
        <v>1255</v>
      </c>
      <c r="E953" s="211" t="s">
        <v>10385</v>
      </c>
      <c r="F953" s="211" t="s">
        <v>7262</v>
      </c>
    </row>
    <row r="954" spans="1:6">
      <c r="A954" s="211" t="s">
        <v>7576</v>
      </c>
      <c r="B954" s="211">
        <v>362</v>
      </c>
      <c r="C954" s="211" t="s">
        <v>10385</v>
      </c>
      <c r="D954" s="211" t="s">
        <v>1255</v>
      </c>
      <c r="E954" s="211" t="s">
        <v>10385</v>
      </c>
      <c r="F954" s="211" t="s">
        <v>7173</v>
      </c>
    </row>
    <row r="955" spans="1:6">
      <c r="A955" s="211" t="s">
        <v>5606</v>
      </c>
      <c r="B955" s="211">
        <v>7412</v>
      </c>
      <c r="C955" s="211">
        <v>994</v>
      </c>
      <c r="D955" s="211" t="s">
        <v>1117</v>
      </c>
      <c r="E955" s="211" t="s">
        <v>10385</v>
      </c>
      <c r="F955" s="211" t="s">
        <v>7577</v>
      </c>
    </row>
    <row r="956" spans="1:6">
      <c r="A956" s="211" t="s">
        <v>5607</v>
      </c>
      <c r="B956" s="211">
        <v>7407</v>
      </c>
      <c r="C956" s="211">
        <v>1923</v>
      </c>
      <c r="D956" s="211" t="s">
        <v>1255</v>
      </c>
      <c r="E956" s="211" t="s">
        <v>10385</v>
      </c>
      <c r="F956" s="211" t="s">
        <v>7577</v>
      </c>
    </row>
    <row r="957" spans="1:6">
      <c r="A957" s="211" t="s">
        <v>9158</v>
      </c>
      <c r="B957" s="211">
        <v>8459</v>
      </c>
      <c r="C957" s="211">
        <v>1450</v>
      </c>
      <c r="D957" s="211" t="s">
        <v>1255</v>
      </c>
      <c r="E957" s="211" t="s">
        <v>9159</v>
      </c>
      <c r="F957" s="211" t="s">
        <v>7357</v>
      </c>
    </row>
    <row r="958" spans="1:6">
      <c r="A958" s="211" t="s">
        <v>9160</v>
      </c>
      <c r="B958" s="211">
        <v>8001</v>
      </c>
      <c r="C958" s="211">
        <v>946</v>
      </c>
      <c r="D958" s="211" t="s">
        <v>1255</v>
      </c>
      <c r="E958" s="211" t="s">
        <v>10454</v>
      </c>
      <c r="F958" s="211" t="s">
        <v>7483</v>
      </c>
    </row>
    <row r="959" spans="1:6">
      <c r="A959" s="211" t="s">
        <v>6686</v>
      </c>
      <c r="B959" s="211">
        <v>6636</v>
      </c>
      <c r="C959" s="211">
        <v>817</v>
      </c>
      <c r="D959" s="211" t="s">
        <v>1255</v>
      </c>
      <c r="E959" s="211" t="s">
        <v>10385</v>
      </c>
      <c r="F959" s="211" t="s">
        <v>7386</v>
      </c>
    </row>
    <row r="960" spans="1:6">
      <c r="A960" s="211" t="s">
        <v>4983</v>
      </c>
      <c r="B960" s="211">
        <v>5422</v>
      </c>
      <c r="C960" s="211">
        <v>1121</v>
      </c>
      <c r="D960" s="211" t="s">
        <v>1255</v>
      </c>
      <c r="E960" s="211" t="s">
        <v>10385</v>
      </c>
      <c r="F960" s="211" t="s">
        <v>7213</v>
      </c>
    </row>
    <row r="961" spans="1:6">
      <c r="A961" s="211" t="s">
        <v>7578</v>
      </c>
      <c r="B961" s="211">
        <v>1852</v>
      </c>
      <c r="C961" s="211">
        <v>1175</v>
      </c>
      <c r="D961" s="211" t="s">
        <v>1255</v>
      </c>
      <c r="E961" s="211" t="s">
        <v>10385</v>
      </c>
      <c r="F961" s="211" t="s">
        <v>7213</v>
      </c>
    </row>
    <row r="962" spans="1:6">
      <c r="A962" s="211" t="s">
        <v>7579</v>
      </c>
      <c r="B962" s="211">
        <v>7800</v>
      </c>
      <c r="C962" s="211" t="s">
        <v>10385</v>
      </c>
      <c r="D962" s="211" t="s">
        <v>1117</v>
      </c>
      <c r="E962" s="211" t="s">
        <v>10385</v>
      </c>
      <c r="F962" s="211" t="s">
        <v>7205</v>
      </c>
    </row>
    <row r="963" spans="1:6">
      <c r="A963" s="211" t="s">
        <v>9161</v>
      </c>
      <c r="B963" s="211">
        <v>7924</v>
      </c>
      <c r="C963" s="211">
        <v>1110</v>
      </c>
      <c r="D963" s="211" t="s">
        <v>1255</v>
      </c>
      <c r="E963" s="211" t="s">
        <v>9162</v>
      </c>
      <c r="F963" s="211" t="s">
        <v>7210</v>
      </c>
    </row>
    <row r="964" spans="1:6">
      <c r="A964" s="211" t="s">
        <v>7580</v>
      </c>
      <c r="B964" s="211">
        <v>2107</v>
      </c>
      <c r="C964" s="211" t="s">
        <v>10385</v>
      </c>
      <c r="D964" s="211" t="s">
        <v>1255</v>
      </c>
      <c r="E964" s="211" t="s">
        <v>10385</v>
      </c>
      <c r="F964" s="211" t="s">
        <v>7356</v>
      </c>
    </row>
    <row r="965" spans="1:6">
      <c r="A965" s="211" t="s">
        <v>2576</v>
      </c>
      <c r="B965" s="211">
        <v>4365</v>
      </c>
      <c r="C965" s="211">
        <v>1359</v>
      </c>
      <c r="D965" s="211" t="s">
        <v>1255</v>
      </c>
      <c r="E965" s="211" t="s">
        <v>10385</v>
      </c>
      <c r="F965" s="211" t="s">
        <v>7459</v>
      </c>
    </row>
    <row r="966" spans="1:6">
      <c r="A966" s="211" t="s">
        <v>2878</v>
      </c>
      <c r="B966" s="211">
        <v>3636</v>
      </c>
      <c r="C966" s="211">
        <v>1753</v>
      </c>
      <c r="D966" s="211" t="s">
        <v>1255</v>
      </c>
      <c r="E966" s="211" t="s">
        <v>10385</v>
      </c>
      <c r="F966" s="211" t="s">
        <v>7386</v>
      </c>
    </row>
    <row r="967" spans="1:6">
      <c r="A967" s="211" t="s">
        <v>2577</v>
      </c>
      <c r="B967" s="211">
        <v>3094</v>
      </c>
      <c r="C967" s="211">
        <v>884</v>
      </c>
      <c r="D967" s="211" t="s">
        <v>1255</v>
      </c>
      <c r="E967" s="211" t="s">
        <v>10385</v>
      </c>
      <c r="F967" s="211" t="s">
        <v>7192</v>
      </c>
    </row>
    <row r="968" spans="1:6">
      <c r="A968" s="211" t="s">
        <v>9163</v>
      </c>
      <c r="B968" s="211">
        <v>8538</v>
      </c>
      <c r="C968" s="211">
        <v>1869</v>
      </c>
      <c r="D968" s="211" t="s">
        <v>1255</v>
      </c>
      <c r="E968" s="211" t="s">
        <v>9164</v>
      </c>
      <c r="F968" s="211" t="s">
        <v>7365</v>
      </c>
    </row>
    <row r="969" spans="1:6">
      <c r="A969" s="211" t="s">
        <v>2578</v>
      </c>
      <c r="B969" s="211">
        <v>4492</v>
      </c>
      <c r="C969" s="211">
        <v>1286</v>
      </c>
      <c r="D969" s="211" t="s">
        <v>1255</v>
      </c>
      <c r="E969" s="211" t="s">
        <v>10385</v>
      </c>
      <c r="F969" s="211" t="s">
        <v>7453</v>
      </c>
    </row>
    <row r="970" spans="1:6">
      <c r="A970" s="211" t="s">
        <v>2579</v>
      </c>
      <c r="B970" s="211">
        <v>4497</v>
      </c>
      <c r="C970" s="211">
        <v>724</v>
      </c>
      <c r="D970" s="211" t="s">
        <v>1255</v>
      </c>
      <c r="E970" s="211" t="s">
        <v>10385</v>
      </c>
      <c r="F970" s="211" t="s">
        <v>7581</v>
      </c>
    </row>
    <row r="971" spans="1:6">
      <c r="A971" s="211" t="s">
        <v>2580</v>
      </c>
      <c r="B971" s="211">
        <v>5752</v>
      </c>
      <c r="C971" s="211">
        <v>1391</v>
      </c>
      <c r="D971" s="211" t="s">
        <v>1117</v>
      </c>
      <c r="E971" s="211" t="s">
        <v>5608</v>
      </c>
      <c r="F971" s="211" t="s">
        <v>7425</v>
      </c>
    </row>
    <row r="972" spans="1:6">
      <c r="A972" s="211" t="s">
        <v>2581</v>
      </c>
      <c r="B972" s="211">
        <v>3306</v>
      </c>
      <c r="C972" s="211">
        <v>836</v>
      </c>
      <c r="D972" s="211" t="s">
        <v>1255</v>
      </c>
      <c r="E972" s="211" t="s">
        <v>10385</v>
      </c>
      <c r="F972" s="211" t="s">
        <v>7366</v>
      </c>
    </row>
    <row r="973" spans="1:6">
      <c r="A973" s="211" t="s">
        <v>7582</v>
      </c>
      <c r="B973" s="211">
        <v>359</v>
      </c>
      <c r="C973" s="211" t="s">
        <v>10385</v>
      </c>
      <c r="D973" s="211" t="s">
        <v>1255</v>
      </c>
      <c r="E973" s="211" t="s">
        <v>10385</v>
      </c>
      <c r="F973" s="211" t="s">
        <v>7173</v>
      </c>
    </row>
    <row r="974" spans="1:6">
      <c r="A974" s="211" t="s">
        <v>3050</v>
      </c>
      <c r="B974" s="211">
        <v>6276</v>
      </c>
      <c r="C974" s="211">
        <v>1248</v>
      </c>
      <c r="D974" s="211" t="s">
        <v>1255</v>
      </c>
      <c r="E974" s="211" t="s">
        <v>5609</v>
      </c>
      <c r="F974" s="211" t="s">
        <v>7320</v>
      </c>
    </row>
    <row r="975" spans="1:6">
      <c r="A975" s="211" t="s">
        <v>9165</v>
      </c>
      <c r="B975" s="211">
        <v>7990</v>
      </c>
      <c r="C975" s="211">
        <v>1939</v>
      </c>
      <c r="D975" s="211" t="s">
        <v>1117</v>
      </c>
      <c r="E975" s="211" t="s">
        <v>10455</v>
      </c>
      <c r="F975" s="211" t="s">
        <v>7173</v>
      </c>
    </row>
    <row r="976" spans="1:6">
      <c r="A976" s="211" t="s">
        <v>5610</v>
      </c>
      <c r="B976" s="211">
        <v>7552</v>
      </c>
      <c r="C976" s="211">
        <v>1093</v>
      </c>
      <c r="D976" s="211" t="s">
        <v>1255</v>
      </c>
      <c r="E976" s="211" t="s">
        <v>9166</v>
      </c>
      <c r="F976" s="211" t="s">
        <v>7583</v>
      </c>
    </row>
    <row r="977" spans="1:6">
      <c r="A977" s="211" t="s">
        <v>4797</v>
      </c>
      <c r="B977" s="211">
        <v>6144</v>
      </c>
      <c r="C977" s="211">
        <v>926</v>
      </c>
      <c r="D977" s="211" t="s">
        <v>1255</v>
      </c>
      <c r="E977" s="211" t="s">
        <v>10456</v>
      </c>
      <c r="F977" s="211" t="s">
        <v>7377</v>
      </c>
    </row>
    <row r="978" spans="1:6">
      <c r="A978" s="211" t="s">
        <v>2582</v>
      </c>
      <c r="B978" s="211">
        <v>5179</v>
      </c>
      <c r="C978" s="211">
        <v>1594</v>
      </c>
      <c r="D978" s="211" t="s">
        <v>1255</v>
      </c>
      <c r="E978" s="211" t="s">
        <v>10385</v>
      </c>
      <c r="F978" s="211" t="s">
        <v>7322</v>
      </c>
    </row>
    <row r="979" spans="1:6">
      <c r="A979" s="211" t="s">
        <v>7584</v>
      </c>
      <c r="B979" s="211">
        <v>5983</v>
      </c>
      <c r="C979" s="211" t="s">
        <v>10385</v>
      </c>
      <c r="D979" s="211" t="s">
        <v>1255</v>
      </c>
      <c r="E979" s="211" t="s">
        <v>10385</v>
      </c>
      <c r="F979" s="211" t="s">
        <v>7322</v>
      </c>
    </row>
    <row r="980" spans="1:6">
      <c r="A980" s="211" t="s">
        <v>7585</v>
      </c>
      <c r="B980" s="211">
        <v>4107</v>
      </c>
      <c r="C980" s="211">
        <v>896</v>
      </c>
      <c r="D980" s="211" t="s">
        <v>1255</v>
      </c>
      <c r="E980" s="211" t="s">
        <v>10385</v>
      </c>
      <c r="F980" s="211" t="s">
        <v>7334</v>
      </c>
    </row>
    <row r="981" spans="1:6">
      <c r="A981" s="211" t="s">
        <v>7586</v>
      </c>
      <c r="B981" s="211">
        <v>115</v>
      </c>
      <c r="C981" s="211" t="s">
        <v>10385</v>
      </c>
      <c r="D981" s="211" t="s">
        <v>1255</v>
      </c>
      <c r="E981" s="211" t="s">
        <v>10385</v>
      </c>
      <c r="F981" s="211" t="s">
        <v>7173</v>
      </c>
    </row>
    <row r="982" spans="1:6">
      <c r="A982" s="211" t="s">
        <v>2583</v>
      </c>
      <c r="B982" s="211">
        <v>5846</v>
      </c>
      <c r="C982" s="211">
        <v>886</v>
      </c>
      <c r="D982" s="211" t="s">
        <v>1117</v>
      </c>
      <c r="E982" s="211" t="s">
        <v>10385</v>
      </c>
      <c r="F982" s="211" t="s">
        <v>7587</v>
      </c>
    </row>
    <row r="983" spans="1:6">
      <c r="A983" s="211" t="s">
        <v>2584</v>
      </c>
      <c r="B983" s="211">
        <v>2899</v>
      </c>
      <c r="C983" s="211">
        <v>1168</v>
      </c>
      <c r="D983" s="211" t="s">
        <v>1255</v>
      </c>
      <c r="E983" s="211" t="s">
        <v>10385</v>
      </c>
      <c r="F983" s="211" t="s">
        <v>7205</v>
      </c>
    </row>
    <row r="984" spans="1:6">
      <c r="A984" s="211" t="s">
        <v>2585</v>
      </c>
      <c r="B984" s="211">
        <v>2688</v>
      </c>
      <c r="C984" s="211">
        <v>1129</v>
      </c>
      <c r="D984" s="211" t="s">
        <v>1255</v>
      </c>
      <c r="E984" s="211" t="s">
        <v>10385</v>
      </c>
      <c r="F984" s="211" t="s">
        <v>7284</v>
      </c>
    </row>
    <row r="985" spans="1:6">
      <c r="A985" s="211" t="s">
        <v>2586</v>
      </c>
      <c r="B985" s="211">
        <v>2697</v>
      </c>
      <c r="C985" s="211">
        <v>1018</v>
      </c>
      <c r="D985" s="211" t="s">
        <v>1117</v>
      </c>
      <c r="E985" s="211" t="s">
        <v>10385</v>
      </c>
      <c r="F985" s="211" t="s">
        <v>7425</v>
      </c>
    </row>
    <row r="986" spans="1:6">
      <c r="A986" s="211" t="s">
        <v>2587</v>
      </c>
      <c r="B986" s="211">
        <v>3687</v>
      </c>
      <c r="C986" s="211">
        <v>992</v>
      </c>
      <c r="D986" s="211" t="s">
        <v>1255</v>
      </c>
      <c r="E986" s="211" t="s">
        <v>10385</v>
      </c>
      <c r="F986" s="211" t="s">
        <v>7402</v>
      </c>
    </row>
    <row r="987" spans="1:6">
      <c r="A987" s="211" t="s">
        <v>7588</v>
      </c>
      <c r="B987" s="211">
        <v>5653</v>
      </c>
      <c r="C987" s="211" t="s">
        <v>10385</v>
      </c>
      <c r="D987" s="211" t="s">
        <v>1117</v>
      </c>
      <c r="E987" s="211" t="s">
        <v>10385</v>
      </c>
      <c r="F987" s="211" t="s">
        <v>7238</v>
      </c>
    </row>
    <row r="988" spans="1:6">
      <c r="A988" s="211" t="s">
        <v>2588</v>
      </c>
      <c r="B988" s="211">
        <v>3059</v>
      </c>
      <c r="C988" s="211">
        <v>1383</v>
      </c>
      <c r="D988" s="211" t="s">
        <v>1255</v>
      </c>
      <c r="E988" s="211" t="s">
        <v>10385</v>
      </c>
      <c r="F988" s="211" t="s">
        <v>7213</v>
      </c>
    </row>
    <row r="989" spans="1:6">
      <c r="A989" s="211" t="s">
        <v>2589</v>
      </c>
      <c r="B989" s="211">
        <v>3581</v>
      </c>
      <c r="C989" s="211">
        <v>816</v>
      </c>
      <c r="D989" s="211" t="s">
        <v>1117</v>
      </c>
      <c r="E989" s="211" t="s">
        <v>10385</v>
      </c>
      <c r="F989" s="211" t="s">
        <v>7297</v>
      </c>
    </row>
    <row r="990" spans="1:6">
      <c r="A990" s="211" t="s">
        <v>4984</v>
      </c>
      <c r="B990" s="211">
        <v>6748</v>
      </c>
      <c r="C990" s="211">
        <v>1361</v>
      </c>
      <c r="D990" s="211" t="s">
        <v>1255</v>
      </c>
      <c r="E990" s="211" t="s">
        <v>10385</v>
      </c>
      <c r="F990" s="211" t="s">
        <v>7377</v>
      </c>
    </row>
    <row r="991" spans="1:6">
      <c r="A991" s="211" t="s">
        <v>7589</v>
      </c>
      <c r="B991" s="211">
        <v>584</v>
      </c>
      <c r="C991" s="211" t="s">
        <v>10385</v>
      </c>
      <c r="D991" s="211" t="s">
        <v>1255</v>
      </c>
      <c r="E991" s="211" t="s">
        <v>10385</v>
      </c>
      <c r="F991" s="211" t="s">
        <v>7272</v>
      </c>
    </row>
    <row r="992" spans="1:6">
      <c r="A992" s="211" t="s">
        <v>10457</v>
      </c>
      <c r="B992" s="211">
        <v>8818</v>
      </c>
      <c r="C992" s="211">
        <v>1017</v>
      </c>
      <c r="D992" s="211" t="s">
        <v>1117</v>
      </c>
      <c r="E992" s="211" t="s">
        <v>10458</v>
      </c>
      <c r="F992" s="211" t="s">
        <v>7307</v>
      </c>
    </row>
    <row r="993" spans="1:6">
      <c r="A993" s="211" t="s">
        <v>10459</v>
      </c>
      <c r="B993" s="211">
        <v>8584</v>
      </c>
      <c r="C993" s="211">
        <v>995</v>
      </c>
      <c r="D993" s="211" t="s">
        <v>1255</v>
      </c>
      <c r="E993" s="211" t="s">
        <v>10385</v>
      </c>
      <c r="F993" s="211" t="s">
        <v>7402</v>
      </c>
    </row>
    <row r="994" spans="1:6">
      <c r="A994" s="211" t="s">
        <v>5611</v>
      </c>
      <c r="B994" s="211">
        <v>7315</v>
      </c>
      <c r="C994" s="211">
        <v>1382</v>
      </c>
      <c r="D994" s="211" t="s">
        <v>1255</v>
      </c>
      <c r="E994" s="211" t="s">
        <v>10385</v>
      </c>
      <c r="F994" s="211" t="s">
        <v>7425</v>
      </c>
    </row>
    <row r="995" spans="1:6">
      <c r="A995" s="211" t="s">
        <v>7590</v>
      </c>
      <c r="B995" s="211">
        <v>3935</v>
      </c>
      <c r="C995" s="211" t="s">
        <v>10385</v>
      </c>
      <c r="D995" s="211" t="s">
        <v>1255</v>
      </c>
      <c r="E995" s="211" t="s">
        <v>10385</v>
      </c>
      <c r="F995" s="211" t="s">
        <v>7377</v>
      </c>
    </row>
    <row r="996" spans="1:6">
      <c r="A996" s="211" t="s">
        <v>4504</v>
      </c>
      <c r="B996" s="211">
        <v>6562</v>
      </c>
      <c r="C996" s="211">
        <v>1022</v>
      </c>
      <c r="D996" s="211" t="s">
        <v>1117</v>
      </c>
      <c r="E996" s="211" t="s">
        <v>10385</v>
      </c>
      <c r="F996" s="211" t="s">
        <v>7307</v>
      </c>
    </row>
    <row r="997" spans="1:6">
      <c r="A997" s="211" t="s">
        <v>7591</v>
      </c>
      <c r="B997" s="211">
        <v>130</v>
      </c>
      <c r="C997" s="211" t="s">
        <v>10385</v>
      </c>
      <c r="D997" s="211" t="s">
        <v>1255</v>
      </c>
      <c r="E997" s="211" t="s">
        <v>10385</v>
      </c>
      <c r="F997" s="211" t="s">
        <v>7483</v>
      </c>
    </row>
    <row r="998" spans="1:6">
      <c r="A998" s="211" t="s">
        <v>2590</v>
      </c>
      <c r="B998" s="211">
        <v>5759</v>
      </c>
      <c r="C998" s="211">
        <v>864</v>
      </c>
      <c r="D998" s="211" t="s">
        <v>1255</v>
      </c>
      <c r="E998" s="211" t="s">
        <v>10385</v>
      </c>
      <c r="F998" s="211" t="s">
        <v>7357</v>
      </c>
    </row>
    <row r="999" spans="1:6">
      <c r="A999" s="211" t="s">
        <v>2591</v>
      </c>
      <c r="B999" s="211">
        <v>4848</v>
      </c>
      <c r="C999" s="211">
        <v>585</v>
      </c>
      <c r="D999" s="211" t="s">
        <v>1117</v>
      </c>
      <c r="E999" s="211" t="s">
        <v>10385</v>
      </c>
      <c r="F999" s="211" t="s">
        <v>7192</v>
      </c>
    </row>
    <row r="1000" spans="1:6">
      <c r="A1000" s="211" t="s">
        <v>5361</v>
      </c>
      <c r="B1000" s="211">
        <v>1763</v>
      </c>
      <c r="C1000" s="211">
        <v>944</v>
      </c>
      <c r="D1000" s="211" t="s">
        <v>1255</v>
      </c>
      <c r="E1000" s="211" t="s">
        <v>10385</v>
      </c>
      <c r="F1000" s="211" t="s">
        <v>7254</v>
      </c>
    </row>
    <row r="1001" spans="1:6">
      <c r="A1001" s="211" t="s">
        <v>3839</v>
      </c>
      <c r="B1001" s="211">
        <v>6120</v>
      </c>
      <c r="C1001" s="211">
        <v>1116</v>
      </c>
      <c r="D1001" s="211" t="s">
        <v>1117</v>
      </c>
      <c r="E1001" s="211" t="s">
        <v>10385</v>
      </c>
      <c r="F1001" s="211" t="s">
        <v>7593</v>
      </c>
    </row>
    <row r="1002" spans="1:6">
      <c r="A1002" s="211" t="s">
        <v>4985</v>
      </c>
      <c r="B1002" s="211">
        <v>3910</v>
      </c>
      <c r="C1002" s="211">
        <v>1328</v>
      </c>
      <c r="D1002" s="211" t="s">
        <v>1117</v>
      </c>
      <c r="E1002" s="211" t="s">
        <v>10385</v>
      </c>
      <c r="F1002" s="211" t="s">
        <v>7318</v>
      </c>
    </row>
    <row r="1003" spans="1:6">
      <c r="A1003" s="211" t="s">
        <v>2592</v>
      </c>
      <c r="B1003" s="211">
        <v>4066</v>
      </c>
      <c r="C1003" s="211">
        <v>758</v>
      </c>
      <c r="D1003" s="211" t="s">
        <v>1117</v>
      </c>
      <c r="E1003" s="211" t="s">
        <v>10385</v>
      </c>
      <c r="F1003" s="211" t="s">
        <v>7272</v>
      </c>
    </row>
    <row r="1004" spans="1:6">
      <c r="A1004" s="211" t="s">
        <v>2593</v>
      </c>
      <c r="B1004" s="211">
        <v>5841</v>
      </c>
      <c r="C1004" s="211">
        <v>917</v>
      </c>
      <c r="D1004" s="211" t="s">
        <v>1255</v>
      </c>
      <c r="E1004" s="211" t="s">
        <v>10385</v>
      </c>
      <c r="F1004" s="211" t="s">
        <v>7587</v>
      </c>
    </row>
    <row r="1005" spans="1:6">
      <c r="A1005" s="211" t="s">
        <v>4986</v>
      </c>
      <c r="B1005" s="211">
        <v>3436</v>
      </c>
      <c r="C1005" s="211">
        <v>1553</v>
      </c>
      <c r="D1005" s="211" t="s">
        <v>1255</v>
      </c>
      <c r="E1005" s="211" t="s">
        <v>10385</v>
      </c>
      <c r="F1005" s="211" t="s">
        <v>7243</v>
      </c>
    </row>
    <row r="1006" spans="1:6">
      <c r="A1006" s="211" t="s">
        <v>4987</v>
      </c>
      <c r="B1006" s="211">
        <v>1923</v>
      </c>
      <c r="C1006" s="211">
        <v>1574</v>
      </c>
      <c r="D1006" s="211" t="s">
        <v>1255</v>
      </c>
      <c r="E1006" s="211" t="s">
        <v>4988</v>
      </c>
      <c r="F1006" s="211" t="s">
        <v>7263</v>
      </c>
    </row>
    <row r="1007" spans="1:6">
      <c r="A1007" s="211" t="s">
        <v>10460</v>
      </c>
      <c r="B1007" s="211">
        <v>8605</v>
      </c>
      <c r="C1007" s="211">
        <v>1826</v>
      </c>
      <c r="D1007" s="211" t="s">
        <v>1255</v>
      </c>
      <c r="E1007" s="211" t="s">
        <v>10461</v>
      </c>
      <c r="F1007" s="211" t="s">
        <v>7171</v>
      </c>
    </row>
    <row r="1008" spans="1:6">
      <c r="A1008" s="211" t="s">
        <v>5612</v>
      </c>
      <c r="B1008" s="211">
        <v>7428</v>
      </c>
      <c r="C1008" s="211">
        <v>1544</v>
      </c>
      <c r="D1008" s="211" t="s">
        <v>1255</v>
      </c>
      <c r="E1008" s="211" t="s">
        <v>10385</v>
      </c>
      <c r="F1008" s="211" t="s">
        <v>7165</v>
      </c>
    </row>
    <row r="1009" spans="1:6">
      <c r="A1009" s="211" t="s">
        <v>2594</v>
      </c>
      <c r="B1009" s="211">
        <v>5159</v>
      </c>
      <c r="C1009" s="211">
        <v>1304</v>
      </c>
      <c r="D1009" s="211" t="s">
        <v>1117</v>
      </c>
      <c r="E1009" s="211" t="s">
        <v>10385</v>
      </c>
      <c r="F1009" s="211" t="s">
        <v>7212</v>
      </c>
    </row>
    <row r="1010" spans="1:6">
      <c r="A1010" s="211" t="s">
        <v>6687</v>
      </c>
      <c r="B1010" s="211">
        <v>7845</v>
      </c>
      <c r="C1010" s="211">
        <v>1381</v>
      </c>
      <c r="D1010" s="211" t="s">
        <v>1117</v>
      </c>
      <c r="E1010" s="211" t="s">
        <v>9167</v>
      </c>
      <c r="F1010" s="211" t="s">
        <v>7327</v>
      </c>
    </row>
    <row r="1011" spans="1:6">
      <c r="A1011" s="211" t="s">
        <v>7594</v>
      </c>
      <c r="B1011" s="211">
        <v>607</v>
      </c>
      <c r="C1011" s="211" t="s">
        <v>10385</v>
      </c>
      <c r="D1011" s="211" t="s">
        <v>1255</v>
      </c>
      <c r="E1011" s="211" t="s">
        <v>10385</v>
      </c>
      <c r="F1011" s="211" t="s">
        <v>7262</v>
      </c>
    </row>
    <row r="1012" spans="1:6">
      <c r="A1012" s="211" t="s">
        <v>2595</v>
      </c>
      <c r="B1012" s="211">
        <v>6287</v>
      </c>
      <c r="C1012" s="211">
        <v>1146</v>
      </c>
      <c r="D1012" s="211" t="s">
        <v>1255</v>
      </c>
      <c r="E1012" s="211" t="s">
        <v>10385</v>
      </c>
      <c r="F1012" s="211" t="s">
        <v>7231</v>
      </c>
    </row>
    <row r="1013" spans="1:6">
      <c r="A1013" s="211" t="s">
        <v>5613</v>
      </c>
      <c r="B1013" s="211">
        <v>7102</v>
      </c>
      <c r="C1013" s="211">
        <v>1821</v>
      </c>
      <c r="D1013" s="211" t="s">
        <v>1117</v>
      </c>
      <c r="E1013" s="211" t="s">
        <v>10462</v>
      </c>
      <c r="F1013" s="211" t="s">
        <v>7377</v>
      </c>
    </row>
    <row r="1014" spans="1:6">
      <c r="A1014" s="211" t="s">
        <v>2596</v>
      </c>
      <c r="B1014" s="211">
        <v>824</v>
      </c>
      <c r="C1014" s="211">
        <v>1536</v>
      </c>
      <c r="D1014" s="211" t="s">
        <v>1255</v>
      </c>
      <c r="E1014" s="211" t="s">
        <v>10385</v>
      </c>
      <c r="F1014" s="211" t="s">
        <v>7269</v>
      </c>
    </row>
    <row r="1015" spans="1:6">
      <c r="A1015" s="211" t="s">
        <v>2597</v>
      </c>
      <c r="B1015" s="211">
        <v>5217</v>
      </c>
      <c r="C1015" s="211">
        <v>1430</v>
      </c>
      <c r="D1015" s="211" t="s">
        <v>1255</v>
      </c>
      <c r="E1015" s="211" t="s">
        <v>6689</v>
      </c>
      <c r="F1015" s="211" t="s">
        <v>7377</v>
      </c>
    </row>
    <row r="1016" spans="1:6">
      <c r="A1016" s="211" t="s">
        <v>7595</v>
      </c>
      <c r="B1016" s="211">
        <v>580</v>
      </c>
      <c r="C1016" s="211" t="s">
        <v>10385</v>
      </c>
      <c r="D1016" s="211" t="s">
        <v>1255</v>
      </c>
      <c r="E1016" s="211" t="s">
        <v>10385</v>
      </c>
      <c r="F1016" s="211" t="s">
        <v>7356</v>
      </c>
    </row>
    <row r="1017" spans="1:6">
      <c r="A1017" s="211" t="s">
        <v>2598</v>
      </c>
      <c r="B1017" s="211">
        <v>5375</v>
      </c>
      <c r="C1017" s="211">
        <v>1382</v>
      </c>
      <c r="D1017" s="211" t="s">
        <v>1255</v>
      </c>
      <c r="E1017" s="211" t="s">
        <v>9168</v>
      </c>
      <c r="F1017" s="211" t="s">
        <v>7307</v>
      </c>
    </row>
    <row r="1018" spans="1:6">
      <c r="A1018" s="211" t="s">
        <v>7596</v>
      </c>
      <c r="B1018" s="211">
        <v>367</v>
      </c>
      <c r="C1018" s="211" t="s">
        <v>10385</v>
      </c>
      <c r="D1018" s="211" t="s">
        <v>1255</v>
      </c>
      <c r="E1018" s="211" t="s">
        <v>10385</v>
      </c>
      <c r="F1018" s="211" t="s">
        <v>7343</v>
      </c>
    </row>
    <row r="1019" spans="1:6">
      <c r="A1019" s="211" t="s">
        <v>9169</v>
      </c>
      <c r="B1019" s="211">
        <v>8566</v>
      </c>
      <c r="C1019" s="211" t="s">
        <v>10385</v>
      </c>
      <c r="D1019" s="211" t="s">
        <v>1117</v>
      </c>
      <c r="E1019" s="211" t="s">
        <v>9170</v>
      </c>
      <c r="F1019" s="211" t="s">
        <v>7322</v>
      </c>
    </row>
    <row r="1020" spans="1:6">
      <c r="A1020" s="211" t="s">
        <v>2599</v>
      </c>
      <c r="B1020" s="211">
        <v>3241</v>
      </c>
      <c r="C1020" s="211">
        <v>886</v>
      </c>
      <c r="D1020" s="211" t="s">
        <v>1255</v>
      </c>
      <c r="E1020" s="211" t="s">
        <v>10385</v>
      </c>
      <c r="F1020" s="211" t="s">
        <v>7237</v>
      </c>
    </row>
    <row r="1021" spans="1:6">
      <c r="A1021" s="211" t="s">
        <v>5362</v>
      </c>
      <c r="B1021" s="211">
        <v>2670</v>
      </c>
      <c r="C1021" s="211">
        <v>1453</v>
      </c>
      <c r="D1021" s="211" t="s">
        <v>1255</v>
      </c>
      <c r="E1021" s="211" t="s">
        <v>10385</v>
      </c>
      <c r="F1021" s="211" t="s">
        <v>7402</v>
      </c>
    </row>
    <row r="1022" spans="1:6">
      <c r="A1022" s="211" t="s">
        <v>3840</v>
      </c>
      <c r="B1022" s="211">
        <v>1103</v>
      </c>
      <c r="C1022" s="211">
        <v>919</v>
      </c>
      <c r="D1022" s="211" t="s">
        <v>1255</v>
      </c>
      <c r="E1022" s="211" t="s">
        <v>10385</v>
      </c>
      <c r="F1022" s="211" t="s">
        <v>7255</v>
      </c>
    </row>
    <row r="1023" spans="1:6">
      <c r="A1023" s="211" t="s">
        <v>2600</v>
      </c>
      <c r="B1023" s="211">
        <v>4677</v>
      </c>
      <c r="C1023" s="211">
        <v>857</v>
      </c>
      <c r="D1023" s="211" t="s">
        <v>1255</v>
      </c>
      <c r="E1023" s="211" t="s">
        <v>10385</v>
      </c>
      <c r="F1023" s="211" t="s">
        <v>7356</v>
      </c>
    </row>
    <row r="1024" spans="1:6">
      <c r="A1024" s="211" t="s">
        <v>2601</v>
      </c>
      <c r="B1024" s="211">
        <v>4786</v>
      </c>
      <c r="C1024" s="211">
        <v>872</v>
      </c>
      <c r="D1024" s="211" t="s">
        <v>1117</v>
      </c>
      <c r="E1024" s="211" t="s">
        <v>10385</v>
      </c>
      <c r="F1024" s="211" t="s">
        <v>7167</v>
      </c>
    </row>
    <row r="1025" spans="1:6">
      <c r="A1025" s="211" t="s">
        <v>7598</v>
      </c>
      <c r="B1025" s="211">
        <v>253</v>
      </c>
      <c r="C1025" s="211" t="s">
        <v>10385</v>
      </c>
      <c r="D1025" s="211" t="s">
        <v>1255</v>
      </c>
      <c r="E1025" s="211" t="s">
        <v>10385</v>
      </c>
      <c r="F1025" s="211" t="s">
        <v>7196</v>
      </c>
    </row>
    <row r="1026" spans="1:6">
      <c r="A1026" s="211" t="s">
        <v>9171</v>
      </c>
      <c r="B1026" s="211">
        <v>8136</v>
      </c>
      <c r="C1026" s="211">
        <v>600</v>
      </c>
      <c r="D1026" s="211" t="s">
        <v>1117</v>
      </c>
      <c r="E1026" s="211" t="s">
        <v>9172</v>
      </c>
      <c r="F1026" s="211" t="s">
        <v>7556</v>
      </c>
    </row>
    <row r="1027" spans="1:6">
      <c r="A1027" s="211" t="s">
        <v>5614</v>
      </c>
      <c r="B1027" s="211">
        <v>7284</v>
      </c>
      <c r="C1027" s="211">
        <v>1216</v>
      </c>
      <c r="D1027" s="211" t="s">
        <v>1255</v>
      </c>
      <c r="E1027" s="211" t="s">
        <v>10385</v>
      </c>
      <c r="F1027" s="211" t="s">
        <v>7212</v>
      </c>
    </row>
    <row r="1028" spans="1:6">
      <c r="A1028" s="211" t="s">
        <v>7599</v>
      </c>
      <c r="B1028" s="211">
        <v>245</v>
      </c>
      <c r="C1028" s="211" t="s">
        <v>10385</v>
      </c>
      <c r="D1028" s="211" t="s">
        <v>1255</v>
      </c>
      <c r="E1028" s="211" t="s">
        <v>10385</v>
      </c>
      <c r="F1028" s="211" t="s">
        <v>7265</v>
      </c>
    </row>
    <row r="1029" spans="1:6">
      <c r="A1029" s="211" t="s">
        <v>2602</v>
      </c>
      <c r="B1029" s="211">
        <v>5494</v>
      </c>
      <c r="C1029" s="211">
        <v>1345</v>
      </c>
      <c r="D1029" s="211" t="s">
        <v>1117</v>
      </c>
      <c r="E1029" s="211" t="s">
        <v>5615</v>
      </c>
      <c r="F1029" s="211" t="s">
        <v>7196</v>
      </c>
    </row>
    <row r="1030" spans="1:6">
      <c r="A1030" s="211" t="s">
        <v>7600</v>
      </c>
      <c r="B1030" s="211">
        <v>193</v>
      </c>
      <c r="C1030" s="211" t="s">
        <v>10385</v>
      </c>
      <c r="D1030" s="211" t="s">
        <v>1255</v>
      </c>
      <c r="E1030" s="211" t="s">
        <v>10385</v>
      </c>
      <c r="F1030" s="211" t="s">
        <v>7173</v>
      </c>
    </row>
    <row r="1031" spans="1:6">
      <c r="A1031" s="211" t="s">
        <v>7601</v>
      </c>
      <c r="B1031" s="211">
        <v>513</v>
      </c>
      <c r="C1031" s="211" t="s">
        <v>10385</v>
      </c>
      <c r="D1031" s="211" t="s">
        <v>1255</v>
      </c>
      <c r="E1031" s="211" t="s">
        <v>10385</v>
      </c>
      <c r="F1031" s="211" t="s">
        <v>7318</v>
      </c>
    </row>
    <row r="1032" spans="1:6">
      <c r="A1032" s="211" t="s">
        <v>7602</v>
      </c>
      <c r="B1032" s="211">
        <v>5502</v>
      </c>
      <c r="C1032" s="211" t="s">
        <v>10385</v>
      </c>
      <c r="D1032" s="211" t="s">
        <v>1117</v>
      </c>
      <c r="E1032" s="211" t="s">
        <v>10385</v>
      </c>
      <c r="F1032" s="211" t="s">
        <v>7272</v>
      </c>
    </row>
    <row r="1033" spans="1:6">
      <c r="A1033" s="211" t="s">
        <v>2603</v>
      </c>
      <c r="B1033" s="211">
        <v>3329</v>
      </c>
      <c r="C1033" s="211">
        <v>1103</v>
      </c>
      <c r="D1033" s="211" t="s">
        <v>1255</v>
      </c>
      <c r="E1033" s="211" t="s">
        <v>10385</v>
      </c>
      <c r="F1033" s="211" t="s">
        <v>7603</v>
      </c>
    </row>
    <row r="1034" spans="1:6">
      <c r="A1034" s="211" t="s">
        <v>7604</v>
      </c>
      <c r="B1034" s="211">
        <v>7235</v>
      </c>
      <c r="C1034" s="211">
        <v>2193</v>
      </c>
      <c r="D1034" s="211" t="s">
        <v>1255</v>
      </c>
      <c r="E1034" s="211" t="s">
        <v>6690</v>
      </c>
      <c r="F1034" s="211" t="s">
        <v>7322</v>
      </c>
    </row>
    <row r="1035" spans="1:6">
      <c r="A1035" s="211" t="s">
        <v>4989</v>
      </c>
      <c r="B1035" s="211">
        <v>6613</v>
      </c>
      <c r="C1035" s="211">
        <v>984</v>
      </c>
      <c r="D1035" s="211" t="s">
        <v>1255</v>
      </c>
      <c r="E1035" s="211" t="s">
        <v>10385</v>
      </c>
      <c r="F1035" s="211" t="s">
        <v>7240</v>
      </c>
    </row>
    <row r="1036" spans="1:6">
      <c r="A1036" s="211" t="s">
        <v>2604</v>
      </c>
      <c r="B1036" s="211">
        <v>5698</v>
      </c>
      <c r="C1036" s="211">
        <v>1992</v>
      </c>
      <c r="D1036" s="211" t="s">
        <v>1255</v>
      </c>
      <c r="E1036" s="211" t="s">
        <v>9173</v>
      </c>
      <c r="F1036" s="211" t="s">
        <v>7342</v>
      </c>
    </row>
    <row r="1037" spans="1:6">
      <c r="A1037" s="211" t="s">
        <v>9174</v>
      </c>
      <c r="B1037" s="211">
        <v>8520</v>
      </c>
      <c r="C1037" s="211">
        <v>747</v>
      </c>
      <c r="D1037" s="211" t="s">
        <v>1255</v>
      </c>
      <c r="E1037" s="211" t="s">
        <v>10385</v>
      </c>
      <c r="F1037" s="211" t="s">
        <v>9048</v>
      </c>
    </row>
    <row r="1038" spans="1:6">
      <c r="A1038" s="211" t="s">
        <v>9175</v>
      </c>
      <c r="B1038" s="211">
        <v>8439</v>
      </c>
      <c r="C1038" s="211">
        <v>959</v>
      </c>
      <c r="D1038" s="211" t="s">
        <v>1255</v>
      </c>
      <c r="E1038" s="211" t="s">
        <v>9176</v>
      </c>
      <c r="F1038" s="211" t="s">
        <v>9048</v>
      </c>
    </row>
    <row r="1039" spans="1:6">
      <c r="A1039" s="211" t="s">
        <v>6691</v>
      </c>
      <c r="B1039" s="211">
        <v>7881</v>
      </c>
      <c r="C1039" s="211">
        <v>886</v>
      </c>
      <c r="D1039" s="211" t="s">
        <v>1255</v>
      </c>
      <c r="E1039" s="211" t="s">
        <v>10385</v>
      </c>
      <c r="F1039" s="211" t="s">
        <v>9048</v>
      </c>
    </row>
    <row r="1040" spans="1:6">
      <c r="A1040" s="211" t="s">
        <v>5315</v>
      </c>
      <c r="B1040" s="211">
        <v>5203</v>
      </c>
      <c r="C1040" s="211">
        <v>712</v>
      </c>
      <c r="D1040" s="211" t="s">
        <v>1117</v>
      </c>
      <c r="E1040" s="211" t="s">
        <v>10385</v>
      </c>
      <c r="F1040" s="211" t="s">
        <v>7192</v>
      </c>
    </row>
    <row r="1041" spans="1:6">
      <c r="A1041" s="211" t="s">
        <v>7605</v>
      </c>
      <c r="B1041" s="211">
        <v>3151</v>
      </c>
      <c r="C1041" s="211" t="s">
        <v>10385</v>
      </c>
      <c r="D1041" s="211" t="s">
        <v>1255</v>
      </c>
      <c r="E1041" s="211" t="s">
        <v>10385</v>
      </c>
      <c r="F1041" s="211" t="s">
        <v>7384</v>
      </c>
    </row>
    <row r="1042" spans="1:6">
      <c r="A1042" s="211" t="s">
        <v>2605</v>
      </c>
      <c r="B1042" s="211">
        <v>5059</v>
      </c>
      <c r="C1042" s="211">
        <v>589</v>
      </c>
      <c r="D1042" s="211" t="s">
        <v>1117</v>
      </c>
      <c r="E1042" s="211" t="s">
        <v>10385</v>
      </c>
      <c r="F1042" s="211" t="s">
        <v>7318</v>
      </c>
    </row>
    <row r="1043" spans="1:6">
      <c r="A1043" s="211" t="s">
        <v>7606</v>
      </c>
      <c r="B1043" s="211">
        <v>3297</v>
      </c>
      <c r="C1043" s="211" t="s">
        <v>10385</v>
      </c>
      <c r="D1043" s="211" t="s">
        <v>1255</v>
      </c>
      <c r="E1043" s="211" t="s">
        <v>10385</v>
      </c>
      <c r="F1043" s="211" t="s">
        <v>7318</v>
      </c>
    </row>
    <row r="1044" spans="1:6">
      <c r="A1044" s="211" t="s">
        <v>7607</v>
      </c>
      <c r="B1044" s="211">
        <v>1342</v>
      </c>
      <c r="C1044" s="211" t="s">
        <v>10385</v>
      </c>
      <c r="D1044" s="211" t="s">
        <v>1255</v>
      </c>
      <c r="E1044" s="211" t="s">
        <v>10385</v>
      </c>
      <c r="F1044" s="211" t="s">
        <v>7419</v>
      </c>
    </row>
    <row r="1045" spans="1:6">
      <c r="A1045" s="211" t="s">
        <v>2606</v>
      </c>
      <c r="B1045" s="211">
        <v>2082</v>
      </c>
      <c r="C1045" s="211">
        <v>826</v>
      </c>
      <c r="D1045" s="211" t="s">
        <v>1117</v>
      </c>
      <c r="E1045" s="211" t="s">
        <v>10385</v>
      </c>
      <c r="F1045" s="211" t="s">
        <v>7356</v>
      </c>
    </row>
    <row r="1046" spans="1:6">
      <c r="A1046" s="211" t="s">
        <v>10463</v>
      </c>
      <c r="B1046" s="211">
        <v>8646</v>
      </c>
      <c r="C1046" s="211" t="s">
        <v>10385</v>
      </c>
      <c r="D1046" s="211" t="s">
        <v>1255</v>
      </c>
      <c r="E1046" s="211" t="s">
        <v>10385</v>
      </c>
      <c r="F1046" s="211" t="s">
        <v>7242</v>
      </c>
    </row>
    <row r="1047" spans="1:6">
      <c r="A1047" s="211" t="s">
        <v>5616</v>
      </c>
      <c r="B1047" s="211">
        <v>7400</v>
      </c>
      <c r="C1047" s="211">
        <v>838</v>
      </c>
      <c r="D1047" s="211" t="s">
        <v>1255</v>
      </c>
      <c r="E1047" s="211" t="s">
        <v>5617</v>
      </c>
      <c r="F1047" s="211" t="s">
        <v>7197</v>
      </c>
    </row>
    <row r="1048" spans="1:6">
      <c r="A1048" s="211" t="s">
        <v>2607</v>
      </c>
      <c r="B1048" s="211">
        <v>5747</v>
      </c>
      <c r="C1048" s="211">
        <v>876</v>
      </c>
      <c r="D1048" s="211" t="s">
        <v>1117</v>
      </c>
      <c r="E1048" s="211" t="s">
        <v>10385</v>
      </c>
      <c r="F1048" s="211" t="s">
        <v>7327</v>
      </c>
    </row>
    <row r="1049" spans="1:6">
      <c r="A1049" s="211" t="s">
        <v>5618</v>
      </c>
      <c r="B1049" s="211">
        <v>7232</v>
      </c>
      <c r="C1049" s="211">
        <v>808</v>
      </c>
      <c r="D1049" s="211" t="s">
        <v>1117</v>
      </c>
      <c r="E1049" s="211" t="s">
        <v>10385</v>
      </c>
      <c r="F1049" s="211" t="s">
        <v>7205</v>
      </c>
    </row>
    <row r="1050" spans="1:6">
      <c r="A1050" s="211" t="s">
        <v>2608</v>
      </c>
      <c r="B1050" s="211">
        <v>5798</v>
      </c>
      <c r="C1050" s="211">
        <v>1085</v>
      </c>
      <c r="D1050" s="211" t="s">
        <v>1255</v>
      </c>
      <c r="E1050" s="211" t="s">
        <v>10385</v>
      </c>
      <c r="F1050" s="211" t="s">
        <v>7459</v>
      </c>
    </row>
    <row r="1051" spans="1:6">
      <c r="A1051" s="211" t="s">
        <v>7608</v>
      </c>
      <c r="B1051" s="211">
        <v>3115</v>
      </c>
      <c r="C1051" s="211" t="s">
        <v>10385</v>
      </c>
      <c r="D1051" s="211" t="s">
        <v>1255</v>
      </c>
      <c r="E1051" s="211" t="s">
        <v>10385</v>
      </c>
      <c r="F1051" s="211" t="s">
        <v>7325</v>
      </c>
    </row>
    <row r="1052" spans="1:6">
      <c r="A1052" s="211" t="s">
        <v>2609</v>
      </c>
      <c r="B1052" s="211">
        <v>268</v>
      </c>
      <c r="C1052" s="211">
        <v>1604</v>
      </c>
      <c r="D1052" s="211" t="s">
        <v>1255</v>
      </c>
      <c r="E1052" s="211" t="s">
        <v>10385</v>
      </c>
      <c r="F1052" s="211" t="s">
        <v>7320</v>
      </c>
    </row>
    <row r="1053" spans="1:6">
      <c r="A1053" s="211" t="s">
        <v>9177</v>
      </c>
      <c r="B1053" s="211">
        <v>8487</v>
      </c>
      <c r="C1053" s="211">
        <v>1012</v>
      </c>
      <c r="D1053" s="211" t="s">
        <v>1255</v>
      </c>
      <c r="E1053" s="211" t="s">
        <v>10385</v>
      </c>
      <c r="F1053" s="211" t="s">
        <v>7321</v>
      </c>
    </row>
    <row r="1054" spans="1:6">
      <c r="A1054" s="211" t="s">
        <v>2610</v>
      </c>
      <c r="B1054" s="211">
        <v>4923</v>
      </c>
      <c r="C1054" s="211">
        <v>2112</v>
      </c>
      <c r="D1054" s="211" t="s">
        <v>1117</v>
      </c>
      <c r="E1054" s="211" t="s">
        <v>10385</v>
      </c>
      <c r="F1054" s="211" t="s">
        <v>7267</v>
      </c>
    </row>
    <row r="1055" spans="1:6">
      <c r="A1055" s="211" t="s">
        <v>7609</v>
      </c>
      <c r="B1055" s="211">
        <v>2383</v>
      </c>
      <c r="C1055" s="211" t="s">
        <v>10385</v>
      </c>
      <c r="D1055" s="211" t="s">
        <v>1117</v>
      </c>
      <c r="E1055" s="211" t="s">
        <v>10385</v>
      </c>
      <c r="F1055" s="211" t="s">
        <v>7425</v>
      </c>
    </row>
    <row r="1056" spans="1:6">
      <c r="A1056" s="211" t="s">
        <v>6692</v>
      </c>
      <c r="B1056" s="211">
        <v>7840</v>
      </c>
      <c r="C1056" s="211">
        <v>1484</v>
      </c>
      <c r="D1056" s="211" t="s">
        <v>1117</v>
      </c>
      <c r="E1056" s="211" t="s">
        <v>10385</v>
      </c>
      <c r="F1056" s="211" t="s">
        <v>7425</v>
      </c>
    </row>
    <row r="1057" spans="1:6">
      <c r="A1057" s="211" t="s">
        <v>2611</v>
      </c>
      <c r="B1057" s="211">
        <v>1315</v>
      </c>
      <c r="C1057" s="211">
        <v>1894</v>
      </c>
      <c r="D1057" s="211" t="s">
        <v>1255</v>
      </c>
      <c r="E1057" s="211" t="s">
        <v>10385</v>
      </c>
      <c r="F1057" s="211" t="s">
        <v>7610</v>
      </c>
    </row>
    <row r="1058" spans="1:6">
      <c r="A1058" s="211" t="s">
        <v>2612</v>
      </c>
      <c r="B1058" s="211">
        <v>4498</v>
      </c>
      <c r="C1058" s="211">
        <v>838</v>
      </c>
      <c r="D1058" s="211" t="s">
        <v>1255</v>
      </c>
      <c r="E1058" s="211" t="s">
        <v>10385</v>
      </c>
      <c r="F1058" s="211" t="s">
        <v>7581</v>
      </c>
    </row>
    <row r="1059" spans="1:6">
      <c r="A1059" s="211" t="s">
        <v>10464</v>
      </c>
      <c r="B1059" s="211">
        <v>8706</v>
      </c>
      <c r="C1059" s="211" t="s">
        <v>10385</v>
      </c>
      <c r="D1059" s="211" t="s">
        <v>1255</v>
      </c>
      <c r="E1059" s="211" t="s">
        <v>10465</v>
      </c>
      <c r="F1059" s="211" t="s">
        <v>7373</v>
      </c>
    </row>
    <row r="1060" spans="1:6">
      <c r="A1060" s="211" t="s">
        <v>4916</v>
      </c>
      <c r="B1060" s="211">
        <v>4861</v>
      </c>
      <c r="C1060" s="211">
        <v>758</v>
      </c>
      <c r="D1060" s="211" t="s">
        <v>1255</v>
      </c>
      <c r="E1060" s="211" t="s">
        <v>10385</v>
      </c>
      <c r="F1060" s="211" t="s">
        <v>7192</v>
      </c>
    </row>
    <row r="1061" spans="1:6">
      <c r="A1061" s="211" t="s">
        <v>9178</v>
      </c>
      <c r="B1061" s="211">
        <v>8046</v>
      </c>
      <c r="C1061" s="211">
        <v>957</v>
      </c>
      <c r="D1061" s="211" t="s">
        <v>1255</v>
      </c>
      <c r="E1061" s="211" t="s">
        <v>10466</v>
      </c>
      <c r="F1061" s="211" t="s">
        <v>7536</v>
      </c>
    </row>
    <row r="1062" spans="1:6">
      <c r="A1062" s="211" t="s">
        <v>2613</v>
      </c>
      <c r="B1062" s="211">
        <v>3595</v>
      </c>
      <c r="C1062" s="211">
        <v>768</v>
      </c>
      <c r="D1062" s="211" t="s">
        <v>1255</v>
      </c>
      <c r="E1062" s="211" t="s">
        <v>10385</v>
      </c>
      <c r="F1062" s="211" t="s">
        <v>7297</v>
      </c>
    </row>
    <row r="1063" spans="1:6">
      <c r="A1063" s="211" t="s">
        <v>7611</v>
      </c>
      <c r="B1063" s="211">
        <v>3795</v>
      </c>
      <c r="C1063" s="211" t="s">
        <v>10385</v>
      </c>
      <c r="D1063" s="211" t="s">
        <v>1255</v>
      </c>
      <c r="E1063" s="211" t="s">
        <v>10385</v>
      </c>
      <c r="F1063" s="211" t="s">
        <v>7334</v>
      </c>
    </row>
    <row r="1064" spans="1:6">
      <c r="A1064" s="211" t="s">
        <v>3841</v>
      </c>
      <c r="B1064" s="211">
        <v>4364</v>
      </c>
      <c r="C1064" s="211">
        <v>1393</v>
      </c>
      <c r="D1064" s="211" t="s">
        <v>1255</v>
      </c>
      <c r="E1064" s="211" t="s">
        <v>10385</v>
      </c>
      <c r="F1064" s="211" t="s">
        <v>7459</v>
      </c>
    </row>
    <row r="1065" spans="1:6">
      <c r="A1065" s="211" t="s">
        <v>5363</v>
      </c>
      <c r="B1065" s="211">
        <v>1718</v>
      </c>
      <c r="C1065" s="211">
        <v>1211</v>
      </c>
      <c r="D1065" s="211" t="s">
        <v>1255</v>
      </c>
      <c r="E1065" s="211" t="s">
        <v>10385</v>
      </c>
      <c r="F1065" s="211" t="s">
        <v>7354</v>
      </c>
    </row>
    <row r="1066" spans="1:6">
      <c r="A1066" s="211" t="s">
        <v>2614</v>
      </c>
      <c r="B1066" s="211">
        <v>4809</v>
      </c>
      <c r="C1066" s="211">
        <v>956</v>
      </c>
      <c r="D1066" s="211" t="s">
        <v>1117</v>
      </c>
      <c r="E1066" s="211" t="s">
        <v>10385</v>
      </c>
      <c r="F1066" s="211" t="s">
        <v>7239</v>
      </c>
    </row>
    <row r="1067" spans="1:6">
      <c r="A1067" s="211" t="s">
        <v>2615</v>
      </c>
      <c r="B1067" s="211">
        <v>5718</v>
      </c>
      <c r="C1067" s="211">
        <v>974</v>
      </c>
      <c r="D1067" s="211" t="s">
        <v>1117</v>
      </c>
      <c r="E1067" s="211" t="s">
        <v>10385</v>
      </c>
      <c r="F1067" s="211" t="s">
        <v>7275</v>
      </c>
    </row>
    <row r="1068" spans="1:6">
      <c r="A1068" s="211" t="s">
        <v>4505</v>
      </c>
      <c r="B1068" s="211">
        <v>6558</v>
      </c>
      <c r="C1068" s="211">
        <v>633</v>
      </c>
      <c r="D1068" s="211" t="s">
        <v>1117</v>
      </c>
      <c r="E1068" s="211" t="s">
        <v>5619</v>
      </c>
      <c r="F1068" s="211" t="s">
        <v>7524</v>
      </c>
    </row>
    <row r="1069" spans="1:6">
      <c r="A1069" s="211" t="s">
        <v>6693</v>
      </c>
      <c r="B1069" s="211">
        <v>7670</v>
      </c>
      <c r="C1069" s="211">
        <v>1273</v>
      </c>
      <c r="D1069" s="211" t="s">
        <v>1255</v>
      </c>
      <c r="E1069" s="211" t="s">
        <v>6694</v>
      </c>
      <c r="F1069" s="211" t="s">
        <v>7320</v>
      </c>
    </row>
    <row r="1070" spans="1:6">
      <c r="A1070" s="211" t="s">
        <v>5620</v>
      </c>
      <c r="B1070" s="211">
        <v>7090</v>
      </c>
      <c r="C1070" s="211">
        <v>985</v>
      </c>
      <c r="D1070" s="211" t="s">
        <v>1117</v>
      </c>
      <c r="E1070" s="211" t="s">
        <v>6695</v>
      </c>
      <c r="F1070" s="211" t="s">
        <v>7356</v>
      </c>
    </row>
    <row r="1071" spans="1:6">
      <c r="A1071" s="211" t="s">
        <v>2616</v>
      </c>
      <c r="B1071" s="211">
        <v>5397</v>
      </c>
      <c r="C1071" s="211">
        <v>821</v>
      </c>
      <c r="D1071" s="211" t="s">
        <v>1117</v>
      </c>
      <c r="E1071" s="211" t="s">
        <v>10385</v>
      </c>
      <c r="F1071" s="211" t="s">
        <v>7524</v>
      </c>
    </row>
    <row r="1072" spans="1:6">
      <c r="A1072" s="211" t="s">
        <v>9179</v>
      </c>
      <c r="B1072" s="211">
        <v>8134</v>
      </c>
      <c r="C1072" s="211">
        <v>1018</v>
      </c>
      <c r="D1072" s="211" t="s">
        <v>1255</v>
      </c>
      <c r="E1072" s="211" t="s">
        <v>10385</v>
      </c>
      <c r="F1072" s="211" t="s">
        <v>7241</v>
      </c>
    </row>
    <row r="1073" spans="1:6">
      <c r="A1073" s="211" t="s">
        <v>5621</v>
      </c>
      <c r="B1073" s="211">
        <v>7050</v>
      </c>
      <c r="C1073" s="211">
        <v>1368</v>
      </c>
      <c r="D1073" s="211" t="s">
        <v>1255</v>
      </c>
      <c r="E1073" s="211" t="s">
        <v>6696</v>
      </c>
      <c r="F1073" s="211" t="s">
        <v>7231</v>
      </c>
    </row>
    <row r="1074" spans="1:6">
      <c r="A1074" s="211" t="s">
        <v>2617</v>
      </c>
      <c r="B1074" s="211">
        <v>1818</v>
      </c>
      <c r="C1074" s="211">
        <v>1115</v>
      </c>
      <c r="D1074" s="211" t="s">
        <v>1255</v>
      </c>
      <c r="E1074" s="211" t="s">
        <v>10385</v>
      </c>
      <c r="F1074" s="211" t="s">
        <v>7284</v>
      </c>
    </row>
    <row r="1075" spans="1:6">
      <c r="A1075" s="211" t="s">
        <v>2618</v>
      </c>
      <c r="B1075" s="211">
        <v>853</v>
      </c>
      <c r="C1075" s="211">
        <v>1140</v>
      </c>
      <c r="D1075" s="211" t="s">
        <v>1255</v>
      </c>
      <c r="E1075" s="211" t="s">
        <v>10385</v>
      </c>
      <c r="F1075" s="211" t="s">
        <v>7320</v>
      </c>
    </row>
    <row r="1076" spans="1:6">
      <c r="A1076" s="211" t="s">
        <v>7612</v>
      </c>
      <c r="B1076" s="211">
        <v>5730</v>
      </c>
      <c r="C1076" s="211">
        <v>1209</v>
      </c>
      <c r="D1076" s="211" t="s">
        <v>1117</v>
      </c>
      <c r="E1076" s="211" t="s">
        <v>5622</v>
      </c>
      <c r="F1076" s="211" t="s">
        <v>7173</v>
      </c>
    </row>
    <row r="1077" spans="1:6">
      <c r="A1077" s="211" t="s">
        <v>2619</v>
      </c>
      <c r="B1077" s="211">
        <v>1657</v>
      </c>
      <c r="C1077" s="211">
        <v>1474</v>
      </c>
      <c r="D1077" s="211" t="s">
        <v>1255</v>
      </c>
      <c r="E1077" s="211" t="s">
        <v>10385</v>
      </c>
      <c r="F1077" s="211" t="s">
        <v>7201</v>
      </c>
    </row>
    <row r="1078" spans="1:6">
      <c r="A1078" s="211" t="s">
        <v>2620</v>
      </c>
      <c r="B1078" s="211">
        <v>4737</v>
      </c>
      <c r="C1078" s="211">
        <v>924</v>
      </c>
      <c r="D1078" s="211" t="s">
        <v>1255</v>
      </c>
      <c r="E1078" s="211" t="s">
        <v>10385</v>
      </c>
      <c r="F1078" s="211" t="s">
        <v>7341</v>
      </c>
    </row>
    <row r="1079" spans="1:6">
      <c r="A1079" s="211" t="s">
        <v>9180</v>
      </c>
      <c r="B1079" s="211">
        <v>8114</v>
      </c>
      <c r="C1079" s="211">
        <v>1986</v>
      </c>
      <c r="D1079" s="211" t="s">
        <v>1255</v>
      </c>
      <c r="E1079" s="211" t="s">
        <v>9181</v>
      </c>
      <c r="F1079" s="211" t="s">
        <v>7167</v>
      </c>
    </row>
    <row r="1080" spans="1:6">
      <c r="A1080" s="211" t="s">
        <v>9182</v>
      </c>
      <c r="B1080" s="211">
        <v>8372</v>
      </c>
      <c r="C1080" s="211">
        <v>935</v>
      </c>
      <c r="D1080" s="211" t="s">
        <v>1255</v>
      </c>
      <c r="E1080" s="211" t="s">
        <v>10467</v>
      </c>
      <c r="F1080" s="211" t="s">
        <v>7414</v>
      </c>
    </row>
    <row r="1081" spans="1:6">
      <c r="A1081" s="211" t="s">
        <v>2621</v>
      </c>
      <c r="B1081" s="211">
        <v>3378</v>
      </c>
      <c r="C1081" s="211">
        <v>1164</v>
      </c>
      <c r="D1081" s="211" t="s">
        <v>1255</v>
      </c>
      <c r="E1081" s="211" t="s">
        <v>10385</v>
      </c>
      <c r="F1081" s="211" t="s">
        <v>7453</v>
      </c>
    </row>
    <row r="1082" spans="1:6">
      <c r="A1082" s="211" t="s">
        <v>5623</v>
      </c>
      <c r="B1082" s="211">
        <v>7100</v>
      </c>
      <c r="C1082" s="211">
        <v>1203</v>
      </c>
      <c r="D1082" s="211" t="s">
        <v>1255</v>
      </c>
      <c r="E1082" s="211" t="s">
        <v>9183</v>
      </c>
      <c r="F1082" s="211" t="s">
        <v>7321</v>
      </c>
    </row>
    <row r="1083" spans="1:6">
      <c r="A1083" s="211" t="s">
        <v>7613</v>
      </c>
      <c r="B1083" s="211">
        <v>579</v>
      </c>
      <c r="C1083" s="211" t="s">
        <v>10385</v>
      </c>
      <c r="D1083" s="211" t="s">
        <v>1255</v>
      </c>
      <c r="E1083" s="211" t="s">
        <v>10385</v>
      </c>
      <c r="F1083" s="211" t="s">
        <v>7356</v>
      </c>
    </row>
    <row r="1084" spans="1:6">
      <c r="A1084" s="211" t="s">
        <v>10468</v>
      </c>
      <c r="B1084" s="211">
        <v>8699</v>
      </c>
      <c r="C1084" s="211">
        <v>947</v>
      </c>
      <c r="D1084" s="211" t="s">
        <v>1255</v>
      </c>
      <c r="E1084" s="211" t="s">
        <v>10469</v>
      </c>
      <c r="F1084" s="211" t="s">
        <v>7446</v>
      </c>
    </row>
    <row r="1085" spans="1:6">
      <c r="A1085" s="211" t="s">
        <v>8891</v>
      </c>
      <c r="B1085" s="211">
        <v>714</v>
      </c>
      <c r="C1085" s="211" t="s">
        <v>10385</v>
      </c>
      <c r="D1085" s="211" t="s">
        <v>1255</v>
      </c>
      <c r="E1085" s="211" t="s">
        <v>10385</v>
      </c>
      <c r="F1085" s="211" t="s">
        <v>7243</v>
      </c>
    </row>
    <row r="1086" spans="1:6">
      <c r="A1086" s="211" t="s">
        <v>8892</v>
      </c>
      <c r="B1086" s="211">
        <v>983</v>
      </c>
      <c r="C1086" s="211" t="s">
        <v>10385</v>
      </c>
      <c r="D1086" s="211" t="s">
        <v>1255</v>
      </c>
      <c r="E1086" s="211" t="s">
        <v>10385</v>
      </c>
      <c r="F1086" s="211" t="s">
        <v>7592</v>
      </c>
    </row>
    <row r="1087" spans="1:6">
      <c r="A1087" s="211" t="s">
        <v>8893</v>
      </c>
      <c r="B1087" s="211">
        <v>910</v>
      </c>
      <c r="C1087" s="211" t="s">
        <v>10385</v>
      </c>
      <c r="D1087" s="211" t="s">
        <v>1255</v>
      </c>
      <c r="E1087" s="211" t="s">
        <v>10385</v>
      </c>
      <c r="F1087" s="211" t="s">
        <v>7210</v>
      </c>
    </row>
    <row r="1088" spans="1:6">
      <c r="A1088" s="211" t="s">
        <v>8894</v>
      </c>
      <c r="B1088" s="211">
        <v>706</v>
      </c>
      <c r="C1088" s="211" t="s">
        <v>10385</v>
      </c>
      <c r="D1088" s="211" t="s">
        <v>1255</v>
      </c>
      <c r="E1088" s="211" t="s">
        <v>10385</v>
      </c>
      <c r="F1088" s="211" t="s">
        <v>7597</v>
      </c>
    </row>
    <row r="1089" spans="1:6">
      <c r="A1089" s="211" t="s">
        <v>8895</v>
      </c>
      <c r="B1089" s="211">
        <v>6657</v>
      </c>
      <c r="C1089" s="211">
        <v>1483</v>
      </c>
      <c r="D1089" s="211" t="s">
        <v>1255</v>
      </c>
      <c r="E1089" s="211" t="s">
        <v>10385</v>
      </c>
      <c r="F1089" s="211" t="s">
        <v>7357</v>
      </c>
    </row>
    <row r="1090" spans="1:6">
      <c r="A1090" s="211" t="s">
        <v>8896</v>
      </c>
      <c r="B1090" s="211">
        <v>442</v>
      </c>
      <c r="C1090" s="211">
        <v>1483</v>
      </c>
      <c r="D1090" s="211" t="s">
        <v>1255</v>
      </c>
      <c r="E1090" s="211" t="s">
        <v>10385</v>
      </c>
      <c r="F1090" s="211" t="s">
        <v>7342</v>
      </c>
    </row>
    <row r="1091" spans="1:6">
      <c r="A1091" s="211" t="s">
        <v>2622</v>
      </c>
      <c r="B1091" s="211">
        <v>5445</v>
      </c>
      <c r="C1091" s="211">
        <v>1014</v>
      </c>
      <c r="D1091" s="211" t="s">
        <v>1255</v>
      </c>
      <c r="E1091" s="211" t="s">
        <v>6697</v>
      </c>
      <c r="F1091" s="211" t="s">
        <v>7217</v>
      </c>
    </row>
    <row r="1092" spans="1:6">
      <c r="A1092" s="211" t="s">
        <v>5624</v>
      </c>
      <c r="B1092" s="211">
        <v>7077</v>
      </c>
      <c r="C1092" s="211">
        <v>1052</v>
      </c>
      <c r="D1092" s="211" t="s">
        <v>1255</v>
      </c>
      <c r="E1092" s="211" t="s">
        <v>5625</v>
      </c>
      <c r="F1092" s="211" t="s">
        <v>7196</v>
      </c>
    </row>
    <row r="1093" spans="1:6">
      <c r="A1093" s="211" t="s">
        <v>2961</v>
      </c>
      <c r="B1093" s="211">
        <v>2170</v>
      </c>
      <c r="C1093" s="211">
        <v>1179</v>
      </c>
      <c r="D1093" s="211" t="s">
        <v>1255</v>
      </c>
      <c r="E1093" s="211" t="s">
        <v>10385</v>
      </c>
      <c r="F1093" s="211" t="s">
        <v>7386</v>
      </c>
    </row>
    <row r="1094" spans="1:6">
      <c r="A1094" s="211" t="s">
        <v>7614</v>
      </c>
      <c r="B1094" s="211">
        <v>4733</v>
      </c>
      <c r="C1094" s="211">
        <v>1111</v>
      </c>
      <c r="D1094" s="211" t="s">
        <v>1255</v>
      </c>
      <c r="E1094" s="211" t="s">
        <v>5628</v>
      </c>
      <c r="F1094" s="211" t="s">
        <v>7615</v>
      </c>
    </row>
    <row r="1095" spans="1:6">
      <c r="A1095" s="211" t="s">
        <v>2896</v>
      </c>
      <c r="B1095" s="211">
        <v>1480</v>
      </c>
      <c r="C1095" s="211">
        <v>992</v>
      </c>
      <c r="D1095" s="211" t="s">
        <v>1117</v>
      </c>
      <c r="E1095" s="211" t="s">
        <v>10385</v>
      </c>
      <c r="F1095" s="211" t="s">
        <v>7384</v>
      </c>
    </row>
    <row r="1096" spans="1:6">
      <c r="A1096" s="211" t="s">
        <v>5626</v>
      </c>
      <c r="B1096" s="211">
        <v>7430</v>
      </c>
      <c r="C1096" s="211">
        <v>1457</v>
      </c>
      <c r="D1096" s="211" t="s">
        <v>1255</v>
      </c>
      <c r="E1096" s="211" t="s">
        <v>9184</v>
      </c>
      <c r="F1096" s="211" t="s">
        <v>7165</v>
      </c>
    </row>
    <row r="1097" spans="1:6">
      <c r="A1097" s="211" t="s">
        <v>7616</v>
      </c>
      <c r="B1097" s="211">
        <v>1750</v>
      </c>
      <c r="C1097" s="211" t="s">
        <v>10385</v>
      </c>
      <c r="D1097" s="211" t="s">
        <v>1255</v>
      </c>
      <c r="E1097" s="211" t="s">
        <v>10385</v>
      </c>
      <c r="F1097" s="211" t="s">
        <v>7617</v>
      </c>
    </row>
    <row r="1098" spans="1:6">
      <c r="A1098" s="211" t="s">
        <v>7618</v>
      </c>
      <c r="B1098" s="211">
        <v>6045</v>
      </c>
      <c r="C1098" s="211" t="s">
        <v>10385</v>
      </c>
      <c r="D1098" s="211" t="s">
        <v>1255</v>
      </c>
      <c r="E1098" s="211" t="s">
        <v>10385</v>
      </c>
      <c r="F1098" s="211" t="s">
        <v>7386</v>
      </c>
    </row>
    <row r="1099" spans="1:6">
      <c r="A1099" s="211" t="s">
        <v>2623</v>
      </c>
      <c r="B1099" s="211">
        <v>4776</v>
      </c>
      <c r="C1099" s="211">
        <v>1210</v>
      </c>
      <c r="D1099" s="211" t="s">
        <v>1255</v>
      </c>
      <c r="E1099" s="211" t="s">
        <v>10385</v>
      </c>
      <c r="F1099" s="211" t="s">
        <v>7241</v>
      </c>
    </row>
    <row r="1100" spans="1:6">
      <c r="A1100" s="211" t="s">
        <v>9185</v>
      </c>
      <c r="B1100" s="211">
        <v>8485</v>
      </c>
      <c r="C1100" s="211" t="s">
        <v>10385</v>
      </c>
      <c r="D1100" s="211" t="s">
        <v>1117</v>
      </c>
      <c r="E1100" s="211" t="s">
        <v>9186</v>
      </c>
      <c r="F1100" s="211" t="s">
        <v>7356</v>
      </c>
    </row>
    <row r="1101" spans="1:6">
      <c r="A1101" s="211" t="s">
        <v>6698</v>
      </c>
      <c r="B1101" s="211">
        <v>7701</v>
      </c>
      <c r="C1101" s="211">
        <v>904</v>
      </c>
      <c r="D1101" s="211" t="s">
        <v>1255</v>
      </c>
      <c r="E1101" s="211" t="s">
        <v>6699</v>
      </c>
      <c r="F1101" s="211" t="s">
        <v>7288</v>
      </c>
    </row>
    <row r="1102" spans="1:6">
      <c r="A1102" s="211" t="s">
        <v>2624</v>
      </c>
      <c r="B1102" s="211">
        <v>5842</v>
      </c>
      <c r="C1102" s="211">
        <v>678</v>
      </c>
      <c r="D1102" s="211" t="s">
        <v>1117</v>
      </c>
      <c r="E1102" s="211" t="s">
        <v>10385</v>
      </c>
      <c r="F1102" s="211" t="s">
        <v>7238</v>
      </c>
    </row>
    <row r="1103" spans="1:6">
      <c r="A1103" s="211" t="s">
        <v>2625</v>
      </c>
      <c r="B1103" s="211">
        <v>5558</v>
      </c>
      <c r="C1103" s="211">
        <v>1042</v>
      </c>
      <c r="D1103" s="211" t="s">
        <v>1117</v>
      </c>
      <c r="E1103" s="211" t="s">
        <v>6700</v>
      </c>
      <c r="F1103" s="211" t="s">
        <v>7284</v>
      </c>
    </row>
    <row r="1104" spans="1:6">
      <c r="A1104" s="211" t="s">
        <v>7619</v>
      </c>
      <c r="B1104" s="211">
        <v>2040</v>
      </c>
      <c r="C1104" s="211" t="s">
        <v>10385</v>
      </c>
      <c r="D1104" s="211" t="s">
        <v>1255</v>
      </c>
      <c r="E1104" s="211" t="s">
        <v>10385</v>
      </c>
      <c r="F1104" s="211" t="s">
        <v>7262</v>
      </c>
    </row>
    <row r="1105" spans="1:6">
      <c r="A1105" s="211" t="s">
        <v>2626</v>
      </c>
      <c r="B1105" s="211">
        <v>5666</v>
      </c>
      <c r="C1105" s="211">
        <v>905</v>
      </c>
      <c r="D1105" s="211" t="s">
        <v>1117</v>
      </c>
      <c r="E1105" s="211" t="s">
        <v>10385</v>
      </c>
      <c r="F1105" s="211" t="s">
        <v>7239</v>
      </c>
    </row>
    <row r="1106" spans="1:6">
      <c r="A1106" s="211" t="s">
        <v>2627</v>
      </c>
      <c r="B1106" s="211">
        <v>1280</v>
      </c>
      <c r="C1106" s="211">
        <v>1670</v>
      </c>
      <c r="D1106" s="211" t="s">
        <v>1255</v>
      </c>
      <c r="E1106" s="211" t="s">
        <v>10385</v>
      </c>
      <c r="F1106" s="211" t="s">
        <v>7249</v>
      </c>
    </row>
    <row r="1107" spans="1:6">
      <c r="A1107" s="211" t="s">
        <v>5288</v>
      </c>
      <c r="B1107" s="211">
        <v>4805</v>
      </c>
      <c r="C1107" s="211">
        <v>1194</v>
      </c>
      <c r="D1107" s="211" t="s">
        <v>1117</v>
      </c>
      <c r="E1107" s="211" t="s">
        <v>10385</v>
      </c>
      <c r="F1107" s="211" t="s">
        <v>7232</v>
      </c>
    </row>
    <row r="1108" spans="1:6">
      <c r="A1108" s="211" t="s">
        <v>5289</v>
      </c>
      <c r="B1108" s="211">
        <v>2957</v>
      </c>
      <c r="C1108" s="211">
        <v>799</v>
      </c>
      <c r="D1108" s="211" t="s">
        <v>1117</v>
      </c>
      <c r="E1108" s="211" t="s">
        <v>10385</v>
      </c>
      <c r="F1108" s="211" t="s">
        <v>7205</v>
      </c>
    </row>
    <row r="1109" spans="1:6">
      <c r="A1109" s="211" t="s">
        <v>5627</v>
      </c>
      <c r="B1109" s="211">
        <v>5970</v>
      </c>
      <c r="C1109" s="211">
        <v>957</v>
      </c>
      <c r="D1109" s="211" t="s">
        <v>1255</v>
      </c>
      <c r="E1109" s="211" t="s">
        <v>9187</v>
      </c>
      <c r="F1109" s="211" t="s">
        <v>7334</v>
      </c>
    </row>
    <row r="1110" spans="1:6">
      <c r="A1110" s="211" t="s">
        <v>2628</v>
      </c>
      <c r="B1110" s="211">
        <v>1270</v>
      </c>
      <c r="C1110" s="211">
        <v>1887</v>
      </c>
      <c r="D1110" s="211" t="s">
        <v>1255</v>
      </c>
      <c r="E1110" s="211" t="s">
        <v>10385</v>
      </c>
      <c r="F1110" s="211" t="s">
        <v>7386</v>
      </c>
    </row>
    <row r="1111" spans="1:6">
      <c r="A1111" s="211" t="s">
        <v>7620</v>
      </c>
      <c r="B1111" s="211">
        <v>699</v>
      </c>
      <c r="C1111" s="211" t="s">
        <v>10385</v>
      </c>
      <c r="D1111" s="211" t="s">
        <v>1255</v>
      </c>
      <c r="E1111" s="211" t="s">
        <v>10385</v>
      </c>
      <c r="F1111" s="211" t="s">
        <v>7597</v>
      </c>
    </row>
    <row r="1112" spans="1:6">
      <c r="A1112" s="211" t="s">
        <v>2939</v>
      </c>
      <c r="B1112" s="211">
        <v>2342</v>
      </c>
      <c r="C1112" s="211">
        <v>1691</v>
      </c>
      <c r="D1112" s="211" t="s">
        <v>1255</v>
      </c>
      <c r="E1112" s="211" t="s">
        <v>10385</v>
      </c>
      <c r="F1112" s="211" t="s">
        <v>7380</v>
      </c>
    </row>
    <row r="1113" spans="1:6">
      <c r="A1113" s="211" t="s">
        <v>2629</v>
      </c>
      <c r="B1113" s="211">
        <v>244</v>
      </c>
      <c r="C1113" s="211">
        <v>1774</v>
      </c>
      <c r="D1113" s="211" t="s">
        <v>1255</v>
      </c>
      <c r="E1113" s="211" t="s">
        <v>10385</v>
      </c>
      <c r="F1113" s="211" t="s">
        <v>7265</v>
      </c>
    </row>
    <row r="1114" spans="1:6">
      <c r="A1114" s="211" t="s">
        <v>7621</v>
      </c>
      <c r="B1114" s="211">
        <v>7884</v>
      </c>
      <c r="C1114" s="211" t="s">
        <v>10385</v>
      </c>
      <c r="D1114" s="211" t="s">
        <v>1255</v>
      </c>
      <c r="E1114" s="211" t="s">
        <v>10385</v>
      </c>
      <c r="F1114" s="211" t="s">
        <v>7205</v>
      </c>
    </row>
    <row r="1115" spans="1:6">
      <c r="A1115" s="211" t="s">
        <v>7622</v>
      </c>
      <c r="B1115" s="211">
        <v>4113</v>
      </c>
      <c r="C1115" s="211" t="s">
        <v>10385</v>
      </c>
      <c r="D1115" s="211" t="s">
        <v>1255</v>
      </c>
      <c r="E1115" s="211" t="s">
        <v>10385</v>
      </c>
      <c r="F1115" s="211" t="s">
        <v>7320</v>
      </c>
    </row>
    <row r="1116" spans="1:6">
      <c r="A1116" s="211" t="s">
        <v>5629</v>
      </c>
      <c r="B1116" s="211">
        <v>7577</v>
      </c>
      <c r="C1116" s="211">
        <v>1334</v>
      </c>
      <c r="D1116" s="211" t="s">
        <v>1117</v>
      </c>
      <c r="E1116" s="211" t="s">
        <v>9188</v>
      </c>
      <c r="F1116" s="211" t="s">
        <v>7325</v>
      </c>
    </row>
    <row r="1117" spans="1:6">
      <c r="A1117" s="211" t="s">
        <v>2630</v>
      </c>
      <c r="B1117" s="211">
        <v>1077</v>
      </c>
      <c r="C1117" s="211">
        <v>1602</v>
      </c>
      <c r="D1117" s="211" t="s">
        <v>1255</v>
      </c>
      <c r="E1117" s="211" t="s">
        <v>10385</v>
      </c>
      <c r="F1117" s="211" t="s">
        <v>7306</v>
      </c>
    </row>
    <row r="1118" spans="1:6">
      <c r="A1118" s="211" t="s">
        <v>2631</v>
      </c>
      <c r="B1118" s="211">
        <v>4545</v>
      </c>
      <c r="C1118" s="211">
        <v>916</v>
      </c>
      <c r="D1118" s="211" t="s">
        <v>1117</v>
      </c>
      <c r="E1118" s="211" t="s">
        <v>10385</v>
      </c>
      <c r="F1118" s="211" t="s">
        <v>7526</v>
      </c>
    </row>
    <row r="1119" spans="1:6">
      <c r="A1119" s="211" t="s">
        <v>10344</v>
      </c>
      <c r="B1119" s="211">
        <v>899</v>
      </c>
      <c r="C1119" s="211" t="s">
        <v>10385</v>
      </c>
      <c r="D1119" s="211" t="s">
        <v>1255</v>
      </c>
      <c r="E1119" s="211" t="s">
        <v>10385</v>
      </c>
      <c r="F1119" s="211" t="s">
        <v>7356</v>
      </c>
    </row>
    <row r="1120" spans="1:6">
      <c r="A1120" s="211" t="s">
        <v>2632</v>
      </c>
      <c r="B1120" s="211">
        <v>5733</v>
      </c>
      <c r="C1120" s="211">
        <v>1180</v>
      </c>
      <c r="D1120" s="211" t="s">
        <v>1255</v>
      </c>
      <c r="E1120" s="211" t="s">
        <v>10385</v>
      </c>
      <c r="F1120" s="211" t="s">
        <v>7425</v>
      </c>
    </row>
    <row r="1121" spans="1:6">
      <c r="A1121" s="211" t="s">
        <v>2633</v>
      </c>
      <c r="B1121" s="211">
        <v>3648</v>
      </c>
      <c r="C1121" s="211">
        <v>951</v>
      </c>
      <c r="D1121" s="211" t="s">
        <v>1117</v>
      </c>
      <c r="E1121" s="211" t="s">
        <v>10385</v>
      </c>
      <c r="F1121" s="211" t="s">
        <v>7386</v>
      </c>
    </row>
    <row r="1122" spans="1:6">
      <c r="A1122" s="211" t="s">
        <v>4990</v>
      </c>
      <c r="B1122" s="211">
        <v>6596</v>
      </c>
      <c r="C1122" s="211">
        <v>1378</v>
      </c>
      <c r="D1122" s="211" t="s">
        <v>1255</v>
      </c>
      <c r="E1122" s="211" t="s">
        <v>9189</v>
      </c>
      <c r="F1122" s="211" t="s">
        <v>7189</v>
      </c>
    </row>
    <row r="1123" spans="1:6">
      <c r="A1123" s="211" t="s">
        <v>2634</v>
      </c>
      <c r="B1123" s="211">
        <v>5968</v>
      </c>
      <c r="C1123" s="211">
        <v>1735</v>
      </c>
      <c r="D1123" s="211" t="s">
        <v>1117</v>
      </c>
      <c r="E1123" s="211" t="s">
        <v>10385</v>
      </c>
      <c r="F1123" s="211" t="s">
        <v>7270</v>
      </c>
    </row>
    <row r="1124" spans="1:6">
      <c r="A1124" s="211" t="s">
        <v>2635</v>
      </c>
      <c r="B1124" s="211">
        <v>1761</v>
      </c>
      <c r="C1124" s="211">
        <v>1457</v>
      </c>
      <c r="D1124" s="211" t="s">
        <v>1255</v>
      </c>
      <c r="E1124" s="211" t="s">
        <v>10385</v>
      </c>
      <c r="F1124" s="211" t="s">
        <v>7254</v>
      </c>
    </row>
    <row r="1125" spans="1:6">
      <c r="A1125" s="211" t="s">
        <v>4857</v>
      </c>
      <c r="B1125" s="211">
        <v>3091</v>
      </c>
      <c r="C1125" s="211">
        <v>1224</v>
      </c>
      <c r="D1125" s="211" t="s">
        <v>1255</v>
      </c>
      <c r="E1125" s="211" t="s">
        <v>10385</v>
      </c>
      <c r="F1125" s="211" t="s">
        <v>7446</v>
      </c>
    </row>
    <row r="1126" spans="1:6">
      <c r="A1126" s="211" t="s">
        <v>5630</v>
      </c>
      <c r="B1126" s="211">
        <v>7415</v>
      </c>
      <c r="C1126" s="211">
        <v>2007</v>
      </c>
      <c r="D1126" s="211" t="s">
        <v>1255</v>
      </c>
      <c r="E1126" s="211" t="s">
        <v>5631</v>
      </c>
      <c r="F1126" s="211" t="s">
        <v>7623</v>
      </c>
    </row>
    <row r="1127" spans="1:6">
      <c r="A1127" s="211" t="s">
        <v>5632</v>
      </c>
      <c r="B1127" s="211">
        <v>7440</v>
      </c>
      <c r="C1127" s="211">
        <v>1892</v>
      </c>
      <c r="D1127" s="211" t="s">
        <v>1255</v>
      </c>
      <c r="E1127" s="211" t="s">
        <v>5633</v>
      </c>
      <c r="F1127" s="211" t="s">
        <v>7210</v>
      </c>
    </row>
    <row r="1128" spans="1:6">
      <c r="A1128" s="211" t="s">
        <v>2636</v>
      </c>
      <c r="B1128" s="211">
        <v>3534</v>
      </c>
      <c r="C1128" s="211">
        <v>1662</v>
      </c>
      <c r="D1128" s="211" t="s">
        <v>1255</v>
      </c>
      <c r="E1128" s="211" t="s">
        <v>10385</v>
      </c>
      <c r="F1128" s="211" t="s">
        <v>7199</v>
      </c>
    </row>
    <row r="1129" spans="1:6">
      <c r="A1129" s="211" t="s">
        <v>2637</v>
      </c>
      <c r="B1129" s="211">
        <v>3279</v>
      </c>
      <c r="C1129" s="211">
        <v>974</v>
      </c>
      <c r="D1129" s="211" t="s">
        <v>1255</v>
      </c>
      <c r="E1129" s="211" t="s">
        <v>10385</v>
      </c>
      <c r="F1129" s="211" t="s">
        <v>7343</v>
      </c>
    </row>
    <row r="1130" spans="1:6">
      <c r="A1130" s="211" t="s">
        <v>2638</v>
      </c>
      <c r="B1130" s="211">
        <v>811</v>
      </c>
      <c r="C1130" s="211">
        <v>1302</v>
      </c>
      <c r="D1130" s="211" t="s">
        <v>1255</v>
      </c>
      <c r="E1130" s="211" t="s">
        <v>10385</v>
      </c>
      <c r="F1130" s="211" t="s">
        <v>7275</v>
      </c>
    </row>
    <row r="1131" spans="1:6">
      <c r="A1131" s="211" t="s">
        <v>4725</v>
      </c>
      <c r="B1131" s="211">
        <v>6446</v>
      </c>
      <c r="C1131" s="211">
        <v>310</v>
      </c>
      <c r="D1131" s="211" t="s">
        <v>1117</v>
      </c>
      <c r="E1131" s="211" t="s">
        <v>10385</v>
      </c>
      <c r="F1131" s="211" t="s">
        <v>7389</v>
      </c>
    </row>
    <row r="1132" spans="1:6">
      <c r="A1132" s="211" t="s">
        <v>9190</v>
      </c>
      <c r="B1132" s="211">
        <v>8515</v>
      </c>
      <c r="C1132" s="211">
        <v>1009</v>
      </c>
      <c r="D1132" s="211" t="s">
        <v>1255</v>
      </c>
      <c r="E1132" s="211" t="s">
        <v>10470</v>
      </c>
      <c r="F1132" s="211" t="s">
        <v>7249</v>
      </c>
    </row>
    <row r="1133" spans="1:6">
      <c r="A1133" s="211" t="s">
        <v>8897</v>
      </c>
      <c r="B1133" s="211">
        <v>5314</v>
      </c>
      <c r="C1133" s="211">
        <v>1468</v>
      </c>
      <c r="D1133" s="211" t="s">
        <v>1117</v>
      </c>
      <c r="E1133" s="211" t="s">
        <v>10385</v>
      </c>
      <c r="F1133" s="211" t="s">
        <v>7373</v>
      </c>
    </row>
    <row r="1134" spans="1:6">
      <c r="A1134" s="211" t="s">
        <v>8898</v>
      </c>
      <c r="B1134" s="211">
        <v>6594</v>
      </c>
      <c r="C1134" s="211">
        <v>1513</v>
      </c>
      <c r="D1134" s="211" t="s">
        <v>1117</v>
      </c>
      <c r="E1134" s="211" t="s">
        <v>10385</v>
      </c>
      <c r="F1134" s="211" t="s">
        <v>7189</v>
      </c>
    </row>
    <row r="1135" spans="1:6">
      <c r="A1135" s="211" t="s">
        <v>7624</v>
      </c>
      <c r="B1135" s="211">
        <v>7865</v>
      </c>
      <c r="C1135" s="211">
        <v>1348</v>
      </c>
      <c r="D1135" s="211" t="s">
        <v>1255</v>
      </c>
      <c r="E1135" s="211" t="s">
        <v>10385</v>
      </c>
      <c r="F1135" s="211" t="s">
        <v>7240</v>
      </c>
    </row>
    <row r="1136" spans="1:6">
      <c r="A1136" s="211" t="s">
        <v>8899</v>
      </c>
      <c r="B1136" s="211">
        <v>3248</v>
      </c>
      <c r="C1136" s="211">
        <v>1426</v>
      </c>
      <c r="D1136" s="211" t="s">
        <v>1255</v>
      </c>
      <c r="E1136" s="211" t="s">
        <v>10385</v>
      </c>
      <c r="F1136" s="211" t="s">
        <v>7210</v>
      </c>
    </row>
    <row r="1137" spans="1:6">
      <c r="A1137" s="211" t="s">
        <v>8900</v>
      </c>
      <c r="B1137" s="211">
        <v>6058</v>
      </c>
      <c r="C1137" s="211" t="s">
        <v>10385</v>
      </c>
      <c r="D1137" s="211" t="s">
        <v>1255</v>
      </c>
      <c r="E1137" s="211" t="s">
        <v>10385</v>
      </c>
      <c r="F1137" s="211" t="s">
        <v>7240</v>
      </c>
    </row>
    <row r="1138" spans="1:6">
      <c r="A1138" s="211" t="s">
        <v>5634</v>
      </c>
      <c r="B1138" s="211">
        <v>7391</v>
      </c>
      <c r="C1138" s="211">
        <v>1134</v>
      </c>
      <c r="D1138" s="211" t="s">
        <v>1255</v>
      </c>
      <c r="E1138" s="211" t="s">
        <v>5635</v>
      </c>
      <c r="F1138" s="211" t="s">
        <v>7334</v>
      </c>
    </row>
    <row r="1139" spans="1:6">
      <c r="A1139" s="211" t="s">
        <v>2639</v>
      </c>
      <c r="B1139" s="211">
        <v>3564</v>
      </c>
      <c r="C1139" s="211">
        <v>772</v>
      </c>
      <c r="D1139" s="211" t="s">
        <v>1255</v>
      </c>
      <c r="E1139" s="211" t="s">
        <v>10385</v>
      </c>
      <c r="F1139" s="211" t="s">
        <v>7344</v>
      </c>
    </row>
    <row r="1140" spans="1:6">
      <c r="A1140" s="211" t="s">
        <v>4531</v>
      </c>
      <c r="B1140" s="211">
        <v>6575</v>
      </c>
      <c r="C1140" s="211">
        <v>1187</v>
      </c>
      <c r="D1140" s="211" t="s">
        <v>1255</v>
      </c>
      <c r="E1140" s="211" t="s">
        <v>10385</v>
      </c>
      <c r="F1140" s="211" t="s">
        <v>7287</v>
      </c>
    </row>
    <row r="1141" spans="1:6">
      <c r="A1141" s="211" t="s">
        <v>4872</v>
      </c>
      <c r="B1141" s="211">
        <v>4536</v>
      </c>
      <c r="C1141" s="211">
        <v>639</v>
      </c>
      <c r="D1141" s="211" t="s">
        <v>1117</v>
      </c>
      <c r="E1141" s="211" t="s">
        <v>10385</v>
      </c>
      <c r="F1141" s="211" t="s">
        <v>7510</v>
      </c>
    </row>
    <row r="1142" spans="1:6">
      <c r="A1142" s="211" t="s">
        <v>9191</v>
      </c>
      <c r="B1142" s="211">
        <v>8028</v>
      </c>
      <c r="C1142" s="211">
        <v>1034</v>
      </c>
      <c r="D1142" s="211" t="s">
        <v>1255</v>
      </c>
      <c r="E1142" s="211" t="s">
        <v>9192</v>
      </c>
      <c r="F1142" s="211" t="s">
        <v>7343</v>
      </c>
    </row>
    <row r="1143" spans="1:6">
      <c r="A1143" s="211" t="s">
        <v>7625</v>
      </c>
      <c r="B1143" s="211">
        <v>486</v>
      </c>
      <c r="C1143" s="211" t="s">
        <v>10385</v>
      </c>
      <c r="D1143" s="211" t="s">
        <v>1255</v>
      </c>
      <c r="E1143" s="211" t="s">
        <v>10385</v>
      </c>
      <c r="F1143" s="211" t="s">
        <v>7487</v>
      </c>
    </row>
    <row r="1144" spans="1:6">
      <c r="A1144" s="211" t="s">
        <v>2640</v>
      </c>
      <c r="B1144" s="211">
        <v>5873</v>
      </c>
      <c r="C1144" s="211">
        <v>1290</v>
      </c>
      <c r="D1144" s="211" t="s">
        <v>1255</v>
      </c>
      <c r="E1144" s="211" t="s">
        <v>10385</v>
      </c>
      <c r="F1144" s="211" t="s">
        <v>7333</v>
      </c>
    </row>
    <row r="1145" spans="1:6">
      <c r="A1145" s="211" t="s">
        <v>5636</v>
      </c>
      <c r="B1145" s="211">
        <v>7439</v>
      </c>
      <c r="C1145" s="211">
        <v>1936</v>
      </c>
      <c r="D1145" s="211" t="s">
        <v>1255</v>
      </c>
      <c r="E1145" s="211" t="s">
        <v>9193</v>
      </c>
      <c r="F1145" s="211" t="s">
        <v>7210</v>
      </c>
    </row>
    <row r="1146" spans="1:6">
      <c r="A1146" s="211" t="s">
        <v>5637</v>
      </c>
      <c r="B1146" s="211">
        <v>7320</v>
      </c>
      <c r="C1146" s="211">
        <v>2019</v>
      </c>
      <c r="D1146" s="211" t="s">
        <v>1255</v>
      </c>
      <c r="E1146" s="211" t="s">
        <v>6701</v>
      </c>
      <c r="F1146" s="211" t="s">
        <v>7327</v>
      </c>
    </row>
    <row r="1147" spans="1:6">
      <c r="A1147" s="211" t="s">
        <v>2641</v>
      </c>
      <c r="B1147" s="211">
        <v>738</v>
      </c>
      <c r="C1147" s="211">
        <v>2011</v>
      </c>
      <c r="D1147" s="211" t="s">
        <v>1255</v>
      </c>
      <c r="E1147" s="211" t="s">
        <v>10385</v>
      </c>
      <c r="F1147" s="211" t="s">
        <v>7320</v>
      </c>
    </row>
    <row r="1148" spans="1:6">
      <c r="A1148" s="211" t="s">
        <v>10471</v>
      </c>
      <c r="B1148" s="211">
        <v>8778</v>
      </c>
      <c r="C1148" s="211">
        <v>1657</v>
      </c>
      <c r="D1148" s="211" t="s">
        <v>1255</v>
      </c>
      <c r="E1148" s="211" t="s">
        <v>5638</v>
      </c>
      <c r="F1148" s="211" t="s">
        <v>7316</v>
      </c>
    </row>
    <row r="1149" spans="1:6">
      <c r="A1149" s="211" t="s">
        <v>7626</v>
      </c>
      <c r="B1149" s="211">
        <v>7206</v>
      </c>
      <c r="C1149" s="211">
        <v>1438</v>
      </c>
      <c r="D1149" s="211" t="s">
        <v>1255</v>
      </c>
      <c r="E1149" s="211" t="s">
        <v>5638</v>
      </c>
      <c r="F1149" s="211" t="s">
        <v>7316</v>
      </c>
    </row>
    <row r="1150" spans="1:6">
      <c r="A1150" s="211" t="s">
        <v>2642</v>
      </c>
      <c r="B1150" s="211">
        <v>1320</v>
      </c>
      <c r="C1150" s="211">
        <v>1489</v>
      </c>
      <c r="D1150" s="211" t="s">
        <v>1255</v>
      </c>
      <c r="E1150" s="211" t="s">
        <v>10385</v>
      </c>
      <c r="F1150" s="211" t="s">
        <v>7627</v>
      </c>
    </row>
    <row r="1151" spans="1:6">
      <c r="A1151" s="211" t="s">
        <v>2643</v>
      </c>
      <c r="B1151" s="211">
        <v>4106</v>
      </c>
      <c r="C1151" s="211">
        <v>1724</v>
      </c>
      <c r="D1151" s="211" t="s">
        <v>1255</v>
      </c>
      <c r="E1151" s="211" t="s">
        <v>10385</v>
      </c>
      <c r="F1151" s="211" t="s">
        <v>7307</v>
      </c>
    </row>
    <row r="1152" spans="1:6">
      <c r="A1152" s="211" t="s">
        <v>3011</v>
      </c>
      <c r="B1152" s="211">
        <v>1768</v>
      </c>
      <c r="C1152" s="211">
        <v>1031</v>
      </c>
      <c r="D1152" s="211" t="s">
        <v>1255</v>
      </c>
      <c r="E1152" s="211" t="s">
        <v>10385</v>
      </c>
      <c r="F1152" s="211" t="s">
        <v>7380</v>
      </c>
    </row>
    <row r="1153" spans="1:6">
      <c r="A1153" s="211" t="s">
        <v>4840</v>
      </c>
      <c r="B1153" s="211">
        <v>6081</v>
      </c>
      <c r="C1153" s="211">
        <v>815</v>
      </c>
      <c r="D1153" s="211" t="s">
        <v>1255</v>
      </c>
      <c r="E1153" s="211" t="s">
        <v>10385</v>
      </c>
      <c r="F1153" s="211" t="s">
        <v>7459</v>
      </c>
    </row>
    <row r="1154" spans="1:6">
      <c r="A1154" s="211" t="s">
        <v>2644</v>
      </c>
      <c r="B1154" s="211">
        <v>1070</v>
      </c>
      <c r="C1154" s="211">
        <v>1504</v>
      </c>
      <c r="D1154" s="211" t="s">
        <v>1255</v>
      </c>
      <c r="E1154" s="211" t="s">
        <v>10385</v>
      </c>
      <c r="F1154" s="211" t="s">
        <v>7233</v>
      </c>
    </row>
    <row r="1155" spans="1:6">
      <c r="A1155" s="211" t="s">
        <v>7628</v>
      </c>
      <c r="B1155" s="211">
        <v>59</v>
      </c>
      <c r="C1155" s="211" t="s">
        <v>10385</v>
      </c>
      <c r="D1155" s="211" t="s">
        <v>1255</v>
      </c>
      <c r="E1155" s="211" t="s">
        <v>10385</v>
      </c>
      <c r="F1155" s="211" t="s">
        <v>7261</v>
      </c>
    </row>
    <row r="1156" spans="1:6">
      <c r="A1156" s="211" t="s">
        <v>2645</v>
      </c>
      <c r="B1156" s="211">
        <v>5100</v>
      </c>
      <c r="C1156" s="211">
        <v>2050</v>
      </c>
      <c r="D1156" s="211" t="s">
        <v>1255</v>
      </c>
      <c r="E1156" s="211" t="s">
        <v>10385</v>
      </c>
      <c r="F1156" s="211" t="s">
        <v>7306</v>
      </c>
    </row>
    <row r="1157" spans="1:6">
      <c r="A1157" s="211" t="s">
        <v>6702</v>
      </c>
      <c r="B1157" s="211">
        <v>7806</v>
      </c>
      <c r="C1157" s="211">
        <v>1569</v>
      </c>
      <c r="D1157" s="211" t="s">
        <v>1255</v>
      </c>
      <c r="E1157" s="211" t="s">
        <v>9194</v>
      </c>
      <c r="F1157" s="211" t="s">
        <v>9048</v>
      </c>
    </row>
    <row r="1158" spans="1:6">
      <c r="A1158" s="211" t="s">
        <v>2646</v>
      </c>
      <c r="B1158" s="211">
        <v>5827</v>
      </c>
      <c r="C1158" s="211">
        <v>1011</v>
      </c>
      <c r="D1158" s="211" t="s">
        <v>1117</v>
      </c>
      <c r="E1158" s="211" t="s">
        <v>10385</v>
      </c>
      <c r="F1158" s="211" t="s">
        <v>7160</v>
      </c>
    </row>
    <row r="1159" spans="1:6">
      <c r="A1159" s="211" t="s">
        <v>2647</v>
      </c>
      <c r="B1159" s="211">
        <v>1379</v>
      </c>
      <c r="C1159" s="211">
        <v>1043</v>
      </c>
      <c r="D1159" s="211" t="s">
        <v>1255</v>
      </c>
      <c r="E1159" s="211" t="s">
        <v>10385</v>
      </c>
      <c r="F1159" s="211" t="s">
        <v>7438</v>
      </c>
    </row>
    <row r="1160" spans="1:6">
      <c r="A1160" s="211" t="s">
        <v>9195</v>
      </c>
      <c r="B1160" s="211">
        <v>8317</v>
      </c>
      <c r="C1160" s="211">
        <v>1022</v>
      </c>
      <c r="D1160" s="211" t="s">
        <v>1117</v>
      </c>
      <c r="E1160" s="211" t="s">
        <v>9196</v>
      </c>
      <c r="F1160" s="211" t="s">
        <v>9024</v>
      </c>
    </row>
    <row r="1161" spans="1:6">
      <c r="A1161" s="211" t="s">
        <v>2648</v>
      </c>
      <c r="B1161" s="211">
        <v>3197</v>
      </c>
      <c r="C1161" s="211">
        <v>1767</v>
      </c>
      <c r="D1161" s="211" t="s">
        <v>1255</v>
      </c>
      <c r="E1161" s="211" t="s">
        <v>10385</v>
      </c>
      <c r="F1161" s="211" t="s">
        <v>7357</v>
      </c>
    </row>
    <row r="1162" spans="1:6">
      <c r="A1162" s="211" t="s">
        <v>2649</v>
      </c>
      <c r="B1162" s="211">
        <v>3196</v>
      </c>
      <c r="C1162" s="211">
        <v>1833</v>
      </c>
      <c r="D1162" s="211" t="s">
        <v>1255</v>
      </c>
      <c r="E1162" s="211" t="s">
        <v>10385</v>
      </c>
      <c r="F1162" s="211" t="s">
        <v>7357</v>
      </c>
    </row>
    <row r="1163" spans="1:6">
      <c r="A1163" s="211" t="s">
        <v>4605</v>
      </c>
      <c r="B1163" s="211">
        <v>6533</v>
      </c>
      <c r="C1163" s="211">
        <v>709</v>
      </c>
      <c r="D1163" s="211" t="s">
        <v>1117</v>
      </c>
      <c r="E1163" s="211" t="s">
        <v>10385</v>
      </c>
      <c r="F1163" s="211" t="s">
        <v>7308</v>
      </c>
    </row>
    <row r="1164" spans="1:6">
      <c r="A1164" s="211" t="s">
        <v>4726</v>
      </c>
      <c r="B1164" s="211">
        <v>6492</v>
      </c>
      <c r="C1164" s="211">
        <v>2284</v>
      </c>
      <c r="D1164" s="211" t="s">
        <v>1255</v>
      </c>
      <c r="E1164" s="211" t="s">
        <v>10385</v>
      </c>
      <c r="F1164" s="211" t="s">
        <v>7262</v>
      </c>
    </row>
    <row r="1165" spans="1:6">
      <c r="A1165" s="211" t="s">
        <v>8901</v>
      </c>
      <c r="B1165" s="211">
        <v>1830</v>
      </c>
      <c r="C1165" s="211">
        <v>1901</v>
      </c>
      <c r="D1165" s="211" t="s">
        <v>1255</v>
      </c>
      <c r="E1165" s="211" t="s">
        <v>10385</v>
      </c>
      <c r="F1165" s="211" t="s">
        <v>7629</v>
      </c>
    </row>
    <row r="1166" spans="1:6">
      <c r="A1166" s="211" t="s">
        <v>2650</v>
      </c>
      <c r="B1166" s="211">
        <v>3077</v>
      </c>
      <c r="C1166" s="211">
        <v>1012</v>
      </c>
      <c r="D1166" s="211" t="s">
        <v>1255</v>
      </c>
      <c r="E1166" s="211" t="s">
        <v>10385</v>
      </c>
      <c r="F1166" s="211" t="s">
        <v>7356</v>
      </c>
    </row>
    <row r="1167" spans="1:6">
      <c r="A1167" s="211" t="s">
        <v>2651</v>
      </c>
      <c r="B1167" s="211">
        <v>786</v>
      </c>
      <c r="C1167" s="211">
        <v>2036</v>
      </c>
      <c r="D1167" s="211" t="s">
        <v>1255</v>
      </c>
      <c r="E1167" s="211" t="s">
        <v>10385</v>
      </c>
      <c r="F1167" s="211" t="s">
        <v>7232</v>
      </c>
    </row>
    <row r="1168" spans="1:6">
      <c r="A1168" s="211" t="s">
        <v>2652</v>
      </c>
      <c r="B1168" s="211">
        <v>745</v>
      </c>
      <c r="C1168" s="211">
        <v>1194</v>
      </c>
      <c r="D1168" s="211" t="s">
        <v>1255</v>
      </c>
      <c r="E1168" s="211" t="s">
        <v>10385</v>
      </c>
      <c r="F1168" s="211" t="s">
        <v>7318</v>
      </c>
    </row>
    <row r="1169" spans="1:6">
      <c r="A1169" s="211" t="s">
        <v>7630</v>
      </c>
      <c r="B1169" s="211">
        <v>6004</v>
      </c>
      <c r="C1169" s="211">
        <v>989</v>
      </c>
      <c r="D1169" s="211" t="s">
        <v>1255</v>
      </c>
      <c r="E1169" s="211" t="s">
        <v>10385</v>
      </c>
      <c r="F1169" s="211" t="s">
        <v>7192</v>
      </c>
    </row>
    <row r="1170" spans="1:6">
      <c r="A1170" s="211" t="s">
        <v>5639</v>
      </c>
      <c r="B1170" s="211">
        <v>7068</v>
      </c>
      <c r="C1170" s="211">
        <v>603</v>
      </c>
      <c r="D1170" s="211" t="s">
        <v>1117</v>
      </c>
      <c r="E1170" s="211" t="s">
        <v>10385</v>
      </c>
      <c r="F1170" s="211" t="s">
        <v>7257</v>
      </c>
    </row>
    <row r="1171" spans="1:6">
      <c r="A1171" s="211" t="s">
        <v>7631</v>
      </c>
      <c r="B1171" s="211">
        <v>1977</v>
      </c>
      <c r="C1171" s="211" t="s">
        <v>10385</v>
      </c>
      <c r="D1171" s="211" t="s">
        <v>1255</v>
      </c>
      <c r="E1171" s="211" t="s">
        <v>10385</v>
      </c>
      <c r="F1171" s="211" t="s">
        <v>7239</v>
      </c>
    </row>
    <row r="1172" spans="1:6">
      <c r="A1172" s="211" t="s">
        <v>2653</v>
      </c>
      <c r="B1172" s="211">
        <v>2898</v>
      </c>
      <c r="C1172" s="211">
        <v>1328</v>
      </c>
      <c r="D1172" s="211" t="s">
        <v>1255</v>
      </c>
      <c r="E1172" s="211" t="s">
        <v>10385</v>
      </c>
      <c r="F1172" s="211" t="s">
        <v>7205</v>
      </c>
    </row>
    <row r="1173" spans="1:6">
      <c r="A1173" s="211" t="s">
        <v>5640</v>
      </c>
      <c r="B1173" s="211">
        <v>7104</v>
      </c>
      <c r="C1173" s="211">
        <v>1816</v>
      </c>
      <c r="D1173" s="211" t="s">
        <v>1255</v>
      </c>
      <c r="E1173" s="211" t="s">
        <v>6703</v>
      </c>
      <c r="F1173" s="211" t="s">
        <v>7455</v>
      </c>
    </row>
    <row r="1174" spans="1:6">
      <c r="A1174" s="211" t="s">
        <v>7632</v>
      </c>
      <c r="B1174" s="211">
        <v>161</v>
      </c>
      <c r="C1174" s="211" t="s">
        <v>10385</v>
      </c>
      <c r="D1174" s="211" t="s">
        <v>1255</v>
      </c>
      <c r="E1174" s="211" t="s">
        <v>10385</v>
      </c>
      <c r="F1174" s="211" t="s">
        <v>7306</v>
      </c>
    </row>
    <row r="1175" spans="1:6">
      <c r="A1175" s="211" t="s">
        <v>9197</v>
      </c>
      <c r="B1175" s="211">
        <v>8383</v>
      </c>
      <c r="C1175" s="211">
        <v>1095</v>
      </c>
      <c r="D1175" s="211" t="s">
        <v>1117</v>
      </c>
      <c r="E1175" s="211" t="s">
        <v>9198</v>
      </c>
      <c r="F1175" s="211" t="s">
        <v>7239</v>
      </c>
    </row>
    <row r="1176" spans="1:6">
      <c r="A1176" s="211" t="s">
        <v>2654</v>
      </c>
      <c r="B1176" s="211">
        <v>2610</v>
      </c>
      <c r="C1176" s="211">
        <v>2301</v>
      </c>
      <c r="D1176" s="211" t="s">
        <v>1255</v>
      </c>
      <c r="E1176" s="211" t="s">
        <v>10385</v>
      </c>
      <c r="F1176" s="211" t="s">
        <v>7267</v>
      </c>
    </row>
    <row r="1177" spans="1:6">
      <c r="A1177" s="211" t="s">
        <v>2655</v>
      </c>
      <c r="B1177" s="211">
        <v>5843</v>
      </c>
      <c r="C1177" s="211">
        <v>1102</v>
      </c>
      <c r="D1177" s="211" t="s">
        <v>1117</v>
      </c>
      <c r="E1177" s="211" t="s">
        <v>10385</v>
      </c>
      <c r="F1177" s="211" t="s">
        <v>7587</v>
      </c>
    </row>
    <row r="1178" spans="1:6">
      <c r="A1178" s="211" t="s">
        <v>7633</v>
      </c>
      <c r="B1178" s="211">
        <v>1089</v>
      </c>
      <c r="C1178" s="211" t="s">
        <v>10385</v>
      </c>
      <c r="D1178" s="211" t="s">
        <v>1117</v>
      </c>
      <c r="E1178" s="211" t="s">
        <v>10385</v>
      </c>
      <c r="F1178" s="211" t="s">
        <v>7173</v>
      </c>
    </row>
    <row r="1179" spans="1:6">
      <c r="A1179" s="211" t="s">
        <v>2656</v>
      </c>
      <c r="B1179" s="211">
        <v>4765</v>
      </c>
      <c r="C1179" s="211">
        <v>1755</v>
      </c>
      <c r="D1179" s="211" t="s">
        <v>1255</v>
      </c>
      <c r="E1179" s="211" t="s">
        <v>10385</v>
      </c>
      <c r="F1179" s="211" t="s">
        <v>7167</v>
      </c>
    </row>
    <row r="1180" spans="1:6">
      <c r="A1180" s="211" t="s">
        <v>2657</v>
      </c>
      <c r="B1180" s="211">
        <v>2893</v>
      </c>
      <c r="C1180" s="211">
        <v>610</v>
      </c>
      <c r="D1180" s="211" t="s">
        <v>1255</v>
      </c>
      <c r="E1180" s="211" t="s">
        <v>10385</v>
      </c>
      <c r="F1180" s="211" t="s">
        <v>7629</v>
      </c>
    </row>
    <row r="1181" spans="1:6">
      <c r="A1181" s="211" t="s">
        <v>2658</v>
      </c>
      <c r="B1181" s="211">
        <v>2175</v>
      </c>
      <c r="C1181" s="211">
        <v>966</v>
      </c>
      <c r="D1181" s="211" t="s">
        <v>1255</v>
      </c>
      <c r="E1181" s="211" t="s">
        <v>10385</v>
      </c>
      <c r="F1181" s="211" t="s">
        <v>7192</v>
      </c>
    </row>
    <row r="1182" spans="1:6">
      <c r="A1182" s="211" t="s">
        <v>7634</v>
      </c>
      <c r="B1182" s="211">
        <v>125</v>
      </c>
      <c r="C1182" s="211" t="s">
        <v>10385</v>
      </c>
      <c r="D1182" s="211" t="s">
        <v>1255</v>
      </c>
      <c r="E1182" s="211" t="s">
        <v>10385</v>
      </c>
      <c r="F1182" s="211" t="s">
        <v>7343</v>
      </c>
    </row>
    <row r="1183" spans="1:6">
      <c r="A1183" s="211" t="s">
        <v>5641</v>
      </c>
      <c r="B1183" s="211">
        <v>6496</v>
      </c>
      <c r="C1183" s="211">
        <v>676</v>
      </c>
      <c r="D1183" s="211" t="s">
        <v>1255</v>
      </c>
      <c r="E1183" s="211" t="s">
        <v>10385</v>
      </c>
      <c r="F1183" s="211" t="s">
        <v>7629</v>
      </c>
    </row>
    <row r="1184" spans="1:6">
      <c r="A1184" s="211" t="s">
        <v>7635</v>
      </c>
      <c r="B1184" s="211">
        <v>2497</v>
      </c>
      <c r="C1184" s="211" t="s">
        <v>10385</v>
      </c>
      <c r="D1184" s="211" t="s">
        <v>1255</v>
      </c>
      <c r="E1184" s="211" t="s">
        <v>10385</v>
      </c>
      <c r="F1184" s="211" t="s">
        <v>7213</v>
      </c>
    </row>
    <row r="1185" spans="1:6">
      <c r="A1185" s="211" t="s">
        <v>2659</v>
      </c>
      <c r="B1185" s="211">
        <v>4720</v>
      </c>
      <c r="C1185" s="211">
        <v>893</v>
      </c>
      <c r="D1185" s="211" t="s">
        <v>1117</v>
      </c>
      <c r="E1185" s="211" t="s">
        <v>10385</v>
      </c>
      <c r="F1185" s="211" t="s">
        <v>9120</v>
      </c>
    </row>
    <row r="1186" spans="1:6">
      <c r="A1186" s="211" t="s">
        <v>5642</v>
      </c>
      <c r="B1186" s="211">
        <v>7542</v>
      </c>
      <c r="C1186" s="211">
        <v>744</v>
      </c>
      <c r="D1186" s="211" t="s">
        <v>1117</v>
      </c>
      <c r="E1186" s="211" t="s">
        <v>5643</v>
      </c>
      <c r="F1186" s="211" t="s">
        <v>7224</v>
      </c>
    </row>
    <row r="1187" spans="1:6">
      <c r="A1187" s="211" t="s">
        <v>10472</v>
      </c>
      <c r="B1187" s="211">
        <v>8628</v>
      </c>
      <c r="C1187" s="211">
        <v>1041</v>
      </c>
      <c r="D1187" s="211" t="s">
        <v>1255</v>
      </c>
      <c r="E1187" s="211" t="s">
        <v>10473</v>
      </c>
      <c r="F1187" s="211" t="s">
        <v>10474</v>
      </c>
    </row>
    <row r="1188" spans="1:6">
      <c r="A1188" s="211" t="s">
        <v>9199</v>
      </c>
      <c r="B1188" s="211">
        <v>8112</v>
      </c>
      <c r="C1188" s="211">
        <v>1509</v>
      </c>
      <c r="D1188" s="211" t="s">
        <v>1255</v>
      </c>
      <c r="E1188" s="211" t="s">
        <v>10475</v>
      </c>
      <c r="F1188" s="211" t="s">
        <v>7556</v>
      </c>
    </row>
    <row r="1189" spans="1:6">
      <c r="A1189" s="211" t="s">
        <v>5644</v>
      </c>
      <c r="B1189" s="211">
        <v>7057</v>
      </c>
      <c r="C1189" s="211">
        <v>915</v>
      </c>
      <c r="D1189" s="211" t="s">
        <v>1255</v>
      </c>
      <c r="E1189" s="211" t="s">
        <v>10385</v>
      </c>
      <c r="F1189" s="211" t="s">
        <v>7257</v>
      </c>
    </row>
    <row r="1190" spans="1:6">
      <c r="A1190" s="211" t="s">
        <v>7636</v>
      </c>
      <c r="B1190" s="211">
        <v>162</v>
      </c>
      <c r="C1190" s="211" t="s">
        <v>10385</v>
      </c>
      <c r="D1190" s="211" t="s">
        <v>1255</v>
      </c>
      <c r="E1190" s="211" t="s">
        <v>10385</v>
      </c>
      <c r="F1190" s="211" t="s">
        <v>7239</v>
      </c>
    </row>
    <row r="1191" spans="1:6">
      <c r="A1191" s="211" t="s">
        <v>2660</v>
      </c>
      <c r="B1191" s="211">
        <v>2094</v>
      </c>
      <c r="C1191" s="211">
        <v>1364</v>
      </c>
      <c r="D1191" s="211" t="s">
        <v>1255</v>
      </c>
      <c r="E1191" s="211" t="s">
        <v>10385</v>
      </c>
      <c r="F1191" s="211" t="s">
        <v>7231</v>
      </c>
    </row>
    <row r="1192" spans="1:6">
      <c r="A1192" s="211" t="s">
        <v>2661</v>
      </c>
      <c r="B1192" s="211">
        <v>1984</v>
      </c>
      <c r="C1192" s="211">
        <v>978</v>
      </c>
      <c r="D1192" s="211" t="s">
        <v>1255</v>
      </c>
      <c r="E1192" s="211" t="s">
        <v>10385</v>
      </c>
      <c r="F1192" s="211" t="s">
        <v>7331</v>
      </c>
    </row>
    <row r="1193" spans="1:6">
      <c r="A1193" s="211" t="s">
        <v>9200</v>
      </c>
      <c r="B1193" s="211">
        <v>8557</v>
      </c>
      <c r="C1193" s="211">
        <v>1009</v>
      </c>
      <c r="D1193" s="211" t="s">
        <v>1255</v>
      </c>
      <c r="E1193" s="211" t="s">
        <v>10385</v>
      </c>
      <c r="F1193" s="211" t="s">
        <v>7258</v>
      </c>
    </row>
    <row r="1194" spans="1:6">
      <c r="A1194" s="211" t="s">
        <v>6704</v>
      </c>
      <c r="B1194" s="211">
        <v>7636</v>
      </c>
      <c r="C1194" s="211">
        <v>928</v>
      </c>
      <c r="D1194" s="211" t="s">
        <v>1255</v>
      </c>
      <c r="E1194" s="211" t="s">
        <v>10385</v>
      </c>
      <c r="F1194" s="211" t="s">
        <v>7235</v>
      </c>
    </row>
    <row r="1195" spans="1:6">
      <c r="A1195" s="211" t="s">
        <v>2662</v>
      </c>
      <c r="B1195" s="211">
        <v>1356</v>
      </c>
      <c r="C1195" s="211">
        <v>1190</v>
      </c>
      <c r="D1195" s="211" t="s">
        <v>1255</v>
      </c>
      <c r="E1195" s="211" t="s">
        <v>10385</v>
      </c>
      <c r="F1195" s="211" t="s">
        <v>7255</v>
      </c>
    </row>
    <row r="1196" spans="1:6">
      <c r="A1196" s="211" t="s">
        <v>2663</v>
      </c>
      <c r="B1196" s="211">
        <v>1388</v>
      </c>
      <c r="C1196" s="211">
        <v>1638</v>
      </c>
      <c r="D1196" s="211" t="s">
        <v>1255</v>
      </c>
      <c r="E1196" s="211" t="s">
        <v>10385</v>
      </c>
      <c r="F1196" s="211" t="s">
        <v>7318</v>
      </c>
    </row>
    <row r="1197" spans="1:6">
      <c r="A1197" s="211" t="s">
        <v>4749</v>
      </c>
      <c r="B1197" s="211">
        <v>6194</v>
      </c>
      <c r="C1197" s="211">
        <v>2108</v>
      </c>
      <c r="D1197" s="211" t="s">
        <v>1255</v>
      </c>
      <c r="E1197" s="211" t="s">
        <v>9201</v>
      </c>
      <c r="F1197" s="211" t="s">
        <v>7342</v>
      </c>
    </row>
    <row r="1198" spans="1:6">
      <c r="A1198" s="211" t="s">
        <v>9202</v>
      </c>
      <c r="B1198" s="211">
        <v>8522</v>
      </c>
      <c r="C1198" s="211">
        <v>2148</v>
      </c>
      <c r="D1198" s="211" t="s">
        <v>1255</v>
      </c>
      <c r="E1198" s="211" t="s">
        <v>10476</v>
      </c>
      <c r="F1198" s="211" t="s">
        <v>7377</v>
      </c>
    </row>
    <row r="1199" spans="1:6">
      <c r="A1199" s="211" t="s">
        <v>2664</v>
      </c>
      <c r="B1199" s="211">
        <v>1545</v>
      </c>
      <c r="C1199" s="211">
        <v>1283</v>
      </c>
      <c r="D1199" s="211" t="s">
        <v>1255</v>
      </c>
      <c r="E1199" s="211" t="s">
        <v>10385</v>
      </c>
      <c r="F1199" s="211" t="s">
        <v>7171</v>
      </c>
    </row>
    <row r="1200" spans="1:6">
      <c r="A1200" s="211" t="s">
        <v>7637</v>
      </c>
      <c r="B1200" s="211">
        <v>3302</v>
      </c>
      <c r="C1200" s="211">
        <v>926</v>
      </c>
      <c r="D1200" s="211" t="s">
        <v>1255</v>
      </c>
      <c r="E1200" s="211" t="s">
        <v>10385</v>
      </c>
      <c r="F1200" s="211" t="s">
        <v>7318</v>
      </c>
    </row>
    <row r="1201" spans="1:6">
      <c r="A1201" s="211" t="s">
        <v>4532</v>
      </c>
      <c r="B1201" s="211">
        <v>7313</v>
      </c>
      <c r="C1201" s="211">
        <v>1231</v>
      </c>
      <c r="D1201" s="211" t="s">
        <v>1255</v>
      </c>
      <c r="E1201" s="211" t="s">
        <v>10385</v>
      </c>
      <c r="F1201" s="211" t="s">
        <v>7285</v>
      </c>
    </row>
    <row r="1202" spans="1:6">
      <c r="A1202" s="211" t="s">
        <v>7638</v>
      </c>
      <c r="B1202" s="211">
        <v>5740</v>
      </c>
      <c r="C1202" s="211" t="s">
        <v>10385</v>
      </c>
      <c r="D1202" s="211" t="s">
        <v>1255</v>
      </c>
      <c r="E1202" s="211" t="s">
        <v>10385</v>
      </c>
      <c r="F1202" s="211" t="s">
        <v>7285</v>
      </c>
    </row>
    <row r="1203" spans="1:6">
      <c r="A1203" s="211" t="s">
        <v>2665</v>
      </c>
      <c r="B1203" s="211">
        <v>1209</v>
      </c>
      <c r="C1203" s="211">
        <v>1268</v>
      </c>
      <c r="D1203" s="211" t="s">
        <v>1255</v>
      </c>
      <c r="E1203" s="211" t="s">
        <v>10385</v>
      </c>
      <c r="F1203" s="211" t="s">
        <v>7257</v>
      </c>
    </row>
    <row r="1204" spans="1:6">
      <c r="A1204" s="211" t="s">
        <v>9203</v>
      </c>
      <c r="B1204" s="211">
        <v>8182</v>
      </c>
      <c r="C1204" s="211">
        <v>1000</v>
      </c>
      <c r="D1204" s="211" t="s">
        <v>1255</v>
      </c>
      <c r="E1204" s="211" t="s">
        <v>9204</v>
      </c>
      <c r="F1204" s="211" t="s">
        <v>7561</v>
      </c>
    </row>
    <row r="1205" spans="1:6">
      <c r="A1205" s="211" t="s">
        <v>2666</v>
      </c>
      <c r="B1205" s="211">
        <v>3330</v>
      </c>
      <c r="C1205" s="211">
        <v>685</v>
      </c>
      <c r="D1205" s="211" t="s">
        <v>1255</v>
      </c>
      <c r="E1205" s="211" t="s">
        <v>10385</v>
      </c>
      <c r="F1205" s="211" t="s">
        <v>7603</v>
      </c>
    </row>
    <row r="1206" spans="1:6">
      <c r="A1206" s="211" t="s">
        <v>5646</v>
      </c>
      <c r="B1206" s="211">
        <v>7401</v>
      </c>
      <c r="C1206" s="211">
        <v>893</v>
      </c>
      <c r="D1206" s="211" t="s">
        <v>1255</v>
      </c>
      <c r="E1206" s="211" t="s">
        <v>5647</v>
      </c>
      <c r="F1206" s="211" t="s">
        <v>7197</v>
      </c>
    </row>
    <row r="1207" spans="1:6">
      <c r="A1207" s="211" t="s">
        <v>7639</v>
      </c>
      <c r="B1207" s="211">
        <v>515</v>
      </c>
      <c r="C1207" s="211" t="s">
        <v>10385</v>
      </c>
      <c r="D1207" s="211" t="s">
        <v>1255</v>
      </c>
      <c r="E1207" s="211" t="s">
        <v>10385</v>
      </c>
      <c r="F1207" s="211" t="s">
        <v>7165</v>
      </c>
    </row>
    <row r="1208" spans="1:6">
      <c r="A1208" s="211" t="s">
        <v>2667</v>
      </c>
      <c r="B1208" s="211">
        <v>2098</v>
      </c>
      <c r="C1208" s="211">
        <v>794</v>
      </c>
      <c r="D1208" s="211" t="s">
        <v>1255</v>
      </c>
      <c r="E1208" s="211" t="s">
        <v>10385</v>
      </c>
      <c r="F1208" s="211" t="s">
        <v>7219</v>
      </c>
    </row>
    <row r="1209" spans="1:6">
      <c r="A1209" s="211" t="s">
        <v>10477</v>
      </c>
      <c r="B1209" s="211">
        <v>8675</v>
      </c>
      <c r="C1209" s="211">
        <v>1254</v>
      </c>
      <c r="D1209" s="211" t="s">
        <v>1255</v>
      </c>
      <c r="E1209" s="211" t="s">
        <v>10478</v>
      </c>
      <c r="F1209" s="211" t="s">
        <v>7365</v>
      </c>
    </row>
    <row r="1210" spans="1:6">
      <c r="A1210" s="211" t="s">
        <v>2668</v>
      </c>
      <c r="B1210" s="211">
        <v>3834</v>
      </c>
      <c r="C1210" s="211">
        <v>896</v>
      </c>
      <c r="D1210" s="211" t="s">
        <v>1255</v>
      </c>
      <c r="E1210" s="211" t="s">
        <v>10385</v>
      </c>
      <c r="F1210" s="211" t="s">
        <v>7510</v>
      </c>
    </row>
    <row r="1211" spans="1:6">
      <c r="A1211" s="211" t="s">
        <v>4991</v>
      </c>
      <c r="B1211" s="211">
        <v>6640</v>
      </c>
      <c r="C1211" s="211">
        <v>968</v>
      </c>
      <c r="D1211" s="211" t="s">
        <v>1255</v>
      </c>
      <c r="E1211" s="211" t="s">
        <v>10385</v>
      </c>
      <c r="F1211" s="211" t="s">
        <v>7189</v>
      </c>
    </row>
    <row r="1212" spans="1:6">
      <c r="A1212" s="211" t="s">
        <v>7640</v>
      </c>
      <c r="B1212" s="211">
        <v>6057</v>
      </c>
      <c r="C1212" s="211" t="s">
        <v>10385</v>
      </c>
      <c r="D1212" s="211" t="s">
        <v>1255</v>
      </c>
      <c r="E1212" s="211" t="s">
        <v>10385</v>
      </c>
      <c r="F1212" s="211" t="s">
        <v>7189</v>
      </c>
    </row>
    <row r="1213" spans="1:6">
      <c r="A1213" s="211" t="s">
        <v>2669</v>
      </c>
      <c r="B1213" s="211">
        <v>3921</v>
      </c>
      <c r="C1213" s="211">
        <v>814</v>
      </c>
      <c r="D1213" s="211" t="s">
        <v>1255</v>
      </c>
      <c r="E1213" s="211" t="s">
        <v>10385</v>
      </c>
      <c r="F1213" s="211" t="s">
        <v>7603</v>
      </c>
    </row>
    <row r="1214" spans="1:6">
      <c r="A1214" s="211" t="s">
        <v>7641</v>
      </c>
      <c r="B1214" s="211">
        <v>1047</v>
      </c>
      <c r="C1214" s="211">
        <v>693</v>
      </c>
      <c r="D1214" s="211" t="s">
        <v>1255</v>
      </c>
      <c r="E1214" s="211" t="s">
        <v>5645</v>
      </c>
      <c r="F1214" s="211" t="s">
        <v>7320</v>
      </c>
    </row>
    <row r="1215" spans="1:6">
      <c r="A1215" s="211" t="s">
        <v>7642</v>
      </c>
      <c r="B1215" s="211">
        <v>6270</v>
      </c>
      <c r="C1215" s="211">
        <v>693</v>
      </c>
      <c r="D1215" s="211" t="s">
        <v>1255</v>
      </c>
      <c r="E1215" s="211" t="s">
        <v>5645</v>
      </c>
      <c r="F1215" s="211" t="s">
        <v>9024</v>
      </c>
    </row>
    <row r="1216" spans="1:6">
      <c r="A1216" s="211" t="s">
        <v>877</v>
      </c>
      <c r="B1216" s="211">
        <v>1337</v>
      </c>
      <c r="C1216" s="211">
        <v>796</v>
      </c>
      <c r="D1216" s="211" t="s">
        <v>1255</v>
      </c>
      <c r="E1216" s="211" t="s">
        <v>10385</v>
      </c>
      <c r="F1216" s="211" t="s">
        <v>7210</v>
      </c>
    </row>
    <row r="1217" spans="1:6">
      <c r="A1217" s="211" t="s">
        <v>4798</v>
      </c>
      <c r="B1217" s="211">
        <v>6141</v>
      </c>
      <c r="C1217" s="211">
        <v>994</v>
      </c>
      <c r="D1217" s="211" t="s">
        <v>1255</v>
      </c>
      <c r="E1217" s="211" t="s">
        <v>10385</v>
      </c>
      <c r="F1217" s="211" t="s">
        <v>7299</v>
      </c>
    </row>
    <row r="1218" spans="1:6">
      <c r="A1218" s="211" t="s">
        <v>4992</v>
      </c>
      <c r="B1218" s="211">
        <v>6725</v>
      </c>
      <c r="C1218" s="211">
        <v>951</v>
      </c>
      <c r="D1218" s="211" t="s">
        <v>1255</v>
      </c>
      <c r="E1218" s="211" t="s">
        <v>10385</v>
      </c>
      <c r="F1218" s="211" t="s">
        <v>7384</v>
      </c>
    </row>
    <row r="1219" spans="1:6">
      <c r="A1219" s="211" t="s">
        <v>878</v>
      </c>
      <c r="B1219" s="211">
        <v>1906</v>
      </c>
      <c r="C1219" s="211">
        <v>1482</v>
      </c>
      <c r="D1219" s="211" t="s">
        <v>1255</v>
      </c>
      <c r="E1219" s="211" t="s">
        <v>10385</v>
      </c>
      <c r="F1219" s="211" t="s">
        <v>7265</v>
      </c>
    </row>
    <row r="1220" spans="1:6">
      <c r="A1220" s="211" t="s">
        <v>7643</v>
      </c>
      <c r="B1220" s="211">
        <v>312</v>
      </c>
      <c r="C1220" s="211" t="s">
        <v>10385</v>
      </c>
      <c r="D1220" s="211" t="s">
        <v>1255</v>
      </c>
      <c r="E1220" s="211" t="s">
        <v>10385</v>
      </c>
      <c r="F1220" s="211" t="s">
        <v>7284</v>
      </c>
    </row>
    <row r="1221" spans="1:6">
      <c r="A1221" s="211" t="s">
        <v>879</v>
      </c>
      <c r="B1221" s="211">
        <v>5748</v>
      </c>
      <c r="C1221" s="211">
        <v>998</v>
      </c>
      <c r="D1221" s="211" t="s">
        <v>1117</v>
      </c>
      <c r="E1221" s="211" t="s">
        <v>10385</v>
      </c>
      <c r="F1221" s="211" t="s">
        <v>7357</v>
      </c>
    </row>
    <row r="1222" spans="1:6">
      <c r="A1222" s="211" t="s">
        <v>4491</v>
      </c>
      <c r="B1222" s="211">
        <v>6589</v>
      </c>
      <c r="C1222" s="211">
        <v>1697</v>
      </c>
      <c r="D1222" s="211" t="s">
        <v>1255</v>
      </c>
      <c r="E1222" s="211" t="s">
        <v>10385</v>
      </c>
      <c r="F1222" s="211" t="s">
        <v>7390</v>
      </c>
    </row>
    <row r="1223" spans="1:6">
      <c r="A1223" s="211" t="s">
        <v>880</v>
      </c>
      <c r="B1223" s="211">
        <v>5192</v>
      </c>
      <c r="C1223" s="211">
        <v>903</v>
      </c>
      <c r="D1223" s="211" t="s">
        <v>1255</v>
      </c>
      <c r="E1223" s="211" t="s">
        <v>9205</v>
      </c>
      <c r="F1223" s="211" t="s">
        <v>7189</v>
      </c>
    </row>
    <row r="1224" spans="1:6">
      <c r="A1224" s="211" t="s">
        <v>4993</v>
      </c>
      <c r="B1224" s="211">
        <v>6046</v>
      </c>
      <c r="C1224" s="211">
        <v>914</v>
      </c>
      <c r="D1224" s="211" t="s">
        <v>1255</v>
      </c>
      <c r="E1224" s="211" t="s">
        <v>10385</v>
      </c>
      <c r="F1224" s="211" t="s">
        <v>7189</v>
      </c>
    </row>
    <row r="1225" spans="1:6">
      <c r="A1225" s="211" t="s">
        <v>881</v>
      </c>
      <c r="B1225" s="211">
        <v>4706</v>
      </c>
      <c r="C1225" s="211">
        <v>1596</v>
      </c>
      <c r="D1225" s="211" t="s">
        <v>1117</v>
      </c>
      <c r="E1225" s="211" t="s">
        <v>10385</v>
      </c>
      <c r="F1225" s="211" t="s">
        <v>7240</v>
      </c>
    </row>
    <row r="1226" spans="1:6">
      <c r="A1226" s="211" t="s">
        <v>7644</v>
      </c>
      <c r="B1226" s="211">
        <v>3259</v>
      </c>
      <c r="C1226" s="211" t="s">
        <v>10385</v>
      </c>
      <c r="D1226" s="211" t="s">
        <v>1255</v>
      </c>
      <c r="E1226" s="211" t="s">
        <v>10385</v>
      </c>
      <c r="F1226" s="211" t="s">
        <v>7384</v>
      </c>
    </row>
    <row r="1227" spans="1:6">
      <c r="A1227" s="211" t="s">
        <v>9206</v>
      </c>
      <c r="B1227" s="211">
        <v>8421</v>
      </c>
      <c r="C1227" s="211" t="s">
        <v>10385</v>
      </c>
      <c r="D1227" s="211" t="s">
        <v>1255</v>
      </c>
      <c r="E1227" s="211" t="s">
        <v>9207</v>
      </c>
      <c r="F1227" s="211" t="s">
        <v>7341</v>
      </c>
    </row>
    <row r="1228" spans="1:6">
      <c r="A1228" s="211" t="s">
        <v>882</v>
      </c>
      <c r="B1228" s="211">
        <v>1041</v>
      </c>
      <c r="C1228" s="211">
        <v>1465</v>
      </c>
      <c r="D1228" s="211" t="s">
        <v>1255</v>
      </c>
      <c r="E1228" s="211" t="s">
        <v>10385</v>
      </c>
      <c r="F1228" s="211" t="s">
        <v>7270</v>
      </c>
    </row>
    <row r="1229" spans="1:6">
      <c r="A1229" s="211" t="s">
        <v>883</v>
      </c>
      <c r="B1229" s="211">
        <v>881</v>
      </c>
      <c r="C1229" s="211">
        <v>1669</v>
      </c>
      <c r="D1229" s="211" t="s">
        <v>1255</v>
      </c>
      <c r="E1229" s="211" t="s">
        <v>884</v>
      </c>
      <c r="F1229" s="211" t="s">
        <v>7356</v>
      </c>
    </row>
    <row r="1230" spans="1:6">
      <c r="A1230" s="211" t="s">
        <v>885</v>
      </c>
      <c r="B1230" s="211">
        <v>5911</v>
      </c>
      <c r="C1230" s="211">
        <v>782</v>
      </c>
      <c r="D1230" s="211" t="s">
        <v>1255</v>
      </c>
      <c r="E1230" s="211" t="s">
        <v>10385</v>
      </c>
      <c r="F1230" s="211" t="s">
        <v>7354</v>
      </c>
    </row>
    <row r="1231" spans="1:6">
      <c r="A1231" s="211" t="s">
        <v>886</v>
      </c>
      <c r="B1231" s="211">
        <v>3523</v>
      </c>
      <c r="C1231" s="211">
        <v>1599</v>
      </c>
      <c r="D1231" s="211" t="s">
        <v>1255</v>
      </c>
      <c r="E1231" s="211" t="s">
        <v>9208</v>
      </c>
      <c r="F1231" s="211" t="s">
        <v>7212</v>
      </c>
    </row>
    <row r="1232" spans="1:6">
      <c r="A1232" s="211" t="s">
        <v>887</v>
      </c>
      <c r="B1232" s="211">
        <v>2840</v>
      </c>
      <c r="C1232" s="211">
        <v>1563</v>
      </c>
      <c r="D1232" s="211" t="s">
        <v>1255</v>
      </c>
      <c r="E1232" s="211" t="s">
        <v>888</v>
      </c>
      <c r="F1232" s="211" t="s">
        <v>7212</v>
      </c>
    </row>
    <row r="1233" spans="1:6">
      <c r="A1233" s="211" t="s">
        <v>889</v>
      </c>
      <c r="B1233" s="211">
        <v>5830</v>
      </c>
      <c r="C1233" s="211">
        <v>865</v>
      </c>
      <c r="D1233" s="211" t="s">
        <v>1255</v>
      </c>
      <c r="E1233" s="211" t="s">
        <v>10385</v>
      </c>
      <c r="F1233" s="211" t="s">
        <v>7331</v>
      </c>
    </row>
    <row r="1234" spans="1:6">
      <c r="A1234" s="211" t="s">
        <v>7645</v>
      </c>
      <c r="B1234" s="211">
        <v>416</v>
      </c>
      <c r="C1234" s="211" t="s">
        <v>10385</v>
      </c>
      <c r="D1234" s="211" t="s">
        <v>1255</v>
      </c>
      <c r="E1234" s="211" t="s">
        <v>10385</v>
      </c>
      <c r="F1234" s="211" t="s">
        <v>7232</v>
      </c>
    </row>
    <row r="1235" spans="1:6">
      <c r="A1235" s="211" t="s">
        <v>890</v>
      </c>
      <c r="B1235" s="211">
        <v>1398</v>
      </c>
      <c r="C1235" s="211">
        <v>1321</v>
      </c>
      <c r="D1235" s="211" t="s">
        <v>1255</v>
      </c>
      <c r="E1235" s="211" t="s">
        <v>10385</v>
      </c>
      <c r="F1235" s="211" t="s">
        <v>7192</v>
      </c>
    </row>
    <row r="1236" spans="1:6">
      <c r="A1236" s="211" t="s">
        <v>4774</v>
      </c>
      <c r="B1236" s="211">
        <v>6179</v>
      </c>
      <c r="C1236" s="211">
        <v>826</v>
      </c>
      <c r="D1236" s="211" t="s">
        <v>1117</v>
      </c>
      <c r="E1236" s="211" t="s">
        <v>10385</v>
      </c>
      <c r="F1236" s="211" t="s">
        <v>7173</v>
      </c>
    </row>
    <row r="1237" spans="1:6">
      <c r="A1237" s="211" t="s">
        <v>891</v>
      </c>
      <c r="B1237" s="211">
        <v>4125</v>
      </c>
      <c r="C1237" s="211">
        <v>1018</v>
      </c>
      <c r="D1237" s="211" t="s">
        <v>1255</v>
      </c>
      <c r="E1237" s="211" t="s">
        <v>5648</v>
      </c>
      <c r="F1237" s="211" t="s">
        <v>7646</v>
      </c>
    </row>
    <row r="1238" spans="1:6">
      <c r="A1238" s="211" t="s">
        <v>892</v>
      </c>
      <c r="B1238" s="211">
        <v>1692</v>
      </c>
      <c r="C1238" s="211">
        <v>1377</v>
      </c>
      <c r="D1238" s="211" t="s">
        <v>1255</v>
      </c>
      <c r="E1238" s="211" t="s">
        <v>10385</v>
      </c>
      <c r="F1238" s="211" t="s">
        <v>7250</v>
      </c>
    </row>
    <row r="1239" spans="1:6">
      <c r="A1239" s="211" t="s">
        <v>4994</v>
      </c>
      <c r="B1239" s="211">
        <v>7005</v>
      </c>
      <c r="C1239" s="211">
        <v>649</v>
      </c>
      <c r="D1239" s="211" t="s">
        <v>1255</v>
      </c>
      <c r="E1239" s="211" t="s">
        <v>10385</v>
      </c>
      <c r="F1239" s="211" t="s">
        <v>7349</v>
      </c>
    </row>
    <row r="1240" spans="1:6">
      <c r="A1240" s="211" t="s">
        <v>7647</v>
      </c>
      <c r="B1240" s="211">
        <v>691</v>
      </c>
      <c r="C1240" s="211" t="s">
        <v>10385</v>
      </c>
      <c r="D1240" s="211" t="s">
        <v>1255</v>
      </c>
      <c r="E1240" s="211" t="s">
        <v>10385</v>
      </c>
      <c r="F1240" s="211" t="s">
        <v>7592</v>
      </c>
    </row>
    <row r="1241" spans="1:6">
      <c r="A1241" s="211" t="s">
        <v>893</v>
      </c>
      <c r="B1241" s="211">
        <v>2096</v>
      </c>
      <c r="C1241" s="211">
        <v>827</v>
      </c>
      <c r="D1241" s="211" t="s">
        <v>1255</v>
      </c>
      <c r="E1241" s="211" t="s">
        <v>10385</v>
      </c>
      <c r="F1241" s="211" t="s">
        <v>7219</v>
      </c>
    </row>
    <row r="1242" spans="1:6">
      <c r="A1242" s="211" t="s">
        <v>894</v>
      </c>
      <c r="B1242" s="211">
        <v>1085</v>
      </c>
      <c r="C1242" s="211">
        <v>1368</v>
      </c>
      <c r="D1242" s="211" t="s">
        <v>1255</v>
      </c>
      <c r="E1242" s="211" t="s">
        <v>10385</v>
      </c>
      <c r="F1242" s="211" t="s">
        <v>7323</v>
      </c>
    </row>
    <row r="1243" spans="1:6">
      <c r="A1243" s="211" t="s">
        <v>10479</v>
      </c>
      <c r="B1243" s="211">
        <v>8758</v>
      </c>
      <c r="C1243" s="211">
        <v>1217</v>
      </c>
      <c r="D1243" s="211" t="s">
        <v>1117</v>
      </c>
      <c r="E1243" s="211" t="s">
        <v>10455</v>
      </c>
      <c r="F1243" s="211" t="s">
        <v>7522</v>
      </c>
    </row>
    <row r="1244" spans="1:6">
      <c r="A1244" s="211" t="s">
        <v>7648</v>
      </c>
      <c r="B1244" s="211">
        <v>6286</v>
      </c>
      <c r="C1244" s="211" t="s">
        <v>10385</v>
      </c>
      <c r="D1244" s="211" t="s">
        <v>1255</v>
      </c>
      <c r="E1244" s="211" t="s">
        <v>10385</v>
      </c>
      <c r="F1244" s="211" t="s">
        <v>7231</v>
      </c>
    </row>
    <row r="1245" spans="1:6">
      <c r="A1245" s="211" t="s">
        <v>9209</v>
      </c>
      <c r="B1245" s="211">
        <v>8326</v>
      </c>
      <c r="C1245" s="211">
        <v>2119</v>
      </c>
      <c r="D1245" s="211" t="s">
        <v>1255</v>
      </c>
      <c r="E1245" s="211" t="s">
        <v>9210</v>
      </c>
      <c r="F1245" s="211" t="s">
        <v>9211</v>
      </c>
    </row>
    <row r="1246" spans="1:6">
      <c r="A1246" s="211" t="s">
        <v>5649</v>
      </c>
      <c r="B1246" s="211">
        <v>7579</v>
      </c>
      <c r="C1246" s="211">
        <v>1400</v>
      </c>
      <c r="D1246" s="211" t="s">
        <v>1255</v>
      </c>
      <c r="E1246" s="211" t="s">
        <v>10480</v>
      </c>
      <c r="F1246" s="211" t="s">
        <v>7325</v>
      </c>
    </row>
    <row r="1247" spans="1:6">
      <c r="A1247" s="211" t="s">
        <v>895</v>
      </c>
      <c r="B1247" s="211">
        <v>806</v>
      </c>
      <c r="C1247" s="211">
        <v>1086</v>
      </c>
      <c r="D1247" s="211" t="s">
        <v>1117</v>
      </c>
      <c r="E1247" s="211" t="s">
        <v>10385</v>
      </c>
      <c r="F1247" s="211" t="s">
        <v>7173</v>
      </c>
    </row>
    <row r="1248" spans="1:6">
      <c r="A1248" s="211" t="s">
        <v>896</v>
      </c>
      <c r="B1248" s="211">
        <v>3123</v>
      </c>
      <c r="C1248" s="211">
        <v>1858</v>
      </c>
      <c r="D1248" s="211" t="s">
        <v>1255</v>
      </c>
      <c r="E1248" s="211" t="s">
        <v>10385</v>
      </c>
      <c r="F1248" s="211" t="s">
        <v>7495</v>
      </c>
    </row>
    <row r="1249" spans="1:6">
      <c r="A1249" s="211" t="s">
        <v>897</v>
      </c>
      <c r="B1249" s="211">
        <v>6371</v>
      </c>
      <c r="C1249" s="211">
        <v>1211</v>
      </c>
      <c r="D1249" s="211" t="s">
        <v>1255</v>
      </c>
      <c r="E1249" s="211" t="s">
        <v>6705</v>
      </c>
      <c r="F1249" s="211" t="s">
        <v>7246</v>
      </c>
    </row>
    <row r="1250" spans="1:6">
      <c r="A1250" s="211" t="s">
        <v>898</v>
      </c>
      <c r="B1250" s="211">
        <v>6019</v>
      </c>
      <c r="C1250" s="211">
        <v>1600</v>
      </c>
      <c r="D1250" s="211" t="s">
        <v>1255</v>
      </c>
      <c r="E1250" s="211" t="s">
        <v>10385</v>
      </c>
      <c r="F1250" s="211" t="s">
        <v>7341</v>
      </c>
    </row>
    <row r="1251" spans="1:6">
      <c r="A1251" s="211" t="s">
        <v>899</v>
      </c>
      <c r="B1251" s="211">
        <v>1615</v>
      </c>
      <c r="C1251" s="211">
        <v>1067</v>
      </c>
      <c r="D1251" s="211" t="s">
        <v>1255</v>
      </c>
      <c r="E1251" s="211" t="s">
        <v>10385</v>
      </c>
      <c r="F1251" s="211" t="s">
        <v>7231</v>
      </c>
    </row>
    <row r="1252" spans="1:6">
      <c r="A1252" s="211" t="s">
        <v>900</v>
      </c>
      <c r="B1252" s="211">
        <v>687</v>
      </c>
      <c r="C1252" s="211">
        <v>1236</v>
      </c>
      <c r="D1252" s="211" t="s">
        <v>1255</v>
      </c>
      <c r="E1252" s="211" t="s">
        <v>10385</v>
      </c>
      <c r="F1252" s="211" t="s">
        <v>7262</v>
      </c>
    </row>
    <row r="1253" spans="1:6">
      <c r="A1253" s="211" t="s">
        <v>4627</v>
      </c>
      <c r="B1253" s="211">
        <v>6332</v>
      </c>
      <c r="C1253" s="211">
        <v>467</v>
      </c>
      <c r="D1253" s="211" t="s">
        <v>1117</v>
      </c>
      <c r="E1253" s="211" t="s">
        <v>10385</v>
      </c>
      <c r="F1253" s="211" t="s">
        <v>7571</v>
      </c>
    </row>
    <row r="1254" spans="1:6">
      <c r="A1254" s="211" t="s">
        <v>7649</v>
      </c>
      <c r="B1254" s="211">
        <v>640</v>
      </c>
      <c r="C1254" s="211" t="s">
        <v>10385</v>
      </c>
      <c r="D1254" s="211" t="s">
        <v>1255</v>
      </c>
      <c r="E1254" s="211" t="s">
        <v>10385</v>
      </c>
      <c r="F1254" s="211" t="s">
        <v>7382</v>
      </c>
    </row>
    <row r="1255" spans="1:6">
      <c r="A1255" s="211" t="s">
        <v>901</v>
      </c>
      <c r="B1255" s="211">
        <v>5304</v>
      </c>
      <c r="C1255" s="211">
        <v>875</v>
      </c>
      <c r="D1255" s="211" t="s">
        <v>1255</v>
      </c>
      <c r="E1255" s="211" t="s">
        <v>10385</v>
      </c>
      <c r="F1255" s="211" t="s">
        <v>7192</v>
      </c>
    </row>
    <row r="1256" spans="1:6">
      <c r="A1256" s="211" t="s">
        <v>7650</v>
      </c>
      <c r="B1256" s="211">
        <v>17</v>
      </c>
      <c r="C1256" s="211" t="s">
        <v>10385</v>
      </c>
      <c r="D1256" s="211" t="s">
        <v>1255</v>
      </c>
      <c r="E1256" s="211" t="s">
        <v>10385</v>
      </c>
      <c r="F1256" s="211" t="s">
        <v>7196</v>
      </c>
    </row>
    <row r="1257" spans="1:6">
      <c r="A1257" s="211" t="s">
        <v>902</v>
      </c>
      <c r="B1257" s="211">
        <v>5129</v>
      </c>
      <c r="C1257" s="211">
        <v>659</v>
      </c>
      <c r="D1257" s="211" t="s">
        <v>1255</v>
      </c>
      <c r="E1257" s="211" t="s">
        <v>10385</v>
      </c>
      <c r="F1257" s="211" t="s">
        <v>7384</v>
      </c>
    </row>
    <row r="1258" spans="1:6">
      <c r="A1258" s="211" t="s">
        <v>7651</v>
      </c>
      <c r="B1258" s="211">
        <v>339</v>
      </c>
      <c r="C1258" s="211" t="s">
        <v>10385</v>
      </c>
      <c r="D1258" s="211" t="s">
        <v>1255</v>
      </c>
      <c r="E1258" s="211" t="s">
        <v>10385</v>
      </c>
      <c r="F1258" s="211" t="s">
        <v>7210</v>
      </c>
    </row>
    <row r="1259" spans="1:6">
      <c r="A1259" s="211" t="s">
        <v>7652</v>
      </c>
      <c r="B1259" s="211">
        <v>1414</v>
      </c>
      <c r="C1259" s="211" t="s">
        <v>10385</v>
      </c>
      <c r="D1259" s="211" t="s">
        <v>1255</v>
      </c>
      <c r="E1259" s="211" t="s">
        <v>10385</v>
      </c>
      <c r="F1259" s="211" t="s">
        <v>7233</v>
      </c>
    </row>
    <row r="1260" spans="1:6">
      <c r="A1260" s="211" t="s">
        <v>903</v>
      </c>
      <c r="B1260" s="211">
        <v>1430</v>
      </c>
      <c r="C1260" s="211">
        <v>1553</v>
      </c>
      <c r="D1260" s="211" t="s">
        <v>1255</v>
      </c>
      <c r="E1260" s="211" t="s">
        <v>10385</v>
      </c>
      <c r="F1260" s="211" t="s">
        <v>7272</v>
      </c>
    </row>
    <row r="1261" spans="1:6">
      <c r="A1261" s="211" t="s">
        <v>904</v>
      </c>
      <c r="B1261" s="211">
        <v>4932</v>
      </c>
      <c r="C1261" s="211">
        <v>918</v>
      </c>
      <c r="D1261" s="211" t="s">
        <v>1117</v>
      </c>
      <c r="E1261" s="211" t="s">
        <v>10385</v>
      </c>
      <c r="F1261" s="211" t="s">
        <v>7380</v>
      </c>
    </row>
    <row r="1262" spans="1:6">
      <c r="A1262" s="211" t="s">
        <v>7653</v>
      </c>
      <c r="B1262" s="211">
        <v>1300</v>
      </c>
      <c r="C1262" s="211">
        <v>1848</v>
      </c>
      <c r="D1262" s="211" t="s">
        <v>1255</v>
      </c>
      <c r="E1262" s="211" t="s">
        <v>10385</v>
      </c>
      <c r="F1262" s="211" t="s">
        <v>7262</v>
      </c>
    </row>
    <row r="1263" spans="1:6">
      <c r="A1263" s="211" t="s">
        <v>9212</v>
      </c>
      <c r="B1263" s="211">
        <v>8417</v>
      </c>
      <c r="C1263" s="211" t="s">
        <v>10385</v>
      </c>
      <c r="D1263" s="211" t="s">
        <v>1255</v>
      </c>
      <c r="E1263" s="211" t="s">
        <v>10385</v>
      </c>
      <c r="F1263" s="211" t="s">
        <v>9213</v>
      </c>
    </row>
    <row r="1264" spans="1:6">
      <c r="A1264" s="211" t="s">
        <v>3051</v>
      </c>
      <c r="B1264" s="211">
        <v>6258</v>
      </c>
      <c r="C1264" s="211">
        <v>1100</v>
      </c>
      <c r="D1264" s="211" t="s">
        <v>1255</v>
      </c>
      <c r="E1264" s="211" t="s">
        <v>10385</v>
      </c>
      <c r="F1264" s="211" t="s">
        <v>7279</v>
      </c>
    </row>
    <row r="1265" spans="1:6">
      <c r="A1265" s="211" t="s">
        <v>2948</v>
      </c>
      <c r="B1265" s="211">
        <v>2663</v>
      </c>
      <c r="C1265" s="211">
        <v>1119</v>
      </c>
      <c r="D1265" s="211" t="s">
        <v>1255</v>
      </c>
      <c r="E1265" s="211" t="s">
        <v>10385</v>
      </c>
      <c r="F1265" s="211" t="s">
        <v>7264</v>
      </c>
    </row>
    <row r="1266" spans="1:6">
      <c r="A1266" s="211" t="s">
        <v>7654</v>
      </c>
      <c r="B1266" s="211">
        <v>4281</v>
      </c>
      <c r="C1266" s="211" t="s">
        <v>10385</v>
      </c>
      <c r="D1266" s="211" t="s">
        <v>1255</v>
      </c>
      <c r="E1266" s="211" t="s">
        <v>10385</v>
      </c>
      <c r="F1266" s="211" t="s">
        <v>7655</v>
      </c>
    </row>
    <row r="1267" spans="1:6">
      <c r="A1267" s="211" t="s">
        <v>905</v>
      </c>
      <c r="B1267" s="211">
        <v>2990</v>
      </c>
      <c r="C1267" s="211">
        <v>1160</v>
      </c>
      <c r="D1267" s="211" t="s">
        <v>1255</v>
      </c>
      <c r="E1267" s="211" t="s">
        <v>10385</v>
      </c>
      <c r="F1267" s="211" t="s">
        <v>7286</v>
      </c>
    </row>
    <row r="1268" spans="1:6">
      <c r="A1268" s="211" t="s">
        <v>906</v>
      </c>
      <c r="B1268" s="211">
        <v>3649</v>
      </c>
      <c r="C1268" s="211">
        <v>1148</v>
      </c>
      <c r="D1268" s="211" t="s">
        <v>1255</v>
      </c>
      <c r="E1268" s="211" t="s">
        <v>10385</v>
      </c>
      <c r="F1268" s="211" t="s">
        <v>7189</v>
      </c>
    </row>
    <row r="1269" spans="1:6">
      <c r="A1269" s="211" t="s">
        <v>907</v>
      </c>
      <c r="B1269" s="211">
        <v>808</v>
      </c>
      <c r="C1269" s="211">
        <v>1272</v>
      </c>
      <c r="D1269" s="211" t="s">
        <v>1255</v>
      </c>
      <c r="E1269" s="211" t="s">
        <v>10385</v>
      </c>
      <c r="F1269" s="211" t="s">
        <v>7173</v>
      </c>
    </row>
    <row r="1270" spans="1:6">
      <c r="A1270" s="211" t="s">
        <v>6706</v>
      </c>
      <c r="B1270" s="211">
        <v>7688</v>
      </c>
      <c r="C1270" s="211">
        <v>1127</v>
      </c>
      <c r="D1270" s="211" t="s">
        <v>1255</v>
      </c>
      <c r="E1270" s="211" t="s">
        <v>10385</v>
      </c>
      <c r="F1270" s="211" t="s">
        <v>7656</v>
      </c>
    </row>
    <row r="1271" spans="1:6">
      <c r="A1271" s="211" t="s">
        <v>908</v>
      </c>
      <c r="B1271" s="211">
        <v>1634</v>
      </c>
      <c r="C1271" s="211">
        <v>1400</v>
      </c>
      <c r="D1271" s="211" t="s">
        <v>1255</v>
      </c>
      <c r="E1271" s="211" t="s">
        <v>10385</v>
      </c>
      <c r="F1271" s="211" t="s">
        <v>7322</v>
      </c>
    </row>
    <row r="1272" spans="1:6">
      <c r="A1272" s="211" t="s">
        <v>909</v>
      </c>
      <c r="B1272" s="211">
        <v>1408</v>
      </c>
      <c r="C1272" s="211">
        <v>1516</v>
      </c>
      <c r="D1272" s="211" t="s">
        <v>1255</v>
      </c>
      <c r="E1272" s="211" t="s">
        <v>10385</v>
      </c>
      <c r="F1272" s="211" t="s">
        <v>7657</v>
      </c>
    </row>
    <row r="1273" spans="1:6">
      <c r="A1273" s="211" t="s">
        <v>9214</v>
      </c>
      <c r="B1273" s="211">
        <v>8071</v>
      </c>
      <c r="C1273" s="211">
        <v>983</v>
      </c>
      <c r="D1273" s="211" t="s">
        <v>1255</v>
      </c>
      <c r="E1273" s="211" t="s">
        <v>10385</v>
      </c>
      <c r="F1273" s="211" t="s">
        <v>9120</v>
      </c>
    </row>
    <row r="1274" spans="1:6">
      <c r="A1274" s="211" t="s">
        <v>910</v>
      </c>
      <c r="B1274" s="211">
        <v>2673</v>
      </c>
      <c r="C1274" s="211">
        <v>1184</v>
      </c>
      <c r="D1274" s="211" t="s">
        <v>1255</v>
      </c>
      <c r="E1274" s="211" t="s">
        <v>10385</v>
      </c>
      <c r="F1274" s="211" t="s">
        <v>7402</v>
      </c>
    </row>
    <row r="1275" spans="1:6">
      <c r="A1275" s="211" t="s">
        <v>7658</v>
      </c>
      <c r="B1275" s="211">
        <v>5928</v>
      </c>
      <c r="C1275" s="211" t="s">
        <v>10385</v>
      </c>
      <c r="D1275" s="211" t="s">
        <v>1117</v>
      </c>
      <c r="E1275" s="211" t="s">
        <v>10385</v>
      </c>
      <c r="F1275" s="211" t="s">
        <v>7210</v>
      </c>
    </row>
    <row r="1276" spans="1:6">
      <c r="A1276" s="211" t="s">
        <v>2981</v>
      </c>
      <c r="B1276" s="211">
        <v>1436</v>
      </c>
      <c r="C1276" s="211">
        <v>1388</v>
      </c>
      <c r="D1276" s="211" t="s">
        <v>1255</v>
      </c>
      <c r="E1276" s="211" t="s">
        <v>10385</v>
      </c>
      <c r="F1276" s="211" t="s">
        <v>7388</v>
      </c>
    </row>
    <row r="1277" spans="1:6">
      <c r="A1277" s="211" t="s">
        <v>911</v>
      </c>
      <c r="B1277" s="211">
        <v>3120</v>
      </c>
      <c r="C1277" s="211">
        <v>975</v>
      </c>
      <c r="D1277" s="211" t="s">
        <v>1255</v>
      </c>
      <c r="E1277" s="211" t="s">
        <v>10385</v>
      </c>
      <c r="F1277" s="211" t="s">
        <v>7268</v>
      </c>
    </row>
    <row r="1278" spans="1:6">
      <c r="A1278" s="211" t="s">
        <v>9215</v>
      </c>
      <c r="B1278" s="211">
        <v>8056</v>
      </c>
      <c r="C1278" s="211">
        <v>803</v>
      </c>
      <c r="D1278" s="211" t="s">
        <v>1255</v>
      </c>
      <c r="E1278" s="211" t="s">
        <v>9216</v>
      </c>
      <c r="F1278" s="211" t="s">
        <v>7430</v>
      </c>
    </row>
    <row r="1279" spans="1:6">
      <c r="A1279" s="211" t="s">
        <v>912</v>
      </c>
      <c r="B1279" s="211">
        <v>3233</v>
      </c>
      <c r="C1279" s="211">
        <v>997</v>
      </c>
      <c r="D1279" s="211" t="s">
        <v>1255</v>
      </c>
      <c r="E1279" s="211" t="s">
        <v>10385</v>
      </c>
      <c r="F1279" s="211" t="s">
        <v>7629</v>
      </c>
    </row>
    <row r="1280" spans="1:6">
      <c r="A1280" s="211" t="s">
        <v>913</v>
      </c>
      <c r="B1280" s="211">
        <v>5211</v>
      </c>
      <c r="C1280" s="211">
        <v>1204</v>
      </c>
      <c r="D1280" s="211" t="s">
        <v>1255</v>
      </c>
      <c r="E1280" s="211" t="s">
        <v>10385</v>
      </c>
      <c r="F1280" s="211" t="s">
        <v>7508</v>
      </c>
    </row>
    <row r="1281" spans="1:6">
      <c r="A1281" s="211" t="s">
        <v>914</v>
      </c>
      <c r="B1281" s="211">
        <v>3167</v>
      </c>
      <c r="C1281" s="211">
        <v>898</v>
      </c>
      <c r="D1281" s="211" t="s">
        <v>1255</v>
      </c>
      <c r="E1281" s="211" t="s">
        <v>10385</v>
      </c>
      <c r="F1281" s="211" t="s">
        <v>7581</v>
      </c>
    </row>
    <row r="1282" spans="1:6">
      <c r="A1282" s="211" t="s">
        <v>5650</v>
      </c>
      <c r="B1282" s="211">
        <v>7338</v>
      </c>
      <c r="C1282" s="211">
        <v>930</v>
      </c>
      <c r="D1282" s="211" t="s">
        <v>1255</v>
      </c>
      <c r="E1282" s="211" t="s">
        <v>10385</v>
      </c>
      <c r="F1282" s="211" t="s">
        <v>7375</v>
      </c>
    </row>
    <row r="1283" spans="1:6">
      <c r="A1283" s="211" t="s">
        <v>9217</v>
      </c>
      <c r="B1283" s="211">
        <v>8237</v>
      </c>
      <c r="C1283" s="211">
        <v>799</v>
      </c>
      <c r="D1283" s="211" t="s">
        <v>1117</v>
      </c>
      <c r="E1283" s="211" t="s">
        <v>10385</v>
      </c>
      <c r="F1283" s="211" t="s">
        <v>7384</v>
      </c>
    </row>
    <row r="1284" spans="1:6">
      <c r="A1284" s="211" t="s">
        <v>9218</v>
      </c>
      <c r="B1284" s="211">
        <v>8243</v>
      </c>
      <c r="C1284" s="211" t="s">
        <v>10385</v>
      </c>
      <c r="D1284" s="211" t="s">
        <v>1255</v>
      </c>
      <c r="E1284" s="211" t="s">
        <v>10385</v>
      </c>
      <c r="F1284" s="211" t="s">
        <v>7384</v>
      </c>
    </row>
    <row r="1285" spans="1:6">
      <c r="A1285" s="211" t="s">
        <v>9219</v>
      </c>
      <c r="B1285" s="211">
        <v>7997</v>
      </c>
      <c r="C1285" s="211">
        <v>1476</v>
      </c>
      <c r="D1285" s="211" t="s">
        <v>1255</v>
      </c>
      <c r="E1285" s="211" t="s">
        <v>10385</v>
      </c>
      <c r="F1285" s="211" t="s">
        <v>7208</v>
      </c>
    </row>
    <row r="1286" spans="1:6">
      <c r="A1286" s="211" t="s">
        <v>5651</v>
      </c>
      <c r="B1286" s="211">
        <v>7142</v>
      </c>
      <c r="C1286" s="211">
        <v>1151</v>
      </c>
      <c r="D1286" s="211" t="s">
        <v>1255</v>
      </c>
      <c r="E1286" s="211" t="s">
        <v>6707</v>
      </c>
      <c r="F1286" s="211" t="s">
        <v>7659</v>
      </c>
    </row>
    <row r="1287" spans="1:6">
      <c r="A1287" s="211" t="s">
        <v>915</v>
      </c>
      <c r="B1287" s="211">
        <v>652</v>
      </c>
      <c r="C1287" s="211">
        <v>884</v>
      </c>
      <c r="D1287" s="211" t="s">
        <v>1255</v>
      </c>
      <c r="E1287" s="211" t="s">
        <v>10385</v>
      </c>
      <c r="F1287" s="211" t="s">
        <v>7283</v>
      </c>
    </row>
    <row r="1288" spans="1:6">
      <c r="A1288" s="211" t="s">
        <v>916</v>
      </c>
      <c r="B1288" s="211">
        <v>4001</v>
      </c>
      <c r="C1288" s="211">
        <v>1121</v>
      </c>
      <c r="D1288" s="211" t="s">
        <v>1255</v>
      </c>
      <c r="E1288" s="211" t="s">
        <v>10385</v>
      </c>
      <c r="F1288" s="211" t="s">
        <v>7536</v>
      </c>
    </row>
    <row r="1289" spans="1:6">
      <c r="A1289" s="211" t="s">
        <v>917</v>
      </c>
      <c r="B1289" s="211">
        <v>3583</v>
      </c>
      <c r="C1289" s="211">
        <v>680</v>
      </c>
      <c r="D1289" s="211" t="s">
        <v>1117</v>
      </c>
      <c r="E1289" s="211" t="s">
        <v>10385</v>
      </c>
      <c r="F1289" s="211" t="s">
        <v>7297</v>
      </c>
    </row>
    <row r="1290" spans="1:6">
      <c r="A1290" s="211" t="s">
        <v>7660</v>
      </c>
      <c r="B1290" s="211">
        <v>5366</v>
      </c>
      <c r="C1290" s="211" t="s">
        <v>10385</v>
      </c>
      <c r="D1290" s="211" t="s">
        <v>1255</v>
      </c>
      <c r="E1290" s="211" t="s">
        <v>10385</v>
      </c>
      <c r="F1290" s="211" t="s">
        <v>7223</v>
      </c>
    </row>
    <row r="1291" spans="1:6">
      <c r="A1291" s="211" t="s">
        <v>918</v>
      </c>
      <c r="B1291" s="211">
        <v>3943</v>
      </c>
      <c r="C1291" s="211">
        <v>1049</v>
      </c>
      <c r="D1291" s="211" t="s">
        <v>1255</v>
      </c>
      <c r="E1291" s="211" t="s">
        <v>10385</v>
      </c>
      <c r="F1291" s="211" t="s">
        <v>7365</v>
      </c>
    </row>
    <row r="1292" spans="1:6">
      <c r="A1292" s="211" t="s">
        <v>919</v>
      </c>
      <c r="B1292" s="211">
        <v>2683</v>
      </c>
      <c r="C1292" s="211">
        <v>790</v>
      </c>
      <c r="D1292" s="211" t="s">
        <v>1255</v>
      </c>
      <c r="E1292" s="211" t="s">
        <v>10385</v>
      </c>
      <c r="F1292" s="211" t="s">
        <v>7477</v>
      </c>
    </row>
    <row r="1293" spans="1:6">
      <c r="A1293" s="211" t="s">
        <v>920</v>
      </c>
      <c r="B1293" s="211">
        <v>5701</v>
      </c>
      <c r="C1293" s="211">
        <v>929</v>
      </c>
      <c r="D1293" s="211" t="s">
        <v>1255</v>
      </c>
      <c r="E1293" s="211" t="s">
        <v>10385</v>
      </c>
      <c r="F1293" s="211" t="s">
        <v>7194</v>
      </c>
    </row>
    <row r="1294" spans="1:6">
      <c r="A1294" s="211" t="s">
        <v>4533</v>
      </c>
      <c r="B1294" s="211">
        <v>6651</v>
      </c>
      <c r="C1294" s="211">
        <v>791</v>
      </c>
      <c r="D1294" s="211" t="s">
        <v>1255</v>
      </c>
      <c r="E1294" s="211" t="s">
        <v>10385</v>
      </c>
      <c r="F1294" s="211" t="s">
        <v>7661</v>
      </c>
    </row>
    <row r="1295" spans="1:6">
      <c r="A1295" s="211" t="s">
        <v>921</v>
      </c>
      <c r="B1295" s="211">
        <v>1574</v>
      </c>
      <c r="C1295" s="211">
        <v>1215</v>
      </c>
      <c r="D1295" s="211" t="s">
        <v>1255</v>
      </c>
      <c r="E1295" s="211" t="s">
        <v>10385</v>
      </c>
      <c r="F1295" s="211" t="s">
        <v>7415</v>
      </c>
    </row>
    <row r="1296" spans="1:6">
      <c r="A1296" s="211" t="s">
        <v>922</v>
      </c>
      <c r="B1296" s="211">
        <v>2856</v>
      </c>
      <c r="C1296" s="211">
        <v>756</v>
      </c>
      <c r="D1296" s="211" t="s">
        <v>1255</v>
      </c>
      <c r="E1296" s="211" t="s">
        <v>10385</v>
      </c>
      <c r="F1296" s="211" t="s">
        <v>7392</v>
      </c>
    </row>
    <row r="1297" spans="1:6">
      <c r="A1297" s="211" t="s">
        <v>923</v>
      </c>
      <c r="B1297" s="211">
        <v>2996</v>
      </c>
      <c r="C1297" s="211">
        <v>1220</v>
      </c>
      <c r="D1297" s="211" t="s">
        <v>1255</v>
      </c>
      <c r="E1297" s="211" t="s">
        <v>10385</v>
      </c>
      <c r="F1297" s="211" t="s">
        <v>7270</v>
      </c>
    </row>
    <row r="1298" spans="1:6">
      <c r="A1298" s="211" t="s">
        <v>7662</v>
      </c>
      <c r="B1298" s="211">
        <v>5249</v>
      </c>
      <c r="C1298" s="211" t="s">
        <v>10385</v>
      </c>
      <c r="D1298" s="211" t="s">
        <v>1255</v>
      </c>
      <c r="E1298" s="211" t="s">
        <v>10385</v>
      </c>
      <c r="F1298" s="211" t="s">
        <v>7663</v>
      </c>
    </row>
    <row r="1299" spans="1:6">
      <c r="A1299" s="211" t="s">
        <v>924</v>
      </c>
      <c r="B1299" s="211">
        <v>4961</v>
      </c>
      <c r="C1299" s="211">
        <v>1945</v>
      </c>
      <c r="D1299" s="211" t="s">
        <v>1255</v>
      </c>
      <c r="E1299" s="211" t="s">
        <v>10385</v>
      </c>
      <c r="F1299" s="211" t="s">
        <v>7664</v>
      </c>
    </row>
    <row r="1300" spans="1:6">
      <c r="A1300" s="211" t="s">
        <v>4851</v>
      </c>
      <c r="B1300" s="211">
        <v>5248</v>
      </c>
      <c r="C1300" s="211">
        <v>2348</v>
      </c>
      <c r="D1300" s="211" t="s">
        <v>1255</v>
      </c>
      <c r="E1300" s="211" t="s">
        <v>10481</v>
      </c>
      <c r="F1300" s="211" t="s">
        <v>7663</v>
      </c>
    </row>
    <row r="1301" spans="1:6">
      <c r="A1301" s="211" t="s">
        <v>4919</v>
      </c>
      <c r="B1301" s="211">
        <v>1725</v>
      </c>
      <c r="C1301" s="211">
        <v>1353</v>
      </c>
      <c r="D1301" s="211" t="s">
        <v>1255</v>
      </c>
      <c r="E1301" s="211" t="s">
        <v>3097</v>
      </c>
      <c r="F1301" s="211" t="s">
        <v>7459</v>
      </c>
    </row>
    <row r="1302" spans="1:6">
      <c r="A1302" s="211" t="s">
        <v>925</v>
      </c>
      <c r="B1302" s="211">
        <v>1162</v>
      </c>
      <c r="C1302" s="211">
        <v>1171</v>
      </c>
      <c r="D1302" s="211" t="s">
        <v>1255</v>
      </c>
      <c r="E1302" s="211" t="s">
        <v>10385</v>
      </c>
      <c r="F1302" s="211" t="s">
        <v>7243</v>
      </c>
    </row>
    <row r="1303" spans="1:6">
      <c r="A1303" s="211" t="s">
        <v>926</v>
      </c>
      <c r="B1303" s="211">
        <v>798</v>
      </c>
      <c r="C1303" s="211">
        <v>1500</v>
      </c>
      <c r="D1303" s="211" t="s">
        <v>1255</v>
      </c>
      <c r="E1303" s="211" t="s">
        <v>10385</v>
      </c>
      <c r="F1303" s="211" t="s">
        <v>7275</v>
      </c>
    </row>
    <row r="1304" spans="1:6">
      <c r="A1304" s="211" t="s">
        <v>6708</v>
      </c>
      <c r="B1304" s="211">
        <v>7832</v>
      </c>
      <c r="C1304" s="211">
        <v>880</v>
      </c>
      <c r="D1304" s="211" t="s">
        <v>1255</v>
      </c>
      <c r="E1304" s="211" t="s">
        <v>6709</v>
      </c>
      <c r="F1304" s="211" t="s">
        <v>7335</v>
      </c>
    </row>
    <row r="1305" spans="1:6">
      <c r="A1305" s="211" t="s">
        <v>927</v>
      </c>
      <c r="B1305" s="211">
        <v>1366</v>
      </c>
      <c r="C1305" s="211">
        <v>1245</v>
      </c>
      <c r="D1305" s="211" t="s">
        <v>1255</v>
      </c>
      <c r="E1305" s="211" t="s">
        <v>10385</v>
      </c>
      <c r="F1305" s="211" t="s">
        <v>9024</v>
      </c>
    </row>
    <row r="1306" spans="1:6">
      <c r="A1306" s="211" t="s">
        <v>928</v>
      </c>
      <c r="B1306" s="211">
        <v>1029</v>
      </c>
      <c r="C1306" s="211">
        <v>1398</v>
      </c>
      <c r="D1306" s="211" t="s">
        <v>1255</v>
      </c>
      <c r="E1306" s="211" t="s">
        <v>10385</v>
      </c>
      <c r="F1306" s="211" t="s">
        <v>7224</v>
      </c>
    </row>
    <row r="1307" spans="1:6">
      <c r="A1307" s="211" t="s">
        <v>929</v>
      </c>
      <c r="B1307" s="211">
        <v>1560</v>
      </c>
      <c r="C1307" s="211">
        <v>1109</v>
      </c>
      <c r="D1307" s="211" t="s">
        <v>1255</v>
      </c>
      <c r="E1307" s="211" t="s">
        <v>10385</v>
      </c>
      <c r="F1307" s="211" t="s">
        <v>7665</v>
      </c>
    </row>
    <row r="1308" spans="1:6">
      <c r="A1308" s="211" t="s">
        <v>930</v>
      </c>
      <c r="B1308" s="211">
        <v>5508</v>
      </c>
      <c r="C1308" s="211">
        <v>1023</v>
      </c>
      <c r="D1308" s="211" t="s">
        <v>1117</v>
      </c>
      <c r="E1308" s="211" t="s">
        <v>10385</v>
      </c>
      <c r="F1308" s="211" t="s">
        <v>7205</v>
      </c>
    </row>
    <row r="1309" spans="1:6">
      <c r="A1309" s="211" t="s">
        <v>7666</v>
      </c>
      <c r="B1309" s="211">
        <v>5370</v>
      </c>
      <c r="C1309" s="211" t="s">
        <v>10385</v>
      </c>
      <c r="D1309" s="211" t="s">
        <v>1255</v>
      </c>
      <c r="E1309" s="211" t="s">
        <v>10385</v>
      </c>
      <c r="F1309" s="211" t="s">
        <v>7398</v>
      </c>
    </row>
    <row r="1310" spans="1:6">
      <c r="A1310" s="211" t="s">
        <v>931</v>
      </c>
      <c r="B1310" s="211">
        <v>826</v>
      </c>
      <c r="C1310" s="211">
        <v>897</v>
      </c>
      <c r="D1310" s="211" t="s">
        <v>1117</v>
      </c>
      <c r="E1310" s="211" t="s">
        <v>10385</v>
      </c>
      <c r="F1310" s="211" t="s">
        <v>7323</v>
      </c>
    </row>
    <row r="1311" spans="1:6">
      <c r="A1311" s="211" t="s">
        <v>932</v>
      </c>
      <c r="B1311" s="211">
        <v>3699</v>
      </c>
      <c r="C1311" s="211">
        <v>1088</v>
      </c>
      <c r="D1311" s="211" t="s">
        <v>1255</v>
      </c>
      <c r="E1311" s="211" t="s">
        <v>10385</v>
      </c>
      <c r="F1311" s="211" t="s">
        <v>7184</v>
      </c>
    </row>
    <row r="1312" spans="1:6">
      <c r="A1312" s="211" t="s">
        <v>933</v>
      </c>
      <c r="B1312" s="211">
        <v>5692</v>
      </c>
      <c r="C1312" s="211">
        <v>1101</v>
      </c>
      <c r="D1312" s="211" t="s">
        <v>1255</v>
      </c>
      <c r="E1312" s="211" t="s">
        <v>10385</v>
      </c>
      <c r="F1312" s="211" t="s">
        <v>7667</v>
      </c>
    </row>
    <row r="1313" spans="1:6">
      <c r="A1313" s="211" t="s">
        <v>9220</v>
      </c>
      <c r="B1313" s="211">
        <v>8319</v>
      </c>
      <c r="C1313" s="211">
        <v>951</v>
      </c>
      <c r="D1313" s="211" t="s">
        <v>1255</v>
      </c>
      <c r="E1313" s="211" t="s">
        <v>9221</v>
      </c>
      <c r="F1313" s="211" t="s">
        <v>9222</v>
      </c>
    </row>
    <row r="1314" spans="1:6">
      <c r="A1314" s="211" t="s">
        <v>5652</v>
      </c>
      <c r="B1314" s="211">
        <v>7096</v>
      </c>
      <c r="C1314" s="211">
        <v>963</v>
      </c>
      <c r="D1314" s="211" t="s">
        <v>1255</v>
      </c>
      <c r="E1314" s="211" t="s">
        <v>9223</v>
      </c>
      <c r="F1314" s="211" t="s">
        <v>7511</v>
      </c>
    </row>
    <row r="1315" spans="1:6">
      <c r="A1315" s="211" t="s">
        <v>7668</v>
      </c>
      <c r="B1315" s="211">
        <v>255</v>
      </c>
      <c r="C1315" s="211" t="s">
        <v>10385</v>
      </c>
      <c r="D1315" s="211" t="s">
        <v>1255</v>
      </c>
      <c r="E1315" s="211" t="s">
        <v>10385</v>
      </c>
      <c r="F1315" s="211" t="s">
        <v>7196</v>
      </c>
    </row>
    <row r="1316" spans="1:6">
      <c r="A1316" s="211" t="s">
        <v>5653</v>
      </c>
      <c r="B1316" s="211">
        <v>7389</v>
      </c>
      <c r="C1316" s="211">
        <v>1311</v>
      </c>
      <c r="D1316" s="211" t="s">
        <v>1255</v>
      </c>
      <c r="E1316" s="211" t="s">
        <v>5654</v>
      </c>
      <c r="F1316" s="211" t="s">
        <v>7334</v>
      </c>
    </row>
    <row r="1317" spans="1:6">
      <c r="A1317" s="211" t="s">
        <v>934</v>
      </c>
      <c r="B1317" s="211">
        <v>3979</v>
      </c>
      <c r="C1317" s="211">
        <v>1910</v>
      </c>
      <c r="D1317" s="211" t="s">
        <v>1255</v>
      </c>
      <c r="E1317" s="211" t="s">
        <v>10385</v>
      </c>
      <c r="F1317" s="211" t="s">
        <v>7295</v>
      </c>
    </row>
    <row r="1318" spans="1:6">
      <c r="A1318" s="211" t="s">
        <v>4841</v>
      </c>
      <c r="B1318" s="211">
        <v>6080</v>
      </c>
      <c r="C1318" s="211">
        <v>1075</v>
      </c>
      <c r="D1318" s="211" t="s">
        <v>1255</v>
      </c>
      <c r="E1318" s="211" t="s">
        <v>10385</v>
      </c>
      <c r="F1318" s="211" t="s">
        <v>7427</v>
      </c>
    </row>
    <row r="1319" spans="1:6">
      <c r="A1319" s="211" t="s">
        <v>935</v>
      </c>
      <c r="B1319" s="211">
        <v>2604</v>
      </c>
      <c r="C1319" s="211">
        <v>949</v>
      </c>
      <c r="D1319" s="211" t="s">
        <v>1255</v>
      </c>
      <c r="E1319" s="211" t="s">
        <v>10385</v>
      </c>
      <c r="F1319" s="211" t="s">
        <v>7208</v>
      </c>
    </row>
    <row r="1320" spans="1:6">
      <c r="A1320" s="211" t="s">
        <v>936</v>
      </c>
      <c r="B1320" s="211">
        <v>4988</v>
      </c>
      <c r="C1320" s="211">
        <v>1334</v>
      </c>
      <c r="D1320" s="211" t="s">
        <v>1255</v>
      </c>
      <c r="E1320" s="211" t="s">
        <v>10385</v>
      </c>
      <c r="F1320" s="211" t="s">
        <v>7479</v>
      </c>
    </row>
    <row r="1321" spans="1:6">
      <c r="A1321" s="211" t="s">
        <v>937</v>
      </c>
      <c r="B1321" s="211">
        <v>1196</v>
      </c>
      <c r="C1321" s="211">
        <v>1059</v>
      </c>
      <c r="D1321" s="211" t="s">
        <v>1255</v>
      </c>
      <c r="E1321" s="211" t="s">
        <v>10385</v>
      </c>
      <c r="F1321" s="211" t="s">
        <v>7486</v>
      </c>
    </row>
    <row r="1322" spans="1:6">
      <c r="A1322" s="211" t="s">
        <v>8902</v>
      </c>
      <c r="B1322" s="211">
        <v>4985</v>
      </c>
      <c r="C1322" s="211" t="s">
        <v>10385</v>
      </c>
      <c r="D1322" s="211" t="s">
        <v>1255</v>
      </c>
      <c r="E1322" s="211" t="s">
        <v>10385</v>
      </c>
      <c r="F1322" s="211" t="s">
        <v>7398</v>
      </c>
    </row>
    <row r="1323" spans="1:6">
      <c r="A1323" s="211" t="s">
        <v>8903</v>
      </c>
      <c r="B1323" s="211">
        <v>4025</v>
      </c>
      <c r="C1323" s="211">
        <v>1590</v>
      </c>
      <c r="D1323" s="211" t="s">
        <v>1255</v>
      </c>
      <c r="E1323" s="211" t="s">
        <v>10385</v>
      </c>
      <c r="F1323" s="211" t="s">
        <v>7224</v>
      </c>
    </row>
    <row r="1324" spans="1:6">
      <c r="A1324" s="211" t="s">
        <v>938</v>
      </c>
      <c r="B1324" s="211">
        <v>4077</v>
      </c>
      <c r="C1324" s="211">
        <v>995</v>
      </c>
      <c r="D1324" s="211" t="s">
        <v>1117</v>
      </c>
      <c r="E1324" s="211" t="s">
        <v>10385</v>
      </c>
      <c r="F1324" s="211" t="s">
        <v>7629</v>
      </c>
    </row>
    <row r="1325" spans="1:6">
      <c r="A1325" s="211" t="s">
        <v>939</v>
      </c>
      <c r="B1325" s="211">
        <v>4389</v>
      </c>
      <c r="C1325" s="211">
        <v>1117</v>
      </c>
      <c r="D1325" s="211" t="s">
        <v>1255</v>
      </c>
      <c r="E1325" s="211" t="s">
        <v>10385</v>
      </c>
      <c r="F1325" s="211" t="s">
        <v>7310</v>
      </c>
    </row>
    <row r="1326" spans="1:6">
      <c r="A1326" s="211" t="s">
        <v>940</v>
      </c>
      <c r="B1326" s="211">
        <v>2087</v>
      </c>
      <c r="C1326" s="211">
        <v>800</v>
      </c>
      <c r="D1326" s="211" t="s">
        <v>1117</v>
      </c>
      <c r="E1326" s="211" t="s">
        <v>10385</v>
      </c>
      <c r="F1326" s="211" t="s">
        <v>7263</v>
      </c>
    </row>
    <row r="1327" spans="1:6">
      <c r="A1327" s="211" t="s">
        <v>7669</v>
      </c>
      <c r="B1327" s="211">
        <v>459</v>
      </c>
      <c r="C1327" s="211" t="s">
        <v>10385</v>
      </c>
      <c r="D1327" s="211" t="s">
        <v>1255</v>
      </c>
      <c r="E1327" s="211" t="s">
        <v>10385</v>
      </c>
      <c r="F1327" s="211" t="s">
        <v>7486</v>
      </c>
    </row>
    <row r="1328" spans="1:6">
      <c r="A1328" s="211" t="s">
        <v>4865</v>
      </c>
      <c r="B1328" s="211">
        <v>4467</v>
      </c>
      <c r="C1328" s="211">
        <v>926</v>
      </c>
      <c r="D1328" s="211" t="s">
        <v>1255</v>
      </c>
      <c r="E1328" s="211" t="s">
        <v>3084</v>
      </c>
      <c r="F1328" s="211" t="s">
        <v>7285</v>
      </c>
    </row>
    <row r="1329" spans="1:6">
      <c r="A1329" s="211" t="s">
        <v>941</v>
      </c>
      <c r="B1329" s="211">
        <v>1552</v>
      </c>
      <c r="C1329" s="211">
        <v>1322</v>
      </c>
      <c r="D1329" s="211" t="s">
        <v>1255</v>
      </c>
      <c r="E1329" s="211" t="s">
        <v>10385</v>
      </c>
      <c r="F1329" s="211" t="s">
        <v>7248</v>
      </c>
    </row>
    <row r="1330" spans="1:6">
      <c r="A1330" s="211" t="s">
        <v>942</v>
      </c>
      <c r="B1330" s="211">
        <v>961</v>
      </c>
      <c r="C1330" s="211">
        <v>2064</v>
      </c>
      <c r="D1330" s="211" t="s">
        <v>1255</v>
      </c>
      <c r="E1330" s="211" t="s">
        <v>10385</v>
      </c>
      <c r="F1330" s="211" t="s">
        <v>7627</v>
      </c>
    </row>
    <row r="1331" spans="1:6">
      <c r="A1331" s="211" t="s">
        <v>943</v>
      </c>
      <c r="B1331" s="211">
        <v>1927</v>
      </c>
      <c r="C1331" s="211">
        <v>958</v>
      </c>
      <c r="D1331" s="211" t="s">
        <v>1255</v>
      </c>
      <c r="E1331" s="211" t="s">
        <v>10385</v>
      </c>
      <c r="F1331" s="211" t="s">
        <v>7318</v>
      </c>
    </row>
    <row r="1332" spans="1:6">
      <c r="A1332" s="211" t="s">
        <v>10345</v>
      </c>
      <c r="B1332" s="211">
        <v>1001</v>
      </c>
      <c r="C1332" s="211" t="s">
        <v>10385</v>
      </c>
      <c r="D1332" s="211" t="s">
        <v>1255</v>
      </c>
      <c r="E1332" s="211" t="s">
        <v>10385</v>
      </c>
      <c r="F1332" s="211" t="s">
        <v>7196</v>
      </c>
    </row>
    <row r="1333" spans="1:6">
      <c r="A1333" s="211" t="s">
        <v>944</v>
      </c>
      <c r="B1333" s="211">
        <v>2208</v>
      </c>
      <c r="C1333" s="211">
        <v>1229</v>
      </c>
      <c r="D1333" s="211" t="s">
        <v>1255</v>
      </c>
      <c r="E1333" s="211" t="s">
        <v>10385</v>
      </c>
      <c r="F1333" s="211" t="s">
        <v>7312</v>
      </c>
    </row>
    <row r="1334" spans="1:6">
      <c r="A1334" s="211" t="s">
        <v>945</v>
      </c>
      <c r="B1334" s="211">
        <v>5910</v>
      </c>
      <c r="C1334" s="211">
        <v>1425</v>
      </c>
      <c r="D1334" s="211" t="s">
        <v>1255</v>
      </c>
      <c r="E1334" s="211" t="s">
        <v>10385</v>
      </c>
      <c r="F1334" s="211" t="s">
        <v>7364</v>
      </c>
    </row>
    <row r="1335" spans="1:6">
      <c r="A1335" s="211" t="s">
        <v>946</v>
      </c>
      <c r="B1335" s="211">
        <v>4898</v>
      </c>
      <c r="C1335" s="211">
        <v>1239</v>
      </c>
      <c r="D1335" s="211" t="s">
        <v>1255</v>
      </c>
      <c r="E1335" s="211" t="s">
        <v>10385</v>
      </c>
      <c r="F1335" s="211" t="s">
        <v>7335</v>
      </c>
    </row>
    <row r="1336" spans="1:6">
      <c r="A1336" s="211" t="s">
        <v>9224</v>
      </c>
      <c r="B1336" s="211">
        <v>8208</v>
      </c>
      <c r="C1336" s="211">
        <v>788</v>
      </c>
      <c r="D1336" s="211" t="s">
        <v>1255</v>
      </c>
      <c r="E1336" s="211" t="s">
        <v>10385</v>
      </c>
      <c r="F1336" s="211" t="s">
        <v>7213</v>
      </c>
    </row>
    <row r="1337" spans="1:6">
      <c r="A1337" s="211" t="s">
        <v>4858</v>
      </c>
      <c r="B1337" s="211">
        <v>5348</v>
      </c>
      <c r="C1337" s="211">
        <v>1897</v>
      </c>
      <c r="D1337" s="211" t="s">
        <v>1255</v>
      </c>
      <c r="E1337" s="211" t="s">
        <v>10385</v>
      </c>
      <c r="F1337" s="211" t="s">
        <v>7398</v>
      </c>
    </row>
    <row r="1338" spans="1:6">
      <c r="A1338" s="211" t="s">
        <v>5655</v>
      </c>
      <c r="B1338" s="211">
        <v>7551</v>
      </c>
      <c r="C1338" s="211">
        <v>946</v>
      </c>
      <c r="D1338" s="211" t="s">
        <v>1255</v>
      </c>
      <c r="E1338" s="211" t="s">
        <v>10482</v>
      </c>
      <c r="F1338" s="211" t="s">
        <v>7583</v>
      </c>
    </row>
    <row r="1339" spans="1:6">
      <c r="A1339" s="211" t="s">
        <v>4578</v>
      </c>
      <c r="B1339" s="211">
        <v>6311</v>
      </c>
      <c r="C1339" s="211">
        <v>1334</v>
      </c>
      <c r="D1339" s="211" t="s">
        <v>1255</v>
      </c>
      <c r="E1339" s="211" t="s">
        <v>9225</v>
      </c>
      <c r="F1339" s="211" t="s">
        <v>7257</v>
      </c>
    </row>
    <row r="1340" spans="1:6">
      <c r="A1340" s="211" t="s">
        <v>947</v>
      </c>
      <c r="B1340" s="211">
        <v>2783</v>
      </c>
      <c r="C1340" s="211">
        <v>1038</v>
      </c>
      <c r="D1340" s="211" t="s">
        <v>1255</v>
      </c>
      <c r="E1340" s="211" t="s">
        <v>10385</v>
      </c>
      <c r="F1340" s="211" t="s">
        <v>7241</v>
      </c>
    </row>
    <row r="1341" spans="1:6">
      <c r="A1341" s="211" t="s">
        <v>9226</v>
      </c>
      <c r="B1341" s="211">
        <v>8452</v>
      </c>
      <c r="C1341" s="211">
        <v>992</v>
      </c>
      <c r="D1341" s="211" t="s">
        <v>1255</v>
      </c>
      <c r="E1341" s="211" t="s">
        <v>9227</v>
      </c>
      <c r="F1341" s="211" t="s">
        <v>7661</v>
      </c>
    </row>
    <row r="1342" spans="1:6">
      <c r="A1342" s="211" t="s">
        <v>948</v>
      </c>
      <c r="B1342" s="211">
        <v>5429</v>
      </c>
      <c r="C1342" s="211">
        <v>765</v>
      </c>
      <c r="D1342" s="211" t="s">
        <v>1255</v>
      </c>
      <c r="E1342" s="211" t="s">
        <v>10385</v>
      </c>
      <c r="F1342" s="211" t="s">
        <v>7203</v>
      </c>
    </row>
    <row r="1343" spans="1:6">
      <c r="A1343" s="211" t="s">
        <v>949</v>
      </c>
      <c r="B1343" s="211">
        <v>5995</v>
      </c>
      <c r="C1343" s="211">
        <v>2125</v>
      </c>
      <c r="D1343" s="211" t="s">
        <v>1255</v>
      </c>
      <c r="E1343" s="211" t="s">
        <v>10483</v>
      </c>
      <c r="F1343" s="211" t="s">
        <v>7573</v>
      </c>
    </row>
    <row r="1344" spans="1:6">
      <c r="A1344" s="211" t="s">
        <v>4995</v>
      </c>
      <c r="B1344" s="211">
        <v>6889</v>
      </c>
      <c r="C1344" s="211">
        <v>869</v>
      </c>
      <c r="D1344" s="211" t="s">
        <v>1255</v>
      </c>
      <c r="E1344" s="211" t="s">
        <v>10385</v>
      </c>
      <c r="F1344" s="211" t="s">
        <v>7308</v>
      </c>
    </row>
    <row r="1345" spans="1:6">
      <c r="A1345" s="211" t="s">
        <v>950</v>
      </c>
      <c r="B1345" s="211">
        <v>662</v>
      </c>
      <c r="C1345" s="211">
        <v>1648</v>
      </c>
      <c r="D1345" s="211" t="s">
        <v>1255</v>
      </c>
      <c r="E1345" s="211" t="s">
        <v>951</v>
      </c>
      <c r="F1345" s="211" t="s">
        <v>7162</v>
      </c>
    </row>
    <row r="1346" spans="1:6">
      <c r="A1346" s="211" t="s">
        <v>4559</v>
      </c>
      <c r="B1346" s="211">
        <v>6467</v>
      </c>
      <c r="C1346" s="211">
        <v>1258</v>
      </c>
      <c r="D1346" s="211" t="s">
        <v>1255</v>
      </c>
      <c r="E1346" s="211" t="s">
        <v>10385</v>
      </c>
      <c r="F1346" s="211" t="s">
        <v>7277</v>
      </c>
    </row>
    <row r="1347" spans="1:6">
      <c r="A1347" s="211" t="s">
        <v>5656</v>
      </c>
      <c r="B1347" s="211">
        <v>7148</v>
      </c>
      <c r="C1347" s="211">
        <v>1090</v>
      </c>
      <c r="D1347" s="211" t="s">
        <v>1255</v>
      </c>
      <c r="E1347" s="211" t="s">
        <v>5657</v>
      </c>
      <c r="F1347" s="211" t="s">
        <v>7521</v>
      </c>
    </row>
    <row r="1348" spans="1:6">
      <c r="A1348" s="211" t="s">
        <v>952</v>
      </c>
      <c r="B1348" s="211">
        <v>1875</v>
      </c>
      <c r="C1348" s="211">
        <v>1019</v>
      </c>
      <c r="D1348" s="211" t="s">
        <v>1255</v>
      </c>
      <c r="E1348" s="211" t="s">
        <v>10385</v>
      </c>
      <c r="F1348" s="211" t="s">
        <v>7230</v>
      </c>
    </row>
    <row r="1349" spans="1:6">
      <c r="A1349" s="211" t="s">
        <v>953</v>
      </c>
      <c r="B1349" s="211">
        <v>5794</v>
      </c>
      <c r="C1349" s="211">
        <v>1105</v>
      </c>
      <c r="D1349" s="211" t="s">
        <v>1255</v>
      </c>
      <c r="E1349" s="211" t="s">
        <v>10385</v>
      </c>
      <c r="F1349" s="211" t="s">
        <v>7354</v>
      </c>
    </row>
    <row r="1350" spans="1:6">
      <c r="A1350" s="211" t="s">
        <v>7670</v>
      </c>
      <c r="B1350" s="211">
        <v>3</v>
      </c>
      <c r="C1350" s="211" t="s">
        <v>10385</v>
      </c>
      <c r="D1350" s="211" t="s">
        <v>1255</v>
      </c>
      <c r="E1350" s="211" t="s">
        <v>10385</v>
      </c>
      <c r="F1350" s="211" t="s">
        <v>7261</v>
      </c>
    </row>
    <row r="1351" spans="1:6">
      <c r="A1351" s="211" t="s">
        <v>954</v>
      </c>
      <c r="B1351" s="211">
        <v>2367</v>
      </c>
      <c r="C1351" s="211">
        <v>992</v>
      </c>
      <c r="D1351" s="211" t="s">
        <v>1255</v>
      </c>
      <c r="E1351" s="211" t="s">
        <v>10385</v>
      </c>
      <c r="F1351" s="211" t="s">
        <v>7262</v>
      </c>
    </row>
    <row r="1352" spans="1:6">
      <c r="A1352" s="211" t="s">
        <v>955</v>
      </c>
      <c r="B1352" s="211">
        <v>771</v>
      </c>
      <c r="C1352" s="211">
        <v>1058</v>
      </c>
      <c r="D1352" s="211" t="s">
        <v>1255</v>
      </c>
      <c r="E1352" s="211" t="s">
        <v>10385</v>
      </c>
      <c r="F1352" s="211" t="s">
        <v>7196</v>
      </c>
    </row>
    <row r="1353" spans="1:6">
      <c r="A1353" s="211" t="s">
        <v>3052</v>
      </c>
      <c r="B1353" s="211">
        <v>6255</v>
      </c>
      <c r="C1353" s="211">
        <v>1140</v>
      </c>
      <c r="D1353" s="211" t="s">
        <v>1255</v>
      </c>
      <c r="E1353" s="211" t="s">
        <v>10385</v>
      </c>
      <c r="F1353" s="211" t="s">
        <v>7247</v>
      </c>
    </row>
    <row r="1354" spans="1:6">
      <c r="A1354" s="211" t="s">
        <v>956</v>
      </c>
      <c r="B1354" s="211">
        <v>4327</v>
      </c>
      <c r="C1354" s="211">
        <v>2389</v>
      </c>
      <c r="D1354" s="211" t="s">
        <v>1255</v>
      </c>
      <c r="E1354" s="211" t="s">
        <v>10385</v>
      </c>
      <c r="F1354" s="211" t="s">
        <v>7295</v>
      </c>
    </row>
    <row r="1355" spans="1:6">
      <c r="A1355" s="211" t="s">
        <v>957</v>
      </c>
      <c r="B1355" s="211">
        <v>2374</v>
      </c>
      <c r="C1355" s="211">
        <v>877</v>
      </c>
      <c r="D1355" s="211" t="s">
        <v>1255</v>
      </c>
      <c r="E1355" s="211" t="s">
        <v>10385</v>
      </c>
      <c r="F1355" s="211" t="s">
        <v>7330</v>
      </c>
    </row>
    <row r="1356" spans="1:6">
      <c r="A1356" s="211" t="s">
        <v>958</v>
      </c>
      <c r="B1356" s="211">
        <v>3386</v>
      </c>
      <c r="C1356" s="211">
        <v>1078</v>
      </c>
      <c r="D1356" s="211" t="s">
        <v>1255</v>
      </c>
      <c r="E1356" s="211" t="s">
        <v>10385</v>
      </c>
      <c r="F1356" s="211" t="s">
        <v>7399</v>
      </c>
    </row>
    <row r="1357" spans="1:6">
      <c r="A1357" s="211" t="s">
        <v>959</v>
      </c>
      <c r="B1357" s="211">
        <v>5857</v>
      </c>
      <c r="C1357" s="211">
        <v>861</v>
      </c>
      <c r="D1357" s="211" t="s">
        <v>1255</v>
      </c>
      <c r="E1357" s="211" t="s">
        <v>6710</v>
      </c>
      <c r="F1357" s="211" t="s">
        <v>7396</v>
      </c>
    </row>
    <row r="1358" spans="1:6">
      <c r="A1358" s="211" t="s">
        <v>4903</v>
      </c>
      <c r="B1358" s="211">
        <v>5077</v>
      </c>
      <c r="C1358" s="211">
        <v>1024</v>
      </c>
      <c r="D1358" s="211" t="s">
        <v>1255</v>
      </c>
      <c r="E1358" s="211" t="s">
        <v>3094</v>
      </c>
      <c r="F1358" s="211" t="s">
        <v>7203</v>
      </c>
    </row>
    <row r="1359" spans="1:6">
      <c r="A1359" s="211" t="s">
        <v>960</v>
      </c>
      <c r="B1359" s="211">
        <v>1854</v>
      </c>
      <c r="C1359" s="211">
        <v>882</v>
      </c>
      <c r="D1359" s="211" t="s">
        <v>1255</v>
      </c>
      <c r="E1359" s="211" t="s">
        <v>10385</v>
      </c>
      <c r="F1359" s="211" t="s">
        <v>7516</v>
      </c>
    </row>
    <row r="1360" spans="1:6">
      <c r="A1360" s="211" t="s">
        <v>6711</v>
      </c>
      <c r="B1360" s="211">
        <v>7698</v>
      </c>
      <c r="C1360" s="211">
        <v>850</v>
      </c>
      <c r="D1360" s="211" t="s">
        <v>1255</v>
      </c>
      <c r="E1360" s="211" t="s">
        <v>9228</v>
      </c>
      <c r="F1360" s="211" t="s">
        <v>7571</v>
      </c>
    </row>
    <row r="1361" spans="1:6">
      <c r="A1361" s="211" t="s">
        <v>9229</v>
      </c>
      <c r="B1361" s="211">
        <v>7992</v>
      </c>
      <c r="C1361" s="211">
        <v>975</v>
      </c>
      <c r="D1361" s="211" t="s">
        <v>1255</v>
      </c>
      <c r="E1361" s="211" t="s">
        <v>10484</v>
      </c>
      <c r="F1361" s="211" t="s">
        <v>7438</v>
      </c>
    </row>
    <row r="1362" spans="1:6">
      <c r="A1362" s="211" t="s">
        <v>7671</v>
      </c>
      <c r="B1362" s="211">
        <v>5868</v>
      </c>
      <c r="C1362" s="211" t="s">
        <v>10385</v>
      </c>
      <c r="D1362" s="211" t="s">
        <v>1255</v>
      </c>
      <c r="E1362" s="211" t="s">
        <v>10385</v>
      </c>
      <c r="F1362" s="211" t="s">
        <v>7248</v>
      </c>
    </row>
    <row r="1363" spans="1:6">
      <c r="A1363" s="211" t="s">
        <v>2905</v>
      </c>
      <c r="B1363" s="211">
        <v>3308</v>
      </c>
      <c r="C1363" s="211">
        <v>1563</v>
      </c>
      <c r="D1363" s="211" t="s">
        <v>1255</v>
      </c>
      <c r="E1363" s="211" t="s">
        <v>3101</v>
      </c>
      <c r="F1363" s="211" t="s">
        <v>7366</v>
      </c>
    </row>
    <row r="1364" spans="1:6">
      <c r="A1364" s="211" t="s">
        <v>961</v>
      </c>
      <c r="B1364" s="211">
        <v>5018</v>
      </c>
      <c r="C1364" s="211">
        <v>924</v>
      </c>
      <c r="D1364" s="211" t="s">
        <v>1255</v>
      </c>
      <c r="E1364" s="211" t="s">
        <v>10385</v>
      </c>
      <c r="F1364" s="211" t="s">
        <v>7330</v>
      </c>
    </row>
    <row r="1365" spans="1:6">
      <c r="A1365" s="211" t="s">
        <v>962</v>
      </c>
      <c r="B1365" s="211">
        <v>893</v>
      </c>
      <c r="C1365" s="211">
        <v>1586</v>
      </c>
      <c r="D1365" s="211" t="s">
        <v>1255</v>
      </c>
      <c r="E1365" s="211" t="s">
        <v>10385</v>
      </c>
      <c r="F1365" s="211" t="s">
        <v>7196</v>
      </c>
    </row>
    <row r="1366" spans="1:6">
      <c r="A1366" s="211" t="s">
        <v>7672</v>
      </c>
      <c r="B1366" s="211">
        <v>6987</v>
      </c>
      <c r="C1366" s="211">
        <v>876</v>
      </c>
      <c r="D1366" s="211" t="s">
        <v>1255</v>
      </c>
      <c r="E1366" s="211" t="s">
        <v>10385</v>
      </c>
      <c r="F1366" s="211" t="s">
        <v>7673</v>
      </c>
    </row>
    <row r="1367" spans="1:6">
      <c r="A1367" s="211" t="s">
        <v>963</v>
      </c>
      <c r="B1367" s="211">
        <v>3725</v>
      </c>
      <c r="C1367" s="211">
        <v>927</v>
      </c>
      <c r="D1367" s="211" t="s">
        <v>1117</v>
      </c>
      <c r="E1367" s="211" t="s">
        <v>10385</v>
      </c>
      <c r="F1367" s="211" t="s">
        <v>7192</v>
      </c>
    </row>
    <row r="1368" spans="1:6">
      <c r="A1368" s="211" t="s">
        <v>7674</v>
      </c>
      <c r="B1368" s="211">
        <v>4017</v>
      </c>
      <c r="C1368" s="211" t="s">
        <v>10385</v>
      </c>
      <c r="D1368" s="211" t="s">
        <v>1255</v>
      </c>
      <c r="E1368" s="211" t="s">
        <v>10385</v>
      </c>
      <c r="F1368" s="211" t="s">
        <v>7453</v>
      </c>
    </row>
    <row r="1369" spans="1:6">
      <c r="A1369" s="211" t="s">
        <v>10485</v>
      </c>
      <c r="B1369" s="211">
        <v>8759</v>
      </c>
      <c r="C1369" s="211" t="s">
        <v>10385</v>
      </c>
      <c r="D1369" s="211" t="s">
        <v>1255</v>
      </c>
      <c r="E1369" s="211" t="s">
        <v>10486</v>
      </c>
      <c r="F1369" s="211" t="s">
        <v>7457</v>
      </c>
    </row>
    <row r="1370" spans="1:6">
      <c r="A1370" s="211" t="s">
        <v>4826</v>
      </c>
      <c r="B1370" s="211">
        <v>6096</v>
      </c>
      <c r="C1370" s="211">
        <v>909</v>
      </c>
      <c r="D1370" s="211" t="s">
        <v>1255</v>
      </c>
      <c r="E1370" s="211" t="s">
        <v>9230</v>
      </c>
      <c r="F1370" s="211" t="s">
        <v>7457</v>
      </c>
    </row>
    <row r="1371" spans="1:6">
      <c r="A1371" s="211" t="s">
        <v>7675</v>
      </c>
      <c r="B1371" s="211">
        <v>4147</v>
      </c>
      <c r="C1371" s="211" t="s">
        <v>10385</v>
      </c>
      <c r="D1371" s="211" t="s">
        <v>1255</v>
      </c>
      <c r="E1371" s="211" t="s">
        <v>10385</v>
      </c>
      <c r="F1371" s="211" t="s">
        <v>7216</v>
      </c>
    </row>
    <row r="1372" spans="1:6">
      <c r="A1372" s="211" t="s">
        <v>7676</v>
      </c>
      <c r="B1372" s="211">
        <v>631</v>
      </c>
      <c r="C1372" s="211" t="s">
        <v>10385</v>
      </c>
      <c r="D1372" s="211" t="s">
        <v>1255</v>
      </c>
      <c r="E1372" s="211" t="s">
        <v>10385</v>
      </c>
      <c r="F1372" s="211" t="s">
        <v>7677</v>
      </c>
    </row>
    <row r="1373" spans="1:6">
      <c r="A1373" s="211" t="s">
        <v>7678</v>
      </c>
      <c r="B1373" s="211">
        <v>629</v>
      </c>
      <c r="C1373" s="211" t="s">
        <v>10385</v>
      </c>
      <c r="D1373" s="211" t="s">
        <v>1255</v>
      </c>
      <c r="E1373" s="211" t="s">
        <v>10385</v>
      </c>
      <c r="F1373" s="211" t="s">
        <v>7677</v>
      </c>
    </row>
    <row r="1374" spans="1:6">
      <c r="A1374" s="211" t="s">
        <v>5658</v>
      </c>
      <c r="B1374" s="211">
        <v>540</v>
      </c>
      <c r="C1374" s="211">
        <v>2408</v>
      </c>
      <c r="D1374" s="211" t="s">
        <v>1255</v>
      </c>
      <c r="E1374" s="211" t="s">
        <v>6632</v>
      </c>
      <c r="F1374" s="211" t="s">
        <v>7267</v>
      </c>
    </row>
    <row r="1375" spans="1:6">
      <c r="A1375" s="211" t="s">
        <v>10487</v>
      </c>
      <c r="B1375" s="211">
        <v>8824</v>
      </c>
      <c r="C1375" s="211">
        <v>840</v>
      </c>
      <c r="D1375" s="211" t="s">
        <v>1117</v>
      </c>
      <c r="E1375" s="211" t="s">
        <v>10488</v>
      </c>
      <c r="F1375" s="211" t="s">
        <v>7661</v>
      </c>
    </row>
    <row r="1376" spans="1:6">
      <c r="A1376" s="211" t="s">
        <v>4628</v>
      </c>
      <c r="B1376" s="211">
        <v>6327</v>
      </c>
      <c r="C1376" s="211">
        <v>765</v>
      </c>
      <c r="D1376" s="211" t="s">
        <v>1117</v>
      </c>
      <c r="E1376" s="211" t="s">
        <v>6712</v>
      </c>
      <c r="F1376" s="211" t="s">
        <v>7288</v>
      </c>
    </row>
    <row r="1377" spans="1:6">
      <c r="A1377" s="211" t="s">
        <v>9231</v>
      </c>
      <c r="B1377" s="211">
        <v>8427</v>
      </c>
      <c r="C1377" s="211">
        <v>2391</v>
      </c>
      <c r="D1377" s="211" t="s">
        <v>1255</v>
      </c>
      <c r="E1377" s="211" t="s">
        <v>9232</v>
      </c>
      <c r="F1377" s="211" t="s">
        <v>7272</v>
      </c>
    </row>
    <row r="1378" spans="1:6">
      <c r="A1378" s="211" t="s">
        <v>964</v>
      </c>
      <c r="B1378" s="211">
        <v>2111</v>
      </c>
      <c r="C1378" s="211">
        <v>960</v>
      </c>
      <c r="D1378" s="211" t="s">
        <v>1117</v>
      </c>
      <c r="E1378" s="211" t="s">
        <v>10385</v>
      </c>
      <c r="F1378" s="211" t="s">
        <v>7356</v>
      </c>
    </row>
    <row r="1379" spans="1:6">
      <c r="A1379" s="211" t="s">
        <v>7679</v>
      </c>
      <c r="B1379" s="211">
        <v>970</v>
      </c>
      <c r="C1379" s="211" t="s">
        <v>10385</v>
      </c>
      <c r="D1379" s="211" t="s">
        <v>1255</v>
      </c>
      <c r="E1379" s="211" t="s">
        <v>10385</v>
      </c>
      <c r="F1379" s="211" t="s">
        <v>7335</v>
      </c>
    </row>
    <row r="1380" spans="1:6">
      <c r="A1380" s="211" t="s">
        <v>4996</v>
      </c>
      <c r="B1380" s="211">
        <v>6818</v>
      </c>
      <c r="C1380" s="211">
        <v>939</v>
      </c>
      <c r="D1380" s="211" t="s">
        <v>1255</v>
      </c>
      <c r="E1380" s="211" t="s">
        <v>9233</v>
      </c>
      <c r="F1380" s="211" t="s">
        <v>7328</v>
      </c>
    </row>
    <row r="1381" spans="1:6">
      <c r="A1381" s="211" t="s">
        <v>7680</v>
      </c>
      <c r="B1381" s="211">
        <v>497</v>
      </c>
      <c r="C1381" s="211" t="s">
        <v>10385</v>
      </c>
      <c r="D1381" s="211" t="s">
        <v>1255</v>
      </c>
      <c r="E1381" s="211" t="s">
        <v>10385</v>
      </c>
      <c r="F1381" s="211" t="s">
        <v>7177</v>
      </c>
    </row>
    <row r="1382" spans="1:6">
      <c r="A1382" s="211" t="s">
        <v>7681</v>
      </c>
      <c r="B1382" s="211">
        <v>998</v>
      </c>
      <c r="C1382" s="211" t="s">
        <v>10385</v>
      </c>
      <c r="D1382" s="211" t="s">
        <v>1255</v>
      </c>
      <c r="E1382" s="211" t="s">
        <v>10385</v>
      </c>
      <c r="F1382" s="211" t="s">
        <v>7257</v>
      </c>
    </row>
    <row r="1383" spans="1:6">
      <c r="A1383" s="211" t="s">
        <v>10489</v>
      </c>
      <c r="B1383" s="211">
        <v>8576</v>
      </c>
      <c r="C1383" s="211">
        <v>945</v>
      </c>
      <c r="D1383" s="211" t="s">
        <v>1255</v>
      </c>
      <c r="E1383" s="211" t="s">
        <v>10490</v>
      </c>
      <c r="F1383" s="211" t="s">
        <v>7396</v>
      </c>
    </row>
    <row r="1384" spans="1:6">
      <c r="A1384" s="211" t="s">
        <v>4997</v>
      </c>
      <c r="B1384" s="211">
        <v>6621</v>
      </c>
      <c r="C1384" s="211">
        <v>618</v>
      </c>
      <c r="D1384" s="211" t="s">
        <v>1255</v>
      </c>
      <c r="E1384" s="211" t="s">
        <v>10385</v>
      </c>
      <c r="F1384" s="211" t="s">
        <v>7446</v>
      </c>
    </row>
    <row r="1385" spans="1:6">
      <c r="A1385" s="211" t="s">
        <v>4799</v>
      </c>
      <c r="B1385" s="211">
        <v>5917</v>
      </c>
      <c r="C1385" s="211">
        <v>984</v>
      </c>
      <c r="D1385" s="211" t="s">
        <v>1255</v>
      </c>
      <c r="E1385" s="211" t="s">
        <v>9234</v>
      </c>
      <c r="F1385" s="211" t="s">
        <v>7377</v>
      </c>
    </row>
    <row r="1386" spans="1:6">
      <c r="A1386" s="211" t="s">
        <v>965</v>
      </c>
      <c r="B1386" s="211">
        <v>4180</v>
      </c>
      <c r="C1386" s="211">
        <v>469</v>
      </c>
      <c r="D1386" s="211" t="s">
        <v>1255</v>
      </c>
      <c r="E1386" s="211" t="s">
        <v>10385</v>
      </c>
      <c r="F1386" s="211" t="s">
        <v>7398</v>
      </c>
    </row>
    <row r="1387" spans="1:6">
      <c r="A1387" s="211" t="s">
        <v>7682</v>
      </c>
      <c r="B1387" s="211">
        <v>5888</v>
      </c>
      <c r="C1387" s="211" t="s">
        <v>10385</v>
      </c>
      <c r="D1387" s="211" t="s">
        <v>1255</v>
      </c>
      <c r="E1387" s="211" t="s">
        <v>10385</v>
      </c>
      <c r="F1387" s="211" t="s">
        <v>7223</v>
      </c>
    </row>
    <row r="1388" spans="1:6">
      <c r="A1388" s="211" t="s">
        <v>966</v>
      </c>
      <c r="B1388" s="211">
        <v>3763</v>
      </c>
      <c r="C1388" s="211">
        <v>802</v>
      </c>
      <c r="D1388" s="211" t="s">
        <v>1255</v>
      </c>
      <c r="E1388" s="211" t="s">
        <v>10385</v>
      </c>
      <c r="F1388" s="211" t="s">
        <v>7526</v>
      </c>
    </row>
    <row r="1389" spans="1:6">
      <c r="A1389" s="211" t="s">
        <v>4775</v>
      </c>
      <c r="B1389" s="211">
        <v>6164</v>
      </c>
      <c r="C1389" s="211">
        <v>909</v>
      </c>
      <c r="D1389" s="211" t="s">
        <v>1255</v>
      </c>
      <c r="E1389" s="211" t="s">
        <v>6713</v>
      </c>
      <c r="F1389" s="211" t="s">
        <v>7659</v>
      </c>
    </row>
    <row r="1390" spans="1:6">
      <c r="A1390" s="211" t="s">
        <v>967</v>
      </c>
      <c r="B1390" s="211">
        <v>1015</v>
      </c>
      <c r="C1390" s="211">
        <v>712</v>
      </c>
      <c r="D1390" s="211" t="s">
        <v>1255</v>
      </c>
      <c r="E1390" s="211" t="s">
        <v>10385</v>
      </c>
      <c r="F1390" s="211" t="s">
        <v>7323</v>
      </c>
    </row>
    <row r="1391" spans="1:6">
      <c r="A1391" s="211" t="s">
        <v>968</v>
      </c>
      <c r="B1391" s="211">
        <v>272</v>
      </c>
      <c r="C1391" s="211">
        <v>1963</v>
      </c>
      <c r="D1391" s="211" t="s">
        <v>1255</v>
      </c>
      <c r="E1391" s="211" t="s">
        <v>10385</v>
      </c>
      <c r="F1391" s="211" t="s">
        <v>7320</v>
      </c>
    </row>
    <row r="1392" spans="1:6">
      <c r="A1392" s="211" t="s">
        <v>7683</v>
      </c>
      <c r="B1392" s="211">
        <v>1771</v>
      </c>
      <c r="C1392" s="211" t="s">
        <v>10385</v>
      </c>
      <c r="D1392" s="211" t="s">
        <v>1255</v>
      </c>
      <c r="E1392" s="211" t="s">
        <v>10385</v>
      </c>
      <c r="F1392" s="211" t="s">
        <v>7380</v>
      </c>
    </row>
    <row r="1393" spans="1:6">
      <c r="A1393" s="211" t="s">
        <v>9235</v>
      </c>
      <c r="B1393" s="211">
        <v>8068</v>
      </c>
      <c r="C1393" s="211">
        <v>1794</v>
      </c>
      <c r="D1393" s="211" t="s">
        <v>1255</v>
      </c>
      <c r="E1393" s="211" t="s">
        <v>10385</v>
      </c>
      <c r="F1393" s="211" t="s">
        <v>7646</v>
      </c>
    </row>
    <row r="1394" spans="1:6">
      <c r="A1394" s="211" t="s">
        <v>5659</v>
      </c>
      <c r="B1394" s="211">
        <v>7229</v>
      </c>
      <c r="C1394" s="211">
        <v>708</v>
      </c>
      <c r="D1394" s="211" t="s">
        <v>1117</v>
      </c>
      <c r="E1394" s="211" t="s">
        <v>10385</v>
      </c>
      <c r="F1394" s="211" t="s">
        <v>7629</v>
      </c>
    </row>
    <row r="1395" spans="1:6">
      <c r="A1395" s="211" t="s">
        <v>7684</v>
      </c>
      <c r="B1395" s="211">
        <v>207</v>
      </c>
      <c r="C1395" s="211" t="s">
        <v>10385</v>
      </c>
      <c r="D1395" s="211" t="s">
        <v>1255</v>
      </c>
      <c r="E1395" s="211" t="s">
        <v>10385</v>
      </c>
      <c r="F1395" s="211" t="s">
        <v>7207</v>
      </c>
    </row>
    <row r="1396" spans="1:6">
      <c r="A1396" s="211" t="s">
        <v>969</v>
      </c>
      <c r="B1396" s="211">
        <v>1373</v>
      </c>
      <c r="C1396" s="211">
        <v>1109</v>
      </c>
      <c r="D1396" s="211" t="s">
        <v>1255</v>
      </c>
      <c r="E1396" s="211" t="s">
        <v>10385</v>
      </c>
      <c r="F1396" s="211" t="s">
        <v>7386</v>
      </c>
    </row>
    <row r="1397" spans="1:6">
      <c r="A1397" s="211" t="s">
        <v>9236</v>
      </c>
      <c r="B1397" s="211">
        <v>8314</v>
      </c>
      <c r="C1397" s="211">
        <v>1640</v>
      </c>
      <c r="D1397" s="211" t="s">
        <v>1255</v>
      </c>
      <c r="E1397" s="211" t="s">
        <v>9237</v>
      </c>
      <c r="F1397" s="211" t="s">
        <v>7320</v>
      </c>
    </row>
    <row r="1398" spans="1:6">
      <c r="A1398" s="211" t="s">
        <v>4606</v>
      </c>
      <c r="B1398" s="211">
        <v>6534</v>
      </c>
      <c r="C1398" s="211">
        <v>887</v>
      </c>
      <c r="D1398" s="211" t="s">
        <v>1117</v>
      </c>
      <c r="E1398" s="211" t="s">
        <v>10385</v>
      </c>
      <c r="F1398" s="211" t="s">
        <v>7272</v>
      </c>
    </row>
    <row r="1399" spans="1:6">
      <c r="A1399" s="211" t="s">
        <v>970</v>
      </c>
      <c r="B1399" s="211">
        <v>3653</v>
      </c>
      <c r="C1399" s="211">
        <v>878</v>
      </c>
      <c r="D1399" s="211" t="s">
        <v>1255</v>
      </c>
      <c r="E1399" s="211" t="s">
        <v>10385</v>
      </c>
      <c r="F1399" s="211" t="s">
        <v>7192</v>
      </c>
    </row>
    <row r="1400" spans="1:6">
      <c r="A1400" s="211" t="s">
        <v>971</v>
      </c>
      <c r="B1400" s="211">
        <v>5311</v>
      </c>
      <c r="C1400" s="211">
        <v>2001</v>
      </c>
      <c r="D1400" s="211" t="s">
        <v>1255</v>
      </c>
      <c r="E1400" s="211" t="s">
        <v>10385</v>
      </c>
      <c r="F1400" s="211" t="s">
        <v>7189</v>
      </c>
    </row>
    <row r="1401" spans="1:6">
      <c r="A1401" s="211" t="s">
        <v>10491</v>
      </c>
      <c r="B1401" s="211">
        <v>8719</v>
      </c>
      <c r="C1401" s="211">
        <v>1053</v>
      </c>
      <c r="D1401" s="211" t="s">
        <v>1255</v>
      </c>
      <c r="E1401" s="211" t="s">
        <v>10492</v>
      </c>
      <c r="F1401" s="211" t="s">
        <v>7325</v>
      </c>
    </row>
    <row r="1402" spans="1:6">
      <c r="A1402" s="211" t="s">
        <v>972</v>
      </c>
      <c r="B1402" s="211">
        <v>1416</v>
      </c>
      <c r="C1402" s="211">
        <v>1640</v>
      </c>
      <c r="D1402" s="211" t="s">
        <v>1255</v>
      </c>
      <c r="E1402" s="211" t="s">
        <v>10385</v>
      </c>
      <c r="F1402" s="211" t="s">
        <v>7212</v>
      </c>
    </row>
    <row r="1403" spans="1:6">
      <c r="A1403" s="211" t="s">
        <v>5661</v>
      </c>
      <c r="B1403" s="211">
        <v>7214</v>
      </c>
      <c r="C1403" s="211">
        <v>1650</v>
      </c>
      <c r="D1403" s="211" t="s">
        <v>1255</v>
      </c>
      <c r="E1403" s="211" t="s">
        <v>9238</v>
      </c>
      <c r="F1403" s="211" t="s">
        <v>7205</v>
      </c>
    </row>
    <row r="1404" spans="1:6">
      <c r="A1404" s="211" t="s">
        <v>973</v>
      </c>
      <c r="B1404" s="211">
        <v>1067</v>
      </c>
      <c r="C1404" s="211">
        <v>1637</v>
      </c>
      <c r="D1404" s="211" t="s">
        <v>1255</v>
      </c>
      <c r="E1404" s="211" t="s">
        <v>10385</v>
      </c>
      <c r="F1404" s="211" t="s">
        <v>7343</v>
      </c>
    </row>
    <row r="1405" spans="1:6">
      <c r="A1405" s="211" t="s">
        <v>974</v>
      </c>
      <c r="B1405" s="211">
        <v>4384</v>
      </c>
      <c r="C1405" s="211">
        <v>1694</v>
      </c>
      <c r="D1405" s="211" t="s">
        <v>1255</v>
      </c>
      <c r="E1405" s="211" t="s">
        <v>10385</v>
      </c>
      <c r="F1405" s="211" t="s">
        <v>7247</v>
      </c>
    </row>
    <row r="1406" spans="1:6">
      <c r="A1406" s="211" t="s">
        <v>975</v>
      </c>
      <c r="B1406" s="211">
        <v>2661</v>
      </c>
      <c r="C1406" s="211">
        <v>1000</v>
      </c>
      <c r="D1406" s="211" t="s">
        <v>1255</v>
      </c>
      <c r="E1406" s="211" t="s">
        <v>10385</v>
      </c>
      <c r="F1406" s="211" t="s">
        <v>7232</v>
      </c>
    </row>
    <row r="1407" spans="1:6">
      <c r="A1407" s="211" t="s">
        <v>2923</v>
      </c>
      <c r="B1407" s="211">
        <v>3116</v>
      </c>
      <c r="C1407" s="211">
        <v>885</v>
      </c>
      <c r="D1407" s="211" t="s">
        <v>1255</v>
      </c>
      <c r="E1407" s="211" t="s">
        <v>10385</v>
      </c>
      <c r="F1407" s="211" t="s">
        <v>7325</v>
      </c>
    </row>
    <row r="1408" spans="1:6">
      <c r="A1408" s="211" t="s">
        <v>8904</v>
      </c>
      <c r="B1408" s="211">
        <v>6546</v>
      </c>
      <c r="C1408" s="211">
        <v>2059</v>
      </c>
      <c r="D1408" s="211" t="s">
        <v>1255</v>
      </c>
      <c r="E1408" s="211" t="s">
        <v>10385</v>
      </c>
      <c r="F1408" s="211" t="s">
        <v>7334</v>
      </c>
    </row>
    <row r="1409" spans="1:6">
      <c r="A1409" s="211" t="s">
        <v>2926</v>
      </c>
      <c r="B1409" s="211">
        <v>2034</v>
      </c>
      <c r="C1409" s="211">
        <v>1167</v>
      </c>
      <c r="D1409" s="211" t="s">
        <v>1255</v>
      </c>
      <c r="E1409" s="211" t="s">
        <v>10385</v>
      </c>
      <c r="F1409" s="211" t="s">
        <v>7380</v>
      </c>
    </row>
    <row r="1410" spans="1:6">
      <c r="A1410" s="211" t="s">
        <v>7685</v>
      </c>
      <c r="B1410" s="211">
        <v>1769</v>
      </c>
      <c r="C1410" s="211" t="s">
        <v>10385</v>
      </c>
      <c r="D1410" s="211" t="s">
        <v>1255</v>
      </c>
      <c r="E1410" s="211" t="s">
        <v>10385</v>
      </c>
      <c r="F1410" s="211" t="s">
        <v>7380</v>
      </c>
    </row>
    <row r="1411" spans="1:6">
      <c r="A1411" s="211" t="s">
        <v>6714</v>
      </c>
      <c r="B1411" s="211">
        <v>7813</v>
      </c>
      <c r="C1411" s="211">
        <v>948</v>
      </c>
      <c r="D1411" s="211" t="s">
        <v>1255</v>
      </c>
      <c r="E1411" s="211" t="s">
        <v>10385</v>
      </c>
      <c r="F1411" s="211" t="s">
        <v>7189</v>
      </c>
    </row>
    <row r="1412" spans="1:6">
      <c r="A1412" s="211" t="s">
        <v>5662</v>
      </c>
      <c r="B1412" s="211">
        <v>7397</v>
      </c>
      <c r="C1412" s="211">
        <v>1406</v>
      </c>
      <c r="D1412" s="211" t="s">
        <v>1255</v>
      </c>
      <c r="E1412" s="211" t="s">
        <v>9239</v>
      </c>
      <c r="F1412" s="211" t="s">
        <v>7304</v>
      </c>
    </row>
    <row r="1413" spans="1:6">
      <c r="A1413" s="211" t="s">
        <v>7686</v>
      </c>
      <c r="B1413" s="211">
        <v>1997</v>
      </c>
      <c r="C1413" s="211" t="s">
        <v>10385</v>
      </c>
      <c r="D1413" s="211" t="s">
        <v>1255</v>
      </c>
      <c r="E1413" s="211" t="s">
        <v>10385</v>
      </c>
      <c r="F1413" s="211" t="s">
        <v>7331</v>
      </c>
    </row>
    <row r="1414" spans="1:6">
      <c r="A1414" s="211" t="s">
        <v>976</v>
      </c>
      <c r="B1414" s="211">
        <v>1612</v>
      </c>
      <c r="C1414" s="211">
        <v>806</v>
      </c>
      <c r="D1414" s="211" t="s">
        <v>1255</v>
      </c>
      <c r="E1414" s="211" t="s">
        <v>10385</v>
      </c>
      <c r="F1414" s="211" t="s">
        <v>7581</v>
      </c>
    </row>
    <row r="1415" spans="1:6">
      <c r="A1415" s="211" t="s">
        <v>9240</v>
      </c>
      <c r="B1415" s="211">
        <v>7932</v>
      </c>
      <c r="C1415" s="211" t="s">
        <v>10385</v>
      </c>
      <c r="D1415" s="211" t="s">
        <v>1255</v>
      </c>
      <c r="E1415" s="211" t="s">
        <v>9241</v>
      </c>
      <c r="F1415" s="211" t="s">
        <v>7232</v>
      </c>
    </row>
    <row r="1416" spans="1:6">
      <c r="A1416" s="211" t="s">
        <v>977</v>
      </c>
      <c r="B1416" s="211">
        <v>2286</v>
      </c>
      <c r="C1416" s="211">
        <v>851</v>
      </c>
      <c r="D1416" s="211" t="s">
        <v>1117</v>
      </c>
      <c r="E1416" s="211" t="s">
        <v>10385</v>
      </c>
      <c r="F1416" s="211" t="s">
        <v>7267</v>
      </c>
    </row>
    <row r="1417" spans="1:6">
      <c r="A1417" s="211" t="s">
        <v>978</v>
      </c>
      <c r="B1417" s="211">
        <v>5894</v>
      </c>
      <c r="C1417" s="211">
        <v>1086</v>
      </c>
      <c r="D1417" s="211" t="s">
        <v>1255</v>
      </c>
      <c r="E1417" s="211" t="s">
        <v>10385</v>
      </c>
      <c r="F1417" s="211" t="s">
        <v>7377</v>
      </c>
    </row>
    <row r="1418" spans="1:6">
      <c r="A1418" s="211" t="s">
        <v>9242</v>
      </c>
      <c r="B1418" s="211">
        <v>7947</v>
      </c>
      <c r="C1418" s="211">
        <v>500</v>
      </c>
      <c r="D1418" s="211" t="s">
        <v>1255</v>
      </c>
      <c r="E1418" s="211" t="s">
        <v>9243</v>
      </c>
      <c r="F1418" s="211" t="s">
        <v>7571</v>
      </c>
    </row>
    <row r="1419" spans="1:6">
      <c r="A1419" s="211" t="s">
        <v>4727</v>
      </c>
      <c r="B1419" s="211">
        <v>6442</v>
      </c>
      <c r="C1419" s="211">
        <v>986</v>
      </c>
      <c r="D1419" s="211" t="s">
        <v>1255</v>
      </c>
      <c r="E1419" s="211" t="s">
        <v>10385</v>
      </c>
      <c r="F1419" s="211" t="s">
        <v>7380</v>
      </c>
    </row>
    <row r="1420" spans="1:6">
      <c r="A1420" s="211" t="s">
        <v>9244</v>
      </c>
      <c r="B1420" s="211">
        <v>8296</v>
      </c>
      <c r="C1420" s="211">
        <v>1804</v>
      </c>
      <c r="D1420" s="211" t="s">
        <v>1255</v>
      </c>
      <c r="E1420" s="211" t="s">
        <v>10493</v>
      </c>
      <c r="F1420" s="211" t="s">
        <v>7380</v>
      </c>
    </row>
    <row r="1421" spans="1:6">
      <c r="A1421" s="211" t="s">
        <v>4534</v>
      </c>
      <c r="B1421" s="211">
        <v>6667</v>
      </c>
      <c r="C1421" s="211">
        <v>418</v>
      </c>
      <c r="D1421" s="211" t="s">
        <v>1117</v>
      </c>
      <c r="E1421" s="211" t="s">
        <v>3070</v>
      </c>
      <c r="F1421" s="211" t="s">
        <v>7285</v>
      </c>
    </row>
    <row r="1422" spans="1:6">
      <c r="A1422" s="211" t="s">
        <v>979</v>
      </c>
      <c r="B1422" s="211">
        <v>3423</v>
      </c>
      <c r="C1422" s="211">
        <v>1470</v>
      </c>
      <c r="D1422" s="211" t="s">
        <v>1255</v>
      </c>
      <c r="E1422" s="211" t="s">
        <v>10385</v>
      </c>
      <c r="F1422" s="211" t="s">
        <v>7249</v>
      </c>
    </row>
    <row r="1423" spans="1:6">
      <c r="A1423" s="211" t="s">
        <v>4998</v>
      </c>
      <c r="B1423" s="211">
        <v>6819</v>
      </c>
      <c r="C1423" s="211">
        <v>2009</v>
      </c>
      <c r="D1423" s="211" t="s">
        <v>1255</v>
      </c>
      <c r="E1423" s="211" t="s">
        <v>10385</v>
      </c>
      <c r="F1423" s="211" t="s">
        <v>7248</v>
      </c>
    </row>
    <row r="1424" spans="1:6">
      <c r="A1424" s="211" t="s">
        <v>2681</v>
      </c>
      <c r="B1424" s="211">
        <v>3765</v>
      </c>
      <c r="C1424" s="211">
        <v>1171</v>
      </c>
      <c r="D1424" s="211" t="s">
        <v>1255</v>
      </c>
      <c r="E1424" s="211" t="s">
        <v>10385</v>
      </c>
      <c r="F1424" s="211" t="s">
        <v>7510</v>
      </c>
    </row>
    <row r="1425" spans="1:6">
      <c r="A1425" s="211" t="s">
        <v>7687</v>
      </c>
      <c r="B1425" s="211">
        <v>4213</v>
      </c>
      <c r="C1425" s="211" t="s">
        <v>10385</v>
      </c>
      <c r="D1425" s="211" t="s">
        <v>1255</v>
      </c>
      <c r="E1425" s="211" t="s">
        <v>10385</v>
      </c>
      <c r="F1425" s="211" t="s">
        <v>7316</v>
      </c>
    </row>
    <row r="1426" spans="1:6">
      <c r="A1426" s="211" t="s">
        <v>9245</v>
      </c>
      <c r="B1426" s="211">
        <v>7988</v>
      </c>
      <c r="C1426" s="211" t="s">
        <v>10385</v>
      </c>
      <c r="D1426" s="211" t="s">
        <v>1117</v>
      </c>
      <c r="E1426" s="211" t="s">
        <v>9246</v>
      </c>
      <c r="F1426" s="211" t="s">
        <v>7231</v>
      </c>
    </row>
    <row r="1427" spans="1:6">
      <c r="A1427" s="211" t="s">
        <v>2682</v>
      </c>
      <c r="B1427" s="211">
        <v>5874</v>
      </c>
      <c r="C1427" s="211">
        <v>1183</v>
      </c>
      <c r="D1427" s="211" t="s">
        <v>1255</v>
      </c>
      <c r="E1427" s="211" t="s">
        <v>10385</v>
      </c>
      <c r="F1427" s="211" t="s">
        <v>7333</v>
      </c>
    </row>
    <row r="1428" spans="1:6">
      <c r="A1428" s="211" t="s">
        <v>10494</v>
      </c>
      <c r="B1428" s="211">
        <v>8710</v>
      </c>
      <c r="C1428" s="211">
        <v>979</v>
      </c>
      <c r="D1428" s="211" t="s">
        <v>1117</v>
      </c>
      <c r="E1428" s="211" t="s">
        <v>10495</v>
      </c>
      <c r="F1428" s="211" t="s">
        <v>7386</v>
      </c>
    </row>
    <row r="1429" spans="1:6">
      <c r="A1429" s="211" t="s">
        <v>5663</v>
      </c>
      <c r="B1429" s="211">
        <v>7188</v>
      </c>
      <c r="C1429" s="211">
        <v>1076</v>
      </c>
      <c r="D1429" s="211" t="s">
        <v>1255</v>
      </c>
      <c r="E1429" s="211" t="s">
        <v>10385</v>
      </c>
      <c r="F1429" s="211" t="s">
        <v>7216</v>
      </c>
    </row>
    <row r="1430" spans="1:6">
      <c r="A1430" s="211" t="s">
        <v>2683</v>
      </c>
      <c r="B1430" s="211">
        <v>4148</v>
      </c>
      <c r="C1430" s="211">
        <v>885</v>
      </c>
      <c r="D1430" s="211" t="s">
        <v>1255</v>
      </c>
      <c r="E1430" s="211" t="s">
        <v>10385</v>
      </c>
      <c r="F1430" s="211" t="s">
        <v>7280</v>
      </c>
    </row>
    <row r="1431" spans="1:6">
      <c r="A1431" s="211" t="s">
        <v>7688</v>
      </c>
      <c r="B1431" s="211">
        <v>1571</v>
      </c>
      <c r="C1431" s="211" t="s">
        <v>10385</v>
      </c>
      <c r="D1431" s="211" t="s">
        <v>1255</v>
      </c>
      <c r="E1431" s="211" t="s">
        <v>10385</v>
      </c>
      <c r="F1431" s="211" t="s">
        <v>7243</v>
      </c>
    </row>
    <row r="1432" spans="1:6">
      <c r="A1432" s="211" t="s">
        <v>2684</v>
      </c>
      <c r="B1432" s="211">
        <v>4955</v>
      </c>
      <c r="C1432" s="211">
        <v>1684</v>
      </c>
      <c r="D1432" s="211" t="s">
        <v>1255</v>
      </c>
      <c r="E1432" s="211" t="s">
        <v>9247</v>
      </c>
      <c r="F1432" s="211" t="s">
        <v>7247</v>
      </c>
    </row>
    <row r="1433" spans="1:6">
      <c r="A1433" s="211" t="s">
        <v>2685</v>
      </c>
      <c r="B1433" s="211">
        <v>2952</v>
      </c>
      <c r="C1433" s="211">
        <v>946</v>
      </c>
      <c r="D1433" s="211" t="s">
        <v>1255</v>
      </c>
      <c r="E1433" s="211" t="s">
        <v>10385</v>
      </c>
      <c r="F1433" s="211" t="s">
        <v>7402</v>
      </c>
    </row>
    <row r="1434" spans="1:6">
      <c r="A1434" s="211" t="s">
        <v>9248</v>
      </c>
      <c r="B1434" s="211">
        <v>7971</v>
      </c>
      <c r="C1434" s="211">
        <v>1196</v>
      </c>
      <c r="D1434" s="211" t="s">
        <v>1255</v>
      </c>
      <c r="E1434" s="211" t="s">
        <v>9249</v>
      </c>
      <c r="F1434" s="211" t="s">
        <v>7265</v>
      </c>
    </row>
    <row r="1435" spans="1:6">
      <c r="A1435" s="211" t="s">
        <v>2686</v>
      </c>
      <c r="B1435" s="211">
        <v>1247</v>
      </c>
      <c r="C1435" s="211">
        <v>1068</v>
      </c>
      <c r="D1435" s="211" t="s">
        <v>1255</v>
      </c>
      <c r="E1435" s="211" t="s">
        <v>10385</v>
      </c>
      <c r="F1435" s="211" t="s">
        <v>7257</v>
      </c>
    </row>
    <row r="1436" spans="1:6">
      <c r="A1436" s="211" t="s">
        <v>9250</v>
      </c>
      <c r="B1436" s="211">
        <v>8556</v>
      </c>
      <c r="C1436" s="211">
        <v>1012</v>
      </c>
      <c r="D1436" s="211" t="s">
        <v>1255</v>
      </c>
      <c r="E1436" s="211" t="s">
        <v>10496</v>
      </c>
      <c r="F1436" s="211" t="s">
        <v>7258</v>
      </c>
    </row>
    <row r="1437" spans="1:6">
      <c r="A1437" s="211" t="s">
        <v>7689</v>
      </c>
      <c r="B1437" s="211">
        <v>1819</v>
      </c>
      <c r="C1437" s="211" t="s">
        <v>10385</v>
      </c>
      <c r="D1437" s="211" t="s">
        <v>1255</v>
      </c>
      <c r="E1437" s="211" t="s">
        <v>10385</v>
      </c>
      <c r="F1437" s="211" t="s">
        <v>7284</v>
      </c>
    </row>
    <row r="1438" spans="1:6">
      <c r="A1438" s="211" t="s">
        <v>2687</v>
      </c>
      <c r="B1438" s="211">
        <v>2066</v>
      </c>
      <c r="C1438" s="211">
        <v>943</v>
      </c>
      <c r="D1438" s="211" t="s">
        <v>1255</v>
      </c>
      <c r="E1438" s="211" t="s">
        <v>10385</v>
      </c>
      <c r="F1438" s="211" t="s">
        <v>7207</v>
      </c>
    </row>
    <row r="1439" spans="1:6">
      <c r="A1439" s="211" t="s">
        <v>2688</v>
      </c>
      <c r="B1439" s="211">
        <v>802</v>
      </c>
      <c r="C1439" s="211">
        <v>1916</v>
      </c>
      <c r="D1439" s="211" t="s">
        <v>1255</v>
      </c>
      <c r="E1439" s="211" t="s">
        <v>10385</v>
      </c>
      <c r="F1439" s="211" t="s">
        <v>7343</v>
      </c>
    </row>
    <row r="1440" spans="1:6">
      <c r="A1440" s="211" t="s">
        <v>5664</v>
      </c>
      <c r="B1440" s="211">
        <v>7382</v>
      </c>
      <c r="C1440" s="211">
        <v>823</v>
      </c>
      <c r="D1440" s="211" t="s">
        <v>1117</v>
      </c>
      <c r="E1440" s="211" t="s">
        <v>10497</v>
      </c>
      <c r="F1440" s="211" t="s">
        <v>7241</v>
      </c>
    </row>
    <row r="1441" spans="1:6">
      <c r="A1441" s="211" t="s">
        <v>2689</v>
      </c>
      <c r="B1441" s="211">
        <v>1479</v>
      </c>
      <c r="C1441" s="211">
        <v>1301</v>
      </c>
      <c r="D1441" s="211" t="s">
        <v>1117</v>
      </c>
      <c r="E1441" s="211" t="s">
        <v>10385</v>
      </c>
      <c r="F1441" s="211" t="s">
        <v>7384</v>
      </c>
    </row>
    <row r="1442" spans="1:6">
      <c r="A1442" s="211" t="s">
        <v>2690</v>
      </c>
      <c r="B1442" s="211">
        <v>1710</v>
      </c>
      <c r="C1442" s="211">
        <v>784</v>
      </c>
      <c r="D1442" s="211" t="s">
        <v>1117</v>
      </c>
      <c r="E1442" s="211" t="s">
        <v>10385</v>
      </c>
      <c r="F1442" s="211" t="s">
        <v>7213</v>
      </c>
    </row>
    <row r="1443" spans="1:6">
      <c r="A1443" s="211" t="s">
        <v>2691</v>
      </c>
      <c r="B1443" s="211">
        <v>2750</v>
      </c>
      <c r="C1443" s="211">
        <v>863</v>
      </c>
      <c r="D1443" s="211" t="s">
        <v>1255</v>
      </c>
      <c r="E1443" s="211" t="s">
        <v>10385</v>
      </c>
      <c r="F1443" s="211" t="s">
        <v>7257</v>
      </c>
    </row>
    <row r="1444" spans="1:6">
      <c r="A1444" s="211" t="s">
        <v>2934</v>
      </c>
      <c r="B1444" s="211">
        <v>1919</v>
      </c>
      <c r="C1444" s="211">
        <v>1763</v>
      </c>
      <c r="D1444" s="211" t="s">
        <v>1255</v>
      </c>
      <c r="E1444" s="211" t="s">
        <v>10385</v>
      </c>
      <c r="F1444" s="211" t="s">
        <v>7246</v>
      </c>
    </row>
    <row r="1445" spans="1:6">
      <c r="A1445" s="211" t="s">
        <v>7690</v>
      </c>
      <c r="B1445" s="211">
        <v>729</v>
      </c>
      <c r="C1445" s="211" t="s">
        <v>10385</v>
      </c>
      <c r="D1445" s="211" t="s">
        <v>1255</v>
      </c>
      <c r="E1445" s="211" t="s">
        <v>10385</v>
      </c>
      <c r="F1445" s="211" t="s">
        <v>7351</v>
      </c>
    </row>
    <row r="1446" spans="1:6">
      <c r="A1446" s="211" t="s">
        <v>9251</v>
      </c>
      <c r="B1446" s="211">
        <v>8276</v>
      </c>
      <c r="C1446" s="211">
        <v>943</v>
      </c>
      <c r="D1446" s="211" t="s">
        <v>1255</v>
      </c>
      <c r="E1446" s="211" t="s">
        <v>10498</v>
      </c>
      <c r="F1446" s="211" t="s">
        <v>7233</v>
      </c>
    </row>
    <row r="1447" spans="1:6">
      <c r="A1447" s="211" t="s">
        <v>9252</v>
      </c>
      <c r="B1447" s="211">
        <v>8423</v>
      </c>
      <c r="C1447" s="211">
        <v>1639</v>
      </c>
      <c r="D1447" s="211" t="s">
        <v>1255</v>
      </c>
      <c r="E1447" s="211" t="s">
        <v>9253</v>
      </c>
      <c r="F1447" s="211" t="s">
        <v>9048</v>
      </c>
    </row>
    <row r="1448" spans="1:6">
      <c r="A1448" s="211" t="s">
        <v>5665</v>
      </c>
      <c r="B1448" s="211">
        <v>7056</v>
      </c>
      <c r="C1448" s="211">
        <v>752</v>
      </c>
      <c r="D1448" s="211" t="s">
        <v>1255</v>
      </c>
      <c r="E1448" s="211" t="s">
        <v>6715</v>
      </c>
      <c r="F1448" s="211" t="s">
        <v>7265</v>
      </c>
    </row>
    <row r="1449" spans="1:6">
      <c r="A1449" s="211" t="s">
        <v>4506</v>
      </c>
      <c r="B1449" s="211">
        <v>6555</v>
      </c>
      <c r="C1449" s="211">
        <v>799</v>
      </c>
      <c r="D1449" s="211" t="s">
        <v>1117</v>
      </c>
      <c r="E1449" s="211" t="s">
        <v>10385</v>
      </c>
      <c r="F1449" s="211" t="s">
        <v>7524</v>
      </c>
    </row>
    <row r="1450" spans="1:6">
      <c r="A1450" s="211" t="s">
        <v>2692</v>
      </c>
      <c r="B1450" s="211">
        <v>1403</v>
      </c>
      <c r="C1450" s="211">
        <v>782</v>
      </c>
      <c r="D1450" s="211" t="s">
        <v>1255</v>
      </c>
      <c r="E1450" s="211" t="s">
        <v>10385</v>
      </c>
      <c r="F1450" s="211" t="s">
        <v>7657</v>
      </c>
    </row>
    <row r="1451" spans="1:6">
      <c r="A1451" s="211" t="s">
        <v>9254</v>
      </c>
      <c r="B1451" s="211">
        <v>8286</v>
      </c>
      <c r="C1451" s="211">
        <v>799</v>
      </c>
      <c r="D1451" s="211" t="s">
        <v>1117</v>
      </c>
      <c r="E1451" s="211" t="s">
        <v>10385</v>
      </c>
      <c r="F1451" s="211" t="s">
        <v>7301</v>
      </c>
    </row>
    <row r="1452" spans="1:6">
      <c r="A1452" s="211" t="s">
        <v>2693</v>
      </c>
      <c r="B1452" s="211">
        <v>5411</v>
      </c>
      <c r="C1452" s="211">
        <v>774</v>
      </c>
      <c r="D1452" s="211" t="s">
        <v>1255</v>
      </c>
      <c r="E1452" s="211" t="s">
        <v>10385</v>
      </c>
      <c r="F1452" s="211" t="s">
        <v>7268</v>
      </c>
    </row>
    <row r="1453" spans="1:6">
      <c r="A1453" s="211" t="s">
        <v>4484</v>
      </c>
      <c r="B1453" s="211">
        <v>6694</v>
      </c>
      <c r="C1453" s="211">
        <v>1051</v>
      </c>
      <c r="D1453" s="211" t="s">
        <v>1255</v>
      </c>
      <c r="E1453" s="211" t="s">
        <v>5666</v>
      </c>
      <c r="F1453" s="211" t="s">
        <v>7536</v>
      </c>
    </row>
    <row r="1454" spans="1:6">
      <c r="A1454" s="211" t="s">
        <v>5667</v>
      </c>
      <c r="B1454" s="211">
        <v>7190</v>
      </c>
      <c r="C1454" s="211">
        <v>1180</v>
      </c>
      <c r="D1454" s="211" t="s">
        <v>1255</v>
      </c>
      <c r="E1454" s="211" t="s">
        <v>10385</v>
      </c>
      <c r="F1454" s="211" t="s">
        <v>7216</v>
      </c>
    </row>
    <row r="1455" spans="1:6">
      <c r="A1455" s="211" t="s">
        <v>4999</v>
      </c>
      <c r="B1455" s="211">
        <v>6771</v>
      </c>
      <c r="C1455" s="211">
        <v>1187</v>
      </c>
      <c r="D1455" s="211" t="s">
        <v>1255</v>
      </c>
      <c r="E1455" s="211" t="s">
        <v>10385</v>
      </c>
      <c r="F1455" s="211" t="s">
        <v>7199</v>
      </c>
    </row>
    <row r="1456" spans="1:6">
      <c r="A1456" s="211" t="s">
        <v>2694</v>
      </c>
      <c r="B1456" s="211">
        <v>5976</v>
      </c>
      <c r="C1456" s="211">
        <v>1002</v>
      </c>
      <c r="D1456" s="211" t="s">
        <v>1255</v>
      </c>
      <c r="E1456" s="211" t="s">
        <v>10385</v>
      </c>
      <c r="F1456" s="211" t="s">
        <v>7219</v>
      </c>
    </row>
    <row r="1457" spans="1:6">
      <c r="A1457" s="211" t="s">
        <v>5000</v>
      </c>
      <c r="B1457" s="211">
        <v>6736</v>
      </c>
      <c r="C1457" s="211">
        <v>1068</v>
      </c>
      <c r="D1457" s="211" t="s">
        <v>1255</v>
      </c>
      <c r="E1457" s="211" t="s">
        <v>10385</v>
      </c>
      <c r="F1457" s="211" t="s">
        <v>7455</v>
      </c>
    </row>
    <row r="1458" spans="1:6">
      <c r="A1458" s="211" t="s">
        <v>5001</v>
      </c>
      <c r="B1458" s="211">
        <v>6734</v>
      </c>
      <c r="C1458" s="211">
        <v>1466</v>
      </c>
      <c r="D1458" s="211" t="s">
        <v>1255</v>
      </c>
      <c r="E1458" s="211" t="s">
        <v>10385</v>
      </c>
      <c r="F1458" s="211" t="s">
        <v>7455</v>
      </c>
    </row>
    <row r="1459" spans="1:6">
      <c r="A1459" s="211" t="s">
        <v>9255</v>
      </c>
      <c r="B1459" s="211">
        <v>8397</v>
      </c>
      <c r="C1459" s="211">
        <v>1429</v>
      </c>
      <c r="D1459" s="211" t="s">
        <v>1255</v>
      </c>
      <c r="E1459" s="211" t="s">
        <v>10499</v>
      </c>
      <c r="F1459" s="211" t="s">
        <v>7334</v>
      </c>
    </row>
    <row r="1460" spans="1:6">
      <c r="A1460" s="211" t="s">
        <v>2695</v>
      </c>
      <c r="B1460" s="211">
        <v>2146</v>
      </c>
      <c r="C1460" s="211">
        <v>684</v>
      </c>
      <c r="D1460" s="211" t="s">
        <v>1117</v>
      </c>
      <c r="E1460" s="211" t="s">
        <v>10385</v>
      </c>
      <c r="F1460" s="211" t="s">
        <v>7199</v>
      </c>
    </row>
    <row r="1461" spans="1:6">
      <c r="A1461" s="211" t="s">
        <v>6716</v>
      </c>
      <c r="B1461" s="211">
        <v>7738</v>
      </c>
      <c r="C1461" s="211">
        <v>1827</v>
      </c>
      <c r="D1461" s="211" t="s">
        <v>1255</v>
      </c>
      <c r="E1461" s="211" t="s">
        <v>9256</v>
      </c>
      <c r="F1461" s="211" t="s">
        <v>7587</v>
      </c>
    </row>
    <row r="1462" spans="1:6">
      <c r="A1462" s="211" t="s">
        <v>7691</v>
      </c>
      <c r="B1462" s="211">
        <v>940</v>
      </c>
      <c r="C1462" s="211" t="s">
        <v>10385</v>
      </c>
      <c r="D1462" s="211" t="s">
        <v>1255</v>
      </c>
      <c r="E1462" s="211" t="s">
        <v>10385</v>
      </c>
      <c r="F1462" s="211" t="s">
        <v>7692</v>
      </c>
    </row>
    <row r="1463" spans="1:6">
      <c r="A1463" s="211" t="s">
        <v>2696</v>
      </c>
      <c r="B1463" s="211">
        <v>4999</v>
      </c>
      <c r="C1463" s="211">
        <v>1358</v>
      </c>
      <c r="D1463" s="211" t="s">
        <v>1255</v>
      </c>
      <c r="E1463" s="211" t="s">
        <v>10385</v>
      </c>
      <c r="F1463" s="211" t="s">
        <v>7186</v>
      </c>
    </row>
    <row r="1464" spans="1:6">
      <c r="A1464" s="211" t="s">
        <v>5002</v>
      </c>
      <c r="B1464" s="211">
        <v>7011</v>
      </c>
      <c r="C1464" s="211">
        <v>958</v>
      </c>
      <c r="D1464" s="211" t="s">
        <v>1255</v>
      </c>
      <c r="E1464" s="211" t="s">
        <v>10385</v>
      </c>
      <c r="F1464" s="211" t="s">
        <v>7390</v>
      </c>
    </row>
    <row r="1465" spans="1:6">
      <c r="A1465" s="211" t="s">
        <v>7693</v>
      </c>
      <c r="B1465" s="211">
        <v>595</v>
      </c>
      <c r="C1465" s="211" t="s">
        <v>10385</v>
      </c>
      <c r="D1465" s="211" t="s">
        <v>1255</v>
      </c>
      <c r="E1465" s="211" t="s">
        <v>10385</v>
      </c>
      <c r="F1465" s="211" t="s">
        <v>7306</v>
      </c>
    </row>
    <row r="1466" spans="1:6">
      <c r="A1466" s="211" t="s">
        <v>2697</v>
      </c>
      <c r="B1466" s="211">
        <v>3541</v>
      </c>
      <c r="C1466" s="211">
        <v>1399</v>
      </c>
      <c r="D1466" s="211" t="s">
        <v>1255</v>
      </c>
      <c r="E1466" s="211" t="s">
        <v>10385</v>
      </c>
      <c r="F1466" s="211" t="s">
        <v>7171</v>
      </c>
    </row>
    <row r="1467" spans="1:6">
      <c r="A1467" s="211" t="s">
        <v>9257</v>
      </c>
      <c r="B1467" s="211">
        <v>8188</v>
      </c>
      <c r="C1467" s="211">
        <v>1238</v>
      </c>
      <c r="D1467" s="211" t="s">
        <v>1255</v>
      </c>
      <c r="E1467" s="211" t="s">
        <v>9258</v>
      </c>
      <c r="F1467" s="211" t="s">
        <v>9068</v>
      </c>
    </row>
    <row r="1468" spans="1:6">
      <c r="A1468" s="211" t="s">
        <v>2928</v>
      </c>
      <c r="B1468" s="211">
        <v>2154</v>
      </c>
      <c r="C1468" s="211">
        <v>2199</v>
      </c>
      <c r="D1468" s="211" t="s">
        <v>1255</v>
      </c>
      <c r="E1468" s="211" t="s">
        <v>10385</v>
      </c>
      <c r="F1468" s="211" t="s">
        <v>7386</v>
      </c>
    </row>
    <row r="1469" spans="1:6">
      <c r="A1469" s="211" t="s">
        <v>2698</v>
      </c>
      <c r="B1469" s="211">
        <v>2536</v>
      </c>
      <c r="C1469" s="211">
        <v>836</v>
      </c>
      <c r="D1469" s="211" t="s">
        <v>1255</v>
      </c>
      <c r="E1469" s="211" t="s">
        <v>10385</v>
      </c>
      <c r="F1469" s="211" t="s">
        <v>7205</v>
      </c>
    </row>
    <row r="1470" spans="1:6">
      <c r="A1470" s="211" t="s">
        <v>5364</v>
      </c>
      <c r="B1470" s="211">
        <v>6084</v>
      </c>
      <c r="C1470" s="211">
        <v>885</v>
      </c>
      <c r="D1470" s="211" t="s">
        <v>1255</v>
      </c>
      <c r="E1470" s="211" t="s">
        <v>10385</v>
      </c>
      <c r="F1470" s="211" t="s">
        <v>7203</v>
      </c>
    </row>
    <row r="1471" spans="1:6">
      <c r="A1471" s="211" t="s">
        <v>3842</v>
      </c>
      <c r="B1471" s="211">
        <v>2630</v>
      </c>
      <c r="C1471" s="211">
        <v>1202</v>
      </c>
      <c r="D1471" s="211" t="s">
        <v>1255</v>
      </c>
      <c r="E1471" s="211" t="s">
        <v>10385</v>
      </c>
      <c r="F1471" s="211" t="s">
        <v>7393</v>
      </c>
    </row>
    <row r="1472" spans="1:6">
      <c r="A1472" s="211" t="s">
        <v>2699</v>
      </c>
      <c r="B1472" s="211">
        <v>5811</v>
      </c>
      <c r="C1472" s="211">
        <v>1197</v>
      </c>
      <c r="D1472" s="211" t="s">
        <v>1255</v>
      </c>
      <c r="E1472" s="211" t="s">
        <v>10385</v>
      </c>
      <c r="F1472" s="211" t="s">
        <v>7160</v>
      </c>
    </row>
    <row r="1473" spans="1:6">
      <c r="A1473" s="211" t="s">
        <v>7694</v>
      </c>
      <c r="B1473" s="211">
        <v>89</v>
      </c>
      <c r="C1473" s="211" t="s">
        <v>10385</v>
      </c>
      <c r="D1473" s="211" t="s">
        <v>1255</v>
      </c>
      <c r="E1473" s="211" t="s">
        <v>10385</v>
      </c>
      <c r="F1473" s="211" t="s">
        <v>7221</v>
      </c>
    </row>
    <row r="1474" spans="1:6">
      <c r="A1474" s="211" t="s">
        <v>7695</v>
      </c>
      <c r="B1474" s="211">
        <v>80</v>
      </c>
      <c r="C1474" s="211" t="s">
        <v>10385</v>
      </c>
      <c r="D1474" s="211" t="s">
        <v>1255</v>
      </c>
      <c r="E1474" s="211" t="s">
        <v>10385</v>
      </c>
      <c r="F1474" s="211" t="s">
        <v>7221</v>
      </c>
    </row>
    <row r="1475" spans="1:6">
      <c r="A1475" s="211" t="s">
        <v>6717</v>
      </c>
      <c r="B1475" s="211">
        <v>7833</v>
      </c>
      <c r="C1475" s="211">
        <v>1266</v>
      </c>
      <c r="D1475" s="211" t="s">
        <v>1255</v>
      </c>
      <c r="E1475" s="211" t="s">
        <v>10385</v>
      </c>
      <c r="F1475" s="211" t="s">
        <v>7263</v>
      </c>
    </row>
    <row r="1476" spans="1:6">
      <c r="A1476" s="211" t="s">
        <v>2700</v>
      </c>
      <c r="B1476" s="211">
        <v>5966</v>
      </c>
      <c r="C1476" s="211">
        <v>964</v>
      </c>
      <c r="D1476" s="211" t="s">
        <v>1255</v>
      </c>
      <c r="E1476" s="211" t="s">
        <v>10385</v>
      </c>
      <c r="F1476" s="211" t="s">
        <v>7457</v>
      </c>
    </row>
    <row r="1477" spans="1:6">
      <c r="A1477" s="211" t="s">
        <v>8905</v>
      </c>
      <c r="B1477" s="211">
        <v>2073</v>
      </c>
      <c r="C1477" s="211" t="s">
        <v>10385</v>
      </c>
      <c r="D1477" s="211" t="s">
        <v>1255</v>
      </c>
      <c r="E1477" s="211" t="s">
        <v>10385</v>
      </c>
      <c r="F1477" s="211" t="s">
        <v>7629</v>
      </c>
    </row>
    <row r="1478" spans="1:6">
      <c r="A1478" s="211" t="s">
        <v>2701</v>
      </c>
      <c r="B1478" s="211">
        <v>2859</v>
      </c>
      <c r="C1478" s="211">
        <v>705</v>
      </c>
      <c r="D1478" s="211" t="s">
        <v>1117</v>
      </c>
      <c r="E1478" s="211" t="s">
        <v>10385</v>
      </c>
      <c r="F1478" s="211" t="s">
        <v>7212</v>
      </c>
    </row>
    <row r="1479" spans="1:6">
      <c r="A1479" s="211" t="s">
        <v>10500</v>
      </c>
      <c r="B1479" s="211">
        <v>8702</v>
      </c>
      <c r="C1479" s="211">
        <v>1094</v>
      </c>
      <c r="D1479" s="211" t="s">
        <v>1255</v>
      </c>
      <c r="E1479" s="211" t="s">
        <v>10501</v>
      </c>
      <c r="F1479" s="211" t="s">
        <v>7373</v>
      </c>
    </row>
    <row r="1480" spans="1:6">
      <c r="A1480" s="211" t="s">
        <v>7696</v>
      </c>
      <c r="B1480" s="211">
        <v>507</v>
      </c>
      <c r="C1480" s="211" t="s">
        <v>10385</v>
      </c>
      <c r="D1480" s="211" t="s">
        <v>1255</v>
      </c>
      <c r="E1480" s="211" t="s">
        <v>10385</v>
      </c>
      <c r="F1480" s="211" t="s">
        <v>7486</v>
      </c>
    </row>
    <row r="1481" spans="1:6">
      <c r="A1481" s="211" t="s">
        <v>2702</v>
      </c>
      <c r="B1481" s="211">
        <v>2360</v>
      </c>
      <c r="C1481" s="211">
        <v>884</v>
      </c>
      <c r="D1481" s="211" t="s">
        <v>1255</v>
      </c>
      <c r="E1481" s="211" t="s">
        <v>10385</v>
      </c>
      <c r="F1481" s="211" t="s">
        <v>7422</v>
      </c>
    </row>
    <row r="1482" spans="1:6">
      <c r="A1482" s="211" t="s">
        <v>2703</v>
      </c>
      <c r="B1482" s="211">
        <v>3106</v>
      </c>
      <c r="C1482" s="211">
        <v>794</v>
      </c>
      <c r="D1482" s="211" t="s">
        <v>1255</v>
      </c>
      <c r="E1482" s="211" t="s">
        <v>10385</v>
      </c>
      <c r="F1482" s="211" t="s">
        <v>7366</v>
      </c>
    </row>
    <row r="1483" spans="1:6">
      <c r="A1483" s="211" t="s">
        <v>2958</v>
      </c>
      <c r="B1483" s="211">
        <v>2496</v>
      </c>
      <c r="C1483" s="211">
        <v>799</v>
      </c>
      <c r="D1483" s="211" t="s">
        <v>1117</v>
      </c>
      <c r="E1483" s="211" t="s">
        <v>10385</v>
      </c>
      <c r="F1483" s="211" t="s">
        <v>7203</v>
      </c>
    </row>
    <row r="1484" spans="1:6">
      <c r="A1484" s="211" t="s">
        <v>2995</v>
      </c>
      <c r="B1484" s="211">
        <v>921</v>
      </c>
      <c r="C1484" s="211">
        <v>1856</v>
      </c>
      <c r="D1484" s="211" t="s">
        <v>1255</v>
      </c>
      <c r="E1484" s="211" t="s">
        <v>10385</v>
      </c>
      <c r="F1484" s="211" t="s">
        <v>7384</v>
      </c>
    </row>
    <row r="1485" spans="1:6">
      <c r="A1485" s="211" t="s">
        <v>5668</v>
      </c>
      <c r="B1485" s="211">
        <v>7121</v>
      </c>
      <c r="C1485" s="211">
        <v>891</v>
      </c>
      <c r="D1485" s="211" t="s">
        <v>1255</v>
      </c>
      <c r="E1485" s="211" t="s">
        <v>9259</v>
      </c>
      <c r="F1485" s="211" t="s">
        <v>7299</v>
      </c>
    </row>
    <row r="1486" spans="1:6">
      <c r="A1486" s="211" t="s">
        <v>4657</v>
      </c>
      <c r="B1486" s="211">
        <v>6428</v>
      </c>
      <c r="C1486" s="211">
        <v>936</v>
      </c>
      <c r="D1486" s="211" t="s">
        <v>1117</v>
      </c>
      <c r="E1486" s="211" t="s">
        <v>10385</v>
      </c>
      <c r="F1486" s="211" t="s">
        <v>7167</v>
      </c>
    </row>
    <row r="1487" spans="1:6">
      <c r="A1487" s="211" t="s">
        <v>5669</v>
      </c>
      <c r="B1487" s="211">
        <v>7306</v>
      </c>
      <c r="C1487" s="211">
        <v>1066</v>
      </c>
      <c r="D1487" s="211" t="s">
        <v>1255</v>
      </c>
      <c r="E1487" s="211" t="s">
        <v>10502</v>
      </c>
      <c r="F1487" s="211" t="s">
        <v>7233</v>
      </c>
    </row>
    <row r="1488" spans="1:6">
      <c r="A1488" s="211" t="s">
        <v>7697</v>
      </c>
      <c r="B1488" s="211">
        <v>5171</v>
      </c>
      <c r="C1488" s="211" t="s">
        <v>10385</v>
      </c>
      <c r="D1488" s="211" t="s">
        <v>1255</v>
      </c>
      <c r="E1488" s="211" t="s">
        <v>10385</v>
      </c>
      <c r="F1488" s="211" t="s">
        <v>7316</v>
      </c>
    </row>
    <row r="1489" spans="1:6">
      <c r="A1489" s="211" t="s">
        <v>7698</v>
      </c>
      <c r="B1489" s="211">
        <v>82</v>
      </c>
      <c r="C1489" s="211" t="s">
        <v>10385</v>
      </c>
      <c r="D1489" s="211" t="s">
        <v>1255</v>
      </c>
      <c r="E1489" s="211" t="s">
        <v>10385</v>
      </c>
      <c r="F1489" s="211" t="s">
        <v>7223</v>
      </c>
    </row>
    <row r="1490" spans="1:6">
      <c r="A1490" s="211" t="s">
        <v>7699</v>
      </c>
      <c r="B1490" s="211">
        <v>1447</v>
      </c>
      <c r="C1490" s="211" t="s">
        <v>10385</v>
      </c>
      <c r="D1490" s="211" t="s">
        <v>1255</v>
      </c>
      <c r="E1490" s="211" t="s">
        <v>10385</v>
      </c>
      <c r="F1490" s="211" t="s">
        <v>7225</v>
      </c>
    </row>
    <row r="1491" spans="1:6">
      <c r="A1491" s="211" t="s">
        <v>4776</v>
      </c>
      <c r="B1491" s="211">
        <v>6156</v>
      </c>
      <c r="C1491" s="211">
        <v>1023</v>
      </c>
      <c r="D1491" s="211" t="s">
        <v>1255</v>
      </c>
      <c r="E1491" s="211" t="s">
        <v>10385</v>
      </c>
      <c r="F1491" s="211" t="s">
        <v>7344</v>
      </c>
    </row>
    <row r="1492" spans="1:6">
      <c r="A1492" s="211" t="s">
        <v>6718</v>
      </c>
      <c r="B1492" s="211">
        <v>7713</v>
      </c>
      <c r="C1492" s="211">
        <v>1117</v>
      </c>
      <c r="D1492" s="211" t="s">
        <v>1255</v>
      </c>
      <c r="E1492" s="211" t="s">
        <v>6719</v>
      </c>
      <c r="F1492" s="211" t="s">
        <v>7215</v>
      </c>
    </row>
    <row r="1493" spans="1:6">
      <c r="A1493" s="211" t="s">
        <v>2704</v>
      </c>
      <c r="B1493" s="211">
        <v>3280</v>
      </c>
      <c r="C1493" s="211">
        <v>1575</v>
      </c>
      <c r="D1493" s="211" t="s">
        <v>1255</v>
      </c>
      <c r="E1493" s="211" t="s">
        <v>10385</v>
      </c>
      <c r="F1493" s="211" t="s">
        <v>7343</v>
      </c>
    </row>
    <row r="1494" spans="1:6">
      <c r="A1494" s="211" t="s">
        <v>7700</v>
      </c>
      <c r="B1494" s="211">
        <v>387</v>
      </c>
      <c r="C1494" s="211" t="s">
        <v>10385</v>
      </c>
      <c r="D1494" s="211" t="s">
        <v>1255</v>
      </c>
      <c r="E1494" s="211" t="s">
        <v>10385</v>
      </c>
      <c r="F1494" s="211" t="s">
        <v>7316</v>
      </c>
    </row>
    <row r="1495" spans="1:6">
      <c r="A1495" s="211" t="s">
        <v>7701</v>
      </c>
      <c r="B1495" s="211">
        <v>50</v>
      </c>
      <c r="C1495" s="211" t="s">
        <v>10385</v>
      </c>
      <c r="D1495" s="211" t="s">
        <v>1255</v>
      </c>
      <c r="E1495" s="211" t="s">
        <v>10385</v>
      </c>
      <c r="F1495" s="211" t="s">
        <v>7219</v>
      </c>
    </row>
    <row r="1496" spans="1:6">
      <c r="A1496" s="211" t="s">
        <v>2705</v>
      </c>
      <c r="B1496" s="211">
        <v>1517</v>
      </c>
      <c r="C1496" s="211">
        <v>1189</v>
      </c>
      <c r="D1496" s="211" t="s">
        <v>1255</v>
      </c>
      <c r="E1496" s="211" t="s">
        <v>10385</v>
      </c>
      <c r="F1496" s="211" t="s">
        <v>7275</v>
      </c>
    </row>
    <row r="1497" spans="1:6">
      <c r="A1497" s="211" t="s">
        <v>6720</v>
      </c>
      <c r="B1497" s="211">
        <v>7729</v>
      </c>
      <c r="C1497" s="211">
        <v>713</v>
      </c>
      <c r="D1497" s="211" t="s">
        <v>1255</v>
      </c>
      <c r="E1497" s="211" t="s">
        <v>10385</v>
      </c>
      <c r="F1497" s="211" t="s">
        <v>7458</v>
      </c>
    </row>
    <row r="1498" spans="1:6">
      <c r="A1498" s="211" t="s">
        <v>4579</v>
      </c>
      <c r="B1498" s="211">
        <v>6309</v>
      </c>
      <c r="C1498" s="211">
        <v>987</v>
      </c>
      <c r="D1498" s="211" t="s">
        <v>1255</v>
      </c>
      <c r="E1498" s="211" t="s">
        <v>10385</v>
      </c>
      <c r="F1498" s="211" t="s">
        <v>7257</v>
      </c>
    </row>
    <row r="1499" spans="1:6">
      <c r="A1499" s="211" t="s">
        <v>7702</v>
      </c>
      <c r="B1499" s="211">
        <v>2633</v>
      </c>
      <c r="C1499" s="211" t="s">
        <v>10385</v>
      </c>
      <c r="D1499" s="211" t="s">
        <v>1255</v>
      </c>
      <c r="E1499" s="211" t="s">
        <v>10385</v>
      </c>
      <c r="F1499" s="211" t="s">
        <v>7327</v>
      </c>
    </row>
    <row r="1500" spans="1:6">
      <c r="A1500" s="211" t="s">
        <v>2706</v>
      </c>
      <c r="B1500" s="211">
        <v>2014</v>
      </c>
      <c r="C1500" s="211">
        <v>983</v>
      </c>
      <c r="D1500" s="211" t="s">
        <v>1255</v>
      </c>
      <c r="E1500" s="211" t="s">
        <v>10385</v>
      </c>
      <c r="F1500" s="211" t="s">
        <v>7245</v>
      </c>
    </row>
    <row r="1501" spans="1:6">
      <c r="A1501" s="211" t="s">
        <v>5670</v>
      </c>
      <c r="B1501" s="211">
        <v>7448</v>
      </c>
      <c r="C1501" s="211">
        <v>893</v>
      </c>
      <c r="D1501" s="211" t="s">
        <v>1255</v>
      </c>
      <c r="E1501" s="211" t="s">
        <v>10385</v>
      </c>
      <c r="F1501" s="211" t="s">
        <v>7228</v>
      </c>
    </row>
    <row r="1502" spans="1:6">
      <c r="A1502" s="211" t="s">
        <v>5003</v>
      </c>
      <c r="B1502" s="211">
        <v>6167</v>
      </c>
      <c r="C1502" s="211">
        <v>482</v>
      </c>
      <c r="D1502" s="211" t="s">
        <v>1255</v>
      </c>
      <c r="E1502" s="211" t="s">
        <v>5671</v>
      </c>
      <c r="F1502" s="211" t="s">
        <v>7659</v>
      </c>
    </row>
    <row r="1503" spans="1:6">
      <c r="A1503" s="211" t="s">
        <v>2707</v>
      </c>
      <c r="B1503" s="211">
        <v>3395</v>
      </c>
      <c r="C1503" s="211">
        <v>1878</v>
      </c>
      <c r="D1503" s="211" t="s">
        <v>1117</v>
      </c>
      <c r="E1503" s="211" t="s">
        <v>10385</v>
      </c>
      <c r="F1503" s="211" t="s">
        <v>7173</v>
      </c>
    </row>
    <row r="1504" spans="1:6">
      <c r="A1504" s="211" t="s">
        <v>2708</v>
      </c>
      <c r="B1504" s="211">
        <v>1063</v>
      </c>
      <c r="C1504" s="211">
        <v>2125</v>
      </c>
      <c r="D1504" s="211" t="s">
        <v>1255</v>
      </c>
      <c r="E1504" s="211" t="s">
        <v>10385</v>
      </c>
      <c r="F1504" s="211" t="s">
        <v>7167</v>
      </c>
    </row>
    <row r="1505" spans="1:6">
      <c r="A1505" s="211" t="s">
        <v>5672</v>
      </c>
      <c r="B1505" s="211">
        <v>7317</v>
      </c>
      <c r="C1505" s="211">
        <v>1448</v>
      </c>
      <c r="D1505" s="211" t="s">
        <v>1255</v>
      </c>
      <c r="E1505" s="211" t="s">
        <v>6721</v>
      </c>
      <c r="F1505" s="211" t="s">
        <v>7287</v>
      </c>
    </row>
    <row r="1506" spans="1:6">
      <c r="A1506" s="211" t="s">
        <v>2987</v>
      </c>
      <c r="B1506" s="211">
        <v>927</v>
      </c>
      <c r="C1506" s="211">
        <v>1583</v>
      </c>
      <c r="D1506" s="211" t="s">
        <v>1255</v>
      </c>
      <c r="E1506" s="211" t="s">
        <v>3109</v>
      </c>
      <c r="F1506" s="211" t="s">
        <v>7263</v>
      </c>
    </row>
    <row r="1507" spans="1:6">
      <c r="A1507" s="211" t="s">
        <v>2867</v>
      </c>
      <c r="B1507" s="211">
        <v>926</v>
      </c>
      <c r="C1507" s="211">
        <v>1868</v>
      </c>
      <c r="D1507" s="211" t="s">
        <v>1255</v>
      </c>
      <c r="E1507" s="211" t="s">
        <v>3100</v>
      </c>
      <c r="F1507" s="211" t="s">
        <v>7263</v>
      </c>
    </row>
    <row r="1508" spans="1:6">
      <c r="A1508" s="211" t="s">
        <v>2862</v>
      </c>
      <c r="B1508" s="211">
        <v>1946</v>
      </c>
      <c r="C1508" s="211">
        <v>1188</v>
      </c>
      <c r="D1508" s="211" t="s">
        <v>1255</v>
      </c>
      <c r="E1508" s="211" t="s">
        <v>10385</v>
      </c>
      <c r="F1508" s="211" t="s">
        <v>7425</v>
      </c>
    </row>
    <row r="1509" spans="1:6">
      <c r="A1509" s="211" t="s">
        <v>2709</v>
      </c>
      <c r="B1509" s="211">
        <v>5038</v>
      </c>
      <c r="C1509" s="211">
        <v>1025</v>
      </c>
      <c r="D1509" s="211" t="s">
        <v>1255</v>
      </c>
      <c r="E1509" s="211" t="s">
        <v>10385</v>
      </c>
      <c r="F1509" s="211" t="s">
        <v>7272</v>
      </c>
    </row>
    <row r="1510" spans="1:6">
      <c r="A1510" s="211" t="s">
        <v>9260</v>
      </c>
      <c r="B1510" s="211">
        <v>8517</v>
      </c>
      <c r="C1510" s="211">
        <v>1008</v>
      </c>
      <c r="D1510" s="211" t="s">
        <v>1255</v>
      </c>
      <c r="E1510" s="211" t="s">
        <v>9261</v>
      </c>
      <c r="F1510" s="211" t="s">
        <v>7308</v>
      </c>
    </row>
    <row r="1511" spans="1:6">
      <c r="A1511" s="211" t="s">
        <v>2710</v>
      </c>
      <c r="B1511" s="211">
        <v>2046</v>
      </c>
      <c r="C1511" s="211">
        <v>743</v>
      </c>
      <c r="D1511" s="211" t="s">
        <v>1255</v>
      </c>
      <c r="E1511" s="211" t="s">
        <v>10385</v>
      </c>
      <c r="F1511" s="211" t="s">
        <v>7703</v>
      </c>
    </row>
    <row r="1512" spans="1:6">
      <c r="A1512" s="211" t="s">
        <v>2711</v>
      </c>
      <c r="B1512" s="211">
        <v>5953</v>
      </c>
      <c r="C1512" s="211">
        <v>1753</v>
      </c>
      <c r="D1512" s="211" t="s">
        <v>1255</v>
      </c>
      <c r="E1512" s="211" t="s">
        <v>9262</v>
      </c>
      <c r="F1512" s="211" t="s">
        <v>7200</v>
      </c>
    </row>
    <row r="1513" spans="1:6">
      <c r="A1513" s="211" t="s">
        <v>7704</v>
      </c>
      <c r="B1513" s="211">
        <v>593</v>
      </c>
      <c r="C1513" s="211" t="s">
        <v>10385</v>
      </c>
      <c r="D1513" s="211" t="s">
        <v>1255</v>
      </c>
      <c r="E1513" s="211" t="s">
        <v>10385</v>
      </c>
      <c r="F1513" s="211" t="s">
        <v>7306</v>
      </c>
    </row>
    <row r="1514" spans="1:6">
      <c r="A1514" s="211" t="s">
        <v>2712</v>
      </c>
      <c r="B1514" s="211">
        <v>1266</v>
      </c>
      <c r="C1514" s="211">
        <v>2120</v>
      </c>
      <c r="D1514" s="211" t="s">
        <v>1255</v>
      </c>
      <c r="E1514" s="211" t="s">
        <v>10385</v>
      </c>
      <c r="F1514" s="211" t="s">
        <v>7240</v>
      </c>
    </row>
    <row r="1515" spans="1:6">
      <c r="A1515" s="211" t="s">
        <v>2713</v>
      </c>
      <c r="B1515" s="211">
        <v>3387</v>
      </c>
      <c r="C1515" s="211">
        <v>2119</v>
      </c>
      <c r="D1515" s="211" t="s">
        <v>1255</v>
      </c>
      <c r="E1515" s="211" t="s">
        <v>10385</v>
      </c>
      <c r="F1515" s="211" t="s">
        <v>7231</v>
      </c>
    </row>
    <row r="1516" spans="1:6">
      <c r="A1516" s="211" t="s">
        <v>10503</v>
      </c>
      <c r="B1516" s="211">
        <v>8768</v>
      </c>
      <c r="C1516" s="211">
        <v>992</v>
      </c>
      <c r="D1516" s="211" t="s">
        <v>1255</v>
      </c>
      <c r="E1516" s="211" t="s">
        <v>10504</v>
      </c>
      <c r="F1516" s="211" t="s">
        <v>7318</v>
      </c>
    </row>
    <row r="1517" spans="1:6">
      <c r="A1517" s="211" t="s">
        <v>2714</v>
      </c>
      <c r="B1517" s="211">
        <v>4396</v>
      </c>
      <c r="C1517" s="211">
        <v>1971</v>
      </c>
      <c r="D1517" s="211" t="s">
        <v>1117</v>
      </c>
      <c r="E1517" s="211" t="s">
        <v>10385</v>
      </c>
      <c r="F1517" s="211" t="s">
        <v>7200</v>
      </c>
    </row>
    <row r="1518" spans="1:6">
      <c r="A1518" s="211" t="s">
        <v>4777</v>
      </c>
      <c r="B1518" s="211">
        <v>6162</v>
      </c>
      <c r="C1518" s="211">
        <v>1174</v>
      </c>
      <c r="D1518" s="211" t="s">
        <v>1255</v>
      </c>
      <c r="E1518" s="211" t="s">
        <v>10385</v>
      </c>
      <c r="F1518" s="211" t="s">
        <v>7438</v>
      </c>
    </row>
    <row r="1519" spans="1:6">
      <c r="A1519" s="211" t="s">
        <v>2715</v>
      </c>
      <c r="B1519" s="211">
        <v>3875</v>
      </c>
      <c r="C1519" s="211">
        <v>1000</v>
      </c>
      <c r="D1519" s="211" t="s">
        <v>1255</v>
      </c>
      <c r="E1519" s="211" t="s">
        <v>10385</v>
      </c>
      <c r="F1519" s="211" t="s">
        <v>7705</v>
      </c>
    </row>
    <row r="1520" spans="1:6">
      <c r="A1520" s="211" t="s">
        <v>7706</v>
      </c>
      <c r="B1520" s="211">
        <v>2176</v>
      </c>
      <c r="C1520" s="211" t="s">
        <v>10385</v>
      </c>
      <c r="D1520" s="211" t="s">
        <v>1255</v>
      </c>
      <c r="E1520" s="211" t="s">
        <v>10385</v>
      </c>
      <c r="F1520" s="211" t="s">
        <v>7192</v>
      </c>
    </row>
    <row r="1521" spans="1:6">
      <c r="A1521" s="211" t="s">
        <v>5004</v>
      </c>
      <c r="B1521" s="211">
        <v>6799</v>
      </c>
      <c r="C1521" s="211">
        <v>1104</v>
      </c>
      <c r="D1521" s="211" t="s">
        <v>1255</v>
      </c>
      <c r="E1521" s="211" t="s">
        <v>10385</v>
      </c>
      <c r="F1521" s="211" t="s">
        <v>7334</v>
      </c>
    </row>
    <row r="1522" spans="1:6">
      <c r="A1522" s="211" t="s">
        <v>2716</v>
      </c>
      <c r="B1522" s="211">
        <v>6018</v>
      </c>
      <c r="C1522" s="211">
        <v>1071</v>
      </c>
      <c r="D1522" s="211" t="s">
        <v>1255</v>
      </c>
      <c r="E1522" s="211" t="s">
        <v>10385</v>
      </c>
      <c r="F1522" s="211" t="s">
        <v>7349</v>
      </c>
    </row>
    <row r="1523" spans="1:6">
      <c r="A1523" s="211" t="s">
        <v>2717</v>
      </c>
      <c r="B1523" s="211">
        <v>803</v>
      </c>
      <c r="C1523" s="211">
        <v>1916</v>
      </c>
      <c r="D1523" s="211" t="s">
        <v>1255</v>
      </c>
      <c r="E1523" s="211" t="s">
        <v>10385</v>
      </c>
      <c r="F1523" s="211" t="s">
        <v>7343</v>
      </c>
    </row>
    <row r="1524" spans="1:6">
      <c r="A1524" s="211" t="s">
        <v>6722</v>
      </c>
      <c r="B1524" s="211">
        <v>7653</v>
      </c>
      <c r="C1524" s="211">
        <v>702</v>
      </c>
      <c r="D1524" s="211" t="s">
        <v>1117</v>
      </c>
      <c r="E1524" s="211" t="s">
        <v>10385</v>
      </c>
      <c r="F1524" s="211" t="s">
        <v>7223</v>
      </c>
    </row>
    <row r="1525" spans="1:6">
      <c r="A1525" s="211" t="s">
        <v>5005</v>
      </c>
      <c r="B1525" s="211">
        <v>6778</v>
      </c>
      <c r="C1525" s="211">
        <v>1369</v>
      </c>
      <c r="D1525" s="211" t="s">
        <v>1255</v>
      </c>
      <c r="E1525" s="211" t="s">
        <v>5673</v>
      </c>
      <c r="F1525" s="211" t="s">
        <v>7200</v>
      </c>
    </row>
    <row r="1526" spans="1:6">
      <c r="A1526" s="211" t="s">
        <v>4842</v>
      </c>
      <c r="B1526" s="211">
        <v>6072</v>
      </c>
      <c r="C1526" s="211">
        <v>959</v>
      </c>
      <c r="D1526" s="211" t="s">
        <v>1255</v>
      </c>
      <c r="E1526" s="211" t="s">
        <v>5674</v>
      </c>
      <c r="F1526" s="211" t="s">
        <v>7250</v>
      </c>
    </row>
    <row r="1527" spans="1:6">
      <c r="A1527" s="211" t="s">
        <v>5006</v>
      </c>
      <c r="B1527" s="211">
        <v>5446</v>
      </c>
      <c r="C1527" s="211">
        <v>828</v>
      </c>
      <c r="D1527" s="211" t="s">
        <v>1255</v>
      </c>
      <c r="E1527" s="211" t="s">
        <v>10385</v>
      </c>
      <c r="F1527" s="211" t="s">
        <v>7217</v>
      </c>
    </row>
    <row r="1528" spans="1:6">
      <c r="A1528" s="211" t="s">
        <v>5007</v>
      </c>
      <c r="B1528" s="211">
        <v>6958</v>
      </c>
      <c r="C1528" s="211">
        <v>849</v>
      </c>
      <c r="D1528" s="211" t="s">
        <v>1255</v>
      </c>
      <c r="E1528" s="211" t="s">
        <v>10385</v>
      </c>
      <c r="F1528" s="211" t="s">
        <v>7318</v>
      </c>
    </row>
    <row r="1529" spans="1:6">
      <c r="A1529" s="211" t="s">
        <v>7707</v>
      </c>
      <c r="B1529" s="211">
        <v>907</v>
      </c>
      <c r="C1529" s="211" t="s">
        <v>10385</v>
      </c>
      <c r="D1529" s="211" t="s">
        <v>1255</v>
      </c>
      <c r="E1529" s="211" t="s">
        <v>10385</v>
      </c>
      <c r="F1529" s="211" t="s">
        <v>7210</v>
      </c>
    </row>
    <row r="1530" spans="1:6">
      <c r="A1530" s="211" t="s">
        <v>2718</v>
      </c>
      <c r="B1530" s="211">
        <v>4028</v>
      </c>
      <c r="C1530" s="211">
        <v>1113</v>
      </c>
      <c r="D1530" s="211" t="s">
        <v>1255</v>
      </c>
      <c r="E1530" s="211" t="s">
        <v>10385</v>
      </c>
      <c r="F1530" s="211" t="s">
        <v>7224</v>
      </c>
    </row>
    <row r="1531" spans="1:6">
      <c r="A1531" s="211" t="s">
        <v>2719</v>
      </c>
      <c r="B1531" s="211">
        <v>3253</v>
      </c>
      <c r="C1531" s="211">
        <v>1069</v>
      </c>
      <c r="D1531" s="211" t="s">
        <v>1255</v>
      </c>
      <c r="E1531" s="211" t="s">
        <v>10385</v>
      </c>
      <c r="F1531" s="211" t="s">
        <v>7476</v>
      </c>
    </row>
    <row r="1532" spans="1:6">
      <c r="A1532" s="211" t="s">
        <v>5675</v>
      </c>
      <c r="B1532" s="211">
        <v>7076</v>
      </c>
      <c r="C1532" s="211">
        <v>815</v>
      </c>
      <c r="D1532" s="211" t="s">
        <v>1255</v>
      </c>
      <c r="E1532" s="211" t="s">
        <v>9263</v>
      </c>
      <c r="F1532" s="211" t="s">
        <v>7219</v>
      </c>
    </row>
    <row r="1533" spans="1:6">
      <c r="A1533" s="211" t="s">
        <v>4692</v>
      </c>
      <c r="B1533" s="211">
        <v>6373</v>
      </c>
      <c r="C1533" s="211">
        <v>801</v>
      </c>
      <c r="D1533" s="211" t="s">
        <v>1255</v>
      </c>
      <c r="E1533" s="211" t="s">
        <v>10385</v>
      </c>
      <c r="F1533" s="211" t="s">
        <v>7283</v>
      </c>
    </row>
    <row r="1534" spans="1:6">
      <c r="A1534" s="211" t="s">
        <v>2720</v>
      </c>
      <c r="B1534" s="211">
        <v>1553</v>
      </c>
      <c r="C1534" s="211">
        <v>1186</v>
      </c>
      <c r="D1534" s="211" t="s">
        <v>1255</v>
      </c>
      <c r="E1534" s="211" t="s">
        <v>10385</v>
      </c>
      <c r="F1534" s="211" t="s">
        <v>7248</v>
      </c>
    </row>
    <row r="1535" spans="1:6">
      <c r="A1535" s="211" t="s">
        <v>7708</v>
      </c>
      <c r="B1535" s="211">
        <v>376</v>
      </c>
      <c r="C1535" s="211" t="s">
        <v>10385</v>
      </c>
      <c r="D1535" s="211" t="s">
        <v>1255</v>
      </c>
      <c r="E1535" s="211" t="s">
        <v>10385</v>
      </c>
      <c r="F1535" s="211" t="s">
        <v>7343</v>
      </c>
    </row>
    <row r="1536" spans="1:6">
      <c r="A1536" s="211" t="s">
        <v>2721</v>
      </c>
      <c r="B1536" s="211">
        <v>2867</v>
      </c>
      <c r="C1536" s="211">
        <v>914</v>
      </c>
      <c r="D1536" s="211" t="s">
        <v>1117</v>
      </c>
      <c r="E1536" s="211" t="s">
        <v>10385</v>
      </c>
      <c r="F1536" s="211" t="s">
        <v>7322</v>
      </c>
    </row>
    <row r="1537" spans="1:6">
      <c r="A1537" s="211" t="s">
        <v>2722</v>
      </c>
      <c r="B1537" s="211">
        <v>4215</v>
      </c>
      <c r="C1537" s="211">
        <v>982</v>
      </c>
      <c r="D1537" s="211" t="s">
        <v>1255</v>
      </c>
      <c r="E1537" s="211" t="s">
        <v>10385</v>
      </c>
      <c r="F1537" s="211" t="s">
        <v>7430</v>
      </c>
    </row>
    <row r="1538" spans="1:6">
      <c r="A1538" s="211" t="s">
        <v>7709</v>
      </c>
      <c r="B1538" s="211">
        <v>3144</v>
      </c>
      <c r="C1538" s="211" t="s">
        <v>10385</v>
      </c>
      <c r="D1538" s="211" t="s">
        <v>1255</v>
      </c>
      <c r="E1538" s="211" t="s">
        <v>10385</v>
      </c>
      <c r="F1538" s="211" t="s">
        <v>7264</v>
      </c>
    </row>
    <row r="1539" spans="1:6">
      <c r="A1539" s="211" t="s">
        <v>10505</v>
      </c>
      <c r="B1539" s="211">
        <v>8752</v>
      </c>
      <c r="C1539" s="211">
        <v>1348</v>
      </c>
      <c r="D1539" s="211" t="s">
        <v>1255</v>
      </c>
      <c r="E1539" s="211" t="s">
        <v>10506</v>
      </c>
      <c r="F1539" s="211" t="s">
        <v>7173</v>
      </c>
    </row>
    <row r="1540" spans="1:6">
      <c r="A1540" s="211" t="s">
        <v>9264</v>
      </c>
      <c r="B1540" s="211">
        <v>8493</v>
      </c>
      <c r="C1540" s="211">
        <v>1186</v>
      </c>
      <c r="D1540" s="211" t="s">
        <v>1255</v>
      </c>
      <c r="E1540" s="211" t="s">
        <v>10385</v>
      </c>
      <c r="F1540" s="211" t="s">
        <v>9044</v>
      </c>
    </row>
    <row r="1541" spans="1:6">
      <c r="A1541" s="211" t="s">
        <v>5676</v>
      </c>
      <c r="B1541" s="211">
        <v>7297</v>
      </c>
      <c r="C1541" s="211">
        <v>866</v>
      </c>
      <c r="D1541" s="211" t="s">
        <v>1255</v>
      </c>
      <c r="E1541" s="211" t="s">
        <v>5677</v>
      </c>
      <c r="F1541" s="211" t="s">
        <v>7444</v>
      </c>
    </row>
    <row r="1542" spans="1:6">
      <c r="A1542" s="211" t="s">
        <v>2723</v>
      </c>
      <c r="B1542" s="211">
        <v>3691</v>
      </c>
      <c r="C1542" s="211">
        <v>1582</v>
      </c>
      <c r="D1542" s="211" t="s">
        <v>1255</v>
      </c>
      <c r="E1542" s="211" t="s">
        <v>10385</v>
      </c>
      <c r="F1542" s="211" t="s">
        <v>7223</v>
      </c>
    </row>
    <row r="1543" spans="1:6">
      <c r="A1543" s="211" t="s">
        <v>2724</v>
      </c>
      <c r="B1543" s="211">
        <v>5583</v>
      </c>
      <c r="C1543" s="211">
        <v>1663</v>
      </c>
      <c r="D1543" s="211" t="s">
        <v>1255</v>
      </c>
      <c r="E1543" s="211" t="s">
        <v>10385</v>
      </c>
      <c r="F1543" s="211" t="s">
        <v>7246</v>
      </c>
    </row>
    <row r="1544" spans="1:6">
      <c r="A1544" s="211" t="s">
        <v>2725</v>
      </c>
      <c r="B1544" s="211">
        <v>4563</v>
      </c>
      <c r="C1544" s="211">
        <v>791</v>
      </c>
      <c r="D1544" s="211" t="s">
        <v>1255</v>
      </c>
      <c r="E1544" s="211" t="s">
        <v>10385</v>
      </c>
      <c r="F1544" s="211" t="s">
        <v>7286</v>
      </c>
    </row>
    <row r="1545" spans="1:6">
      <c r="A1545" s="211" t="s">
        <v>7710</v>
      </c>
      <c r="B1545" s="211">
        <v>373</v>
      </c>
      <c r="C1545" s="211" t="s">
        <v>10385</v>
      </c>
      <c r="D1545" s="211" t="s">
        <v>1255</v>
      </c>
      <c r="E1545" s="211" t="s">
        <v>10385</v>
      </c>
      <c r="F1545" s="211" t="s">
        <v>7483</v>
      </c>
    </row>
    <row r="1546" spans="1:6">
      <c r="A1546" s="211" t="s">
        <v>7711</v>
      </c>
      <c r="B1546" s="211">
        <v>259</v>
      </c>
      <c r="C1546" s="211" t="s">
        <v>10385</v>
      </c>
      <c r="D1546" s="211" t="s">
        <v>1255</v>
      </c>
      <c r="E1546" s="211" t="s">
        <v>10385</v>
      </c>
      <c r="F1546" s="211" t="s">
        <v>7307</v>
      </c>
    </row>
    <row r="1547" spans="1:6">
      <c r="A1547" s="211" t="s">
        <v>2726</v>
      </c>
      <c r="B1547" s="211">
        <v>5690</v>
      </c>
      <c r="C1547" s="211">
        <v>1312</v>
      </c>
      <c r="D1547" s="211" t="s">
        <v>1255</v>
      </c>
      <c r="E1547" s="211" t="s">
        <v>10385</v>
      </c>
      <c r="F1547" s="211" t="s">
        <v>7441</v>
      </c>
    </row>
    <row r="1548" spans="1:6">
      <c r="A1548" s="211" t="s">
        <v>7712</v>
      </c>
      <c r="B1548" s="211">
        <v>5358</v>
      </c>
      <c r="C1548" s="211" t="s">
        <v>10385</v>
      </c>
      <c r="D1548" s="211" t="s">
        <v>1255</v>
      </c>
      <c r="E1548" s="211" t="s">
        <v>10385</v>
      </c>
      <c r="F1548" s="211" t="s">
        <v>7398</v>
      </c>
    </row>
    <row r="1549" spans="1:6">
      <c r="A1549" s="211" t="s">
        <v>7713</v>
      </c>
      <c r="B1549" s="211">
        <v>649</v>
      </c>
      <c r="C1549" s="211" t="s">
        <v>10385</v>
      </c>
      <c r="D1549" s="211" t="s">
        <v>1255</v>
      </c>
      <c r="E1549" s="211" t="s">
        <v>10385</v>
      </c>
      <c r="F1549" s="211" t="s">
        <v>7283</v>
      </c>
    </row>
    <row r="1550" spans="1:6">
      <c r="A1550" s="211" t="s">
        <v>4629</v>
      </c>
      <c r="B1550" s="211">
        <v>6337</v>
      </c>
      <c r="C1550" s="211">
        <v>1095</v>
      </c>
      <c r="D1550" s="211" t="s">
        <v>1255</v>
      </c>
      <c r="E1550" s="211" t="s">
        <v>10385</v>
      </c>
      <c r="F1550" s="211" t="s">
        <v>7288</v>
      </c>
    </row>
    <row r="1551" spans="1:6">
      <c r="A1551" s="211" t="s">
        <v>2727</v>
      </c>
      <c r="B1551" s="211">
        <v>1163</v>
      </c>
      <c r="C1551" s="211">
        <v>1339</v>
      </c>
      <c r="D1551" s="211" t="s">
        <v>1255</v>
      </c>
      <c r="E1551" s="211" t="s">
        <v>10385</v>
      </c>
      <c r="F1551" s="211" t="s">
        <v>7243</v>
      </c>
    </row>
    <row r="1552" spans="1:6">
      <c r="A1552" s="211" t="s">
        <v>2728</v>
      </c>
      <c r="B1552" s="211">
        <v>1259</v>
      </c>
      <c r="C1552" s="211">
        <v>1574</v>
      </c>
      <c r="D1552" s="211" t="s">
        <v>1255</v>
      </c>
      <c r="E1552" s="211" t="s">
        <v>10385</v>
      </c>
      <c r="F1552" s="211" t="s">
        <v>7356</v>
      </c>
    </row>
    <row r="1553" spans="1:6">
      <c r="A1553" s="211" t="s">
        <v>8906</v>
      </c>
      <c r="B1553" s="211">
        <v>6938</v>
      </c>
      <c r="C1553" s="211">
        <v>1172</v>
      </c>
      <c r="D1553" s="211" t="s">
        <v>1255</v>
      </c>
      <c r="E1553" s="211" t="s">
        <v>10385</v>
      </c>
      <c r="F1553" s="211" t="s">
        <v>7414</v>
      </c>
    </row>
    <row r="1554" spans="1:6">
      <c r="A1554" s="211" t="s">
        <v>8907</v>
      </c>
      <c r="B1554" s="211">
        <v>2424</v>
      </c>
      <c r="C1554" s="211">
        <v>1172</v>
      </c>
      <c r="D1554" s="211" t="s">
        <v>1255</v>
      </c>
      <c r="E1554" s="211" t="s">
        <v>10385</v>
      </c>
      <c r="F1554" s="211" t="s">
        <v>7275</v>
      </c>
    </row>
    <row r="1555" spans="1:6">
      <c r="A1555" s="211" t="s">
        <v>7714</v>
      </c>
      <c r="B1555" s="211">
        <v>5697</v>
      </c>
      <c r="C1555" s="211" t="s">
        <v>10385</v>
      </c>
      <c r="D1555" s="211" t="s">
        <v>1255</v>
      </c>
      <c r="E1555" s="211" t="s">
        <v>10385</v>
      </c>
      <c r="F1555" s="211" t="s">
        <v>7441</v>
      </c>
    </row>
    <row r="1556" spans="1:6">
      <c r="A1556" s="211" t="s">
        <v>5008</v>
      </c>
      <c r="B1556" s="211">
        <v>6790</v>
      </c>
      <c r="C1556" s="211">
        <v>824</v>
      </c>
      <c r="D1556" s="211" t="s">
        <v>1255</v>
      </c>
      <c r="E1556" s="211" t="s">
        <v>10385</v>
      </c>
      <c r="F1556" s="211" t="s">
        <v>7286</v>
      </c>
    </row>
    <row r="1557" spans="1:6">
      <c r="A1557" s="211" t="s">
        <v>2729</v>
      </c>
      <c r="B1557" s="211">
        <v>5663</v>
      </c>
      <c r="C1557" s="211">
        <v>1198</v>
      </c>
      <c r="D1557" s="211" t="s">
        <v>1117</v>
      </c>
      <c r="E1557" s="211" t="s">
        <v>10385</v>
      </c>
      <c r="F1557" s="211" t="s">
        <v>7342</v>
      </c>
    </row>
    <row r="1558" spans="1:6">
      <c r="A1558" s="211" t="s">
        <v>2730</v>
      </c>
      <c r="B1558" s="211">
        <v>3034</v>
      </c>
      <c r="C1558" s="211">
        <v>1448</v>
      </c>
      <c r="D1558" s="211" t="s">
        <v>1255</v>
      </c>
      <c r="E1558" s="211" t="s">
        <v>10507</v>
      </c>
      <c r="F1558" s="211" t="s">
        <v>7231</v>
      </c>
    </row>
    <row r="1559" spans="1:6">
      <c r="A1559" s="211" t="s">
        <v>10508</v>
      </c>
      <c r="B1559" s="211">
        <v>8721</v>
      </c>
      <c r="C1559" s="211">
        <v>936</v>
      </c>
      <c r="D1559" s="211" t="s">
        <v>1255</v>
      </c>
      <c r="E1559" s="211" t="s">
        <v>10509</v>
      </c>
      <c r="F1559" s="211" t="s">
        <v>7268</v>
      </c>
    </row>
    <row r="1560" spans="1:6">
      <c r="A1560" s="211" t="s">
        <v>2731</v>
      </c>
      <c r="B1560" s="211">
        <v>1531</v>
      </c>
      <c r="C1560" s="211">
        <v>943</v>
      </c>
      <c r="D1560" s="211" t="s">
        <v>1255</v>
      </c>
      <c r="E1560" s="211" t="s">
        <v>10385</v>
      </c>
      <c r="F1560" s="211" t="s">
        <v>7233</v>
      </c>
    </row>
    <row r="1561" spans="1:6">
      <c r="A1561" s="211" t="s">
        <v>5678</v>
      </c>
      <c r="B1561" s="211">
        <v>7408</v>
      </c>
      <c r="C1561" s="211">
        <v>1000</v>
      </c>
      <c r="D1561" s="211" t="s">
        <v>1255</v>
      </c>
      <c r="E1561" s="211" t="s">
        <v>10385</v>
      </c>
      <c r="F1561" s="211" t="s">
        <v>7577</v>
      </c>
    </row>
    <row r="1562" spans="1:6">
      <c r="A1562" s="211" t="s">
        <v>2732</v>
      </c>
      <c r="B1562" s="211">
        <v>3430</v>
      </c>
      <c r="C1562" s="211">
        <v>790</v>
      </c>
      <c r="D1562" s="211" t="s">
        <v>1255</v>
      </c>
      <c r="E1562" s="211" t="s">
        <v>10385</v>
      </c>
      <c r="F1562" s="211" t="s">
        <v>7629</v>
      </c>
    </row>
    <row r="1563" spans="1:6">
      <c r="A1563" s="211" t="s">
        <v>2733</v>
      </c>
      <c r="B1563" s="211">
        <v>5865</v>
      </c>
      <c r="C1563" s="211">
        <v>791</v>
      </c>
      <c r="D1563" s="211" t="s">
        <v>1255</v>
      </c>
      <c r="E1563" s="211" t="s">
        <v>10385</v>
      </c>
      <c r="F1563" s="211" t="s">
        <v>7248</v>
      </c>
    </row>
    <row r="1564" spans="1:6">
      <c r="A1564" s="211" t="s">
        <v>4507</v>
      </c>
      <c r="B1564" s="211">
        <v>6551</v>
      </c>
      <c r="C1564" s="211">
        <v>600</v>
      </c>
      <c r="D1564" s="211" t="s">
        <v>1255</v>
      </c>
      <c r="E1564" s="211" t="s">
        <v>10385</v>
      </c>
      <c r="F1564" s="211" t="s">
        <v>7286</v>
      </c>
    </row>
    <row r="1565" spans="1:6">
      <c r="A1565" s="211" t="s">
        <v>2734</v>
      </c>
      <c r="B1565" s="211">
        <v>1653</v>
      </c>
      <c r="C1565" s="211">
        <v>1748</v>
      </c>
      <c r="D1565" s="211" t="s">
        <v>1255</v>
      </c>
      <c r="E1565" s="211" t="s">
        <v>10385</v>
      </c>
      <c r="F1565" s="211" t="s">
        <v>7320</v>
      </c>
    </row>
    <row r="1566" spans="1:6">
      <c r="A1566" s="211" t="s">
        <v>4800</v>
      </c>
      <c r="B1566" s="211">
        <v>6147</v>
      </c>
      <c r="C1566" s="211">
        <v>1140</v>
      </c>
      <c r="D1566" s="211" t="s">
        <v>1255</v>
      </c>
      <c r="E1566" s="211" t="s">
        <v>10385</v>
      </c>
      <c r="F1566" s="211" t="s">
        <v>7377</v>
      </c>
    </row>
    <row r="1567" spans="1:6">
      <c r="A1567" s="211" t="s">
        <v>2735</v>
      </c>
      <c r="B1567" s="211">
        <v>5664</v>
      </c>
      <c r="C1567" s="211">
        <v>924</v>
      </c>
      <c r="D1567" s="211" t="s">
        <v>1117</v>
      </c>
      <c r="E1567" s="211" t="s">
        <v>10385</v>
      </c>
      <c r="F1567" s="211" t="s">
        <v>7239</v>
      </c>
    </row>
    <row r="1568" spans="1:6">
      <c r="A1568" s="211" t="s">
        <v>5009</v>
      </c>
      <c r="B1568" s="211">
        <v>6877</v>
      </c>
      <c r="C1568" s="211">
        <v>1808</v>
      </c>
      <c r="D1568" s="211" t="s">
        <v>1255</v>
      </c>
      <c r="E1568" s="211" t="s">
        <v>9265</v>
      </c>
      <c r="F1568" s="211" t="s">
        <v>7342</v>
      </c>
    </row>
    <row r="1569" spans="1:6">
      <c r="A1569" s="211" t="s">
        <v>7715</v>
      </c>
      <c r="B1569" s="211">
        <v>6526</v>
      </c>
      <c r="C1569" s="211">
        <v>1610</v>
      </c>
      <c r="D1569" s="211" t="s">
        <v>1117</v>
      </c>
      <c r="E1569" s="211" t="s">
        <v>9266</v>
      </c>
      <c r="F1569" s="211" t="s">
        <v>7205</v>
      </c>
    </row>
    <row r="1570" spans="1:6">
      <c r="A1570" s="211" t="s">
        <v>9267</v>
      </c>
      <c r="B1570" s="211">
        <v>8519</v>
      </c>
      <c r="C1570" s="211" t="s">
        <v>10385</v>
      </c>
      <c r="D1570" s="211" t="s">
        <v>1255</v>
      </c>
      <c r="E1570" s="211" t="s">
        <v>10385</v>
      </c>
      <c r="F1570" s="211" t="s">
        <v>7308</v>
      </c>
    </row>
    <row r="1571" spans="1:6">
      <c r="A1571" s="211" t="s">
        <v>2736</v>
      </c>
      <c r="B1571" s="211">
        <v>3271</v>
      </c>
      <c r="C1571" s="211">
        <v>1196</v>
      </c>
      <c r="D1571" s="211" t="s">
        <v>1255</v>
      </c>
      <c r="E1571" s="211" t="s">
        <v>10385</v>
      </c>
      <c r="F1571" s="211" t="s">
        <v>7344</v>
      </c>
    </row>
    <row r="1572" spans="1:6">
      <c r="A1572" s="211" t="s">
        <v>9268</v>
      </c>
      <c r="B1572" s="211">
        <v>8116</v>
      </c>
      <c r="C1572" s="211">
        <v>1401</v>
      </c>
      <c r="D1572" s="211" t="s">
        <v>1255</v>
      </c>
      <c r="E1572" s="211" t="s">
        <v>9269</v>
      </c>
      <c r="F1572" s="211" t="s">
        <v>7167</v>
      </c>
    </row>
    <row r="1573" spans="1:6">
      <c r="A1573" s="211" t="s">
        <v>2737</v>
      </c>
      <c r="B1573" s="211">
        <v>1814</v>
      </c>
      <c r="C1573" s="211">
        <v>896</v>
      </c>
      <c r="D1573" s="211" t="s">
        <v>1255</v>
      </c>
      <c r="E1573" s="211" t="s">
        <v>10385</v>
      </c>
      <c r="F1573" s="211" t="s">
        <v>7629</v>
      </c>
    </row>
    <row r="1574" spans="1:6">
      <c r="A1574" s="211" t="s">
        <v>5316</v>
      </c>
      <c r="B1574" s="211">
        <v>6288</v>
      </c>
      <c r="C1574" s="211">
        <v>986</v>
      </c>
      <c r="D1574" s="211" t="s">
        <v>1255</v>
      </c>
      <c r="E1574" s="211" t="s">
        <v>6723</v>
      </c>
      <c r="F1574" s="211" t="s">
        <v>7581</v>
      </c>
    </row>
    <row r="1575" spans="1:6">
      <c r="A1575" s="211" t="s">
        <v>7716</v>
      </c>
      <c r="B1575" s="211">
        <v>868</v>
      </c>
      <c r="C1575" s="211">
        <v>747</v>
      </c>
      <c r="D1575" s="211" t="s">
        <v>1255</v>
      </c>
      <c r="E1575" s="211" t="s">
        <v>10385</v>
      </c>
      <c r="F1575" s="211" t="s">
        <v>7717</v>
      </c>
    </row>
    <row r="1576" spans="1:6">
      <c r="A1576" s="211" t="s">
        <v>2738</v>
      </c>
      <c r="B1576" s="211">
        <v>5042</v>
      </c>
      <c r="C1576" s="211">
        <v>929</v>
      </c>
      <c r="D1576" s="211" t="s">
        <v>1255</v>
      </c>
      <c r="E1576" s="211" t="s">
        <v>10385</v>
      </c>
      <c r="F1576" s="211" t="s">
        <v>7425</v>
      </c>
    </row>
    <row r="1577" spans="1:6">
      <c r="A1577" s="211" t="s">
        <v>7718</v>
      </c>
      <c r="B1577" s="211">
        <v>1858</v>
      </c>
      <c r="C1577" s="211" t="s">
        <v>10385</v>
      </c>
      <c r="D1577" s="211" t="s">
        <v>1255</v>
      </c>
      <c r="E1577" s="211" t="s">
        <v>10385</v>
      </c>
      <c r="F1577" s="211" t="s">
        <v>7323</v>
      </c>
    </row>
    <row r="1578" spans="1:6">
      <c r="A1578" s="211" t="s">
        <v>9270</v>
      </c>
      <c r="B1578" s="211">
        <v>8149</v>
      </c>
      <c r="C1578" s="211">
        <v>1291</v>
      </c>
      <c r="D1578" s="211" t="s">
        <v>1117</v>
      </c>
      <c r="E1578" s="211" t="s">
        <v>9271</v>
      </c>
      <c r="F1578" s="211" t="s">
        <v>7240</v>
      </c>
    </row>
    <row r="1579" spans="1:6">
      <c r="A1579" s="211" t="s">
        <v>9272</v>
      </c>
      <c r="B1579" s="211">
        <v>8150</v>
      </c>
      <c r="C1579" s="211">
        <v>1331</v>
      </c>
      <c r="D1579" s="211" t="s">
        <v>1117</v>
      </c>
      <c r="E1579" s="211" t="s">
        <v>9273</v>
      </c>
      <c r="F1579" s="211" t="s">
        <v>7240</v>
      </c>
    </row>
    <row r="1580" spans="1:6">
      <c r="A1580" s="211" t="s">
        <v>2739</v>
      </c>
      <c r="B1580" s="211">
        <v>2935</v>
      </c>
      <c r="C1580" s="211">
        <v>973</v>
      </c>
      <c r="D1580" s="211" t="s">
        <v>1255</v>
      </c>
      <c r="E1580" s="211" t="s">
        <v>10385</v>
      </c>
      <c r="F1580" s="211" t="s">
        <v>7477</v>
      </c>
    </row>
    <row r="1581" spans="1:6">
      <c r="A1581" s="211" t="s">
        <v>2740</v>
      </c>
      <c r="B1581" s="211">
        <v>2459</v>
      </c>
      <c r="C1581" s="211">
        <v>977</v>
      </c>
      <c r="D1581" s="211" t="s">
        <v>1255</v>
      </c>
      <c r="E1581" s="211" t="s">
        <v>10385</v>
      </c>
      <c r="F1581" s="211" t="s">
        <v>7242</v>
      </c>
    </row>
    <row r="1582" spans="1:6">
      <c r="A1582" s="211" t="s">
        <v>4707</v>
      </c>
      <c r="B1582" s="211">
        <v>5884</v>
      </c>
      <c r="C1582" s="211">
        <v>985</v>
      </c>
      <c r="D1582" s="211" t="s">
        <v>1255</v>
      </c>
      <c r="E1582" s="211" t="s">
        <v>10385</v>
      </c>
      <c r="F1582" s="211" t="s">
        <v>7402</v>
      </c>
    </row>
    <row r="1583" spans="1:6">
      <c r="A1583" s="211" t="s">
        <v>2741</v>
      </c>
      <c r="B1583" s="211">
        <v>3065</v>
      </c>
      <c r="C1583" s="211">
        <v>911</v>
      </c>
      <c r="D1583" s="211" t="s">
        <v>1255</v>
      </c>
      <c r="E1583" s="211" t="s">
        <v>10385</v>
      </c>
      <c r="F1583" s="211" t="s">
        <v>7203</v>
      </c>
    </row>
    <row r="1584" spans="1:6">
      <c r="A1584" s="211" t="s">
        <v>2742</v>
      </c>
      <c r="B1584" s="211">
        <v>1866</v>
      </c>
      <c r="C1584" s="211">
        <v>1237</v>
      </c>
      <c r="D1584" s="211" t="s">
        <v>1255</v>
      </c>
      <c r="E1584" s="211" t="s">
        <v>10385</v>
      </c>
      <c r="F1584" s="211" t="s">
        <v>7203</v>
      </c>
    </row>
    <row r="1585" spans="1:6">
      <c r="A1585" s="211" t="s">
        <v>9274</v>
      </c>
      <c r="B1585" s="211">
        <v>8256</v>
      </c>
      <c r="C1585" s="211">
        <v>2000</v>
      </c>
      <c r="D1585" s="211" t="s">
        <v>1255</v>
      </c>
      <c r="E1585" s="211" t="s">
        <v>10385</v>
      </c>
      <c r="F1585" s="211" t="s">
        <v>9071</v>
      </c>
    </row>
    <row r="1586" spans="1:6">
      <c r="A1586" s="211" t="s">
        <v>2743</v>
      </c>
      <c r="B1586" s="211">
        <v>5282</v>
      </c>
      <c r="C1586" s="211">
        <v>946</v>
      </c>
      <c r="D1586" s="211" t="s">
        <v>1255</v>
      </c>
      <c r="E1586" s="211" t="s">
        <v>10385</v>
      </c>
      <c r="F1586" s="211" t="s">
        <v>7390</v>
      </c>
    </row>
    <row r="1587" spans="1:6">
      <c r="A1587" s="211" t="s">
        <v>6724</v>
      </c>
      <c r="B1587" s="211">
        <v>7626</v>
      </c>
      <c r="C1587" s="211">
        <v>1232</v>
      </c>
      <c r="D1587" s="211" t="s">
        <v>1255</v>
      </c>
      <c r="E1587" s="211" t="s">
        <v>10385</v>
      </c>
      <c r="F1587" s="211" t="s">
        <v>7277</v>
      </c>
    </row>
    <row r="1588" spans="1:6">
      <c r="A1588" s="211" t="s">
        <v>2744</v>
      </c>
      <c r="B1588" s="211">
        <v>5870</v>
      </c>
      <c r="C1588" s="211">
        <v>1155</v>
      </c>
      <c r="D1588" s="211" t="s">
        <v>1255</v>
      </c>
      <c r="E1588" s="211" t="s">
        <v>10385</v>
      </c>
      <c r="F1588" s="211" t="s">
        <v>7224</v>
      </c>
    </row>
    <row r="1589" spans="1:6">
      <c r="A1589" s="211" t="s">
        <v>7719</v>
      </c>
      <c r="B1589" s="211">
        <v>5549</v>
      </c>
      <c r="C1589" s="211" t="s">
        <v>10385</v>
      </c>
      <c r="D1589" s="211" t="s">
        <v>1117</v>
      </c>
      <c r="E1589" s="211" t="s">
        <v>10385</v>
      </c>
      <c r="F1589" s="211" t="s">
        <v>7398</v>
      </c>
    </row>
    <row r="1590" spans="1:6">
      <c r="A1590" s="211" t="s">
        <v>10510</v>
      </c>
      <c r="B1590" s="211">
        <v>8841</v>
      </c>
      <c r="C1590" s="211">
        <v>2052</v>
      </c>
      <c r="D1590" s="211" t="s">
        <v>1255</v>
      </c>
      <c r="E1590" s="211" t="s">
        <v>10511</v>
      </c>
      <c r="F1590" s="211" t="s">
        <v>7425</v>
      </c>
    </row>
    <row r="1591" spans="1:6">
      <c r="A1591" s="211" t="s">
        <v>10512</v>
      </c>
      <c r="B1591" s="211">
        <v>8578</v>
      </c>
      <c r="C1591" s="211">
        <v>1453</v>
      </c>
      <c r="D1591" s="211" t="s">
        <v>1255</v>
      </c>
      <c r="E1591" s="211" t="s">
        <v>10513</v>
      </c>
      <c r="F1591" s="211" t="s">
        <v>9469</v>
      </c>
    </row>
    <row r="1592" spans="1:6">
      <c r="A1592" s="211" t="s">
        <v>2745</v>
      </c>
      <c r="B1592" s="211">
        <v>1670</v>
      </c>
      <c r="C1592" s="211">
        <v>760</v>
      </c>
      <c r="D1592" s="211" t="s">
        <v>1117</v>
      </c>
      <c r="E1592" s="211" t="s">
        <v>10385</v>
      </c>
      <c r="F1592" s="211" t="s">
        <v>7270</v>
      </c>
    </row>
    <row r="1593" spans="1:6">
      <c r="A1593" s="211" t="s">
        <v>2746</v>
      </c>
      <c r="B1593" s="211">
        <v>4518</v>
      </c>
      <c r="C1593" s="211">
        <v>462</v>
      </c>
      <c r="D1593" s="211" t="s">
        <v>1117</v>
      </c>
      <c r="E1593" s="211" t="s">
        <v>10385</v>
      </c>
      <c r="F1593" s="211" t="s">
        <v>7356</v>
      </c>
    </row>
    <row r="1594" spans="1:6">
      <c r="A1594" s="211" t="s">
        <v>5679</v>
      </c>
      <c r="B1594" s="211">
        <v>7129</v>
      </c>
      <c r="C1594" s="211">
        <v>977</v>
      </c>
      <c r="D1594" s="211" t="s">
        <v>1255</v>
      </c>
      <c r="E1594" s="211" t="s">
        <v>10514</v>
      </c>
      <c r="F1594" s="211" t="s">
        <v>7258</v>
      </c>
    </row>
    <row r="1595" spans="1:6">
      <c r="A1595" s="211" t="s">
        <v>2747</v>
      </c>
      <c r="B1595" s="211">
        <v>1059</v>
      </c>
      <c r="C1595" s="211">
        <v>1251</v>
      </c>
      <c r="D1595" s="211" t="s">
        <v>1255</v>
      </c>
      <c r="E1595" s="211" t="s">
        <v>10385</v>
      </c>
      <c r="F1595" s="211" t="s">
        <v>7241</v>
      </c>
    </row>
    <row r="1596" spans="1:6">
      <c r="A1596" s="211" t="s">
        <v>4693</v>
      </c>
      <c r="B1596" s="211">
        <v>6385</v>
      </c>
      <c r="C1596" s="211">
        <v>1284</v>
      </c>
      <c r="D1596" s="211" t="s">
        <v>1255</v>
      </c>
      <c r="E1596" s="211" t="s">
        <v>10385</v>
      </c>
      <c r="F1596" s="211" t="s">
        <v>7384</v>
      </c>
    </row>
    <row r="1597" spans="1:6">
      <c r="A1597" s="211" t="s">
        <v>2748</v>
      </c>
      <c r="B1597" s="211">
        <v>2801</v>
      </c>
      <c r="C1597" s="211">
        <v>874</v>
      </c>
      <c r="D1597" s="211" t="s">
        <v>1117</v>
      </c>
      <c r="E1597" s="211" t="s">
        <v>10385</v>
      </c>
      <c r="F1597" s="211" t="s">
        <v>7208</v>
      </c>
    </row>
    <row r="1598" spans="1:6">
      <c r="A1598" s="211" t="s">
        <v>10515</v>
      </c>
      <c r="B1598" s="211">
        <v>8769</v>
      </c>
      <c r="C1598" s="211">
        <v>999</v>
      </c>
      <c r="D1598" s="211" t="s">
        <v>1117</v>
      </c>
      <c r="E1598" s="211" t="s">
        <v>10516</v>
      </c>
      <c r="F1598" s="211" t="s">
        <v>7318</v>
      </c>
    </row>
    <row r="1599" spans="1:6">
      <c r="A1599" s="211" t="s">
        <v>4728</v>
      </c>
      <c r="B1599" s="211">
        <v>6452</v>
      </c>
      <c r="C1599" s="211">
        <v>1691</v>
      </c>
      <c r="D1599" s="211" t="s">
        <v>1255</v>
      </c>
      <c r="E1599" s="211" t="s">
        <v>10385</v>
      </c>
      <c r="F1599" s="211" t="s">
        <v>7573</v>
      </c>
    </row>
    <row r="1600" spans="1:6">
      <c r="A1600" s="211" t="s">
        <v>2749</v>
      </c>
      <c r="B1600" s="211">
        <v>4659</v>
      </c>
      <c r="C1600" s="211">
        <v>1150</v>
      </c>
      <c r="D1600" s="211" t="s">
        <v>1255</v>
      </c>
      <c r="E1600" s="211" t="s">
        <v>10385</v>
      </c>
      <c r="F1600" s="211" t="s">
        <v>7223</v>
      </c>
    </row>
    <row r="1601" spans="1:6">
      <c r="A1601" s="211" t="s">
        <v>4801</v>
      </c>
      <c r="B1601" s="211">
        <v>6130</v>
      </c>
      <c r="C1601" s="211">
        <v>659</v>
      </c>
      <c r="D1601" s="211" t="s">
        <v>1117</v>
      </c>
      <c r="E1601" s="211" t="s">
        <v>10385</v>
      </c>
      <c r="F1601" s="211" t="s">
        <v>7267</v>
      </c>
    </row>
    <row r="1602" spans="1:6">
      <c r="A1602" s="211" t="s">
        <v>9275</v>
      </c>
      <c r="B1602" s="211">
        <v>8384</v>
      </c>
      <c r="C1602" s="211">
        <v>790</v>
      </c>
      <c r="D1602" s="211" t="s">
        <v>1117</v>
      </c>
      <c r="E1602" s="211" t="s">
        <v>9276</v>
      </c>
      <c r="F1602" s="211" t="s">
        <v>7239</v>
      </c>
    </row>
    <row r="1603" spans="1:6">
      <c r="A1603" s="211" t="s">
        <v>5317</v>
      </c>
      <c r="B1603" s="211">
        <v>6604</v>
      </c>
      <c r="C1603" s="211">
        <v>821</v>
      </c>
      <c r="D1603" s="211" t="s">
        <v>1255</v>
      </c>
      <c r="E1603" s="211" t="s">
        <v>10385</v>
      </c>
      <c r="F1603" s="211" t="s">
        <v>7349</v>
      </c>
    </row>
    <row r="1604" spans="1:6">
      <c r="A1604" s="211" t="s">
        <v>2750</v>
      </c>
      <c r="B1604" s="211">
        <v>1186</v>
      </c>
      <c r="C1604" s="211">
        <v>1114</v>
      </c>
      <c r="D1604" s="211" t="s">
        <v>1255</v>
      </c>
      <c r="E1604" s="211" t="s">
        <v>10385</v>
      </c>
      <c r="F1604" s="211" t="s">
        <v>7177</v>
      </c>
    </row>
    <row r="1605" spans="1:6">
      <c r="A1605" s="211" t="s">
        <v>4580</v>
      </c>
      <c r="B1605" s="211">
        <v>6298</v>
      </c>
      <c r="C1605" s="211">
        <v>1161</v>
      </c>
      <c r="D1605" s="211" t="s">
        <v>1255</v>
      </c>
      <c r="E1605" s="211" t="s">
        <v>10385</v>
      </c>
      <c r="F1605" s="211" t="s">
        <v>7453</v>
      </c>
    </row>
    <row r="1606" spans="1:6">
      <c r="A1606" s="211" t="s">
        <v>2751</v>
      </c>
      <c r="B1606" s="211">
        <v>3876</v>
      </c>
      <c r="C1606" s="211">
        <v>1000</v>
      </c>
      <c r="D1606" s="211" t="s">
        <v>1255</v>
      </c>
      <c r="E1606" s="211" t="s">
        <v>10385</v>
      </c>
      <c r="F1606" s="211" t="s">
        <v>7705</v>
      </c>
    </row>
    <row r="1607" spans="1:6">
      <c r="A1607" s="211" t="s">
        <v>7720</v>
      </c>
      <c r="B1607" s="211">
        <v>454</v>
      </c>
      <c r="C1607" s="211" t="s">
        <v>10385</v>
      </c>
      <c r="D1607" s="211" t="s">
        <v>1255</v>
      </c>
      <c r="E1607" s="211" t="s">
        <v>10385</v>
      </c>
      <c r="F1607" s="211" t="s">
        <v>7283</v>
      </c>
    </row>
    <row r="1608" spans="1:6">
      <c r="A1608" s="211" t="s">
        <v>9277</v>
      </c>
      <c r="B1608" s="211">
        <v>8240</v>
      </c>
      <c r="C1608" s="211">
        <v>1083</v>
      </c>
      <c r="D1608" s="211" t="s">
        <v>1255</v>
      </c>
      <c r="E1608" s="211" t="s">
        <v>10385</v>
      </c>
      <c r="F1608" s="211" t="s">
        <v>7384</v>
      </c>
    </row>
    <row r="1609" spans="1:6">
      <c r="A1609" s="211" t="s">
        <v>2752</v>
      </c>
      <c r="B1609" s="211">
        <v>2951</v>
      </c>
      <c r="C1609" s="211">
        <v>922</v>
      </c>
      <c r="D1609" s="211" t="s">
        <v>1255</v>
      </c>
      <c r="E1609" s="211" t="s">
        <v>10385</v>
      </c>
      <c r="F1609" s="211" t="s">
        <v>7402</v>
      </c>
    </row>
    <row r="1610" spans="1:6">
      <c r="A1610" s="211" t="s">
        <v>10517</v>
      </c>
      <c r="B1610" s="211">
        <v>8730</v>
      </c>
      <c r="C1610" s="211">
        <v>285</v>
      </c>
      <c r="D1610" s="211" t="s">
        <v>1117</v>
      </c>
      <c r="E1610" s="211" t="s">
        <v>10518</v>
      </c>
      <c r="F1610" s="211" t="s">
        <v>7510</v>
      </c>
    </row>
    <row r="1611" spans="1:6">
      <c r="A1611" s="211" t="s">
        <v>4658</v>
      </c>
      <c r="B1611" s="211">
        <v>6413</v>
      </c>
      <c r="C1611" s="211">
        <v>824</v>
      </c>
      <c r="D1611" s="211" t="s">
        <v>1255</v>
      </c>
      <c r="E1611" s="211" t="s">
        <v>10385</v>
      </c>
      <c r="F1611" s="211" t="s">
        <v>7556</v>
      </c>
    </row>
    <row r="1612" spans="1:6">
      <c r="A1612" s="211" t="s">
        <v>5010</v>
      </c>
      <c r="B1612" s="211">
        <v>6796</v>
      </c>
      <c r="C1612" s="211">
        <v>778</v>
      </c>
      <c r="D1612" s="211" t="s">
        <v>1117</v>
      </c>
      <c r="E1612" s="211" t="s">
        <v>10385</v>
      </c>
      <c r="F1612" s="211" t="s">
        <v>7334</v>
      </c>
    </row>
    <row r="1613" spans="1:6">
      <c r="A1613" s="211" t="s">
        <v>4827</v>
      </c>
      <c r="B1613" s="211">
        <v>6095</v>
      </c>
      <c r="C1613" s="211">
        <v>960</v>
      </c>
      <c r="D1613" s="211" t="s">
        <v>1255</v>
      </c>
      <c r="E1613" s="211" t="s">
        <v>5680</v>
      </c>
      <c r="F1613" s="211" t="s">
        <v>7323</v>
      </c>
    </row>
    <row r="1614" spans="1:6">
      <c r="A1614" s="211" t="s">
        <v>7721</v>
      </c>
      <c r="B1614" s="211">
        <v>1139</v>
      </c>
      <c r="C1614" s="211">
        <v>1317</v>
      </c>
      <c r="D1614" s="211" t="s">
        <v>1255</v>
      </c>
      <c r="E1614" s="211" t="s">
        <v>10385</v>
      </c>
      <c r="F1614" s="211" t="s">
        <v>7232</v>
      </c>
    </row>
    <row r="1615" spans="1:6">
      <c r="A1615" s="211" t="s">
        <v>2753</v>
      </c>
      <c r="B1615" s="211">
        <v>3681</v>
      </c>
      <c r="C1615" s="211">
        <v>1085</v>
      </c>
      <c r="D1615" s="211" t="s">
        <v>1255</v>
      </c>
      <c r="E1615" s="211" t="s">
        <v>10385</v>
      </c>
      <c r="F1615" s="211" t="s">
        <v>7221</v>
      </c>
    </row>
    <row r="1616" spans="1:6">
      <c r="A1616" s="211" t="s">
        <v>5011</v>
      </c>
      <c r="B1616" s="211">
        <v>6236</v>
      </c>
      <c r="C1616" s="211">
        <v>1391</v>
      </c>
      <c r="D1616" s="211" t="s">
        <v>1255</v>
      </c>
      <c r="E1616" s="211" t="s">
        <v>10385</v>
      </c>
      <c r="F1616" s="211" t="s">
        <v>7224</v>
      </c>
    </row>
    <row r="1617" spans="1:6">
      <c r="A1617" s="211" t="s">
        <v>5012</v>
      </c>
      <c r="B1617" s="211">
        <v>6998</v>
      </c>
      <c r="C1617" s="211">
        <v>583</v>
      </c>
      <c r="D1617" s="211" t="s">
        <v>1117</v>
      </c>
      <c r="E1617" s="211" t="s">
        <v>10385</v>
      </c>
      <c r="F1617" s="211" t="s">
        <v>7240</v>
      </c>
    </row>
    <row r="1618" spans="1:6">
      <c r="A1618" s="211" t="s">
        <v>6725</v>
      </c>
      <c r="B1618" s="211">
        <v>7790</v>
      </c>
      <c r="C1618" s="211">
        <v>812</v>
      </c>
      <c r="D1618" s="211" t="s">
        <v>1255</v>
      </c>
      <c r="E1618" s="211" t="s">
        <v>10385</v>
      </c>
      <c r="F1618" s="211" t="s">
        <v>7301</v>
      </c>
    </row>
    <row r="1619" spans="1:6">
      <c r="A1619" s="211" t="s">
        <v>6726</v>
      </c>
      <c r="B1619" s="211">
        <v>7622</v>
      </c>
      <c r="C1619" s="211">
        <v>938</v>
      </c>
      <c r="D1619" s="211" t="s">
        <v>1117</v>
      </c>
      <c r="E1619" s="211" t="s">
        <v>10519</v>
      </c>
      <c r="F1619" s="211" t="s">
        <v>7258</v>
      </c>
    </row>
    <row r="1620" spans="1:6">
      <c r="A1620" s="211" t="s">
        <v>7722</v>
      </c>
      <c r="B1620" s="211">
        <v>49</v>
      </c>
      <c r="C1620" s="211" t="s">
        <v>10385</v>
      </c>
      <c r="D1620" s="211" t="s">
        <v>1255</v>
      </c>
      <c r="E1620" s="211" t="s">
        <v>10385</v>
      </c>
      <c r="F1620" s="211" t="s">
        <v>7219</v>
      </c>
    </row>
    <row r="1621" spans="1:6">
      <c r="A1621" s="211" t="s">
        <v>10520</v>
      </c>
      <c r="B1621" s="211">
        <v>8714</v>
      </c>
      <c r="C1621" s="211">
        <v>1108</v>
      </c>
      <c r="D1621" s="211" t="s">
        <v>1255</v>
      </c>
      <c r="E1621" s="211" t="s">
        <v>10521</v>
      </c>
      <c r="F1621" s="211" t="s">
        <v>7288</v>
      </c>
    </row>
    <row r="1622" spans="1:6">
      <c r="A1622" s="211" t="s">
        <v>7723</v>
      </c>
      <c r="B1622" s="211">
        <v>120</v>
      </c>
      <c r="C1622" s="211" t="s">
        <v>10385</v>
      </c>
      <c r="D1622" s="211" t="s">
        <v>1255</v>
      </c>
      <c r="E1622" s="211" t="s">
        <v>10385</v>
      </c>
      <c r="F1622" s="211" t="s">
        <v>7483</v>
      </c>
    </row>
    <row r="1623" spans="1:6">
      <c r="A1623" s="211" t="s">
        <v>4560</v>
      </c>
      <c r="B1623" s="211">
        <v>6479</v>
      </c>
      <c r="C1623" s="211">
        <v>919</v>
      </c>
      <c r="D1623" s="211" t="s">
        <v>1255</v>
      </c>
      <c r="E1623" s="211" t="s">
        <v>10385</v>
      </c>
      <c r="F1623" s="211" t="s">
        <v>7724</v>
      </c>
    </row>
    <row r="1624" spans="1:6">
      <c r="A1624" s="211" t="s">
        <v>9278</v>
      </c>
      <c r="B1624" s="211">
        <v>8180</v>
      </c>
      <c r="C1624" s="211">
        <v>1208</v>
      </c>
      <c r="D1624" s="211" t="s">
        <v>1255</v>
      </c>
      <c r="E1624" s="211" t="s">
        <v>9279</v>
      </c>
      <c r="F1624" s="211" t="s">
        <v>7561</v>
      </c>
    </row>
    <row r="1625" spans="1:6">
      <c r="A1625" s="211" t="s">
        <v>7725</v>
      </c>
      <c r="B1625" s="211">
        <v>1881</v>
      </c>
      <c r="C1625" s="211" t="s">
        <v>10385</v>
      </c>
      <c r="D1625" s="211" t="s">
        <v>1255</v>
      </c>
      <c r="E1625" s="211" t="s">
        <v>10385</v>
      </c>
      <c r="F1625" s="211" t="s">
        <v>7327</v>
      </c>
    </row>
    <row r="1626" spans="1:6">
      <c r="A1626" s="211" t="s">
        <v>9280</v>
      </c>
      <c r="B1626" s="211">
        <v>8088</v>
      </c>
      <c r="C1626" s="211">
        <v>983</v>
      </c>
      <c r="D1626" s="211" t="s">
        <v>1255</v>
      </c>
      <c r="E1626" s="211" t="s">
        <v>10385</v>
      </c>
      <c r="F1626" s="211" t="s">
        <v>9281</v>
      </c>
    </row>
    <row r="1627" spans="1:6">
      <c r="A1627" s="211" t="s">
        <v>2754</v>
      </c>
      <c r="B1627" s="211">
        <v>1505</v>
      </c>
      <c r="C1627" s="211">
        <v>1385</v>
      </c>
      <c r="D1627" s="211" t="s">
        <v>1255</v>
      </c>
      <c r="E1627" s="211" t="s">
        <v>10385</v>
      </c>
      <c r="F1627" s="211" t="s">
        <v>7344</v>
      </c>
    </row>
    <row r="1628" spans="1:6">
      <c r="A1628" s="211" t="s">
        <v>4778</v>
      </c>
      <c r="B1628" s="211">
        <v>6174</v>
      </c>
      <c r="C1628" s="211">
        <v>1018</v>
      </c>
      <c r="D1628" s="211" t="s">
        <v>1255</v>
      </c>
      <c r="E1628" s="211" t="s">
        <v>10385</v>
      </c>
      <c r="F1628" s="211" t="s">
        <v>7275</v>
      </c>
    </row>
    <row r="1629" spans="1:6">
      <c r="A1629" s="211" t="s">
        <v>7726</v>
      </c>
      <c r="B1629" s="211">
        <v>5349</v>
      </c>
      <c r="C1629" s="211" t="s">
        <v>10385</v>
      </c>
      <c r="D1629" s="211" t="s">
        <v>1255</v>
      </c>
      <c r="E1629" s="211" t="s">
        <v>10385</v>
      </c>
      <c r="F1629" s="211" t="s">
        <v>7248</v>
      </c>
    </row>
    <row r="1630" spans="1:6">
      <c r="A1630" s="211" t="s">
        <v>2755</v>
      </c>
      <c r="B1630" s="211">
        <v>2596</v>
      </c>
      <c r="C1630" s="211">
        <v>880</v>
      </c>
      <c r="D1630" s="211" t="s">
        <v>1255</v>
      </c>
      <c r="E1630" s="211" t="s">
        <v>10385</v>
      </c>
      <c r="F1630" s="211" t="s">
        <v>7213</v>
      </c>
    </row>
    <row r="1631" spans="1:6">
      <c r="A1631" s="211" t="s">
        <v>7727</v>
      </c>
      <c r="B1631" s="211">
        <v>2795</v>
      </c>
      <c r="C1631" s="211" t="s">
        <v>10385</v>
      </c>
      <c r="D1631" s="211" t="s">
        <v>1255</v>
      </c>
      <c r="E1631" s="211" t="s">
        <v>10385</v>
      </c>
      <c r="F1631" s="211" t="s">
        <v>7438</v>
      </c>
    </row>
    <row r="1632" spans="1:6">
      <c r="A1632" s="211" t="s">
        <v>7728</v>
      </c>
      <c r="B1632" s="211">
        <v>4725</v>
      </c>
      <c r="C1632" s="211" t="s">
        <v>10385</v>
      </c>
      <c r="D1632" s="211" t="s">
        <v>1255</v>
      </c>
      <c r="E1632" s="211" t="s">
        <v>10385</v>
      </c>
      <c r="F1632" s="211" t="s">
        <v>7249</v>
      </c>
    </row>
    <row r="1633" spans="1:6">
      <c r="A1633" s="211" t="s">
        <v>4750</v>
      </c>
      <c r="B1633" s="211">
        <v>6198</v>
      </c>
      <c r="C1633" s="211">
        <v>1315</v>
      </c>
      <c r="D1633" s="211" t="s">
        <v>1255</v>
      </c>
      <c r="E1633" s="211" t="s">
        <v>5681</v>
      </c>
      <c r="F1633" s="211" t="s">
        <v>7282</v>
      </c>
    </row>
    <row r="1634" spans="1:6">
      <c r="A1634" s="211" t="s">
        <v>2756</v>
      </c>
      <c r="B1634" s="211">
        <v>3525</v>
      </c>
      <c r="C1634" s="211">
        <v>1163</v>
      </c>
      <c r="D1634" s="211" t="s">
        <v>1117</v>
      </c>
      <c r="E1634" s="211" t="s">
        <v>10385</v>
      </c>
      <c r="F1634" s="211" t="s">
        <v>7212</v>
      </c>
    </row>
    <row r="1635" spans="1:6">
      <c r="A1635" s="211" t="s">
        <v>2757</v>
      </c>
      <c r="B1635" s="211">
        <v>5377</v>
      </c>
      <c r="C1635" s="211">
        <v>1787</v>
      </c>
      <c r="D1635" s="211" t="s">
        <v>1255</v>
      </c>
      <c r="E1635" s="211" t="s">
        <v>10385</v>
      </c>
      <c r="F1635" s="211" t="s">
        <v>7270</v>
      </c>
    </row>
    <row r="1636" spans="1:6">
      <c r="A1636" s="211" t="s">
        <v>7729</v>
      </c>
      <c r="B1636" s="211">
        <v>212</v>
      </c>
      <c r="C1636" s="211" t="s">
        <v>10385</v>
      </c>
      <c r="D1636" s="211" t="s">
        <v>1255</v>
      </c>
      <c r="E1636" s="211" t="s">
        <v>10385</v>
      </c>
      <c r="F1636" s="211" t="s">
        <v>7239</v>
      </c>
    </row>
    <row r="1637" spans="1:6">
      <c r="A1637" s="211" t="s">
        <v>2758</v>
      </c>
      <c r="B1637" s="211">
        <v>5512</v>
      </c>
      <c r="C1637" s="211">
        <v>721</v>
      </c>
      <c r="D1637" s="211" t="s">
        <v>1117</v>
      </c>
      <c r="E1637" s="211" t="s">
        <v>10385</v>
      </c>
      <c r="F1637" s="211" t="s">
        <v>7205</v>
      </c>
    </row>
    <row r="1638" spans="1:6">
      <c r="A1638" s="211" t="s">
        <v>2759</v>
      </c>
      <c r="B1638" s="211">
        <v>1939</v>
      </c>
      <c r="C1638" s="211">
        <v>1405</v>
      </c>
      <c r="D1638" s="211" t="s">
        <v>1255</v>
      </c>
      <c r="E1638" s="211" t="s">
        <v>10385</v>
      </c>
      <c r="F1638" s="211" t="s">
        <v>7283</v>
      </c>
    </row>
    <row r="1639" spans="1:6">
      <c r="A1639" s="211" t="s">
        <v>5682</v>
      </c>
      <c r="B1639" s="211">
        <v>7330</v>
      </c>
      <c r="C1639" s="211">
        <v>890</v>
      </c>
      <c r="D1639" s="211" t="s">
        <v>1117</v>
      </c>
      <c r="E1639" s="211" t="s">
        <v>10385</v>
      </c>
      <c r="F1639" s="211" t="s">
        <v>7425</v>
      </c>
    </row>
    <row r="1640" spans="1:6">
      <c r="A1640" s="211" t="s">
        <v>2760</v>
      </c>
      <c r="B1640" s="211">
        <v>4448</v>
      </c>
      <c r="C1640" s="211">
        <v>749</v>
      </c>
      <c r="D1640" s="211" t="s">
        <v>1255</v>
      </c>
      <c r="E1640" s="211" t="s">
        <v>10385</v>
      </c>
      <c r="F1640" s="211" t="s">
        <v>7310</v>
      </c>
    </row>
    <row r="1641" spans="1:6">
      <c r="A1641" s="211" t="s">
        <v>2761</v>
      </c>
      <c r="B1641" s="211">
        <v>2414</v>
      </c>
      <c r="C1641" s="211">
        <v>769</v>
      </c>
      <c r="D1641" s="211" t="s">
        <v>1255</v>
      </c>
      <c r="E1641" s="211" t="s">
        <v>10385</v>
      </c>
      <c r="F1641" s="211" t="s">
        <v>7438</v>
      </c>
    </row>
    <row r="1642" spans="1:6">
      <c r="A1642" s="211" t="s">
        <v>9282</v>
      </c>
      <c r="B1642" s="211">
        <v>8288</v>
      </c>
      <c r="C1642" s="211">
        <v>799</v>
      </c>
      <c r="D1642" s="211" t="s">
        <v>1255</v>
      </c>
      <c r="E1642" s="211" t="s">
        <v>10385</v>
      </c>
      <c r="F1642" s="211" t="s">
        <v>7301</v>
      </c>
    </row>
    <row r="1643" spans="1:6">
      <c r="A1643" s="211" t="s">
        <v>2762</v>
      </c>
      <c r="B1643" s="211">
        <v>5851</v>
      </c>
      <c r="C1643" s="211">
        <v>2072</v>
      </c>
      <c r="D1643" s="211" t="s">
        <v>1255</v>
      </c>
      <c r="E1643" s="211" t="s">
        <v>5683</v>
      </c>
      <c r="F1643" s="211" t="s">
        <v>7247</v>
      </c>
    </row>
    <row r="1644" spans="1:6">
      <c r="A1644" s="211" t="s">
        <v>7730</v>
      </c>
      <c r="B1644" s="211">
        <v>208</v>
      </c>
      <c r="C1644" s="211" t="s">
        <v>10385</v>
      </c>
      <c r="D1644" s="211" t="s">
        <v>1255</v>
      </c>
      <c r="E1644" s="211" t="s">
        <v>10385</v>
      </c>
      <c r="F1644" s="211" t="s">
        <v>7207</v>
      </c>
    </row>
    <row r="1645" spans="1:6">
      <c r="A1645" s="211" t="s">
        <v>5684</v>
      </c>
      <c r="B1645" s="211">
        <v>7189</v>
      </c>
      <c r="C1645" s="211">
        <v>922</v>
      </c>
      <c r="D1645" s="211" t="s">
        <v>1255</v>
      </c>
      <c r="E1645" s="211" t="s">
        <v>10385</v>
      </c>
      <c r="F1645" s="211" t="s">
        <v>7216</v>
      </c>
    </row>
    <row r="1646" spans="1:6">
      <c r="A1646" s="211" t="s">
        <v>2763</v>
      </c>
      <c r="B1646" s="211">
        <v>2756</v>
      </c>
      <c r="C1646" s="211">
        <v>1032</v>
      </c>
      <c r="D1646" s="211" t="s">
        <v>1255</v>
      </c>
      <c r="E1646" s="211" t="s">
        <v>10385</v>
      </c>
      <c r="F1646" s="211" t="s">
        <v>7399</v>
      </c>
    </row>
    <row r="1647" spans="1:6">
      <c r="A1647" s="211" t="s">
        <v>2764</v>
      </c>
      <c r="B1647" s="211">
        <v>4827</v>
      </c>
      <c r="C1647" s="211">
        <v>727</v>
      </c>
      <c r="D1647" s="211" t="s">
        <v>1255</v>
      </c>
      <c r="E1647" s="211" t="s">
        <v>10385</v>
      </c>
      <c r="F1647" s="211" t="s">
        <v>10391</v>
      </c>
    </row>
    <row r="1648" spans="1:6">
      <c r="A1648" s="211" t="s">
        <v>2765</v>
      </c>
      <c r="B1648" s="211">
        <v>2296</v>
      </c>
      <c r="C1648" s="211">
        <v>1448</v>
      </c>
      <c r="D1648" s="211" t="s">
        <v>1255</v>
      </c>
      <c r="E1648" s="211" t="s">
        <v>10385</v>
      </c>
      <c r="F1648" s="211" t="s">
        <v>7415</v>
      </c>
    </row>
    <row r="1649" spans="1:6">
      <c r="A1649" s="211" t="s">
        <v>9283</v>
      </c>
      <c r="B1649" s="211">
        <v>8268</v>
      </c>
      <c r="C1649" s="211">
        <v>976</v>
      </c>
      <c r="D1649" s="211" t="s">
        <v>1255</v>
      </c>
      <c r="E1649" s="211" t="s">
        <v>9284</v>
      </c>
      <c r="F1649" s="211" t="s">
        <v>7283</v>
      </c>
    </row>
    <row r="1650" spans="1:6">
      <c r="A1650" s="211" t="s">
        <v>7731</v>
      </c>
      <c r="B1650" s="211">
        <v>657</v>
      </c>
      <c r="C1650" s="211" t="s">
        <v>10385</v>
      </c>
      <c r="D1650" s="211" t="s">
        <v>1255</v>
      </c>
      <c r="E1650" s="211" t="s">
        <v>10385</v>
      </c>
      <c r="F1650" s="211" t="s">
        <v>7283</v>
      </c>
    </row>
    <row r="1651" spans="1:6">
      <c r="A1651" s="211" t="s">
        <v>2766</v>
      </c>
      <c r="B1651" s="211">
        <v>2387</v>
      </c>
      <c r="C1651" s="211">
        <v>856</v>
      </c>
      <c r="D1651" s="211" t="s">
        <v>1255</v>
      </c>
      <c r="E1651" s="211" t="s">
        <v>10385</v>
      </c>
      <c r="F1651" s="211" t="s">
        <v>7382</v>
      </c>
    </row>
    <row r="1652" spans="1:6">
      <c r="A1652" s="211" t="s">
        <v>2767</v>
      </c>
      <c r="B1652" s="211">
        <v>1700</v>
      </c>
      <c r="C1652" s="211">
        <v>807</v>
      </c>
      <c r="D1652" s="211" t="s">
        <v>1255</v>
      </c>
      <c r="E1652" s="211" t="s">
        <v>10385</v>
      </c>
      <c r="F1652" s="211" t="s">
        <v>7323</v>
      </c>
    </row>
    <row r="1653" spans="1:6">
      <c r="A1653" s="211" t="s">
        <v>2768</v>
      </c>
      <c r="B1653" s="211">
        <v>4386</v>
      </c>
      <c r="C1653" s="211">
        <v>1728</v>
      </c>
      <c r="D1653" s="211" t="s">
        <v>1255</v>
      </c>
      <c r="E1653" s="211" t="s">
        <v>5685</v>
      </c>
      <c r="F1653" s="211" t="s">
        <v>7247</v>
      </c>
    </row>
    <row r="1654" spans="1:6">
      <c r="A1654" s="211" t="s">
        <v>2769</v>
      </c>
      <c r="B1654" s="211">
        <v>1138</v>
      </c>
      <c r="C1654" s="211">
        <v>1428</v>
      </c>
      <c r="D1654" s="211" t="s">
        <v>1255</v>
      </c>
      <c r="E1654" s="211" t="s">
        <v>10385</v>
      </c>
      <c r="F1654" s="211" t="s">
        <v>7232</v>
      </c>
    </row>
    <row r="1655" spans="1:6">
      <c r="A1655" s="211" t="s">
        <v>5686</v>
      </c>
      <c r="B1655" s="211">
        <v>7275</v>
      </c>
      <c r="C1655" s="211">
        <v>1080</v>
      </c>
      <c r="D1655" s="211" t="s">
        <v>1255</v>
      </c>
      <c r="E1655" s="211" t="s">
        <v>6457</v>
      </c>
      <c r="F1655" s="211" t="s">
        <v>7430</v>
      </c>
    </row>
    <row r="1656" spans="1:6">
      <c r="A1656" s="211" t="s">
        <v>2770</v>
      </c>
      <c r="B1656" s="211">
        <v>6035</v>
      </c>
      <c r="C1656" s="211">
        <v>1069</v>
      </c>
      <c r="D1656" s="211" t="s">
        <v>1255</v>
      </c>
      <c r="E1656" s="211" t="s">
        <v>10385</v>
      </c>
      <c r="F1656" s="211" t="s">
        <v>7430</v>
      </c>
    </row>
    <row r="1657" spans="1:6">
      <c r="A1657" s="211" t="s">
        <v>7732</v>
      </c>
      <c r="B1657" s="211">
        <v>2442</v>
      </c>
      <c r="C1657" s="211" t="s">
        <v>10385</v>
      </c>
      <c r="D1657" s="211" t="s">
        <v>1255</v>
      </c>
      <c r="E1657" s="211" t="s">
        <v>10385</v>
      </c>
      <c r="F1657" s="211" t="s">
        <v>7208</v>
      </c>
    </row>
    <row r="1658" spans="1:6">
      <c r="A1658" s="211" t="s">
        <v>2771</v>
      </c>
      <c r="B1658" s="211">
        <v>1402</v>
      </c>
      <c r="C1658" s="211">
        <v>1039</v>
      </c>
      <c r="D1658" s="211" t="s">
        <v>1255</v>
      </c>
      <c r="E1658" s="211" t="s">
        <v>10385</v>
      </c>
      <c r="F1658" s="211" t="s">
        <v>7657</v>
      </c>
    </row>
    <row r="1659" spans="1:6">
      <c r="A1659" s="211" t="s">
        <v>2962</v>
      </c>
      <c r="B1659" s="211">
        <v>2592</v>
      </c>
      <c r="C1659" s="211">
        <v>904</v>
      </c>
      <c r="D1659" s="211" t="s">
        <v>1255</v>
      </c>
      <c r="E1659" s="211" t="s">
        <v>10385</v>
      </c>
      <c r="F1659" s="211" t="s">
        <v>7386</v>
      </c>
    </row>
    <row r="1660" spans="1:6">
      <c r="A1660" s="211" t="s">
        <v>5013</v>
      </c>
      <c r="B1660" s="211">
        <v>5197</v>
      </c>
      <c r="C1660" s="211">
        <v>824</v>
      </c>
      <c r="D1660" s="211" t="s">
        <v>1255</v>
      </c>
      <c r="E1660" s="211" t="s">
        <v>10385</v>
      </c>
      <c r="F1660" s="211" t="s">
        <v>7189</v>
      </c>
    </row>
    <row r="1661" spans="1:6">
      <c r="A1661" s="211" t="s">
        <v>9285</v>
      </c>
      <c r="B1661" s="211">
        <v>8382</v>
      </c>
      <c r="C1661" s="211">
        <v>1040</v>
      </c>
      <c r="D1661" s="211" t="s">
        <v>1117</v>
      </c>
      <c r="E1661" s="211" t="s">
        <v>9286</v>
      </c>
      <c r="F1661" s="211" t="s">
        <v>7239</v>
      </c>
    </row>
    <row r="1662" spans="1:6">
      <c r="A1662" s="211" t="s">
        <v>2772</v>
      </c>
      <c r="B1662" s="211">
        <v>3403</v>
      </c>
      <c r="C1662" s="211">
        <v>1164</v>
      </c>
      <c r="D1662" s="211" t="s">
        <v>1255</v>
      </c>
      <c r="E1662" s="211" t="s">
        <v>10385</v>
      </c>
      <c r="F1662" s="211" t="s">
        <v>7646</v>
      </c>
    </row>
    <row r="1663" spans="1:6">
      <c r="A1663" s="211" t="s">
        <v>2773</v>
      </c>
      <c r="B1663" s="211">
        <v>3058</v>
      </c>
      <c r="C1663" s="211">
        <v>1483</v>
      </c>
      <c r="D1663" s="211" t="s">
        <v>1255</v>
      </c>
      <c r="E1663" s="211" t="s">
        <v>10385</v>
      </c>
      <c r="F1663" s="211" t="s">
        <v>7213</v>
      </c>
    </row>
    <row r="1664" spans="1:6">
      <c r="A1664" s="211" t="s">
        <v>7733</v>
      </c>
      <c r="B1664" s="211">
        <v>148</v>
      </c>
      <c r="C1664" s="211" t="s">
        <v>10385</v>
      </c>
      <c r="D1664" s="211" t="s">
        <v>1255</v>
      </c>
      <c r="E1664" s="211" t="s">
        <v>10385</v>
      </c>
      <c r="F1664" s="211" t="s">
        <v>7207</v>
      </c>
    </row>
    <row r="1665" spans="1:6">
      <c r="A1665" s="211" t="s">
        <v>7734</v>
      </c>
      <c r="B1665" s="211">
        <v>441</v>
      </c>
      <c r="C1665" s="211" t="s">
        <v>10385</v>
      </c>
      <c r="D1665" s="211" t="s">
        <v>1255</v>
      </c>
      <c r="E1665" s="211" t="s">
        <v>10385</v>
      </c>
      <c r="F1665" s="211" t="s">
        <v>7342</v>
      </c>
    </row>
    <row r="1666" spans="1:6">
      <c r="A1666" s="211" t="s">
        <v>2774</v>
      </c>
      <c r="B1666" s="211">
        <v>1279</v>
      </c>
      <c r="C1666" s="211">
        <v>1827</v>
      </c>
      <c r="D1666" s="211" t="s">
        <v>1255</v>
      </c>
      <c r="E1666" s="211" t="s">
        <v>10385</v>
      </c>
      <c r="F1666" s="211" t="s">
        <v>7249</v>
      </c>
    </row>
    <row r="1667" spans="1:6">
      <c r="A1667" s="211" t="s">
        <v>2775</v>
      </c>
      <c r="B1667" s="211">
        <v>1788</v>
      </c>
      <c r="C1667" s="211">
        <v>2263</v>
      </c>
      <c r="D1667" s="211" t="s">
        <v>1255</v>
      </c>
      <c r="E1667" s="211" t="s">
        <v>10385</v>
      </c>
      <c r="F1667" s="211" t="s">
        <v>7342</v>
      </c>
    </row>
    <row r="1668" spans="1:6">
      <c r="A1668" s="211" t="s">
        <v>4535</v>
      </c>
      <c r="B1668" s="211">
        <v>5742</v>
      </c>
      <c r="C1668" s="211">
        <v>1227</v>
      </c>
      <c r="D1668" s="211" t="s">
        <v>1255</v>
      </c>
      <c r="E1668" s="211" t="s">
        <v>3071</v>
      </c>
      <c r="F1668" s="211" t="s">
        <v>7285</v>
      </c>
    </row>
    <row r="1669" spans="1:6">
      <c r="A1669" s="211" t="s">
        <v>5687</v>
      </c>
      <c r="B1669" s="211">
        <v>7033</v>
      </c>
      <c r="C1669" s="211">
        <v>1035</v>
      </c>
      <c r="D1669" s="211" t="s">
        <v>1117</v>
      </c>
      <c r="E1669" s="211" t="s">
        <v>5688</v>
      </c>
      <c r="F1669" s="211" t="s">
        <v>7279</v>
      </c>
    </row>
    <row r="1670" spans="1:6">
      <c r="A1670" s="211" t="s">
        <v>10522</v>
      </c>
      <c r="B1670" s="211">
        <v>8750</v>
      </c>
      <c r="C1670" s="211">
        <v>1354</v>
      </c>
      <c r="D1670" s="211" t="s">
        <v>1255</v>
      </c>
      <c r="E1670" s="211" t="s">
        <v>10523</v>
      </c>
      <c r="F1670" s="211" t="s">
        <v>7173</v>
      </c>
    </row>
    <row r="1671" spans="1:6">
      <c r="A1671" s="211" t="s">
        <v>3053</v>
      </c>
      <c r="B1671" s="211">
        <v>6274</v>
      </c>
      <c r="C1671" s="211">
        <v>1004</v>
      </c>
      <c r="D1671" s="211" t="s">
        <v>1255</v>
      </c>
      <c r="E1671" s="211" t="s">
        <v>10385</v>
      </c>
      <c r="F1671" s="211" t="s">
        <v>9024</v>
      </c>
    </row>
    <row r="1672" spans="1:6">
      <c r="A1672" s="211" t="s">
        <v>2776</v>
      </c>
      <c r="B1672" s="211">
        <v>2772</v>
      </c>
      <c r="C1672" s="211">
        <v>954</v>
      </c>
      <c r="D1672" s="211" t="s">
        <v>1117</v>
      </c>
      <c r="E1672" s="211" t="s">
        <v>10385</v>
      </c>
      <c r="F1672" s="211" t="s">
        <v>7173</v>
      </c>
    </row>
    <row r="1673" spans="1:6">
      <c r="A1673" s="211" t="s">
        <v>4779</v>
      </c>
      <c r="B1673" s="211">
        <v>6163</v>
      </c>
      <c r="C1673" s="211">
        <v>949</v>
      </c>
      <c r="D1673" s="211" t="s">
        <v>1255</v>
      </c>
      <c r="E1673" s="211" t="s">
        <v>5689</v>
      </c>
      <c r="F1673" s="211" t="s">
        <v>7659</v>
      </c>
    </row>
    <row r="1674" spans="1:6">
      <c r="A1674" s="211" t="s">
        <v>4708</v>
      </c>
      <c r="B1674" s="211">
        <v>5866</v>
      </c>
      <c r="C1674" s="211">
        <v>1151</v>
      </c>
      <c r="D1674" s="211" t="s">
        <v>1255</v>
      </c>
      <c r="E1674" s="211" t="s">
        <v>10385</v>
      </c>
      <c r="F1674" s="211" t="s">
        <v>7248</v>
      </c>
    </row>
    <row r="1675" spans="1:6">
      <c r="A1675" s="211" t="s">
        <v>7735</v>
      </c>
      <c r="B1675" s="211">
        <v>4674</v>
      </c>
      <c r="C1675" s="211" t="s">
        <v>10385</v>
      </c>
      <c r="D1675" s="211" t="s">
        <v>1255</v>
      </c>
      <c r="E1675" s="211" t="s">
        <v>10385</v>
      </c>
      <c r="F1675" s="211" t="s">
        <v>7736</v>
      </c>
    </row>
    <row r="1676" spans="1:6">
      <c r="A1676" s="211" t="s">
        <v>10524</v>
      </c>
      <c r="B1676" s="211">
        <v>8773</v>
      </c>
      <c r="C1676" s="211">
        <v>2085</v>
      </c>
      <c r="D1676" s="211" t="s">
        <v>1255</v>
      </c>
      <c r="E1676" s="211" t="s">
        <v>10525</v>
      </c>
      <c r="F1676" s="211" t="s">
        <v>10434</v>
      </c>
    </row>
    <row r="1677" spans="1:6">
      <c r="A1677" s="211" t="s">
        <v>2777</v>
      </c>
      <c r="B1677" s="211">
        <v>4183</v>
      </c>
      <c r="C1677" s="211">
        <v>1160</v>
      </c>
      <c r="D1677" s="211" t="s">
        <v>1255</v>
      </c>
      <c r="E1677" s="211" t="s">
        <v>10385</v>
      </c>
      <c r="F1677" s="211" t="s">
        <v>7223</v>
      </c>
    </row>
    <row r="1678" spans="1:6">
      <c r="A1678" s="211" t="s">
        <v>7737</v>
      </c>
      <c r="B1678" s="211">
        <v>5202</v>
      </c>
      <c r="C1678" s="211" t="s">
        <v>10385</v>
      </c>
      <c r="D1678" s="211" t="s">
        <v>1255</v>
      </c>
      <c r="E1678" s="211" t="s">
        <v>10385</v>
      </c>
      <c r="F1678" s="211" t="s">
        <v>7192</v>
      </c>
    </row>
    <row r="1679" spans="1:6">
      <c r="A1679" s="211" t="s">
        <v>5014</v>
      </c>
      <c r="B1679" s="211">
        <v>6702</v>
      </c>
      <c r="C1679" s="211">
        <v>855</v>
      </c>
      <c r="D1679" s="211" t="s">
        <v>1255</v>
      </c>
      <c r="E1679" s="211" t="s">
        <v>10385</v>
      </c>
      <c r="F1679" s="211" t="s">
        <v>7235</v>
      </c>
    </row>
    <row r="1680" spans="1:6">
      <c r="A1680" s="211" t="s">
        <v>5015</v>
      </c>
      <c r="B1680" s="211">
        <v>6953</v>
      </c>
      <c r="C1680" s="211">
        <v>1052</v>
      </c>
      <c r="D1680" s="211" t="s">
        <v>1255</v>
      </c>
      <c r="E1680" s="211" t="s">
        <v>10385</v>
      </c>
      <c r="F1680" s="211" t="s">
        <v>7202</v>
      </c>
    </row>
    <row r="1681" spans="1:6">
      <c r="A1681" s="211" t="s">
        <v>2778</v>
      </c>
      <c r="B1681" s="211">
        <v>4465</v>
      </c>
      <c r="C1681" s="211">
        <v>688</v>
      </c>
      <c r="D1681" s="211" t="s">
        <v>1117</v>
      </c>
      <c r="E1681" s="211" t="s">
        <v>10385</v>
      </c>
      <c r="F1681" s="211" t="s">
        <v>7247</v>
      </c>
    </row>
    <row r="1682" spans="1:6">
      <c r="A1682" s="211" t="s">
        <v>2779</v>
      </c>
      <c r="B1682" s="211">
        <v>4980</v>
      </c>
      <c r="C1682" s="211">
        <v>1002</v>
      </c>
      <c r="D1682" s="211" t="s">
        <v>1255</v>
      </c>
      <c r="E1682" s="211" t="s">
        <v>10385</v>
      </c>
      <c r="F1682" s="211" t="s">
        <v>7469</v>
      </c>
    </row>
    <row r="1683" spans="1:6">
      <c r="A1683" s="211" t="s">
        <v>7738</v>
      </c>
      <c r="B1683" s="211">
        <v>733</v>
      </c>
      <c r="C1683" s="211" t="s">
        <v>10385</v>
      </c>
      <c r="D1683" s="211" t="s">
        <v>1255</v>
      </c>
      <c r="E1683" s="211" t="s">
        <v>10385</v>
      </c>
      <c r="F1683" s="211" t="s">
        <v>7219</v>
      </c>
    </row>
    <row r="1684" spans="1:6">
      <c r="A1684" s="211" t="s">
        <v>5690</v>
      </c>
      <c r="B1684" s="211">
        <v>7139</v>
      </c>
      <c r="C1684" s="211">
        <v>963</v>
      </c>
      <c r="D1684" s="211" t="s">
        <v>1255</v>
      </c>
      <c r="E1684" s="211" t="s">
        <v>9287</v>
      </c>
      <c r="F1684" s="211" t="s">
        <v>7213</v>
      </c>
    </row>
    <row r="1685" spans="1:6">
      <c r="A1685" s="211" t="s">
        <v>3015</v>
      </c>
      <c r="B1685" s="211">
        <v>1848</v>
      </c>
      <c r="C1685" s="211">
        <v>1330</v>
      </c>
      <c r="D1685" s="211" t="s">
        <v>1255</v>
      </c>
      <c r="E1685" s="211" t="s">
        <v>10385</v>
      </c>
      <c r="F1685" s="211" t="s">
        <v>7335</v>
      </c>
    </row>
    <row r="1686" spans="1:6">
      <c r="A1686" s="211" t="s">
        <v>7739</v>
      </c>
      <c r="B1686" s="211">
        <v>1175</v>
      </c>
      <c r="C1686" s="211" t="s">
        <v>10385</v>
      </c>
      <c r="D1686" s="211" t="s">
        <v>1255</v>
      </c>
      <c r="E1686" s="211" t="s">
        <v>10385</v>
      </c>
      <c r="F1686" s="211" t="s">
        <v>7203</v>
      </c>
    </row>
    <row r="1687" spans="1:6">
      <c r="A1687" s="211" t="s">
        <v>2780</v>
      </c>
      <c r="B1687" s="211">
        <v>3661</v>
      </c>
      <c r="C1687" s="211">
        <v>1384</v>
      </c>
      <c r="D1687" s="211" t="s">
        <v>1255</v>
      </c>
      <c r="E1687" s="211" t="s">
        <v>10385</v>
      </c>
      <c r="F1687" s="211" t="s">
        <v>7740</v>
      </c>
    </row>
    <row r="1688" spans="1:6">
      <c r="A1688" s="211" t="s">
        <v>2781</v>
      </c>
      <c r="B1688" s="211">
        <v>5158</v>
      </c>
      <c r="C1688" s="211">
        <v>1164</v>
      </c>
      <c r="D1688" s="211" t="s">
        <v>1255</v>
      </c>
      <c r="E1688" s="211" t="s">
        <v>10385</v>
      </c>
      <c r="F1688" s="211" t="s">
        <v>7212</v>
      </c>
    </row>
    <row r="1689" spans="1:6">
      <c r="A1689" s="211" t="s">
        <v>4751</v>
      </c>
      <c r="B1689" s="211">
        <v>6186</v>
      </c>
      <c r="C1689" s="211">
        <v>890</v>
      </c>
      <c r="D1689" s="211" t="s">
        <v>1255</v>
      </c>
      <c r="E1689" s="211" t="s">
        <v>10385</v>
      </c>
      <c r="F1689" s="211" t="s">
        <v>7228</v>
      </c>
    </row>
    <row r="1690" spans="1:6">
      <c r="A1690" s="211" t="s">
        <v>2782</v>
      </c>
      <c r="B1690" s="211">
        <v>3129</v>
      </c>
      <c r="C1690" s="211">
        <v>1715</v>
      </c>
      <c r="D1690" s="211" t="s">
        <v>1255</v>
      </c>
      <c r="E1690" s="211" t="s">
        <v>10385</v>
      </c>
      <c r="F1690" s="211" t="s">
        <v>7325</v>
      </c>
    </row>
    <row r="1691" spans="1:6">
      <c r="A1691" s="211" t="s">
        <v>4900</v>
      </c>
      <c r="B1691" s="211">
        <v>3113</v>
      </c>
      <c r="C1691" s="211">
        <v>1525</v>
      </c>
      <c r="D1691" s="211" t="s">
        <v>1255</v>
      </c>
      <c r="E1691" s="211" t="s">
        <v>10385</v>
      </c>
      <c r="F1691" s="211" t="s">
        <v>7325</v>
      </c>
    </row>
    <row r="1692" spans="1:6">
      <c r="A1692" s="211" t="s">
        <v>2783</v>
      </c>
      <c r="B1692" s="211">
        <v>1971</v>
      </c>
      <c r="C1692" s="211">
        <v>907</v>
      </c>
      <c r="D1692" s="211" t="s">
        <v>1255</v>
      </c>
      <c r="E1692" s="211" t="s">
        <v>10385</v>
      </c>
      <c r="F1692" s="211" t="s">
        <v>7477</v>
      </c>
    </row>
    <row r="1693" spans="1:6">
      <c r="A1693" s="211" t="s">
        <v>2784</v>
      </c>
      <c r="B1693" s="211">
        <v>5892</v>
      </c>
      <c r="C1693" s="211">
        <v>1313</v>
      </c>
      <c r="D1693" s="211" t="s">
        <v>1255</v>
      </c>
      <c r="E1693" s="211" t="s">
        <v>6727</v>
      </c>
      <c r="F1693" s="211" t="s">
        <v>7377</v>
      </c>
    </row>
    <row r="1694" spans="1:6">
      <c r="A1694" s="211" t="s">
        <v>9288</v>
      </c>
      <c r="B1694" s="211">
        <v>8190</v>
      </c>
      <c r="C1694" s="211">
        <v>1446</v>
      </c>
      <c r="D1694" s="211" t="s">
        <v>1255</v>
      </c>
      <c r="E1694" s="211" t="s">
        <v>9289</v>
      </c>
      <c r="F1694" s="211" t="s">
        <v>7323</v>
      </c>
    </row>
    <row r="1695" spans="1:6">
      <c r="A1695" s="211" t="s">
        <v>2785</v>
      </c>
      <c r="B1695" s="211">
        <v>1044</v>
      </c>
      <c r="C1695" s="211">
        <v>1001</v>
      </c>
      <c r="D1695" s="211" t="s">
        <v>1255</v>
      </c>
      <c r="E1695" s="211" t="s">
        <v>10385</v>
      </c>
      <c r="F1695" s="211" t="s">
        <v>7226</v>
      </c>
    </row>
    <row r="1696" spans="1:6">
      <c r="A1696" s="211" t="s">
        <v>5016</v>
      </c>
      <c r="B1696" s="211">
        <v>6909</v>
      </c>
      <c r="C1696" s="211">
        <v>953</v>
      </c>
      <c r="D1696" s="211" t="s">
        <v>1117</v>
      </c>
      <c r="E1696" s="211" t="s">
        <v>6728</v>
      </c>
      <c r="F1696" s="211" t="s">
        <v>7298</v>
      </c>
    </row>
    <row r="1697" spans="1:6">
      <c r="A1697" s="211" t="s">
        <v>5017</v>
      </c>
      <c r="B1697" s="211">
        <v>7002</v>
      </c>
      <c r="C1697" s="211">
        <v>829</v>
      </c>
      <c r="D1697" s="211" t="s">
        <v>1255</v>
      </c>
      <c r="E1697" s="211" t="s">
        <v>10385</v>
      </c>
      <c r="F1697" s="211" t="s">
        <v>7192</v>
      </c>
    </row>
    <row r="1698" spans="1:6">
      <c r="A1698" s="211" t="s">
        <v>7741</v>
      </c>
      <c r="B1698" s="211">
        <v>5401</v>
      </c>
      <c r="C1698" s="211" t="s">
        <v>10385</v>
      </c>
      <c r="D1698" s="211" t="s">
        <v>1255</v>
      </c>
      <c r="E1698" s="211" t="s">
        <v>10385</v>
      </c>
      <c r="F1698" s="211" t="s">
        <v>7742</v>
      </c>
    </row>
    <row r="1699" spans="1:6">
      <c r="A1699" s="211" t="s">
        <v>2786</v>
      </c>
      <c r="B1699" s="211">
        <v>3080</v>
      </c>
      <c r="C1699" s="211">
        <v>1077</v>
      </c>
      <c r="D1699" s="211" t="s">
        <v>1255</v>
      </c>
      <c r="E1699" s="211" t="s">
        <v>10385</v>
      </c>
      <c r="F1699" s="211" t="s">
        <v>7743</v>
      </c>
    </row>
    <row r="1700" spans="1:6">
      <c r="A1700" s="211" t="s">
        <v>7744</v>
      </c>
      <c r="B1700" s="211">
        <v>204</v>
      </c>
      <c r="C1700" s="211" t="s">
        <v>10385</v>
      </c>
      <c r="D1700" s="211" t="s">
        <v>1255</v>
      </c>
      <c r="E1700" s="211" t="s">
        <v>10385</v>
      </c>
      <c r="F1700" s="211" t="s">
        <v>7232</v>
      </c>
    </row>
    <row r="1701" spans="1:6">
      <c r="A1701" s="211" t="s">
        <v>2787</v>
      </c>
      <c r="B1701" s="211">
        <v>5729</v>
      </c>
      <c r="C1701" s="211">
        <v>778</v>
      </c>
      <c r="D1701" s="211" t="s">
        <v>1255</v>
      </c>
      <c r="E1701" s="211" t="s">
        <v>6729</v>
      </c>
      <c r="F1701" s="211" t="s">
        <v>7344</v>
      </c>
    </row>
    <row r="1702" spans="1:6">
      <c r="A1702" s="211" t="s">
        <v>2788</v>
      </c>
      <c r="B1702" s="211">
        <v>5984</v>
      </c>
      <c r="C1702" s="211">
        <v>1173</v>
      </c>
      <c r="D1702" s="211" t="s">
        <v>1255</v>
      </c>
      <c r="E1702" s="211" t="s">
        <v>10385</v>
      </c>
      <c r="F1702" s="211" t="s">
        <v>7331</v>
      </c>
    </row>
    <row r="1703" spans="1:6">
      <c r="A1703" s="211" t="s">
        <v>2789</v>
      </c>
      <c r="B1703" s="211">
        <v>1803</v>
      </c>
      <c r="C1703" s="211">
        <v>854</v>
      </c>
      <c r="D1703" s="211" t="s">
        <v>1255</v>
      </c>
      <c r="E1703" s="211" t="s">
        <v>10385</v>
      </c>
      <c r="F1703" s="211" t="s">
        <v>7292</v>
      </c>
    </row>
    <row r="1704" spans="1:6">
      <c r="A1704" s="211" t="s">
        <v>7745</v>
      </c>
      <c r="B1704" s="211">
        <v>4791</v>
      </c>
      <c r="C1704" s="211" t="s">
        <v>10385</v>
      </c>
      <c r="D1704" s="211" t="s">
        <v>1255</v>
      </c>
      <c r="E1704" s="211" t="s">
        <v>10385</v>
      </c>
      <c r="F1704" s="211" t="s">
        <v>7342</v>
      </c>
    </row>
    <row r="1705" spans="1:6">
      <c r="A1705" s="211" t="s">
        <v>2790</v>
      </c>
      <c r="B1705" s="211">
        <v>4437</v>
      </c>
      <c r="C1705" s="211">
        <v>627</v>
      </c>
      <c r="D1705" s="211" t="s">
        <v>1255</v>
      </c>
      <c r="E1705" s="211" t="s">
        <v>10385</v>
      </c>
      <c r="F1705" s="211" t="s">
        <v>7333</v>
      </c>
    </row>
    <row r="1706" spans="1:6">
      <c r="A1706" s="211" t="s">
        <v>2791</v>
      </c>
      <c r="B1706" s="211">
        <v>4438</v>
      </c>
      <c r="C1706" s="211">
        <v>477</v>
      </c>
      <c r="D1706" s="211" t="s">
        <v>1117</v>
      </c>
      <c r="E1706" s="211" t="s">
        <v>10385</v>
      </c>
      <c r="F1706" s="211" t="s">
        <v>7333</v>
      </c>
    </row>
    <row r="1707" spans="1:6">
      <c r="A1707" s="211" t="s">
        <v>2792</v>
      </c>
      <c r="B1707" s="211">
        <v>754</v>
      </c>
      <c r="C1707" s="211">
        <v>768</v>
      </c>
      <c r="D1707" s="211" t="s">
        <v>1255</v>
      </c>
      <c r="E1707" s="211" t="s">
        <v>10385</v>
      </c>
      <c r="F1707" s="211" t="s">
        <v>7486</v>
      </c>
    </row>
    <row r="1708" spans="1:6">
      <c r="A1708" s="211" t="s">
        <v>2793</v>
      </c>
      <c r="B1708" s="211">
        <v>456</v>
      </c>
      <c r="C1708" s="211">
        <v>891</v>
      </c>
      <c r="D1708" s="211" t="s">
        <v>1255</v>
      </c>
      <c r="E1708" s="211" t="s">
        <v>10385</v>
      </c>
      <c r="F1708" s="211" t="s">
        <v>7486</v>
      </c>
    </row>
    <row r="1709" spans="1:6">
      <c r="A1709" s="211" t="s">
        <v>2794</v>
      </c>
      <c r="B1709" s="211">
        <v>5310</v>
      </c>
      <c r="C1709" s="211">
        <v>1673</v>
      </c>
      <c r="D1709" s="211" t="s">
        <v>1117</v>
      </c>
      <c r="E1709" s="211" t="s">
        <v>10385</v>
      </c>
      <c r="F1709" s="211" t="s">
        <v>7240</v>
      </c>
    </row>
    <row r="1710" spans="1:6">
      <c r="A1710" s="211" t="s">
        <v>5018</v>
      </c>
      <c r="B1710" s="211">
        <v>6784</v>
      </c>
      <c r="C1710" s="211">
        <v>830</v>
      </c>
      <c r="D1710" s="211" t="s">
        <v>1255</v>
      </c>
      <c r="E1710" s="211" t="s">
        <v>10385</v>
      </c>
      <c r="F1710" s="211" t="s">
        <v>7200</v>
      </c>
    </row>
    <row r="1711" spans="1:6">
      <c r="A1711" s="211" t="s">
        <v>7746</v>
      </c>
      <c r="B1711" s="211">
        <v>1554</v>
      </c>
      <c r="C1711" s="211" t="s">
        <v>10385</v>
      </c>
      <c r="D1711" s="211" t="s">
        <v>1255</v>
      </c>
      <c r="E1711" s="211" t="s">
        <v>10385</v>
      </c>
      <c r="F1711" s="211" t="s">
        <v>7248</v>
      </c>
    </row>
    <row r="1712" spans="1:6">
      <c r="A1712" s="211" t="s">
        <v>2795</v>
      </c>
      <c r="B1712" s="211">
        <v>2979</v>
      </c>
      <c r="C1712" s="211">
        <v>2094</v>
      </c>
      <c r="D1712" s="211" t="s">
        <v>1255</v>
      </c>
      <c r="E1712" s="211" t="s">
        <v>10385</v>
      </c>
      <c r="F1712" s="211" t="s">
        <v>7286</v>
      </c>
    </row>
    <row r="1713" spans="1:6">
      <c r="A1713" s="211" t="s">
        <v>7747</v>
      </c>
      <c r="B1713" s="211">
        <v>2389</v>
      </c>
      <c r="C1713" s="211" t="s">
        <v>10385</v>
      </c>
      <c r="D1713" s="211" t="s">
        <v>1255</v>
      </c>
      <c r="E1713" s="211" t="s">
        <v>10385</v>
      </c>
      <c r="F1713" s="211" t="s">
        <v>7285</v>
      </c>
    </row>
    <row r="1714" spans="1:6">
      <c r="A1714" s="211" t="s">
        <v>9290</v>
      </c>
      <c r="B1714" s="211">
        <v>8457</v>
      </c>
      <c r="C1714" s="211" t="s">
        <v>10385</v>
      </c>
      <c r="D1714" s="211" t="s">
        <v>1255</v>
      </c>
      <c r="E1714" s="211" t="s">
        <v>9291</v>
      </c>
      <c r="F1714" s="211" t="s">
        <v>7327</v>
      </c>
    </row>
    <row r="1715" spans="1:6">
      <c r="A1715" s="211" t="s">
        <v>7748</v>
      </c>
      <c r="B1715" s="211">
        <v>5021</v>
      </c>
      <c r="C1715" s="211" t="s">
        <v>10385</v>
      </c>
      <c r="D1715" s="211" t="s">
        <v>1255</v>
      </c>
      <c r="E1715" s="211" t="s">
        <v>10385</v>
      </c>
      <c r="F1715" s="211" t="s">
        <v>7587</v>
      </c>
    </row>
    <row r="1716" spans="1:6">
      <c r="A1716" s="211" t="s">
        <v>2796</v>
      </c>
      <c r="B1716" s="211">
        <v>845</v>
      </c>
      <c r="C1716" s="211">
        <v>1361</v>
      </c>
      <c r="D1716" s="211" t="s">
        <v>1255</v>
      </c>
      <c r="E1716" s="211" t="s">
        <v>10385</v>
      </c>
      <c r="F1716" s="211" t="s">
        <v>7242</v>
      </c>
    </row>
    <row r="1717" spans="1:6">
      <c r="A1717" s="211" t="s">
        <v>2797</v>
      </c>
      <c r="B1717" s="211">
        <v>2357</v>
      </c>
      <c r="C1717" s="211">
        <v>886</v>
      </c>
      <c r="D1717" s="211" t="s">
        <v>1255</v>
      </c>
      <c r="E1717" s="211" t="s">
        <v>10385</v>
      </c>
      <c r="F1717" s="211" t="s">
        <v>7177</v>
      </c>
    </row>
    <row r="1718" spans="1:6">
      <c r="A1718" s="211" t="s">
        <v>7749</v>
      </c>
      <c r="B1718" s="211">
        <v>642</v>
      </c>
      <c r="C1718" s="211" t="s">
        <v>10385</v>
      </c>
      <c r="D1718" s="211" t="s">
        <v>1255</v>
      </c>
      <c r="E1718" s="211" t="s">
        <v>10385</v>
      </c>
      <c r="F1718" s="211" t="s">
        <v>7285</v>
      </c>
    </row>
    <row r="1719" spans="1:6">
      <c r="A1719" s="211" t="s">
        <v>4780</v>
      </c>
      <c r="B1719" s="211">
        <v>6155</v>
      </c>
      <c r="C1719" s="211">
        <v>1175</v>
      </c>
      <c r="D1719" s="211" t="s">
        <v>1255</v>
      </c>
      <c r="E1719" s="211" t="s">
        <v>10385</v>
      </c>
      <c r="F1719" s="211" t="s">
        <v>7344</v>
      </c>
    </row>
    <row r="1720" spans="1:6">
      <c r="A1720" s="211" t="s">
        <v>2798</v>
      </c>
      <c r="B1720" s="211">
        <v>2164</v>
      </c>
      <c r="C1720" s="211">
        <v>902</v>
      </c>
      <c r="D1720" s="211" t="s">
        <v>1255</v>
      </c>
      <c r="E1720" s="211" t="s">
        <v>10385</v>
      </c>
      <c r="F1720" s="211" t="s">
        <v>7394</v>
      </c>
    </row>
    <row r="1721" spans="1:6">
      <c r="A1721" s="211" t="s">
        <v>2799</v>
      </c>
      <c r="B1721" s="211">
        <v>2555</v>
      </c>
      <c r="C1721" s="211">
        <v>933</v>
      </c>
      <c r="D1721" s="211" t="s">
        <v>1255</v>
      </c>
      <c r="E1721" s="211" t="s">
        <v>10385</v>
      </c>
      <c r="F1721" s="211" t="s">
        <v>7534</v>
      </c>
    </row>
    <row r="1722" spans="1:6">
      <c r="A1722" s="211" t="s">
        <v>5019</v>
      </c>
      <c r="B1722" s="211">
        <v>6955</v>
      </c>
      <c r="C1722" s="211">
        <v>1570</v>
      </c>
      <c r="D1722" s="211" t="s">
        <v>1255</v>
      </c>
      <c r="E1722" s="211" t="s">
        <v>9292</v>
      </c>
      <c r="F1722" s="211" t="s">
        <v>7283</v>
      </c>
    </row>
    <row r="1723" spans="1:6">
      <c r="A1723" s="211" t="s">
        <v>2800</v>
      </c>
      <c r="B1723" s="211">
        <v>3868</v>
      </c>
      <c r="C1723" s="211">
        <v>853</v>
      </c>
      <c r="D1723" s="211" t="s">
        <v>1255</v>
      </c>
      <c r="E1723" s="211" t="s">
        <v>10385</v>
      </c>
      <c r="F1723" s="211" t="s">
        <v>7581</v>
      </c>
    </row>
    <row r="1724" spans="1:6">
      <c r="A1724" s="211" t="s">
        <v>7750</v>
      </c>
      <c r="B1724" s="211">
        <v>6980</v>
      </c>
      <c r="C1724" s="211">
        <v>472</v>
      </c>
      <c r="D1724" s="211" t="s">
        <v>1255</v>
      </c>
      <c r="E1724" s="211" t="s">
        <v>5020</v>
      </c>
      <c r="F1724" s="211" t="s">
        <v>7250</v>
      </c>
    </row>
    <row r="1725" spans="1:6">
      <c r="A1725" s="211" t="s">
        <v>2801</v>
      </c>
      <c r="B1725" s="211">
        <v>4531</v>
      </c>
      <c r="C1725" s="211">
        <v>1261</v>
      </c>
      <c r="D1725" s="211" t="s">
        <v>1255</v>
      </c>
      <c r="E1725" s="211" t="s">
        <v>10385</v>
      </c>
      <c r="F1725" s="211" t="s">
        <v>7510</v>
      </c>
    </row>
    <row r="1726" spans="1:6">
      <c r="A1726" s="211" t="s">
        <v>2802</v>
      </c>
      <c r="B1726" s="211">
        <v>3412</v>
      </c>
      <c r="C1726" s="211">
        <v>1340</v>
      </c>
      <c r="D1726" s="211" t="s">
        <v>1255</v>
      </c>
      <c r="E1726" s="211" t="s">
        <v>10385</v>
      </c>
      <c r="F1726" s="211" t="s">
        <v>7284</v>
      </c>
    </row>
    <row r="1727" spans="1:6">
      <c r="A1727" s="211" t="s">
        <v>2803</v>
      </c>
      <c r="B1727" s="211">
        <v>5470</v>
      </c>
      <c r="C1727" s="211">
        <v>1006</v>
      </c>
      <c r="D1727" s="211" t="s">
        <v>1117</v>
      </c>
      <c r="E1727" s="211" t="s">
        <v>10385</v>
      </c>
      <c r="F1727" s="211" t="s">
        <v>7295</v>
      </c>
    </row>
    <row r="1728" spans="1:6">
      <c r="A1728" s="211" t="s">
        <v>2804</v>
      </c>
      <c r="B1728" s="211">
        <v>660</v>
      </c>
      <c r="C1728" s="211">
        <v>1835</v>
      </c>
      <c r="D1728" s="211" t="s">
        <v>1255</v>
      </c>
      <c r="E1728" s="211" t="s">
        <v>10385</v>
      </c>
      <c r="F1728" s="211" t="s">
        <v>7162</v>
      </c>
    </row>
    <row r="1729" spans="1:6">
      <c r="A1729" s="211" t="s">
        <v>2805</v>
      </c>
      <c r="B1729" s="211">
        <v>1876</v>
      </c>
      <c r="C1729" s="211">
        <v>965</v>
      </c>
      <c r="D1729" s="211" t="s">
        <v>1255</v>
      </c>
      <c r="E1729" s="211" t="s">
        <v>10385</v>
      </c>
      <c r="F1729" s="211" t="s">
        <v>7230</v>
      </c>
    </row>
    <row r="1730" spans="1:6">
      <c r="A1730" s="211" t="s">
        <v>7751</v>
      </c>
      <c r="B1730" s="211">
        <v>4089</v>
      </c>
      <c r="C1730" s="211" t="s">
        <v>10385</v>
      </c>
      <c r="D1730" s="211" t="s">
        <v>1255</v>
      </c>
      <c r="E1730" s="211" t="s">
        <v>10385</v>
      </c>
      <c r="F1730" s="211" t="s">
        <v>7476</v>
      </c>
    </row>
    <row r="1731" spans="1:6">
      <c r="A1731" s="211" t="s">
        <v>6730</v>
      </c>
      <c r="B1731" s="211">
        <v>7672</v>
      </c>
      <c r="C1731" s="211">
        <v>1568</v>
      </c>
      <c r="D1731" s="211" t="s">
        <v>1255</v>
      </c>
      <c r="E1731" s="211" t="s">
        <v>6731</v>
      </c>
      <c r="F1731" s="211" t="s">
        <v>7247</v>
      </c>
    </row>
    <row r="1732" spans="1:6">
      <c r="A1732" s="211" t="s">
        <v>2806</v>
      </c>
      <c r="B1732" s="211">
        <v>2064</v>
      </c>
      <c r="C1732" s="211">
        <v>1127</v>
      </c>
      <c r="D1732" s="211" t="s">
        <v>1255</v>
      </c>
      <c r="E1732" s="211" t="s">
        <v>10385</v>
      </c>
      <c r="F1732" s="211" t="s">
        <v>7207</v>
      </c>
    </row>
    <row r="1733" spans="1:6">
      <c r="A1733" s="211" t="s">
        <v>2807</v>
      </c>
      <c r="B1733" s="211">
        <v>1605</v>
      </c>
      <c r="C1733" s="211">
        <v>1129</v>
      </c>
      <c r="D1733" s="211" t="s">
        <v>1255</v>
      </c>
      <c r="E1733" s="211" t="s">
        <v>10385</v>
      </c>
      <c r="F1733" s="211" t="s">
        <v>7257</v>
      </c>
    </row>
    <row r="1734" spans="1:6">
      <c r="A1734" s="211" t="s">
        <v>2808</v>
      </c>
      <c r="B1734" s="211">
        <v>1012</v>
      </c>
      <c r="C1734" s="211">
        <v>1837</v>
      </c>
      <c r="D1734" s="211" t="s">
        <v>1255</v>
      </c>
      <c r="E1734" s="211" t="s">
        <v>10385</v>
      </c>
      <c r="F1734" s="211" t="s">
        <v>7171</v>
      </c>
    </row>
    <row r="1735" spans="1:6">
      <c r="A1735" s="211" t="s">
        <v>2809</v>
      </c>
      <c r="B1735" s="211">
        <v>3255</v>
      </c>
      <c r="C1735" s="211">
        <v>849</v>
      </c>
      <c r="D1735" s="211" t="s">
        <v>1255</v>
      </c>
      <c r="E1735" s="211" t="s">
        <v>10385</v>
      </c>
      <c r="F1735" s="211" t="s">
        <v>7476</v>
      </c>
    </row>
    <row r="1736" spans="1:6">
      <c r="A1736" s="211" t="s">
        <v>2885</v>
      </c>
      <c r="B1736" s="211">
        <v>3627</v>
      </c>
      <c r="C1736" s="211">
        <v>1158</v>
      </c>
      <c r="D1736" s="211" t="s">
        <v>1255</v>
      </c>
      <c r="E1736" s="211" t="s">
        <v>10385</v>
      </c>
      <c r="F1736" s="211" t="s">
        <v>7322</v>
      </c>
    </row>
    <row r="1737" spans="1:6">
      <c r="A1737" s="211" t="s">
        <v>2810</v>
      </c>
      <c r="B1737" s="211">
        <v>5300</v>
      </c>
      <c r="C1737" s="211">
        <v>1702</v>
      </c>
      <c r="D1737" s="211" t="s">
        <v>1255</v>
      </c>
      <c r="E1737" s="211" t="s">
        <v>10385</v>
      </c>
      <c r="F1737" s="211" t="s">
        <v>7349</v>
      </c>
    </row>
    <row r="1738" spans="1:6">
      <c r="A1738" s="211" t="s">
        <v>2811</v>
      </c>
      <c r="B1738" s="211">
        <v>5819</v>
      </c>
      <c r="C1738" s="211">
        <v>877</v>
      </c>
      <c r="D1738" s="211" t="s">
        <v>1255</v>
      </c>
      <c r="E1738" s="211" t="s">
        <v>9293</v>
      </c>
      <c r="F1738" s="211" t="s">
        <v>7430</v>
      </c>
    </row>
    <row r="1739" spans="1:6">
      <c r="A1739" s="211" t="s">
        <v>2963</v>
      </c>
      <c r="B1739" s="211">
        <v>2178</v>
      </c>
      <c r="C1739" s="211">
        <v>843</v>
      </c>
      <c r="D1739" s="211" t="s">
        <v>1255</v>
      </c>
      <c r="E1739" s="211" t="s">
        <v>10385</v>
      </c>
      <c r="F1739" s="211" t="s">
        <v>7386</v>
      </c>
    </row>
    <row r="1740" spans="1:6">
      <c r="A1740" s="211" t="s">
        <v>2812</v>
      </c>
      <c r="B1740" s="211">
        <v>1289</v>
      </c>
      <c r="C1740" s="211">
        <v>1456</v>
      </c>
      <c r="D1740" s="211" t="s">
        <v>1255</v>
      </c>
      <c r="E1740" s="211" t="s">
        <v>10385</v>
      </c>
      <c r="F1740" s="211" t="s">
        <v>7284</v>
      </c>
    </row>
    <row r="1741" spans="1:6">
      <c r="A1741" s="211" t="s">
        <v>2813</v>
      </c>
      <c r="B1741" s="211">
        <v>4018</v>
      </c>
      <c r="C1741" s="211">
        <v>801</v>
      </c>
      <c r="D1741" s="211" t="s">
        <v>1255</v>
      </c>
      <c r="E1741" s="211" t="s">
        <v>10385</v>
      </c>
      <c r="F1741" s="211" t="s">
        <v>7453</v>
      </c>
    </row>
    <row r="1742" spans="1:6">
      <c r="A1742" s="211" t="s">
        <v>5021</v>
      </c>
      <c r="B1742" s="211">
        <v>6911</v>
      </c>
      <c r="C1742" s="211">
        <v>800</v>
      </c>
      <c r="D1742" s="211" t="s">
        <v>1255</v>
      </c>
      <c r="E1742" s="211" t="s">
        <v>10385</v>
      </c>
      <c r="F1742" s="211" t="s">
        <v>7376</v>
      </c>
    </row>
    <row r="1743" spans="1:6">
      <c r="A1743" s="211" t="s">
        <v>5318</v>
      </c>
      <c r="B1743" s="211">
        <v>6840</v>
      </c>
      <c r="C1743" s="211">
        <v>1518</v>
      </c>
      <c r="D1743" s="211" t="s">
        <v>1255</v>
      </c>
      <c r="E1743" s="211" t="s">
        <v>10385</v>
      </c>
      <c r="F1743" s="211" t="s">
        <v>7507</v>
      </c>
    </row>
    <row r="1744" spans="1:6">
      <c r="A1744" s="211" t="s">
        <v>6732</v>
      </c>
      <c r="B1744" s="211">
        <v>7682</v>
      </c>
      <c r="C1744" s="211">
        <v>1432</v>
      </c>
      <c r="D1744" s="211" t="s">
        <v>1255</v>
      </c>
      <c r="E1744" s="211" t="s">
        <v>6733</v>
      </c>
      <c r="F1744" s="211" t="s">
        <v>7318</v>
      </c>
    </row>
    <row r="1745" spans="1:6">
      <c r="A1745" s="211" t="s">
        <v>2814</v>
      </c>
      <c r="B1745" s="211">
        <v>3056</v>
      </c>
      <c r="C1745" s="211">
        <v>1054</v>
      </c>
      <c r="D1745" s="211" t="s">
        <v>1255</v>
      </c>
      <c r="E1745" s="211" t="s">
        <v>10385</v>
      </c>
      <c r="F1745" s="211" t="s">
        <v>7217</v>
      </c>
    </row>
    <row r="1746" spans="1:6">
      <c r="A1746" s="211" t="s">
        <v>2815</v>
      </c>
      <c r="B1746" s="211">
        <v>3862</v>
      </c>
      <c r="C1746" s="211">
        <v>1151</v>
      </c>
      <c r="D1746" s="211" t="s">
        <v>1117</v>
      </c>
      <c r="E1746" s="211" t="s">
        <v>10385</v>
      </c>
      <c r="F1746" s="211" t="s">
        <v>7257</v>
      </c>
    </row>
    <row r="1747" spans="1:6">
      <c r="A1747" s="211" t="s">
        <v>7752</v>
      </c>
      <c r="B1747" s="211">
        <v>4522</v>
      </c>
      <c r="C1747" s="211" t="s">
        <v>10385</v>
      </c>
      <c r="D1747" s="211" t="s">
        <v>1117</v>
      </c>
      <c r="E1747" s="211" t="s">
        <v>10385</v>
      </c>
      <c r="F1747" s="211" t="s">
        <v>7257</v>
      </c>
    </row>
    <row r="1748" spans="1:6">
      <c r="A1748" s="211" t="s">
        <v>2816</v>
      </c>
      <c r="B1748" s="211">
        <v>919</v>
      </c>
      <c r="C1748" s="211">
        <v>1445</v>
      </c>
      <c r="D1748" s="211" t="s">
        <v>1255</v>
      </c>
      <c r="E1748" s="211" t="s">
        <v>10385</v>
      </c>
      <c r="F1748" s="211" t="s">
        <v>7419</v>
      </c>
    </row>
    <row r="1749" spans="1:6">
      <c r="A1749" s="211" t="s">
        <v>2817</v>
      </c>
      <c r="B1749" s="211">
        <v>4317</v>
      </c>
      <c r="C1749" s="211">
        <v>1361</v>
      </c>
      <c r="D1749" s="211" t="s">
        <v>1255</v>
      </c>
      <c r="E1749" s="211" t="s">
        <v>10385</v>
      </c>
      <c r="F1749" s="211" t="s">
        <v>7327</v>
      </c>
    </row>
    <row r="1750" spans="1:6">
      <c r="A1750" s="211" t="s">
        <v>9294</v>
      </c>
      <c r="B1750" s="211">
        <v>8346</v>
      </c>
      <c r="C1750" s="211">
        <v>991</v>
      </c>
      <c r="D1750" s="211" t="s">
        <v>1255</v>
      </c>
      <c r="E1750" s="211" t="s">
        <v>9295</v>
      </c>
      <c r="F1750" s="211" t="s">
        <v>7247</v>
      </c>
    </row>
    <row r="1751" spans="1:6">
      <c r="A1751" s="211" t="s">
        <v>198</v>
      </c>
      <c r="B1751" s="211">
        <v>4407</v>
      </c>
      <c r="C1751" s="211">
        <v>1089</v>
      </c>
      <c r="D1751" s="211" t="s">
        <v>1255</v>
      </c>
      <c r="E1751" s="211" t="s">
        <v>10385</v>
      </c>
      <c r="F1751" s="211" t="s">
        <v>7354</v>
      </c>
    </row>
    <row r="1752" spans="1:6">
      <c r="A1752" s="211" t="s">
        <v>199</v>
      </c>
      <c r="B1752" s="211">
        <v>2768</v>
      </c>
      <c r="C1752" s="211">
        <v>2250</v>
      </c>
      <c r="D1752" s="211" t="s">
        <v>1255</v>
      </c>
      <c r="E1752" s="211" t="s">
        <v>10385</v>
      </c>
      <c r="F1752" s="211" t="s">
        <v>7173</v>
      </c>
    </row>
    <row r="1753" spans="1:6">
      <c r="A1753" s="211" t="s">
        <v>200</v>
      </c>
      <c r="B1753" s="211">
        <v>2119</v>
      </c>
      <c r="C1753" s="211">
        <v>1336</v>
      </c>
      <c r="D1753" s="211" t="s">
        <v>1255</v>
      </c>
      <c r="E1753" s="211" t="s">
        <v>10385</v>
      </c>
      <c r="F1753" s="211" t="s">
        <v>7171</v>
      </c>
    </row>
    <row r="1754" spans="1:6">
      <c r="A1754" s="211" t="s">
        <v>201</v>
      </c>
      <c r="B1754" s="211">
        <v>1888</v>
      </c>
      <c r="C1754" s="211">
        <v>1737</v>
      </c>
      <c r="D1754" s="211" t="s">
        <v>1255</v>
      </c>
      <c r="E1754" s="211" t="s">
        <v>10385</v>
      </c>
      <c r="F1754" s="211" t="s">
        <v>7208</v>
      </c>
    </row>
    <row r="1755" spans="1:6">
      <c r="A1755" s="211" t="s">
        <v>7753</v>
      </c>
      <c r="B1755" s="211">
        <v>2266</v>
      </c>
      <c r="C1755" s="211" t="s">
        <v>10385</v>
      </c>
      <c r="D1755" s="211" t="s">
        <v>1255</v>
      </c>
      <c r="E1755" s="211" t="s">
        <v>10385</v>
      </c>
      <c r="F1755" s="211" t="s">
        <v>7160</v>
      </c>
    </row>
    <row r="1756" spans="1:6">
      <c r="A1756" s="211" t="s">
        <v>5022</v>
      </c>
      <c r="B1756" s="211">
        <v>6807</v>
      </c>
      <c r="C1756" s="211">
        <v>1262</v>
      </c>
      <c r="D1756" s="211" t="s">
        <v>1255</v>
      </c>
      <c r="E1756" s="211" t="s">
        <v>10385</v>
      </c>
      <c r="F1756" s="211" t="s">
        <v>7262</v>
      </c>
    </row>
    <row r="1757" spans="1:6">
      <c r="A1757" s="211" t="s">
        <v>202</v>
      </c>
      <c r="B1757" s="211">
        <v>5603</v>
      </c>
      <c r="C1757" s="211">
        <v>940</v>
      </c>
      <c r="D1757" s="211" t="s">
        <v>1255</v>
      </c>
      <c r="E1757" s="211" t="s">
        <v>10385</v>
      </c>
      <c r="F1757" s="211" t="s">
        <v>7389</v>
      </c>
    </row>
    <row r="1758" spans="1:6">
      <c r="A1758" s="211" t="s">
        <v>203</v>
      </c>
      <c r="B1758" s="211">
        <v>3373</v>
      </c>
      <c r="C1758" s="211">
        <v>1843</v>
      </c>
      <c r="D1758" s="211" t="s">
        <v>1255</v>
      </c>
      <c r="E1758" s="211" t="s">
        <v>10385</v>
      </c>
      <c r="F1758" s="211" t="s">
        <v>7356</v>
      </c>
    </row>
    <row r="1759" spans="1:6">
      <c r="A1759" s="211" t="s">
        <v>9296</v>
      </c>
      <c r="B1759" s="211">
        <v>8567</v>
      </c>
      <c r="C1759" s="211" t="s">
        <v>10385</v>
      </c>
      <c r="D1759" s="211" t="s">
        <v>1117</v>
      </c>
      <c r="E1759" s="211" t="s">
        <v>9297</v>
      </c>
      <c r="F1759" s="211" t="s">
        <v>7322</v>
      </c>
    </row>
    <row r="1760" spans="1:6">
      <c r="A1760" s="211" t="s">
        <v>7754</v>
      </c>
      <c r="B1760" s="211">
        <v>300</v>
      </c>
      <c r="C1760" s="211" t="s">
        <v>10385</v>
      </c>
      <c r="D1760" s="211" t="s">
        <v>1255</v>
      </c>
      <c r="E1760" s="211" t="s">
        <v>10385</v>
      </c>
      <c r="F1760" s="211" t="s">
        <v>7243</v>
      </c>
    </row>
    <row r="1761" spans="1:6">
      <c r="A1761" s="211" t="s">
        <v>7755</v>
      </c>
      <c r="B1761" s="211">
        <v>668</v>
      </c>
      <c r="C1761" s="211" t="s">
        <v>10385</v>
      </c>
      <c r="D1761" s="211" t="s">
        <v>1255</v>
      </c>
      <c r="E1761" s="211" t="s">
        <v>10385</v>
      </c>
      <c r="F1761" s="211" t="s">
        <v>7196</v>
      </c>
    </row>
    <row r="1762" spans="1:6">
      <c r="A1762" s="211" t="s">
        <v>204</v>
      </c>
      <c r="B1762" s="211">
        <v>5344</v>
      </c>
      <c r="C1762" s="211">
        <v>878</v>
      </c>
      <c r="D1762" s="211" t="s">
        <v>1255</v>
      </c>
      <c r="E1762" s="211" t="s">
        <v>10385</v>
      </c>
      <c r="F1762" s="211" t="s">
        <v>7479</v>
      </c>
    </row>
    <row r="1763" spans="1:6">
      <c r="A1763" s="211" t="s">
        <v>5691</v>
      </c>
      <c r="B1763" s="211">
        <v>7280</v>
      </c>
      <c r="C1763" s="211">
        <v>1256</v>
      </c>
      <c r="D1763" s="211" t="s">
        <v>1255</v>
      </c>
      <c r="E1763" s="211" t="s">
        <v>5692</v>
      </c>
      <c r="F1763" s="211" t="s">
        <v>7431</v>
      </c>
    </row>
    <row r="1764" spans="1:6">
      <c r="A1764" s="211" t="s">
        <v>7756</v>
      </c>
      <c r="B1764" s="211">
        <v>1809</v>
      </c>
      <c r="C1764" s="211" t="s">
        <v>10385</v>
      </c>
      <c r="D1764" s="211" t="s">
        <v>1255</v>
      </c>
      <c r="E1764" s="211" t="s">
        <v>10385</v>
      </c>
      <c r="F1764" s="211" t="s">
        <v>7757</v>
      </c>
    </row>
    <row r="1765" spans="1:6">
      <c r="A1765" s="211" t="s">
        <v>4508</v>
      </c>
      <c r="B1765" s="211">
        <v>6568</v>
      </c>
      <c r="C1765" s="211">
        <v>947</v>
      </c>
      <c r="D1765" s="211" t="s">
        <v>1255</v>
      </c>
      <c r="E1765" s="211" t="s">
        <v>10385</v>
      </c>
      <c r="F1765" s="211" t="s">
        <v>7334</v>
      </c>
    </row>
    <row r="1766" spans="1:6">
      <c r="A1766" s="211" t="s">
        <v>205</v>
      </c>
      <c r="B1766" s="211">
        <v>3563</v>
      </c>
      <c r="C1766" s="211">
        <v>892</v>
      </c>
      <c r="D1766" s="211" t="s">
        <v>1255</v>
      </c>
      <c r="E1766" s="211" t="s">
        <v>10385</v>
      </c>
      <c r="F1766" s="211" t="s">
        <v>7344</v>
      </c>
    </row>
    <row r="1767" spans="1:6">
      <c r="A1767" s="211" t="s">
        <v>7758</v>
      </c>
      <c r="B1767" s="211">
        <v>3500</v>
      </c>
      <c r="C1767" s="211" t="s">
        <v>10385</v>
      </c>
      <c r="D1767" s="211" t="s">
        <v>1255</v>
      </c>
      <c r="E1767" s="211" t="s">
        <v>10385</v>
      </c>
      <c r="F1767" s="211" t="s">
        <v>7444</v>
      </c>
    </row>
    <row r="1768" spans="1:6">
      <c r="A1768" s="211" t="s">
        <v>7759</v>
      </c>
      <c r="B1768" s="211">
        <v>3240</v>
      </c>
      <c r="C1768" s="211" t="s">
        <v>10385</v>
      </c>
      <c r="D1768" s="211" t="s">
        <v>1255</v>
      </c>
      <c r="E1768" s="211" t="s">
        <v>10385</v>
      </c>
      <c r="F1768" s="211" t="s">
        <v>7444</v>
      </c>
    </row>
    <row r="1769" spans="1:6">
      <c r="A1769" s="211" t="s">
        <v>206</v>
      </c>
      <c r="B1769" s="211">
        <v>1548</v>
      </c>
      <c r="C1769" s="211">
        <v>872</v>
      </c>
      <c r="D1769" s="211" t="s">
        <v>1255</v>
      </c>
      <c r="E1769" s="211" t="s">
        <v>10385</v>
      </c>
      <c r="F1769" s="211" t="s">
        <v>7422</v>
      </c>
    </row>
    <row r="1770" spans="1:6">
      <c r="A1770" s="211" t="s">
        <v>5693</v>
      </c>
      <c r="B1770" s="211">
        <v>7547</v>
      </c>
      <c r="C1770" s="211">
        <v>983</v>
      </c>
      <c r="D1770" s="211" t="s">
        <v>1255</v>
      </c>
      <c r="E1770" s="211" t="s">
        <v>10526</v>
      </c>
      <c r="F1770" s="211" t="s">
        <v>7583</v>
      </c>
    </row>
    <row r="1771" spans="1:6">
      <c r="A1771" s="211" t="s">
        <v>207</v>
      </c>
      <c r="B1771" s="211">
        <v>2616</v>
      </c>
      <c r="C1771" s="211">
        <v>862</v>
      </c>
      <c r="D1771" s="211" t="s">
        <v>1117</v>
      </c>
      <c r="E1771" s="211" t="s">
        <v>6632</v>
      </c>
      <c r="F1771" s="211" t="s">
        <v>7267</v>
      </c>
    </row>
    <row r="1772" spans="1:6">
      <c r="A1772" s="211" t="s">
        <v>5694</v>
      </c>
      <c r="B1772" s="211">
        <v>7186</v>
      </c>
      <c r="C1772" s="211">
        <v>1574</v>
      </c>
      <c r="D1772" s="211" t="s">
        <v>1255</v>
      </c>
      <c r="E1772" s="211" t="s">
        <v>10385</v>
      </c>
      <c r="F1772" s="211" t="s">
        <v>7216</v>
      </c>
    </row>
    <row r="1773" spans="1:6">
      <c r="A1773" s="211" t="s">
        <v>4802</v>
      </c>
      <c r="B1773" s="211">
        <v>6139</v>
      </c>
      <c r="C1773" s="211">
        <v>1003</v>
      </c>
      <c r="D1773" s="211" t="s">
        <v>1255</v>
      </c>
      <c r="E1773" s="211" t="s">
        <v>10385</v>
      </c>
      <c r="F1773" s="211" t="s">
        <v>7299</v>
      </c>
    </row>
    <row r="1774" spans="1:6">
      <c r="A1774" s="211" t="s">
        <v>5695</v>
      </c>
      <c r="B1774" s="211">
        <v>7145</v>
      </c>
      <c r="C1774" s="211">
        <v>819</v>
      </c>
      <c r="D1774" s="211" t="s">
        <v>1255</v>
      </c>
      <c r="E1774" s="211" t="s">
        <v>5696</v>
      </c>
      <c r="F1774" s="211" t="s">
        <v>7521</v>
      </c>
    </row>
    <row r="1775" spans="1:6">
      <c r="A1775" s="211" t="s">
        <v>6734</v>
      </c>
      <c r="B1775" s="211">
        <v>7792</v>
      </c>
      <c r="C1775" s="211">
        <v>864</v>
      </c>
      <c r="D1775" s="211" t="s">
        <v>1255</v>
      </c>
      <c r="E1775" s="211" t="s">
        <v>10385</v>
      </c>
      <c r="F1775" s="211" t="s">
        <v>7301</v>
      </c>
    </row>
    <row r="1776" spans="1:6">
      <c r="A1776" s="211" t="s">
        <v>208</v>
      </c>
      <c r="B1776" s="211">
        <v>1427</v>
      </c>
      <c r="C1776" s="211">
        <v>1087</v>
      </c>
      <c r="D1776" s="211" t="s">
        <v>1255</v>
      </c>
      <c r="E1776" s="211" t="s">
        <v>10385</v>
      </c>
      <c r="F1776" s="211" t="s">
        <v>7265</v>
      </c>
    </row>
    <row r="1777" spans="1:6">
      <c r="A1777" s="211" t="s">
        <v>209</v>
      </c>
      <c r="B1777" s="211">
        <v>4712</v>
      </c>
      <c r="C1777" s="211">
        <v>863</v>
      </c>
      <c r="D1777" s="211" t="s">
        <v>1255</v>
      </c>
      <c r="E1777" s="211" t="s">
        <v>10385</v>
      </c>
      <c r="F1777" s="211" t="s">
        <v>7760</v>
      </c>
    </row>
    <row r="1778" spans="1:6">
      <c r="A1778" s="211" t="s">
        <v>210</v>
      </c>
      <c r="B1778" s="211">
        <v>4360</v>
      </c>
      <c r="C1778" s="211">
        <v>1359</v>
      </c>
      <c r="D1778" s="211" t="s">
        <v>1255</v>
      </c>
      <c r="E1778" s="211" t="s">
        <v>10385</v>
      </c>
      <c r="F1778" s="211" t="s">
        <v>7427</v>
      </c>
    </row>
    <row r="1779" spans="1:6">
      <c r="A1779" s="211" t="s">
        <v>10527</v>
      </c>
      <c r="B1779" s="211">
        <v>8860</v>
      </c>
      <c r="C1779" s="211" t="s">
        <v>10385</v>
      </c>
      <c r="D1779" s="211" t="s">
        <v>1255</v>
      </c>
      <c r="E1779" s="211" t="s">
        <v>10528</v>
      </c>
      <c r="F1779" s="211" t="s">
        <v>7272</v>
      </c>
    </row>
    <row r="1780" spans="1:6">
      <c r="A1780" s="211" t="s">
        <v>3016</v>
      </c>
      <c r="B1780" s="211">
        <v>1487</v>
      </c>
      <c r="C1780" s="211">
        <v>988</v>
      </c>
      <c r="D1780" s="211" t="s">
        <v>1255</v>
      </c>
      <c r="E1780" s="211" t="s">
        <v>10385</v>
      </c>
      <c r="F1780" s="211" t="s">
        <v>7335</v>
      </c>
    </row>
    <row r="1781" spans="1:6">
      <c r="A1781" s="211" t="s">
        <v>7761</v>
      </c>
      <c r="B1781" s="211">
        <v>5535</v>
      </c>
      <c r="C1781" s="211" t="s">
        <v>10385</v>
      </c>
      <c r="D1781" s="211" t="s">
        <v>1255</v>
      </c>
      <c r="E1781" s="211" t="s">
        <v>10385</v>
      </c>
      <c r="F1781" s="211" t="s">
        <v>7412</v>
      </c>
    </row>
    <row r="1782" spans="1:6">
      <c r="A1782" s="211" t="s">
        <v>10529</v>
      </c>
      <c r="B1782" s="211">
        <v>8802</v>
      </c>
      <c r="C1782" s="211">
        <v>1000</v>
      </c>
      <c r="D1782" s="211" t="s">
        <v>1255</v>
      </c>
      <c r="E1782" s="211" t="s">
        <v>10385</v>
      </c>
      <c r="F1782" s="211" t="s">
        <v>7238</v>
      </c>
    </row>
    <row r="1783" spans="1:6">
      <c r="A1783" s="211" t="s">
        <v>211</v>
      </c>
      <c r="B1783" s="211">
        <v>3780</v>
      </c>
      <c r="C1783" s="211">
        <v>2115</v>
      </c>
      <c r="D1783" s="211" t="s">
        <v>1255</v>
      </c>
      <c r="E1783" s="211" t="s">
        <v>10385</v>
      </c>
      <c r="F1783" s="211" t="s">
        <v>7306</v>
      </c>
    </row>
    <row r="1784" spans="1:6">
      <c r="A1784" s="211" t="s">
        <v>212</v>
      </c>
      <c r="B1784" s="211">
        <v>5052</v>
      </c>
      <c r="C1784" s="211">
        <v>1679</v>
      </c>
      <c r="D1784" s="211" t="s">
        <v>1255</v>
      </c>
      <c r="E1784" s="211" t="s">
        <v>10385</v>
      </c>
      <c r="F1784" s="211" t="s">
        <v>7239</v>
      </c>
    </row>
    <row r="1785" spans="1:6">
      <c r="A1785" s="211" t="s">
        <v>10530</v>
      </c>
      <c r="B1785" s="211">
        <v>8592</v>
      </c>
      <c r="C1785" s="211">
        <v>1854</v>
      </c>
      <c r="D1785" s="211" t="s">
        <v>1255</v>
      </c>
      <c r="E1785" s="211" t="s">
        <v>10385</v>
      </c>
      <c r="F1785" s="211" t="s">
        <v>7263</v>
      </c>
    </row>
    <row r="1786" spans="1:6">
      <c r="A1786" s="211" t="s">
        <v>5023</v>
      </c>
      <c r="B1786" s="211">
        <v>6999</v>
      </c>
      <c r="C1786" s="211">
        <v>1237</v>
      </c>
      <c r="D1786" s="211" t="s">
        <v>1255</v>
      </c>
      <c r="E1786" s="211" t="s">
        <v>10385</v>
      </c>
      <c r="F1786" s="211" t="s">
        <v>7386</v>
      </c>
    </row>
    <row r="1787" spans="1:6">
      <c r="A1787" s="211" t="s">
        <v>213</v>
      </c>
      <c r="B1787" s="211">
        <v>2106</v>
      </c>
      <c r="C1787" s="211">
        <v>1033</v>
      </c>
      <c r="D1787" s="211" t="s">
        <v>1117</v>
      </c>
      <c r="E1787" s="211" t="s">
        <v>10385</v>
      </c>
      <c r="F1787" s="211" t="s">
        <v>7356</v>
      </c>
    </row>
    <row r="1788" spans="1:6">
      <c r="A1788" s="211" t="s">
        <v>214</v>
      </c>
      <c r="B1788" s="211">
        <v>4494</v>
      </c>
      <c r="C1788" s="211">
        <v>1125</v>
      </c>
      <c r="D1788" s="211" t="s">
        <v>1255</v>
      </c>
      <c r="E1788" s="211" t="s">
        <v>10385</v>
      </c>
      <c r="F1788" s="211" t="s">
        <v>7453</v>
      </c>
    </row>
    <row r="1789" spans="1:6">
      <c r="A1789" s="211" t="s">
        <v>215</v>
      </c>
      <c r="B1789" s="211">
        <v>3312</v>
      </c>
      <c r="C1789" s="211">
        <v>1081</v>
      </c>
      <c r="D1789" s="211" t="s">
        <v>1255</v>
      </c>
      <c r="E1789" s="211" t="s">
        <v>10385</v>
      </c>
      <c r="F1789" s="211" t="s">
        <v>7459</v>
      </c>
    </row>
    <row r="1790" spans="1:6">
      <c r="A1790" s="211" t="s">
        <v>7762</v>
      </c>
      <c r="B1790" s="211">
        <v>443</v>
      </c>
      <c r="C1790" s="211" t="s">
        <v>10385</v>
      </c>
      <c r="D1790" s="211" t="s">
        <v>1255</v>
      </c>
      <c r="E1790" s="211" t="s">
        <v>10385</v>
      </c>
      <c r="F1790" s="211" t="s">
        <v>7342</v>
      </c>
    </row>
    <row r="1791" spans="1:6">
      <c r="A1791" s="211" t="s">
        <v>216</v>
      </c>
      <c r="B1791" s="211">
        <v>3421</v>
      </c>
      <c r="C1791" s="211">
        <v>1442</v>
      </c>
      <c r="D1791" s="211" t="s">
        <v>1255</v>
      </c>
      <c r="E1791" s="211" t="s">
        <v>10385</v>
      </c>
      <c r="F1791" s="211" t="s">
        <v>7205</v>
      </c>
    </row>
    <row r="1792" spans="1:6">
      <c r="A1792" s="211" t="s">
        <v>9298</v>
      </c>
      <c r="B1792" s="211">
        <v>8034</v>
      </c>
      <c r="C1792" s="211">
        <v>798</v>
      </c>
      <c r="D1792" s="211" t="s">
        <v>1117</v>
      </c>
      <c r="E1792" s="211" t="s">
        <v>10385</v>
      </c>
      <c r="F1792" s="211" t="s">
        <v>7518</v>
      </c>
    </row>
    <row r="1793" spans="1:6">
      <c r="A1793" s="211" t="s">
        <v>217</v>
      </c>
      <c r="B1793" s="211">
        <v>3027</v>
      </c>
      <c r="C1793" s="211">
        <v>1559</v>
      </c>
      <c r="D1793" s="211" t="s">
        <v>1255</v>
      </c>
      <c r="E1793" s="211" t="s">
        <v>10385</v>
      </c>
      <c r="F1793" s="211" t="s">
        <v>7342</v>
      </c>
    </row>
    <row r="1794" spans="1:6">
      <c r="A1794" s="211" t="s">
        <v>5697</v>
      </c>
      <c r="B1794" s="211">
        <v>7051</v>
      </c>
      <c r="C1794" s="211">
        <v>2187</v>
      </c>
      <c r="D1794" s="211" t="s">
        <v>1255</v>
      </c>
      <c r="E1794" s="211" t="s">
        <v>6735</v>
      </c>
      <c r="F1794" s="211" t="s">
        <v>7231</v>
      </c>
    </row>
    <row r="1795" spans="1:6">
      <c r="A1795" s="211" t="s">
        <v>4843</v>
      </c>
      <c r="B1795" s="211">
        <v>3311</v>
      </c>
      <c r="C1795" s="211">
        <v>1554</v>
      </c>
      <c r="D1795" s="211" t="s">
        <v>1255</v>
      </c>
      <c r="E1795" s="211" t="s">
        <v>3082</v>
      </c>
      <c r="F1795" s="211" t="s">
        <v>7459</v>
      </c>
    </row>
    <row r="1796" spans="1:6">
      <c r="A1796" s="211" t="s">
        <v>7763</v>
      </c>
      <c r="B1796" s="211">
        <v>323</v>
      </c>
      <c r="C1796" s="211" t="s">
        <v>10385</v>
      </c>
      <c r="D1796" s="211" t="s">
        <v>1255</v>
      </c>
      <c r="E1796" s="211" t="s">
        <v>10385</v>
      </c>
      <c r="F1796" s="211" t="s">
        <v>7284</v>
      </c>
    </row>
    <row r="1797" spans="1:6">
      <c r="A1797" s="211" t="s">
        <v>7764</v>
      </c>
      <c r="B1797" s="211">
        <v>7876</v>
      </c>
      <c r="C1797" s="211" t="s">
        <v>10385</v>
      </c>
      <c r="D1797" s="211" t="s">
        <v>1117</v>
      </c>
      <c r="E1797" s="211" t="s">
        <v>10385</v>
      </c>
      <c r="F1797" s="211" t="s">
        <v>7224</v>
      </c>
    </row>
    <row r="1798" spans="1:6">
      <c r="A1798" s="211" t="s">
        <v>218</v>
      </c>
      <c r="B1798" s="211">
        <v>3716</v>
      </c>
      <c r="C1798" s="211">
        <v>780</v>
      </c>
      <c r="D1798" s="211" t="s">
        <v>1255</v>
      </c>
      <c r="E1798" s="211" t="s">
        <v>10385</v>
      </c>
      <c r="F1798" s="211" t="s">
        <v>7192</v>
      </c>
    </row>
    <row r="1799" spans="1:6">
      <c r="A1799" s="211" t="s">
        <v>2988</v>
      </c>
      <c r="B1799" s="211">
        <v>1478</v>
      </c>
      <c r="C1799" s="211">
        <v>1286</v>
      </c>
      <c r="D1799" s="211" t="s">
        <v>1117</v>
      </c>
      <c r="E1799" s="211" t="s">
        <v>10385</v>
      </c>
      <c r="F1799" s="211" t="s">
        <v>7384</v>
      </c>
    </row>
    <row r="1800" spans="1:6">
      <c r="A1800" s="211" t="s">
        <v>9299</v>
      </c>
      <c r="B1800" s="211">
        <v>8484</v>
      </c>
      <c r="C1800" s="211" t="s">
        <v>10385</v>
      </c>
      <c r="D1800" s="211" t="s">
        <v>1117</v>
      </c>
      <c r="E1800" s="211" t="s">
        <v>9300</v>
      </c>
      <c r="F1800" s="211" t="s">
        <v>7356</v>
      </c>
    </row>
    <row r="1801" spans="1:6">
      <c r="A1801" s="211" t="s">
        <v>219</v>
      </c>
      <c r="B1801" s="211">
        <v>5448</v>
      </c>
      <c r="C1801" s="211">
        <v>1805</v>
      </c>
      <c r="D1801" s="211" t="s">
        <v>1255</v>
      </c>
      <c r="E1801" s="211" t="s">
        <v>10385</v>
      </c>
      <c r="F1801" s="211" t="s">
        <v>7242</v>
      </c>
    </row>
    <row r="1802" spans="1:6">
      <c r="A1802" s="211" t="s">
        <v>9301</v>
      </c>
      <c r="B1802" s="211">
        <v>8480</v>
      </c>
      <c r="C1802" s="211">
        <v>1008</v>
      </c>
      <c r="D1802" s="211" t="s">
        <v>1255</v>
      </c>
      <c r="E1802" s="211" t="s">
        <v>9302</v>
      </c>
      <c r="F1802" s="211" t="s">
        <v>7215</v>
      </c>
    </row>
    <row r="1803" spans="1:6">
      <c r="A1803" s="211" t="s">
        <v>220</v>
      </c>
      <c r="B1803" s="211">
        <v>4240</v>
      </c>
      <c r="C1803" s="211">
        <v>1059</v>
      </c>
      <c r="D1803" s="211" t="s">
        <v>1255</v>
      </c>
      <c r="E1803" s="211" t="s">
        <v>10385</v>
      </c>
      <c r="F1803" s="211" t="s">
        <v>7383</v>
      </c>
    </row>
    <row r="1804" spans="1:6">
      <c r="A1804" s="211" t="s">
        <v>8908</v>
      </c>
      <c r="B1804" s="211">
        <v>4596</v>
      </c>
      <c r="C1804" s="211" t="s">
        <v>10385</v>
      </c>
      <c r="D1804" s="211" t="s">
        <v>1117</v>
      </c>
      <c r="E1804" s="211" t="s">
        <v>10385</v>
      </c>
      <c r="F1804" s="211" t="s">
        <v>7223</v>
      </c>
    </row>
    <row r="1805" spans="1:6">
      <c r="A1805" s="211" t="s">
        <v>8909</v>
      </c>
      <c r="B1805" s="211">
        <v>4199</v>
      </c>
      <c r="C1805" s="211" t="s">
        <v>10385</v>
      </c>
      <c r="D1805" s="211" t="s">
        <v>1255</v>
      </c>
      <c r="E1805" s="211" t="s">
        <v>10385</v>
      </c>
      <c r="F1805" s="211" t="s">
        <v>7316</v>
      </c>
    </row>
    <row r="1806" spans="1:6">
      <c r="A1806" s="211" t="s">
        <v>8910</v>
      </c>
      <c r="B1806" s="211">
        <v>1503</v>
      </c>
      <c r="C1806" s="211">
        <v>1565</v>
      </c>
      <c r="D1806" s="211" t="s">
        <v>1255</v>
      </c>
      <c r="E1806" s="211" t="s">
        <v>10385</v>
      </c>
      <c r="F1806" s="211" t="s">
        <v>7344</v>
      </c>
    </row>
    <row r="1807" spans="1:6">
      <c r="A1807" s="211" t="s">
        <v>8911</v>
      </c>
      <c r="B1807" s="211">
        <v>2948</v>
      </c>
      <c r="C1807" s="211">
        <v>934</v>
      </c>
      <c r="D1807" s="211" t="s">
        <v>1117</v>
      </c>
      <c r="E1807" s="211" t="s">
        <v>10385</v>
      </c>
      <c r="F1807" s="211" t="s">
        <v>7402</v>
      </c>
    </row>
    <row r="1808" spans="1:6">
      <c r="A1808" s="211" t="s">
        <v>7765</v>
      </c>
      <c r="B1808" s="211">
        <v>6993</v>
      </c>
      <c r="C1808" s="211">
        <v>564</v>
      </c>
      <c r="D1808" s="211" t="s">
        <v>1117</v>
      </c>
      <c r="E1808" s="211" t="s">
        <v>10385</v>
      </c>
      <c r="F1808" s="211" t="s">
        <v>7349</v>
      </c>
    </row>
    <row r="1809" spans="1:6">
      <c r="A1809" s="211" t="s">
        <v>4709</v>
      </c>
      <c r="B1809" s="211">
        <v>6231</v>
      </c>
      <c r="C1809" s="211">
        <v>811</v>
      </c>
      <c r="D1809" s="211" t="s">
        <v>1255</v>
      </c>
      <c r="E1809" s="211" t="s">
        <v>6736</v>
      </c>
      <c r="F1809" s="211" t="s">
        <v>7328</v>
      </c>
    </row>
    <row r="1810" spans="1:6">
      <c r="A1810" s="211" t="s">
        <v>221</v>
      </c>
      <c r="B1810" s="211">
        <v>852</v>
      </c>
      <c r="C1810" s="211">
        <v>765</v>
      </c>
      <c r="D1810" s="211" t="s">
        <v>1255</v>
      </c>
      <c r="E1810" s="211" t="s">
        <v>10385</v>
      </c>
      <c r="F1810" s="211" t="s">
        <v>7320</v>
      </c>
    </row>
    <row r="1811" spans="1:6">
      <c r="A1811" s="211" t="s">
        <v>222</v>
      </c>
      <c r="B1811" s="211">
        <v>5630</v>
      </c>
      <c r="C1811" s="211">
        <v>1340</v>
      </c>
      <c r="D1811" s="211" t="s">
        <v>1255</v>
      </c>
      <c r="E1811" s="211" t="s">
        <v>10385</v>
      </c>
      <c r="F1811" s="211" t="s">
        <v>7186</v>
      </c>
    </row>
    <row r="1812" spans="1:6">
      <c r="A1812" s="211" t="s">
        <v>5698</v>
      </c>
      <c r="B1812" s="211">
        <v>7111</v>
      </c>
      <c r="C1812" s="211">
        <v>932</v>
      </c>
      <c r="D1812" s="211" t="s">
        <v>1255</v>
      </c>
      <c r="E1812" s="211" t="s">
        <v>10385</v>
      </c>
      <c r="F1812" s="211" t="s">
        <v>7766</v>
      </c>
    </row>
    <row r="1813" spans="1:6">
      <c r="A1813" s="211" t="s">
        <v>223</v>
      </c>
      <c r="B1813" s="211">
        <v>3906</v>
      </c>
      <c r="C1813" s="211">
        <v>887</v>
      </c>
      <c r="D1813" s="211" t="s">
        <v>1255</v>
      </c>
      <c r="E1813" s="211" t="s">
        <v>10385</v>
      </c>
      <c r="F1813" s="211" t="s">
        <v>7248</v>
      </c>
    </row>
    <row r="1814" spans="1:6">
      <c r="A1814" s="211" t="s">
        <v>224</v>
      </c>
      <c r="B1814" s="211">
        <v>793</v>
      </c>
      <c r="C1814" s="211">
        <v>1788</v>
      </c>
      <c r="D1814" s="211" t="s">
        <v>1255</v>
      </c>
      <c r="E1814" s="211" t="s">
        <v>10385</v>
      </c>
      <c r="F1814" s="211" t="s">
        <v>7456</v>
      </c>
    </row>
    <row r="1815" spans="1:6">
      <c r="A1815" s="211" t="s">
        <v>10531</v>
      </c>
      <c r="B1815" s="211">
        <v>8656</v>
      </c>
      <c r="C1815" s="211">
        <v>653</v>
      </c>
      <c r="D1815" s="211" t="s">
        <v>1255</v>
      </c>
      <c r="E1815" s="211" t="s">
        <v>10532</v>
      </c>
      <c r="F1815" s="211" t="s">
        <v>7255</v>
      </c>
    </row>
    <row r="1816" spans="1:6">
      <c r="A1816" s="211" t="s">
        <v>10533</v>
      </c>
      <c r="B1816" s="211">
        <v>8633</v>
      </c>
      <c r="C1816" s="211">
        <v>340</v>
      </c>
      <c r="D1816" s="211" t="s">
        <v>1117</v>
      </c>
      <c r="E1816" s="211" t="s">
        <v>10534</v>
      </c>
      <c r="F1816" s="211" t="s">
        <v>7284</v>
      </c>
    </row>
    <row r="1817" spans="1:6">
      <c r="A1817" s="211" t="s">
        <v>7767</v>
      </c>
      <c r="B1817" s="211">
        <v>912</v>
      </c>
      <c r="C1817" s="211" t="s">
        <v>10385</v>
      </c>
      <c r="D1817" s="211" t="s">
        <v>1255</v>
      </c>
      <c r="E1817" s="211" t="s">
        <v>10385</v>
      </c>
      <c r="F1817" s="211" t="s">
        <v>7210</v>
      </c>
    </row>
    <row r="1818" spans="1:6">
      <c r="A1818" s="211" t="s">
        <v>5024</v>
      </c>
      <c r="B1818" s="211">
        <v>6744</v>
      </c>
      <c r="C1818" s="211">
        <v>1068</v>
      </c>
      <c r="D1818" s="211" t="s">
        <v>1255</v>
      </c>
      <c r="E1818" s="211" t="s">
        <v>10385</v>
      </c>
      <c r="F1818" s="211" t="s">
        <v>7258</v>
      </c>
    </row>
    <row r="1819" spans="1:6">
      <c r="A1819" s="211" t="s">
        <v>4803</v>
      </c>
      <c r="B1819" s="211">
        <v>6127</v>
      </c>
      <c r="C1819" s="211">
        <v>925</v>
      </c>
      <c r="D1819" s="211" t="s">
        <v>1255</v>
      </c>
      <c r="E1819" s="211" t="s">
        <v>10385</v>
      </c>
      <c r="F1819" s="211" t="s">
        <v>7508</v>
      </c>
    </row>
    <row r="1820" spans="1:6">
      <c r="A1820" s="211" t="s">
        <v>225</v>
      </c>
      <c r="B1820" s="211">
        <v>1619</v>
      </c>
      <c r="C1820" s="211">
        <v>809</v>
      </c>
      <c r="D1820" s="211" t="s">
        <v>1255</v>
      </c>
      <c r="E1820" s="211" t="s">
        <v>10385</v>
      </c>
      <c r="F1820" s="211" t="s">
        <v>7512</v>
      </c>
    </row>
    <row r="1821" spans="1:6">
      <c r="A1821" s="211" t="s">
        <v>7768</v>
      </c>
      <c r="B1821" s="211">
        <v>680</v>
      </c>
      <c r="C1821" s="211" t="s">
        <v>10385</v>
      </c>
      <c r="D1821" s="211" t="s">
        <v>1255</v>
      </c>
      <c r="E1821" s="211" t="s">
        <v>10385</v>
      </c>
      <c r="F1821" s="211" t="s">
        <v>7409</v>
      </c>
    </row>
    <row r="1822" spans="1:6">
      <c r="A1822" s="211" t="s">
        <v>10535</v>
      </c>
      <c r="B1822" s="211">
        <v>8615</v>
      </c>
      <c r="C1822" s="211">
        <v>735</v>
      </c>
      <c r="D1822" s="211" t="s">
        <v>1255</v>
      </c>
      <c r="E1822" s="211" t="s">
        <v>10536</v>
      </c>
      <c r="F1822" s="211" t="s">
        <v>7490</v>
      </c>
    </row>
    <row r="1823" spans="1:6">
      <c r="A1823" s="211" t="s">
        <v>9303</v>
      </c>
      <c r="B1823" s="211">
        <v>8501</v>
      </c>
      <c r="C1823" s="211">
        <v>997</v>
      </c>
      <c r="D1823" s="211" t="s">
        <v>1255</v>
      </c>
      <c r="E1823" s="211" t="s">
        <v>10537</v>
      </c>
      <c r="F1823" s="211" t="s">
        <v>9044</v>
      </c>
    </row>
    <row r="1824" spans="1:6">
      <c r="A1824" s="211" t="s">
        <v>7769</v>
      </c>
      <c r="B1824" s="211">
        <v>396</v>
      </c>
      <c r="C1824" s="211" t="s">
        <v>10385</v>
      </c>
      <c r="D1824" s="211" t="s">
        <v>1255</v>
      </c>
      <c r="E1824" s="211" t="s">
        <v>10385</v>
      </c>
      <c r="F1824" s="211" t="s">
        <v>7219</v>
      </c>
    </row>
    <row r="1825" spans="1:6">
      <c r="A1825" s="211" t="s">
        <v>10538</v>
      </c>
      <c r="B1825" s="211">
        <v>8803</v>
      </c>
      <c r="C1825" s="211">
        <v>835</v>
      </c>
      <c r="D1825" s="211" t="s">
        <v>1255</v>
      </c>
      <c r="E1825" s="211" t="s">
        <v>10385</v>
      </c>
      <c r="F1825" s="211" t="s">
        <v>7238</v>
      </c>
    </row>
    <row r="1826" spans="1:6">
      <c r="A1826" s="211" t="s">
        <v>7770</v>
      </c>
      <c r="B1826" s="211">
        <v>4619</v>
      </c>
      <c r="C1826" s="211" t="s">
        <v>10385</v>
      </c>
      <c r="D1826" s="211" t="s">
        <v>1117</v>
      </c>
      <c r="E1826" s="211" t="s">
        <v>10385</v>
      </c>
      <c r="F1826" s="211" t="s">
        <v>7346</v>
      </c>
    </row>
    <row r="1827" spans="1:6">
      <c r="A1827" s="211" t="s">
        <v>9304</v>
      </c>
      <c r="B1827" s="211">
        <v>7974</v>
      </c>
      <c r="C1827" s="211">
        <v>996</v>
      </c>
      <c r="D1827" s="211" t="s">
        <v>1255</v>
      </c>
      <c r="E1827" s="211" t="s">
        <v>9305</v>
      </c>
      <c r="F1827" s="211" t="s">
        <v>7257</v>
      </c>
    </row>
    <row r="1828" spans="1:6">
      <c r="A1828" s="211" t="s">
        <v>226</v>
      </c>
      <c r="B1828" s="211">
        <v>4274</v>
      </c>
      <c r="C1828" s="211">
        <v>1089</v>
      </c>
      <c r="D1828" s="211" t="s">
        <v>1255</v>
      </c>
      <c r="E1828" s="211" t="s">
        <v>10385</v>
      </c>
      <c r="F1828" s="211" t="s">
        <v>7217</v>
      </c>
    </row>
    <row r="1829" spans="1:6">
      <c r="A1829" s="211" t="s">
        <v>7771</v>
      </c>
      <c r="B1829" s="211">
        <v>3768</v>
      </c>
      <c r="C1829" s="211" t="s">
        <v>10385</v>
      </c>
      <c r="D1829" s="211" t="s">
        <v>1255</v>
      </c>
      <c r="E1829" s="211" t="s">
        <v>10385</v>
      </c>
      <c r="F1829" s="211" t="s">
        <v>7237</v>
      </c>
    </row>
    <row r="1830" spans="1:6">
      <c r="A1830" s="211" t="s">
        <v>5699</v>
      </c>
      <c r="B1830" s="211">
        <v>7059</v>
      </c>
      <c r="C1830" s="211">
        <v>859</v>
      </c>
      <c r="D1830" s="211" t="s">
        <v>1255</v>
      </c>
      <c r="E1830" s="211" t="s">
        <v>10385</v>
      </c>
      <c r="F1830" s="211" t="s">
        <v>7257</v>
      </c>
    </row>
    <row r="1831" spans="1:6">
      <c r="A1831" s="211" t="s">
        <v>9306</v>
      </c>
      <c r="B1831" s="211">
        <v>7972</v>
      </c>
      <c r="C1831" s="211">
        <v>996</v>
      </c>
      <c r="D1831" s="211" t="s">
        <v>1255</v>
      </c>
      <c r="E1831" s="211" t="s">
        <v>9307</v>
      </c>
      <c r="F1831" s="211" t="s">
        <v>7257</v>
      </c>
    </row>
    <row r="1832" spans="1:6">
      <c r="A1832" s="211" t="s">
        <v>10539</v>
      </c>
      <c r="B1832" s="211">
        <v>8844</v>
      </c>
      <c r="C1832" s="211">
        <v>806</v>
      </c>
      <c r="D1832" s="211" t="s">
        <v>1255</v>
      </c>
      <c r="E1832" s="211" t="s">
        <v>10540</v>
      </c>
      <c r="F1832" s="211" t="s">
        <v>7399</v>
      </c>
    </row>
    <row r="1833" spans="1:6">
      <c r="A1833" s="211" t="s">
        <v>227</v>
      </c>
      <c r="B1833" s="211">
        <v>3531</v>
      </c>
      <c r="C1833" s="211">
        <v>646</v>
      </c>
      <c r="D1833" s="211" t="s">
        <v>1117</v>
      </c>
      <c r="E1833" s="211" t="s">
        <v>10385</v>
      </c>
      <c r="F1833" s="211" t="s">
        <v>7199</v>
      </c>
    </row>
    <row r="1834" spans="1:6">
      <c r="A1834" s="211" t="s">
        <v>7772</v>
      </c>
      <c r="B1834" s="211">
        <v>3377</v>
      </c>
      <c r="C1834" s="211" t="s">
        <v>10385</v>
      </c>
      <c r="D1834" s="211" t="s">
        <v>1255</v>
      </c>
      <c r="E1834" s="211" t="s">
        <v>10385</v>
      </c>
      <c r="F1834" s="211" t="s">
        <v>7453</v>
      </c>
    </row>
    <row r="1835" spans="1:6">
      <c r="A1835" s="211" t="s">
        <v>228</v>
      </c>
      <c r="B1835" s="211">
        <v>3284</v>
      </c>
      <c r="C1835" s="211">
        <v>781</v>
      </c>
      <c r="D1835" s="211" t="s">
        <v>1255</v>
      </c>
      <c r="E1835" s="211" t="s">
        <v>10385</v>
      </c>
      <c r="F1835" s="211" t="s">
        <v>7438</v>
      </c>
    </row>
    <row r="1836" spans="1:6">
      <c r="A1836" s="211" t="s">
        <v>229</v>
      </c>
      <c r="B1836" s="211">
        <v>4799</v>
      </c>
      <c r="C1836" s="211">
        <v>868</v>
      </c>
      <c r="D1836" s="211" t="s">
        <v>1117</v>
      </c>
      <c r="E1836" s="211" t="s">
        <v>10385</v>
      </c>
      <c r="F1836" s="211" t="s">
        <v>7292</v>
      </c>
    </row>
    <row r="1837" spans="1:6">
      <c r="A1837" s="211" t="s">
        <v>7773</v>
      </c>
      <c r="B1837" s="211">
        <v>4888</v>
      </c>
      <c r="C1837" s="211" t="s">
        <v>10385</v>
      </c>
      <c r="D1837" s="211" t="s">
        <v>1117</v>
      </c>
      <c r="E1837" s="211" t="s">
        <v>10385</v>
      </c>
      <c r="F1837" s="211" t="s">
        <v>7263</v>
      </c>
    </row>
    <row r="1838" spans="1:6">
      <c r="A1838" s="211" t="s">
        <v>5700</v>
      </c>
      <c r="B1838" s="211">
        <v>7213</v>
      </c>
      <c r="C1838" s="211">
        <v>971</v>
      </c>
      <c r="D1838" s="211" t="s">
        <v>1255</v>
      </c>
      <c r="E1838" s="211" t="s">
        <v>10385</v>
      </c>
      <c r="F1838" s="211" t="s">
        <v>7272</v>
      </c>
    </row>
    <row r="1839" spans="1:6">
      <c r="A1839" s="211" t="s">
        <v>4659</v>
      </c>
      <c r="B1839" s="211">
        <v>6438</v>
      </c>
      <c r="C1839" s="211">
        <v>978</v>
      </c>
      <c r="D1839" s="211" t="s">
        <v>1255</v>
      </c>
      <c r="E1839" s="211" t="s">
        <v>10385</v>
      </c>
      <c r="F1839" s="211" t="s">
        <v>7238</v>
      </c>
    </row>
    <row r="1840" spans="1:6">
      <c r="A1840" s="211" t="s">
        <v>5701</v>
      </c>
      <c r="B1840" s="211">
        <v>7359</v>
      </c>
      <c r="C1840" s="211">
        <v>1036</v>
      </c>
      <c r="D1840" s="211" t="s">
        <v>1255</v>
      </c>
      <c r="E1840" s="211" t="s">
        <v>10385</v>
      </c>
      <c r="F1840" s="211" t="s">
        <v>7238</v>
      </c>
    </row>
    <row r="1841" spans="1:6">
      <c r="A1841" s="211" t="s">
        <v>6737</v>
      </c>
      <c r="B1841" s="211">
        <v>7822</v>
      </c>
      <c r="C1841" s="211">
        <v>416</v>
      </c>
      <c r="D1841" s="211" t="s">
        <v>1117</v>
      </c>
      <c r="E1841" s="211" t="s">
        <v>6738</v>
      </c>
      <c r="F1841" s="211" t="s">
        <v>7524</v>
      </c>
    </row>
    <row r="1842" spans="1:6">
      <c r="A1842" s="211" t="s">
        <v>230</v>
      </c>
      <c r="B1842" s="211">
        <v>5703</v>
      </c>
      <c r="C1842" s="211">
        <v>1307</v>
      </c>
      <c r="D1842" s="211" t="s">
        <v>1255</v>
      </c>
      <c r="E1842" s="211" t="s">
        <v>10385</v>
      </c>
      <c r="F1842" s="211" t="s">
        <v>7429</v>
      </c>
    </row>
    <row r="1843" spans="1:6">
      <c r="A1843" s="211" t="s">
        <v>5702</v>
      </c>
      <c r="B1843" s="211">
        <v>7360</v>
      </c>
      <c r="C1843" s="211">
        <v>1359</v>
      </c>
      <c r="D1843" s="211" t="s">
        <v>1255</v>
      </c>
      <c r="E1843" s="211" t="s">
        <v>10385</v>
      </c>
      <c r="F1843" s="211" t="s">
        <v>7238</v>
      </c>
    </row>
    <row r="1844" spans="1:6">
      <c r="A1844" s="211" t="s">
        <v>4752</v>
      </c>
      <c r="B1844" s="211">
        <v>6197</v>
      </c>
      <c r="C1844" s="211">
        <v>1650</v>
      </c>
      <c r="D1844" s="211" t="s">
        <v>1255</v>
      </c>
      <c r="E1844" s="211" t="s">
        <v>10385</v>
      </c>
      <c r="F1844" s="211" t="s">
        <v>7210</v>
      </c>
    </row>
    <row r="1845" spans="1:6">
      <c r="A1845" s="211" t="s">
        <v>231</v>
      </c>
      <c r="B1845" s="211">
        <v>2855</v>
      </c>
      <c r="C1845" s="211">
        <v>945</v>
      </c>
      <c r="D1845" s="211" t="s">
        <v>1255</v>
      </c>
      <c r="E1845" s="211" t="s">
        <v>10385</v>
      </c>
      <c r="F1845" s="211" t="s">
        <v>7392</v>
      </c>
    </row>
    <row r="1846" spans="1:6">
      <c r="A1846" s="211" t="s">
        <v>9308</v>
      </c>
      <c r="B1846" s="211">
        <v>8055</v>
      </c>
      <c r="C1846" s="211">
        <v>478</v>
      </c>
      <c r="D1846" s="211" t="s">
        <v>1117</v>
      </c>
      <c r="E1846" s="211" t="s">
        <v>10541</v>
      </c>
      <c r="F1846" s="211" t="s">
        <v>7458</v>
      </c>
    </row>
    <row r="1847" spans="1:6">
      <c r="A1847" s="211" t="s">
        <v>7774</v>
      </c>
      <c r="B1847" s="211">
        <v>1751</v>
      </c>
      <c r="C1847" s="211" t="s">
        <v>10385</v>
      </c>
      <c r="D1847" s="211" t="s">
        <v>1255</v>
      </c>
      <c r="E1847" s="211" t="s">
        <v>10385</v>
      </c>
      <c r="F1847" s="211" t="s">
        <v>7617</v>
      </c>
    </row>
    <row r="1848" spans="1:6">
      <c r="A1848" s="211" t="s">
        <v>4660</v>
      </c>
      <c r="B1848" s="211">
        <v>6430</v>
      </c>
      <c r="C1848" s="211">
        <v>1432</v>
      </c>
      <c r="D1848" s="211" t="s">
        <v>1255</v>
      </c>
      <c r="E1848" s="211" t="s">
        <v>10385</v>
      </c>
      <c r="F1848" s="211" t="s">
        <v>7587</v>
      </c>
    </row>
    <row r="1849" spans="1:6">
      <c r="A1849" s="211" t="s">
        <v>6739</v>
      </c>
      <c r="B1849" s="211">
        <v>7757</v>
      </c>
      <c r="C1849" s="211">
        <v>1083</v>
      </c>
      <c r="D1849" s="211" t="s">
        <v>1255</v>
      </c>
      <c r="E1849" s="211" t="s">
        <v>6740</v>
      </c>
      <c r="F1849" s="211" t="s">
        <v>7561</v>
      </c>
    </row>
    <row r="1850" spans="1:6">
      <c r="A1850" s="211" t="s">
        <v>232</v>
      </c>
      <c r="B1850" s="211">
        <v>4755</v>
      </c>
      <c r="C1850" s="211">
        <v>1180</v>
      </c>
      <c r="D1850" s="211" t="s">
        <v>1255</v>
      </c>
      <c r="E1850" s="211" t="s">
        <v>10385</v>
      </c>
      <c r="F1850" s="211" t="s">
        <v>7186</v>
      </c>
    </row>
    <row r="1851" spans="1:6">
      <c r="A1851" s="211" t="s">
        <v>9309</v>
      </c>
      <c r="B1851" s="211">
        <v>8400</v>
      </c>
      <c r="C1851" s="211">
        <v>1008</v>
      </c>
      <c r="D1851" s="211" t="s">
        <v>1255</v>
      </c>
      <c r="E1851" s="211" t="s">
        <v>10542</v>
      </c>
      <c r="F1851" s="211" t="s">
        <v>7928</v>
      </c>
    </row>
    <row r="1852" spans="1:6">
      <c r="A1852" s="211" t="s">
        <v>5025</v>
      </c>
      <c r="B1852" s="211">
        <v>6241</v>
      </c>
      <c r="C1852" s="211">
        <v>707</v>
      </c>
      <c r="D1852" s="211" t="s">
        <v>1255</v>
      </c>
      <c r="E1852" s="211" t="s">
        <v>10385</v>
      </c>
      <c r="F1852" s="211" t="s">
        <v>7328</v>
      </c>
    </row>
    <row r="1853" spans="1:6">
      <c r="A1853" s="211" t="s">
        <v>233</v>
      </c>
      <c r="B1853" s="211">
        <v>5062</v>
      </c>
      <c r="C1853" s="211">
        <v>1596</v>
      </c>
      <c r="D1853" s="211" t="s">
        <v>1255</v>
      </c>
      <c r="E1853" s="211" t="s">
        <v>10385</v>
      </c>
      <c r="F1853" s="211" t="s">
        <v>7736</v>
      </c>
    </row>
    <row r="1854" spans="1:6">
      <c r="A1854" s="211" t="s">
        <v>234</v>
      </c>
      <c r="B1854" s="211">
        <v>3769</v>
      </c>
      <c r="C1854" s="211">
        <v>767</v>
      </c>
      <c r="D1854" s="211" t="s">
        <v>1255</v>
      </c>
      <c r="E1854" s="211" t="s">
        <v>10385</v>
      </c>
      <c r="F1854" s="211" t="s">
        <v>7237</v>
      </c>
    </row>
    <row r="1855" spans="1:6">
      <c r="A1855" s="211" t="s">
        <v>9310</v>
      </c>
      <c r="B1855" s="211">
        <v>8090</v>
      </c>
      <c r="C1855" s="211">
        <v>997</v>
      </c>
      <c r="D1855" s="211" t="s">
        <v>1255</v>
      </c>
      <c r="E1855" s="211" t="s">
        <v>10385</v>
      </c>
      <c r="F1855" s="211" t="s">
        <v>7354</v>
      </c>
    </row>
    <row r="1856" spans="1:6">
      <c r="A1856" s="211" t="s">
        <v>4881</v>
      </c>
      <c r="B1856" s="211">
        <v>5186</v>
      </c>
      <c r="C1856" s="211">
        <v>1029</v>
      </c>
      <c r="D1856" s="211" t="s">
        <v>1255</v>
      </c>
      <c r="E1856" s="211" t="s">
        <v>10385</v>
      </c>
      <c r="F1856" s="211" t="s">
        <v>7386</v>
      </c>
    </row>
    <row r="1857" spans="1:6">
      <c r="A1857" s="211" t="s">
        <v>235</v>
      </c>
      <c r="B1857" s="211">
        <v>4568</v>
      </c>
      <c r="C1857" s="211">
        <v>983</v>
      </c>
      <c r="D1857" s="211" t="s">
        <v>1255</v>
      </c>
      <c r="E1857" s="211" t="s">
        <v>10385</v>
      </c>
      <c r="F1857" s="211" t="s">
        <v>7286</v>
      </c>
    </row>
    <row r="1858" spans="1:6">
      <c r="A1858" s="211" t="s">
        <v>236</v>
      </c>
      <c r="B1858" s="211">
        <v>2529</v>
      </c>
      <c r="C1858" s="211">
        <v>901</v>
      </c>
      <c r="D1858" s="211" t="s">
        <v>1255</v>
      </c>
      <c r="E1858" s="211" t="s">
        <v>10385</v>
      </c>
      <c r="F1858" s="211" t="s">
        <v>7207</v>
      </c>
    </row>
    <row r="1859" spans="1:6">
      <c r="A1859" s="211" t="s">
        <v>9311</v>
      </c>
      <c r="B1859" s="211">
        <v>8337</v>
      </c>
      <c r="C1859" s="211">
        <v>1967</v>
      </c>
      <c r="D1859" s="211" t="s">
        <v>1255</v>
      </c>
      <c r="E1859" s="211" t="s">
        <v>9312</v>
      </c>
      <c r="F1859" s="211" t="s">
        <v>7247</v>
      </c>
    </row>
    <row r="1860" spans="1:6">
      <c r="A1860" s="211" t="s">
        <v>4860</v>
      </c>
      <c r="B1860" s="211">
        <v>3461</v>
      </c>
      <c r="C1860" s="211">
        <v>1547</v>
      </c>
      <c r="D1860" s="211" t="s">
        <v>1255</v>
      </c>
      <c r="E1860" s="211" t="s">
        <v>10385</v>
      </c>
      <c r="F1860" s="211" t="s">
        <v>7325</v>
      </c>
    </row>
    <row r="1861" spans="1:6">
      <c r="A1861" s="211" t="s">
        <v>237</v>
      </c>
      <c r="B1861" s="211">
        <v>920</v>
      </c>
      <c r="C1861" s="211">
        <v>1161</v>
      </c>
      <c r="D1861" s="211" t="s">
        <v>1255</v>
      </c>
      <c r="E1861" s="211" t="s">
        <v>10385</v>
      </c>
      <c r="F1861" s="211" t="s">
        <v>7419</v>
      </c>
    </row>
    <row r="1862" spans="1:6">
      <c r="A1862" s="211" t="s">
        <v>238</v>
      </c>
      <c r="B1862" s="211">
        <v>4395</v>
      </c>
      <c r="C1862" s="211">
        <v>1832</v>
      </c>
      <c r="D1862" s="211" t="s">
        <v>1255</v>
      </c>
      <c r="E1862" s="211" t="s">
        <v>10385</v>
      </c>
      <c r="F1862" s="211" t="s">
        <v>7200</v>
      </c>
    </row>
    <row r="1863" spans="1:6">
      <c r="A1863" s="211" t="s">
        <v>5703</v>
      </c>
      <c r="B1863" s="211">
        <v>7143</v>
      </c>
      <c r="C1863" s="211">
        <v>1103</v>
      </c>
      <c r="D1863" s="211" t="s">
        <v>1255</v>
      </c>
      <c r="E1863" s="211" t="s">
        <v>5704</v>
      </c>
      <c r="F1863" s="211" t="s">
        <v>7521</v>
      </c>
    </row>
    <row r="1864" spans="1:6">
      <c r="A1864" s="211" t="s">
        <v>239</v>
      </c>
      <c r="B1864" s="211">
        <v>3426</v>
      </c>
      <c r="C1864" s="211">
        <v>1350</v>
      </c>
      <c r="D1864" s="211" t="s">
        <v>1255</v>
      </c>
      <c r="E1864" s="211" t="s">
        <v>10385</v>
      </c>
      <c r="F1864" s="211" t="s">
        <v>7249</v>
      </c>
    </row>
    <row r="1865" spans="1:6">
      <c r="A1865" s="211" t="s">
        <v>240</v>
      </c>
      <c r="B1865" s="211">
        <v>5516</v>
      </c>
      <c r="C1865" s="211">
        <v>1277</v>
      </c>
      <c r="D1865" s="211" t="s">
        <v>1255</v>
      </c>
      <c r="E1865" s="211" t="s">
        <v>10385</v>
      </c>
      <c r="F1865" s="211" t="s">
        <v>7205</v>
      </c>
    </row>
    <row r="1866" spans="1:6">
      <c r="A1866" s="211" t="s">
        <v>7775</v>
      </c>
      <c r="B1866" s="211">
        <v>4129</v>
      </c>
      <c r="C1866" s="211" t="s">
        <v>10385</v>
      </c>
      <c r="D1866" s="211" t="s">
        <v>1255</v>
      </c>
      <c r="E1866" s="211" t="s">
        <v>10385</v>
      </c>
      <c r="F1866" s="211" t="s">
        <v>7205</v>
      </c>
    </row>
    <row r="1867" spans="1:6">
      <c r="A1867" s="211" t="s">
        <v>241</v>
      </c>
      <c r="B1867" s="211">
        <v>3033</v>
      </c>
      <c r="C1867" s="211">
        <v>2160</v>
      </c>
      <c r="D1867" s="211" t="s">
        <v>1255</v>
      </c>
      <c r="E1867" s="211" t="s">
        <v>10385</v>
      </c>
      <c r="F1867" s="211" t="s">
        <v>7306</v>
      </c>
    </row>
    <row r="1868" spans="1:6">
      <c r="A1868" s="211" t="s">
        <v>7776</v>
      </c>
      <c r="B1868" s="211">
        <v>6992</v>
      </c>
      <c r="C1868" s="211">
        <v>650</v>
      </c>
      <c r="D1868" s="211" t="s">
        <v>1117</v>
      </c>
      <c r="E1868" s="211" t="s">
        <v>10385</v>
      </c>
      <c r="F1868" s="211" t="s">
        <v>7349</v>
      </c>
    </row>
    <row r="1869" spans="1:6">
      <c r="A1869" s="211" t="s">
        <v>4895</v>
      </c>
      <c r="B1869" s="211">
        <v>1729</v>
      </c>
      <c r="C1869" s="211">
        <v>1269</v>
      </c>
      <c r="D1869" s="211" t="s">
        <v>1255</v>
      </c>
      <c r="E1869" s="211" t="s">
        <v>10385</v>
      </c>
      <c r="F1869" s="211" t="s">
        <v>7459</v>
      </c>
    </row>
    <row r="1870" spans="1:6">
      <c r="A1870" s="211" t="s">
        <v>242</v>
      </c>
      <c r="B1870" s="211">
        <v>1043</v>
      </c>
      <c r="C1870" s="211">
        <v>2086</v>
      </c>
      <c r="D1870" s="211" t="s">
        <v>1255</v>
      </c>
      <c r="E1870" s="211" t="s">
        <v>10385</v>
      </c>
      <c r="F1870" s="211" t="s">
        <v>7320</v>
      </c>
    </row>
    <row r="1871" spans="1:6">
      <c r="A1871" s="211" t="s">
        <v>243</v>
      </c>
      <c r="B1871" s="211">
        <v>2954</v>
      </c>
      <c r="C1871" s="211">
        <v>950</v>
      </c>
      <c r="D1871" s="211" t="s">
        <v>1117</v>
      </c>
      <c r="E1871" s="211" t="s">
        <v>10385</v>
      </c>
      <c r="F1871" s="211" t="s">
        <v>7272</v>
      </c>
    </row>
    <row r="1872" spans="1:6">
      <c r="A1872" s="211" t="s">
        <v>244</v>
      </c>
      <c r="B1872" s="211">
        <v>4314</v>
      </c>
      <c r="C1872" s="211">
        <v>1037</v>
      </c>
      <c r="D1872" s="211" t="s">
        <v>1255</v>
      </c>
      <c r="E1872" s="211" t="s">
        <v>10385</v>
      </c>
      <c r="F1872" s="211" t="s">
        <v>7425</v>
      </c>
    </row>
    <row r="1873" spans="1:6">
      <c r="A1873" s="211" t="s">
        <v>5026</v>
      </c>
      <c r="B1873" s="211">
        <v>6684</v>
      </c>
      <c r="C1873" s="211">
        <v>647</v>
      </c>
      <c r="D1873" s="211" t="s">
        <v>1255</v>
      </c>
      <c r="E1873" s="211" t="s">
        <v>6741</v>
      </c>
      <c r="F1873" s="211" t="s">
        <v>7431</v>
      </c>
    </row>
    <row r="1874" spans="1:6">
      <c r="A1874" s="211" t="s">
        <v>245</v>
      </c>
      <c r="B1874" s="211">
        <v>3939</v>
      </c>
      <c r="C1874" s="211">
        <v>2057</v>
      </c>
      <c r="D1874" s="211" t="s">
        <v>1117</v>
      </c>
      <c r="E1874" s="211" t="s">
        <v>10385</v>
      </c>
      <c r="F1874" s="211" t="s">
        <v>7267</v>
      </c>
    </row>
    <row r="1875" spans="1:6">
      <c r="A1875" s="211" t="s">
        <v>246</v>
      </c>
      <c r="B1875" s="211">
        <v>1613</v>
      </c>
      <c r="C1875" s="211">
        <v>858</v>
      </c>
      <c r="D1875" s="211" t="s">
        <v>1255</v>
      </c>
      <c r="E1875" s="211" t="s">
        <v>10385</v>
      </c>
      <c r="F1875" s="211" t="s">
        <v>7257</v>
      </c>
    </row>
    <row r="1876" spans="1:6">
      <c r="A1876" s="211" t="s">
        <v>247</v>
      </c>
      <c r="B1876" s="211">
        <v>5768</v>
      </c>
      <c r="C1876" s="211">
        <v>1047</v>
      </c>
      <c r="D1876" s="211" t="s">
        <v>1255</v>
      </c>
      <c r="E1876" s="211" t="s">
        <v>10385</v>
      </c>
      <c r="F1876" s="211" t="s">
        <v>7382</v>
      </c>
    </row>
    <row r="1877" spans="1:6">
      <c r="A1877" s="211" t="s">
        <v>248</v>
      </c>
      <c r="B1877" s="211">
        <v>2060</v>
      </c>
      <c r="C1877" s="211">
        <v>1677</v>
      </c>
      <c r="D1877" s="211" t="s">
        <v>1255</v>
      </c>
      <c r="E1877" s="211" t="s">
        <v>10385</v>
      </c>
      <c r="F1877" s="211" t="s">
        <v>7386</v>
      </c>
    </row>
    <row r="1878" spans="1:6">
      <c r="A1878" s="211" t="s">
        <v>249</v>
      </c>
      <c r="B1878" s="211">
        <v>2629</v>
      </c>
      <c r="C1878" s="211">
        <v>1000</v>
      </c>
      <c r="D1878" s="211" t="s">
        <v>1117</v>
      </c>
      <c r="E1878" s="211" t="s">
        <v>10385</v>
      </c>
      <c r="F1878" s="211" t="s">
        <v>7255</v>
      </c>
    </row>
    <row r="1879" spans="1:6">
      <c r="A1879" s="211" t="s">
        <v>5027</v>
      </c>
      <c r="B1879" s="211">
        <v>6728</v>
      </c>
      <c r="C1879" s="211">
        <v>2331</v>
      </c>
      <c r="D1879" s="211" t="s">
        <v>1255</v>
      </c>
      <c r="E1879" s="211" t="s">
        <v>10385</v>
      </c>
      <c r="F1879" s="211" t="s">
        <v>7267</v>
      </c>
    </row>
    <row r="1880" spans="1:6">
      <c r="A1880" s="211" t="s">
        <v>250</v>
      </c>
      <c r="B1880" s="211">
        <v>1808</v>
      </c>
      <c r="C1880" s="211">
        <v>949</v>
      </c>
      <c r="D1880" s="211" t="s">
        <v>1255</v>
      </c>
      <c r="E1880" s="211" t="s">
        <v>10385</v>
      </c>
      <c r="F1880" s="211" t="s">
        <v>7757</v>
      </c>
    </row>
    <row r="1881" spans="1:6">
      <c r="A1881" s="211" t="s">
        <v>251</v>
      </c>
      <c r="B1881" s="211">
        <v>5521</v>
      </c>
      <c r="C1881" s="211">
        <v>1432</v>
      </c>
      <c r="D1881" s="211" t="s">
        <v>1255</v>
      </c>
      <c r="E1881" s="211" t="s">
        <v>10385</v>
      </c>
      <c r="F1881" s="211" t="s">
        <v>7412</v>
      </c>
    </row>
    <row r="1882" spans="1:6">
      <c r="A1882" s="211" t="s">
        <v>3054</v>
      </c>
      <c r="B1882" s="211">
        <v>6273</v>
      </c>
      <c r="C1882" s="211">
        <v>1135</v>
      </c>
      <c r="D1882" s="211" t="s">
        <v>1255</v>
      </c>
      <c r="E1882" s="211" t="s">
        <v>5705</v>
      </c>
      <c r="F1882" s="211" t="s">
        <v>9024</v>
      </c>
    </row>
    <row r="1883" spans="1:6">
      <c r="A1883" s="211" t="s">
        <v>252</v>
      </c>
      <c r="B1883" s="211">
        <v>1835</v>
      </c>
      <c r="C1883" s="211">
        <v>983</v>
      </c>
      <c r="D1883" s="211" t="s">
        <v>1255</v>
      </c>
      <c r="E1883" s="211" t="s">
        <v>10385</v>
      </c>
      <c r="F1883" s="211" t="s">
        <v>7280</v>
      </c>
    </row>
    <row r="1884" spans="1:6">
      <c r="A1884" s="211" t="s">
        <v>9313</v>
      </c>
      <c r="B1884" s="211">
        <v>8072</v>
      </c>
      <c r="C1884" s="211">
        <v>799</v>
      </c>
      <c r="D1884" s="211" t="s">
        <v>1255</v>
      </c>
      <c r="E1884" s="211" t="s">
        <v>10385</v>
      </c>
      <c r="F1884" s="211" t="s">
        <v>9120</v>
      </c>
    </row>
    <row r="1885" spans="1:6">
      <c r="A1885" s="211" t="s">
        <v>9314</v>
      </c>
      <c r="B1885" s="211">
        <v>8299</v>
      </c>
      <c r="C1885" s="211">
        <v>1639</v>
      </c>
      <c r="D1885" s="211" t="s">
        <v>1255</v>
      </c>
      <c r="E1885" s="211" t="s">
        <v>10385</v>
      </c>
      <c r="F1885" s="211" t="s">
        <v>7262</v>
      </c>
    </row>
    <row r="1886" spans="1:6">
      <c r="A1886" s="211" t="s">
        <v>253</v>
      </c>
      <c r="B1886" s="211">
        <v>1507</v>
      </c>
      <c r="C1886" s="211">
        <v>896</v>
      </c>
      <c r="D1886" s="211" t="s">
        <v>1255</v>
      </c>
      <c r="E1886" s="211" t="s">
        <v>10385</v>
      </c>
      <c r="F1886" s="211" t="s">
        <v>7438</v>
      </c>
    </row>
    <row r="1887" spans="1:6">
      <c r="A1887" s="211" t="s">
        <v>254</v>
      </c>
      <c r="B1887" s="211">
        <v>4277</v>
      </c>
      <c r="C1887" s="211">
        <v>800</v>
      </c>
      <c r="D1887" s="211" t="s">
        <v>1255</v>
      </c>
      <c r="E1887" s="211" t="s">
        <v>10385</v>
      </c>
      <c r="F1887" s="211" t="s">
        <v>7655</v>
      </c>
    </row>
    <row r="1888" spans="1:6">
      <c r="A1888" s="211" t="s">
        <v>9315</v>
      </c>
      <c r="B1888" s="211">
        <v>8357</v>
      </c>
      <c r="C1888" s="211">
        <v>1411</v>
      </c>
      <c r="D1888" s="211" t="s">
        <v>1255</v>
      </c>
      <c r="E1888" s="211" t="s">
        <v>9316</v>
      </c>
      <c r="F1888" s="211" t="s">
        <v>7239</v>
      </c>
    </row>
    <row r="1889" spans="1:6">
      <c r="A1889" s="211" t="s">
        <v>9317</v>
      </c>
      <c r="B1889" s="211">
        <v>8497</v>
      </c>
      <c r="C1889" s="211">
        <v>1000</v>
      </c>
      <c r="D1889" s="211" t="s">
        <v>1255</v>
      </c>
      <c r="E1889" s="211" t="s">
        <v>10385</v>
      </c>
      <c r="F1889" s="211" t="s">
        <v>7511</v>
      </c>
    </row>
    <row r="1890" spans="1:6">
      <c r="A1890" s="211" t="s">
        <v>255</v>
      </c>
      <c r="B1890" s="211">
        <v>1164</v>
      </c>
      <c r="C1890" s="211">
        <v>873</v>
      </c>
      <c r="D1890" s="211" t="s">
        <v>1255</v>
      </c>
      <c r="E1890" s="211" t="s">
        <v>10385</v>
      </c>
      <c r="F1890" s="211" t="s">
        <v>7381</v>
      </c>
    </row>
    <row r="1891" spans="1:6">
      <c r="A1891" s="211" t="s">
        <v>3040</v>
      </c>
      <c r="B1891" s="211">
        <v>1235</v>
      </c>
      <c r="C1891" s="211">
        <v>1165</v>
      </c>
      <c r="D1891" s="211" t="s">
        <v>1255</v>
      </c>
      <c r="E1891" s="211" t="s">
        <v>10385</v>
      </c>
      <c r="F1891" s="211" t="s">
        <v>7264</v>
      </c>
    </row>
    <row r="1892" spans="1:6">
      <c r="A1892" s="211" t="s">
        <v>7777</v>
      </c>
      <c r="B1892" s="211">
        <v>97</v>
      </c>
      <c r="C1892" s="211" t="s">
        <v>10385</v>
      </c>
      <c r="D1892" s="211" t="s">
        <v>1255</v>
      </c>
      <c r="E1892" s="211" t="s">
        <v>10385</v>
      </c>
      <c r="F1892" s="211" t="s">
        <v>7283</v>
      </c>
    </row>
    <row r="1893" spans="1:6">
      <c r="A1893" s="211" t="s">
        <v>256</v>
      </c>
      <c r="B1893" s="211">
        <v>2805</v>
      </c>
      <c r="C1893" s="211">
        <v>1748</v>
      </c>
      <c r="D1893" s="211" t="s">
        <v>1117</v>
      </c>
      <c r="E1893" s="211" t="s">
        <v>10385</v>
      </c>
      <c r="F1893" s="211" t="s">
        <v>7262</v>
      </c>
    </row>
    <row r="1894" spans="1:6">
      <c r="A1894" s="211" t="s">
        <v>257</v>
      </c>
      <c r="B1894" s="211">
        <v>785</v>
      </c>
      <c r="C1894" s="211">
        <v>1864</v>
      </c>
      <c r="D1894" s="211" t="s">
        <v>1255</v>
      </c>
      <c r="E1894" s="211" t="s">
        <v>10385</v>
      </c>
      <c r="F1894" s="211" t="s">
        <v>7239</v>
      </c>
    </row>
    <row r="1895" spans="1:6">
      <c r="A1895" s="211" t="s">
        <v>258</v>
      </c>
      <c r="B1895" s="211">
        <v>1755</v>
      </c>
      <c r="C1895" s="211">
        <v>694</v>
      </c>
      <c r="D1895" s="211" t="s">
        <v>1255</v>
      </c>
      <c r="E1895" s="211" t="s">
        <v>10385</v>
      </c>
      <c r="F1895" s="211" t="s">
        <v>7617</v>
      </c>
    </row>
    <row r="1896" spans="1:6">
      <c r="A1896" s="211" t="s">
        <v>259</v>
      </c>
      <c r="B1896" s="211">
        <v>18</v>
      </c>
      <c r="C1896" s="211">
        <v>2148</v>
      </c>
      <c r="D1896" s="211" t="s">
        <v>1117</v>
      </c>
      <c r="E1896" s="211" t="s">
        <v>10385</v>
      </c>
      <c r="F1896" s="211" t="s">
        <v>7262</v>
      </c>
    </row>
    <row r="1897" spans="1:6">
      <c r="A1897" s="211" t="s">
        <v>10543</v>
      </c>
      <c r="B1897" s="211">
        <v>8749</v>
      </c>
      <c r="C1897" s="211" t="s">
        <v>10385</v>
      </c>
      <c r="D1897" s="211" t="s">
        <v>1255</v>
      </c>
      <c r="E1897" s="211" t="s">
        <v>10544</v>
      </c>
      <c r="F1897" s="211" t="s">
        <v>7173</v>
      </c>
    </row>
    <row r="1898" spans="1:6">
      <c r="A1898" s="211" t="s">
        <v>260</v>
      </c>
      <c r="B1898" s="211">
        <v>5465</v>
      </c>
      <c r="C1898" s="211">
        <v>918</v>
      </c>
      <c r="D1898" s="211" t="s">
        <v>1255</v>
      </c>
      <c r="E1898" s="211" t="s">
        <v>10385</v>
      </c>
      <c r="F1898" s="211" t="s">
        <v>7233</v>
      </c>
    </row>
    <row r="1899" spans="1:6">
      <c r="A1899" s="211" t="s">
        <v>261</v>
      </c>
      <c r="B1899" s="211">
        <v>4328</v>
      </c>
      <c r="C1899" s="211">
        <v>2064</v>
      </c>
      <c r="D1899" s="211" t="s">
        <v>1255</v>
      </c>
      <c r="E1899" s="211" t="s">
        <v>10385</v>
      </c>
      <c r="F1899" s="211" t="s">
        <v>7295</v>
      </c>
    </row>
    <row r="1900" spans="1:6">
      <c r="A1900" s="211" t="s">
        <v>262</v>
      </c>
      <c r="B1900" s="211">
        <v>3158</v>
      </c>
      <c r="C1900" s="211">
        <v>1504</v>
      </c>
      <c r="D1900" s="211" t="s">
        <v>1117</v>
      </c>
      <c r="E1900" s="211" t="s">
        <v>10385</v>
      </c>
      <c r="F1900" s="211" t="s">
        <v>7267</v>
      </c>
    </row>
    <row r="1901" spans="1:6">
      <c r="A1901" s="211" t="s">
        <v>263</v>
      </c>
      <c r="B1901" s="211">
        <v>830</v>
      </c>
      <c r="C1901" s="211">
        <v>1159</v>
      </c>
      <c r="D1901" s="211" t="s">
        <v>1255</v>
      </c>
      <c r="E1901" s="211" t="s">
        <v>10385</v>
      </c>
      <c r="F1901" s="211" t="s">
        <v>7199</v>
      </c>
    </row>
    <row r="1902" spans="1:6">
      <c r="A1902" s="211" t="s">
        <v>264</v>
      </c>
      <c r="B1902" s="211">
        <v>769</v>
      </c>
      <c r="C1902" s="211">
        <v>980</v>
      </c>
      <c r="D1902" s="211" t="s">
        <v>1255</v>
      </c>
      <c r="E1902" s="211" t="s">
        <v>10385</v>
      </c>
      <c r="F1902" s="211" t="s">
        <v>7196</v>
      </c>
    </row>
    <row r="1903" spans="1:6">
      <c r="A1903" s="211" t="s">
        <v>7778</v>
      </c>
      <c r="B1903" s="211">
        <v>1693</v>
      </c>
      <c r="C1903" s="211" t="s">
        <v>10385</v>
      </c>
      <c r="D1903" s="211" t="s">
        <v>1255</v>
      </c>
      <c r="E1903" s="211" t="s">
        <v>10385</v>
      </c>
      <c r="F1903" s="211" t="s">
        <v>7250</v>
      </c>
    </row>
    <row r="1904" spans="1:6">
      <c r="A1904" s="211" t="s">
        <v>265</v>
      </c>
      <c r="B1904" s="211">
        <v>4324</v>
      </c>
      <c r="C1904" s="211">
        <v>1516</v>
      </c>
      <c r="D1904" s="211" t="s">
        <v>1255</v>
      </c>
      <c r="E1904" s="211" t="s">
        <v>10385</v>
      </c>
      <c r="F1904" s="211" t="s">
        <v>7199</v>
      </c>
    </row>
    <row r="1905" spans="1:6">
      <c r="A1905" s="211" t="s">
        <v>266</v>
      </c>
      <c r="B1905" s="211">
        <v>4901</v>
      </c>
      <c r="C1905" s="211">
        <v>1126</v>
      </c>
      <c r="D1905" s="211" t="s">
        <v>1255</v>
      </c>
      <c r="E1905" s="211" t="s">
        <v>10385</v>
      </c>
      <c r="F1905" s="211" t="s">
        <v>7335</v>
      </c>
    </row>
    <row r="1906" spans="1:6">
      <c r="A1906" s="211" t="s">
        <v>267</v>
      </c>
      <c r="B1906" s="211">
        <v>1759</v>
      </c>
      <c r="C1906" s="211">
        <v>2057</v>
      </c>
      <c r="D1906" s="211" t="s">
        <v>1255</v>
      </c>
      <c r="E1906" s="211" t="s">
        <v>268</v>
      </c>
      <c r="F1906" s="211" t="s">
        <v>7284</v>
      </c>
    </row>
    <row r="1907" spans="1:6">
      <c r="A1907" s="211" t="s">
        <v>269</v>
      </c>
      <c r="B1907" s="211">
        <v>4913</v>
      </c>
      <c r="C1907" s="211">
        <v>980</v>
      </c>
      <c r="D1907" s="211" t="s">
        <v>1117</v>
      </c>
      <c r="E1907" s="211" t="s">
        <v>10385</v>
      </c>
      <c r="F1907" s="211" t="s">
        <v>7219</v>
      </c>
    </row>
    <row r="1908" spans="1:6">
      <c r="A1908" s="211" t="s">
        <v>5706</v>
      </c>
      <c r="B1908" s="211">
        <v>7594</v>
      </c>
      <c r="C1908" s="211">
        <v>542</v>
      </c>
      <c r="D1908" s="211" t="s">
        <v>1117</v>
      </c>
      <c r="E1908" s="211" t="s">
        <v>5707</v>
      </c>
      <c r="F1908" s="211" t="s">
        <v>7282</v>
      </c>
    </row>
    <row r="1909" spans="1:6">
      <c r="A1909" s="211" t="s">
        <v>9318</v>
      </c>
      <c r="B1909" s="211">
        <v>8102</v>
      </c>
      <c r="C1909" s="211">
        <v>999</v>
      </c>
      <c r="D1909" s="211" t="s">
        <v>1255</v>
      </c>
      <c r="E1909" s="211" t="s">
        <v>9319</v>
      </c>
      <c r="F1909" s="211" t="s">
        <v>9056</v>
      </c>
    </row>
    <row r="1910" spans="1:6">
      <c r="A1910" s="211" t="s">
        <v>270</v>
      </c>
      <c r="B1910" s="211">
        <v>4452</v>
      </c>
      <c r="C1910" s="211">
        <v>778</v>
      </c>
      <c r="D1910" s="211" t="s">
        <v>1117</v>
      </c>
      <c r="E1910" s="211" t="s">
        <v>10385</v>
      </c>
      <c r="F1910" s="211" t="s">
        <v>7247</v>
      </c>
    </row>
    <row r="1911" spans="1:6">
      <c r="A1911" s="211" t="s">
        <v>7779</v>
      </c>
      <c r="B1911" s="211">
        <v>1820</v>
      </c>
      <c r="C1911" s="211" t="s">
        <v>10385</v>
      </c>
      <c r="D1911" s="211" t="s">
        <v>1255</v>
      </c>
      <c r="E1911" s="211" t="s">
        <v>10385</v>
      </c>
      <c r="F1911" s="211" t="s">
        <v>7284</v>
      </c>
    </row>
    <row r="1912" spans="1:6">
      <c r="A1912" s="211" t="s">
        <v>6742</v>
      </c>
      <c r="B1912" s="211">
        <v>7628</v>
      </c>
      <c r="C1912" s="211">
        <v>1495</v>
      </c>
      <c r="D1912" s="211" t="s">
        <v>1255</v>
      </c>
      <c r="E1912" s="211" t="s">
        <v>10545</v>
      </c>
      <c r="F1912" s="211" t="s">
        <v>7212</v>
      </c>
    </row>
    <row r="1913" spans="1:6">
      <c r="A1913" s="211" t="s">
        <v>271</v>
      </c>
      <c r="B1913" s="211">
        <v>6257</v>
      </c>
      <c r="C1913" s="211">
        <v>1863</v>
      </c>
      <c r="D1913" s="211" t="s">
        <v>1255</v>
      </c>
      <c r="E1913" s="211" t="s">
        <v>5708</v>
      </c>
      <c r="F1913" s="211" t="s">
        <v>7279</v>
      </c>
    </row>
    <row r="1914" spans="1:6">
      <c r="A1914" s="211" t="s">
        <v>272</v>
      </c>
      <c r="B1914" s="211">
        <v>3047</v>
      </c>
      <c r="C1914" s="211">
        <v>1585</v>
      </c>
      <c r="D1914" s="211" t="s">
        <v>1255</v>
      </c>
      <c r="E1914" s="211" t="s">
        <v>10385</v>
      </c>
      <c r="F1914" s="211" t="s">
        <v>7194</v>
      </c>
    </row>
    <row r="1915" spans="1:6">
      <c r="A1915" s="211" t="s">
        <v>273</v>
      </c>
      <c r="B1915" s="211">
        <v>5852</v>
      </c>
      <c r="C1915" s="211">
        <v>2025</v>
      </c>
      <c r="D1915" s="211" t="s">
        <v>1255</v>
      </c>
      <c r="E1915" s="211" t="s">
        <v>5709</v>
      </c>
      <c r="F1915" s="211" t="s">
        <v>7247</v>
      </c>
    </row>
    <row r="1916" spans="1:6">
      <c r="A1916" s="211" t="s">
        <v>7780</v>
      </c>
      <c r="B1916" s="211">
        <v>3792</v>
      </c>
      <c r="C1916" s="211">
        <v>825</v>
      </c>
      <c r="D1916" s="211" t="s">
        <v>1255</v>
      </c>
      <c r="E1916" s="211" t="s">
        <v>10385</v>
      </c>
      <c r="F1916" s="211" t="s">
        <v>7286</v>
      </c>
    </row>
    <row r="1917" spans="1:6">
      <c r="A1917" s="211" t="s">
        <v>274</v>
      </c>
      <c r="B1917" s="211">
        <v>2790</v>
      </c>
      <c r="C1917" s="211">
        <v>758</v>
      </c>
      <c r="D1917" s="211" t="s">
        <v>1255</v>
      </c>
      <c r="E1917" s="211" t="s">
        <v>10385</v>
      </c>
      <c r="F1917" s="211" t="s">
        <v>7344</v>
      </c>
    </row>
    <row r="1918" spans="1:6">
      <c r="A1918" s="211" t="s">
        <v>275</v>
      </c>
      <c r="B1918" s="211">
        <v>4663</v>
      </c>
      <c r="C1918" s="211">
        <v>1036</v>
      </c>
      <c r="D1918" s="211" t="s">
        <v>1255</v>
      </c>
      <c r="E1918" s="211" t="s">
        <v>10385</v>
      </c>
      <c r="F1918" s="211" t="s">
        <v>7257</v>
      </c>
    </row>
    <row r="1919" spans="1:6">
      <c r="A1919" s="211" t="s">
        <v>7781</v>
      </c>
      <c r="B1919" s="211">
        <v>3663</v>
      </c>
      <c r="C1919" s="211" t="s">
        <v>10385</v>
      </c>
      <c r="D1919" s="211" t="s">
        <v>1255</v>
      </c>
      <c r="E1919" s="211" t="s">
        <v>10385</v>
      </c>
      <c r="F1919" s="211" t="s">
        <v>7740</v>
      </c>
    </row>
    <row r="1920" spans="1:6">
      <c r="A1920" s="211" t="s">
        <v>276</v>
      </c>
      <c r="B1920" s="211">
        <v>2936</v>
      </c>
      <c r="C1920" s="211">
        <v>1003</v>
      </c>
      <c r="D1920" s="211" t="s">
        <v>1255</v>
      </c>
      <c r="E1920" s="211" t="s">
        <v>10385</v>
      </c>
      <c r="F1920" s="211" t="s">
        <v>7477</v>
      </c>
    </row>
    <row r="1921" spans="1:6">
      <c r="A1921" s="211" t="s">
        <v>277</v>
      </c>
      <c r="B1921" s="211">
        <v>3472</v>
      </c>
      <c r="C1921" s="211">
        <v>853</v>
      </c>
      <c r="D1921" s="211" t="s">
        <v>1255</v>
      </c>
      <c r="E1921" s="211" t="s">
        <v>10385</v>
      </c>
      <c r="F1921" s="211" t="s">
        <v>7430</v>
      </c>
    </row>
    <row r="1922" spans="1:6">
      <c r="A1922" s="211" t="s">
        <v>4630</v>
      </c>
      <c r="B1922" s="211">
        <v>6335</v>
      </c>
      <c r="C1922" s="211">
        <v>1474</v>
      </c>
      <c r="D1922" s="211" t="s">
        <v>1255</v>
      </c>
      <c r="E1922" s="211" t="s">
        <v>3081</v>
      </c>
      <c r="F1922" s="211" t="s">
        <v>7782</v>
      </c>
    </row>
    <row r="1923" spans="1:6">
      <c r="A1923" s="211" t="s">
        <v>10546</v>
      </c>
      <c r="B1923" s="211">
        <v>8831</v>
      </c>
      <c r="C1923" s="211">
        <v>661</v>
      </c>
      <c r="D1923" s="211" t="s">
        <v>1255</v>
      </c>
      <c r="E1923" s="211" t="s">
        <v>10547</v>
      </c>
      <c r="F1923" s="211" t="s">
        <v>10408</v>
      </c>
    </row>
    <row r="1924" spans="1:6">
      <c r="A1924" s="211" t="s">
        <v>278</v>
      </c>
      <c r="B1924" s="211">
        <v>746</v>
      </c>
      <c r="C1924" s="211">
        <v>1667</v>
      </c>
      <c r="D1924" s="211" t="s">
        <v>1255</v>
      </c>
      <c r="E1924" s="211" t="s">
        <v>10385</v>
      </c>
      <c r="F1924" s="211" t="s">
        <v>7283</v>
      </c>
    </row>
    <row r="1925" spans="1:6">
      <c r="A1925" s="211" t="s">
        <v>7783</v>
      </c>
      <c r="B1925" s="211">
        <v>1989</v>
      </c>
      <c r="C1925" s="211" t="s">
        <v>10385</v>
      </c>
      <c r="D1925" s="211" t="s">
        <v>1255</v>
      </c>
      <c r="E1925" s="211" t="s">
        <v>10385</v>
      </c>
      <c r="F1925" s="211" t="s">
        <v>7229</v>
      </c>
    </row>
    <row r="1926" spans="1:6">
      <c r="A1926" s="211" t="s">
        <v>7784</v>
      </c>
      <c r="B1926" s="211">
        <v>3584</v>
      </c>
      <c r="C1926" s="211" t="s">
        <v>10385</v>
      </c>
      <c r="D1926" s="211" t="s">
        <v>1117</v>
      </c>
      <c r="E1926" s="211" t="s">
        <v>10385</v>
      </c>
      <c r="F1926" s="211" t="s">
        <v>7297</v>
      </c>
    </row>
    <row r="1927" spans="1:6">
      <c r="A1927" s="211" t="s">
        <v>279</v>
      </c>
      <c r="B1927" s="211">
        <v>4007</v>
      </c>
      <c r="C1927" s="211">
        <v>1050</v>
      </c>
      <c r="D1927" s="211" t="s">
        <v>1255</v>
      </c>
      <c r="E1927" s="211" t="s">
        <v>10385</v>
      </c>
      <c r="F1927" s="211" t="s">
        <v>7322</v>
      </c>
    </row>
    <row r="1928" spans="1:6">
      <c r="A1928" s="211" t="s">
        <v>7785</v>
      </c>
      <c r="B1928" s="211">
        <v>5099</v>
      </c>
      <c r="C1928" s="211" t="s">
        <v>10385</v>
      </c>
      <c r="D1928" s="211" t="s">
        <v>1255</v>
      </c>
      <c r="E1928" s="211" t="s">
        <v>10385</v>
      </c>
      <c r="F1928" s="211" t="s">
        <v>7446</v>
      </c>
    </row>
    <row r="1929" spans="1:6">
      <c r="A1929" s="211" t="s">
        <v>10548</v>
      </c>
      <c r="B1929" s="211">
        <v>8754</v>
      </c>
      <c r="C1929" s="211">
        <v>787</v>
      </c>
      <c r="D1929" s="211" t="s">
        <v>1255</v>
      </c>
      <c r="E1929" s="211" t="s">
        <v>10549</v>
      </c>
      <c r="F1929" s="211" t="s">
        <v>7173</v>
      </c>
    </row>
    <row r="1930" spans="1:6">
      <c r="A1930" s="211" t="s">
        <v>280</v>
      </c>
      <c r="B1930" s="211">
        <v>1263</v>
      </c>
      <c r="C1930" s="211">
        <v>1411</v>
      </c>
      <c r="D1930" s="211" t="s">
        <v>1255</v>
      </c>
      <c r="E1930" s="211" t="s">
        <v>10385</v>
      </c>
      <c r="F1930" s="211" t="s">
        <v>7257</v>
      </c>
    </row>
    <row r="1931" spans="1:6">
      <c r="A1931" s="211" t="s">
        <v>281</v>
      </c>
      <c r="B1931" s="211">
        <v>4556</v>
      </c>
      <c r="C1931" s="211">
        <v>1541</v>
      </c>
      <c r="D1931" s="211" t="s">
        <v>1255</v>
      </c>
      <c r="E1931" s="211" t="s">
        <v>10385</v>
      </c>
      <c r="F1931" s="211" t="s">
        <v>7304</v>
      </c>
    </row>
    <row r="1932" spans="1:6">
      <c r="A1932" s="211" t="s">
        <v>7786</v>
      </c>
      <c r="B1932" s="211">
        <v>3139</v>
      </c>
      <c r="C1932" s="211" t="s">
        <v>10385</v>
      </c>
      <c r="D1932" s="211" t="s">
        <v>1255</v>
      </c>
      <c r="E1932" s="211" t="s">
        <v>10385</v>
      </c>
      <c r="F1932" s="211" t="s">
        <v>7202</v>
      </c>
    </row>
    <row r="1933" spans="1:6">
      <c r="A1933" s="211" t="s">
        <v>282</v>
      </c>
      <c r="B1933" s="211">
        <v>1030</v>
      </c>
      <c r="C1933" s="211">
        <v>1018</v>
      </c>
      <c r="D1933" s="211" t="s">
        <v>1255</v>
      </c>
      <c r="E1933" s="211" t="s">
        <v>10385</v>
      </c>
      <c r="F1933" s="211" t="s">
        <v>7224</v>
      </c>
    </row>
    <row r="1934" spans="1:6">
      <c r="A1934" s="211" t="s">
        <v>283</v>
      </c>
      <c r="B1934" s="211">
        <v>4266</v>
      </c>
      <c r="C1934" s="211">
        <v>2295</v>
      </c>
      <c r="D1934" s="211" t="s">
        <v>1255</v>
      </c>
      <c r="E1934" s="211" t="s">
        <v>6632</v>
      </c>
      <c r="F1934" s="211" t="s">
        <v>7267</v>
      </c>
    </row>
    <row r="1935" spans="1:6">
      <c r="A1935" s="211" t="s">
        <v>7787</v>
      </c>
      <c r="B1935" s="211">
        <v>2144</v>
      </c>
      <c r="C1935" s="211" t="s">
        <v>10385</v>
      </c>
      <c r="D1935" s="211" t="s">
        <v>1255</v>
      </c>
      <c r="E1935" s="211" t="s">
        <v>10385</v>
      </c>
      <c r="F1935" s="211" t="s">
        <v>7233</v>
      </c>
    </row>
    <row r="1936" spans="1:6">
      <c r="A1936" s="211" t="s">
        <v>284</v>
      </c>
      <c r="B1936" s="211">
        <v>2451</v>
      </c>
      <c r="C1936" s="211">
        <v>1194</v>
      </c>
      <c r="D1936" s="211" t="s">
        <v>1255</v>
      </c>
      <c r="E1936" s="211" t="s">
        <v>10385</v>
      </c>
      <c r="F1936" s="211" t="s">
        <v>7327</v>
      </c>
    </row>
    <row r="1937" spans="1:6">
      <c r="A1937" s="211" t="s">
        <v>285</v>
      </c>
      <c r="B1937" s="211">
        <v>5318</v>
      </c>
      <c r="C1937" s="211">
        <v>634</v>
      </c>
      <c r="D1937" s="211" t="s">
        <v>1117</v>
      </c>
      <c r="E1937" s="211" t="s">
        <v>10385</v>
      </c>
      <c r="F1937" s="211" t="s">
        <v>7402</v>
      </c>
    </row>
    <row r="1938" spans="1:6">
      <c r="A1938" s="211" t="s">
        <v>286</v>
      </c>
      <c r="B1938" s="211">
        <v>5173</v>
      </c>
      <c r="C1938" s="211">
        <v>1383</v>
      </c>
      <c r="D1938" s="211" t="s">
        <v>1255</v>
      </c>
      <c r="E1938" s="211" t="s">
        <v>10385</v>
      </c>
      <c r="F1938" s="211" t="s">
        <v>7383</v>
      </c>
    </row>
    <row r="1939" spans="1:6">
      <c r="A1939" s="211" t="s">
        <v>4509</v>
      </c>
      <c r="B1939" s="211">
        <v>6539</v>
      </c>
      <c r="C1939" s="211">
        <v>1565</v>
      </c>
      <c r="D1939" s="211" t="s">
        <v>1255</v>
      </c>
      <c r="E1939" s="211" t="s">
        <v>9320</v>
      </c>
      <c r="F1939" s="211" t="s">
        <v>7304</v>
      </c>
    </row>
    <row r="1940" spans="1:6">
      <c r="A1940" s="211" t="s">
        <v>5710</v>
      </c>
      <c r="B1940" s="211">
        <v>7570</v>
      </c>
      <c r="C1940" s="211">
        <v>305</v>
      </c>
      <c r="D1940" s="211" t="s">
        <v>1117</v>
      </c>
      <c r="E1940" s="211" t="s">
        <v>10385</v>
      </c>
      <c r="F1940" s="211" t="s">
        <v>7384</v>
      </c>
    </row>
    <row r="1941" spans="1:6">
      <c r="A1941" s="211" t="s">
        <v>287</v>
      </c>
      <c r="B1941" s="211">
        <v>4646</v>
      </c>
      <c r="C1941" s="211">
        <v>1108</v>
      </c>
      <c r="D1941" s="211" t="s">
        <v>1255</v>
      </c>
      <c r="E1941" s="211" t="s">
        <v>10385</v>
      </c>
      <c r="F1941" s="211" t="s">
        <v>7275</v>
      </c>
    </row>
    <row r="1942" spans="1:6">
      <c r="A1942" s="211" t="s">
        <v>288</v>
      </c>
      <c r="B1942" s="211">
        <v>4679</v>
      </c>
      <c r="C1942" s="211">
        <v>962</v>
      </c>
      <c r="D1942" s="211" t="s">
        <v>1255</v>
      </c>
      <c r="E1942" s="211" t="s">
        <v>10385</v>
      </c>
      <c r="F1942" s="211" t="s">
        <v>7453</v>
      </c>
    </row>
    <row r="1943" spans="1:6">
      <c r="A1943" s="211" t="s">
        <v>289</v>
      </c>
      <c r="B1943" s="211">
        <v>2436</v>
      </c>
      <c r="C1943" s="211">
        <v>896</v>
      </c>
      <c r="D1943" s="211" t="s">
        <v>1255</v>
      </c>
      <c r="E1943" s="211" t="s">
        <v>10385</v>
      </c>
      <c r="F1943" s="211" t="s">
        <v>7788</v>
      </c>
    </row>
    <row r="1944" spans="1:6">
      <c r="A1944" s="211" t="s">
        <v>290</v>
      </c>
      <c r="B1944" s="211">
        <v>2700</v>
      </c>
      <c r="C1944" s="211">
        <v>1032</v>
      </c>
      <c r="D1944" s="211" t="s">
        <v>1117</v>
      </c>
      <c r="E1944" s="211" t="s">
        <v>10385</v>
      </c>
      <c r="F1944" s="211" t="s">
        <v>7425</v>
      </c>
    </row>
    <row r="1945" spans="1:6">
      <c r="A1945" s="211" t="s">
        <v>2935</v>
      </c>
      <c r="B1945" s="211">
        <v>2223</v>
      </c>
      <c r="C1945" s="211">
        <v>1239</v>
      </c>
      <c r="D1945" s="211" t="s">
        <v>1255</v>
      </c>
      <c r="E1945" s="211" t="s">
        <v>10385</v>
      </c>
      <c r="F1945" s="211" t="s">
        <v>7384</v>
      </c>
    </row>
    <row r="1946" spans="1:6">
      <c r="A1946" s="211" t="s">
        <v>9321</v>
      </c>
      <c r="B1946" s="211">
        <v>8095</v>
      </c>
      <c r="C1946" s="211">
        <v>1854</v>
      </c>
      <c r="D1946" s="211" t="s">
        <v>1117</v>
      </c>
      <c r="E1946" s="211" t="s">
        <v>10550</v>
      </c>
      <c r="F1946" s="211" t="s">
        <v>7383</v>
      </c>
    </row>
    <row r="1947" spans="1:6">
      <c r="A1947" s="211" t="s">
        <v>5711</v>
      </c>
      <c r="B1947" s="211">
        <v>7266</v>
      </c>
      <c r="C1947" s="211">
        <v>810</v>
      </c>
      <c r="D1947" s="211" t="s">
        <v>1117</v>
      </c>
      <c r="E1947" s="211" t="s">
        <v>5712</v>
      </c>
      <c r="F1947" s="211" t="s">
        <v>7536</v>
      </c>
    </row>
    <row r="1948" spans="1:6">
      <c r="A1948" s="211" t="s">
        <v>10551</v>
      </c>
      <c r="B1948" s="211">
        <v>8676</v>
      </c>
      <c r="C1948" s="211">
        <v>908</v>
      </c>
      <c r="D1948" s="211" t="s">
        <v>1255</v>
      </c>
      <c r="E1948" s="211" t="s">
        <v>10552</v>
      </c>
      <c r="F1948" s="211" t="s">
        <v>7414</v>
      </c>
    </row>
    <row r="1949" spans="1:6">
      <c r="A1949" s="211" t="s">
        <v>291</v>
      </c>
      <c r="B1949" s="211">
        <v>2240</v>
      </c>
      <c r="C1949" s="211">
        <v>1802</v>
      </c>
      <c r="D1949" s="211" t="s">
        <v>1255</v>
      </c>
      <c r="E1949" s="211" t="s">
        <v>10385</v>
      </c>
      <c r="F1949" s="211" t="s">
        <v>7331</v>
      </c>
    </row>
    <row r="1950" spans="1:6">
      <c r="A1950" s="211" t="s">
        <v>292</v>
      </c>
      <c r="B1950" s="211">
        <v>5585</v>
      </c>
      <c r="C1950" s="211">
        <v>910</v>
      </c>
      <c r="D1950" s="211" t="s">
        <v>1255</v>
      </c>
      <c r="E1950" s="211" t="s">
        <v>10385</v>
      </c>
      <c r="F1950" s="211" t="s">
        <v>7202</v>
      </c>
    </row>
    <row r="1951" spans="1:6">
      <c r="A1951" s="211" t="s">
        <v>9322</v>
      </c>
      <c r="B1951" s="211">
        <v>8092</v>
      </c>
      <c r="C1951" s="211">
        <v>2073</v>
      </c>
      <c r="D1951" s="211" t="s">
        <v>1255</v>
      </c>
      <c r="E1951" s="211" t="s">
        <v>10553</v>
      </c>
      <c r="F1951" s="211" t="s">
        <v>7316</v>
      </c>
    </row>
    <row r="1952" spans="1:6">
      <c r="A1952" s="211" t="s">
        <v>293</v>
      </c>
      <c r="B1952" s="211">
        <v>2847</v>
      </c>
      <c r="C1952" s="211">
        <v>1043</v>
      </c>
      <c r="D1952" s="211" t="s">
        <v>1117</v>
      </c>
      <c r="E1952" s="211" t="s">
        <v>10385</v>
      </c>
      <c r="F1952" s="211" t="s">
        <v>7171</v>
      </c>
    </row>
    <row r="1953" spans="1:6">
      <c r="A1953" s="211" t="s">
        <v>294</v>
      </c>
      <c r="B1953" s="211">
        <v>5859</v>
      </c>
      <c r="C1953" s="211">
        <v>2294</v>
      </c>
      <c r="D1953" s="211" t="s">
        <v>1117</v>
      </c>
      <c r="E1953" s="211" t="s">
        <v>5713</v>
      </c>
      <c r="F1953" s="211" t="s">
        <v>7247</v>
      </c>
    </row>
    <row r="1954" spans="1:6">
      <c r="A1954" s="211" t="s">
        <v>5714</v>
      </c>
      <c r="B1954" s="211">
        <v>7462</v>
      </c>
      <c r="C1954" s="211">
        <v>998</v>
      </c>
      <c r="D1954" s="211" t="s">
        <v>1255</v>
      </c>
      <c r="E1954" s="211" t="s">
        <v>5715</v>
      </c>
      <c r="F1954" s="211" t="s">
        <v>7789</v>
      </c>
    </row>
    <row r="1955" spans="1:6">
      <c r="A1955" s="211" t="s">
        <v>295</v>
      </c>
      <c r="B1955" s="211">
        <v>3954</v>
      </c>
      <c r="C1955" s="211">
        <v>1307</v>
      </c>
      <c r="D1955" s="211" t="s">
        <v>1255</v>
      </c>
      <c r="E1955" s="211" t="s">
        <v>10385</v>
      </c>
      <c r="F1955" s="211" t="s">
        <v>7303</v>
      </c>
    </row>
    <row r="1956" spans="1:6">
      <c r="A1956" s="211" t="s">
        <v>7790</v>
      </c>
      <c r="B1956" s="211">
        <v>616</v>
      </c>
      <c r="C1956" s="211" t="s">
        <v>10385</v>
      </c>
      <c r="D1956" s="211" t="s">
        <v>1255</v>
      </c>
      <c r="E1956" s="211" t="s">
        <v>10385</v>
      </c>
      <c r="F1956" s="211" t="s">
        <v>7791</v>
      </c>
    </row>
    <row r="1957" spans="1:6">
      <c r="A1957" s="211" t="s">
        <v>5028</v>
      </c>
      <c r="B1957" s="211">
        <v>6569</v>
      </c>
      <c r="C1957" s="211">
        <v>1981</v>
      </c>
      <c r="D1957" s="211" t="s">
        <v>1255</v>
      </c>
      <c r="E1957" s="211" t="s">
        <v>6743</v>
      </c>
      <c r="F1957" s="211" t="s">
        <v>7327</v>
      </c>
    </row>
    <row r="1958" spans="1:6">
      <c r="A1958" s="211" t="s">
        <v>296</v>
      </c>
      <c r="B1958" s="211">
        <v>5291</v>
      </c>
      <c r="C1958" s="211">
        <v>783</v>
      </c>
      <c r="D1958" s="211" t="s">
        <v>1255</v>
      </c>
      <c r="E1958" s="211" t="s">
        <v>10385</v>
      </c>
      <c r="F1958" s="211" t="s">
        <v>7240</v>
      </c>
    </row>
    <row r="1959" spans="1:6">
      <c r="A1959" s="211" t="s">
        <v>7792</v>
      </c>
      <c r="B1959" s="211">
        <v>546</v>
      </c>
      <c r="C1959" s="211" t="s">
        <v>10385</v>
      </c>
      <c r="D1959" s="211" t="s">
        <v>1255</v>
      </c>
      <c r="E1959" s="211" t="s">
        <v>10385</v>
      </c>
      <c r="F1959" s="211" t="s">
        <v>7255</v>
      </c>
    </row>
    <row r="1960" spans="1:6">
      <c r="A1960" s="211" t="s">
        <v>297</v>
      </c>
      <c r="B1960" s="211">
        <v>1581</v>
      </c>
      <c r="C1960" s="211">
        <v>798</v>
      </c>
      <c r="D1960" s="211" t="s">
        <v>1117</v>
      </c>
      <c r="E1960" s="211" t="s">
        <v>10385</v>
      </c>
      <c r="F1960" s="211" t="s">
        <v>7261</v>
      </c>
    </row>
    <row r="1961" spans="1:6">
      <c r="A1961" s="211" t="s">
        <v>298</v>
      </c>
      <c r="B1961" s="211">
        <v>5014</v>
      </c>
      <c r="C1961" s="211">
        <v>1130</v>
      </c>
      <c r="D1961" s="211" t="s">
        <v>1255</v>
      </c>
      <c r="E1961" s="211" t="s">
        <v>10385</v>
      </c>
      <c r="F1961" s="211" t="s">
        <v>7382</v>
      </c>
    </row>
    <row r="1962" spans="1:6">
      <c r="A1962" s="211" t="s">
        <v>6744</v>
      </c>
      <c r="B1962" s="211">
        <v>7789</v>
      </c>
      <c r="C1962" s="211">
        <v>843</v>
      </c>
      <c r="D1962" s="211" t="s">
        <v>1255</v>
      </c>
      <c r="E1962" s="211" t="s">
        <v>10385</v>
      </c>
      <c r="F1962" s="211" t="s">
        <v>7301</v>
      </c>
    </row>
    <row r="1963" spans="1:6">
      <c r="A1963" s="211" t="s">
        <v>299</v>
      </c>
      <c r="B1963" s="211">
        <v>4463</v>
      </c>
      <c r="C1963" s="211">
        <v>830</v>
      </c>
      <c r="D1963" s="211" t="s">
        <v>1117</v>
      </c>
      <c r="E1963" s="211" t="s">
        <v>10385</v>
      </c>
      <c r="F1963" s="211" t="s">
        <v>7247</v>
      </c>
    </row>
    <row r="1964" spans="1:6">
      <c r="A1964" s="211" t="s">
        <v>300</v>
      </c>
      <c r="B1964" s="211">
        <v>5288</v>
      </c>
      <c r="C1964" s="211">
        <v>899</v>
      </c>
      <c r="D1964" s="211" t="s">
        <v>1255</v>
      </c>
      <c r="E1964" s="211" t="s">
        <v>10385</v>
      </c>
      <c r="F1964" s="211" t="s">
        <v>7386</v>
      </c>
    </row>
    <row r="1965" spans="1:6">
      <c r="A1965" s="211" t="s">
        <v>301</v>
      </c>
      <c r="B1965" s="211">
        <v>1159</v>
      </c>
      <c r="C1965" s="211">
        <v>2156</v>
      </c>
      <c r="D1965" s="211" t="s">
        <v>1255</v>
      </c>
      <c r="E1965" s="211" t="s">
        <v>10385</v>
      </c>
      <c r="F1965" s="211" t="s">
        <v>7224</v>
      </c>
    </row>
    <row r="1966" spans="1:6">
      <c r="A1966" s="211" t="s">
        <v>302</v>
      </c>
      <c r="B1966" s="211">
        <v>3370</v>
      </c>
      <c r="C1966" s="211">
        <v>1062</v>
      </c>
      <c r="D1966" s="211" t="s">
        <v>1255</v>
      </c>
      <c r="E1966" s="211" t="s">
        <v>10385</v>
      </c>
      <c r="F1966" s="211" t="s">
        <v>7257</v>
      </c>
    </row>
    <row r="1967" spans="1:6">
      <c r="A1967" s="211" t="s">
        <v>303</v>
      </c>
      <c r="B1967" s="211">
        <v>5065</v>
      </c>
      <c r="C1967" s="211">
        <v>992</v>
      </c>
      <c r="D1967" s="211" t="s">
        <v>1255</v>
      </c>
      <c r="E1967" s="211" t="s">
        <v>10385</v>
      </c>
      <c r="F1967" s="211" t="s">
        <v>7736</v>
      </c>
    </row>
    <row r="1968" spans="1:6">
      <c r="A1968" s="211" t="s">
        <v>7793</v>
      </c>
      <c r="B1968" s="211">
        <v>2125</v>
      </c>
      <c r="C1968" s="211" t="s">
        <v>10385</v>
      </c>
      <c r="D1968" s="211" t="s">
        <v>1255</v>
      </c>
      <c r="E1968" s="211" t="s">
        <v>10385</v>
      </c>
      <c r="F1968" s="211" t="s">
        <v>7171</v>
      </c>
    </row>
    <row r="1969" spans="1:6">
      <c r="A1969" s="211" t="s">
        <v>304</v>
      </c>
      <c r="B1969" s="211">
        <v>3380</v>
      </c>
      <c r="C1969" s="211">
        <v>977</v>
      </c>
      <c r="D1969" s="211" t="s">
        <v>1255</v>
      </c>
      <c r="E1969" s="211" t="s">
        <v>10385</v>
      </c>
      <c r="F1969" s="211" t="s">
        <v>7420</v>
      </c>
    </row>
    <row r="1970" spans="1:6">
      <c r="A1970" s="211" t="s">
        <v>305</v>
      </c>
      <c r="B1970" s="211">
        <v>1608</v>
      </c>
      <c r="C1970" s="211">
        <v>1046</v>
      </c>
      <c r="D1970" s="211" t="s">
        <v>1255</v>
      </c>
      <c r="E1970" s="211" t="s">
        <v>10385</v>
      </c>
      <c r="F1970" s="211" t="s">
        <v>7257</v>
      </c>
    </row>
    <row r="1971" spans="1:6">
      <c r="A1971" s="211" t="s">
        <v>306</v>
      </c>
      <c r="B1971" s="211">
        <v>2304</v>
      </c>
      <c r="C1971" s="211">
        <v>1083</v>
      </c>
      <c r="D1971" s="211" t="s">
        <v>1255</v>
      </c>
      <c r="E1971" s="211" t="s">
        <v>10385</v>
      </c>
      <c r="F1971" s="211" t="s">
        <v>7257</v>
      </c>
    </row>
    <row r="1972" spans="1:6">
      <c r="A1972" s="211" t="s">
        <v>307</v>
      </c>
      <c r="B1972" s="211">
        <v>2760</v>
      </c>
      <c r="C1972" s="211">
        <v>896</v>
      </c>
      <c r="D1972" s="211" t="s">
        <v>1255</v>
      </c>
      <c r="E1972" s="211" t="s">
        <v>10385</v>
      </c>
      <c r="F1972" s="211" t="s">
        <v>7162</v>
      </c>
    </row>
    <row r="1973" spans="1:6">
      <c r="A1973" s="211" t="s">
        <v>308</v>
      </c>
      <c r="B1973" s="211">
        <v>4879</v>
      </c>
      <c r="C1973" s="211">
        <v>767</v>
      </c>
      <c r="D1973" s="211" t="s">
        <v>1255</v>
      </c>
      <c r="E1973" s="211" t="s">
        <v>10385</v>
      </c>
      <c r="F1973" s="211" t="s">
        <v>7373</v>
      </c>
    </row>
    <row r="1974" spans="1:6">
      <c r="A1974" s="211" t="s">
        <v>9323</v>
      </c>
      <c r="B1974" s="211">
        <v>8540</v>
      </c>
      <c r="C1974" s="211">
        <v>1448</v>
      </c>
      <c r="D1974" s="211" t="s">
        <v>1255</v>
      </c>
      <c r="E1974" s="211" t="s">
        <v>9324</v>
      </c>
      <c r="F1974" s="211" t="s">
        <v>7365</v>
      </c>
    </row>
    <row r="1975" spans="1:6">
      <c r="A1975" s="211" t="s">
        <v>309</v>
      </c>
      <c r="B1975" s="211">
        <v>5342</v>
      </c>
      <c r="C1975" s="211">
        <v>1001</v>
      </c>
      <c r="D1975" s="211" t="s">
        <v>1255</v>
      </c>
      <c r="E1975" s="211" t="s">
        <v>10385</v>
      </c>
      <c r="F1975" s="211" t="s">
        <v>7248</v>
      </c>
    </row>
    <row r="1976" spans="1:6">
      <c r="A1976" s="211" t="s">
        <v>6745</v>
      </c>
      <c r="B1976" s="211">
        <v>7784</v>
      </c>
      <c r="C1976" s="211">
        <v>827</v>
      </c>
      <c r="D1976" s="211" t="s">
        <v>1255</v>
      </c>
      <c r="E1976" s="211" t="s">
        <v>10554</v>
      </c>
      <c r="F1976" s="211" t="s">
        <v>7301</v>
      </c>
    </row>
    <row r="1977" spans="1:6">
      <c r="A1977" s="211" t="s">
        <v>7794</v>
      </c>
      <c r="B1977" s="211">
        <v>476</v>
      </c>
      <c r="C1977" s="211" t="s">
        <v>10385</v>
      </c>
      <c r="D1977" s="211" t="s">
        <v>1255</v>
      </c>
      <c r="E1977" s="211" t="s">
        <v>10385</v>
      </c>
      <c r="F1977" s="211" t="s">
        <v>7243</v>
      </c>
    </row>
    <row r="1978" spans="1:6">
      <c r="A1978" s="211" t="s">
        <v>7795</v>
      </c>
      <c r="B1978" s="211">
        <v>12</v>
      </c>
      <c r="C1978" s="211" t="s">
        <v>10385</v>
      </c>
      <c r="D1978" s="211" t="s">
        <v>1255</v>
      </c>
      <c r="E1978" s="211" t="s">
        <v>10385</v>
      </c>
      <c r="F1978" s="211" t="s">
        <v>7356</v>
      </c>
    </row>
    <row r="1979" spans="1:6">
      <c r="A1979" s="211" t="s">
        <v>3026</v>
      </c>
      <c r="B1979" s="211">
        <v>1491</v>
      </c>
      <c r="C1979" s="211">
        <v>817</v>
      </c>
      <c r="D1979" s="211" t="s">
        <v>1117</v>
      </c>
      <c r="E1979" s="211" t="s">
        <v>10385</v>
      </c>
      <c r="F1979" s="211" t="s">
        <v>7384</v>
      </c>
    </row>
    <row r="1980" spans="1:6">
      <c r="A1980" s="211" t="s">
        <v>310</v>
      </c>
      <c r="B1980" s="211">
        <v>5896</v>
      </c>
      <c r="C1980" s="211">
        <v>855</v>
      </c>
      <c r="D1980" s="211" t="s">
        <v>1255</v>
      </c>
      <c r="E1980" s="211" t="s">
        <v>10385</v>
      </c>
      <c r="F1980" s="211" t="s">
        <v>7256</v>
      </c>
    </row>
    <row r="1981" spans="1:6">
      <c r="A1981" s="211" t="s">
        <v>10555</v>
      </c>
      <c r="B1981" s="211">
        <v>8847</v>
      </c>
      <c r="C1981" s="211">
        <v>1851</v>
      </c>
      <c r="D1981" s="211" t="s">
        <v>1255</v>
      </c>
      <c r="E1981" s="211" t="s">
        <v>10556</v>
      </c>
      <c r="F1981" s="211" t="s">
        <v>7272</v>
      </c>
    </row>
    <row r="1982" spans="1:6">
      <c r="A1982" s="211" t="s">
        <v>5029</v>
      </c>
      <c r="B1982" s="211">
        <v>6626</v>
      </c>
      <c r="C1982" s="211">
        <v>1464</v>
      </c>
      <c r="D1982" s="211" t="s">
        <v>1255</v>
      </c>
      <c r="E1982" s="211" t="s">
        <v>10385</v>
      </c>
      <c r="F1982" s="211" t="s">
        <v>7240</v>
      </c>
    </row>
    <row r="1983" spans="1:6">
      <c r="A1983" s="211" t="s">
        <v>311</v>
      </c>
      <c r="B1983" s="211">
        <v>5525</v>
      </c>
      <c r="C1983" s="211">
        <v>1172</v>
      </c>
      <c r="D1983" s="211" t="s">
        <v>1117</v>
      </c>
      <c r="E1983" s="211" t="s">
        <v>10385</v>
      </c>
      <c r="F1983" s="211" t="s">
        <v>7308</v>
      </c>
    </row>
    <row r="1984" spans="1:6">
      <c r="A1984" s="211" t="s">
        <v>5319</v>
      </c>
      <c r="B1984" s="211">
        <v>6313</v>
      </c>
      <c r="C1984" s="211">
        <v>995</v>
      </c>
      <c r="D1984" s="211" t="s">
        <v>1255</v>
      </c>
      <c r="E1984" s="211" t="s">
        <v>10385</v>
      </c>
      <c r="F1984" s="211" t="s">
        <v>7581</v>
      </c>
    </row>
    <row r="1985" spans="1:6">
      <c r="A1985" s="211" t="s">
        <v>10346</v>
      </c>
      <c r="B1985" s="211">
        <v>1215</v>
      </c>
      <c r="C1985" s="211" t="s">
        <v>10385</v>
      </c>
      <c r="D1985" s="211" t="s">
        <v>1255</v>
      </c>
      <c r="E1985" s="211" t="s">
        <v>10385</v>
      </c>
      <c r="F1985" s="211" t="s">
        <v>7204</v>
      </c>
    </row>
    <row r="1986" spans="1:6">
      <c r="A1986" s="211" t="s">
        <v>312</v>
      </c>
      <c r="B1986" s="211">
        <v>2479</v>
      </c>
      <c r="C1986" s="211">
        <v>1475</v>
      </c>
      <c r="D1986" s="211" t="s">
        <v>1255</v>
      </c>
      <c r="E1986" s="211" t="s">
        <v>10385</v>
      </c>
      <c r="F1986" s="211" t="s">
        <v>7355</v>
      </c>
    </row>
    <row r="1987" spans="1:6">
      <c r="A1987" s="211" t="s">
        <v>7796</v>
      </c>
      <c r="B1987" s="211">
        <v>1937</v>
      </c>
      <c r="C1987" s="211" t="s">
        <v>10385</v>
      </c>
      <c r="D1987" s="211" t="s">
        <v>1255</v>
      </c>
      <c r="E1987" s="211" t="s">
        <v>10385</v>
      </c>
      <c r="F1987" s="211" t="s">
        <v>7797</v>
      </c>
    </row>
    <row r="1988" spans="1:6">
      <c r="A1988" s="211" t="s">
        <v>313</v>
      </c>
      <c r="B1988" s="211">
        <v>946</v>
      </c>
      <c r="C1988" s="211">
        <v>1485</v>
      </c>
      <c r="D1988" s="211" t="s">
        <v>1255</v>
      </c>
      <c r="E1988" s="211" t="s">
        <v>10385</v>
      </c>
      <c r="F1988" s="211" t="s">
        <v>7510</v>
      </c>
    </row>
    <row r="1989" spans="1:6">
      <c r="A1989" s="211" t="s">
        <v>7798</v>
      </c>
      <c r="B1989" s="211">
        <v>468</v>
      </c>
      <c r="C1989" s="211" t="s">
        <v>10385</v>
      </c>
      <c r="D1989" s="211" t="s">
        <v>1255</v>
      </c>
      <c r="E1989" s="211" t="s">
        <v>10385</v>
      </c>
      <c r="F1989" s="211" t="s">
        <v>7196</v>
      </c>
    </row>
    <row r="1990" spans="1:6">
      <c r="A1990" s="211" t="s">
        <v>314</v>
      </c>
      <c r="B1990" s="211">
        <v>3925</v>
      </c>
      <c r="C1990" s="211">
        <v>1567</v>
      </c>
      <c r="D1990" s="211" t="s">
        <v>1255</v>
      </c>
      <c r="E1990" s="211" t="s">
        <v>10385</v>
      </c>
      <c r="F1990" s="211" t="s">
        <v>7327</v>
      </c>
    </row>
    <row r="1991" spans="1:6">
      <c r="A1991" s="211" t="s">
        <v>315</v>
      </c>
      <c r="B1991" s="211">
        <v>4740</v>
      </c>
      <c r="C1991" s="211">
        <v>1154</v>
      </c>
      <c r="D1991" s="211" t="s">
        <v>1255</v>
      </c>
      <c r="E1991" s="211" t="s">
        <v>10385</v>
      </c>
      <c r="F1991" s="211" t="s">
        <v>7341</v>
      </c>
    </row>
    <row r="1992" spans="1:6">
      <c r="A1992" s="211" t="s">
        <v>316</v>
      </c>
      <c r="B1992" s="211">
        <v>1576</v>
      </c>
      <c r="C1992" s="211">
        <v>827</v>
      </c>
      <c r="D1992" s="211" t="s">
        <v>1117</v>
      </c>
      <c r="E1992" s="211" t="s">
        <v>10385</v>
      </c>
      <c r="F1992" s="211" t="s">
        <v>7261</v>
      </c>
    </row>
    <row r="1993" spans="1:6">
      <c r="A1993" s="211" t="s">
        <v>317</v>
      </c>
      <c r="B1993" s="211">
        <v>5678</v>
      </c>
      <c r="C1993" s="211">
        <v>1937</v>
      </c>
      <c r="D1993" s="211" t="s">
        <v>1255</v>
      </c>
      <c r="E1993" s="211" t="s">
        <v>6746</v>
      </c>
      <c r="F1993" s="211" t="s">
        <v>9044</v>
      </c>
    </row>
    <row r="1994" spans="1:6">
      <c r="A1994" s="211" t="s">
        <v>9325</v>
      </c>
      <c r="B1994" s="211">
        <v>8328</v>
      </c>
      <c r="C1994" s="211">
        <v>1594</v>
      </c>
      <c r="D1994" s="211" t="s">
        <v>1255</v>
      </c>
      <c r="E1994" s="211" t="s">
        <v>9326</v>
      </c>
      <c r="F1994" s="211" t="s">
        <v>9211</v>
      </c>
    </row>
    <row r="1995" spans="1:6">
      <c r="A1995" s="211" t="s">
        <v>318</v>
      </c>
      <c r="B1995" s="211">
        <v>2134</v>
      </c>
      <c r="C1995" s="211">
        <v>944</v>
      </c>
      <c r="D1995" s="211" t="s">
        <v>1117</v>
      </c>
      <c r="E1995" s="211" t="s">
        <v>10385</v>
      </c>
      <c r="F1995" s="211" t="s">
        <v>7171</v>
      </c>
    </row>
    <row r="1996" spans="1:6">
      <c r="A1996" s="211" t="s">
        <v>9327</v>
      </c>
      <c r="B1996" s="211">
        <v>8269</v>
      </c>
      <c r="C1996" s="211" t="s">
        <v>10385</v>
      </c>
      <c r="D1996" s="211" t="s">
        <v>1117</v>
      </c>
      <c r="E1996" s="211" t="s">
        <v>9328</v>
      </c>
      <c r="F1996" s="211" t="s">
        <v>7318</v>
      </c>
    </row>
    <row r="1997" spans="1:6">
      <c r="A1997" s="211" t="s">
        <v>7799</v>
      </c>
      <c r="B1997" s="211">
        <v>5836</v>
      </c>
      <c r="C1997" s="211" t="s">
        <v>10385</v>
      </c>
      <c r="D1997" s="211" t="s">
        <v>1255</v>
      </c>
      <c r="E1997" s="211" t="s">
        <v>10385</v>
      </c>
      <c r="F1997" s="211" t="s">
        <v>7265</v>
      </c>
    </row>
    <row r="1998" spans="1:6">
      <c r="A1998" s="211" t="s">
        <v>319</v>
      </c>
      <c r="B1998" s="211">
        <v>4784</v>
      </c>
      <c r="C1998" s="211">
        <v>941</v>
      </c>
      <c r="D1998" s="211" t="s">
        <v>1117</v>
      </c>
      <c r="E1998" s="211" t="s">
        <v>6747</v>
      </c>
      <c r="F1998" s="211" t="s">
        <v>7167</v>
      </c>
    </row>
    <row r="1999" spans="1:6">
      <c r="A1999" s="211" t="s">
        <v>9329</v>
      </c>
      <c r="B1999" s="211">
        <v>8248</v>
      </c>
      <c r="C1999" s="211">
        <v>952</v>
      </c>
      <c r="D1999" s="211" t="s">
        <v>1255</v>
      </c>
      <c r="E1999" s="211" t="s">
        <v>10385</v>
      </c>
      <c r="F1999" s="211" t="s">
        <v>7246</v>
      </c>
    </row>
    <row r="2000" spans="1:6">
      <c r="A2000" s="211" t="s">
        <v>9330</v>
      </c>
      <c r="B2000" s="211">
        <v>8507</v>
      </c>
      <c r="C2000" s="211">
        <v>1417</v>
      </c>
      <c r="D2000" s="211" t="s">
        <v>1255</v>
      </c>
      <c r="E2000" s="211" t="s">
        <v>10385</v>
      </c>
      <c r="F2000" s="211" t="s">
        <v>7308</v>
      </c>
    </row>
    <row r="2001" spans="1:6">
      <c r="A2001" s="211" t="s">
        <v>5717</v>
      </c>
      <c r="B2001" s="211">
        <v>7163</v>
      </c>
      <c r="C2001" s="211">
        <v>761</v>
      </c>
      <c r="D2001" s="211" t="s">
        <v>1117</v>
      </c>
      <c r="E2001" s="211" t="s">
        <v>5763</v>
      </c>
      <c r="F2001" s="211" t="s">
        <v>7173</v>
      </c>
    </row>
    <row r="2002" spans="1:6">
      <c r="A2002" s="211" t="s">
        <v>7800</v>
      </c>
      <c r="B2002" s="211">
        <v>7048</v>
      </c>
      <c r="C2002" s="211">
        <v>1090</v>
      </c>
      <c r="D2002" s="211" t="s">
        <v>1117</v>
      </c>
      <c r="E2002" s="211" t="s">
        <v>5719</v>
      </c>
      <c r="F2002" s="211" t="s">
        <v>7320</v>
      </c>
    </row>
    <row r="2003" spans="1:6">
      <c r="A2003" s="211" t="s">
        <v>5030</v>
      </c>
      <c r="B2003" s="211">
        <v>6653</v>
      </c>
      <c r="C2003" s="211">
        <v>1704</v>
      </c>
      <c r="D2003" s="211" t="s">
        <v>1255</v>
      </c>
      <c r="E2003" s="211" t="s">
        <v>6748</v>
      </c>
      <c r="F2003" s="211" t="s">
        <v>7382</v>
      </c>
    </row>
    <row r="2004" spans="1:6">
      <c r="A2004" s="211" t="s">
        <v>8912</v>
      </c>
      <c r="B2004" s="211">
        <v>7438</v>
      </c>
      <c r="C2004" s="211" t="s">
        <v>10385</v>
      </c>
      <c r="D2004" s="211" t="s">
        <v>1255</v>
      </c>
      <c r="E2004" s="211" t="s">
        <v>10385</v>
      </c>
      <c r="F2004" s="211" t="s">
        <v>7308</v>
      </c>
    </row>
    <row r="2005" spans="1:6">
      <c r="A2005" s="211" t="s">
        <v>8913</v>
      </c>
      <c r="B2005" s="211">
        <v>7180</v>
      </c>
      <c r="C2005" s="211">
        <v>1425</v>
      </c>
      <c r="D2005" s="211" t="s">
        <v>1255</v>
      </c>
      <c r="E2005" s="211" t="s">
        <v>10385</v>
      </c>
      <c r="F2005" s="211" t="s">
        <v>7384</v>
      </c>
    </row>
    <row r="2006" spans="1:6">
      <c r="A2006" s="211" t="s">
        <v>7801</v>
      </c>
      <c r="B2006" s="211">
        <v>3600</v>
      </c>
      <c r="C2006" s="211" t="s">
        <v>10385</v>
      </c>
      <c r="D2006" s="211" t="s">
        <v>1255</v>
      </c>
      <c r="E2006" s="211" t="s">
        <v>10385</v>
      </c>
      <c r="F2006" s="211" t="s">
        <v>7284</v>
      </c>
    </row>
    <row r="2007" spans="1:6">
      <c r="A2007" s="211" t="s">
        <v>7802</v>
      </c>
      <c r="B2007" s="211">
        <v>878</v>
      </c>
      <c r="C2007" s="211">
        <v>1166</v>
      </c>
      <c r="D2007" s="211" t="s">
        <v>1255</v>
      </c>
      <c r="E2007" s="211" t="s">
        <v>10385</v>
      </c>
      <c r="F2007" s="211" t="s">
        <v>7204</v>
      </c>
    </row>
    <row r="2008" spans="1:6">
      <c r="A2008" s="211" t="s">
        <v>9331</v>
      </c>
      <c r="B2008" s="211">
        <v>8247</v>
      </c>
      <c r="C2008" s="211">
        <v>787</v>
      </c>
      <c r="D2008" s="211" t="s">
        <v>1255</v>
      </c>
      <c r="E2008" s="211" t="s">
        <v>10385</v>
      </c>
      <c r="F2008" s="211" t="s">
        <v>7246</v>
      </c>
    </row>
    <row r="2009" spans="1:6">
      <c r="A2009" s="211" t="s">
        <v>9332</v>
      </c>
      <c r="B2009" s="211">
        <v>8418</v>
      </c>
      <c r="C2009" s="211" t="s">
        <v>10385</v>
      </c>
      <c r="D2009" s="211" t="s">
        <v>1255</v>
      </c>
      <c r="E2009" s="211" t="s">
        <v>10385</v>
      </c>
      <c r="F2009" s="211" t="s">
        <v>9213</v>
      </c>
    </row>
    <row r="2010" spans="1:6">
      <c r="A2010" s="211" t="s">
        <v>320</v>
      </c>
      <c r="B2010" s="211">
        <v>5493</v>
      </c>
      <c r="C2010" s="211">
        <v>1182</v>
      </c>
      <c r="D2010" s="211" t="s">
        <v>1255</v>
      </c>
      <c r="E2010" s="211" t="s">
        <v>10385</v>
      </c>
      <c r="F2010" s="211" t="s">
        <v>7200</v>
      </c>
    </row>
    <row r="2011" spans="1:6">
      <c r="A2011" s="211" t="s">
        <v>10557</v>
      </c>
      <c r="B2011" s="211">
        <v>8599</v>
      </c>
      <c r="C2011" s="211">
        <v>1393</v>
      </c>
      <c r="D2011" s="211" t="s">
        <v>1117</v>
      </c>
      <c r="E2011" s="211" t="s">
        <v>10558</v>
      </c>
      <c r="F2011" s="211" t="s">
        <v>7196</v>
      </c>
    </row>
    <row r="2012" spans="1:6">
      <c r="A2012" s="211" t="s">
        <v>9333</v>
      </c>
      <c r="B2012" s="211">
        <v>8027</v>
      </c>
      <c r="C2012" s="211">
        <v>979</v>
      </c>
      <c r="D2012" s="211" t="s">
        <v>1255</v>
      </c>
      <c r="E2012" s="211" t="s">
        <v>10385</v>
      </c>
      <c r="F2012" s="211" t="s">
        <v>7518</v>
      </c>
    </row>
    <row r="2013" spans="1:6">
      <c r="A2013" s="211" t="s">
        <v>321</v>
      </c>
      <c r="B2013" s="211">
        <v>5492</v>
      </c>
      <c r="C2013" s="211">
        <v>1175</v>
      </c>
      <c r="D2013" s="211" t="s">
        <v>1255</v>
      </c>
      <c r="E2013" s="211" t="s">
        <v>10385</v>
      </c>
      <c r="F2013" s="211" t="s">
        <v>7200</v>
      </c>
    </row>
    <row r="2014" spans="1:6">
      <c r="A2014" s="211" t="s">
        <v>7803</v>
      </c>
      <c r="B2014" s="211">
        <v>186</v>
      </c>
      <c r="C2014" s="211" t="s">
        <v>10385</v>
      </c>
      <c r="D2014" s="211" t="s">
        <v>1255</v>
      </c>
      <c r="E2014" s="211" t="s">
        <v>10385</v>
      </c>
      <c r="F2014" s="211" t="s">
        <v>7275</v>
      </c>
    </row>
    <row r="2015" spans="1:6">
      <c r="A2015" s="211" t="s">
        <v>10559</v>
      </c>
      <c r="B2015" s="211">
        <v>8606</v>
      </c>
      <c r="C2015" s="211">
        <v>1269</v>
      </c>
      <c r="D2015" s="211" t="s">
        <v>1255</v>
      </c>
      <c r="E2015" s="211" t="s">
        <v>10560</v>
      </c>
      <c r="F2015" s="211" t="s">
        <v>7212</v>
      </c>
    </row>
    <row r="2016" spans="1:6">
      <c r="A2016" s="211" t="s">
        <v>322</v>
      </c>
      <c r="B2016" s="211">
        <v>4376</v>
      </c>
      <c r="C2016" s="211">
        <v>738</v>
      </c>
      <c r="D2016" s="211" t="s">
        <v>1255</v>
      </c>
      <c r="E2016" s="211" t="s">
        <v>10385</v>
      </c>
      <c r="F2016" s="211" t="s">
        <v>7369</v>
      </c>
    </row>
    <row r="2017" spans="1:6">
      <c r="A2017" s="211" t="s">
        <v>323</v>
      </c>
      <c r="B2017" s="211">
        <v>5467</v>
      </c>
      <c r="C2017" s="211">
        <v>1774</v>
      </c>
      <c r="D2017" s="211" t="s">
        <v>1117</v>
      </c>
      <c r="E2017" s="211" t="s">
        <v>10385</v>
      </c>
      <c r="F2017" s="211" t="s">
        <v>7295</v>
      </c>
    </row>
    <row r="2018" spans="1:6">
      <c r="A2018" s="211" t="s">
        <v>7804</v>
      </c>
      <c r="B2018" s="211">
        <v>7856</v>
      </c>
      <c r="C2018" s="211">
        <v>941</v>
      </c>
      <c r="D2018" s="211" t="s">
        <v>1255</v>
      </c>
      <c r="E2018" s="211" t="s">
        <v>9334</v>
      </c>
      <c r="F2018" s="211" t="s">
        <v>7192</v>
      </c>
    </row>
    <row r="2019" spans="1:6">
      <c r="A2019" s="211" t="s">
        <v>2976</v>
      </c>
      <c r="B2019" s="211">
        <v>2257</v>
      </c>
      <c r="C2019" s="211">
        <v>1325</v>
      </c>
      <c r="D2019" s="211" t="s">
        <v>1255</v>
      </c>
      <c r="E2019" s="211" t="s">
        <v>10385</v>
      </c>
      <c r="F2019" s="211" t="s">
        <v>7322</v>
      </c>
    </row>
    <row r="2020" spans="1:6">
      <c r="A2020" s="211" t="s">
        <v>324</v>
      </c>
      <c r="B2020" s="211">
        <v>5711</v>
      </c>
      <c r="C2020" s="211">
        <v>720</v>
      </c>
      <c r="D2020" s="211" t="s">
        <v>1255</v>
      </c>
      <c r="E2020" s="211" t="s">
        <v>10385</v>
      </c>
      <c r="F2020" s="211" t="s">
        <v>7330</v>
      </c>
    </row>
    <row r="2021" spans="1:6">
      <c r="A2021" s="211" t="s">
        <v>325</v>
      </c>
      <c r="B2021" s="211">
        <v>4301</v>
      </c>
      <c r="C2021" s="211">
        <v>826</v>
      </c>
      <c r="D2021" s="211" t="s">
        <v>1255</v>
      </c>
      <c r="E2021" s="211" t="s">
        <v>10385</v>
      </c>
      <c r="F2021" s="211" t="s">
        <v>7203</v>
      </c>
    </row>
    <row r="2022" spans="1:6">
      <c r="A2022" s="211" t="s">
        <v>7805</v>
      </c>
      <c r="B2022" s="211">
        <v>1749</v>
      </c>
      <c r="C2022" s="211" t="s">
        <v>10385</v>
      </c>
      <c r="D2022" s="211" t="s">
        <v>1255</v>
      </c>
      <c r="E2022" s="211" t="s">
        <v>10385</v>
      </c>
      <c r="F2022" s="211" t="s">
        <v>7617</v>
      </c>
    </row>
    <row r="2023" spans="1:6">
      <c r="A2023" s="211" t="s">
        <v>326</v>
      </c>
      <c r="B2023" s="211">
        <v>3539</v>
      </c>
      <c r="C2023" s="211">
        <v>1872</v>
      </c>
      <c r="D2023" s="211" t="s">
        <v>1255</v>
      </c>
      <c r="E2023" s="211" t="s">
        <v>10385</v>
      </c>
      <c r="F2023" s="211" t="s">
        <v>7171</v>
      </c>
    </row>
    <row r="2024" spans="1:6">
      <c r="A2024" s="211" t="s">
        <v>3044</v>
      </c>
      <c r="B2024" s="211">
        <v>234</v>
      </c>
      <c r="C2024" s="211">
        <v>1289</v>
      </c>
      <c r="D2024" s="211" t="s">
        <v>1255</v>
      </c>
      <c r="E2024" s="211" t="s">
        <v>3115</v>
      </c>
      <c r="F2024" s="211" t="s">
        <v>7171</v>
      </c>
    </row>
    <row r="2025" spans="1:6">
      <c r="A2025" s="211" t="s">
        <v>327</v>
      </c>
      <c r="B2025" s="211">
        <v>4450</v>
      </c>
      <c r="C2025" s="211">
        <v>701</v>
      </c>
      <c r="D2025" s="211" t="s">
        <v>1117</v>
      </c>
      <c r="E2025" s="211" t="s">
        <v>10385</v>
      </c>
      <c r="F2025" s="211" t="s">
        <v>7310</v>
      </c>
    </row>
    <row r="2026" spans="1:6">
      <c r="A2026" s="211" t="s">
        <v>10561</v>
      </c>
      <c r="B2026" s="211">
        <v>8598</v>
      </c>
      <c r="C2026" s="211" t="s">
        <v>10385</v>
      </c>
      <c r="D2026" s="211" t="s">
        <v>1255</v>
      </c>
      <c r="E2026" s="211" t="s">
        <v>10562</v>
      </c>
      <c r="F2026" s="211" t="s">
        <v>7196</v>
      </c>
    </row>
    <row r="2027" spans="1:6">
      <c r="A2027" s="211" t="s">
        <v>5720</v>
      </c>
      <c r="B2027" s="211">
        <v>7323</v>
      </c>
      <c r="C2027" s="211">
        <v>865</v>
      </c>
      <c r="D2027" s="211" t="s">
        <v>1255</v>
      </c>
      <c r="E2027" s="211" t="s">
        <v>10385</v>
      </c>
      <c r="F2027" s="211" t="s">
        <v>7661</v>
      </c>
    </row>
    <row r="2028" spans="1:6">
      <c r="A2028" s="211" t="s">
        <v>5031</v>
      </c>
      <c r="B2028" s="211">
        <v>6949</v>
      </c>
      <c r="C2028" s="211">
        <v>1416</v>
      </c>
      <c r="D2028" s="211" t="s">
        <v>1255</v>
      </c>
      <c r="E2028" s="211" t="s">
        <v>10385</v>
      </c>
      <c r="F2028" s="211" t="s">
        <v>7246</v>
      </c>
    </row>
    <row r="2029" spans="1:6">
      <c r="A2029" s="211" t="s">
        <v>5032</v>
      </c>
      <c r="B2029" s="211">
        <v>6704</v>
      </c>
      <c r="C2029" s="211">
        <v>906</v>
      </c>
      <c r="D2029" s="211" t="s">
        <v>1255</v>
      </c>
      <c r="E2029" s="211" t="s">
        <v>10385</v>
      </c>
      <c r="F2029" s="211" t="s">
        <v>7235</v>
      </c>
    </row>
    <row r="2030" spans="1:6">
      <c r="A2030" s="211" t="s">
        <v>2959</v>
      </c>
      <c r="B2030" s="211">
        <v>2493</v>
      </c>
      <c r="C2030" s="211">
        <v>810</v>
      </c>
      <c r="D2030" s="211" t="s">
        <v>1117</v>
      </c>
      <c r="E2030" s="211" t="s">
        <v>10385</v>
      </c>
      <c r="F2030" s="211" t="s">
        <v>7203</v>
      </c>
    </row>
    <row r="2031" spans="1:6">
      <c r="A2031" s="211" t="s">
        <v>328</v>
      </c>
      <c r="B2031" s="211">
        <v>4164</v>
      </c>
      <c r="C2031" s="211">
        <v>1309</v>
      </c>
      <c r="D2031" s="211" t="s">
        <v>1255</v>
      </c>
      <c r="E2031" s="211" t="s">
        <v>10385</v>
      </c>
      <c r="F2031" s="211" t="s">
        <v>7224</v>
      </c>
    </row>
    <row r="2032" spans="1:6">
      <c r="A2032" s="211" t="s">
        <v>4510</v>
      </c>
      <c r="B2032" s="211">
        <v>6565</v>
      </c>
      <c r="C2032" s="211">
        <v>978</v>
      </c>
      <c r="D2032" s="211" t="s">
        <v>1255</v>
      </c>
      <c r="E2032" s="211" t="s">
        <v>5721</v>
      </c>
      <c r="F2032" s="211" t="s">
        <v>7197</v>
      </c>
    </row>
    <row r="2033" spans="1:6">
      <c r="A2033" s="211" t="s">
        <v>329</v>
      </c>
      <c r="B2033" s="211">
        <v>2528</v>
      </c>
      <c r="C2033" s="211">
        <v>1139</v>
      </c>
      <c r="D2033" s="211" t="s">
        <v>1255</v>
      </c>
      <c r="E2033" s="211" t="s">
        <v>10385</v>
      </c>
      <c r="F2033" s="211" t="s">
        <v>7207</v>
      </c>
    </row>
    <row r="2034" spans="1:6">
      <c r="A2034" s="211" t="s">
        <v>330</v>
      </c>
      <c r="B2034" s="211">
        <v>5943</v>
      </c>
      <c r="C2034" s="211">
        <v>2335</v>
      </c>
      <c r="D2034" s="211" t="s">
        <v>1255</v>
      </c>
      <c r="E2034" s="211" t="s">
        <v>10385</v>
      </c>
      <c r="F2034" s="211" t="s">
        <v>7471</v>
      </c>
    </row>
    <row r="2035" spans="1:6">
      <c r="A2035" s="211" t="s">
        <v>331</v>
      </c>
      <c r="B2035" s="211">
        <v>6064</v>
      </c>
      <c r="C2035" s="211">
        <v>1536</v>
      </c>
      <c r="D2035" s="211" t="s">
        <v>1255</v>
      </c>
      <c r="E2035" s="211" t="s">
        <v>5722</v>
      </c>
      <c r="F2035" s="211" t="s">
        <v>7325</v>
      </c>
    </row>
    <row r="2036" spans="1:6">
      <c r="A2036" s="211" t="s">
        <v>9335</v>
      </c>
      <c r="B2036" s="211">
        <v>8477</v>
      </c>
      <c r="C2036" s="211">
        <v>992</v>
      </c>
      <c r="D2036" s="211" t="s">
        <v>1255</v>
      </c>
      <c r="E2036" s="211" t="s">
        <v>9336</v>
      </c>
      <c r="F2036" s="211" t="s">
        <v>7162</v>
      </c>
    </row>
    <row r="2037" spans="1:6">
      <c r="A2037" s="211" t="s">
        <v>332</v>
      </c>
      <c r="B2037" s="211">
        <v>3183</v>
      </c>
      <c r="C2037" s="211">
        <v>1451</v>
      </c>
      <c r="D2037" s="211" t="s">
        <v>1255</v>
      </c>
      <c r="E2037" s="211" t="s">
        <v>10385</v>
      </c>
      <c r="F2037" s="211" t="s">
        <v>7322</v>
      </c>
    </row>
    <row r="2038" spans="1:6">
      <c r="A2038" s="211" t="s">
        <v>333</v>
      </c>
      <c r="B2038" s="211">
        <v>2567</v>
      </c>
      <c r="C2038" s="211">
        <v>1341</v>
      </c>
      <c r="D2038" s="211" t="s">
        <v>1255</v>
      </c>
      <c r="E2038" s="211" t="s">
        <v>10385</v>
      </c>
      <c r="F2038" s="211" t="s">
        <v>7290</v>
      </c>
    </row>
    <row r="2039" spans="1:6">
      <c r="A2039" s="211" t="s">
        <v>5033</v>
      </c>
      <c r="B2039" s="211">
        <v>6828</v>
      </c>
      <c r="C2039" s="211">
        <v>1107</v>
      </c>
      <c r="D2039" s="211" t="s">
        <v>1255</v>
      </c>
      <c r="E2039" s="211" t="s">
        <v>10385</v>
      </c>
      <c r="F2039" s="211" t="s">
        <v>7224</v>
      </c>
    </row>
    <row r="2040" spans="1:6">
      <c r="A2040" s="211" t="s">
        <v>334</v>
      </c>
      <c r="B2040" s="211">
        <v>478</v>
      </c>
      <c r="C2040" s="211">
        <v>1245</v>
      </c>
      <c r="D2040" s="211" t="s">
        <v>1255</v>
      </c>
      <c r="E2040" s="211" t="s">
        <v>10385</v>
      </c>
      <c r="F2040" s="211" t="s">
        <v>7243</v>
      </c>
    </row>
    <row r="2041" spans="1:6">
      <c r="A2041" s="211" t="s">
        <v>7806</v>
      </c>
      <c r="B2041" s="211">
        <v>547</v>
      </c>
      <c r="C2041" s="211" t="s">
        <v>10385</v>
      </c>
      <c r="D2041" s="211" t="s">
        <v>1255</v>
      </c>
      <c r="E2041" s="211" t="s">
        <v>10385</v>
      </c>
      <c r="F2041" s="211" t="s">
        <v>7791</v>
      </c>
    </row>
    <row r="2042" spans="1:6">
      <c r="A2042" s="211" t="s">
        <v>7807</v>
      </c>
      <c r="B2042" s="211">
        <v>5950</v>
      </c>
      <c r="C2042" s="211" t="s">
        <v>10385</v>
      </c>
      <c r="D2042" s="211" t="s">
        <v>1255</v>
      </c>
      <c r="E2042" s="211" t="s">
        <v>10385</v>
      </c>
      <c r="F2042" s="211" t="s">
        <v>7223</v>
      </c>
    </row>
    <row r="2043" spans="1:6">
      <c r="A2043" s="211" t="s">
        <v>7808</v>
      </c>
      <c r="B2043" s="211">
        <v>698</v>
      </c>
      <c r="C2043" s="211" t="s">
        <v>10385</v>
      </c>
      <c r="D2043" s="211" t="s">
        <v>1255</v>
      </c>
      <c r="E2043" s="211" t="s">
        <v>10385</v>
      </c>
      <c r="F2043" s="211" t="s">
        <v>7597</v>
      </c>
    </row>
    <row r="2044" spans="1:6">
      <c r="A2044" s="211" t="s">
        <v>335</v>
      </c>
      <c r="B2044" s="211">
        <v>4178</v>
      </c>
      <c r="C2044" s="211">
        <v>1372</v>
      </c>
      <c r="D2044" s="211" t="s">
        <v>1255</v>
      </c>
      <c r="E2044" s="211" t="s">
        <v>10385</v>
      </c>
      <c r="F2044" s="211" t="s">
        <v>7224</v>
      </c>
    </row>
    <row r="2045" spans="1:6">
      <c r="A2045" s="211" t="s">
        <v>9337</v>
      </c>
      <c r="B2045" s="211">
        <v>8435</v>
      </c>
      <c r="C2045" s="211">
        <v>1000</v>
      </c>
      <c r="D2045" s="211" t="s">
        <v>1255</v>
      </c>
      <c r="E2045" s="211" t="s">
        <v>9338</v>
      </c>
      <c r="F2045" s="211" t="s">
        <v>7376</v>
      </c>
    </row>
    <row r="2046" spans="1:6">
      <c r="A2046" s="211" t="s">
        <v>9339</v>
      </c>
      <c r="B2046" s="211">
        <v>8039</v>
      </c>
      <c r="C2046" s="211">
        <v>1240</v>
      </c>
      <c r="D2046" s="211" t="s">
        <v>1117</v>
      </c>
      <c r="E2046" s="211" t="s">
        <v>10385</v>
      </c>
      <c r="F2046" s="211" t="s">
        <v>7238</v>
      </c>
    </row>
    <row r="2047" spans="1:6">
      <c r="A2047" s="211" t="s">
        <v>336</v>
      </c>
      <c r="B2047" s="211">
        <v>2427</v>
      </c>
      <c r="C2047" s="211">
        <v>1192</v>
      </c>
      <c r="D2047" s="211" t="s">
        <v>1255</v>
      </c>
      <c r="E2047" s="211" t="s">
        <v>10385</v>
      </c>
      <c r="F2047" s="211" t="s">
        <v>7275</v>
      </c>
    </row>
    <row r="2048" spans="1:6">
      <c r="A2048" s="211" t="s">
        <v>7809</v>
      </c>
      <c r="B2048" s="211">
        <v>573</v>
      </c>
      <c r="C2048" s="211" t="s">
        <v>10385</v>
      </c>
      <c r="D2048" s="211" t="s">
        <v>1255</v>
      </c>
      <c r="E2048" s="211" t="s">
        <v>10385</v>
      </c>
      <c r="F2048" s="211" t="s">
        <v>7196</v>
      </c>
    </row>
    <row r="2049" spans="1:6">
      <c r="A2049" s="211" t="s">
        <v>337</v>
      </c>
      <c r="B2049" s="211">
        <v>2705</v>
      </c>
      <c r="C2049" s="211">
        <v>473</v>
      </c>
      <c r="D2049" s="211" t="s">
        <v>1117</v>
      </c>
      <c r="E2049" s="211" t="s">
        <v>10385</v>
      </c>
      <c r="F2049" s="211" t="s">
        <v>7393</v>
      </c>
    </row>
    <row r="2050" spans="1:6">
      <c r="A2050" s="211" t="s">
        <v>7810</v>
      </c>
      <c r="B2050" s="211">
        <v>5919</v>
      </c>
      <c r="C2050" s="211" t="s">
        <v>10385</v>
      </c>
      <c r="D2050" s="211" t="s">
        <v>1255</v>
      </c>
      <c r="E2050" s="211" t="s">
        <v>10385</v>
      </c>
      <c r="F2050" s="211" t="s">
        <v>7382</v>
      </c>
    </row>
    <row r="2051" spans="1:6">
      <c r="A2051" s="211" t="s">
        <v>338</v>
      </c>
      <c r="B2051" s="211">
        <v>1783</v>
      </c>
      <c r="C2051" s="211">
        <v>1267</v>
      </c>
      <c r="D2051" s="211" t="s">
        <v>1255</v>
      </c>
      <c r="E2051" s="211" t="s">
        <v>10385</v>
      </c>
      <c r="F2051" s="211" t="s">
        <v>7226</v>
      </c>
    </row>
    <row r="2052" spans="1:6">
      <c r="A2052" s="211" t="s">
        <v>339</v>
      </c>
      <c r="B2052" s="211">
        <v>5648</v>
      </c>
      <c r="C2052" s="211">
        <v>1105</v>
      </c>
      <c r="D2052" s="211" t="s">
        <v>1255</v>
      </c>
      <c r="E2052" s="211" t="s">
        <v>10385</v>
      </c>
      <c r="F2052" s="211" t="s">
        <v>7241</v>
      </c>
    </row>
    <row r="2053" spans="1:6">
      <c r="A2053" s="211" t="s">
        <v>7811</v>
      </c>
      <c r="B2053" s="211">
        <v>1176</v>
      </c>
      <c r="C2053" s="211" t="s">
        <v>10385</v>
      </c>
      <c r="D2053" s="211" t="s">
        <v>1255</v>
      </c>
      <c r="E2053" s="211" t="s">
        <v>10385</v>
      </c>
      <c r="F2053" s="211" t="s">
        <v>7203</v>
      </c>
    </row>
    <row r="2054" spans="1:6">
      <c r="A2054" s="211" t="s">
        <v>10563</v>
      </c>
      <c r="B2054" s="211">
        <v>8799</v>
      </c>
      <c r="C2054" s="211">
        <v>1177</v>
      </c>
      <c r="D2054" s="211" t="s">
        <v>1255</v>
      </c>
      <c r="E2054" s="211" t="s">
        <v>10564</v>
      </c>
      <c r="F2054" s="211" t="s">
        <v>10565</v>
      </c>
    </row>
    <row r="2055" spans="1:6">
      <c r="A2055" s="211" t="s">
        <v>9340</v>
      </c>
      <c r="B2055" s="211">
        <v>8245</v>
      </c>
      <c r="C2055" s="211">
        <v>839</v>
      </c>
      <c r="D2055" s="211" t="s">
        <v>1117</v>
      </c>
      <c r="E2055" s="211" t="s">
        <v>10385</v>
      </c>
      <c r="F2055" s="211" t="s">
        <v>7384</v>
      </c>
    </row>
    <row r="2056" spans="1:6">
      <c r="A2056" s="211" t="s">
        <v>7812</v>
      </c>
      <c r="B2056" s="211">
        <v>2089</v>
      </c>
      <c r="C2056" s="211" t="s">
        <v>10385</v>
      </c>
      <c r="D2056" s="211" t="s">
        <v>1117</v>
      </c>
      <c r="E2056" s="211" t="s">
        <v>10385</v>
      </c>
      <c r="F2056" s="211" t="s">
        <v>7263</v>
      </c>
    </row>
    <row r="2057" spans="1:6">
      <c r="A2057" s="211" t="s">
        <v>7813</v>
      </c>
      <c r="B2057" s="211">
        <v>209</v>
      </c>
      <c r="C2057" s="211" t="s">
        <v>10385</v>
      </c>
      <c r="D2057" s="211" t="s">
        <v>1255</v>
      </c>
      <c r="E2057" s="211" t="s">
        <v>10385</v>
      </c>
      <c r="F2057" s="211" t="s">
        <v>7207</v>
      </c>
    </row>
    <row r="2058" spans="1:6">
      <c r="A2058" s="211" t="s">
        <v>7814</v>
      </c>
      <c r="B2058" s="211">
        <v>29</v>
      </c>
      <c r="C2058" s="211" t="s">
        <v>10385</v>
      </c>
      <c r="D2058" s="211" t="s">
        <v>1255</v>
      </c>
      <c r="E2058" s="211" t="s">
        <v>10385</v>
      </c>
      <c r="F2058" s="211" t="s">
        <v>7199</v>
      </c>
    </row>
    <row r="2059" spans="1:6">
      <c r="A2059" s="211" t="s">
        <v>340</v>
      </c>
      <c r="B2059" s="211">
        <v>1752</v>
      </c>
      <c r="C2059" s="211">
        <v>908</v>
      </c>
      <c r="D2059" s="211" t="s">
        <v>1255</v>
      </c>
      <c r="E2059" s="211" t="s">
        <v>10385</v>
      </c>
      <c r="F2059" s="211" t="s">
        <v>7617</v>
      </c>
    </row>
    <row r="2060" spans="1:6">
      <c r="A2060" s="211" t="s">
        <v>2971</v>
      </c>
      <c r="B2060" s="211">
        <v>2185</v>
      </c>
      <c r="C2060" s="211">
        <v>503</v>
      </c>
      <c r="D2060" s="211" t="s">
        <v>1255</v>
      </c>
      <c r="E2060" s="211" t="s">
        <v>10385</v>
      </c>
      <c r="F2060" s="211" t="s">
        <v>7386</v>
      </c>
    </row>
    <row r="2061" spans="1:6">
      <c r="A2061" s="211" t="s">
        <v>4492</v>
      </c>
      <c r="B2061" s="211">
        <v>6608</v>
      </c>
      <c r="C2061" s="211">
        <v>1861</v>
      </c>
      <c r="D2061" s="211" t="s">
        <v>1255</v>
      </c>
      <c r="E2061" s="211" t="s">
        <v>10385</v>
      </c>
      <c r="F2061" s="211" t="s">
        <v>7673</v>
      </c>
    </row>
    <row r="2062" spans="1:6">
      <c r="A2062" s="211" t="s">
        <v>7815</v>
      </c>
      <c r="B2062" s="211">
        <v>1271</v>
      </c>
      <c r="C2062" s="211">
        <v>2266</v>
      </c>
      <c r="D2062" s="211" t="s">
        <v>1255</v>
      </c>
      <c r="E2062" s="211" t="s">
        <v>10385</v>
      </c>
      <c r="F2062" s="211" t="s">
        <v>7386</v>
      </c>
    </row>
    <row r="2063" spans="1:6">
      <c r="A2063" s="211" t="s">
        <v>2906</v>
      </c>
      <c r="B2063" s="211">
        <v>2059</v>
      </c>
      <c r="C2063" s="211">
        <v>1029</v>
      </c>
      <c r="D2063" s="211" t="s">
        <v>1255</v>
      </c>
      <c r="E2063" s="211" t="s">
        <v>10385</v>
      </c>
      <c r="F2063" s="211" t="s">
        <v>7386</v>
      </c>
    </row>
    <row r="2064" spans="1:6">
      <c r="A2064" s="211" t="s">
        <v>7816</v>
      </c>
      <c r="B2064" s="211">
        <v>311</v>
      </c>
      <c r="C2064" s="211" t="s">
        <v>10385</v>
      </c>
      <c r="D2064" s="211" t="s">
        <v>1255</v>
      </c>
      <c r="E2064" s="211" t="s">
        <v>10385</v>
      </c>
      <c r="F2064" s="211" t="s">
        <v>7165</v>
      </c>
    </row>
    <row r="2065" spans="1:6">
      <c r="A2065" s="211" t="s">
        <v>341</v>
      </c>
      <c r="B2065" s="211">
        <v>4942</v>
      </c>
      <c r="C2065" s="211">
        <v>1113</v>
      </c>
      <c r="D2065" s="211" t="s">
        <v>1255</v>
      </c>
      <c r="E2065" s="211" t="s">
        <v>10385</v>
      </c>
      <c r="F2065" s="211" t="s">
        <v>7508</v>
      </c>
    </row>
    <row r="2066" spans="1:6">
      <c r="A2066" s="211" t="s">
        <v>4852</v>
      </c>
      <c r="B2066" s="211">
        <v>2177</v>
      </c>
      <c r="C2066" s="211">
        <v>1715</v>
      </c>
      <c r="D2066" s="211" t="s">
        <v>1255</v>
      </c>
      <c r="E2066" s="211" t="s">
        <v>10385</v>
      </c>
      <c r="F2066" s="211" t="s">
        <v>7386</v>
      </c>
    </row>
    <row r="2067" spans="1:6">
      <c r="A2067" s="211" t="s">
        <v>4511</v>
      </c>
      <c r="B2067" s="211">
        <v>6564</v>
      </c>
      <c r="C2067" s="211">
        <v>967</v>
      </c>
      <c r="D2067" s="211" t="s">
        <v>1255</v>
      </c>
      <c r="E2067" s="211" t="s">
        <v>5723</v>
      </c>
      <c r="F2067" s="211" t="s">
        <v>7197</v>
      </c>
    </row>
    <row r="2068" spans="1:6">
      <c r="A2068" s="211" t="s">
        <v>7817</v>
      </c>
      <c r="B2068" s="211">
        <v>347</v>
      </c>
      <c r="C2068" s="211" t="s">
        <v>10385</v>
      </c>
      <c r="D2068" s="211" t="s">
        <v>1255</v>
      </c>
      <c r="E2068" s="211" t="s">
        <v>10385</v>
      </c>
      <c r="F2068" s="211" t="s">
        <v>7243</v>
      </c>
    </row>
    <row r="2069" spans="1:6">
      <c r="A2069" s="211" t="s">
        <v>7818</v>
      </c>
      <c r="B2069" s="211">
        <v>1110</v>
      </c>
      <c r="C2069" s="211" t="s">
        <v>10385</v>
      </c>
      <c r="D2069" s="211" t="s">
        <v>1255</v>
      </c>
      <c r="E2069" s="211" t="s">
        <v>10385</v>
      </c>
      <c r="F2069" s="211" t="s">
        <v>7210</v>
      </c>
    </row>
    <row r="2070" spans="1:6">
      <c r="A2070" s="211" t="s">
        <v>342</v>
      </c>
      <c r="B2070" s="211">
        <v>797</v>
      </c>
      <c r="C2070" s="211">
        <v>1500</v>
      </c>
      <c r="D2070" s="211" t="s">
        <v>1255</v>
      </c>
      <c r="E2070" s="211" t="s">
        <v>10385</v>
      </c>
      <c r="F2070" s="211" t="s">
        <v>7173</v>
      </c>
    </row>
    <row r="2071" spans="1:6">
      <c r="A2071" s="211" t="s">
        <v>2901</v>
      </c>
      <c r="B2071" s="211">
        <v>2508</v>
      </c>
      <c r="C2071" s="211">
        <v>1033</v>
      </c>
      <c r="D2071" s="211" t="s">
        <v>1255</v>
      </c>
      <c r="E2071" s="211" t="s">
        <v>10385</v>
      </c>
      <c r="F2071" s="211" t="s">
        <v>7203</v>
      </c>
    </row>
    <row r="2072" spans="1:6">
      <c r="A2072" s="211" t="s">
        <v>5724</v>
      </c>
      <c r="B2072" s="211">
        <v>7166</v>
      </c>
      <c r="C2072" s="211">
        <v>1502</v>
      </c>
      <c r="D2072" s="211" t="s">
        <v>1255</v>
      </c>
      <c r="E2072" s="211" t="s">
        <v>9341</v>
      </c>
      <c r="F2072" s="211" t="s">
        <v>7656</v>
      </c>
    </row>
    <row r="2073" spans="1:6">
      <c r="A2073" s="211" t="s">
        <v>7819</v>
      </c>
      <c r="B2073" s="211">
        <v>5009</v>
      </c>
      <c r="C2073" s="211">
        <v>1342</v>
      </c>
      <c r="D2073" s="211" t="s">
        <v>1255</v>
      </c>
      <c r="E2073" s="211" t="s">
        <v>10385</v>
      </c>
      <c r="F2073" s="211" t="s">
        <v>7224</v>
      </c>
    </row>
    <row r="2074" spans="1:6">
      <c r="A2074" s="211" t="s">
        <v>5725</v>
      </c>
      <c r="B2074" s="211">
        <v>7045</v>
      </c>
      <c r="C2074" s="211">
        <v>891</v>
      </c>
      <c r="D2074" s="211" t="s">
        <v>1255</v>
      </c>
      <c r="E2074" s="211" t="s">
        <v>5726</v>
      </c>
      <c r="F2074" s="211" t="s">
        <v>7320</v>
      </c>
    </row>
    <row r="2075" spans="1:6">
      <c r="A2075" s="211" t="s">
        <v>10566</v>
      </c>
      <c r="B2075" s="211">
        <v>8619</v>
      </c>
      <c r="C2075" s="211">
        <v>1361</v>
      </c>
      <c r="D2075" s="211" t="s">
        <v>1255</v>
      </c>
      <c r="E2075" s="211" t="s">
        <v>10567</v>
      </c>
      <c r="F2075" s="211" t="s">
        <v>7284</v>
      </c>
    </row>
    <row r="2076" spans="1:6">
      <c r="A2076" s="211" t="s">
        <v>7820</v>
      </c>
      <c r="B2076" s="211">
        <v>265</v>
      </c>
      <c r="C2076" s="211" t="s">
        <v>10385</v>
      </c>
      <c r="D2076" s="211" t="s">
        <v>1255</v>
      </c>
      <c r="E2076" s="211" t="s">
        <v>10385</v>
      </c>
      <c r="F2076" s="211" t="s">
        <v>7242</v>
      </c>
    </row>
    <row r="2077" spans="1:6">
      <c r="A2077" s="211" t="s">
        <v>7821</v>
      </c>
      <c r="B2077" s="211">
        <v>3872</v>
      </c>
      <c r="C2077" s="211">
        <v>1068</v>
      </c>
      <c r="D2077" s="211" t="s">
        <v>1255</v>
      </c>
      <c r="E2077" s="211" t="s">
        <v>10385</v>
      </c>
      <c r="F2077" s="211" t="s">
        <v>7201</v>
      </c>
    </row>
    <row r="2078" spans="1:6">
      <c r="A2078" s="211" t="s">
        <v>3017</v>
      </c>
      <c r="B2078" s="211">
        <v>1836</v>
      </c>
      <c r="C2078" s="211">
        <v>1270</v>
      </c>
      <c r="D2078" s="211" t="s">
        <v>1255</v>
      </c>
      <c r="E2078" s="211" t="s">
        <v>10385</v>
      </c>
      <c r="F2078" s="211" t="s">
        <v>7225</v>
      </c>
    </row>
    <row r="2079" spans="1:6">
      <c r="A2079" s="211" t="s">
        <v>343</v>
      </c>
      <c r="B2079" s="211">
        <v>3736</v>
      </c>
      <c r="C2079" s="211">
        <v>1017</v>
      </c>
      <c r="D2079" s="211" t="s">
        <v>1255</v>
      </c>
      <c r="E2079" s="211" t="s">
        <v>10385</v>
      </c>
      <c r="F2079" s="211" t="s">
        <v>7203</v>
      </c>
    </row>
    <row r="2080" spans="1:6">
      <c r="A2080" s="211" t="s">
        <v>9342</v>
      </c>
      <c r="B2080" s="211">
        <v>7956</v>
      </c>
      <c r="C2080" s="211">
        <v>1201</v>
      </c>
      <c r="D2080" s="211" t="s">
        <v>1255</v>
      </c>
      <c r="E2080" s="211" t="s">
        <v>9343</v>
      </c>
      <c r="F2080" s="211" t="s">
        <v>7325</v>
      </c>
    </row>
    <row r="2081" spans="1:6">
      <c r="A2081" s="211" t="s">
        <v>344</v>
      </c>
      <c r="B2081" s="211">
        <v>5979</v>
      </c>
      <c r="C2081" s="211">
        <v>845</v>
      </c>
      <c r="D2081" s="211" t="s">
        <v>1255</v>
      </c>
      <c r="E2081" s="211" t="s">
        <v>10385</v>
      </c>
      <c r="F2081" s="211" t="s">
        <v>7344</v>
      </c>
    </row>
    <row r="2082" spans="1:6">
      <c r="A2082" s="211" t="s">
        <v>345</v>
      </c>
      <c r="B2082" s="211">
        <v>1860</v>
      </c>
      <c r="C2082" s="211">
        <v>794</v>
      </c>
      <c r="D2082" s="211" t="s">
        <v>1255</v>
      </c>
      <c r="E2082" s="211" t="s">
        <v>10385</v>
      </c>
      <c r="F2082" s="211" t="s">
        <v>7323</v>
      </c>
    </row>
    <row r="2083" spans="1:6">
      <c r="A2083" s="211" t="s">
        <v>346</v>
      </c>
      <c r="B2083" s="211">
        <v>2634</v>
      </c>
      <c r="C2083" s="211">
        <v>1206</v>
      </c>
      <c r="D2083" s="211" t="s">
        <v>1255</v>
      </c>
      <c r="E2083" s="211" t="s">
        <v>10385</v>
      </c>
      <c r="F2083" s="211" t="s">
        <v>7425</v>
      </c>
    </row>
    <row r="2084" spans="1:6">
      <c r="A2084" s="211" t="s">
        <v>9344</v>
      </c>
      <c r="B2084" s="211">
        <v>8309</v>
      </c>
      <c r="C2084" s="211">
        <v>1008</v>
      </c>
      <c r="D2084" s="211" t="s">
        <v>1117</v>
      </c>
      <c r="E2084" s="211" t="s">
        <v>10385</v>
      </c>
      <c r="F2084" s="211" t="s">
        <v>7380</v>
      </c>
    </row>
    <row r="2085" spans="1:6">
      <c r="A2085" s="211" t="s">
        <v>347</v>
      </c>
      <c r="B2085" s="211">
        <v>3296</v>
      </c>
      <c r="C2085" s="211">
        <v>991</v>
      </c>
      <c r="D2085" s="211" t="s">
        <v>1255</v>
      </c>
      <c r="E2085" s="211" t="s">
        <v>10385</v>
      </c>
      <c r="F2085" s="211" t="s">
        <v>7248</v>
      </c>
    </row>
    <row r="2086" spans="1:6">
      <c r="A2086" s="211" t="s">
        <v>348</v>
      </c>
      <c r="B2086" s="211">
        <v>3996</v>
      </c>
      <c r="C2086" s="211">
        <v>1394</v>
      </c>
      <c r="D2086" s="211" t="s">
        <v>1255</v>
      </c>
      <c r="E2086" s="211" t="s">
        <v>10385</v>
      </c>
      <c r="F2086" s="211" t="s">
        <v>7160</v>
      </c>
    </row>
    <row r="2087" spans="1:6">
      <c r="A2087" s="211" t="s">
        <v>349</v>
      </c>
      <c r="B2087" s="211">
        <v>4903</v>
      </c>
      <c r="C2087" s="211">
        <v>913</v>
      </c>
      <c r="D2087" s="211" t="s">
        <v>1255</v>
      </c>
      <c r="E2087" s="211" t="s">
        <v>10385</v>
      </c>
      <c r="F2087" s="211" t="s">
        <v>7335</v>
      </c>
    </row>
    <row r="2088" spans="1:6">
      <c r="A2088" s="211" t="s">
        <v>350</v>
      </c>
      <c r="B2088" s="211">
        <v>1332</v>
      </c>
      <c r="C2088" s="211">
        <v>1404</v>
      </c>
      <c r="D2088" s="211" t="s">
        <v>1255</v>
      </c>
      <c r="E2088" s="211" t="s">
        <v>10385</v>
      </c>
      <c r="F2088" s="211" t="s">
        <v>7237</v>
      </c>
    </row>
    <row r="2089" spans="1:6">
      <c r="A2089" s="211" t="s">
        <v>351</v>
      </c>
      <c r="B2089" s="211">
        <v>1285</v>
      </c>
      <c r="C2089" s="211">
        <v>1429</v>
      </c>
      <c r="D2089" s="211" t="s">
        <v>1255</v>
      </c>
      <c r="E2089" s="211" t="s">
        <v>10385</v>
      </c>
      <c r="F2089" s="211" t="s">
        <v>7165</v>
      </c>
    </row>
    <row r="2090" spans="1:6">
      <c r="A2090" s="211" t="s">
        <v>5034</v>
      </c>
      <c r="B2090" s="211">
        <v>6763</v>
      </c>
      <c r="C2090" s="211">
        <v>1030</v>
      </c>
      <c r="D2090" s="211" t="s">
        <v>1117</v>
      </c>
      <c r="E2090" s="211" t="s">
        <v>10385</v>
      </c>
      <c r="F2090" s="211" t="s">
        <v>7288</v>
      </c>
    </row>
    <row r="2091" spans="1:6">
      <c r="A2091" s="211" t="s">
        <v>352</v>
      </c>
      <c r="B2091" s="211">
        <v>1753</v>
      </c>
      <c r="C2091" s="211">
        <v>839</v>
      </c>
      <c r="D2091" s="211" t="s">
        <v>1255</v>
      </c>
      <c r="E2091" s="211" t="s">
        <v>10385</v>
      </c>
      <c r="F2091" s="211" t="s">
        <v>7617</v>
      </c>
    </row>
    <row r="2092" spans="1:6">
      <c r="A2092" s="211" t="s">
        <v>7822</v>
      </c>
      <c r="B2092" s="211">
        <v>474</v>
      </c>
      <c r="C2092" s="211" t="s">
        <v>10385</v>
      </c>
      <c r="D2092" s="211" t="s">
        <v>1255</v>
      </c>
      <c r="E2092" s="211" t="s">
        <v>10385</v>
      </c>
      <c r="F2092" s="211" t="s">
        <v>7243</v>
      </c>
    </row>
    <row r="2093" spans="1:6">
      <c r="A2093" s="211" t="s">
        <v>7823</v>
      </c>
      <c r="B2093" s="211">
        <v>3562</v>
      </c>
      <c r="C2093" s="211" t="s">
        <v>10385</v>
      </c>
      <c r="D2093" s="211" t="s">
        <v>1255</v>
      </c>
      <c r="E2093" s="211" t="s">
        <v>10385</v>
      </c>
      <c r="F2093" s="211" t="s">
        <v>7344</v>
      </c>
    </row>
    <row r="2094" spans="1:6">
      <c r="A2094" s="211" t="s">
        <v>3018</v>
      </c>
      <c r="B2094" s="211">
        <v>1843</v>
      </c>
      <c r="C2094" s="211">
        <v>1379</v>
      </c>
      <c r="D2094" s="211" t="s">
        <v>1255</v>
      </c>
      <c r="E2094" s="211" t="s">
        <v>10385</v>
      </c>
      <c r="F2094" s="211" t="s">
        <v>7335</v>
      </c>
    </row>
    <row r="2095" spans="1:6">
      <c r="A2095" s="211" t="s">
        <v>7824</v>
      </c>
      <c r="B2095" s="211">
        <v>91</v>
      </c>
      <c r="C2095" s="211" t="s">
        <v>10385</v>
      </c>
      <c r="D2095" s="211" t="s">
        <v>1255</v>
      </c>
      <c r="E2095" s="211" t="s">
        <v>10385</v>
      </c>
      <c r="F2095" s="211" t="s">
        <v>7402</v>
      </c>
    </row>
    <row r="2096" spans="1:6">
      <c r="A2096" s="211" t="s">
        <v>353</v>
      </c>
      <c r="B2096" s="211">
        <v>1926</v>
      </c>
      <c r="C2096" s="211">
        <v>1139</v>
      </c>
      <c r="D2096" s="211" t="s">
        <v>1255</v>
      </c>
      <c r="E2096" s="211" t="s">
        <v>10385</v>
      </c>
      <c r="F2096" s="211" t="s">
        <v>7318</v>
      </c>
    </row>
    <row r="2097" spans="1:6">
      <c r="A2097" s="211" t="s">
        <v>354</v>
      </c>
      <c r="B2097" s="211">
        <v>2020</v>
      </c>
      <c r="C2097" s="211">
        <v>2021</v>
      </c>
      <c r="D2097" s="211" t="s">
        <v>1255</v>
      </c>
      <c r="E2097" s="211" t="s">
        <v>10385</v>
      </c>
      <c r="F2097" s="211" t="s">
        <v>7286</v>
      </c>
    </row>
    <row r="2098" spans="1:6">
      <c r="A2098" s="211" t="s">
        <v>355</v>
      </c>
      <c r="B2098" s="211">
        <v>2532</v>
      </c>
      <c r="C2098" s="211">
        <v>1192</v>
      </c>
      <c r="D2098" s="211" t="s">
        <v>1255</v>
      </c>
      <c r="E2098" s="211" t="s">
        <v>10385</v>
      </c>
      <c r="F2098" s="211" t="s">
        <v>7284</v>
      </c>
    </row>
    <row r="2099" spans="1:6">
      <c r="A2099" s="211" t="s">
        <v>5035</v>
      </c>
      <c r="B2099" s="211">
        <v>6985</v>
      </c>
      <c r="C2099" s="211">
        <v>723</v>
      </c>
      <c r="D2099" s="211" t="s">
        <v>1255</v>
      </c>
      <c r="E2099" s="211" t="s">
        <v>10385</v>
      </c>
      <c r="F2099" s="211" t="s">
        <v>7354</v>
      </c>
    </row>
    <row r="2100" spans="1:6">
      <c r="A2100" s="211" t="s">
        <v>356</v>
      </c>
      <c r="B2100" s="211">
        <v>1532</v>
      </c>
      <c r="C2100" s="211">
        <v>933</v>
      </c>
      <c r="D2100" s="211" t="s">
        <v>1255</v>
      </c>
      <c r="E2100" s="211" t="s">
        <v>10385</v>
      </c>
      <c r="F2100" s="211" t="s">
        <v>7233</v>
      </c>
    </row>
    <row r="2101" spans="1:6">
      <c r="A2101" s="211" t="s">
        <v>10568</v>
      </c>
      <c r="B2101" s="211">
        <v>8647</v>
      </c>
      <c r="C2101" s="211">
        <v>544</v>
      </c>
      <c r="D2101" s="211" t="s">
        <v>1255</v>
      </c>
      <c r="E2101" s="211" t="s">
        <v>10569</v>
      </c>
      <c r="F2101" s="211" t="s">
        <v>7310</v>
      </c>
    </row>
    <row r="2102" spans="1:6">
      <c r="A2102" s="211" t="s">
        <v>357</v>
      </c>
      <c r="B2102" s="211">
        <v>2103</v>
      </c>
      <c r="C2102" s="211">
        <v>1266</v>
      </c>
      <c r="D2102" s="211" t="s">
        <v>1255</v>
      </c>
      <c r="E2102" s="211" t="s">
        <v>10385</v>
      </c>
      <c r="F2102" s="211" t="s">
        <v>7356</v>
      </c>
    </row>
    <row r="2103" spans="1:6">
      <c r="A2103" s="211" t="s">
        <v>358</v>
      </c>
      <c r="B2103" s="211">
        <v>5550</v>
      </c>
      <c r="C2103" s="211">
        <v>1857</v>
      </c>
      <c r="D2103" s="211" t="s">
        <v>1117</v>
      </c>
      <c r="E2103" s="211" t="s">
        <v>9345</v>
      </c>
      <c r="F2103" s="211" t="s">
        <v>7205</v>
      </c>
    </row>
    <row r="2104" spans="1:6">
      <c r="A2104" s="211" t="s">
        <v>10570</v>
      </c>
      <c r="B2104" s="211">
        <v>8685</v>
      </c>
      <c r="C2104" s="211">
        <v>333</v>
      </c>
      <c r="D2104" s="211" t="s">
        <v>1255</v>
      </c>
      <c r="E2104" s="211" t="s">
        <v>10571</v>
      </c>
      <c r="F2104" s="211" t="s">
        <v>9059</v>
      </c>
    </row>
    <row r="2105" spans="1:6">
      <c r="A2105" s="211" t="s">
        <v>359</v>
      </c>
      <c r="B2105" s="211">
        <v>2837</v>
      </c>
      <c r="C2105" s="211">
        <v>1167</v>
      </c>
      <c r="D2105" s="211" t="s">
        <v>1255</v>
      </c>
      <c r="E2105" s="211" t="s">
        <v>10385</v>
      </c>
      <c r="F2105" s="211" t="s">
        <v>7199</v>
      </c>
    </row>
    <row r="2106" spans="1:6">
      <c r="A2106" s="211" t="s">
        <v>7825</v>
      </c>
      <c r="B2106" s="211">
        <v>1557</v>
      </c>
      <c r="C2106" s="211" t="s">
        <v>10385</v>
      </c>
      <c r="D2106" s="211" t="s">
        <v>1255</v>
      </c>
      <c r="E2106" s="211" t="s">
        <v>10385</v>
      </c>
      <c r="F2106" s="211" t="s">
        <v>7665</v>
      </c>
    </row>
    <row r="2107" spans="1:6">
      <c r="A2107" s="211" t="s">
        <v>7826</v>
      </c>
      <c r="B2107" s="211">
        <v>4137</v>
      </c>
      <c r="C2107" s="211" t="s">
        <v>10385</v>
      </c>
      <c r="D2107" s="211" t="s">
        <v>1255</v>
      </c>
      <c r="E2107" s="211" t="s">
        <v>10385</v>
      </c>
      <c r="F2107" s="211" t="s">
        <v>7272</v>
      </c>
    </row>
    <row r="2108" spans="1:6">
      <c r="A2108" s="211" t="s">
        <v>360</v>
      </c>
      <c r="B2108" s="211">
        <v>2137</v>
      </c>
      <c r="C2108" s="211">
        <v>913</v>
      </c>
      <c r="D2108" s="211" t="s">
        <v>1117</v>
      </c>
      <c r="E2108" s="211" t="s">
        <v>10385</v>
      </c>
      <c r="F2108" s="211" t="s">
        <v>7212</v>
      </c>
    </row>
    <row r="2109" spans="1:6">
      <c r="A2109" s="211" t="s">
        <v>361</v>
      </c>
      <c r="B2109" s="211">
        <v>1928</v>
      </c>
      <c r="C2109" s="211">
        <v>1596</v>
      </c>
      <c r="D2109" s="211" t="s">
        <v>1255</v>
      </c>
      <c r="E2109" s="211" t="s">
        <v>10385</v>
      </c>
      <c r="F2109" s="211" t="s">
        <v>7797</v>
      </c>
    </row>
    <row r="2110" spans="1:6">
      <c r="A2110" s="211" t="s">
        <v>362</v>
      </c>
      <c r="B2110" s="211">
        <v>3641</v>
      </c>
      <c r="C2110" s="211">
        <v>1134</v>
      </c>
      <c r="D2110" s="211" t="s">
        <v>1255</v>
      </c>
      <c r="E2110" s="211" t="s">
        <v>10385</v>
      </c>
      <c r="F2110" s="211" t="s">
        <v>7240</v>
      </c>
    </row>
    <row r="2111" spans="1:6">
      <c r="A2111" s="211" t="s">
        <v>7827</v>
      </c>
      <c r="B2111" s="211">
        <v>2038</v>
      </c>
      <c r="C2111" s="211" t="s">
        <v>10385</v>
      </c>
      <c r="D2111" s="211" t="s">
        <v>1255</v>
      </c>
      <c r="E2111" s="211" t="s">
        <v>10385</v>
      </c>
      <c r="F2111" s="211" t="s">
        <v>7262</v>
      </c>
    </row>
    <row r="2112" spans="1:6">
      <c r="A2112" s="211" t="s">
        <v>7828</v>
      </c>
      <c r="B2112" s="211">
        <v>5322</v>
      </c>
      <c r="C2112" s="211" t="s">
        <v>10385</v>
      </c>
      <c r="D2112" s="211" t="s">
        <v>1117</v>
      </c>
      <c r="E2112" s="211" t="s">
        <v>10385</v>
      </c>
      <c r="F2112" s="211" t="s">
        <v>7398</v>
      </c>
    </row>
    <row r="2113" spans="1:6">
      <c r="A2113" s="211" t="s">
        <v>363</v>
      </c>
      <c r="B2113" s="211">
        <v>5407</v>
      </c>
      <c r="C2113" s="211">
        <v>1209</v>
      </c>
      <c r="D2113" s="211" t="s">
        <v>1255</v>
      </c>
      <c r="E2113" s="211" t="s">
        <v>10385</v>
      </c>
      <c r="F2113" s="211" t="s">
        <v>7325</v>
      </c>
    </row>
    <row r="2114" spans="1:6">
      <c r="A2114" s="211" t="s">
        <v>364</v>
      </c>
      <c r="B2114" s="211">
        <v>1580</v>
      </c>
      <c r="C2114" s="211">
        <v>885</v>
      </c>
      <c r="D2114" s="211" t="s">
        <v>1117</v>
      </c>
      <c r="E2114" s="211" t="s">
        <v>10385</v>
      </c>
      <c r="F2114" s="211" t="s">
        <v>7261</v>
      </c>
    </row>
    <row r="2115" spans="1:6">
      <c r="A2115" s="211" t="s">
        <v>10572</v>
      </c>
      <c r="B2115" s="211">
        <v>8753</v>
      </c>
      <c r="C2115" s="211">
        <v>482</v>
      </c>
      <c r="D2115" s="211" t="s">
        <v>1255</v>
      </c>
      <c r="E2115" s="211" t="s">
        <v>10573</v>
      </c>
      <c r="F2115" s="211" t="s">
        <v>7173</v>
      </c>
    </row>
    <row r="2116" spans="1:6">
      <c r="A2116" s="211" t="s">
        <v>7829</v>
      </c>
      <c r="B2116" s="211">
        <v>1282</v>
      </c>
      <c r="C2116" s="211" t="s">
        <v>10385</v>
      </c>
      <c r="D2116" s="211" t="s">
        <v>1255</v>
      </c>
      <c r="E2116" s="211" t="s">
        <v>10385</v>
      </c>
      <c r="F2116" s="211" t="s">
        <v>7249</v>
      </c>
    </row>
    <row r="2117" spans="1:6">
      <c r="A2117" s="211" t="s">
        <v>7830</v>
      </c>
      <c r="B2117" s="211">
        <v>3993</v>
      </c>
      <c r="C2117" s="211" t="s">
        <v>10385</v>
      </c>
      <c r="D2117" s="211" t="s">
        <v>1255</v>
      </c>
      <c r="E2117" s="211" t="s">
        <v>10385</v>
      </c>
      <c r="F2117" s="211" t="s">
        <v>7235</v>
      </c>
    </row>
    <row r="2118" spans="1:6">
      <c r="A2118" s="211" t="s">
        <v>365</v>
      </c>
      <c r="B2118" s="211">
        <v>856</v>
      </c>
      <c r="C2118" s="211">
        <v>1418</v>
      </c>
      <c r="D2118" s="211" t="s">
        <v>1255</v>
      </c>
      <c r="E2118" s="211" t="s">
        <v>10385</v>
      </c>
      <c r="F2118" s="211" t="s">
        <v>7279</v>
      </c>
    </row>
    <row r="2119" spans="1:6">
      <c r="A2119" s="211" t="s">
        <v>366</v>
      </c>
      <c r="B2119" s="211">
        <v>4842</v>
      </c>
      <c r="C2119" s="211">
        <v>1150</v>
      </c>
      <c r="D2119" s="211" t="s">
        <v>1255</v>
      </c>
      <c r="E2119" s="211" t="s">
        <v>10385</v>
      </c>
      <c r="F2119" s="211" t="s">
        <v>7282</v>
      </c>
    </row>
    <row r="2120" spans="1:6">
      <c r="A2120" s="211" t="s">
        <v>367</v>
      </c>
      <c r="B2120" s="211">
        <v>1262</v>
      </c>
      <c r="C2120" s="211">
        <v>993</v>
      </c>
      <c r="D2120" s="211" t="s">
        <v>1255</v>
      </c>
      <c r="E2120" s="211" t="s">
        <v>10385</v>
      </c>
      <c r="F2120" s="211" t="s">
        <v>7351</v>
      </c>
    </row>
    <row r="2121" spans="1:6">
      <c r="A2121" s="211" t="s">
        <v>368</v>
      </c>
      <c r="B2121" s="211">
        <v>3035</v>
      </c>
      <c r="C2121" s="211">
        <v>1947</v>
      </c>
      <c r="D2121" s="211" t="s">
        <v>1255</v>
      </c>
      <c r="E2121" s="211" t="s">
        <v>10385</v>
      </c>
      <c r="F2121" s="211" t="s">
        <v>7282</v>
      </c>
    </row>
    <row r="2122" spans="1:6">
      <c r="A2122" s="211" t="s">
        <v>5727</v>
      </c>
      <c r="B2122" s="211">
        <v>7075</v>
      </c>
      <c r="C2122" s="211">
        <v>1086</v>
      </c>
      <c r="D2122" s="211" t="s">
        <v>1255</v>
      </c>
      <c r="E2122" s="211" t="s">
        <v>5728</v>
      </c>
      <c r="F2122" s="211" t="s">
        <v>7219</v>
      </c>
    </row>
    <row r="2123" spans="1:6">
      <c r="A2123" s="211" t="s">
        <v>9346</v>
      </c>
      <c r="B2123" s="211">
        <v>7973</v>
      </c>
      <c r="C2123" s="211">
        <v>1030</v>
      </c>
      <c r="D2123" s="211" t="s">
        <v>1255</v>
      </c>
      <c r="E2123" s="211" t="s">
        <v>9347</v>
      </c>
      <c r="F2123" s="211" t="s">
        <v>7257</v>
      </c>
    </row>
    <row r="2124" spans="1:6">
      <c r="A2124" s="211" t="s">
        <v>369</v>
      </c>
      <c r="B2124" s="211">
        <v>4935</v>
      </c>
      <c r="C2124" s="211">
        <v>966</v>
      </c>
      <c r="D2124" s="211" t="s">
        <v>1255</v>
      </c>
      <c r="E2124" s="211" t="s">
        <v>10385</v>
      </c>
      <c r="F2124" s="211" t="s">
        <v>7526</v>
      </c>
    </row>
    <row r="2125" spans="1:6">
      <c r="A2125" s="211" t="s">
        <v>7831</v>
      </c>
      <c r="B2125" s="211">
        <v>2022</v>
      </c>
      <c r="C2125" s="211" t="s">
        <v>10385</v>
      </c>
      <c r="D2125" s="211" t="s">
        <v>1255</v>
      </c>
      <c r="E2125" s="211" t="s">
        <v>10385</v>
      </c>
      <c r="F2125" s="211" t="s">
        <v>7201</v>
      </c>
    </row>
    <row r="2126" spans="1:6">
      <c r="A2126" s="211" t="s">
        <v>2996</v>
      </c>
      <c r="B2126" s="211">
        <v>1349</v>
      </c>
      <c r="C2126" s="211">
        <v>2237</v>
      </c>
      <c r="D2126" s="211" t="s">
        <v>1117</v>
      </c>
      <c r="E2126" s="211" t="s">
        <v>10385</v>
      </c>
      <c r="F2126" s="211" t="s">
        <v>7267</v>
      </c>
    </row>
    <row r="2127" spans="1:6">
      <c r="A2127" s="211" t="s">
        <v>9348</v>
      </c>
      <c r="B2127" s="211">
        <v>8089</v>
      </c>
      <c r="C2127" s="211">
        <v>985</v>
      </c>
      <c r="D2127" s="211" t="s">
        <v>1255</v>
      </c>
      <c r="E2127" s="211" t="s">
        <v>10385</v>
      </c>
      <c r="F2127" s="211" t="s">
        <v>9281</v>
      </c>
    </row>
    <row r="2128" spans="1:6">
      <c r="A2128" s="211" t="s">
        <v>7832</v>
      </c>
      <c r="B2128" s="211">
        <v>2609</v>
      </c>
      <c r="C2128" s="211">
        <v>2387</v>
      </c>
      <c r="D2128" s="211" t="s">
        <v>1255</v>
      </c>
      <c r="E2128" s="211" t="s">
        <v>10385</v>
      </c>
      <c r="F2128" s="211" t="s">
        <v>7267</v>
      </c>
    </row>
    <row r="2129" spans="1:6">
      <c r="A2129" s="211" t="s">
        <v>370</v>
      </c>
      <c r="B2129" s="211">
        <v>3512</v>
      </c>
      <c r="C2129" s="211">
        <v>1142</v>
      </c>
      <c r="D2129" s="211" t="s">
        <v>1117</v>
      </c>
      <c r="E2129" s="211" t="s">
        <v>10385</v>
      </c>
      <c r="F2129" s="211" t="s">
        <v>7246</v>
      </c>
    </row>
    <row r="2130" spans="1:6">
      <c r="A2130" s="211" t="s">
        <v>9349</v>
      </c>
      <c r="B2130" s="211">
        <v>8450</v>
      </c>
      <c r="C2130" s="211">
        <v>1376</v>
      </c>
      <c r="D2130" s="211" t="s">
        <v>1255</v>
      </c>
      <c r="E2130" s="211" t="s">
        <v>9350</v>
      </c>
      <c r="F2130" s="211" t="s">
        <v>7382</v>
      </c>
    </row>
    <row r="2131" spans="1:6">
      <c r="A2131" s="211" t="s">
        <v>7833</v>
      </c>
      <c r="B2131" s="211">
        <v>7061</v>
      </c>
      <c r="C2131" s="211" t="s">
        <v>10385</v>
      </c>
      <c r="D2131" s="211" t="s">
        <v>1255</v>
      </c>
      <c r="E2131" s="211" t="s">
        <v>10385</v>
      </c>
      <c r="F2131" s="211" t="s">
        <v>7581</v>
      </c>
    </row>
    <row r="2132" spans="1:6">
      <c r="A2132" s="211" t="s">
        <v>4661</v>
      </c>
      <c r="B2132" s="211">
        <v>6416</v>
      </c>
      <c r="C2132" s="211">
        <v>967</v>
      </c>
      <c r="D2132" s="211" t="s">
        <v>1255</v>
      </c>
      <c r="E2132" s="211" t="s">
        <v>10385</v>
      </c>
      <c r="F2132" s="211" t="s">
        <v>7556</v>
      </c>
    </row>
    <row r="2133" spans="1:6">
      <c r="A2133" s="211" t="s">
        <v>10574</v>
      </c>
      <c r="B2133" s="211">
        <v>8809</v>
      </c>
      <c r="C2133" s="211">
        <v>1045</v>
      </c>
      <c r="D2133" s="211" t="s">
        <v>1255</v>
      </c>
      <c r="E2133" s="211" t="s">
        <v>10575</v>
      </c>
      <c r="F2133" s="211" t="s">
        <v>10341</v>
      </c>
    </row>
    <row r="2134" spans="1:6">
      <c r="A2134" s="211" t="s">
        <v>371</v>
      </c>
      <c r="B2134" s="211">
        <v>2570</v>
      </c>
      <c r="C2134" s="211">
        <v>813</v>
      </c>
      <c r="D2134" s="211" t="s">
        <v>1117</v>
      </c>
      <c r="E2134" s="211" t="s">
        <v>10385</v>
      </c>
      <c r="F2134" s="211" t="s">
        <v>7171</v>
      </c>
    </row>
    <row r="2135" spans="1:6">
      <c r="A2135" s="211" t="s">
        <v>5036</v>
      </c>
      <c r="B2135" s="211">
        <v>6743</v>
      </c>
      <c r="C2135" s="211">
        <v>1106</v>
      </c>
      <c r="D2135" s="211" t="s">
        <v>1255</v>
      </c>
      <c r="E2135" s="211" t="s">
        <v>10385</v>
      </c>
      <c r="F2135" s="211" t="s">
        <v>7258</v>
      </c>
    </row>
    <row r="2136" spans="1:6">
      <c r="A2136" s="211" t="s">
        <v>372</v>
      </c>
      <c r="B2136" s="211">
        <v>4708</v>
      </c>
      <c r="C2136" s="211">
        <v>1051</v>
      </c>
      <c r="D2136" s="211" t="s">
        <v>1255</v>
      </c>
      <c r="E2136" s="211" t="s">
        <v>10385</v>
      </c>
      <c r="F2136" s="211" t="s">
        <v>7760</v>
      </c>
    </row>
    <row r="2137" spans="1:6">
      <c r="A2137" s="211" t="s">
        <v>373</v>
      </c>
      <c r="B2137" s="211">
        <v>3901</v>
      </c>
      <c r="C2137" s="211">
        <v>802</v>
      </c>
      <c r="D2137" s="211" t="s">
        <v>1255</v>
      </c>
      <c r="E2137" s="211" t="s">
        <v>10385</v>
      </c>
      <c r="F2137" s="211" t="s">
        <v>7248</v>
      </c>
    </row>
    <row r="2138" spans="1:6">
      <c r="A2138" s="211" t="s">
        <v>7834</v>
      </c>
      <c r="B2138" s="211">
        <v>7868</v>
      </c>
      <c r="C2138" s="211">
        <v>768</v>
      </c>
      <c r="D2138" s="211" t="s">
        <v>1255</v>
      </c>
      <c r="E2138" s="211" t="s">
        <v>9351</v>
      </c>
      <c r="F2138" s="211" t="s">
        <v>7240</v>
      </c>
    </row>
    <row r="2139" spans="1:6">
      <c r="A2139" s="211" t="s">
        <v>9352</v>
      </c>
      <c r="B2139" s="211">
        <v>8077</v>
      </c>
      <c r="C2139" s="211">
        <v>1001</v>
      </c>
      <c r="D2139" s="211" t="s">
        <v>1255</v>
      </c>
      <c r="E2139" s="211" t="s">
        <v>10385</v>
      </c>
      <c r="F2139" s="211" t="s">
        <v>7284</v>
      </c>
    </row>
    <row r="2140" spans="1:6">
      <c r="A2140" s="211" t="s">
        <v>374</v>
      </c>
      <c r="B2140" s="211">
        <v>1871</v>
      </c>
      <c r="C2140" s="211">
        <v>1253</v>
      </c>
      <c r="D2140" s="211" t="s">
        <v>1255</v>
      </c>
      <c r="E2140" s="211" t="s">
        <v>10385</v>
      </c>
      <c r="F2140" s="211" t="s">
        <v>7230</v>
      </c>
    </row>
    <row r="2141" spans="1:6">
      <c r="A2141" s="211" t="s">
        <v>5729</v>
      </c>
      <c r="B2141" s="211">
        <v>7362</v>
      </c>
      <c r="C2141" s="211">
        <v>1245</v>
      </c>
      <c r="D2141" s="211" t="s">
        <v>1117</v>
      </c>
      <c r="E2141" s="211" t="s">
        <v>9353</v>
      </c>
      <c r="F2141" s="211" t="s">
        <v>7375</v>
      </c>
    </row>
    <row r="2142" spans="1:6">
      <c r="A2142" s="211" t="s">
        <v>375</v>
      </c>
      <c r="B2142" s="211">
        <v>1204</v>
      </c>
      <c r="C2142" s="211">
        <v>1487</v>
      </c>
      <c r="D2142" s="211" t="s">
        <v>1255</v>
      </c>
      <c r="E2142" s="211" t="s">
        <v>10385</v>
      </c>
      <c r="F2142" s="211" t="s">
        <v>7657</v>
      </c>
    </row>
    <row r="2143" spans="1:6">
      <c r="A2143" s="211" t="s">
        <v>376</v>
      </c>
      <c r="B2143" s="211">
        <v>894</v>
      </c>
      <c r="C2143" s="211">
        <v>1205</v>
      </c>
      <c r="D2143" s="211" t="s">
        <v>1255</v>
      </c>
      <c r="E2143" s="211" t="s">
        <v>10385</v>
      </c>
      <c r="F2143" s="211" t="s">
        <v>7257</v>
      </c>
    </row>
    <row r="2144" spans="1:6">
      <c r="A2144" s="211" t="s">
        <v>10576</v>
      </c>
      <c r="B2144" s="211">
        <v>8742</v>
      </c>
      <c r="C2144" s="211">
        <v>649</v>
      </c>
      <c r="D2144" s="211" t="s">
        <v>1117</v>
      </c>
      <c r="E2144" s="211" t="s">
        <v>10577</v>
      </c>
      <c r="F2144" s="211" t="s">
        <v>7438</v>
      </c>
    </row>
    <row r="2145" spans="1:6">
      <c r="A2145" s="211" t="s">
        <v>5730</v>
      </c>
      <c r="B2145" s="211">
        <v>7267</v>
      </c>
      <c r="C2145" s="211">
        <v>626</v>
      </c>
      <c r="D2145" s="211" t="s">
        <v>1117</v>
      </c>
      <c r="E2145" s="211" t="s">
        <v>10385</v>
      </c>
      <c r="F2145" s="211" t="s">
        <v>7536</v>
      </c>
    </row>
    <row r="2146" spans="1:6">
      <c r="A2146" s="211" t="s">
        <v>7835</v>
      </c>
      <c r="B2146" s="211">
        <v>532</v>
      </c>
      <c r="C2146" s="211" t="s">
        <v>10385</v>
      </c>
      <c r="D2146" s="211" t="s">
        <v>1255</v>
      </c>
      <c r="E2146" s="211" t="s">
        <v>10385</v>
      </c>
      <c r="F2146" s="211" t="s">
        <v>7233</v>
      </c>
    </row>
    <row r="2147" spans="1:6">
      <c r="A2147" s="211" t="s">
        <v>377</v>
      </c>
      <c r="B2147" s="211">
        <v>2652</v>
      </c>
      <c r="C2147" s="211">
        <v>1168</v>
      </c>
      <c r="D2147" s="211" t="s">
        <v>1255</v>
      </c>
      <c r="E2147" s="211" t="s">
        <v>10385</v>
      </c>
      <c r="F2147" s="211" t="s">
        <v>7797</v>
      </c>
    </row>
    <row r="2148" spans="1:6">
      <c r="A2148" s="211" t="s">
        <v>5731</v>
      </c>
      <c r="B2148" s="211">
        <v>7040</v>
      </c>
      <c r="C2148" s="211">
        <v>1152</v>
      </c>
      <c r="D2148" s="211" t="s">
        <v>1255</v>
      </c>
      <c r="E2148" s="211" t="s">
        <v>5732</v>
      </c>
      <c r="F2148" s="211" t="s">
        <v>9024</v>
      </c>
    </row>
    <row r="2149" spans="1:6">
      <c r="A2149" s="211" t="s">
        <v>10347</v>
      </c>
      <c r="B2149" s="211">
        <v>1229</v>
      </c>
      <c r="C2149" s="211" t="s">
        <v>10385</v>
      </c>
      <c r="D2149" s="211" t="s">
        <v>1255</v>
      </c>
      <c r="E2149" s="211" t="s">
        <v>10385</v>
      </c>
      <c r="F2149" s="211" t="s">
        <v>7231</v>
      </c>
    </row>
    <row r="2150" spans="1:6">
      <c r="A2150" s="211" t="s">
        <v>378</v>
      </c>
      <c r="B2150" s="211">
        <v>2764</v>
      </c>
      <c r="C2150" s="211">
        <v>1413</v>
      </c>
      <c r="D2150" s="211" t="s">
        <v>1255</v>
      </c>
      <c r="E2150" s="211" t="s">
        <v>379</v>
      </c>
      <c r="F2150" s="211" t="s">
        <v>7231</v>
      </c>
    </row>
    <row r="2151" spans="1:6">
      <c r="A2151" s="211" t="s">
        <v>380</v>
      </c>
      <c r="B2151" s="211">
        <v>2692</v>
      </c>
      <c r="C2151" s="211">
        <v>986</v>
      </c>
      <c r="D2151" s="211" t="s">
        <v>1255</v>
      </c>
      <c r="E2151" s="211" t="s">
        <v>10385</v>
      </c>
      <c r="F2151" s="211" t="s">
        <v>7272</v>
      </c>
    </row>
    <row r="2152" spans="1:6">
      <c r="A2152" s="211" t="s">
        <v>7836</v>
      </c>
      <c r="B2152" s="211">
        <v>731</v>
      </c>
      <c r="C2152" s="211" t="s">
        <v>10385</v>
      </c>
      <c r="D2152" s="211" t="s">
        <v>1255</v>
      </c>
      <c r="E2152" s="211" t="s">
        <v>10385</v>
      </c>
      <c r="F2152" s="211" t="s">
        <v>7219</v>
      </c>
    </row>
    <row r="2153" spans="1:6">
      <c r="A2153" s="211" t="s">
        <v>5037</v>
      </c>
      <c r="B2153" s="211">
        <v>6914</v>
      </c>
      <c r="C2153" s="211">
        <v>941</v>
      </c>
      <c r="D2153" s="211" t="s">
        <v>1255</v>
      </c>
      <c r="E2153" s="211" t="s">
        <v>10385</v>
      </c>
      <c r="F2153" s="211" t="s">
        <v>7376</v>
      </c>
    </row>
    <row r="2154" spans="1:6">
      <c r="A2154" s="211" t="s">
        <v>4561</v>
      </c>
      <c r="B2154" s="211">
        <v>6475</v>
      </c>
      <c r="C2154" s="211">
        <v>828</v>
      </c>
      <c r="D2154" s="211" t="s">
        <v>1255</v>
      </c>
      <c r="E2154" s="211" t="s">
        <v>10385</v>
      </c>
      <c r="F2154" s="211" t="s">
        <v>7724</v>
      </c>
    </row>
    <row r="2155" spans="1:6">
      <c r="A2155" s="211" t="s">
        <v>4631</v>
      </c>
      <c r="B2155" s="211">
        <v>6345</v>
      </c>
      <c r="C2155" s="211">
        <v>767</v>
      </c>
      <c r="D2155" s="211" t="s">
        <v>1255</v>
      </c>
      <c r="E2155" s="211" t="s">
        <v>10385</v>
      </c>
      <c r="F2155" s="211" t="s">
        <v>7837</v>
      </c>
    </row>
    <row r="2156" spans="1:6">
      <c r="A2156" s="211" t="s">
        <v>5733</v>
      </c>
      <c r="B2156" s="211">
        <v>7376</v>
      </c>
      <c r="C2156" s="211">
        <v>875</v>
      </c>
      <c r="D2156" s="211" t="s">
        <v>1255</v>
      </c>
      <c r="E2156" s="211" t="s">
        <v>6749</v>
      </c>
      <c r="F2156" s="211" t="s">
        <v>7556</v>
      </c>
    </row>
    <row r="2157" spans="1:6">
      <c r="A2157" s="211" t="s">
        <v>9354</v>
      </c>
      <c r="B2157" s="211">
        <v>8157</v>
      </c>
      <c r="C2157" s="211">
        <v>1170</v>
      </c>
      <c r="D2157" s="211" t="s">
        <v>1255</v>
      </c>
      <c r="E2157" s="211" t="s">
        <v>9355</v>
      </c>
      <c r="F2157" s="211" t="s">
        <v>7386</v>
      </c>
    </row>
    <row r="2158" spans="1:6">
      <c r="A2158" s="211" t="s">
        <v>9356</v>
      </c>
      <c r="B2158" s="211">
        <v>8316</v>
      </c>
      <c r="C2158" s="211">
        <v>1018</v>
      </c>
      <c r="D2158" s="211" t="s">
        <v>1255</v>
      </c>
      <c r="E2158" s="211" t="s">
        <v>9357</v>
      </c>
      <c r="F2158" s="211" t="s">
        <v>7320</v>
      </c>
    </row>
    <row r="2159" spans="1:6">
      <c r="A2159" s="211" t="s">
        <v>381</v>
      </c>
      <c r="B2159" s="211">
        <v>3947</v>
      </c>
      <c r="C2159" s="211">
        <v>794</v>
      </c>
      <c r="D2159" s="211" t="s">
        <v>1117</v>
      </c>
      <c r="E2159" s="211" t="s">
        <v>10385</v>
      </c>
      <c r="F2159" s="211" t="s">
        <v>7438</v>
      </c>
    </row>
    <row r="2160" spans="1:6">
      <c r="A2160" s="211" t="s">
        <v>382</v>
      </c>
      <c r="B2160" s="211">
        <v>3015</v>
      </c>
      <c r="C2160" s="211">
        <v>963</v>
      </c>
      <c r="D2160" s="211" t="s">
        <v>1255</v>
      </c>
      <c r="E2160" s="211" t="s">
        <v>10385</v>
      </c>
      <c r="F2160" s="211" t="s">
        <v>7240</v>
      </c>
    </row>
    <row r="2161" spans="1:6">
      <c r="A2161" s="211" t="s">
        <v>5734</v>
      </c>
      <c r="B2161" s="211">
        <v>7244</v>
      </c>
      <c r="C2161" s="211">
        <v>996</v>
      </c>
      <c r="D2161" s="211" t="s">
        <v>1255</v>
      </c>
      <c r="E2161" s="211" t="s">
        <v>5735</v>
      </c>
      <c r="F2161" s="211" t="s">
        <v>7397</v>
      </c>
    </row>
    <row r="2162" spans="1:6">
      <c r="A2162" s="211" t="s">
        <v>383</v>
      </c>
      <c r="B2162" s="211">
        <v>1582</v>
      </c>
      <c r="C2162" s="211">
        <v>969</v>
      </c>
      <c r="D2162" s="211" t="s">
        <v>1255</v>
      </c>
      <c r="E2162" s="211" t="s">
        <v>10385</v>
      </c>
      <c r="F2162" s="211" t="s">
        <v>7581</v>
      </c>
    </row>
    <row r="2163" spans="1:6">
      <c r="A2163" s="211" t="s">
        <v>9358</v>
      </c>
      <c r="B2163" s="211">
        <v>8539</v>
      </c>
      <c r="C2163" s="211">
        <v>1462</v>
      </c>
      <c r="D2163" s="211" t="s">
        <v>1255</v>
      </c>
      <c r="E2163" s="211" t="s">
        <v>9359</v>
      </c>
      <c r="F2163" s="211" t="s">
        <v>7365</v>
      </c>
    </row>
    <row r="2164" spans="1:6">
      <c r="A2164" s="211" t="s">
        <v>7838</v>
      </c>
      <c r="B2164" s="211">
        <v>2110</v>
      </c>
      <c r="C2164" s="211" t="s">
        <v>10385</v>
      </c>
      <c r="D2164" s="211" t="s">
        <v>1255</v>
      </c>
      <c r="E2164" s="211" t="s">
        <v>10385</v>
      </c>
      <c r="F2164" s="211" t="s">
        <v>7356</v>
      </c>
    </row>
    <row r="2165" spans="1:6">
      <c r="A2165" s="211" t="s">
        <v>6750</v>
      </c>
      <c r="B2165" s="211">
        <v>7625</v>
      </c>
      <c r="C2165" s="211">
        <v>996</v>
      </c>
      <c r="D2165" s="211" t="s">
        <v>1255</v>
      </c>
      <c r="E2165" s="211" t="s">
        <v>10578</v>
      </c>
      <c r="F2165" s="211" t="s">
        <v>7258</v>
      </c>
    </row>
    <row r="2166" spans="1:6">
      <c r="A2166" s="211" t="s">
        <v>4536</v>
      </c>
      <c r="B2166" s="211">
        <v>6578</v>
      </c>
      <c r="C2166" s="211">
        <v>923</v>
      </c>
      <c r="D2166" s="211" t="s">
        <v>1255</v>
      </c>
      <c r="E2166" s="211" t="s">
        <v>10385</v>
      </c>
      <c r="F2166" s="211" t="s">
        <v>7661</v>
      </c>
    </row>
    <row r="2167" spans="1:6">
      <c r="A2167" s="211" t="s">
        <v>7839</v>
      </c>
      <c r="B2167" s="211">
        <v>4337</v>
      </c>
      <c r="C2167" s="211" t="s">
        <v>10385</v>
      </c>
      <c r="D2167" s="211" t="s">
        <v>1255</v>
      </c>
      <c r="E2167" s="211" t="s">
        <v>10385</v>
      </c>
      <c r="F2167" s="211" t="s">
        <v>7171</v>
      </c>
    </row>
    <row r="2168" spans="1:6">
      <c r="A2168" s="211" t="s">
        <v>384</v>
      </c>
      <c r="B2168" s="211">
        <v>3320</v>
      </c>
      <c r="C2168" s="211">
        <v>996</v>
      </c>
      <c r="D2168" s="211" t="s">
        <v>1255</v>
      </c>
      <c r="E2168" s="211" t="s">
        <v>10385</v>
      </c>
      <c r="F2168" s="211" t="s">
        <v>7195</v>
      </c>
    </row>
    <row r="2169" spans="1:6">
      <c r="A2169" s="211" t="s">
        <v>385</v>
      </c>
      <c r="B2169" s="211">
        <v>5959</v>
      </c>
      <c r="C2169" s="211">
        <v>995</v>
      </c>
      <c r="D2169" s="211" t="s">
        <v>1255</v>
      </c>
      <c r="E2169" s="211" t="s">
        <v>10385</v>
      </c>
      <c r="F2169" s="211" t="s">
        <v>7171</v>
      </c>
    </row>
    <row r="2170" spans="1:6">
      <c r="A2170" s="211" t="s">
        <v>5038</v>
      </c>
      <c r="B2170" s="211">
        <v>6943</v>
      </c>
      <c r="C2170" s="211">
        <v>1081</v>
      </c>
      <c r="D2170" s="211" t="s">
        <v>1255</v>
      </c>
      <c r="E2170" s="211" t="s">
        <v>10385</v>
      </c>
      <c r="F2170" s="211" t="s">
        <v>7414</v>
      </c>
    </row>
    <row r="2171" spans="1:6">
      <c r="A2171" s="211" t="s">
        <v>6751</v>
      </c>
      <c r="B2171" s="211">
        <v>7691</v>
      </c>
      <c r="C2171" s="211">
        <v>795</v>
      </c>
      <c r="D2171" s="211" t="s">
        <v>1255</v>
      </c>
      <c r="E2171" s="211" t="s">
        <v>10385</v>
      </c>
      <c r="F2171" s="211" t="s">
        <v>7656</v>
      </c>
    </row>
    <row r="2172" spans="1:6">
      <c r="A2172" s="211" t="s">
        <v>386</v>
      </c>
      <c r="B2172" s="211">
        <v>5270</v>
      </c>
      <c r="C2172" s="211">
        <v>1716</v>
      </c>
      <c r="D2172" s="211" t="s">
        <v>1255</v>
      </c>
      <c r="E2172" s="211" t="s">
        <v>10385</v>
      </c>
      <c r="F2172" s="211" t="s">
        <v>7240</v>
      </c>
    </row>
    <row r="2173" spans="1:6">
      <c r="A2173" s="211" t="s">
        <v>5736</v>
      </c>
      <c r="B2173" s="211">
        <v>7332</v>
      </c>
      <c r="C2173" s="211">
        <v>1812</v>
      </c>
      <c r="D2173" s="211" t="s">
        <v>1255</v>
      </c>
      <c r="E2173" s="211" t="s">
        <v>6752</v>
      </c>
      <c r="F2173" s="211" t="s">
        <v>7349</v>
      </c>
    </row>
    <row r="2174" spans="1:6">
      <c r="A2174" s="211" t="s">
        <v>5290</v>
      </c>
      <c r="B2174" s="211">
        <v>6827</v>
      </c>
      <c r="C2174" s="211">
        <v>1202</v>
      </c>
      <c r="D2174" s="211" t="s">
        <v>1255</v>
      </c>
      <c r="E2174" s="211" t="s">
        <v>10385</v>
      </c>
      <c r="F2174" s="211" t="s">
        <v>7224</v>
      </c>
    </row>
    <row r="2175" spans="1:6">
      <c r="A2175" s="211" t="s">
        <v>6753</v>
      </c>
      <c r="B2175" s="211">
        <v>7617</v>
      </c>
      <c r="C2175" s="211">
        <v>970</v>
      </c>
      <c r="D2175" s="211" t="s">
        <v>1255</v>
      </c>
      <c r="E2175" s="211" t="s">
        <v>6754</v>
      </c>
      <c r="F2175" s="211" t="s">
        <v>7455</v>
      </c>
    </row>
    <row r="2176" spans="1:6">
      <c r="A2176" s="211" t="s">
        <v>5039</v>
      </c>
      <c r="B2176" s="211">
        <v>6731</v>
      </c>
      <c r="C2176" s="211">
        <v>801</v>
      </c>
      <c r="D2176" s="211" t="s">
        <v>1255</v>
      </c>
      <c r="E2176" s="211" t="s">
        <v>10385</v>
      </c>
      <c r="F2176" s="211" t="s">
        <v>7256</v>
      </c>
    </row>
    <row r="2177" spans="1:6">
      <c r="A2177" s="211" t="s">
        <v>387</v>
      </c>
      <c r="B2177" s="211">
        <v>5991</v>
      </c>
      <c r="C2177" s="211">
        <v>835</v>
      </c>
      <c r="D2177" s="211" t="s">
        <v>1255</v>
      </c>
      <c r="E2177" s="211" t="s">
        <v>10385</v>
      </c>
      <c r="F2177" s="211" t="s">
        <v>7298</v>
      </c>
    </row>
    <row r="2178" spans="1:6">
      <c r="A2178" s="211" t="s">
        <v>8914</v>
      </c>
      <c r="B2178" s="211">
        <v>5925</v>
      </c>
      <c r="C2178" s="211">
        <v>1529</v>
      </c>
      <c r="D2178" s="211" t="s">
        <v>1255</v>
      </c>
      <c r="E2178" s="211" t="s">
        <v>10385</v>
      </c>
      <c r="F2178" s="211" t="s">
        <v>7232</v>
      </c>
    </row>
    <row r="2179" spans="1:6">
      <c r="A2179" s="211" t="s">
        <v>8915</v>
      </c>
      <c r="B2179" s="211">
        <v>3252</v>
      </c>
      <c r="C2179" s="211">
        <v>1529</v>
      </c>
      <c r="D2179" s="211" t="s">
        <v>1255</v>
      </c>
      <c r="E2179" s="211" t="s">
        <v>10385</v>
      </c>
      <c r="F2179" s="211" t="s">
        <v>7342</v>
      </c>
    </row>
    <row r="2180" spans="1:6">
      <c r="A2180" s="211" t="s">
        <v>10579</v>
      </c>
      <c r="B2180" s="211">
        <v>8707</v>
      </c>
      <c r="C2180" s="211">
        <v>932</v>
      </c>
      <c r="D2180" s="211" t="s">
        <v>1255</v>
      </c>
      <c r="E2180" s="211" t="s">
        <v>10580</v>
      </c>
      <c r="F2180" s="211" t="s">
        <v>7446</v>
      </c>
    </row>
    <row r="2181" spans="1:6">
      <c r="A2181" s="211" t="s">
        <v>10348</v>
      </c>
      <c r="B2181" s="211">
        <v>1260</v>
      </c>
      <c r="C2181" s="211" t="s">
        <v>10385</v>
      </c>
      <c r="D2181" s="211" t="s">
        <v>1255</v>
      </c>
      <c r="E2181" s="211" t="s">
        <v>10385</v>
      </c>
      <c r="F2181" s="211" t="s">
        <v>7356</v>
      </c>
    </row>
    <row r="2182" spans="1:6">
      <c r="A2182" s="211" t="s">
        <v>388</v>
      </c>
      <c r="B2182" s="211">
        <v>5441</v>
      </c>
      <c r="C2182" s="211">
        <v>1090</v>
      </c>
      <c r="D2182" s="211" t="s">
        <v>1255</v>
      </c>
      <c r="E2182" s="211" t="s">
        <v>10385</v>
      </c>
      <c r="F2182" s="211" t="s">
        <v>7217</v>
      </c>
    </row>
    <row r="2183" spans="1:6">
      <c r="A2183" s="211" t="s">
        <v>7840</v>
      </c>
      <c r="B2183" s="211">
        <v>3163</v>
      </c>
      <c r="C2183" s="211" t="s">
        <v>10385</v>
      </c>
      <c r="D2183" s="211" t="s">
        <v>1255</v>
      </c>
      <c r="E2183" s="211" t="s">
        <v>10385</v>
      </c>
      <c r="F2183" s="211" t="s">
        <v>7534</v>
      </c>
    </row>
    <row r="2184" spans="1:6">
      <c r="A2184" s="211" t="s">
        <v>389</v>
      </c>
      <c r="B2184" s="211">
        <v>2654</v>
      </c>
      <c r="C2184" s="211">
        <v>1364</v>
      </c>
      <c r="D2184" s="211" t="s">
        <v>1255</v>
      </c>
      <c r="E2184" s="211" t="s">
        <v>10385</v>
      </c>
      <c r="F2184" s="211" t="s">
        <v>7248</v>
      </c>
    </row>
    <row r="2185" spans="1:6">
      <c r="A2185" s="211" t="s">
        <v>390</v>
      </c>
      <c r="B2185" s="211">
        <v>2158</v>
      </c>
      <c r="C2185" s="211">
        <v>1072</v>
      </c>
      <c r="D2185" s="211" t="s">
        <v>1255</v>
      </c>
      <c r="E2185" s="211" t="s">
        <v>10385</v>
      </c>
      <c r="F2185" s="211" t="s">
        <v>7446</v>
      </c>
    </row>
    <row r="2186" spans="1:6">
      <c r="A2186" s="211" t="s">
        <v>391</v>
      </c>
      <c r="B2186" s="211">
        <v>5565</v>
      </c>
      <c r="C2186" s="211">
        <v>824</v>
      </c>
      <c r="D2186" s="211" t="s">
        <v>1255</v>
      </c>
      <c r="E2186" s="211" t="s">
        <v>10385</v>
      </c>
      <c r="F2186" s="211" t="s">
        <v>7205</v>
      </c>
    </row>
    <row r="2187" spans="1:6">
      <c r="A2187" s="211" t="s">
        <v>392</v>
      </c>
      <c r="B2187" s="211">
        <v>3871</v>
      </c>
      <c r="C2187" s="211">
        <v>769</v>
      </c>
      <c r="D2187" s="211" t="s">
        <v>1255</v>
      </c>
      <c r="E2187" s="211" t="s">
        <v>10385</v>
      </c>
      <c r="F2187" s="211" t="s">
        <v>7257</v>
      </c>
    </row>
    <row r="2188" spans="1:6">
      <c r="A2188" s="211" t="s">
        <v>393</v>
      </c>
      <c r="B2188" s="211">
        <v>3984</v>
      </c>
      <c r="C2188" s="211">
        <v>1081</v>
      </c>
      <c r="D2188" s="211" t="s">
        <v>1255</v>
      </c>
      <c r="E2188" s="211" t="s">
        <v>10385</v>
      </c>
      <c r="F2188" s="211" t="s">
        <v>7235</v>
      </c>
    </row>
    <row r="2189" spans="1:6">
      <c r="A2189" s="211" t="s">
        <v>394</v>
      </c>
      <c r="B2189" s="211">
        <v>3748</v>
      </c>
      <c r="C2189" s="211">
        <v>924</v>
      </c>
      <c r="D2189" s="211" t="s">
        <v>1255</v>
      </c>
      <c r="E2189" s="211" t="s">
        <v>10385</v>
      </c>
      <c r="F2189" s="211" t="s">
        <v>7217</v>
      </c>
    </row>
    <row r="2190" spans="1:6">
      <c r="A2190" s="211" t="s">
        <v>395</v>
      </c>
      <c r="B2190" s="211">
        <v>751</v>
      </c>
      <c r="C2190" s="211">
        <v>1347</v>
      </c>
      <c r="D2190" s="211" t="s">
        <v>1255</v>
      </c>
      <c r="E2190" s="211" t="s">
        <v>10385</v>
      </c>
      <c r="F2190" s="211" t="s">
        <v>7318</v>
      </c>
    </row>
    <row r="2191" spans="1:6">
      <c r="A2191" s="211" t="s">
        <v>7841</v>
      </c>
      <c r="B2191" s="211">
        <v>6637</v>
      </c>
      <c r="C2191" s="211">
        <v>694</v>
      </c>
      <c r="D2191" s="211" t="s">
        <v>1255</v>
      </c>
      <c r="E2191" s="211" t="s">
        <v>10385</v>
      </c>
      <c r="F2191" s="211" t="s">
        <v>7386</v>
      </c>
    </row>
    <row r="2192" spans="1:6">
      <c r="A2192" s="211" t="s">
        <v>396</v>
      </c>
      <c r="B2192" s="211">
        <v>1035</v>
      </c>
      <c r="C2192" s="211">
        <v>800</v>
      </c>
      <c r="D2192" s="211" t="s">
        <v>1255</v>
      </c>
      <c r="E2192" s="211" t="s">
        <v>10385</v>
      </c>
      <c r="F2192" s="211" t="s">
        <v>7243</v>
      </c>
    </row>
    <row r="2193" spans="1:6">
      <c r="A2193" s="211" t="s">
        <v>397</v>
      </c>
      <c r="B2193" s="211">
        <v>2115</v>
      </c>
      <c r="C2193" s="211">
        <v>1039</v>
      </c>
      <c r="D2193" s="211" t="s">
        <v>1255</v>
      </c>
      <c r="E2193" s="211" t="s">
        <v>10385</v>
      </c>
      <c r="F2193" s="211" t="s">
        <v>7162</v>
      </c>
    </row>
    <row r="2194" spans="1:6">
      <c r="A2194" s="211" t="s">
        <v>5737</v>
      </c>
      <c r="B2194" s="211">
        <v>7539</v>
      </c>
      <c r="C2194" s="211">
        <v>1276</v>
      </c>
      <c r="D2194" s="211" t="s">
        <v>1255</v>
      </c>
      <c r="E2194" s="211" t="s">
        <v>5738</v>
      </c>
      <c r="F2194" s="211" t="s">
        <v>7243</v>
      </c>
    </row>
    <row r="2195" spans="1:6">
      <c r="A2195" s="211" t="s">
        <v>398</v>
      </c>
      <c r="B2195" s="211">
        <v>2818</v>
      </c>
      <c r="C2195" s="211">
        <v>856</v>
      </c>
      <c r="D2195" s="211" t="s">
        <v>1255</v>
      </c>
      <c r="E2195" s="211" t="s">
        <v>10385</v>
      </c>
      <c r="F2195" s="211" t="s">
        <v>7237</v>
      </c>
    </row>
    <row r="2196" spans="1:6">
      <c r="A2196" s="211" t="s">
        <v>7842</v>
      </c>
      <c r="B2196" s="211">
        <v>35</v>
      </c>
      <c r="C2196" s="211" t="s">
        <v>10385</v>
      </c>
      <c r="D2196" s="211" t="s">
        <v>1255</v>
      </c>
      <c r="E2196" s="211" t="s">
        <v>10385</v>
      </c>
      <c r="F2196" s="211" t="s">
        <v>7199</v>
      </c>
    </row>
    <row r="2197" spans="1:6">
      <c r="A2197" s="211" t="s">
        <v>399</v>
      </c>
      <c r="B2197" s="211">
        <v>3384</v>
      </c>
      <c r="C2197" s="211">
        <v>820</v>
      </c>
      <c r="D2197" s="211" t="s">
        <v>1255</v>
      </c>
      <c r="E2197" s="211" t="s">
        <v>10385</v>
      </c>
      <c r="F2197" s="211" t="s">
        <v>7420</v>
      </c>
    </row>
    <row r="2198" spans="1:6">
      <c r="A2198" s="211" t="s">
        <v>400</v>
      </c>
      <c r="B2198" s="211">
        <v>3723</v>
      </c>
      <c r="C2198" s="211">
        <v>825</v>
      </c>
      <c r="D2198" s="211" t="s">
        <v>1255</v>
      </c>
      <c r="E2198" s="211" t="s">
        <v>10385</v>
      </c>
      <c r="F2198" s="211" t="s">
        <v>7192</v>
      </c>
    </row>
    <row r="2199" spans="1:6">
      <c r="A2199" s="211" t="s">
        <v>10581</v>
      </c>
      <c r="B2199" s="211">
        <v>8673</v>
      </c>
      <c r="C2199" s="211">
        <v>604</v>
      </c>
      <c r="D2199" s="211" t="s">
        <v>1255</v>
      </c>
      <c r="E2199" s="211" t="s">
        <v>10582</v>
      </c>
      <c r="F2199" s="211" t="s">
        <v>7501</v>
      </c>
    </row>
    <row r="2200" spans="1:6">
      <c r="A2200" s="211" t="s">
        <v>9360</v>
      </c>
      <c r="B2200" s="211">
        <v>8449</v>
      </c>
      <c r="C2200" s="211">
        <v>1632</v>
      </c>
      <c r="D2200" s="211" t="s">
        <v>1255</v>
      </c>
      <c r="E2200" s="211" t="s">
        <v>10583</v>
      </c>
      <c r="F2200" s="211" t="s">
        <v>7382</v>
      </c>
    </row>
    <row r="2201" spans="1:6">
      <c r="A2201" s="211" t="s">
        <v>401</v>
      </c>
      <c r="B2201" s="211">
        <v>1965</v>
      </c>
      <c r="C2201" s="211">
        <v>747</v>
      </c>
      <c r="D2201" s="211" t="s">
        <v>1255</v>
      </c>
      <c r="E2201" s="211" t="s">
        <v>10385</v>
      </c>
      <c r="F2201" s="211" t="s">
        <v>7843</v>
      </c>
    </row>
    <row r="2202" spans="1:6">
      <c r="A2202" s="211" t="s">
        <v>402</v>
      </c>
      <c r="B2202" s="211">
        <v>2113</v>
      </c>
      <c r="C2202" s="211">
        <v>1272</v>
      </c>
      <c r="D2202" s="211" t="s">
        <v>1255</v>
      </c>
      <c r="E2202" s="211" t="s">
        <v>10385</v>
      </c>
      <c r="F2202" s="211" t="s">
        <v>7196</v>
      </c>
    </row>
    <row r="2203" spans="1:6">
      <c r="A2203" s="211" t="s">
        <v>7844</v>
      </c>
      <c r="B2203" s="211">
        <v>527</v>
      </c>
      <c r="C2203" s="211" t="s">
        <v>10385</v>
      </c>
      <c r="D2203" s="211" t="s">
        <v>1255</v>
      </c>
      <c r="E2203" s="211" t="s">
        <v>10385</v>
      </c>
      <c r="F2203" s="211" t="s">
        <v>7356</v>
      </c>
    </row>
    <row r="2204" spans="1:6">
      <c r="A2204" s="211" t="s">
        <v>403</v>
      </c>
      <c r="B2204" s="211">
        <v>1880</v>
      </c>
      <c r="C2204" s="211">
        <v>1789</v>
      </c>
      <c r="D2204" s="211" t="s">
        <v>1255</v>
      </c>
      <c r="E2204" s="211" t="s">
        <v>10385</v>
      </c>
      <c r="F2204" s="211" t="s">
        <v>7327</v>
      </c>
    </row>
    <row r="2205" spans="1:6">
      <c r="A2205" s="211" t="s">
        <v>404</v>
      </c>
      <c r="B2205" s="211">
        <v>2238</v>
      </c>
      <c r="C2205" s="211">
        <v>634</v>
      </c>
      <c r="D2205" s="211" t="s">
        <v>1255</v>
      </c>
      <c r="E2205" s="211" t="s">
        <v>10385</v>
      </c>
      <c r="F2205" s="211" t="s">
        <v>7175</v>
      </c>
    </row>
    <row r="2206" spans="1:6">
      <c r="A2206" s="211" t="s">
        <v>405</v>
      </c>
      <c r="B2206" s="211">
        <v>2650</v>
      </c>
      <c r="C2206" s="211">
        <v>771</v>
      </c>
      <c r="D2206" s="211" t="s">
        <v>1117</v>
      </c>
      <c r="E2206" s="211" t="s">
        <v>10385</v>
      </c>
      <c r="F2206" s="211" t="s">
        <v>7203</v>
      </c>
    </row>
    <row r="2207" spans="1:6">
      <c r="A2207" s="211" t="s">
        <v>406</v>
      </c>
      <c r="B2207" s="211">
        <v>2715</v>
      </c>
      <c r="C2207" s="211">
        <v>1006</v>
      </c>
      <c r="D2207" s="211" t="s">
        <v>1255</v>
      </c>
      <c r="E2207" s="211" t="s">
        <v>10385</v>
      </c>
      <c r="F2207" s="211" t="s">
        <v>7365</v>
      </c>
    </row>
    <row r="2208" spans="1:6">
      <c r="A2208" s="211" t="s">
        <v>7845</v>
      </c>
      <c r="B2208" s="211">
        <v>3242</v>
      </c>
      <c r="C2208" s="211">
        <v>880</v>
      </c>
      <c r="D2208" s="211" t="s">
        <v>1255</v>
      </c>
      <c r="E2208" s="211" t="s">
        <v>10385</v>
      </c>
      <c r="F2208" s="211" t="s">
        <v>7237</v>
      </c>
    </row>
    <row r="2209" spans="1:6">
      <c r="A2209" s="211" t="s">
        <v>9361</v>
      </c>
      <c r="B2209" s="211">
        <v>8233</v>
      </c>
      <c r="C2209" s="211">
        <v>1611</v>
      </c>
      <c r="D2209" s="211" t="s">
        <v>1255</v>
      </c>
      <c r="E2209" s="211" t="s">
        <v>10584</v>
      </c>
      <c r="F2209" s="211" t="s">
        <v>7384</v>
      </c>
    </row>
    <row r="2210" spans="1:6">
      <c r="A2210" s="211" t="s">
        <v>407</v>
      </c>
      <c r="B2210" s="211">
        <v>431</v>
      </c>
      <c r="C2210" s="211">
        <v>2022</v>
      </c>
      <c r="D2210" s="211" t="s">
        <v>1255</v>
      </c>
      <c r="E2210" s="211" t="s">
        <v>10385</v>
      </c>
      <c r="F2210" s="211" t="s">
        <v>7269</v>
      </c>
    </row>
    <row r="2211" spans="1:6">
      <c r="A2211" s="211" t="s">
        <v>7846</v>
      </c>
      <c r="B2211" s="211">
        <v>4073</v>
      </c>
      <c r="C2211" s="211">
        <v>1196</v>
      </c>
      <c r="D2211" s="211" t="s">
        <v>1255</v>
      </c>
      <c r="E2211" s="211" t="s">
        <v>10385</v>
      </c>
      <c r="F2211" s="211" t="s">
        <v>7249</v>
      </c>
    </row>
    <row r="2212" spans="1:6">
      <c r="A2212" s="211" t="s">
        <v>408</v>
      </c>
      <c r="B2212" s="211">
        <v>5162</v>
      </c>
      <c r="C2212" s="211">
        <v>1336</v>
      </c>
      <c r="D2212" s="211" t="s">
        <v>1117</v>
      </c>
      <c r="E2212" s="211" t="s">
        <v>10385</v>
      </c>
      <c r="F2212" s="211" t="s">
        <v>7250</v>
      </c>
    </row>
    <row r="2213" spans="1:6">
      <c r="A2213" s="211" t="s">
        <v>5040</v>
      </c>
      <c r="B2213" s="211">
        <v>3546</v>
      </c>
      <c r="C2213" s="211">
        <v>1255</v>
      </c>
      <c r="D2213" s="211" t="s">
        <v>1255</v>
      </c>
      <c r="E2213" s="211" t="s">
        <v>10385</v>
      </c>
      <c r="F2213" s="211" t="s">
        <v>7212</v>
      </c>
    </row>
    <row r="2214" spans="1:6">
      <c r="A2214" s="211" t="s">
        <v>5041</v>
      </c>
      <c r="B2214" s="211">
        <v>1717</v>
      </c>
      <c r="C2214" s="211">
        <v>1425</v>
      </c>
      <c r="D2214" s="211" t="s">
        <v>1255</v>
      </c>
      <c r="E2214" s="211" t="s">
        <v>5042</v>
      </c>
      <c r="F2214" s="211" t="s">
        <v>7354</v>
      </c>
    </row>
    <row r="2215" spans="1:6">
      <c r="A2215" s="211" t="s">
        <v>5739</v>
      </c>
      <c r="B2215" s="211">
        <v>7477</v>
      </c>
      <c r="C2215" s="211">
        <v>1901</v>
      </c>
      <c r="D2215" s="211" t="s">
        <v>1117</v>
      </c>
      <c r="E2215" s="211" t="s">
        <v>5740</v>
      </c>
      <c r="F2215" s="211" t="s">
        <v>7510</v>
      </c>
    </row>
    <row r="2216" spans="1:6">
      <c r="A2216" s="211" t="s">
        <v>9362</v>
      </c>
      <c r="B2216" s="211">
        <v>8443</v>
      </c>
      <c r="C2216" s="211" t="s">
        <v>10385</v>
      </c>
      <c r="D2216" s="211" t="s">
        <v>1117</v>
      </c>
      <c r="E2216" s="211" t="s">
        <v>9363</v>
      </c>
      <c r="F2216" s="211" t="s">
        <v>7272</v>
      </c>
    </row>
    <row r="2217" spans="1:6">
      <c r="A2217" s="211" t="s">
        <v>10585</v>
      </c>
      <c r="B2217" s="211">
        <v>8663</v>
      </c>
      <c r="C2217" s="211">
        <v>1192</v>
      </c>
      <c r="D2217" s="211" t="s">
        <v>1255</v>
      </c>
      <c r="E2217" s="211" t="s">
        <v>10586</v>
      </c>
      <c r="F2217" s="211" t="s">
        <v>10445</v>
      </c>
    </row>
    <row r="2218" spans="1:6">
      <c r="A2218" s="211" t="s">
        <v>9364</v>
      </c>
      <c r="B2218" s="211">
        <v>8295</v>
      </c>
      <c r="C2218" s="211">
        <v>1800</v>
      </c>
      <c r="D2218" s="211" t="s">
        <v>1255</v>
      </c>
      <c r="E2218" s="211" t="s">
        <v>10385</v>
      </c>
      <c r="F2218" s="211" t="s">
        <v>7380</v>
      </c>
    </row>
    <row r="2219" spans="1:6">
      <c r="A2219" s="211" t="s">
        <v>9365</v>
      </c>
      <c r="B2219" s="211">
        <v>7942</v>
      </c>
      <c r="C2219" s="211">
        <v>1241</v>
      </c>
      <c r="D2219" s="211" t="s">
        <v>1255</v>
      </c>
      <c r="E2219" s="211" t="s">
        <v>9366</v>
      </c>
      <c r="F2219" s="211" t="s">
        <v>9065</v>
      </c>
    </row>
    <row r="2220" spans="1:6">
      <c r="A2220" s="211" t="s">
        <v>9367</v>
      </c>
      <c r="B2220" s="211">
        <v>8445</v>
      </c>
      <c r="C2220" s="211">
        <v>1095</v>
      </c>
      <c r="D2220" s="211" t="s">
        <v>1117</v>
      </c>
      <c r="E2220" s="211" t="s">
        <v>9368</v>
      </c>
      <c r="F2220" s="211" t="s">
        <v>7205</v>
      </c>
    </row>
    <row r="2221" spans="1:6">
      <c r="A2221" s="211" t="s">
        <v>409</v>
      </c>
      <c r="B2221" s="211">
        <v>1385</v>
      </c>
      <c r="C2221" s="211">
        <v>1327</v>
      </c>
      <c r="D2221" s="211" t="s">
        <v>1255</v>
      </c>
      <c r="E2221" s="211" t="s">
        <v>10385</v>
      </c>
      <c r="F2221" s="211" t="s">
        <v>7610</v>
      </c>
    </row>
    <row r="2222" spans="1:6">
      <c r="A2222" s="211" t="s">
        <v>4493</v>
      </c>
      <c r="B2222" s="211">
        <v>6642</v>
      </c>
      <c r="C2222" s="211">
        <v>1288</v>
      </c>
      <c r="D2222" s="211" t="s">
        <v>1117</v>
      </c>
      <c r="E2222" s="211" t="s">
        <v>10385</v>
      </c>
      <c r="F2222" s="211" t="s">
        <v>7240</v>
      </c>
    </row>
    <row r="2223" spans="1:6">
      <c r="A2223" s="211" t="s">
        <v>9369</v>
      </c>
      <c r="B2223" s="211">
        <v>8041</v>
      </c>
      <c r="C2223" s="211">
        <v>979</v>
      </c>
      <c r="D2223" s="211" t="s">
        <v>1117</v>
      </c>
      <c r="E2223" s="211" t="s">
        <v>10385</v>
      </c>
      <c r="F2223" s="211" t="s">
        <v>7238</v>
      </c>
    </row>
    <row r="2224" spans="1:6">
      <c r="A2224" s="211" t="s">
        <v>410</v>
      </c>
      <c r="B2224" s="211">
        <v>1273</v>
      </c>
      <c r="C2224" s="211">
        <v>1412</v>
      </c>
      <c r="D2224" s="211" t="s">
        <v>1255</v>
      </c>
      <c r="E2224" s="211" t="s">
        <v>10385</v>
      </c>
      <c r="F2224" s="211" t="s">
        <v>7192</v>
      </c>
    </row>
    <row r="2225" spans="1:6">
      <c r="A2225" s="211" t="s">
        <v>5741</v>
      </c>
      <c r="B2225" s="211">
        <v>7564</v>
      </c>
      <c r="C2225" s="211">
        <v>1352</v>
      </c>
      <c r="D2225" s="211" t="s">
        <v>1255</v>
      </c>
      <c r="E2225" s="211" t="s">
        <v>6755</v>
      </c>
      <c r="F2225" s="211" t="s">
        <v>7283</v>
      </c>
    </row>
    <row r="2226" spans="1:6">
      <c r="A2226" s="211" t="s">
        <v>5043</v>
      </c>
      <c r="B2226" s="211">
        <v>6732</v>
      </c>
      <c r="C2226" s="211">
        <v>814</v>
      </c>
      <c r="D2226" s="211" t="s">
        <v>1255</v>
      </c>
      <c r="E2226" s="211" t="s">
        <v>10385</v>
      </c>
      <c r="F2226" s="211" t="s">
        <v>7256</v>
      </c>
    </row>
    <row r="2227" spans="1:6">
      <c r="A2227" s="211" t="s">
        <v>6756</v>
      </c>
      <c r="B2227" s="211">
        <v>7803</v>
      </c>
      <c r="C2227" s="211">
        <v>2109</v>
      </c>
      <c r="D2227" s="211" t="s">
        <v>1255</v>
      </c>
      <c r="E2227" s="211" t="s">
        <v>6757</v>
      </c>
      <c r="F2227" s="211" t="s">
        <v>7507</v>
      </c>
    </row>
    <row r="2228" spans="1:6">
      <c r="A2228" s="211" t="s">
        <v>411</v>
      </c>
      <c r="B2228" s="211">
        <v>1421</v>
      </c>
      <c r="C2228" s="211">
        <v>1512</v>
      </c>
      <c r="D2228" s="211" t="s">
        <v>1255</v>
      </c>
      <c r="E2228" s="211" t="s">
        <v>10385</v>
      </c>
      <c r="F2228" s="211" t="s">
        <v>7162</v>
      </c>
    </row>
    <row r="2229" spans="1:6">
      <c r="A2229" s="211" t="s">
        <v>5742</v>
      </c>
      <c r="B2229" s="211">
        <v>7449</v>
      </c>
      <c r="C2229" s="211">
        <v>1026</v>
      </c>
      <c r="D2229" s="211" t="s">
        <v>1255</v>
      </c>
      <c r="E2229" s="211" t="s">
        <v>10385</v>
      </c>
      <c r="F2229" s="211" t="s">
        <v>7228</v>
      </c>
    </row>
    <row r="2230" spans="1:6">
      <c r="A2230" s="211" t="s">
        <v>7847</v>
      </c>
      <c r="B2230" s="211">
        <v>75</v>
      </c>
      <c r="C2230" s="211" t="s">
        <v>10385</v>
      </c>
      <c r="D2230" s="211" t="s">
        <v>1255</v>
      </c>
      <c r="E2230" s="211" t="s">
        <v>10385</v>
      </c>
      <c r="F2230" s="211" t="s">
        <v>7223</v>
      </c>
    </row>
    <row r="2231" spans="1:6">
      <c r="A2231" s="211" t="s">
        <v>5320</v>
      </c>
      <c r="B2231" s="211">
        <v>6696</v>
      </c>
      <c r="C2231" s="211">
        <v>954</v>
      </c>
      <c r="D2231" s="211" t="s">
        <v>1255</v>
      </c>
      <c r="E2231" s="211" t="s">
        <v>5743</v>
      </c>
      <c r="F2231" s="211" t="s">
        <v>7536</v>
      </c>
    </row>
    <row r="2232" spans="1:6">
      <c r="A2232" s="211" t="s">
        <v>4890</v>
      </c>
      <c r="B2232" s="211">
        <v>4347</v>
      </c>
      <c r="C2232" s="211">
        <v>1198</v>
      </c>
      <c r="D2232" s="211" t="s">
        <v>1117</v>
      </c>
      <c r="E2232" s="211" t="s">
        <v>3090</v>
      </c>
      <c r="F2232" s="211" t="s">
        <v>7459</v>
      </c>
    </row>
    <row r="2233" spans="1:6">
      <c r="A2233" s="211" t="s">
        <v>6758</v>
      </c>
      <c r="B2233" s="211">
        <v>7135</v>
      </c>
      <c r="C2233" s="211">
        <v>1366</v>
      </c>
      <c r="D2233" s="211" t="s">
        <v>1255</v>
      </c>
      <c r="E2233" s="211" t="s">
        <v>5660</v>
      </c>
      <c r="F2233" s="211" t="s">
        <v>7213</v>
      </c>
    </row>
    <row r="2234" spans="1:6">
      <c r="A2234" s="211" t="s">
        <v>7848</v>
      </c>
      <c r="B2234" s="211">
        <v>1128</v>
      </c>
      <c r="C2234" s="211" t="s">
        <v>10385</v>
      </c>
      <c r="D2234" s="211" t="s">
        <v>1255</v>
      </c>
      <c r="E2234" s="211" t="s">
        <v>10385</v>
      </c>
      <c r="F2234" s="211" t="s">
        <v>7242</v>
      </c>
    </row>
    <row r="2235" spans="1:6">
      <c r="A2235" s="211" t="s">
        <v>10587</v>
      </c>
      <c r="B2235" s="211">
        <v>8703</v>
      </c>
      <c r="C2235" s="211">
        <v>897</v>
      </c>
      <c r="D2235" s="211" t="s">
        <v>1255</v>
      </c>
      <c r="E2235" s="211" t="s">
        <v>10588</v>
      </c>
      <c r="F2235" s="211" t="s">
        <v>7386</v>
      </c>
    </row>
    <row r="2236" spans="1:6">
      <c r="A2236" s="211" t="s">
        <v>412</v>
      </c>
      <c r="B2236" s="211">
        <v>299</v>
      </c>
      <c r="C2236" s="211">
        <v>1689</v>
      </c>
      <c r="D2236" s="211" t="s">
        <v>1255</v>
      </c>
      <c r="E2236" s="211" t="s">
        <v>10385</v>
      </c>
      <c r="F2236" s="211" t="s">
        <v>7243</v>
      </c>
    </row>
    <row r="2237" spans="1:6">
      <c r="A2237" s="211" t="s">
        <v>413</v>
      </c>
      <c r="B2237" s="211">
        <v>3023</v>
      </c>
      <c r="C2237" s="211">
        <v>1093</v>
      </c>
      <c r="D2237" s="211" t="s">
        <v>1255</v>
      </c>
      <c r="E2237" s="211" t="s">
        <v>10385</v>
      </c>
      <c r="F2237" s="211" t="s">
        <v>7162</v>
      </c>
    </row>
    <row r="2238" spans="1:6">
      <c r="A2238" s="211" t="s">
        <v>5744</v>
      </c>
      <c r="B2238" s="211">
        <v>3530</v>
      </c>
      <c r="C2238" s="211">
        <v>833</v>
      </c>
      <c r="D2238" s="211" t="s">
        <v>1117</v>
      </c>
      <c r="E2238" s="211" t="s">
        <v>10385</v>
      </c>
      <c r="F2238" s="211" t="s">
        <v>7199</v>
      </c>
    </row>
    <row r="2239" spans="1:6">
      <c r="A2239" s="211" t="s">
        <v>414</v>
      </c>
      <c r="B2239" s="211">
        <v>5439</v>
      </c>
      <c r="C2239" s="211">
        <v>890</v>
      </c>
      <c r="D2239" s="211" t="s">
        <v>1255</v>
      </c>
      <c r="E2239" s="211" t="s">
        <v>10385</v>
      </c>
      <c r="F2239" s="211" t="s">
        <v>7213</v>
      </c>
    </row>
    <row r="2240" spans="1:6">
      <c r="A2240" s="211" t="s">
        <v>415</v>
      </c>
      <c r="B2240" s="211">
        <v>2793</v>
      </c>
      <c r="C2240" s="211">
        <v>924</v>
      </c>
      <c r="D2240" s="211" t="s">
        <v>1117</v>
      </c>
      <c r="E2240" s="211" t="s">
        <v>10385</v>
      </c>
      <c r="F2240" s="211" t="s">
        <v>7438</v>
      </c>
    </row>
    <row r="2241" spans="1:6">
      <c r="A2241" s="211" t="s">
        <v>416</v>
      </c>
      <c r="B2241" s="211">
        <v>128</v>
      </c>
      <c r="C2241" s="211">
        <v>1965</v>
      </c>
      <c r="D2241" s="211" t="s">
        <v>1255</v>
      </c>
      <c r="E2241" s="211" t="s">
        <v>10385</v>
      </c>
      <c r="F2241" s="211" t="s">
        <v>7279</v>
      </c>
    </row>
    <row r="2242" spans="1:6">
      <c r="A2242" s="211" t="s">
        <v>417</v>
      </c>
      <c r="B2242" s="211">
        <v>2093</v>
      </c>
      <c r="C2242" s="211">
        <v>991</v>
      </c>
      <c r="D2242" s="211" t="s">
        <v>1117</v>
      </c>
      <c r="E2242" s="211" t="s">
        <v>10385</v>
      </c>
      <c r="F2242" s="211" t="s">
        <v>7239</v>
      </c>
    </row>
    <row r="2243" spans="1:6">
      <c r="A2243" s="211" t="s">
        <v>418</v>
      </c>
      <c r="B2243" s="211">
        <v>1165</v>
      </c>
      <c r="C2243" s="211">
        <v>790</v>
      </c>
      <c r="D2243" s="211" t="s">
        <v>1255</v>
      </c>
      <c r="E2243" s="211" t="s">
        <v>10385</v>
      </c>
      <c r="F2243" s="211" t="s">
        <v>7381</v>
      </c>
    </row>
    <row r="2244" spans="1:6">
      <c r="A2244" s="211" t="s">
        <v>10349</v>
      </c>
      <c r="B2244" s="211">
        <v>873</v>
      </c>
      <c r="C2244" s="211" t="s">
        <v>10385</v>
      </c>
      <c r="D2244" s="211" t="s">
        <v>1255</v>
      </c>
      <c r="E2244" s="211" t="s">
        <v>10385</v>
      </c>
      <c r="F2244" s="211" t="s">
        <v>7265</v>
      </c>
    </row>
    <row r="2245" spans="1:6">
      <c r="A2245" s="211" t="s">
        <v>419</v>
      </c>
      <c r="B2245" s="211">
        <v>2024</v>
      </c>
      <c r="C2245" s="211">
        <v>1081</v>
      </c>
      <c r="D2245" s="211" t="s">
        <v>1255</v>
      </c>
      <c r="E2245" s="211" t="s">
        <v>10385</v>
      </c>
      <c r="F2245" s="211" t="s">
        <v>7327</v>
      </c>
    </row>
    <row r="2246" spans="1:6">
      <c r="A2246" s="211" t="s">
        <v>6759</v>
      </c>
      <c r="B2246" s="211">
        <v>7681</v>
      </c>
      <c r="C2246" s="211">
        <v>539</v>
      </c>
      <c r="D2246" s="211" t="s">
        <v>1117</v>
      </c>
      <c r="E2246" s="211" t="s">
        <v>6760</v>
      </c>
      <c r="F2246" s="211" t="s">
        <v>7284</v>
      </c>
    </row>
    <row r="2247" spans="1:6">
      <c r="A2247" s="211" t="s">
        <v>5745</v>
      </c>
      <c r="B2247" s="211">
        <v>7572</v>
      </c>
      <c r="C2247" s="211">
        <v>374</v>
      </c>
      <c r="D2247" s="211" t="s">
        <v>1117</v>
      </c>
      <c r="E2247" s="211" t="s">
        <v>10385</v>
      </c>
      <c r="F2247" s="211" t="s">
        <v>7384</v>
      </c>
    </row>
    <row r="2248" spans="1:6">
      <c r="A2248" s="211" t="s">
        <v>420</v>
      </c>
      <c r="B2248" s="211">
        <v>2281</v>
      </c>
      <c r="C2248" s="211">
        <v>1777</v>
      </c>
      <c r="D2248" s="211" t="s">
        <v>1255</v>
      </c>
      <c r="E2248" s="211" t="s">
        <v>10385</v>
      </c>
      <c r="F2248" s="211" t="s">
        <v>7255</v>
      </c>
    </row>
    <row r="2249" spans="1:6">
      <c r="A2249" s="211" t="s">
        <v>421</v>
      </c>
      <c r="B2249" s="211">
        <v>2135</v>
      </c>
      <c r="C2249" s="211">
        <v>901</v>
      </c>
      <c r="D2249" s="211" t="s">
        <v>1117</v>
      </c>
      <c r="E2249" s="211" t="s">
        <v>10385</v>
      </c>
      <c r="F2249" s="211" t="s">
        <v>7171</v>
      </c>
    </row>
    <row r="2250" spans="1:6">
      <c r="A2250" s="211" t="s">
        <v>422</v>
      </c>
      <c r="B2250" s="211">
        <v>3799</v>
      </c>
      <c r="C2250" s="211">
        <v>1877</v>
      </c>
      <c r="D2250" s="211" t="s">
        <v>1117</v>
      </c>
      <c r="E2250" s="211" t="s">
        <v>10385</v>
      </c>
      <c r="F2250" s="211" t="s">
        <v>7242</v>
      </c>
    </row>
    <row r="2251" spans="1:6">
      <c r="A2251" s="211" t="s">
        <v>5746</v>
      </c>
      <c r="B2251" s="211">
        <v>7514</v>
      </c>
      <c r="C2251" s="211">
        <v>1088</v>
      </c>
      <c r="D2251" s="211" t="s">
        <v>1255</v>
      </c>
      <c r="E2251" s="211" t="s">
        <v>10385</v>
      </c>
      <c r="F2251" s="211" t="s">
        <v>7396</v>
      </c>
    </row>
    <row r="2252" spans="1:6">
      <c r="A2252" s="211" t="s">
        <v>423</v>
      </c>
      <c r="B2252" s="211">
        <v>2836</v>
      </c>
      <c r="C2252" s="211">
        <v>1024</v>
      </c>
      <c r="D2252" s="211" t="s">
        <v>1255</v>
      </c>
      <c r="E2252" s="211" t="s">
        <v>10385</v>
      </c>
      <c r="F2252" s="211" t="s">
        <v>7208</v>
      </c>
    </row>
    <row r="2253" spans="1:6">
      <c r="A2253" s="211" t="s">
        <v>424</v>
      </c>
      <c r="B2253" s="211">
        <v>2339</v>
      </c>
      <c r="C2253" s="211">
        <v>826</v>
      </c>
      <c r="D2253" s="211" t="s">
        <v>1255</v>
      </c>
      <c r="E2253" s="211" t="s">
        <v>10385</v>
      </c>
      <c r="F2253" s="211" t="s">
        <v>7692</v>
      </c>
    </row>
    <row r="2254" spans="1:6">
      <c r="A2254" s="211" t="s">
        <v>425</v>
      </c>
      <c r="B2254" s="211">
        <v>3021</v>
      </c>
      <c r="C2254" s="211">
        <v>1167</v>
      </c>
      <c r="D2254" s="211" t="s">
        <v>1117</v>
      </c>
      <c r="E2254" s="211" t="s">
        <v>10385</v>
      </c>
      <c r="F2254" s="211" t="s">
        <v>7192</v>
      </c>
    </row>
    <row r="2255" spans="1:6">
      <c r="A2255" s="211" t="s">
        <v>426</v>
      </c>
      <c r="B2255" s="211">
        <v>5616</v>
      </c>
      <c r="C2255" s="211">
        <v>1354</v>
      </c>
      <c r="D2255" s="211" t="s">
        <v>1255</v>
      </c>
      <c r="E2255" s="211" t="s">
        <v>5747</v>
      </c>
      <c r="F2255" s="211" t="s">
        <v>9044</v>
      </c>
    </row>
    <row r="2256" spans="1:6">
      <c r="A2256" s="211" t="s">
        <v>427</v>
      </c>
      <c r="B2256" s="211">
        <v>855</v>
      </c>
      <c r="C2256" s="211">
        <v>1637</v>
      </c>
      <c r="D2256" s="211" t="s">
        <v>1117</v>
      </c>
      <c r="E2256" s="211" t="s">
        <v>10385</v>
      </c>
      <c r="F2256" s="211" t="s">
        <v>7279</v>
      </c>
    </row>
    <row r="2257" spans="1:6">
      <c r="A2257" s="211" t="s">
        <v>428</v>
      </c>
      <c r="B2257" s="211">
        <v>4853</v>
      </c>
      <c r="C2257" s="211">
        <v>868</v>
      </c>
      <c r="D2257" s="211" t="s">
        <v>1117</v>
      </c>
      <c r="E2257" s="211" t="s">
        <v>10385</v>
      </c>
      <c r="F2257" s="211" t="s">
        <v>7240</v>
      </c>
    </row>
    <row r="2258" spans="1:6">
      <c r="A2258" s="211" t="s">
        <v>5291</v>
      </c>
      <c r="B2258" s="211">
        <v>3682</v>
      </c>
      <c r="C2258" s="211">
        <v>1029</v>
      </c>
      <c r="D2258" s="211" t="s">
        <v>1255</v>
      </c>
      <c r="E2258" s="211" t="s">
        <v>10385</v>
      </c>
      <c r="F2258" s="211" t="s">
        <v>7221</v>
      </c>
    </row>
    <row r="2259" spans="1:6">
      <c r="A2259" s="211" t="s">
        <v>429</v>
      </c>
      <c r="B2259" s="211">
        <v>938</v>
      </c>
      <c r="C2259" s="211">
        <v>1599</v>
      </c>
      <c r="D2259" s="211" t="s">
        <v>1255</v>
      </c>
      <c r="E2259" s="211" t="s">
        <v>10385</v>
      </c>
      <c r="F2259" s="211" t="s">
        <v>7592</v>
      </c>
    </row>
    <row r="2260" spans="1:6">
      <c r="A2260" s="211" t="s">
        <v>5044</v>
      </c>
      <c r="B2260" s="211">
        <v>6939</v>
      </c>
      <c r="C2260" s="211">
        <v>1278</v>
      </c>
      <c r="D2260" s="211" t="s">
        <v>1255</v>
      </c>
      <c r="E2260" s="211" t="s">
        <v>10385</v>
      </c>
      <c r="F2260" s="211" t="s">
        <v>7414</v>
      </c>
    </row>
    <row r="2261" spans="1:6">
      <c r="A2261" s="211" t="s">
        <v>5748</v>
      </c>
      <c r="B2261" s="211">
        <v>7328</v>
      </c>
      <c r="C2261" s="211">
        <v>742</v>
      </c>
      <c r="D2261" s="211" t="s">
        <v>1117</v>
      </c>
      <c r="E2261" s="211" t="s">
        <v>6761</v>
      </c>
      <c r="F2261" s="211" t="s">
        <v>7425</v>
      </c>
    </row>
    <row r="2262" spans="1:6">
      <c r="A2262" s="211" t="s">
        <v>430</v>
      </c>
      <c r="B2262" s="211">
        <v>4858</v>
      </c>
      <c r="C2262" s="211">
        <v>1607</v>
      </c>
      <c r="D2262" s="211" t="s">
        <v>1255</v>
      </c>
      <c r="E2262" s="211" t="s">
        <v>6762</v>
      </c>
      <c r="F2262" s="211" t="s">
        <v>7386</v>
      </c>
    </row>
    <row r="2263" spans="1:6">
      <c r="A2263" s="211" t="s">
        <v>5045</v>
      </c>
      <c r="B2263" s="211">
        <v>6922</v>
      </c>
      <c r="C2263" s="211">
        <v>2409</v>
      </c>
      <c r="D2263" s="211" t="s">
        <v>1255</v>
      </c>
      <c r="E2263" s="211" t="s">
        <v>10385</v>
      </c>
      <c r="F2263" s="211" t="s">
        <v>7339</v>
      </c>
    </row>
    <row r="2264" spans="1:6">
      <c r="A2264" s="211" t="s">
        <v>4581</v>
      </c>
      <c r="B2264" s="211">
        <v>6289</v>
      </c>
      <c r="C2264" s="211">
        <v>1142</v>
      </c>
      <c r="D2264" s="211" t="s">
        <v>1255</v>
      </c>
      <c r="E2264" s="211" t="s">
        <v>6763</v>
      </c>
      <c r="F2264" s="211" t="s">
        <v>7581</v>
      </c>
    </row>
    <row r="2265" spans="1:6">
      <c r="A2265" s="211" t="s">
        <v>4512</v>
      </c>
      <c r="B2265" s="211">
        <v>6554</v>
      </c>
      <c r="C2265" s="211">
        <v>717</v>
      </c>
      <c r="D2265" s="211" t="s">
        <v>1117</v>
      </c>
      <c r="E2265" s="211" t="s">
        <v>10385</v>
      </c>
      <c r="F2265" s="211" t="s">
        <v>7524</v>
      </c>
    </row>
    <row r="2266" spans="1:6">
      <c r="A2266" s="211" t="s">
        <v>9370</v>
      </c>
      <c r="B2266" s="211">
        <v>8290</v>
      </c>
      <c r="C2266" s="211">
        <v>2164</v>
      </c>
      <c r="D2266" s="211" t="s">
        <v>1117</v>
      </c>
      <c r="E2266" s="211" t="s">
        <v>10589</v>
      </c>
      <c r="F2266" s="211" t="s">
        <v>7510</v>
      </c>
    </row>
    <row r="2267" spans="1:6">
      <c r="A2267" s="211" t="s">
        <v>9371</v>
      </c>
      <c r="B2267" s="211">
        <v>8167</v>
      </c>
      <c r="C2267" s="211">
        <v>1381</v>
      </c>
      <c r="D2267" s="211" t="s">
        <v>1255</v>
      </c>
      <c r="E2267" s="211" t="s">
        <v>9372</v>
      </c>
      <c r="F2267" s="211" t="s">
        <v>7240</v>
      </c>
    </row>
    <row r="2268" spans="1:6">
      <c r="A2268" s="211" t="s">
        <v>7849</v>
      </c>
      <c r="B2268" s="211">
        <v>690</v>
      </c>
      <c r="C2268" s="211" t="s">
        <v>10385</v>
      </c>
      <c r="D2268" s="211" t="s">
        <v>1255</v>
      </c>
      <c r="E2268" s="211" t="s">
        <v>10385</v>
      </c>
      <c r="F2268" s="211" t="s">
        <v>7592</v>
      </c>
    </row>
    <row r="2269" spans="1:6">
      <c r="A2269" s="211" t="s">
        <v>5749</v>
      </c>
      <c r="B2269" s="211">
        <v>7379</v>
      </c>
      <c r="C2269" s="211">
        <v>1656</v>
      </c>
      <c r="D2269" s="211" t="s">
        <v>1117</v>
      </c>
      <c r="E2269" s="211" t="s">
        <v>9373</v>
      </c>
      <c r="F2269" s="211" t="s">
        <v>7167</v>
      </c>
    </row>
    <row r="2270" spans="1:6">
      <c r="A2270" s="211" t="s">
        <v>431</v>
      </c>
      <c r="B2270" s="211">
        <v>1800</v>
      </c>
      <c r="C2270" s="211">
        <v>755</v>
      </c>
      <c r="D2270" s="211" t="s">
        <v>1255</v>
      </c>
      <c r="E2270" s="211" t="s">
        <v>10385</v>
      </c>
      <c r="F2270" s="211" t="s">
        <v>7292</v>
      </c>
    </row>
    <row r="2271" spans="1:6">
      <c r="A2271" s="211" t="s">
        <v>432</v>
      </c>
      <c r="B2271" s="211">
        <v>3880</v>
      </c>
      <c r="C2271" s="211">
        <v>1189</v>
      </c>
      <c r="D2271" s="211" t="s">
        <v>1255</v>
      </c>
      <c r="E2271" s="211" t="s">
        <v>10385</v>
      </c>
      <c r="F2271" s="211" t="s">
        <v>7427</v>
      </c>
    </row>
    <row r="2272" spans="1:6">
      <c r="A2272" s="211" t="s">
        <v>7850</v>
      </c>
      <c r="B2272" s="211">
        <v>6044</v>
      </c>
      <c r="C2272" s="211">
        <v>978</v>
      </c>
      <c r="D2272" s="211" t="s">
        <v>1255</v>
      </c>
      <c r="E2272" s="211" t="s">
        <v>10385</v>
      </c>
      <c r="F2272" s="211" t="s">
        <v>7386</v>
      </c>
    </row>
    <row r="2273" spans="1:6">
      <c r="A2273" s="211" t="s">
        <v>7851</v>
      </c>
      <c r="B2273" s="211">
        <v>695</v>
      </c>
      <c r="C2273" s="211" t="s">
        <v>10385</v>
      </c>
      <c r="D2273" s="211" t="s">
        <v>1255</v>
      </c>
      <c r="E2273" s="211" t="s">
        <v>10385</v>
      </c>
      <c r="F2273" s="211" t="s">
        <v>7210</v>
      </c>
    </row>
    <row r="2274" spans="1:6">
      <c r="A2274" s="211" t="s">
        <v>433</v>
      </c>
      <c r="B2274" s="211">
        <v>952</v>
      </c>
      <c r="C2274" s="211">
        <v>1248</v>
      </c>
      <c r="D2274" s="211" t="s">
        <v>1255</v>
      </c>
      <c r="E2274" s="211" t="s">
        <v>10385</v>
      </c>
      <c r="F2274" s="211" t="s">
        <v>7627</v>
      </c>
    </row>
    <row r="2275" spans="1:6">
      <c r="A2275" s="211" t="s">
        <v>9374</v>
      </c>
      <c r="B2275" s="211">
        <v>8437</v>
      </c>
      <c r="C2275" s="211">
        <v>998</v>
      </c>
      <c r="D2275" s="211" t="s">
        <v>1255</v>
      </c>
      <c r="E2275" s="211" t="s">
        <v>10350</v>
      </c>
      <c r="F2275" s="211" t="s">
        <v>9048</v>
      </c>
    </row>
    <row r="2276" spans="1:6">
      <c r="A2276" s="211" t="s">
        <v>5750</v>
      </c>
      <c r="B2276" s="211">
        <v>7157</v>
      </c>
      <c r="C2276" s="211">
        <v>982</v>
      </c>
      <c r="D2276" s="211" t="s">
        <v>1255</v>
      </c>
      <c r="E2276" s="211" t="s">
        <v>5751</v>
      </c>
      <c r="F2276" s="211" t="s">
        <v>7344</v>
      </c>
    </row>
    <row r="2277" spans="1:6">
      <c r="A2277" s="211" t="s">
        <v>10590</v>
      </c>
      <c r="B2277" s="211">
        <v>8670</v>
      </c>
      <c r="C2277" s="211">
        <v>838</v>
      </c>
      <c r="D2277" s="211" t="s">
        <v>1255</v>
      </c>
      <c r="E2277" s="211" t="s">
        <v>10591</v>
      </c>
      <c r="F2277" s="211" t="s">
        <v>7377</v>
      </c>
    </row>
    <row r="2278" spans="1:6">
      <c r="A2278" s="211" t="s">
        <v>434</v>
      </c>
      <c r="B2278" s="211">
        <v>5221</v>
      </c>
      <c r="C2278" s="211">
        <v>789</v>
      </c>
      <c r="D2278" s="211" t="s">
        <v>1255</v>
      </c>
      <c r="E2278" s="211" t="s">
        <v>10385</v>
      </c>
      <c r="F2278" s="211" t="s">
        <v>7256</v>
      </c>
    </row>
    <row r="2279" spans="1:6">
      <c r="A2279" s="211" t="s">
        <v>4513</v>
      </c>
      <c r="B2279" s="211">
        <v>6548</v>
      </c>
      <c r="C2279" s="211">
        <v>2133</v>
      </c>
      <c r="D2279" s="211" t="s">
        <v>1255</v>
      </c>
      <c r="E2279" s="211" t="s">
        <v>10385</v>
      </c>
      <c r="F2279" s="211" t="s">
        <v>7197</v>
      </c>
    </row>
    <row r="2280" spans="1:6">
      <c r="A2280" s="211" t="s">
        <v>7852</v>
      </c>
      <c r="B2280" s="211">
        <v>2036</v>
      </c>
      <c r="C2280" s="211" t="s">
        <v>10385</v>
      </c>
      <c r="D2280" s="211" t="s">
        <v>1255</v>
      </c>
      <c r="E2280" s="211" t="s">
        <v>10385</v>
      </c>
      <c r="F2280" s="211" t="s">
        <v>7380</v>
      </c>
    </row>
    <row r="2281" spans="1:6">
      <c r="A2281" s="211" t="s">
        <v>10592</v>
      </c>
      <c r="B2281" s="211">
        <v>8667</v>
      </c>
      <c r="C2281" s="211">
        <v>1966</v>
      </c>
      <c r="D2281" s="211" t="s">
        <v>1117</v>
      </c>
      <c r="E2281" s="211" t="s">
        <v>6632</v>
      </c>
      <c r="F2281" s="211" t="s">
        <v>7267</v>
      </c>
    </row>
    <row r="2282" spans="1:6">
      <c r="A2282" s="211" t="s">
        <v>435</v>
      </c>
      <c r="B2282" s="211">
        <v>2930</v>
      </c>
      <c r="C2282" s="211">
        <v>1965</v>
      </c>
      <c r="D2282" s="211" t="s">
        <v>1255</v>
      </c>
      <c r="E2282" s="211" t="s">
        <v>10385</v>
      </c>
      <c r="F2282" s="211" t="s">
        <v>7177</v>
      </c>
    </row>
    <row r="2283" spans="1:6">
      <c r="A2283" s="211" t="s">
        <v>7853</v>
      </c>
      <c r="B2283" s="211">
        <v>435</v>
      </c>
      <c r="C2283" s="211" t="s">
        <v>10385</v>
      </c>
      <c r="D2283" s="211" t="s">
        <v>1255</v>
      </c>
      <c r="E2283" s="211" t="s">
        <v>10385</v>
      </c>
      <c r="F2283" s="211" t="s">
        <v>7171</v>
      </c>
    </row>
    <row r="2284" spans="1:6">
      <c r="A2284" s="211" t="s">
        <v>436</v>
      </c>
      <c r="B2284" s="211">
        <v>5454</v>
      </c>
      <c r="C2284" s="211">
        <v>1276</v>
      </c>
      <c r="D2284" s="211" t="s">
        <v>1117</v>
      </c>
      <c r="E2284" s="211" t="s">
        <v>6764</v>
      </c>
      <c r="F2284" s="211" t="s">
        <v>7247</v>
      </c>
    </row>
    <row r="2285" spans="1:6">
      <c r="A2285" s="211" t="s">
        <v>437</v>
      </c>
      <c r="B2285" s="211">
        <v>1724</v>
      </c>
      <c r="C2285" s="211">
        <v>916</v>
      </c>
      <c r="D2285" s="211" t="s">
        <v>1255</v>
      </c>
      <c r="E2285" s="211" t="s">
        <v>10385</v>
      </c>
      <c r="F2285" s="211" t="s">
        <v>7250</v>
      </c>
    </row>
    <row r="2286" spans="1:6">
      <c r="A2286" s="211" t="s">
        <v>438</v>
      </c>
      <c r="B2286" s="211">
        <v>5686</v>
      </c>
      <c r="C2286" s="211">
        <v>891</v>
      </c>
      <c r="D2286" s="211" t="s">
        <v>1255</v>
      </c>
      <c r="E2286" s="211" t="s">
        <v>10385</v>
      </c>
      <c r="F2286" s="211" t="s">
        <v>7441</v>
      </c>
    </row>
    <row r="2287" spans="1:6">
      <c r="A2287" s="211" t="s">
        <v>2989</v>
      </c>
      <c r="B2287" s="211">
        <v>1465</v>
      </c>
      <c r="C2287" s="211">
        <v>1271</v>
      </c>
      <c r="D2287" s="211" t="s">
        <v>1255</v>
      </c>
      <c r="E2287" s="211" t="s">
        <v>10385</v>
      </c>
      <c r="F2287" s="211" t="s">
        <v>7384</v>
      </c>
    </row>
    <row r="2288" spans="1:6">
      <c r="A2288" s="211" t="s">
        <v>439</v>
      </c>
      <c r="B2288" s="211">
        <v>5085</v>
      </c>
      <c r="C2288" s="211">
        <v>1395</v>
      </c>
      <c r="D2288" s="211" t="s">
        <v>1255</v>
      </c>
      <c r="E2288" s="211" t="s">
        <v>10385</v>
      </c>
      <c r="F2288" s="211" t="s">
        <v>7457</v>
      </c>
    </row>
    <row r="2289" spans="1:6">
      <c r="A2289" s="211" t="s">
        <v>7854</v>
      </c>
      <c r="B2289" s="211">
        <v>5051</v>
      </c>
      <c r="C2289" s="211" t="s">
        <v>10385</v>
      </c>
      <c r="D2289" s="211" t="s">
        <v>1255</v>
      </c>
      <c r="E2289" s="211" t="s">
        <v>10385</v>
      </c>
      <c r="F2289" s="211" t="s">
        <v>7239</v>
      </c>
    </row>
    <row r="2290" spans="1:6">
      <c r="A2290" s="211" t="s">
        <v>3003</v>
      </c>
      <c r="B2290" s="211">
        <v>1006</v>
      </c>
      <c r="C2290" s="211">
        <v>1578</v>
      </c>
      <c r="D2290" s="211" t="s">
        <v>1255</v>
      </c>
      <c r="E2290" s="211" t="s">
        <v>10385</v>
      </c>
      <c r="F2290" s="211" t="s">
        <v>7335</v>
      </c>
    </row>
    <row r="2291" spans="1:6">
      <c r="A2291" s="211" t="s">
        <v>7855</v>
      </c>
      <c r="B2291" s="211">
        <v>306</v>
      </c>
      <c r="C2291" s="211" t="s">
        <v>10385</v>
      </c>
      <c r="D2291" s="211" t="s">
        <v>1255</v>
      </c>
      <c r="E2291" s="211" t="s">
        <v>10385</v>
      </c>
      <c r="F2291" s="211" t="s">
        <v>7223</v>
      </c>
    </row>
    <row r="2292" spans="1:6">
      <c r="A2292" s="211" t="s">
        <v>7856</v>
      </c>
      <c r="B2292" s="211">
        <v>500</v>
      </c>
      <c r="C2292" s="211" t="s">
        <v>10385</v>
      </c>
      <c r="D2292" s="211" t="s">
        <v>1255</v>
      </c>
      <c r="E2292" s="211" t="s">
        <v>10385</v>
      </c>
      <c r="F2292" s="211" t="s">
        <v>7223</v>
      </c>
    </row>
    <row r="2293" spans="1:6">
      <c r="A2293" s="211" t="s">
        <v>7857</v>
      </c>
      <c r="B2293" s="211">
        <v>3567</v>
      </c>
      <c r="C2293" s="211" t="s">
        <v>10385</v>
      </c>
      <c r="D2293" s="211" t="s">
        <v>1255</v>
      </c>
      <c r="E2293" s="211" t="s">
        <v>10385</v>
      </c>
      <c r="F2293" s="211" t="s">
        <v>7518</v>
      </c>
    </row>
    <row r="2294" spans="1:6">
      <c r="A2294" s="211" t="s">
        <v>5046</v>
      </c>
      <c r="B2294" s="211">
        <v>6618</v>
      </c>
      <c r="C2294" s="211">
        <v>1188</v>
      </c>
      <c r="D2294" s="211" t="s">
        <v>1255</v>
      </c>
      <c r="E2294" s="211" t="s">
        <v>10385</v>
      </c>
      <c r="F2294" s="211" t="s">
        <v>7390</v>
      </c>
    </row>
    <row r="2295" spans="1:6">
      <c r="A2295" s="211" t="s">
        <v>5752</v>
      </c>
      <c r="B2295" s="211">
        <v>7344</v>
      </c>
      <c r="C2295" s="211">
        <v>1755</v>
      </c>
      <c r="D2295" s="211" t="s">
        <v>1255</v>
      </c>
      <c r="E2295" s="211" t="s">
        <v>5753</v>
      </c>
      <c r="F2295" s="211" t="s">
        <v>7518</v>
      </c>
    </row>
    <row r="2296" spans="1:6">
      <c r="A2296" s="211" t="s">
        <v>440</v>
      </c>
      <c r="B2296" s="211">
        <v>1027</v>
      </c>
      <c r="C2296" s="211">
        <v>1858</v>
      </c>
      <c r="D2296" s="211" t="s">
        <v>1255</v>
      </c>
      <c r="E2296" s="211" t="s">
        <v>10385</v>
      </c>
      <c r="F2296" s="211" t="s">
        <v>7224</v>
      </c>
    </row>
    <row r="2297" spans="1:6">
      <c r="A2297" s="211" t="s">
        <v>7858</v>
      </c>
      <c r="B2297" s="211">
        <v>6638</v>
      </c>
      <c r="C2297" s="211">
        <v>759</v>
      </c>
      <c r="D2297" s="211" t="s">
        <v>1255</v>
      </c>
      <c r="E2297" s="211" t="s">
        <v>10385</v>
      </c>
      <c r="F2297" s="211" t="s">
        <v>7386</v>
      </c>
    </row>
    <row r="2298" spans="1:6">
      <c r="A2298" s="211" t="s">
        <v>5047</v>
      </c>
      <c r="B2298" s="211">
        <v>6883</v>
      </c>
      <c r="C2298" s="211">
        <v>1136</v>
      </c>
      <c r="D2298" s="211" t="s">
        <v>1255</v>
      </c>
      <c r="E2298" s="211" t="s">
        <v>9375</v>
      </c>
      <c r="F2298" s="211" t="s">
        <v>7331</v>
      </c>
    </row>
    <row r="2299" spans="1:6">
      <c r="A2299" s="211" t="s">
        <v>4632</v>
      </c>
      <c r="B2299" s="211">
        <v>6352</v>
      </c>
      <c r="C2299" s="211">
        <v>560</v>
      </c>
      <c r="D2299" s="211" t="s">
        <v>1255</v>
      </c>
      <c r="E2299" s="211" t="s">
        <v>6765</v>
      </c>
      <c r="F2299" s="211" t="s">
        <v>7571</v>
      </c>
    </row>
    <row r="2300" spans="1:6">
      <c r="A2300" s="211" t="s">
        <v>441</v>
      </c>
      <c r="B2300" s="211">
        <v>2995</v>
      </c>
      <c r="C2300" s="211">
        <v>1320</v>
      </c>
      <c r="D2300" s="211" t="s">
        <v>1255</v>
      </c>
      <c r="E2300" s="211" t="s">
        <v>10385</v>
      </c>
      <c r="F2300" s="211" t="s">
        <v>7270</v>
      </c>
    </row>
    <row r="2301" spans="1:6">
      <c r="A2301" s="211" t="s">
        <v>442</v>
      </c>
      <c r="B2301" s="211">
        <v>4983</v>
      </c>
      <c r="C2301" s="211">
        <v>993</v>
      </c>
      <c r="D2301" s="211" t="s">
        <v>1255</v>
      </c>
      <c r="E2301" s="211" t="s">
        <v>10385</v>
      </c>
      <c r="F2301" s="211" t="s">
        <v>7224</v>
      </c>
    </row>
    <row r="2302" spans="1:6">
      <c r="A2302" s="211" t="s">
        <v>5754</v>
      </c>
      <c r="B2302" s="211">
        <v>7375</v>
      </c>
      <c r="C2302" s="211">
        <v>2204</v>
      </c>
      <c r="D2302" s="211" t="s">
        <v>1255</v>
      </c>
      <c r="E2302" s="211" t="s">
        <v>6766</v>
      </c>
      <c r="F2302" s="211" t="s">
        <v>7556</v>
      </c>
    </row>
    <row r="2303" spans="1:6">
      <c r="A2303" s="211" t="s">
        <v>7859</v>
      </c>
      <c r="B2303" s="211">
        <v>2083</v>
      </c>
      <c r="C2303" s="211" t="s">
        <v>10385</v>
      </c>
      <c r="D2303" s="211" t="s">
        <v>1255</v>
      </c>
      <c r="E2303" s="211" t="s">
        <v>10385</v>
      </c>
      <c r="F2303" s="211" t="s">
        <v>7261</v>
      </c>
    </row>
    <row r="2304" spans="1:6">
      <c r="A2304" s="211" t="s">
        <v>7860</v>
      </c>
      <c r="B2304" s="211">
        <v>5898</v>
      </c>
      <c r="C2304" s="211" t="s">
        <v>10385</v>
      </c>
      <c r="D2304" s="211" t="s">
        <v>1255</v>
      </c>
      <c r="E2304" s="211" t="s">
        <v>10385</v>
      </c>
      <c r="F2304" s="211" t="s">
        <v>7508</v>
      </c>
    </row>
    <row r="2305" spans="1:6">
      <c r="A2305" s="211" t="s">
        <v>443</v>
      </c>
      <c r="B2305" s="211">
        <v>3937</v>
      </c>
      <c r="C2305" s="211">
        <v>1081</v>
      </c>
      <c r="D2305" s="211" t="s">
        <v>1255</v>
      </c>
      <c r="E2305" s="211" t="s">
        <v>10385</v>
      </c>
      <c r="F2305" s="211" t="s">
        <v>7377</v>
      </c>
    </row>
    <row r="2306" spans="1:6">
      <c r="A2306" s="211" t="s">
        <v>444</v>
      </c>
      <c r="B2306" s="211">
        <v>4170</v>
      </c>
      <c r="C2306" s="211">
        <v>1274</v>
      </c>
      <c r="D2306" s="211" t="s">
        <v>1255</v>
      </c>
      <c r="E2306" s="211" t="s">
        <v>10385</v>
      </c>
      <c r="F2306" s="211" t="s">
        <v>7224</v>
      </c>
    </row>
    <row r="2307" spans="1:6">
      <c r="A2307" s="211" t="s">
        <v>445</v>
      </c>
      <c r="B2307" s="211">
        <v>4433</v>
      </c>
      <c r="C2307" s="211">
        <v>1637</v>
      </c>
      <c r="D2307" s="211" t="s">
        <v>1255</v>
      </c>
      <c r="E2307" s="211" t="s">
        <v>10385</v>
      </c>
      <c r="F2307" s="211" t="s">
        <v>7320</v>
      </c>
    </row>
    <row r="2308" spans="1:6">
      <c r="A2308" s="211" t="s">
        <v>9376</v>
      </c>
      <c r="B2308" s="211">
        <v>8162</v>
      </c>
      <c r="C2308" s="211">
        <v>1003</v>
      </c>
      <c r="D2308" s="211" t="s">
        <v>1255</v>
      </c>
      <c r="E2308" s="211" t="s">
        <v>9377</v>
      </c>
      <c r="F2308" s="211" t="s">
        <v>7240</v>
      </c>
    </row>
    <row r="2309" spans="1:6">
      <c r="A2309" s="211" t="s">
        <v>446</v>
      </c>
      <c r="B2309" s="211">
        <v>4762</v>
      </c>
      <c r="C2309" s="211">
        <v>2181</v>
      </c>
      <c r="D2309" s="211" t="s">
        <v>1255</v>
      </c>
      <c r="E2309" s="211" t="s">
        <v>10385</v>
      </c>
      <c r="F2309" s="211" t="s">
        <v>7167</v>
      </c>
    </row>
    <row r="2310" spans="1:6">
      <c r="A2310" s="211" t="s">
        <v>5755</v>
      </c>
      <c r="B2310" s="211">
        <v>7523</v>
      </c>
      <c r="C2310" s="211">
        <v>1146</v>
      </c>
      <c r="D2310" s="211" t="s">
        <v>1255</v>
      </c>
      <c r="E2310" s="211" t="s">
        <v>10385</v>
      </c>
      <c r="F2310" s="211" t="s">
        <v>7223</v>
      </c>
    </row>
    <row r="2311" spans="1:6">
      <c r="A2311" s="211" t="s">
        <v>447</v>
      </c>
      <c r="B2311" s="211">
        <v>3668</v>
      </c>
      <c r="C2311" s="211">
        <v>981</v>
      </c>
      <c r="D2311" s="211" t="s">
        <v>1255</v>
      </c>
      <c r="E2311" s="211" t="s">
        <v>10385</v>
      </c>
      <c r="F2311" s="211" t="s">
        <v>7861</v>
      </c>
    </row>
    <row r="2312" spans="1:6">
      <c r="A2312" s="211" t="s">
        <v>448</v>
      </c>
      <c r="B2312" s="211">
        <v>5787</v>
      </c>
      <c r="C2312" s="211">
        <v>1316</v>
      </c>
      <c r="D2312" s="211" t="s">
        <v>1255</v>
      </c>
      <c r="E2312" s="211" t="s">
        <v>10385</v>
      </c>
      <c r="F2312" s="211" t="s">
        <v>7459</v>
      </c>
    </row>
    <row r="2313" spans="1:6">
      <c r="A2313" s="211" t="s">
        <v>10593</v>
      </c>
      <c r="B2313" s="211">
        <v>8607</v>
      </c>
      <c r="C2313" s="211">
        <v>885</v>
      </c>
      <c r="D2313" s="211" t="s">
        <v>1255</v>
      </c>
      <c r="E2313" s="211" t="s">
        <v>10594</v>
      </c>
      <c r="F2313" s="211" t="s">
        <v>7490</v>
      </c>
    </row>
    <row r="2314" spans="1:6">
      <c r="A2314" s="211" t="s">
        <v>2982</v>
      </c>
      <c r="B2314" s="211">
        <v>2226</v>
      </c>
      <c r="C2314" s="211">
        <v>936</v>
      </c>
      <c r="D2314" s="211" t="s">
        <v>1117</v>
      </c>
      <c r="E2314" s="211" t="s">
        <v>10385</v>
      </c>
      <c r="F2314" s="211" t="s">
        <v>7263</v>
      </c>
    </row>
    <row r="2315" spans="1:6">
      <c r="A2315" s="211" t="s">
        <v>5756</v>
      </c>
      <c r="B2315" s="211">
        <v>7087</v>
      </c>
      <c r="C2315" s="211">
        <v>1081</v>
      </c>
      <c r="D2315" s="211" t="s">
        <v>1255</v>
      </c>
      <c r="E2315" s="211" t="s">
        <v>5757</v>
      </c>
      <c r="F2315" s="211" t="s">
        <v>7215</v>
      </c>
    </row>
    <row r="2316" spans="1:6">
      <c r="A2316" s="211" t="s">
        <v>449</v>
      </c>
      <c r="B2316" s="211">
        <v>4405</v>
      </c>
      <c r="C2316" s="211">
        <v>1168</v>
      </c>
      <c r="D2316" s="211" t="s">
        <v>1255</v>
      </c>
      <c r="E2316" s="211" t="s">
        <v>10385</v>
      </c>
      <c r="F2316" s="211" t="s">
        <v>7354</v>
      </c>
    </row>
    <row r="2317" spans="1:6">
      <c r="A2317" s="211" t="s">
        <v>7862</v>
      </c>
      <c r="B2317" s="211">
        <v>3966</v>
      </c>
      <c r="C2317" s="211" t="s">
        <v>10385</v>
      </c>
      <c r="D2317" s="211" t="s">
        <v>1255</v>
      </c>
      <c r="E2317" s="211" t="s">
        <v>10385</v>
      </c>
      <c r="F2317" s="211" t="s">
        <v>7262</v>
      </c>
    </row>
    <row r="2318" spans="1:6">
      <c r="A2318" s="211" t="s">
        <v>450</v>
      </c>
      <c r="B2318" s="211">
        <v>1134</v>
      </c>
      <c r="C2318" s="211">
        <v>1177</v>
      </c>
      <c r="D2318" s="211" t="s">
        <v>1255</v>
      </c>
      <c r="E2318" s="211" t="s">
        <v>10385</v>
      </c>
      <c r="F2318" s="211" t="s">
        <v>7306</v>
      </c>
    </row>
    <row r="2319" spans="1:6">
      <c r="A2319" s="211" t="s">
        <v>451</v>
      </c>
      <c r="B2319" s="211">
        <v>1587</v>
      </c>
      <c r="C2319" s="211">
        <v>721</v>
      </c>
      <c r="D2319" s="211" t="s">
        <v>1117</v>
      </c>
      <c r="E2319" s="211" t="s">
        <v>10385</v>
      </c>
      <c r="F2319" s="211" t="s">
        <v>7261</v>
      </c>
    </row>
    <row r="2320" spans="1:6">
      <c r="A2320" s="211" t="s">
        <v>452</v>
      </c>
      <c r="B2320" s="211">
        <v>1786</v>
      </c>
      <c r="C2320" s="211">
        <v>1123</v>
      </c>
      <c r="D2320" s="211" t="s">
        <v>1255</v>
      </c>
      <c r="E2320" s="211" t="s">
        <v>10385</v>
      </c>
      <c r="F2320" s="211" t="s">
        <v>7210</v>
      </c>
    </row>
    <row r="2321" spans="1:6">
      <c r="A2321" s="211" t="s">
        <v>453</v>
      </c>
      <c r="B2321" s="211">
        <v>1145</v>
      </c>
      <c r="C2321" s="211">
        <v>1437</v>
      </c>
      <c r="D2321" s="211" t="s">
        <v>1255</v>
      </c>
      <c r="E2321" s="211" t="s">
        <v>10385</v>
      </c>
      <c r="F2321" s="211" t="s">
        <v>7316</v>
      </c>
    </row>
    <row r="2322" spans="1:6">
      <c r="A2322" s="211" t="s">
        <v>7863</v>
      </c>
      <c r="B2322" s="211">
        <v>131</v>
      </c>
      <c r="C2322" s="211" t="s">
        <v>10385</v>
      </c>
      <c r="D2322" s="211" t="s">
        <v>1255</v>
      </c>
      <c r="E2322" s="211" t="s">
        <v>10385</v>
      </c>
      <c r="F2322" s="211" t="s">
        <v>7483</v>
      </c>
    </row>
    <row r="2323" spans="1:6">
      <c r="A2323" s="211" t="s">
        <v>5758</v>
      </c>
      <c r="B2323" s="211">
        <v>7179</v>
      </c>
      <c r="C2323" s="211">
        <v>1621</v>
      </c>
      <c r="D2323" s="211" t="s">
        <v>1255</v>
      </c>
      <c r="E2323" s="211" t="s">
        <v>5759</v>
      </c>
      <c r="F2323" s="211" t="s">
        <v>7384</v>
      </c>
    </row>
    <row r="2324" spans="1:6">
      <c r="A2324" s="211" t="s">
        <v>454</v>
      </c>
      <c r="B2324" s="211">
        <v>915</v>
      </c>
      <c r="C2324" s="211">
        <v>2163</v>
      </c>
      <c r="D2324" s="211" t="s">
        <v>1255</v>
      </c>
      <c r="E2324" s="211" t="s">
        <v>10385</v>
      </c>
      <c r="F2324" s="211" t="s">
        <v>7267</v>
      </c>
    </row>
    <row r="2325" spans="1:6">
      <c r="A2325" s="211" t="s">
        <v>5760</v>
      </c>
      <c r="B2325" s="211">
        <v>7200</v>
      </c>
      <c r="C2325" s="211">
        <v>1441</v>
      </c>
      <c r="D2325" s="211" t="s">
        <v>1255</v>
      </c>
      <c r="E2325" s="211" t="s">
        <v>9378</v>
      </c>
      <c r="F2325" s="211" t="s">
        <v>7864</v>
      </c>
    </row>
    <row r="2326" spans="1:6">
      <c r="A2326" s="211" t="s">
        <v>455</v>
      </c>
      <c r="B2326" s="211">
        <v>4789</v>
      </c>
      <c r="C2326" s="211">
        <v>1142</v>
      </c>
      <c r="D2326" s="211" t="s">
        <v>1255</v>
      </c>
      <c r="E2326" s="211" t="s">
        <v>10385</v>
      </c>
      <c r="F2326" s="211" t="s">
        <v>7518</v>
      </c>
    </row>
    <row r="2327" spans="1:6">
      <c r="A2327" s="211" t="s">
        <v>456</v>
      </c>
      <c r="B2327" s="211">
        <v>4787</v>
      </c>
      <c r="C2327" s="211">
        <v>994</v>
      </c>
      <c r="D2327" s="211" t="s">
        <v>1255</v>
      </c>
      <c r="E2327" s="211" t="s">
        <v>10385</v>
      </c>
      <c r="F2327" s="211" t="s">
        <v>7518</v>
      </c>
    </row>
    <row r="2328" spans="1:6">
      <c r="A2328" s="211" t="s">
        <v>457</v>
      </c>
      <c r="B2328" s="211">
        <v>4761</v>
      </c>
      <c r="C2328" s="211">
        <v>1253</v>
      </c>
      <c r="D2328" s="211" t="s">
        <v>1255</v>
      </c>
      <c r="E2328" s="211" t="s">
        <v>10385</v>
      </c>
      <c r="F2328" s="211" t="s">
        <v>7343</v>
      </c>
    </row>
    <row r="2329" spans="1:6">
      <c r="A2329" s="211" t="s">
        <v>458</v>
      </c>
      <c r="B2329" s="211">
        <v>3886</v>
      </c>
      <c r="C2329" s="211">
        <v>1008</v>
      </c>
      <c r="D2329" s="211" t="s">
        <v>1255</v>
      </c>
      <c r="E2329" s="211" t="s">
        <v>10385</v>
      </c>
      <c r="F2329" s="211" t="s">
        <v>7337</v>
      </c>
    </row>
    <row r="2330" spans="1:6">
      <c r="A2330" s="211" t="s">
        <v>7865</v>
      </c>
      <c r="B2330" s="211">
        <v>897</v>
      </c>
      <c r="C2330" s="211" t="s">
        <v>10385</v>
      </c>
      <c r="D2330" s="211" t="s">
        <v>1255</v>
      </c>
      <c r="E2330" s="211" t="s">
        <v>10385</v>
      </c>
      <c r="F2330" s="211" t="s">
        <v>7356</v>
      </c>
    </row>
    <row r="2331" spans="1:6">
      <c r="A2331" s="211" t="s">
        <v>5761</v>
      </c>
      <c r="B2331" s="211">
        <v>7113</v>
      </c>
      <c r="C2331" s="211">
        <v>1028</v>
      </c>
      <c r="D2331" s="211" t="s">
        <v>1255</v>
      </c>
      <c r="E2331" s="211" t="s">
        <v>10385</v>
      </c>
      <c r="F2331" s="211" t="s">
        <v>7766</v>
      </c>
    </row>
    <row r="2332" spans="1:6">
      <c r="A2332" s="211" t="s">
        <v>3033</v>
      </c>
      <c r="B2332" s="211">
        <v>1470</v>
      </c>
      <c r="C2332" s="211">
        <v>1459</v>
      </c>
      <c r="D2332" s="211" t="s">
        <v>1255</v>
      </c>
      <c r="E2332" s="211" t="s">
        <v>10385</v>
      </c>
      <c r="F2332" s="211" t="s">
        <v>7246</v>
      </c>
    </row>
    <row r="2333" spans="1:6">
      <c r="A2333" s="211" t="s">
        <v>459</v>
      </c>
      <c r="B2333" s="211">
        <v>4241</v>
      </c>
      <c r="C2333" s="211">
        <v>1419</v>
      </c>
      <c r="D2333" s="211" t="s">
        <v>1255</v>
      </c>
      <c r="E2333" s="211" t="s">
        <v>10385</v>
      </c>
      <c r="F2333" s="211" t="s">
        <v>7160</v>
      </c>
    </row>
    <row r="2334" spans="1:6">
      <c r="A2334" s="211" t="s">
        <v>460</v>
      </c>
      <c r="B2334" s="211">
        <v>3962</v>
      </c>
      <c r="C2334" s="211">
        <v>1105</v>
      </c>
      <c r="D2334" s="211" t="s">
        <v>1255</v>
      </c>
      <c r="E2334" s="211" t="s">
        <v>10385</v>
      </c>
      <c r="F2334" s="211" t="s">
        <v>7292</v>
      </c>
    </row>
    <row r="2335" spans="1:6">
      <c r="A2335" s="211" t="s">
        <v>461</v>
      </c>
      <c r="B2335" s="211">
        <v>5667</v>
      </c>
      <c r="C2335" s="211">
        <v>799</v>
      </c>
      <c r="D2335" s="211" t="s">
        <v>1117</v>
      </c>
      <c r="E2335" s="211" t="s">
        <v>10385</v>
      </c>
      <c r="F2335" s="211" t="s">
        <v>7292</v>
      </c>
    </row>
    <row r="2336" spans="1:6">
      <c r="A2336" s="211" t="s">
        <v>5762</v>
      </c>
      <c r="B2336" s="211">
        <v>7164</v>
      </c>
      <c r="C2336" s="211">
        <v>805</v>
      </c>
      <c r="D2336" s="211" t="s">
        <v>1117</v>
      </c>
      <c r="E2336" s="211" t="s">
        <v>6767</v>
      </c>
      <c r="F2336" s="211" t="s">
        <v>7173</v>
      </c>
    </row>
    <row r="2337" spans="1:6">
      <c r="A2337" s="211" t="s">
        <v>7866</v>
      </c>
      <c r="B2337" s="211">
        <v>382</v>
      </c>
      <c r="C2337" s="211" t="s">
        <v>10385</v>
      </c>
      <c r="D2337" s="211" t="s">
        <v>1255</v>
      </c>
      <c r="E2337" s="211" t="s">
        <v>10385</v>
      </c>
      <c r="F2337" s="211" t="s">
        <v>7867</v>
      </c>
    </row>
    <row r="2338" spans="1:6">
      <c r="A2338" s="211" t="s">
        <v>5321</v>
      </c>
      <c r="B2338" s="211">
        <v>6842</v>
      </c>
      <c r="C2338" s="211">
        <v>1493</v>
      </c>
      <c r="D2338" s="211" t="s">
        <v>1255</v>
      </c>
      <c r="E2338" s="211" t="s">
        <v>10385</v>
      </c>
      <c r="F2338" s="211" t="s">
        <v>7507</v>
      </c>
    </row>
    <row r="2339" spans="1:6">
      <c r="A2339" s="211" t="s">
        <v>462</v>
      </c>
      <c r="B2339" s="211">
        <v>2913</v>
      </c>
      <c r="C2339" s="211">
        <v>792</v>
      </c>
      <c r="D2339" s="211" t="s">
        <v>1255</v>
      </c>
      <c r="E2339" s="211" t="s">
        <v>10385</v>
      </c>
      <c r="F2339" s="211" t="s">
        <v>7207</v>
      </c>
    </row>
    <row r="2340" spans="1:6">
      <c r="A2340" s="211" t="s">
        <v>463</v>
      </c>
      <c r="B2340" s="211">
        <v>3630</v>
      </c>
      <c r="C2340" s="211">
        <v>949</v>
      </c>
      <c r="D2340" s="211" t="s">
        <v>1255</v>
      </c>
      <c r="E2340" s="211" t="s">
        <v>10385</v>
      </c>
      <c r="F2340" s="211" t="s">
        <v>7192</v>
      </c>
    </row>
    <row r="2341" spans="1:6">
      <c r="A2341" s="211" t="s">
        <v>464</v>
      </c>
      <c r="B2341" s="211">
        <v>2428</v>
      </c>
      <c r="C2341" s="211">
        <v>1154</v>
      </c>
      <c r="D2341" s="211" t="s">
        <v>1255</v>
      </c>
      <c r="E2341" s="211" t="s">
        <v>10385</v>
      </c>
      <c r="F2341" s="211" t="s">
        <v>7788</v>
      </c>
    </row>
    <row r="2342" spans="1:6">
      <c r="A2342" s="211" t="s">
        <v>465</v>
      </c>
      <c r="B2342" s="211">
        <v>3930</v>
      </c>
      <c r="C2342" s="211">
        <v>1354</v>
      </c>
      <c r="D2342" s="211" t="s">
        <v>1255</v>
      </c>
      <c r="E2342" s="211" t="s">
        <v>10385</v>
      </c>
      <c r="F2342" s="211" t="s">
        <v>7868</v>
      </c>
    </row>
    <row r="2343" spans="1:6">
      <c r="A2343" s="211" t="s">
        <v>5764</v>
      </c>
      <c r="B2343" s="211">
        <v>7041</v>
      </c>
      <c r="C2343" s="211">
        <v>783</v>
      </c>
      <c r="D2343" s="211" t="s">
        <v>1255</v>
      </c>
      <c r="E2343" s="211" t="s">
        <v>5765</v>
      </c>
      <c r="F2343" s="211" t="s">
        <v>9024</v>
      </c>
    </row>
    <row r="2344" spans="1:6">
      <c r="A2344" s="211" t="s">
        <v>466</v>
      </c>
      <c r="B2344" s="211">
        <v>5268</v>
      </c>
      <c r="C2344" s="211">
        <v>1056</v>
      </c>
      <c r="D2344" s="211" t="s">
        <v>1117</v>
      </c>
      <c r="E2344" s="211" t="s">
        <v>10385</v>
      </c>
      <c r="F2344" s="211" t="s">
        <v>7322</v>
      </c>
    </row>
    <row r="2345" spans="1:6">
      <c r="A2345" s="211" t="s">
        <v>9379</v>
      </c>
      <c r="B2345" s="211">
        <v>8259</v>
      </c>
      <c r="C2345" s="211">
        <v>1308</v>
      </c>
      <c r="D2345" s="211" t="s">
        <v>1255</v>
      </c>
      <c r="E2345" s="211" t="s">
        <v>9380</v>
      </c>
      <c r="F2345" s="211" t="s">
        <v>7283</v>
      </c>
    </row>
    <row r="2346" spans="1:6">
      <c r="A2346" s="211" t="s">
        <v>467</v>
      </c>
      <c r="B2346" s="211">
        <v>1908</v>
      </c>
      <c r="C2346" s="211">
        <v>1427</v>
      </c>
      <c r="D2346" s="211" t="s">
        <v>1255</v>
      </c>
      <c r="E2346" s="211" t="s">
        <v>10385</v>
      </c>
      <c r="F2346" s="211" t="s">
        <v>7219</v>
      </c>
    </row>
    <row r="2347" spans="1:6">
      <c r="A2347" s="211" t="s">
        <v>468</v>
      </c>
      <c r="B2347" s="211">
        <v>5805</v>
      </c>
      <c r="C2347" s="211">
        <v>1677</v>
      </c>
      <c r="D2347" s="211" t="s">
        <v>1255</v>
      </c>
      <c r="E2347" s="211" t="s">
        <v>6768</v>
      </c>
      <c r="F2347" s="211" t="s">
        <v>7265</v>
      </c>
    </row>
    <row r="2348" spans="1:6">
      <c r="A2348" s="211" t="s">
        <v>4781</v>
      </c>
      <c r="B2348" s="211">
        <v>6158</v>
      </c>
      <c r="C2348" s="211">
        <v>1206</v>
      </c>
      <c r="D2348" s="211" t="s">
        <v>1255</v>
      </c>
      <c r="E2348" s="211" t="s">
        <v>10385</v>
      </c>
      <c r="F2348" s="211" t="s">
        <v>7429</v>
      </c>
    </row>
    <row r="2349" spans="1:6">
      <c r="A2349" s="211" t="s">
        <v>4844</v>
      </c>
      <c r="B2349" s="211">
        <v>3878</v>
      </c>
      <c r="C2349" s="211">
        <v>1319</v>
      </c>
      <c r="D2349" s="211" t="s">
        <v>1255</v>
      </c>
      <c r="E2349" s="211" t="s">
        <v>10385</v>
      </c>
      <c r="F2349" s="211" t="s">
        <v>7459</v>
      </c>
    </row>
    <row r="2350" spans="1:6">
      <c r="A2350" s="211" t="s">
        <v>469</v>
      </c>
      <c r="B2350" s="211">
        <v>1167</v>
      </c>
      <c r="C2350" s="211">
        <v>915</v>
      </c>
      <c r="D2350" s="211" t="s">
        <v>1255</v>
      </c>
      <c r="E2350" s="211" t="s">
        <v>10385</v>
      </c>
      <c r="F2350" s="211" t="s">
        <v>7381</v>
      </c>
    </row>
    <row r="2351" spans="1:6">
      <c r="A2351" s="211" t="s">
        <v>5766</v>
      </c>
      <c r="B2351" s="211">
        <v>7250</v>
      </c>
      <c r="C2351" s="211">
        <v>743</v>
      </c>
      <c r="D2351" s="211" t="s">
        <v>1255</v>
      </c>
      <c r="E2351" s="211" t="s">
        <v>5767</v>
      </c>
      <c r="F2351" s="211" t="s">
        <v>7397</v>
      </c>
    </row>
    <row r="2352" spans="1:6">
      <c r="A2352" s="211" t="s">
        <v>470</v>
      </c>
      <c r="B2352" s="211">
        <v>1428</v>
      </c>
      <c r="C2352" s="211">
        <v>510</v>
      </c>
      <c r="D2352" s="211" t="s">
        <v>1255</v>
      </c>
      <c r="E2352" s="211" t="s">
        <v>10385</v>
      </c>
      <c r="F2352" s="211" t="s">
        <v>7376</v>
      </c>
    </row>
    <row r="2353" spans="1:6">
      <c r="A2353" s="211" t="s">
        <v>471</v>
      </c>
      <c r="B2353" s="211">
        <v>1559</v>
      </c>
      <c r="C2353" s="211">
        <v>850</v>
      </c>
      <c r="D2353" s="211" t="s">
        <v>1255</v>
      </c>
      <c r="E2353" s="211" t="s">
        <v>10385</v>
      </c>
      <c r="F2353" s="211" t="s">
        <v>7665</v>
      </c>
    </row>
    <row r="2354" spans="1:6">
      <c r="A2354" s="211" t="s">
        <v>472</v>
      </c>
      <c r="B2354" s="211">
        <v>4709</v>
      </c>
      <c r="C2354" s="211">
        <v>1176</v>
      </c>
      <c r="D2354" s="211" t="s">
        <v>1255</v>
      </c>
      <c r="E2354" s="211" t="s">
        <v>10385</v>
      </c>
      <c r="F2354" s="211" t="s">
        <v>7760</v>
      </c>
    </row>
    <row r="2355" spans="1:6">
      <c r="A2355" s="211" t="s">
        <v>7869</v>
      </c>
      <c r="B2355" s="211">
        <v>3719</v>
      </c>
      <c r="C2355" s="211" t="s">
        <v>10385</v>
      </c>
      <c r="D2355" s="211" t="s">
        <v>1255</v>
      </c>
      <c r="E2355" s="211" t="s">
        <v>10385</v>
      </c>
      <c r="F2355" s="211" t="s">
        <v>7192</v>
      </c>
    </row>
    <row r="2356" spans="1:6">
      <c r="A2356" s="211" t="s">
        <v>9381</v>
      </c>
      <c r="B2356" s="211">
        <v>7910</v>
      </c>
      <c r="C2356" s="211">
        <v>933</v>
      </c>
      <c r="D2356" s="211" t="s">
        <v>1255</v>
      </c>
      <c r="E2356" s="211" t="s">
        <v>9382</v>
      </c>
      <c r="F2356" s="211" t="s">
        <v>10413</v>
      </c>
    </row>
    <row r="2357" spans="1:6">
      <c r="A2357" s="211" t="s">
        <v>7870</v>
      </c>
      <c r="B2357" s="211">
        <v>904</v>
      </c>
      <c r="C2357" s="211" t="s">
        <v>10385</v>
      </c>
      <c r="D2357" s="211" t="s">
        <v>1255</v>
      </c>
      <c r="E2357" s="211" t="s">
        <v>10385</v>
      </c>
      <c r="F2357" s="211" t="s">
        <v>7239</v>
      </c>
    </row>
    <row r="2358" spans="1:6">
      <c r="A2358" s="211" t="s">
        <v>473</v>
      </c>
      <c r="B2358" s="211">
        <v>5574</v>
      </c>
      <c r="C2358" s="211">
        <v>1212</v>
      </c>
      <c r="D2358" s="211" t="s">
        <v>1255</v>
      </c>
      <c r="E2358" s="211" t="s">
        <v>10385</v>
      </c>
      <c r="F2358" s="211" t="s">
        <v>7167</v>
      </c>
    </row>
    <row r="2359" spans="1:6">
      <c r="A2359" s="211" t="s">
        <v>474</v>
      </c>
      <c r="B2359" s="211">
        <v>3427</v>
      </c>
      <c r="C2359" s="211">
        <v>1304</v>
      </c>
      <c r="D2359" s="211" t="s">
        <v>1255</v>
      </c>
      <c r="E2359" s="211" t="s">
        <v>10385</v>
      </c>
      <c r="F2359" s="211" t="s">
        <v>7249</v>
      </c>
    </row>
    <row r="2360" spans="1:6">
      <c r="A2360" s="211" t="s">
        <v>7871</v>
      </c>
      <c r="B2360" s="211">
        <v>374</v>
      </c>
      <c r="C2360" s="211" t="s">
        <v>10385</v>
      </c>
      <c r="D2360" s="211" t="s">
        <v>1255</v>
      </c>
      <c r="E2360" s="211" t="s">
        <v>10385</v>
      </c>
      <c r="F2360" s="211" t="s">
        <v>7483</v>
      </c>
    </row>
    <row r="2361" spans="1:6">
      <c r="A2361" s="211" t="s">
        <v>6769</v>
      </c>
      <c r="B2361" s="211">
        <v>7652</v>
      </c>
      <c r="C2361" s="211">
        <v>809</v>
      </c>
      <c r="D2361" s="211" t="s">
        <v>1255</v>
      </c>
      <c r="E2361" s="211" t="s">
        <v>9383</v>
      </c>
      <c r="F2361" s="211" t="s">
        <v>7328</v>
      </c>
    </row>
    <row r="2362" spans="1:6">
      <c r="A2362" s="211" t="s">
        <v>2951</v>
      </c>
      <c r="B2362" s="211">
        <v>2256</v>
      </c>
      <c r="C2362" s="211">
        <v>1259</v>
      </c>
      <c r="D2362" s="211" t="s">
        <v>1255</v>
      </c>
      <c r="E2362" s="211" t="s">
        <v>10385</v>
      </c>
      <c r="F2362" s="211" t="s">
        <v>7322</v>
      </c>
    </row>
    <row r="2363" spans="1:6">
      <c r="A2363" s="211" t="s">
        <v>4514</v>
      </c>
      <c r="B2363" s="211">
        <v>6550</v>
      </c>
      <c r="C2363" s="211">
        <v>911</v>
      </c>
      <c r="D2363" s="211" t="s">
        <v>1255</v>
      </c>
      <c r="E2363" s="211" t="s">
        <v>10385</v>
      </c>
      <c r="F2363" s="211" t="s">
        <v>7286</v>
      </c>
    </row>
    <row r="2364" spans="1:6">
      <c r="A2364" s="211" t="s">
        <v>9384</v>
      </c>
      <c r="B2364" s="211">
        <v>8352</v>
      </c>
      <c r="C2364" s="211">
        <v>789</v>
      </c>
      <c r="D2364" s="211" t="s">
        <v>1255</v>
      </c>
      <c r="E2364" s="211" t="s">
        <v>9385</v>
      </c>
      <c r="F2364" s="211" t="s">
        <v>7242</v>
      </c>
    </row>
    <row r="2365" spans="1:6">
      <c r="A2365" s="211" t="s">
        <v>5048</v>
      </c>
      <c r="B2365" s="211">
        <v>6473</v>
      </c>
      <c r="C2365" s="211">
        <v>1604</v>
      </c>
      <c r="D2365" s="211" t="s">
        <v>1255</v>
      </c>
      <c r="E2365" s="211" t="s">
        <v>5768</v>
      </c>
      <c r="F2365" s="211" t="s">
        <v>7171</v>
      </c>
    </row>
    <row r="2366" spans="1:6">
      <c r="A2366" s="211" t="s">
        <v>5049</v>
      </c>
      <c r="B2366" s="211">
        <v>6854</v>
      </c>
      <c r="C2366" s="211">
        <v>994</v>
      </c>
      <c r="D2366" s="211" t="s">
        <v>1255</v>
      </c>
      <c r="E2366" s="211" t="s">
        <v>10385</v>
      </c>
      <c r="F2366" s="211" t="s">
        <v>7323</v>
      </c>
    </row>
    <row r="2367" spans="1:6">
      <c r="A2367" s="211" t="s">
        <v>475</v>
      </c>
      <c r="B2367" s="211">
        <v>4466</v>
      </c>
      <c r="C2367" s="211">
        <v>485</v>
      </c>
      <c r="D2367" s="211" t="s">
        <v>1117</v>
      </c>
      <c r="E2367" s="211" t="s">
        <v>10385</v>
      </c>
      <c r="F2367" s="211" t="s">
        <v>7247</v>
      </c>
    </row>
    <row r="2368" spans="1:6">
      <c r="A2368" s="211" t="s">
        <v>4828</v>
      </c>
      <c r="B2368" s="211">
        <v>6099</v>
      </c>
      <c r="C2368" s="211">
        <v>1005</v>
      </c>
      <c r="D2368" s="211" t="s">
        <v>1255</v>
      </c>
      <c r="E2368" s="211" t="s">
        <v>9386</v>
      </c>
      <c r="F2368" s="211" t="s">
        <v>7457</v>
      </c>
    </row>
    <row r="2369" spans="1:6">
      <c r="A2369" s="211" t="s">
        <v>9387</v>
      </c>
      <c r="B2369" s="211">
        <v>8205</v>
      </c>
      <c r="C2369" s="211">
        <v>976</v>
      </c>
      <c r="D2369" s="211" t="s">
        <v>1255</v>
      </c>
      <c r="E2369" s="211" t="s">
        <v>10385</v>
      </c>
      <c r="F2369" s="211" t="s">
        <v>7561</v>
      </c>
    </row>
    <row r="2370" spans="1:6">
      <c r="A2370" s="211" t="s">
        <v>3004</v>
      </c>
      <c r="B2370" s="211">
        <v>1453</v>
      </c>
      <c r="C2370" s="211">
        <v>1695</v>
      </c>
      <c r="D2370" s="211" t="s">
        <v>1255</v>
      </c>
      <c r="E2370" s="211" t="s">
        <v>10385</v>
      </c>
      <c r="F2370" s="211" t="s">
        <v>7246</v>
      </c>
    </row>
    <row r="2371" spans="1:6">
      <c r="A2371" s="211" t="s">
        <v>4633</v>
      </c>
      <c r="B2371" s="211">
        <v>6342</v>
      </c>
      <c r="C2371" s="211">
        <v>661</v>
      </c>
      <c r="D2371" s="211" t="s">
        <v>1255</v>
      </c>
      <c r="E2371" s="211" t="s">
        <v>5769</v>
      </c>
      <c r="F2371" s="211" t="s">
        <v>7837</v>
      </c>
    </row>
    <row r="2372" spans="1:6">
      <c r="A2372" s="211" t="s">
        <v>476</v>
      </c>
      <c r="B2372" s="211">
        <v>708</v>
      </c>
      <c r="C2372" s="211">
        <v>1147</v>
      </c>
      <c r="D2372" s="211" t="s">
        <v>1255</v>
      </c>
      <c r="E2372" s="211" t="s">
        <v>10385</v>
      </c>
      <c r="F2372" s="211" t="s">
        <v>7223</v>
      </c>
    </row>
    <row r="2373" spans="1:6">
      <c r="A2373" s="211" t="s">
        <v>477</v>
      </c>
      <c r="B2373" s="211">
        <v>1203</v>
      </c>
      <c r="C2373" s="211">
        <v>846</v>
      </c>
      <c r="D2373" s="211" t="s">
        <v>1255</v>
      </c>
      <c r="E2373" s="211" t="s">
        <v>10385</v>
      </c>
      <c r="F2373" s="211" t="s">
        <v>7175</v>
      </c>
    </row>
    <row r="2374" spans="1:6">
      <c r="A2374" s="211" t="s">
        <v>478</v>
      </c>
      <c r="B2374" s="211">
        <v>2249</v>
      </c>
      <c r="C2374" s="211">
        <v>945</v>
      </c>
      <c r="D2374" s="211" t="s">
        <v>1255</v>
      </c>
      <c r="E2374" s="211" t="s">
        <v>10385</v>
      </c>
      <c r="F2374" s="211" t="s">
        <v>7536</v>
      </c>
    </row>
    <row r="2375" spans="1:6">
      <c r="A2375" s="211" t="s">
        <v>479</v>
      </c>
      <c r="B2375" s="211">
        <v>3635</v>
      </c>
      <c r="C2375" s="211">
        <v>1774</v>
      </c>
      <c r="D2375" s="211" t="s">
        <v>1255</v>
      </c>
      <c r="E2375" s="211" t="s">
        <v>10385</v>
      </c>
      <c r="F2375" s="211" t="s">
        <v>7240</v>
      </c>
    </row>
    <row r="2376" spans="1:6">
      <c r="A2376" s="211" t="s">
        <v>480</v>
      </c>
      <c r="B2376" s="211">
        <v>1156</v>
      </c>
      <c r="C2376" s="211">
        <v>1300</v>
      </c>
      <c r="D2376" s="211" t="s">
        <v>1255</v>
      </c>
      <c r="E2376" s="211" t="s">
        <v>10385</v>
      </c>
      <c r="F2376" s="211" t="s">
        <v>7274</v>
      </c>
    </row>
    <row r="2377" spans="1:6">
      <c r="A2377" s="211" t="s">
        <v>7872</v>
      </c>
      <c r="B2377" s="211">
        <v>543</v>
      </c>
      <c r="C2377" s="211" t="s">
        <v>10385</v>
      </c>
      <c r="D2377" s="211" t="s">
        <v>1255</v>
      </c>
      <c r="E2377" s="211" t="s">
        <v>10385</v>
      </c>
      <c r="F2377" s="211" t="s">
        <v>7255</v>
      </c>
    </row>
    <row r="2378" spans="1:6">
      <c r="A2378" s="211" t="s">
        <v>6770</v>
      </c>
      <c r="B2378" s="211">
        <v>7802</v>
      </c>
      <c r="C2378" s="211">
        <v>1223</v>
      </c>
      <c r="D2378" s="211" t="s">
        <v>1255</v>
      </c>
      <c r="E2378" s="211" t="s">
        <v>6771</v>
      </c>
      <c r="F2378" s="211" t="s">
        <v>7318</v>
      </c>
    </row>
    <row r="2379" spans="1:6">
      <c r="A2379" s="211" t="s">
        <v>6772</v>
      </c>
      <c r="B2379" s="211">
        <v>7700</v>
      </c>
      <c r="C2379" s="211">
        <v>559</v>
      </c>
      <c r="D2379" s="211" t="s">
        <v>1255</v>
      </c>
      <c r="E2379" s="211" t="s">
        <v>9388</v>
      </c>
      <c r="F2379" s="211" t="s">
        <v>7571</v>
      </c>
    </row>
    <row r="2380" spans="1:6">
      <c r="A2380" s="211" t="s">
        <v>10595</v>
      </c>
      <c r="B2380" s="211">
        <v>8585</v>
      </c>
      <c r="C2380" s="211">
        <v>1008</v>
      </c>
      <c r="D2380" s="211" t="s">
        <v>1255</v>
      </c>
      <c r="E2380" s="211" t="s">
        <v>10385</v>
      </c>
      <c r="F2380" s="211" t="s">
        <v>7224</v>
      </c>
    </row>
    <row r="2381" spans="1:6">
      <c r="A2381" s="211" t="s">
        <v>5770</v>
      </c>
      <c r="B2381" s="211">
        <v>7272</v>
      </c>
      <c r="C2381" s="211">
        <v>773</v>
      </c>
      <c r="D2381" s="211" t="s">
        <v>1117</v>
      </c>
      <c r="E2381" s="211" t="s">
        <v>10385</v>
      </c>
      <c r="F2381" s="211" t="s">
        <v>7458</v>
      </c>
    </row>
    <row r="2382" spans="1:6">
      <c r="A2382" s="211" t="s">
        <v>7873</v>
      </c>
      <c r="B2382" s="211">
        <v>5800</v>
      </c>
      <c r="C2382" s="211" t="s">
        <v>10385</v>
      </c>
      <c r="D2382" s="211" t="s">
        <v>1117</v>
      </c>
      <c r="E2382" s="211" t="s">
        <v>10385</v>
      </c>
      <c r="F2382" s="211" t="s">
        <v>7250</v>
      </c>
    </row>
    <row r="2383" spans="1:6">
      <c r="A2383" s="211" t="s">
        <v>481</v>
      </c>
      <c r="B2383" s="211">
        <v>3176</v>
      </c>
      <c r="C2383" s="211">
        <v>958</v>
      </c>
      <c r="D2383" s="211" t="s">
        <v>1255</v>
      </c>
      <c r="E2383" s="211" t="s">
        <v>10385</v>
      </c>
      <c r="F2383" s="211" t="s">
        <v>7874</v>
      </c>
    </row>
    <row r="2384" spans="1:6">
      <c r="A2384" s="211" t="s">
        <v>482</v>
      </c>
      <c r="B2384" s="211">
        <v>965</v>
      </c>
      <c r="C2384" s="211">
        <v>1752</v>
      </c>
      <c r="D2384" s="211" t="s">
        <v>1255</v>
      </c>
      <c r="E2384" s="211" t="s">
        <v>10385</v>
      </c>
      <c r="F2384" s="211" t="s">
        <v>7384</v>
      </c>
    </row>
    <row r="2385" spans="1:6">
      <c r="A2385" s="211" t="s">
        <v>10596</v>
      </c>
      <c r="B2385" s="211">
        <v>8716</v>
      </c>
      <c r="C2385" s="211">
        <v>599</v>
      </c>
      <c r="D2385" s="211" t="s">
        <v>1255</v>
      </c>
      <c r="E2385" s="211" t="s">
        <v>10597</v>
      </c>
      <c r="F2385" s="211" t="s">
        <v>9065</v>
      </c>
    </row>
    <row r="2386" spans="1:6">
      <c r="A2386" s="211" t="s">
        <v>7875</v>
      </c>
      <c r="B2386" s="211">
        <v>2000</v>
      </c>
      <c r="C2386" s="211" t="s">
        <v>10385</v>
      </c>
      <c r="D2386" s="211" t="s">
        <v>1255</v>
      </c>
      <c r="E2386" s="211" t="s">
        <v>10385</v>
      </c>
      <c r="F2386" s="211" t="s">
        <v>7322</v>
      </c>
    </row>
    <row r="2387" spans="1:6">
      <c r="A2387" s="211" t="s">
        <v>7876</v>
      </c>
      <c r="B2387" s="211">
        <v>3941</v>
      </c>
      <c r="C2387" s="211">
        <v>883</v>
      </c>
      <c r="D2387" s="211" t="s">
        <v>1255</v>
      </c>
      <c r="E2387" s="211" t="s">
        <v>10385</v>
      </c>
      <c r="F2387" s="211" t="s">
        <v>7365</v>
      </c>
    </row>
    <row r="2388" spans="1:6">
      <c r="A2388" s="211" t="s">
        <v>483</v>
      </c>
      <c r="B2388" s="211">
        <v>5904</v>
      </c>
      <c r="C2388" s="211">
        <v>951</v>
      </c>
      <c r="D2388" s="211" t="s">
        <v>1255</v>
      </c>
      <c r="E2388" s="211" t="s">
        <v>10385</v>
      </c>
      <c r="F2388" s="211" t="s">
        <v>7250</v>
      </c>
    </row>
    <row r="2389" spans="1:6">
      <c r="A2389" s="211" t="s">
        <v>7877</v>
      </c>
      <c r="B2389" s="211">
        <v>344</v>
      </c>
      <c r="C2389" s="211" t="s">
        <v>10385</v>
      </c>
      <c r="D2389" s="211" t="s">
        <v>1255</v>
      </c>
      <c r="E2389" s="211" t="s">
        <v>10385</v>
      </c>
      <c r="F2389" s="211" t="s">
        <v>7210</v>
      </c>
    </row>
    <row r="2390" spans="1:6">
      <c r="A2390" s="211" t="s">
        <v>2894</v>
      </c>
      <c r="B2390" s="211">
        <v>3339</v>
      </c>
      <c r="C2390" s="211">
        <v>648</v>
      </c>
      <c r="D2390" s="211" t="s">
        <v>1255</v>
      </c>
      <c r="E2390" s="211" t="s">
        <v>10385</v>
      </c>
      <c r="F2390" s="211" t="s">
        <v>7425</v>
      </c>
    </row>
    <row r="2391" spans="1:6">
      <c r="A2391" s="211" t="s">
        <v>6773</v>
      </c>
      <c r="B2391" s="211">
        <v>7727</v>
      </c>
      <c r="C2391" s="211">
        <v>613</v>
      </c>
      <c r="D2391" s="211" t="s">
        <v>1255</v>
      </c>
      <c r="E2391" s="211" t="s">
        <v>6826</v>
      </c>
      <c r="F2391" s="211" t="s">
        <v>7322</v>
      </c>
    </row>
    <row r="2392" spans="1:6">
      <c r="A2392" s="211" t="s">
        <v>484</v>
      </c>
      <c r="B2392" s="211">
        <v>3228</v>
      </c>
      <c r="C2392" s="211">
        <v>1621</v>
      </c>
      <c r="D2392" s="211" t="s">
        <v>1255</v>
      </c>
      <c r="E2392" s="211" t="s">
        <v>10385</v>
      </c>
      <c r="F2392" s="211" t="s">
        <v>7205</v>
      </c>
    </row>
    <row r="2393" spans="1:6">
      <c r="A2393" s="211" t="s">
        <v>485</v>
      </c>
      <c r="B2393" s="211">
        <v>508</v>
      </c>
      <c r="C2393" s="211">
        <v>1400</v>
      </c>
      <c r="D2393" s="211" t="s">
        <v>1255</v>
      </c>
      <c r="E2393" s="211" t="s">
        <v>10385</v>
      </c>
      <c r="F2393" s="211" t="s">
        <v>7486</v>
      </c>
    </row>
    <row r="2394" spans="1:6">
      <c r="A2394" s="211" t="s">
        <v>5771</v>
      </c>
      <c r="B2394" s="211">
        <v>7556</v>
      </c>
      <c r="C2394" s="211">
        <v>719</v>
      </c>
      <c r="D2394" s="211" t="s">
        <v>1255</v>
      </c>
      <c r="E2394" s="211" t="s">
        <v>9389</v>
      </c>
      <c r="F2394" s="211" t="s">
        <v>7656</v>
      </c>
    </row>
    <row r="2395" spans="1:6">
      <c r="A2395" s="211" t="s">
        <v>486</v>
      </c>
      <c r="B2395" s="211">
        <v>4585</v>
      </c>
      <c r="C2395" s="211">
        <v>866</v>
      </c>
      <c r="D2395" s="211" t="s">
        <v>1255</v>
      </c>
      <c r="E2395" s="211" t="s">
        <v>10385</v>
      </c>
      <c r="F2395" s="211" t="s">
        <v>7479</v>
      </c>
    </row>
    <row r="2396" spans="1:6">
      <c r="A2396" s="211" t="s">
        <v>487</v>
      </c>
      <c r="B2396" s="211">
        <v>2725</v>
      </c>
      <c r="C2396" s="211">
        <v>2506</v>
      </c>
      <c r="D2396" s="211" t="s">
        <v>1255</v>
      </c>
      <c r="E2396" s="211" t="s">
        <v>10385</v>
      </c>
      <c r="F2396" s="211" t="s">
        <v>7267</v>
      </c>
    </row>
    <row r="2397" spans="1:6">
      <c r="A2397" s="211" t="s">
        <v>5050</v>
      </c>
      <c r="B2397" s="211">
        <v>5209</v>
      </c>
      <c r="C2397" s="211">
        <v>2419</v>
      </c>
      <c r="D2397" s="211" t="s">
        <v>1117</v>
      </c>
      <c r="E2397" s="211" t="s">
        <v>6632</v>
      </c>
      <c r="F2397" s="211" t="s">
        <v>7267</v>
      </c>
    </row>
    <row r="2398" spans="1:6">
      <c r="A2398" s="211" t="s">
        <v>4515</v>
      </c>
      <c r="B2398" s="211">
        <v>6560</v>
      </c>
      <c r="C2398" s="211">
        <v>1056</v>
      </c>
      <c r="D2398" s="211" t="s">
        <v>1117</v>
      </c>
      <c r="E2398" s="211" t="s">
        <v>10385</v>
      </c>
      <c r="F2398" s="211" t="s">
        <v>7307</v>
      </c>
    </row>
    <row r="2399" spans="1:6">
      <c r="A2399" s="211" t="s">
        <v>488</v>
      </c>
      <c r="B2399" s="211">
        <v>1024</v>
      </c>
      <c r="C2399" s="211">
        <v>1300</v>
      </c>
      <c r="D2399" s="211" t="s">
        <v>1255</v>
      </c>
      <c r="E2399" s="211" t="s">
        <v>10385</v>
      </c>
      <c r="F2399" s="211" t="s">
        <v>7243</v>
      </c>
    </row>
    <row r="2400" spans="1:6">
      <c r="A2400" s="211" t="s">
        <v>9390</v>
      </c>
      <c r="B2400" s="211">
        <v>8195</v>
      </c>
      <c r="C2400" s="211">
        <v>1244</v>
      </c>
      <c r="D2400" s="211" t="s">
        <v>1117</v>
      </c>
      <c r="E2400" s="211" t="s">
        <v>9391</v>
      </c>
      <c r="F2400" s="211" t="s">
        <v>7217</v>
      </c>
    </row>
    <row r="2401" spans="1:6">
      <c r="A2401" s="211" t="s">
        <v>4829</v>
      </c>
      <c r="B2401" s="211">
        <v>6100</v>
      </c>
      <c r="C2401" s="211">
        <v>1046</v>
      </c>
      <c r="D2401" s="211" t="s">
        <v>1117</v>
      </c>
      <c r="E2401" s="211" t="s">
        <v>10385</v>
      </c>
      <c r="F2401" s="211" t="s">
        <v>7213</v>
      </c>
    </row>
    <row r="2402" spans="1:6">
      <c r="A2402" s="211" t="s">
        <v>4516</v>
      </c>
      <c r="B2402" s="211">
        <v>6559</v>
      </c>
      <c r="C2402" s="211">
        <v>612</v>
      </c>
      <c r="D2402" s="211" t="s">
        <v>1117</v>
      </c>
      <c r="E2402" s="211" t="s">
        <v>9392</v>
      </c>
      <c r="F2402" s="211" t="s">
        <v>7524</v>
      </c>
    </row>
    <row r="2403" spans="1:6">
      <c r="A2403" s="211" t="s">
        <v>489</v>
      </c>
      <c r="B2403" s="211">
        <v>1583</v>
      </c>
      <c r="C2403" s="211">
        <v>890</v>
      </c>
      <c r="D2403" s="211" t="s">
        <v>1255</v>
      </c>
      <c r="E2403" s="211" t="s">
        <v>10385</v>
      </c>
      <c r="F2403" s="211" t="s">
        <v>7581</v>
      </c>
    </row>
    <row r="2404" spans="1:6">
      <c r="A2404" s="211" t="s">
        <v>490</v>
      </c>
      <c r="B2404" s="211">
        <v>4610</v>
      </c>
      <c r="C2404" s="211">
        <v>1405</v>
      </c>
      <c r="D2404" s="211" t="s">
        <v>1255</v>
      </c>
      <c r="E2404" s="211" t="s">
        <v>10385</v>
      </c>
      <c r="F2404" s="211" t="s">
        <v>7429</v>
      </c>
    </row>
    <row r="2405" spans="1:6">
      <c r="A2405" s="211" t="s">
        <v>491</v>
      </c>
      <c r="B2405" s="211">
        <v>2655</v>
      </c>
      <c r="C2405" s="211">
        <v>1599</v>
      </c>
      <c r="D2405" s="211" t="s">
        <v>1255</v>
      </c>
      <c r="E2405" s="211" t="s">
        <v>10385</v>
      </c>
      <c r="F2405" s="211" t="s">
        <v>7248</v>
      </c>
    </row>
    <row r="2406" spans="1:6">
      <c r="A2406" s="211" t="s">
        <v>10598</v>
      </c>
      <c r="B2406" s="211">
        <v>8694</v>
      </c>
      <c r="C2406" s="211">
        <v>736</v>
      </c>
      <c r="D2406" s="211" t="s">
        <v>1255</v>
      </c>
      <c r="E2406" s="211" t="s">
        <v>10599</v>
      </c>
      <c r="F2406" s="211" t="s">
        <v>7556</v>
      </c>
    </row>
    <row r="2407" spans="1:6">
      <c r="A2407" s="211" t="s">
        <v>7878</v>
      </c>
      <c r="B2407" s="211">
        <v>604</v>
      </c>
      <c r="C2407" s="211" t="s">
        <v>10385</v>
      </c>
      <c r="D2407" s="211" t="s">
        <v>1255</v>
      </c>
      <c r="E2407" s="211" t="s">
        <v>10385</v>
      </c>
      <c r="F2407" s="211" t="s">
        <v>7262</v>
      </c>
    </row>
    <row r="2408" spans="1:6">
      <c r="A2408" s="211" t="s">
        <v>492</v>
      </c>
      <c r="B2408" s="211">
        <v>4829</v>
      </c>
      <c r="C2408" s="211">
        <v>789</v>
      </c>
      <c r="D2408" s="211" t="s">
        <v>1255</v>
      </c>
      <c r="E2408" s="211" t="s">
        <v>10385</v>
      </c>
      <c r="F2408" s="211" t="s">
        <v>7325</v>
      </c>
    </row>
    <row r="2409" spans="1:6">
      <c r="A2409" s="211" t="s">
        <v>9393</v>
      </c>
      <c r="B2409" s="211">
        <v>8292</v>
      </c>
      <c r="C2409" s="211">
        <v>1845</v>
      </c>
      <c r="D2409" s="211" t="s">
        <v>1255</v>
      </c>
      <c r="E2409" s="211" t="s">
        <v>10600</v>
      </c>
      <c r="F2409" s="211" t="s">
        <v>7510</v>
      </c>
    </row>
    <row r="2410" spans="1:6">
      <c r="A2410" s="211" t="s">
        <v>493</v>
      </c>
      <c r="B2410" s="211">
        <v>2645</v>
      </c>
      <c r="C2410" s="211">
        <v>884</v>
      </c>
      <c r="D2410" s="211" t="s">
        <v>1255</v>
      </c>
      <c r="E2410" s="211" t="s">
        <v>10385</v>
      </c>
      <c r="F2410" s="211" t="s">
        <v>7382</v>
      </c>
    </row>
    <row r="2411" spans="1:6">
      <c r="A2411" s="211" t="s">
        <v>494</v>
      </c>
      <c r="B2411" s="211">
        <v>2530</v>
      </c>
      <c r="C2411" s="211">
        <v>1014</v>
      </c>
      <c r="D2411" s="211" t="s">
        <v>1255</v>
      </c>
      <c r="E2411" s="211" t="s">
        <v>10385</v>
      </c>
      <c r="F2411" s="211" t="s">
        <v>7207</v>
      </c>
    </row>
    <row r="2412" spans="1:6">
      <c r="A2412" s="211" t="s">
        <v>4753</v>
      </c>
      <c r="B2412" s="211">
        <v>6210</v>
      </c>
      <c r="C2412" s="211">
        <v>1381</v>
      </c>
      <c r="D2412" s="211" t="s">
        <v>1117</v>
      </c>
      <c r="E2412" s="211" t="s">
        <v>10385</v>
      </c>
      <c r="F2412" s="211" t="s">
        <v>7292</v>
      </c>
    </row>
    <row r="2413" spans="1:6">
      <c r="A2413" s="211" t="s">
        <v>7879</v>
      </c>
      <c r="B2413" s="211">
        <v>3713</v>
      </c>
      <c r="C2413" s="211" t="s">
        <v>10385</v>
      </c>
      <c r="D2413" s="211" t="s">
        <v>1255</v>
      </c>
      <c r="E2413" s="211" t="s">
        <v>10385</v>
      </c>
      <c r="F2413" s="211" t="s">
        <v>7192</v>
      </c>
    </row>
    <row r="2414" spans="1:6">
      <c r="A2414" s="211" t="s">
        <v>495</v>
      </c>
      <c r="B2414" s="211">
        <v>4029</v>
      </c>
      <c r="C2414" s="211">
        <v>970</v>
      </c>
      <c r="D2414" s="211" t="s">
        <v>1255</v>
      </c>
      <c r="E2414" s="211" t="s">
        <v>10385</v>
      </c>
      <c r="F2414" s="211" t="s">
        <v>7177</v>
      </c>
    </row>
    <row r="2415" spans="1:6">
      <c r="A2415" s="211" t="s">
        <v>8916</v>
      </c>
      <c r="B2415" s="211">
        <v>6024</v>
      </c>
      <c r="C2415" s="211" t="s">
        <v>10385</v>
      </c>
      <c r="D2415" s="211" t="s">
        <v>1255</v>
      </c>
      <c r="E2415" s="211" t="s">
        <v>10385</v>
      </c>
      <c r="F2415" s="211" t="s">
        <v>7272</v>
      </c>
    </row>
    <row r="2416" spans="1:6">
      <c r="A2416" s="211" t="s">
        <v>8917</v>
      </c>
      <c r="B2416" s="211">
        <v>2878</v>
      </c>
      <c r="C2416" s="211">
        <v>1139</v>
      </c>
      <c r="D2416" s="211" t="s">
        <v>1255</v>
      </c>
      <c r="E2416" s="211" t="s">
        <v>10385</v>
      </c>
      <c r="F2416" s="211" t="s">
        <v>7316</v>
      </c>
    </row>
    <row r="2417" spans="1:6">
      <c r="A2417" s="211" t="s">
        <v>9394</v>
      </c>
      <c r="B2417" s="211">
        <v>7995</v>
      </c>
      <c r="C2417" s="211">
        <v>1016</v>
      </c>
      <c r="D2417" s="211" t="s">
        <v>1255</v>
      </c>
      <c r="E2417" s="211" t="s">
        <v>10601</v>
      </c>
      <c r="F2417" s="211" t="s">
        <v>7275</v>
      </c>
    </row>
    <row r="2418" spans="1:6">
      <c r="A2418" s="211" t="s">
        <v>9395</v>
      </c>
      <c r="B2418" s="211">
        <v>7959</v>
      </c>
      <c r="C2418" s="211">
        <v>1152</v>
      </c>
      <c r="D2418" s="211" t="s">
        <v>1255</v>
      </c>
      <c r="E2418" s="211" t="s">
        <v>9396</v>
      </c>
      <c r="F2418" s="211" t="s">
        <v>7325</v>
      </c>
    </row>
    <row r="2419" spans="1:6">
      <c r="A2419" s="211" t="s">
        <v>496</v>
      </c>
      <c r="B2419" s="211">
        <v>3486</v>
      </c>
      <c r="C2419" s="211">
        <v>700</v>
      </c>
      <c r="D2419" s="211" t="s">
        <v>1255</v>
      </c>
      <c r="E2419" s="211" t="s">
        <v>10385</v>
      </c>
      <c r="F2419" s="211" t="s">
        <v>7438</v>
      </c>
    </row>
    <row r="2420" spans="1:6">
      <c r="A2420" s="211" t="s">
        <v>9397</v>
      </c>
      <c r="B2420" s="211">
        <v>8281</v>
      </c>
      <c r="C2420" s="211">
        <v>996</v>
      </c>
      <c r="D2420" s="211" t="s">
        <v>1255</v>
      </c>
      <c r="E2420" s="211" t="s">
        <v>10602</v>
      </c>
      <c r="F2420" s="211" t="s">
        <v>7490</v>
      </c>
    </row>
    <row r="2421" spans="1:6">
      <c r="A2421" s="211" t="s">
        <v>7880</v>
      </c>
      <c r="B2421" s="211">
        <v>7</v>
      </c>
      <c r="C2421" s="211" t="s">
        <v>10385</v>
      </c>
      <c r="D2421" s="211" t="s">
        <v>1255</v>
      </c>
      <c r="E2421" s="211" t="s">
        <v>10385</v>
      </c>
      <c r="F2421" s="211" t="s">
        <v>7196</v>
      </c>
    </row>
    <row r="2422" spans="1:6">
      <c r="A2422" s="211" t="s">
        <v>2949</v>
      </c>
      <c r="B2422" s="211">
        <v>1845</v>
      </c>
      <c r="C2422" s="211">
        <v>1049</v>
      </c>
      <c r="D2422" s="211" t="s">
        <v>1117</v>
      </c>
      <c r="E2422" s="211" t="s">
        <v>10385</v>
      </c>
      <c r="F2422" s="211" t="s">
        <v>7335</v>
      </c>
    </row>
    <row r="2423" spans="1:6">
      <c r="A2423" s="211" t="s">
        <v>497</v>
      </c>
      <c r="B2423" s="211">
        <v>3181</v>
      </c>
      <c r="C2423" s="211">
        <v>867</v>
      </c>
      <c r="D2423" s="211" t="s">
        <v>1255</v>
      </c>
      <c r="E2423" s="211" t="s">
        <v>10385</v>
      </c>
      <c r="F2423" s="211" t="s">
        <v>7874</v>
      </c>
    </row>
    <row r="2424" spans="1:6">
      <c r="A2424" s="211" t="s">
        <v>498</v>
      </c>
      <c r="B2424" s="211">
        <v>3186</v>
      </c>
      <c r="C2424" s="211">
        <v>899</v>
      </c>
      <c r="D2424" s="211" t="s">
        <v>1255</v>
      </c>
      <c r="E2424" s="211" t="s">
        <v>10385</v>
      </c>
      <c r="F2424" s="211" t="s">
        <v>7874</v>
      </c>
    </row>
    <row r="2425" spans="1:6">
      <c r="A2425" s="211" t="s">
        <v>7881</v>
      </c>
      <c r="B2425" s="211">
        <v>3637</v>
      </c>
      <c r="C2425" s="211" t="s">
        <v>10385</v>
      </c>
      <c r="D2425" s="211" t="s">
        <v>1255</v>
      </c>
      <c r="E2425" s="211" t="s">
        <v>10385</v>
      </c>
      <c r="F2425" s="211" t="s">
        <v>7386</v>
      </c>
    </row>
    <row r="2426" spans="1:6">
      <c r="A2426" s="211" t="s">
        <v>7882</v>
      </c>
      <c r="B2426" s="211">
        <v>2467</v>
      </c>
      <c r="C2426" s="211" t="s">
        <v>10385</v>
      </c>
      <c r="D2426" s="211" t="s">
        <v>1255</v>
      </c>
      <c r="E2426" s="211" t="s">
        <v>10385</v>
      </c>
      <c r="F2426" s="211" t="s">
        <v>7404</v>
      </c>
    </row>
    <row r="2427" spans="1:6">
      <c r="A2427" s="211" t="s">
        <v>5051</v>
      </c>
      <c r="B2427" s="211">
        <v>6875</v>
      </c>
      <c r="C2427" s="211">
        <v>1144</v>
      </c>
      <c r="D2427" s="211" t="s">
        <v>1255</v>
      </c>
      <c r="E2427" s="211" t="s">
        <v>10385</v>
      </c>
      <c r="F2427" s="211" t="s">
        <v>10424</v>
      </c>
    </row>
    <row r="2428" spans="1:6">
      <c r="A2428" s="211" t="s">
        <v>499</v>
      </c>
      <c r="B2428" s="211">
        <v>2911</v>
      </c>
      <c r="C2428" s="211">
        <v>1206</v>
      </c>
      <c r="D2428" s="211" t="s">
        <v>1117</v>
      </c>
      <c r="E2428" s="211" t="s">
        <v>10385</v>
      </c>
      <c r="F2428" s="211" t="s">
        <v>7272</v>
      </c>
    </row>
    <row r="2429" spans="1:6">
      <c r="A2429" s="211" t="s">
        <v>500</v>
      </c>
      <c r="B2429" s="211">
        <v>2713</v>
      </c>
      <c r="C2429" s="211">
        <v>1460</v>
      </c>
      <c r="D2429" s="211" t="s">
        <v>1255</v>
      </c>
      <c r="E2429" s="211" t="s">
        <v>10385</v>
      </c>
      <c r="F2429" s="211" t="s">
        <v>7365</v>
      </c>
    </row>
    <row r="2430" spans="1:6">
      <c r="A2430" s="211" t="s">
        <v>10603</v>
      </c>
      <c r="B2430" s="211">
        <v>8712</v>
      </c>
      <c r="C2430" s="211">
        <v>2324</v>
      </c>
      <c r="D2430" s="211" t="s">
        <v>1255</v>
      </c>
      <c r="E2430" s="211" t="s">
        <v>10385</v>
      </c>
      <c r="F2430" s="211" t="s">
        <v>10604</v>
      </c>
    </row>
    <row r="2431" spans="1:6">
      <c r="A2431" s="211" t="s">
        <v>5772</v>
      </c>
      <c r="B2431" s="211">
        <v>7024</v>
      </c>
      <c r="C2431" s="211">
        <v>1119</v>
      </c>
      <c r="D2431" s="211" t="s">
        <v>1255</v>
      </c>
      <c r="E2431" s="211" t="s">
        <v>5773</v>
      </c>
      <c r="F2431" s="211" t="s">
        <v>7242</v>
      </c>
    </row>
    <row r="2432" spans="1:6">
      <c r="A2432" s="211" t="s">
        <v>501</v>
      </c>
      <c r="B2432" s="211">
        <v>4539</v>
      </c>
      <c r="C2432" s="211">
        <v>1187</v>
      </c>
      <c r="D2432" s="211" t="s">
        <v>1117</v>
      </c>
      <c r="E2432" s="211" t="s">
        <v>10385</v>
      </c>
      <c r="F2432" s="211" t="s">
        <v>7262</v>
      </c>
    </row>
    <row r="2433" spans="1:6">
      <c r="A2433" s="211" t="s">
        <v>502</v>
      </c>
      <c r="B2433" s="211">
        <v>2547</v>
      </c>
      <c r="C2433" s="211">
        <v>744</v>
      </c>
      <c r="D2433" s="211" t="s">
        <v>1117</v>
      </c>
      <c r="E2433" s="211" t="s">
        <v>10385</v>
      </c>
      <c r="F2433" s="211" t="s">
        <v>7250</v>
      </c>
    </row>
    <row r="2434" spans="1:6">
      <c r="A2434" s="211" t="s">
        <v>9398</v>
      </c>
      <c r="B2434" s="211">
        <v>7928</v>
      </c>
      <c r="C2434" s="211">
        <v>1323</v>
      </c>
      <c r="D2434" s="211" t="s">
        <v>1255</v>
      </c>
      <c r="E2434" s="211" t="s">
        <v>9399</v>
      </c>
      <c r="F2434" s="211" t="s">
        <v>7210</v>
      </c>
    </row>
    <row r="2435" spans="1:6">
      <c r="A2435" s="211" t="s">
        <v>503</v>
      </c>
      <c r="B2435" s="211">
        <v>5055</v>
      </c>
      <c r="C2435" s="211">
        <v>1198</v>
      </c>
      <c r="D2435" s="211" t="s">
        <v>1255</v>
      </c>
      <c r="E2435" s="211" t="s">
        <v>10385</v>
      </c>
      <c r="F2435" s="211" t="s">
        <v>7210</v>
      </c>
    </row>
    <row r="2436" spans="1:6">
      <c r="A2436" s="211" t="s">
        <v>504</v>
      </c>
      <c r="B2436" s="211">
        <v>2161</v>
      </c>
      <c r="C2436" s="211">
        <v>635</v>
      </c>
      <c r="D2436" s="211" t="s">
        <v>1255</v>
      </c>
      <c r="E2436" s="211" t="s">
        <v>10385</v>
      </c>
      <c r="F2436" s="211" t="s">
        <v>7446</v>
      </c>
    </row>
    <row r="2437" spans="1:6">
      <c r="A2437" s="211" t="s">
        <v>4562</v>
      </c>
      <c r="B2437" s="211">
        <v>6466</v>
      </c>
      <c r="C2437" s="211">
        <v>1977</v>
      </c>
      <c r="D2437" s="211" t="s">
        <v>1255</v>
      </c>
      <c r="E2437" s="211" t="s">
        <v>10385</v>
      </c>
      <c r="F2437" s="211" t="s">
        <v>7277</v>
      </c>
    </row>
    <row r="2438" spans="1:6">
      <c r="A2438" s="211" t="s">
        <v>505</v>
      </c>
      <c r="B2438" s="211">
        <v>5926</v>
      </c>
      <c r="C2438" s="211">
        <v>1986</v>
      </c>
      <c r="D2438" s="211" t="s">
        <v>1255</v>
      </c>
      <c r="E2438" s="211" t="s">
        <v>10385</v>
      </c>
      <c r="F2438" s="211" t="s">
        <v>7210</v>
      </c>
    </row>
    <row r="2439" spans="1:6">
      <c r="A2439" s="211" t="s">
        <v>506</v>
      </c>
      <c r="B2439" s="211">
        <v>5074</v>
      </c>
      <c r="C2439" s="211">
        <v>1272</v>
      </c>
      <c r="D2439" s="211" t="s">
        <v>1255</v>
      </c>
      <c r="E2439" s="211" t="s">
        <v>10385</v>
      </c>
      <c r="F2439" s="211" t="s">
        <v>7349</v>
      </c>
    </row>
    <row r="2440" spans="1:6">
      <c r="A2440" s="211" t="s">
        <v>507</v>
      </c>
      <c r="B2440" s="211">
        <v>3520</v>
      </c>
      <c r="C2440" s="211">
        <v>1746</v>
      </c>
      <c r="D2440" s="211" t="s">
        <v>1255</v>
      </c>
      <c r="E2440" s="211" t="s">
        <v>10385</v>
      </c>
      <c r="F2440" s="211" t="s">
        <v>7295</v>
      </c>
    </row>
    <row r="2441" spans="1:6">
      <c r="A2441" s="211" t="s">
        <v>508</v>
      </c>
      <c r="B2441" s="211">
        <v>5483</v>
      </c>
      <c r="C2441" s="211">
        <v>1200</v>
      </c>
      <c r="D2441" s="211" t="s">
        <v>1255</v>
      </c>
      <c r="E2441" s="211" t="s">
        <v>10605</v>
      </c>
      <c r="F2441" s="211" t="s">
        <v>7233</v>
      </c>
    </row>
    <row r="2442" spans="1:6">
      <c r="A2442" s="211" t="s">
        <v>509</v>
      </c>
      <c r="B2442" s="211">
        <v>5689</v>
      </c>
      <c r="C2442" s="211">
        <v>1090</v>
      </c>
      <c r="D2442" s="211" t="s">
        <v>1255</v>
      </c>
      <c r="E2442" s="211" t="s">
        <v>10385</v>
      </c>
      <c r="F2442" s="211" t="s">
        <v>7441</v>
      </c>
    </row>
    <row r="2443" spans="1:6">
      <c r="A2443" s="211" t="s">
        <v>6774</v>
      </c>
      <c r="B2443" s="211">
        <v>7831</v>
      </c>
      <c r="C2443" s="211">
        <v>1022</v>
      </c>
      <c r="D2443" s="211" t="s">
        <v>1255</v>
      </c>
      <c r="E2443" s="211" t="s">
        <v>6775</v>
      </c>
      <c r="F2443" s="211" t="s">
        <v>7335</v>
      </c>
    </row>
    <row r="2444" spans="1:6">
      <c r="A2444" s="211" t="s">
        <v>510</v>
      </c>
      <c r="B2444" s="211">
        <v>5215</v>
      </c>
      <c r="C2444" s="211">
        <v>1005</v>
      </c>
      <c r="D2444" s="211" t="s">
        <v>1255</v>
      </c>
      <c r="E2444" s="211" t="s">
        <v>10385</v>
      </c>
      <c r="F2444" s="211" t="s">
        <v>7303</v>
      </c>
    </row>
    <row r="2445" spans="1:6">
      <c r="A2445" s="211" t="s">
        <v>6776</v>
      </c>
      <c r="B2445" s="211">
        <v>7753</v>
      </c>
      <c r="C2445" s="211">
        <v>913</v>
      </c>
      <c r="D2445" s="211" t="s">
        <v>1255</v>
      </c>
      <c r="E2445" s="211" t="s">
        <v>6777</v>
      </c>
      <c r="F2445" s="211" t="s">
        <v>7561</v>
      </c>
    </row>
    <row r="2446" spans="1:6">
      <c r="A2446" s="211" t="s">
        <v>511</v>
      </c>
      <c r="B2446" s="211">
        <v>5016</v>
      </c>
      <c r="C2446" s="211">
        <v>1085</v>
      </c>
      <c r="D2446" s="211" t="s">
        <v>1255</v>
      </c>
      <c r="E2446" s="211" t="s">
        <v>10385</v>
      </c>
      <c r="F2446" s="211" t="s">
        <v>7330</v>
      </c>
    </row>
    <row r="2447" spans="1:6">
      <c r="A2447" s="211" t="s">
        <v>6778</v>
      </c>
      <c r="B2447" s="211">
        <v>7722</v>
      </c>
      <c r="C2447" s="211">
        <v>1201</v>
      </c>
      <c r="D2447" s="211" t="s">
        <v>1255</v>
      </c>
      <c r="E2447" s="211" t="s">
        <v>6779</v>
      </c>
      <c r="F2447" s="211" t="s">
        <v>7532</v>
      </c>
    </row>
    <row r="2448" spans="1:6">
      <c r="A2448" s="211" t="s">
        <v>9400</v>
      </c>
      <c r="B2448" s="211">
        <v>8432</v>
      </c>
      <c r="C2448" s="211">
        <v>794</v>
      </c>
      <c r="D2448" s="211" t="s">
        <v>1255</v>
      </c>
      <c r="E2448" s="211" t="s">
        <v>10606</v>
      </c>
      <c r="F2448" s="211" t="s">
        <v>7629</v>
      </c>
    </row>
    <row r="2449" spans="1:6">
      <c r="A2449" s="211" t="s">
        <v>6780</v>
      </c>
      <c r="B2449" s="211">
        <v>7749</v>
      </c>
      <c r="C2449" s="211">
        <v>831</v>
      </c>
      <c r="D2449" s="211" t="s">
        <v>1255</v>
      </c>
      <c r="E2449" s="211" t="s">
        <v>6781</v>
      </c>
      <c r="F2449" s="211" t="s">
        <v>7323</v>
      </c>
    </row>
    <row r="2450" spans="1:6">
      <c r="A2450" s="211" t="s">
        <v>2191</v>
      </c>
      <c r="B2450" s="211">
        <v>4187</v>
      </c>
      <c r="C2450" s="211">
        <v>1180</v>
      </c>
      <c r="D2450" s="211" t="s">
        <v>1117</v>
      </c>
      <c r="E2450" s="211" t="s">
        <v>10385</v>
      </c>
      <c r="F2450" s="211" t="s">
        <v>7223</v>
      </c>
    </row>
    <row r="2451" spans="1:6">
      <c r="A2451" s="211" t="s">
        <v>10351</v>
      </c>
      <c r="B2451" s="211">
        <v>886</v>
      </c>
      <c r="C2451" s="211" t="s">
        <v>10385</v>
      </c>
      <c r="D2451" s="211" t="s">
        <v>1255</v>
      </c>
      <c r="E2451" s="211" t="s">
        <v>10385</v>
      </c>
      <c r="F2451" s="211" t="s">
        <v>7261</v>
      </c>
    </row>
    <row r="2452" spans="1:6">
      <c r="A2452" s="211" t="s">
        <v>9401</v>
      </c>
      <c r="B2452" s="211">
        <v>7917</v>
      </c>
      <c r="C2452" s="211">
        <v>1001</v>
      </c>
      <c r="D2452" s="211" t="s">
        <v>1255</v>
      </c>
      <c r="E2452" s="211" t="s">
        <v>9402</v>
      </c>
      <c r="F2452" s="211" t="s">
        <v>7223</v>
      </c>
    </row>
    <row r="2453" spans="1:6">
      <c r="A2453" s="211" t="s">
        <v>2192</v>
      </c>
      <c r="B2453" s="211">
        <v>3304</v>
      </c>
      <c r="C2453" s="211">
        <v>1237</v>
      </c>
      <c r="D2453" s="211" t="s">
        <v>1255</v>
      </c>
      <c r="E2453" s="211" t="s">
        <v>10385</v>
      </c>
      <c r="F2453" s="211" t="s">
        <v>7334</v>
      </c>
    </row>
    <row r="2454" spans="1:6">
      <c r="A2454" s="211" t="s">
        <v>2193</v>
      </c>
      <c r="B2454" s="211">
        <v>913</v>
      </c>
      <c r="C2454" s="211">
        <v>2018</v>
      </c>
      <c r="D2454" s="211" t="s">
        <v>1255</v>
      </c>
      <c r="E2454" s="211" t="s">
        <v>10385</v>
      </c>
      <c r="F2454" s="211" t="s">
        <v>7267</v>
      </c>
    </row>
    <row r="2455" spans="1:6">
      <c r="A2455" s="211" t="s">
        <v>2194</v>
      </c>
      <c r="B2455" s="211">
        <v>3257</v>
      </c>
      <c r="C2455" s="211">
        <v>738</v>
      </c>
      <c r="D2455" s="211" t="s">
        <v>1255</v>
      </c>
      <c r="E2455" s="211" t="s">
        <v>10385</v>
      </c>
      <c r="F2455" s="211" t="s">
        <v>7312</v>
      </c>
    </row>
    <row r="2456" spans="1:6">
      <c r="A2456" s="211" t="s">
        <v>4634</v>
      </c>
      <c r="B2456" s="211">
        <v>6353</v>
      </c>
      <c r="C2456" s="211">
        <v>411</v>
      </c>
      <c r="D2456" s="211" t="s">
        <v>1255</v>
      </c>
      <c r="E2456" s="211" t="s">
        <v>10385</v>
      </c>
      <c r="F2456" s="211" t="s">
        <v>7571</v>
      </c>
    </row>
    <row r="2457" spans="1:6">
      <c r="A2457" s="211" t="s">
        <v>9403</v>
      </c>
      <c r="B2457" s="211">
        <v>8236</v>
      </c>
      <c r="C2457" s="211">
        <v>1080</v>
      </c>
      <c r="D2457" s="211" t="s">
        <v>1255</v>
      </c>
      <c r="E2457" s="211" t="s">
        <v>10385</v>
      </c>
      <c r="F2457" s="211" t="s">
        <v>7384</v>
      </c>
    </row>
    <row r="2458" spans="1:6">
      <c r="A2458" s="211" t="s">
        <v>9404</v>
      </c>
      <c r="B2458" s="211">
        <v>8238</v>
      </c>
      <c r="C2458" s="211" t="s">
        <v>10385</v>
      </c>
      <c r="D2458" s="211" t="s">
        <v>1255</v>
      </c>
      <c r="E2458" s="211" t="s">
        <v>10385</v>
      </c>
      <c r="F2458" s="211" t="s">
        <v>7384</v>
      </c>
    </row>
    <row r="2459" spans="1:6">
      <c r="A2459" s="211" t="s">
        <v>2195</v>
      </c>
      <c r="B2459" s="211">
        <v>3898</v>
      </c>
      <c r="C2459" s="211">
        <v>1149</v>
      </c>
      <c r="D2459" s="211" t="s">
        <v>1255</v>
      </c>
      <c r="E2459" s="211" t="s">
        <v>10385</v>
      </c>
      <c r="F2459" s="211" t="s">
        <v>7760</v>
      </c>
    </row>
    <row r="2460" spans="1:6">
      <c r="A2460" s="211" t="s">
        <v>4729</v>
      </c>
      <c r="B2460" s="211">
        <v>6211</v>
      </c>
      <c r="C2460" s="211">
        <v>1979</v>
      </c>
      <c r="D2460" s="211" t="s">
        <v>1255</v>
      </c>
      <c r="E2460" s="211" t="s">
        <v>5774</v>
      </c>
      <c r="F2460" s="211" t="s">
        <v>7510</v>
      </c>
    </row>
    <row r="2461" spans="1:6">
      <c r="A2461" s="211" t="s">
        <v>5775</v>
      </c>
      <c r="B2461" s="211">
        <v>7169</v>
      </c>
      <c r="C2461" s="211">
        <v>1270</v>
      </c>
      <c r="D2461" s="211" t="s">
        <v>1255</v>
      </c>
      <c r="E2461" s="211" t="s">
        <v>5776</v>
      </c>
      <c r="F2461" s="211" t="s">
        <v>7583</v>
      </c>
    </row>
    <row r="2462" spans="1:6">
      <c r="A2462" s="211" t="s">
        <v>7883</v>
      </c>
      <c r="B2462" s="211">
        <v>6489</v>
      </c>
      <c r="C2462" s="211">
        <v>973</v>
      </c>
      <c r="D2462" s="211" t="s">
        <v>1255</v>
      </c>
      <c r="E2462" s="211" t="s">
        <v>10385</v>
      </c>
      <c r="F2462" s="211" t="s">
        <v>7392</v>
      </c>
    </row>
    <row r="2463" spans="1:6">
      <c r="A2463" s="211" t="s">
        <v>2196</v>
      </c>
      <c r="B2463" s="211">
        <v>4368</v>
      </c>
      <c r="C2463" s="211">
        <v>1156</v>
      </c>
      <c r="D2463" s="211" t="s">
        <v>1255</v>
      </c>
      <c r="E2463" s="211" t="s">
        <v>10385</v>
      </c>
      <c r="F2463" s="211" t="s">
        <v>7427</v>
      </c>
    </row>
    <row r="2464" spans="1:6">
      <c r="A2464" s="211" t="s">
        <v>2197</v>
      </c>
      <c r="B2464" s="211">
        <v>1454</v>
      </c>
      <c r="C2464" s="211">
        <v>1345</v>
      </c>
      <c r="D2464" s="211" t="s">
        <v>1255</v>
      </c>
      <c r="E2464" s="211" t="s">
        <v>10385</v>
      </c>
      <c r="F2464" s="211" t="s">
        <v>7246</v>
      </c>
    </row>
    <row r="2465" spans="1:6">
      <c r="A2465" s="211" t="s">
        <v>7884</v>
      </c>
      <c r="B2465" s="211">
        <v>493</v>
      </c>
      <c r="C2465" s="211" t="s">
        <v>10385</v>
      </c>
      <c r="D2465" s="211" t="s">
        <v>1255</v>
      </c>
      <c r="E2465" s="211" t="s">
        <v>10385</v>
      </c>
      <c r="F2465" s="211" t="s">
        <v>7402</v>
      </c>
    </row>
    <row r="2466" spans="1:6">
      <c r="A2466" s="211" t="s">
        <v>9405</v>
      </c>
      <c r="B2466" s="211">
        <v>8451</v>
      </c>
      <c r="C2466" s="211">
        <v>964</v>
      </c>
      <c r="D2466" s="211" t="s">
        <v>1255</v>
      </c>
      <c r="E2466" s="211" t="s">
        <v>9406</v>
      </c>
      <c r="F2466" s="211" t="s">
        <v>7661</v>
      </c>
    </row>
    <row r="2467" spans="1:6">
      <c r="A2467" s="211" t="s">
        <v>2198</v>
      </c>
      <c r="B2467" s="211">
        <v>3335</v>
      </c>
      <c r="C2467" s="211">
        <v>879</v>
      </c>
      <c r="D2467" s="211" t="s">
        <v>1255</v>
      </c>
      <c r="E2467" s="211" t="s">
        <v>10385</v>
      </c>
      <c r="F2467" s="211" t="s">
        <v>7382</v>
      </c>
    </row>
    <row r="2468" spans="1:6">
      <c r="A2468" s="211" t="s">
        <v>10607</v>
      </c>
      <c r="B2468" s="211">
        <v>8842</v>
      </c>
      <c r="C2468" s="211">
        <v>240</v>
      </c>
      <c r="D2468" s="211" t="s">
        <v>1255</v>
      </c>
      <c r="E2468" s="211" t="s">
        <v>10608</v>
      </c>
      <c r="F2468" s="211" t="s">
        <v>7399</v>
      </c>
    </row>
    <row r="2469" spans="1:6">
      <c r="A2469" s="211" t="s">
        <v>5777</v>
      </c>
      <c r="B2469" s="211">
        <v>7497</v>
      </c>
      <c r="C2469" s="211">
        <v>952</v>
      </c>
      <c r="D2469" s="211" t="s">
        <v>1255</v>
      </c>
      <c r="E2469" s="211" t="s">
        <v>5778</v>
      </c>
      <c r="F2469" s="211" t="s">
        <v>7435</v>
      </c>
    </row>
    <row r="2470" spans="1:6">
      <c r="A2470" s="211" t="s">
        <v>2940</v>
      </c>
      <c r="B2470" s="211">
        <v>2212</v>
      </c>
      <c r="C2470" s="211">
        <v>1952</v>
      </c>
      <c r="D2470" s="211" t="s">
        <v>1255</v>
      </c>
      <c r="E2470" s="211" t="s">
        <v>10385</v>
      </c>
      <c r="F2470" s="211" t="s">
        <v>7263</v>
      </c>
    </row>
    <row r="2471" spans="1:6">
      <c r="A2471" s="211" t="s">
        <v>2199</v>
      </c>
      <c r="B2471" s="211">
        <v>4280</v>
      </c>
      <c r="C2471" s="211">
        <v>804</v>
      </c>
      <c r="D2471" s="211" t="s">
        <v>1255</v>
      </c>
      <c r="E2471" s="211" t="s">
        <v>10385</v>
      </c>
      <c r="F2471" s="211" t="s">
        <v>7655</v>
      </c>
    </row>
    <row r="2472" spans="1:6">
      <c r="A2472" s="211" t="s">
        <v>7885</v>
      </c>
      <c r="B2472" s="211">
        <v>93</v>
      </c>
      <c r="C2472" s="211" t="s">
        <v>10385</v>
      </c>
      <c r="D2472" s="211" t="s">
        <v>1255</v>
      </c>
      <c r="E2472" s="211" t="s">
        <v>10385</v>
      </c>
      <c r="F2472" s="211" t="s">
        <v>7301</v>
      </c>
    </row>
    <row r="2473" spans="1:6">
      <c r="A2473" s="211" t="s">
        <v>4635</v>
      </c>
      <c r="B2473" s="211">
        <v>6346</v>
      </c>
      <c r="C2473" s="211">
        <v>865</v>
      </c>
      <c r="D2473" s="211" t="s">
        <v>1255</v>
      </c>
      <c r="E2473" s="211" t="s">
        <v>10385</v>
      </c>
      <c r="F2473" s="211" t="s">
        <v>7837</v>
      </c>
    </row>
    <row r="2474" spans="1:6">
      <c r="A2474" s="211" t="s">
        <v>7886</v>
      </c>
      <c r="B2474" s="211">
        <v>5922</v>
      </c>
      <c r="C2474" s="211" t="s">
        <v>10385</v>
      </c>
      <c r="D2474" s="211" t="s">
        <v>1255</v>
      </c>
      <c r="E2474" s="211" t="s">
        <v>10385</v>
      </c>
      <c r="F2474" s="211" t="s">
        <v>7285</v>
      </c>
    </row>
    <row r="2475" spans="1:6">
      <c r="A2475" s="211" t="s">
        <v>4662</v>
      </c>
      <c r="B2475" s="211">
        <v>5012</v>
      </c>
      <c r="C2475" s="211">
        <v>2530</v>
      </c>
      <c r="D2475" s="211" t="s">
        <v>1255</v>
      </c>
      <c r="E2475" s="211" t="s">
        <v>10385</v>
      </c>
      <c r="F2475" s="211" t="s">
        <v>7518</v>
      </c>
    </row>
    <row r="2476" spans="1:6">
      <c r="A2476" s="211" t="s">
        <v>2200</v>
      </c>
      <c r="B2476" s="211">
        <v>2104</v>
      </c>
      <c r="C2476" s="211">
        <v>1223</v>
      </c>
      <c r="D2476" s="211" t="s">
        <v>1255</v>
      </c>
      <c r="E2476" s="211" t="s">
        <v>10385</v>
      </c>
      <c r="F2476" s="211" t="s">
        <v>7356</v>
      </c>
    </row>
    <row r="2477" spans="1:6">
      <c r="A2477" s="211" t="s">
        <v>2201</v>
      </c>
      <c r="B2477" s="211">
        <v>3295</v>
      </c>
      <c r="C2477" s="211">
        <v>1276</v>
      </c>
      <c r="D2477" s="211" t="s">
        <v>1255</v>
      </c>
      <c r="E2477" s="211" t="s">
        <v>10385</v>
      </c>
      <c r="F2477" s="211" t="s">
        <v>7248</v>
      </c>
    </row>
    <row r="2478" spans="1:6">
      <c r="A2478" s="211" t="s">
        <v>2202</v>
      </c>
      <c r="B2478" s="211">
        <v>36</v>
      </c>
      <c r="C2478" s="211">
        <v>1538</v>
      </c>
      <c r="D2478" s="211" t="s">
        <v>1255</v>
      </c>
      <c r="E2478" s="211" t="s">
        <v>10385</v>
      </c>
      <c r="F2478" s="211" t="s">
        <v>7199</v>
      </c>
    </row>
    <row r="2479" spans="1:6">
      <c r="A2479" s="211" t="s">
        <v>2203</v>
      </c>
      <c r="B2479" s="211">
        <v>3874</v>
      </c>
      <c r="C2479" s="211">
        <v>843</v>
      </c>
      <c r="D2479" s="211" t="s">
        <v>1255</v>
      </c>
      <c r="E2479" s="211" t="s">
        <v>10385</v>
      </c>
      <c r="F2479" s="211" t="s">
        <v>7705</v>
      </c>
    </row>
    <row r="2480" spans="1:6">
      <c r="A2480" s="211" t="s">
        <v>5779</v>
      </c>
      <c r="B2480" s="211">
        <v>7270</v>
      </c>
      <c r="C2480" s="211">
        <v>635</v>
      </c>
      <c r="D2480" s="211" t="s">
        <v>1117</v>
      </c>
      <c r="E2480" s="211" t="s">
        <v>10385</v>
      </c>
      <c r="F2480" s="211" t="s">
        <v>7458</v>
      </c>
    </row>
    <row r="2481" spans="1:6">
      <c r="A2481" s="211" t="s">
        <v>2204</v>
      </c>
      <c r="B2481" s="211">
        <v>2534</v>
      </c>
      <c r="C2481" s="211">
        <v>1179</v>
      </c>
      <c r="D2481" s="211" t="s">
        <v>1255</v>
      </c>
      <c r="E2481" s="211" t="s">
        <v>10385</v>
      </c>
      <c r="F2481" s="211" t="s">
        <v>7205</v>
      </c>
    </row>
    <row r="2482" spans="1:6">
      <c r="A2482" s="211" t="s">
        <v>2205</v>
      </c>
      <c r="B2482" s="211">
        <v>2055</v>
      </c>
      <c r="C2482" s="211">
        <v>1463</v>
      </c>
      <c r="D2482" s="211" t="s">
        <v>1255</v>
      </c>
      <c r="E2482" s="211" t="s">
        <v>10385</v>
      </c>
      <c r="F2482" s="211" t="s">
        <v>7189</v>
      </c>
    </row>
    <row r="2483" spans="1:6">
      <c r="A2483" s="211" t="s">
        <v>2206</v>
      </c>
      <c r="B2483" s="211">
        <v>5267</v>
      </c>
      <c r="C2483" s="211">
        <v>1058</v>
      </c>
      <c r="D2483" s="211" t="s">
        <v>1117</v>
      </c>
      <c r="E2483" s="211" t="s">
        <v>10385</v>
      </c>
      <c r="F2483" s="211" t="s">
        <v>7322</v>
      </c>
    </row>
    <row r="2484" spans="1:6">
      <c r="A2484" s="211" t="s">
        <v>9408</v>
      </c>
      <c r="B2484" s="211">
        <v>8476</v>
      </c>
      <c r="C2484" s="211">
        <v>992</v>
      </c>
      <c r="D2484" s="211" t="s">
        <v>1117</v>
      </c>
      <c r="E2484" s="211" t="s">
        <v>9409</v>
      </c>
      <c r="F2484" s="211" t="s">
        <v>7162</v>
      </c>
    </row>
    <row r="2485" spans="1:6">
      <c r="A2485" s="211" t="s">
        <v>2207</v>
      </c>
      <c r="B2485" s="211">
        <v>1577</v>
      </c>
      <c r="C2485" s="211">
        <v>829</v>
      </c>
      <c r="D2485" s="211" t="s">
        <v>1117</v>
      </c>
      <c r="E2485" s="211" t="s">
        <v>10385</v>
      </c>
      <c r="F2485" s="211" t="s">
        <v>7261</v>
      </c>
    </row>
    <row r="2486" spans="1:6">
      <c r="A2486" s="211" t="s">
        <v>2863</v>
      </c>
      <c r="B2486" s="211">
        <v>2369</v>
      </c>
      <c r="C2486" s="211">
        <v>1037</v>
      </c>
      <c r="D2486" s="211" t="s">
        <v>1255</v>
      </c>
      <c r="E2486" s="211" t="s">
        <v>10385</v>
      </c>
      <c r="F2486" s="211" t="s">
        <v>7380</v>
      </c>
    </row>
    <row r="2487" spans="1:6">
      <c r="A2487" s="211" t="s">
        <v>2208</v>
      </c>
      <c r="B2487" s="211">
        <v>3601</v>
      </c>
      <c r="C2487" s="211">
        <v>855</v>
      </c>
      <c r="D2487" s="211" t="s">
        <v>1255</v>
      </c>
      <c r="E2487" s="211" t="s">
        <v>10385</v>
      </c>
      <c r="F2487" s="211" t="s">
        <v>7284</v>
      </c>
    </row>
    <row r="2488" spans="1:6">
      <c r="A2488" s="211" t="s">
        <v>9410</v>
      </c>
      <c r="B2488" s="211">
        <v>8446</v>
      </c>
      <c r="C2488" s="211">
        <v>1571</v>
      </c>
      <c r="D2488" s="211" t="s">
        <v>1117</v>
      </c>
      <c r="E2488" s="211" t="s">
        <v>9411</v>
      </c>
      <c r="F2488" s="211" t="s">
        <v>7205</v>
      </c>
    </row>
    <row r="2489" spans="1:6">
      <c r="A2489" s="211" t="s">
        <v>5780</v>
      </c>
      <c r="B2489" s="211">
        <v>7457</v>
      </c>
      <c r="C2489" s="211">
        <v>1172</v>
      </c>
      <c r="D2489" s="211" t="s">
        <v>1117</v>
      </c>
      <c r="E2489" s="211" t="s">
        <v>5781</v>
      </c>
      <c r="F2489" s="211" t="s">
        <v>7232</v>
      </c>
    </row>
    <row r="2490" spans="1:6">
      <c r="A2490" s="211" t="s">
        <v>2209</v>
      </c>
      <c r="B2490" s="211">
        <v>1578</v>
      </c>
      <c r="C2490" s="211">
        <v>717</v>
      </c>
      <c r="D2490" s="211" t="s">
        <v>1117</v>
      </c>
      <c r="E2490" s="211" t="s">
        <v>10385</v>
      </c>
      <c r="F2490" s="211" t="s">
        <v>7261</v>
      </c>
    </row>
    <row r="2491" spans="1:6">
      <c r="A2491" s="211" t="s">
        <v>2210</v>
      </c>
      <c r="B2491" s="211">
        <v>5989</v>
      </c>
      <c r="C2491" s="211">
        <v>848</v>
      </c>
      <c r="D2491" s="211" t="s">
        <v>1255</v>
      </c>
      <c r="E2491" s="211" t="s">
        <v>10385</v>
      </c>
      <c r="F2491" s="211" t="s">
        <v>7389</v>
      </c>
    </row>
    <row r="2492" spans="1:6">
      <c r="A2492" s="211" t="s">
        <v>2211</v>
      </c>
      <c r="B2492" s="211">
        <v>4635</v>
      </c>
      <c r="C2492" s="211">
        <v>621</v>
      </c>
      <c r="D2492" s="211" t="s">
        <v>1117</v>
      </c>
      <c r="E2492" s="211" t="s">
        <v>10385</v>
      </c>
      <c r="F2492" s="211" t="s">
        <v>7275</v>
      </c>
    </row>
    <row r="2493" spans="1:6">
      <c r="A2493" s="211" t="s">
        <v>7888</v>
      </c>
      <c r="B2493" s="211">
        <v>538</v>
      </c>
      <c r="C2493" s="211" t="s">
        <v>10385</v>
      </c>
      <c r="D2493" s="211" t="s">
        <v>1255</v>
      </c>
      <c r="E2493" s="211" t="s">
        <v>10385</v>
      </c>
      <c r="F2493" s="211" t="s">
        <v>7171</v>
      </c>
    </row>
    <row r="2494" spans="1:6">
      <c r="A2494" s="211" t="s">
        <v>10609</v>
      </c>
      <c r="B2494" s="211">
        <v>7335</v>
      </c>
      <c r="C2494" s="211">
        <v>1871</v>
      </c>
      <c r="D2494" s="211" t="s">
        <v>1117</v>
      </c>
      <c r="E2494" s="211" t="s">
        <v>9407</v>
      </c>
      <c r="F2494" s="211" t="s">
        <v>7386</v>
      </c>
    </row>
    <row r="2495" spans="1:6">
      <c r="A2495" s="211" t="s">
        <v>5782</v>
      </c>
      <c r="B2495" s="211">
        <v>7524</v>
      </c>
      <c r="C2495" s="211">
        <v>1011</v>
      </c>
      <c r="D2495" s="211" t="s">
        <v>1255</v>
      </c>
      <c r="E2495" s="211" t="s">
        <v>10385</v>
      </c>
      <c r="F2495" s="211" t="s">
        <v>7223</v>
      </c>
    </row>
    <row r="2496" spans="1:6">
      <c r="A2496" s="211" t="s">
        <v>2212</v>
      </c>
      <c r="B2496" s="211">
        <v>3515</v>
      </c>
      <c r="C2496" s="211">
        <v>994</v>
      </c>
      <c r="D2496" s="211" t="s">
        <v>1117</v>
      </c>
      <c r="E2496" s="211" t="s">
        <v>10385</v>
      </c>
      <c r="F2496" s="211" t="s">
        <v>7384</v>
      </c>
    </row>
    <row r="2497" spans="1:6">
      <c r="A2497" s="211" t="s">
        <v>2213</v>
      </c>
      <c r="B2497" s="211">
        <v>2941</v>
      </c>
      <c r="C2497" s="211">
        <v>1167</v>
      </c>
      <c r="D2497" s="211" t="s">
        <v>1255</v>
      </c>
      <c r="E2497" s="211" t="s">
        <v>10385</v>
      </c>
      <c r="F2497" s="211" t="s">
        <v>7444</v>
      </c>
    </row>
    <row r="2498" spans="1:6">
      <c r="A2498" s="211" t="s">
        <v>5783</v>
      </c>
      <c r="B2498" s="211">
        <v>7043</v>
      </c>
      <c r="C2498" s="211">
        <v>751</v>
      </c>
      <c r="D2498" s="211" t="s">
        <v>1255</v>
      </c>
      <c r="E2498" s="211" t="s">
        <v>9412</v>
      </c>
      <c r="F2498" s="211" t="s">
        <v>9024</v>
      </c>
    </row>
    <row r="2499" spans="1:6">
      <c r="A2499" s="211" t="s">
        <v>7889</v>
      </c>
      <c r="B2499" s="211">
        <v>2919</v>
      </c>
      <c r="C2499" s="211" t="s">
        <v>10385</v>
      </c>
      <c r="D2499" s="211" t="s">
        <v>1255</v>
      </c>
      <c r="E2499" s="211" t="s">
        <v>10385</v>
      </c>
      <c r="F2499" s="211" t="s">
        <v>7308</v>
      </c>
    </row>
    <row r="2500" spans="1:6">
      <c r="A2500" s="211" t="s">
        <v>2214</v>
      </c>
      <c r="B2500" s="211">
        <v>3235</v>
      </c>
      <c r="C2500" s="211">
        <v>1307</v>
      </c>
      <c r="D2500" s="211" t="s">
        <v>1255</v>
      </c>
      <c r="E2500" s="211" t="s">
        <v>10385</v>
      </c>
      <c r="F2500" s="211" t="s">
        <v>7308</v>
      </c>
    </row>
    <row r="2501" spans="1:6">
      <c r="A2501" s="211" t="s">
        <v>7890</v>
      </c>
      <c r="B2501" s="211">
        <v>807</v>
      </c>
      <c r="C2501" s="211">
        <v>1084</v>
      </c>
      <c r="D2501" s="211" t="s">
        <v>1255</v>
      </c>
      <c r="E2501" s="211" t="s">
        <v>10385</v>
      </c>
      <c r="F2501" s="211" t="s">
        <v>7173</v>
      </c>
    </row>
    <row r="2502" spans="1:6">
      <c r="A2502" s="211" t="s">
        <v>7891</v>
      </c>
      <c r="B2502" s="211">
        <v>5207</v>
      </c>
      <c r="C2502" s="211" t="s">
        <v>10385</v>
      </c>
      <c r="D2502" s="211" t="s">
        <v>1255</v>
      </c>
      <c r="E2502" s="211" t="s">
        <v>10385</v>
      </c>
      <c r="F2502" s="211" t="s">
        <v>7303</v>
      </c>
    </row>
    <row r="2503" spans="1:6">
      <c r="A2503" s="211" t="s">
        <v>7887</v>
      </c>
      <c r="B2503" s="211">
        <v>882</v>
      </c>
      <c r="C2503" s="211" t="s">
        <v>10385</v>
      </c>
      <c r="D2503" s="211" t="s">
        <v>1255</v>
      </c>
      <c r="E2503" s="211" t="s">
        <v>10385</v>
      </c>
      <c r="F2503" s="211" t="s">
        <v>7356</v>
      </c>
    </row>
    <row r="2504" spans="1:6">
      <c r="A2504" s="211" t="s">
        <v>7892</v>
      </c>
      <c r="B2504" s="211">
        <v>2220</v>
      </c>
      <c r="C2504" s="211" t="s">
        <v>10385</v>
      </c>
      <c r="D2504" s="211" t="s">
        <v>1255</v>
      </c>
      <c r="E2504" s="211" t="s">
        <v>10385</v>
      </c>
      <c r="F2504" s="211" t="s">
        <v>7263</v>
      </c>
    </row>
    <row r="2505" spans="1:6">
      <c r="A2505" s="211" t="s">
        <v>5052</v>
      </c>
      <c r="B2505" s="211">
        <v>6709</v>
      </c>
      <c r="C2505" s="211">
        <v>965</v>
      </c>
      <c r="D2505" s="211" t="s">
        <v>1117</v>
      </c>
      <c r="E2505" s="211" t="s">
        <v>6782</v>
      </c>
      <c r="F2505" s="211" t="s">
        <v>7322</v>
      </c>
    </row>
    <row r="2506" spans="1:6">
      <c r="A2506" s="211" t="s">
        <v>10610</v>
      </c>
      <c r="B2506" s="211">
        <v>8735</v>
      </c>
      <c r="C2506" s="211">
        <v>2007</v>
      </c>
      <c r="D2506" s="211" t="s">
        <v>1255</v>
      </c>
      <c r="E2506" s="211" t="s">
        <v>10611</v>
      </c>
      <c r="F2506" s="211" t="s">
        <v>7208</v>
      </c>
    </row>
    <row r="2507" spans="1:6">
      <c r="A2507" s="211" t="s">
        <v>7893</v>
      </c>
      <c r="B2507" s="211">
        <v>4320</v>
      </c>
      <c r="C2507" s="211">
        <v>1552</v>
      </c>
      <c r="D2507" s="211" t="s">
        <v>1255</v>
      </c>
      <c r="E2507" s="211" t="s">
        <v>9413</v>
      </c>
      <c r="F2507" s="211" t="s">
        <v>7382</v>
      </c>
    </row>
    <row r="2508" spans="1:6">
      <c r="A2508" s="211" t="s">
        <v>2215</v>
      </c>
      <c r="B2508" s="211">
        <v>5715</v>
      </c>
      <c r="C2508" s="211">
        <v>937</v>
      </c>
      <c r="D2508" s="211" t="s">
        <v>1255</v>
      </c>
      <c r="E2508" s="211" t="s">
        <v>10385</v>
      </c>
      <c r="F2508" s="211" t="s">
        <v>7438</v>
      </c>
    </row>
    <row r="2509" spans="1:6">
      <c r="A2509" s="211" t="s">
        <v>10612</v>
      </c>
      <c r="B2509" s="211">
        <v>8683</v>
      </c>
      <c r="C2509" s="211">
        <v>1325</v>
      </c>
      <c r="D2509" s="211" t="s">
        <v>1255</v>
      </c>
      <c r="E2509" s="211" t="s">
        <v>10613</v>
      </c>
      <c r="F2509" s="211" t="s">
        <v>7239</v>
      </c>
    </row>
    <row r="2510" spans="1:6">
      <c r="A2510" s="211" t="s">
        <v>2216</v>
      </c>
      <c r="B2510" s="211">
        <v>5324</v>
      </c>
      <c r="C2510" s="211">
        <v>738</v>
      </c>
      <c r="D2510" s="211" t="s">
        <v>1117</v>
      </c>
      <c r="E2510" s="211" t="s">
        <v>10385</v>
      </c>
      <c r="F2510" s="211" t="s">
        <v>7398</v>
      </c>
    </row>
    <row r="2511" spans="1:6">
      <c r="A2511" s="211" t="s">
        <v>4663</v>
      </c>
      <c r="B2511" s="211">
        <v>6433</v>
      </c>
      <c r="C2511" s="211">
        <v>897</v>
      </c>
      <c r="D2511" s="211" t="s">
        <v>1255</v>
      </c>
      <c r="E2511" s="211" t="s">
        <v>10385</v>
      </c>
      <c r="F2511" s="211" t="s">
        <v>7186</v>
      </c>
    </row>
    <row r="2512" spans="1:6">
      <c r="A2512" s="211" t="s">
        <v>2217</v>
      </c>
      <c r="B2512" s="211">
        <v>5539</v>
      </c>
      <c r="C2512" s="211">
        <v>795</v>
      </c>
      <c r="D2512" s="211" t="s">
        <v>1255</v>
      </c>
      <c r="E2512" s="211" t="s">
        <v>10385</v>
      </c>
      <c r="F2512" s="211" t="s">
        <v>7396</v>
      </c>
    </row>
    <row r="2513" spans="1:6">
      <c r="A2513" s="211" t="s">
        <v>2218</v>
      </c>
      <c r="B2513" s="211">
        <v>3076</v>
      </c>
      <c r="C2513" s="211">
        <v>746</v>
      </c>
      <c r="D2513" s="211" t="s">
        <v>1255</v>
      </c>
      <c r="E2513" s="211" t="s">
        <v>10385</v>
      </c>
      <c r="F2513" s="211" t="s">
        <v>7538</v>
      </c>
    </row>
    <row r="2514" spans="1:6">
      <c r="A2514" s="211" t="s">
        <v>2219</v>
      </c>
      <c r="B2514" s="211">
        <v>761</v>
      </c>
      <c r="C2514" s="211">
        <v>1120</v>
      </c>
      <c r="D2514" s="211" t="s">
        <v>1255</v>
      </c>
      <c r="E2514" s="211" t="s">
        <v>10385</v>
      </c>
      <c r="F2514" s="211" t="s">
        <v>7257</v>
      </c>
    </row>
    <row r="2515" spans="1:6">
      <c r="A2515" s="211" t="s">
        <v>2220</v>
      </c>
      <c r="B2515" s="211">
        <v>3040</v>
      </c>
      <c r="C2515" s="211">
        <v>872</v>
      </c>
      <c r="D2515" s="211" t="s">
        <v>1255</v>
      </c>
      <c r="E2515" s="211" t="s">
        <v>10385</v>
      </c>
      <c r="F2515" s="211" t="s">
        <v>7476</v>
      </c>
    </row>
    <row r="2516" spans="1:6">
      <c r="A2516" s="211" t="s">
        <v>7894</v>
      </c>
      <c r="B2516" s="211">
        <v>715</v>
      </c>
      <c r="C2516" s="211" t="s">
        <v>10385</v>
      </c>
      <c r="D2516" s="211" t="s">
        <v>1255</v>
      </c>
      <c r="E2516" s="211" t="s">
        <v>10385</v>
      </c>
      <c r="F2516" s="211" t="s">
        <v>7243</v>
      </c>
    </row>
    <row r="2517" spans="1:6">
      <c r="A2517" s="211" t="s">
        <v>10614</v>
      </c>
      <c r="B2517" s="211">
        <v>8677</v>
      </c>
      <c r="C2517" s="211">
        <v>670</v>
      </c>
      <c r="D2517" s="211" t="s">
        <v>1255</v>
      </c>
      <c r="E2517" s="211" t="s">
        <v>10615</v>
      </c>
      <c r="F2517" s="211" t="s">
        <v>9059</v>
      </c>
    </row>
    <row r="2518" spans="1:6">
      <c r="A2518" s="211" t="s">
        <v>9414</v>
      </c>
      <c r="B2518" s="211">
        <v>8370</v>
      </c>
      <c r="C2518" s="211">
        <v>1049</v>
      </c>
      <c r="D2518" s="211" t="s">
        <v>1255</v>
      </c>
      <c r="E2518" s="211" t="s">
        <v>9415</v>
      </c>
      <c r="F2518" s="211" t="s">
        <v>7342</v>
      </c>
    </row>
    <row r="2519" spans="1:6">
      <c r="A2519" s="211" t="s">
        <v>2221</v>
      </c>
      <c r="B2519" s="211">
        <v>3986</v>
      </c>
      <c r="C2519" s="211">
        <v>1103</v>
      </c>
      <c r="D2519" s="211" t="s">
        <v>1255</v>
      </c>
      <c r="E2519" s="211" t="s">
        <v>10385</v>
      </c>
      <c r="F2519" s="211" t="s">
        <v>7235</v>
      </c>
    </row>
    <row r="2520" spans="1:6">
      <c r="A2520" s="211" t="s">
        <v>2222</v>
      </c>
      <c r="B2520" s="211">
        <v>3731</v>
      </c>
      <c r="C2520" s="211">
        <v>1190</v>
      </c>
      <c r="D2520" s="211" t="s">
        <v>1255</v>
      </c>
      <c r="E2520" s="211" t="s">
        <v>10385</v>
      </c>
      <c r="F2520" s="211" t="s">
        <v>7213</v>
      </c>
    </row>
    <row r="2521" spans="1:6">
      <c r="A2521" s="211" t="s">
        <v>2223</v>
      </c>
      <c r="B2521" s="211">
        <v>3221</v>
      </c>
      <c r="C2521" s="211">
        <v>1248</v>
      </c>
      <c r="D2521" s="211" t="s">
        <v>1255</v>
      </c>
      <c r="E2521" s="211" t="s">
        <v>10385</v>
      </c>
      <c r="F2521" s="211" t="s">
        <v>7240</v>
      </c>
    </row>
    <row r="2522" spans="1:6">
      <c r="A2522" s="211" t="s">
        <v>6783</v>
      </c>
      <c r="B2522" s="211">
        <v>7750</v>
      </c>
      <c r="C2522" s="211">
        <v>1111</v>
      </c>
      <c r="D2522" s="211" t="s">
        <v>1255</v>
      </c>
      <c r="E2522" s="211" t="s">
        <v>6784</v>
      </c>
      <c r="F2522" s="211" t="s">
        <v>7561</v>
      </c>
    </row>
    <row r="2523" spans="1:6">
      <c r="A2523" s="211" t="s">
        <v>8918</v>
      </c>
      <c r="B2523" s="211">
        <v>2976</v>
      </c>
      <c r="C2523" s="211" t="s">
        <v>10385</v>
      </c>
      <c r="D2523" s="211" t="s">
        <v>1255</v>
      </c>
      <c r="E2523" s="211" t="s">
        <v>10385</v>
      </c>
      <c r="F2523" s="211" t="s">
        <v>7320</v>
      </c>
    </row>
    <row r="2524" spans="1:6">
      <c r="A2524" s="211" t="s">
        <v>8919</v>
      </c>
      <c r="B2524" s="211">
        <v>909</v>
      </c>
      <c r="C2524" s="211">
        <v>1779</v>
      </c>
      <c r="D2524" s="211" t="s">
        <v>1255</v>
      </c>
      <c r="E2524" s="211" t="s">
        <v>10385</v>
      </c>
      <c r="F2524" s="211" t="s">
        <v>7210</v>
      </c>
    </row>
    <row r="2525" spans="1:6">
      <c r="A2525" s="211" t="s">
        <v>2224</v>
      </c>
      <c r="B2525" s="211">
        <v>5329</v>
      </c>
      <c r="C2525" s="211">
        <v>823</v>
      </c>
      <c r="D2525" s="211" t="s">
        <v>1255</v>
      </c>
      <c r="E2525" s="211" t="s">
        <v>10385</v>
      </c>
      <c r="F2525" s="211" t="s">
        <v>7396</v>
      </c>
    </row>
    <row r="2526" spans="1:6">
      <c r="A2526" s="211" t="s">
        <v>7895</v>
      </c>
      <c r="B2526" s="211">
        <v>298</v>
      </c>
      <c r="C2526" s="211" t="s">
        <v>10385</v>
      </c>
      <c r="D2526" s="211" t="s">
        <v>1255</v>
      </c>
      <c r="E2526" s="211" t="s">
        <v>10385</v>
      </c>
      <c r="F2526" s="211" t="s">
        <v>7243</v>
      </c>
    </row>
    <row r="2527" spans="1:6">
      <c r="A2527" s="211" t="s">
        <v>2225</v>
      </c>
      <c r="B2527" s="211">
        <v>5317</v>
      </c>
      <c r="C2527" s="211">
        <v>686</v>
      </c>
      <c r="D2527" s="211" t="s">
        <v>1117</v>
      </c>
      <c r="E2527" s="211" t="s">
        <v>10385</v>
      </c>
      <c r="F2527" s="211" t="s">
        <v>7224</v>
      </c>
    </row>
    <row r="2528" spans="1:6">
      <c r="A2528" s="211" t="s">
        <v>2226</v>
      </c>
      <c r="B2528" s="211">
        <v>470</v>
      </c>
      <c r="C2528" s="211">
        <v>1382</v>
      </c>
      <c r="D2528" s="211" t="s">
        <v>1255</v>
      </c>
      <c r="E2528" s="211" t="s">
        <v>10385</v>
      </c>
      <c r="F2528" s="211" t="s">
        <v>7196</v>
      </c>
    </row>
    <row r="2529" spans="1:6">
      <c r="A2529" s="211" t="s">
        <v>5784</v>
      </c>
      <c r="B2529" s="211">
        <v>7467</v>
      </c>
      <c r="C2529" s="211">
        <v>890</v>
      </c>
      <c r="D2529" s="211" t="s">
        <v>1255</v>
      </c>
      <c r="E2529" s="211" t="s">
        <v>10385</v>
      </c>
      <c r="F2529" s="211" t="s">
        <v>7250</v>
      </c>
    </row>
    <row r="2530" spans="1:6">
      <c r="A2530" s="211" t="s">
        <v>9416</v>
      </c>
      <c r="B2530" s="211">
        <v>8212</v>
      </c>
      <c r="C2530" s="211">
        <v>804</v>
      </c>
      <c r="D2530" s="211" t="s">
        <v>1255</v>
      </c>
      <c r="E2530" s="211" t="s">
        <v>10385</v>
      </c>
      <c r="F2530" s="211" t="s">
        <v>7471</v>
      </c>
    </row>
    <row r="2531" spans="1:6">
      <c r="A2531" s="211" t="s">
        <v>7896</v>
      </c>
      <c r="B2531" s="211">
        <v>2573</v>
      </c>
      <c r="C2531" s="211" t="s">
        <v>10385</v>
      </c>
      <c r="D2531" s="211" t="s">
        <v>1255</v>
      </c>
      <c r="E2531" s="211" t="s">
        <v>10385</v>
      </c>
      <c r="F2531" s="211" t="s">
        <v>7290</v>
      </c>
    </row>
    <row r="2532" spans="1:6">
      <c r="A2532" s="211" t="s">
        <v>4563</v>
      </c>
      <c r="B2532" s="211">
        <v>6483</v>
      </c>
      <c r="C2532" s="211">
        <v>934</v>
      </c>
      <c r="D2532" s="211" t="s">
        <v>1255</v>
      </c>
      <c r="E2532" s="211" t="s">
        <v>10385</v>
      </c>
      <c r="F2532" s="211" t="s">
        <v>7233</v>
      </c>
    </row>
    <row r="2533" spans="1:6">
      <c r="A2533" s="211" t="s">
        <v>2227</v>
      </c>
      <c r="B2533" s="211">
        <v>1616</v>
      </c>
      <c r="C2533" s="211">
        <v>919</v>
      </c>
      <c r="D2533" s="211" t="s">
        <v>1255</v>
      </c>
      <c r="E2533" s="211" t="s">
        <v>10385</v>
      </c>
      <c r="F2533" s="211" t="s">
        <v>7512</v>
      </c>
    </row>
    <row r="2534" spans="1:6">
      <c r="A2534" s="211" t="s">
        <v>4804</v>
      </c>
      <c r="B2534" s="211">
        <v>6117</v>
      </c>
      <c r="C2534" s="211">
        <v>1741</v>
      </c>
      <c r="D2534" s="211" t="s">
        <v>1255</v>
      </c>
      <c r="E2534" s="211" t="s">
        <v>10385</v>
      </c>
      <c r="F2534" s="211" t="s">
        <v>7377</v>
      </c>
    </row>
    <row r="2535" spans="1:6">
      <c r="A2535" s="211" t="s">
        <v>2228</v>
      </c>
      <c r="B2535" s="211">
        <v>4439</v>
      </c>
      <c r="C2535" s="211">
        <v>1093</v>
      </c>
      <c r="D2535" s="211" t="s">
        <v>1255</v>
      </c>
      <c r="E2535" s="211" t="s">
        <v>10385</v>
      </c>
      <c r="F2535" s="211" t="s">
        <v>7333</v>
      </c>
    </row>
    <row r="2536" spans="1:6">
      <c r="A2536" s="211" t="s">
        <v>2229</v>
      </c>
      <c r="B2536" s="211">
        <v>833</v>
      </c>
      <c r="C2536" s="211">
        <v>1350</v>
      </c>
      <c r="D2536" s="211" t="s">
        <v>1255</v>
      </c>
      <c r="E2536" s="211" t="s">
        <v>10385</v>
      </c>
      <c r="F2536" s="211" t="s">
        <v>7283</v>
      </c>
    </row>
    <row r="2537" spans="1:6">
      <c r="A2537" s="211" t="s">
        <v>2230</v>
      </c>
      <c r="B2537" s="211">
        <v>5723</v>
      </c>
      <c r="C2537" s="211">
        <v>1182</v>
      </c>
      <c r="D2537" s="211" t="s">
        <v>1255</v>
      </c>
      <c r="E2537" s="211" t="s">
        <v>10385</v>
      </c>
      <c r="F2537" s="211" t="s">
        <v>7344</v>
      </c>
    </row>
    <row r="2538" spans="1:6">
      <c r="A2538" s="211" t="s">
        <v>2231</v>
      </c>
      <c r="B2538" s="211">
        <v>804</v>
      </c>
      <c r="C2538" s="211">
        <v>1916</v>
      </c>
      <c r="D2538" s="211" t="s">
        <v>1255</v>
      </c>
      <c r="E2538" s="211" t="s">
        <v>10385</v>
      </c>
      <c r="F2538" s="211" t="s">
        <v>7343</v>
      </c>
    </row>
    <row r="2539" spans="1:6">
      <c r="A2539" s="211" t="s">
        <v>2232</v>
      </c>
      <c r="B2539" s="211">
        <v>3617</v>
      </c>
      <c r="C2539" s="211">
        <v>1093</v>
      </c>
      <c r="D2539" s="211" t="s">
        <v>1255</v>
      </c>
      <c r="E2539" s="211" t="s">
        <v>10385</v>
      </c>
      <c r="F2539" s="211" t="s">
        <v>7205</v>
      </c>
    </row>
    <row r="2540" spans="1:6">
      <c r="A2540" s="211" t="s">
        <v>2233</v>
      </c>
      <c r="B2540" s="211">
        <v>2982</v>
      </c>
      <c r="C2540" s="211">
        <v>933</v>
      </c>
      <c r="D2540" s="211" t="s">
        <v>1255</v>
      </c>
      <c r="E2540" s="211" t="s">
        <v>10385</v>
      </c>
      <c r="F2540" s="211" t="s">
        <v>7286</v>
      </c>
    </row>
    <row r="2541" spans="1:6">
      <c r="A2541" s="211" t="s">
        <v>7897</v>
      </c>
      <c r="B2541" s="211">
        <v>4254</v>
      </c>
      <c r="C2541" s="211" t="s">
        <v>10385</v>
      </c>
      <c r="D2541" s="211" t="s">
        <v>1255</v>
      </c>
      <c r="E2541" s="211" t="s">
        <v>10385</v>
      </c>
      <c r="F2541" s="211" t="s">
        <v>7377</v>
      </c>
    </row>
    <row r="2542" spans="1:6">
      <c r="A2542" s="211" t="s">
        <v>2234</v>
      </c>
      <c r="B2542" s="211">
        <v>3664</v>
      </c>
      <c r="C2542" s="211">
        <v>1391</v>
      </c>
      <c r="D2542" s="211" t="s">
        <v>1255</v>
      </c>
      <c r="E2542" s="211" t="s">
        <v>10385</v>
      </c>
      <c r="F2542" s="211" t="s">
        <v>7861</v>
      </c>
    </row>
    <row r="2543" spans="1:6">
      <c r="A2543" s="211" t="s">
        <v>2235</v>
      </c>
      <c r="B2543" s="211">
        <v>4188</v>
      </c>
      <c r="C2543" s="211">
        <v>735</v>
      </c>
      <c r="D2543" s="211" t="s">
        <v>1117</v>
      </c>
      <c r="E2543" s="211" t="s">
        <v>10385</v>
      </c>
      <c r="F2543" s="211" t="s">
        <v>7223</v>
      </c>
    </row>
    <row r="2544" spans="1:6">
      <c r="A2544" s="211" t="s">
        <v>4582</v>
      </c>
      <c r="B2544" s="211">
        <v>6036</v>
      </c>
      <c r="C2544" s="211">
        <v>1108</v>
      </c>
      <c r="D2544" s="211" t="s">
        <v>1255</v>
      </c>
      <c r="E2544" s="211" t="s">
        <v>6785</v>
      </c>
      <c r="F2544" s="211" t="s">
        <v>7231</v>
      </c>
    </row>
    <row r="2545" spans="1:6">
      <c r="A2545" s="211" t="s">
        <v>2236</v>
      </c>
      <c r="B2545" s="211">
        <v>3783</v>
      </c>
      <c r="C2545" s="211">
        <v>1393</v>
      </c>
      <c r="D2545" s="211" t="s">
        <v>1255</v>
      </c>
      <c r="E2545" s="211" t="s">
        <v>10385</v>
      </c>
      <c r="F2545" s="211" t="s">
        <v>7239</v>
      </c>
    </row>
    <row r="2546" spans="1:6">
      <c r="A2546" s="211" t="s">
        <v>2237</v>
      </c>
      <c r="B2546" s="211">
        <v>3826</v>
      </c>
      <c r="C2546" s="211">
        <v>958</v>
      </c>
      <c r="D2546" s="211" t="s">
        <v>1255</v>
      </c>
      <c r="E2546" s="211" t="s">
        <v>10385</v>
      </c>
      <c r="F2546" s="211" t="s">
        <v>7476</v>
      </c>
    </row>
    <row r="2547" spans="1:6">
      <c r="A2547" s="211" t="s">
        <v>10616</v>
      </c>
      <c r="B2547" s="211">
        <v>8849</v>
      </c>
      <c r="C2547" s="211">
        <v>1045</v>
      </c>
      <c r="D2547" s="211" t="s">
        <v>1255</v>
      </c>
      <c r="E2547" s="211" t="s">
        <v>10617</v>
      </c>
      <c r="F2547" s="211" t="s">
        <v>7205</v>
      </c>
    </row>
    <row r="2548" spans="1:6">
      <c r="A2548" s="211" t="s">
        <v>2238</v>
      </c>
      <c r="B2548" s="211">
        <v>2626</v>
      </c>
      <c r="C2548" s="211">
        <v>1110</v>
      </c>
      <c r="D2548" s="211" t="s">
        <v>1255</v>
      </c>
      <c r="E2548" s="211" t="s">
        <v>10385</v>
      </c>
      <c r="F2548" s="211" t="s">
        <v>7383</v>
      </c>
    </row>
    <row r="2549" spans="1:6">
      <c r="A2549" s="211" t="s">
        <v>9417</v>
      </c>
      <c r="B2549" s="211">
        <v>7923</v>
      </c>
      <c r="C2549" s="211">
        <v>1601</v>
      </c>
      <c r="D2549" s="211" t="s">
        <v>1255</v>
      </c>
      <c r="E2549" s="211" t="s">
        <v>9418</v>
      </c>
      <c r="F2549" s="211" t="s">
        <v>7210</v>
      </c>
    </row>
    <row r="2550" spans="1:6">
      <c r="A2550" s="211" t="s">
        <v>2888</v>
      </c>
      <c r="B2550" s="211">
        <v>3448</v>
      </c>
      <c r="C2550" s="211">
        <v>972</v>
      </c>
      <c r="D2550" s="211" t="s">
        <v>1255</v>
      </c>
      <c r="E2550" s="211" t="s">
        <v>10385</v>
      </c>
      <c r="F2550" s="211" t="s">
        <v>7268</v>
      </c>
    </row>
    <row r="2551" spans="1:6">
      <c r="A2551" s="211" t="s">
        <v>2239</v>
      </c>
      <c r="B2551" s="211">
        <v>5426</v>
      </c>
      <c r="C2551" s="211">
        <v>933</v>
      </c>
      <c r="D2551" s="211" t="s">
        <v>1255</v>
      </c>
      <c r="E2551" s="211" t="s">
        <v>10385</v>
      </c>
      <c r="F2551" s="211" t="s">
        <v>7323</v>
      </c>
    </row>
    <row r="2552" spans="1:6">
      <c r="A2552" s="211" t="s">
        <v>7898</v>
      </c>
      <c r="B2552" s="211">
        <v>1995</v>
      </c>
      <c r="C2552" s="211" t="s">
        <v>10385</v>
      </c>
      <c r="D2552" s="211" t="s">
        <v>1255</v>
      </c>
      <c r="E2552" s="211" t="s">
        <v>10385</v>
      </c>
      <c r="F2552" s="211" t="s">
        <v>7322</v>
      </c>
    </row>
    <row r="2553" spans="1:6">
      <c r="A2553" s="211" t="s">
        <v>2952</v>
      </c>
      <c r="B2553" s="211">
        <v>2274</v>
      </c>
      <c r="C2553" s="211">
        <v>1340</v>
      </c>
      <c r="D2553" s="211" t="s">
        <v>1255</v>
      </c>
      <c r="E2553" s="211" t="s">
        <v>10385</v>
      </c>
      <c r="F2553" s="211" t="s">
        <v>7322</v>
      </c>
    </row>
    <row r="2554" spans="1:6">
      <c r="A2554" s="211" t="s">
        <v>10618</v>
      </c>
      <c r="B2554" s="211">
        <v>8812</v>
      </c>
      <c r="C2554" s="211">
        <v>100</v>
      </c>
      <c r="D2554" s="211" t="s">
        <v>1255</v>
      </c>
      <c r="E2554" s="211" t="s">
        <v>10619</v>
      </c>
      <c r="F2554" s="211" t="s">
        <v>7524</v>
      </c>
    </row>
    <row r="2555" spans="1:6">
      <c r="A2555" s="211" t="s">
        <v>3055</v>
      </c>
      <c r="B2555" s="211">
        <v>6279</v>
      </c>
      <c r="C2555" s="211">
        <v>552</v>
      </c>
      <c r="D2555" s="211" t="s">
        <v>1255</v>
      </c>
      <c r="E2555" s="211" t="s">
        <v>6786</v>
      </c>
      <c r="F2555" s="211" t="s">
        <v>7242</v>
      </c>
    </row>
    <row r="2556" spans="1:6">
      <c r="A2556" s="211" t="s">
        <v>2240</v>
      </c>
      <c r="B2556" s="211">
        <v>1842</v>
      </c>
      <c r="C2556" s="211">
        <v>694</v>
      </c>
      <c r="D2556" s="211" t="s">
        <v>1117</v>
      </c>
      <c r="E2556" s="211" t="s">
        <v>10385</v>
      </c>
      <c r="F2556" s="211" t="s">
        <v>7280</v>
      </c>
    </row>
    <row r="2557" spans="1:6">
      <c r="A2557" s="211" t="s">
        <v>6787</v>
      </c>
      <c r="B2557" s="211">
        <v>7630</v>
      </c>
      <c r="C2557" s="211">
        <v>1540</v>
      </c>
      <c r="D2557" s="211" t="s">
        <v>1255</v>
      </c>
      <c r="E2557" s="211" t="s">
        <v>6788</v>
      </c>
      <c r="F2557" s="211" t="s">
        <v>7316</v>
      </c>
    </row>
    <row r="2558" spans="1:6">
      <c r="A2558" s="211" t="s">
        <v>2241</v>
      </c>
      <c r="B2558" s="211">
        <v>3362</v>
      </c>
      <c r="C2558" s="211">
        <v>896</v>
      </c>
      <c r="D2558" s="211" t="s">
        <v>1255</v>
      </c>
      <c r="E2558" s="211" t="s">
        <v>10385</v>
      </c>
      <c r="F2558" s="211" t="s">
        <v>7256</v>
      </c>
    </row>
    <row r="2559" spans="1:6">
      <c r="A2559" s="211" t="s">
        <v>7899</v>
      </c>
      <c r="B2559" s="211">
        <v>356</v>
      </c>
      <c r="C2559" s="211" t="s">
        <v>10385</v>
      </c>
      <c r="D2559" s="211" t="s">
        <v>1255</v>
      </c>
      <c r="E2559" s="211" t="s">
        <v>10385</v>
      </c>
      <c r="F2559" s="211" t="s">
        <v>7356</v>
      </c>
    </row>
    <row r="2560" spans="1:6">
      <c r="A2560" s="211" t="s">
        <v>5785</v>
      </c>
      <c r="B2560" s="211">
        <v>7252</v>
      </c>
      <c r="C2560" s="211">
        <v>1244</v>
      </c>
      <c r="D2560" s="211" t="s">
        <v>1255</v>
      </c>
      <c r="E2560" s="211" t="s">
        <v>9419</v>
      </c>
      <c r="F2560" s="211" t="s">
        <v>7458</v>
      </c>
    </row>
    <row r="2561" spans="1:6">
      <c r="A2561" s="211" t="s">
        <v>9420</v>
      </c>
      <c r="B2561" s="211">
        <v>8298</v>
      </c>
      <c r="C2561" s="211">
        <v>1493</v>
      </c>
      <c r="D2561" s="211" t="s">
        <v>1255</v>
      </c>
      <c r="E2561" s="211" t="s">
        <v>10385</v>
      </c>
      <c r="F2561" s="211" t="s">
        <v>7380</v>
      </c>
    </row>
    <row r="2562" spans="1:6">
      <c r="A2562" s="211" t="s">
        <v>5053</v>
      </c>
      <c r="B2562" s="211">
        <v>6945</v>
      </c>
      <c r="C2562" s="211">
        <v>912</v>
      </c>
      <c r="D2562" s="211" t="s">
        <v>1255</v>
      </c>
      <c r="E2562" s="211" t="s">
        <v>10385</v>
      </c>
      <c r="F2562" s="211" t="s">
        <v>7414</v>
      </c>
    </row>
    <row r="2563" spans="1:6">
      <c r="A2563" s="211" t="s">
        <v>5054</v>
      </c>
      <c r="B2563" s="211">
        <v>6928</v>
      </c>
      <c r="C2563" s="211">
        <v>959</v>
      </c>
      <c r="D2563" s="211" t="s">
        <v>1255</v>
      </c>
      <c r="E2563" s="211" t="s">
        <v>9421</v>
      </c>
      <c r="F2563" s="211" t="s">
        <v>7587</v>
      </c>
    </row>
    <row r="2564" spans="1:6">
      <c r="A2564" s="211" t="s">
        <v>6789</v>
      </c>
      <c r="B2564" s="211">
        <v>7773</v>
      </c>
      <c r="C2564" s="211">
        <v>1155</v>
      </c>
      <c r="D2564" s="211" t="s">
        <v>1255</v>
      </c>
      <c r="E2564" s="211" t="s">
        <v>6790</v>
      </c>
      <c r="F2564" s="211" t="s">
        <v>7282</v>
      </c>
    </row>
    <row r="2565" spans="1:6">
      <c r="A2565" s="211" t="s">
        <v>7900</v>
      </c>
      <c r="B2565" s="211">
        <v>2355</v>
      </c>
      <c r="C2565" s="211" t="s">
        <v>10385</v>
      </c>
      <c r="D2565" s="211" t="s">
        <v>1255</v>
      </c>
      <c r="E2565" s="211" t="s">
        <v>10385</v>
      </c>
      <c r="F2565" s="211" t="s">
        <v>7177</v>
      </c>
    </row>
    <row r="2566" spans="1:6">
      <c r="A2566" s="211" t="s">
        <v>2242</v>
      </c>
      <c r="B2566" s="211">
        <v>4122</v>
      </c>
      <c r="C2566" s="211">
        <v>990</v>
      </c>
      <c r="D2566" s="211" t="s">
        <v>1117</v>
      </c>
      <c r="E2566" s="211" t="s">
        <v>10385</v>
      </c>
      <c r="F2566" s="211" t="s">
        <v>7356</v>
      </c>
    </row>
    <row r="2567" spans="1:6">
      <c r="A2567" s="211" t="s">
        <v>2243</v>
      </c>
      <c r="B2567" s="211">
        <v>4081</v>
      </c>
      <c r="C2567" s="211">
        <v>857</v>
      </c>
      <c r="D2567" s="211" t="s">
        <v>1255</v>
      </c>
      <c r="E2567" s="211" t="s">
        <v>10385</v>
      </c>
      <c r="F2567" s="211" t="s">
        <v>7471</v>
      </c>
    </row>
    <row r="2568" spans="1:6">
      <c r="A2568" s="211" t="s">
        <v>5786</v>
      </c>
      <c r="B2568" s="211">
        <v>7386</v>
      </c>
      <c r="C2568" s="211">
        <v>1493</v>
      </c>
      <c r="D2568" s="211" t="s">
        <v>1255</v>
      </c>
      <c r="E2568" s="211" t="s">
        <v>6791</v>
      </c>
      <c r="F2568" s="211" t="s">
        <v>7587</v>
      </c>
    </row>
    <row r="2569" spans="1:6">
      <c r="A2569" s="211" t="s">
        <v>7901</v>
      </c>
      <c r="B2569" s="211">
        <v>739</v>
      </c>
      <c r="C2569" s="211" t="s">
        <v>10385</v>
      </c>
      <c r="D2569" s="211" t="s">
        <v>1255</v>
      </c>
      <c r="E2569" s="211" t="s">
        <v>10385</v>
      </c>
      <c r="F2569" s="211" t="s">
        <v>7320</v>
      </c>
    </row>
    <row r="2570" spans="1:6">
      <c r="A2570" s="211" t="s">
        <v>5787</v>
      </c>
      <c r="B2570" s="211">
        <v>7196</v>
      </c>
      <c r="C2570" s="211">
        <v>1639</v>
      </c>
      <c r="D2570" s="211" t="s">
        <v>1255</v>
      </c>
      <c r="E2570" s="211" t="s">
        <v>10385</v>
      </c>
      <c r="F2570" s="211" t="s">
        <v>7864</v>
      </c>
    </row>
    <row r="2571" spans="1:6">
      <c r="A2571" s="211" t="s">
        <v>2244</v>
      </c>
      <c r="B2571" s="211">
        <v>4265</v>
      </c>
      <c r="C2571" s="211">
        <v>1561</v>
      </c>
      <c r="D2571" s="211" t="s">
        <v>1255</v>
      </c>
      <c r="E2571" s="211" t="s">
        <v>10385</v>
      </c>
      <c r="F2571" s="211" t="s">
        <v>7377</v>
      </c>
    </row>
    <row r="2572" spans="1:6">
      <c r="A2572" s="211" t="s">
        <v>2245</v>
      </c>
      <c r="B2572" s="211">
        <v>380</v>
      </c>
      <c r="C2572" s="211">
        <v>756</v>
      </c>
      <c r="D2572" s="211" t="s">
        <v>1255</v>
      </c>
      <c r="E2572" s="211" t="s">
        <v>10385</v>
      </c>
      <c r="F2572" s="211" t="s">
        <v>7261</v>
      </c>
    </row>
    <row r="2573" spans="1:6">
      <c r="A2573" s="211" t="s">
        <v>10620</v>
      </c>
      <c r="B2573" s="211">
        <v>8800</v>
      </c>
      <c r="C2573" s="211">
        <v>596</v>
      </c>
      <c r="D2573" s="211" t="s">
        <v>1117</v>
      </c>
      <c r="E2573" s="211" t="s">
        <v>10385</v>
      </c>
      <c r="F2573" s="211" t="s">
        <v>7518</v>
      </c>
    </row>
    <row r="2574" spans="1:6">
      <c r="A2574" s="211" t="s">
        <v>7902</v>
      </c>
      <c r="B2574" s="211">
        <v>291</v>
      </c>
      <c r="C2574" s="211" t="s">
        <v>10385</v>
      </c>
      <c r="D2574" s="211" t="s">
        <v>1255</v>
      </c>
      <c r="E2574" s="211" t="s">
        <v>10385</v>
      </c>
      <c r="F2574" s="211" t="s">
        <v>9024</v>
      </c>
    </row>
    <row r="2575" spans="1:6">
      <c r="A2575" s="211" t="s">
        <v>2246</v>
      </c>
      <c r="B2575" s="211">
        <v>4591</v>
      </c>
      <c r="C2575" s="211">
        <v>976</v>
      </c>
      <c r="D2575" s="211" t="s">
        <v>1255</v>
      </c>
      <c r="E2575" s="211" t="s">
        <v>10385</v>
      </c>
      <c r="F2575" s="211" t="s">
        <v>7861</v>
      </c>
    </row>
    <row r="2576" spans="1:6">
      <c r="A2576" s="211" t="s">
        <v>2247</v>
      </c>
      <c r="B2576" s="211">
        <v>5694</v>
      </c>
      <c r="C2576" s="211">
        <v>976</v>
      </c>
      <c r="D2576" s="211" t="s">
        <v>1255</v>
      </c>
      <c r="E2576" s="211" t="s">
        <v>10385</v>
      </c>
      <c r="F2576" s="211" t="s">
        <v>7667</v>
      </c>
    </row>
    <row r="2577" spans="1:6">
      <c r="A2577" s="211" t="s">
        <v>3027</v>
      </c>
      <c r="B2577" s="211">
        <v>1493</v>
      </c>
      <c r="C2577" s="211">
        <v>1145</v>
      </c>
      <c r="D2577" s="211" t="s">
        <v>1255</v>
      </c>
      <c r="E2577" s="211" t="s">
        <v>10385</v>
      </c>
      <c r="F2577" s="211" t="s">
        <v>7335</v>
      </c>
    </row>
    <row r="2578" spans="1:6">
      <c r="A2578" s="211" t="s">
        <v>5788</v>
      </c>
      <c r="B2578" s="211">
        <v>7340</v>
      </c>
      <c r="C2578" s="211">
        <v>949</v>
      </c>
      <c r="D2578" s="211" t="s">
        <v>1255</v>
      </c>
      <c r="E2578" s="211" t="s">
        <v>10385</v>
      </c>
      <c r="F2578" s="211" t="s">
        <v>7375</v>
      </c>
    </row>
    <row r="2579" spans="1:6">
      <c r="A2579" s="211" t="s">
        <v>2248</v>
      </c>
      <c r="B2579" s="211">
        <v>1406</v>
      </c>
      <c r="C2579" s="211">
        <v>1523</v>
      </c>
      <c r="D2579" s="211" t="s">
        <v>1255</v>
      </c>
      <c r="E2579" s="211" t="s">
        <v>10385</v>
      </c>
      <c r="F2579" s="211" t="s">
        <v>7657</v>
      </c>
    </row>
    <row r="2580" spans="1:6">
      <c r="A2580" s="211" t="s">
        <v>5055</v>
      </c>
      <c r="B2580" s="211">
        <v>6961</v>
      </c>
      <c r="C2580" s="211">
        <v>1107</v>
      </c>
      <c r="D2580" s="211" t="s">
        <v>1255</v>
      </c>
      <c r="E2580" s="211" t="s">
        <v>9422</v>
      </c>
      <c r="F2580" s="211" t="s">
        <v>7656</v>
      </c>
    </row>
    <row r="2581" spans="1:6">
      <c r="A2581" s="211" t="s">
        <v>5056</v>
      </c>
      <c r="B2581" s="211">
        <v>6330</v>
      </c>
      <c r="C2581" s="211">
        <v>602</v>
      </c>
      <c r="D2581" s="211" t="s">
        <v>1117</v>
      </c>
      <c r="E2581" s="211" t="s">
        <v>10385</v>
      </c>
      <c r="F2581" s="211" t="s">
        <v>7571</v>
      </c>
    </row>
    <row r="2582" spans="1:6">
      <c r="A2582" s="211" t="s">
        <v>2249</v>
      </c>
      <c r="B2582" s="211">
        <v>1983</v>
      </c>
      <c r="C2582" s="211">
        <v>850</v>
      </c>
      <c r="D2582" s="211" t="s">
        <v>1255</v>
      </c>
      <c r="E2582" s="211" t="s">
        <v>10385</v>
      </c>
      <c r="F2582" s="211" t="s">
        <v>7657</v>
      </c>
    </row>
    <row r="2583" spans="1:6">
      <c r="A2583" s="211" t="s">
        <v>7903</v>
      </c>
      <c r="B2583" s="211">
        <v>5878</v>
      </c>
      <c r="C2583" s="211" t="s">
        <v>10385</v>
      </c>
      <c r="D2583" s="211" t="s">
        <v>1255</v>
      </c>
      <c r="E2583" s="211" t="s">
        <v>10385</v>
      </c>
      <c r="F2583" s="211" t="s">
        <v>7402</v>
      </c>
    </row>
    <row r="2584" spans="1:6">
      <c r="A2584" s="211" t="s">
        <v>9423</v>
      </c>
      <c r="B2584" s="211">
        <v>8074</v>
      </c>
      <c r="C2584" s="211">
        <v>800</v>
      </c>
      <c r="D2584" s="211" t="s">
        <v>1255</v>
      </c>
      <c r="E2584" s="211" t="s">
        <v>10385</v>
      </c>
      <c r="F2584" s="211" t="s">
        <v>9120</v>
      </c>
    </row>
    <row r="2585" spans="1:6">
      <c r="A2585" s="211" t="s">
        <v>2250</v>
      </c>
      <c r="B2585" s="211">
        <v>5634</v>
      </c>
      <c r="C2585" s="211">
        <v>1539</v>
      </c>
      <c r="D2585" s="211" t="s">
        <v>1255</v>
      </c>
      <c r="E2585" s="211" t="s">
        <v>5789</v>
      </c>
      <c r="F2585" s="211" t="s">
        <v>7241</v>
      </c>
    </row>
    <row r="2586" spans="1:6">
      <c r="A2586" s="211" t="s">
        <v>2251</v>
      </c>
      <c r="B2586" s="211">
        <v>5744</v>
      </c>
      <c r="C2586" s="211">
        <v>1117</v>
      </c>
      <c r="D2586" s="211" t="s">
        <v>1117</v>
      </c>
      <c r="E2586" s="211" t="s">
        <v>10385</v>
      </c>
      <c r="F2586" s="211" t="s">
        <v>7327</v>
      </c>
    </row>
    <row r="2587" spans="1:6">
      <c r="A2587" s="211" t="s">
        <v>7904</v>
      </c>
      <c r="B2587" s="211">
        <v>728</v>
      </c>
      <c r="C2587" s="211" t="s">
        <v>10385</v>
      </c>
      <c r="D2587" s="211" t="s">
        <v>1255</v>
      </c>
      <c r="E2587" s="211" t="s">
        <v>10385</v>
      </c>
      <c r="F2587" s="211" t="s">
        <v>7351</v>
      </c>
    </row>
    <row r="2588" spans="1:6">
      <c r="A2588" s="211" t="s">
        <v>7905</v>
      </c>
      <c r="B2588" s="211">
        <v>1904</v>
      </c>
      <c r="C2588" s="211" t="s">
        <v>10385</v>
      </c>
      <c r="D2588" s="211" t="s">
        <v>1255</v>
      </c>
      <c r="E2588" s="211" t="s">
        <v>10385</v>
      </c>
      <c r="F2588" s="211" t="s">
        <v>7231</v>
      </c>
    </row>
    <row r="2589" spans="1:6">
      <c r="A2589" s="211" t="s">
        <v>2857</v>
      </c>
      <c r="B2589" s="211">
        <v>4048</v>
      </c>
      <c r="C2589" s="211">
        <v>846</v>
      </c>
      <c r="D2589" s="211" t="s">
        <v>1255</v>
      </c>
      <c r="E2589" s="211" t="s">
        <v>10385</v>
      </c>
      <c r="F2589" s="211" t="s">
        <v>7386</v>
      </c>
    </row>
    <row r="2590" spans="1:6">
      <c r="A2590" s="211" t="s">
        <v>2252</v>
      </c>
      <c r="B2590" s="211">
        <v>1601</v>
      </c>
      <c r="C2590" s="211">
        <v>1681</v>
      </c>
      <c r="D2590" s="211" t="s">
        <v>1255</v>
      </c>
      <c r="E2590" s="211" t="s">
        <v>10385</v>
      </c>
      <c r="F2590" s="211" t="s">
        <v>7196</v>
      </c>
    </row>
    <row r="2591" spans="1:6">
      <c r="A2591" s="211" t="s">
        <v>7906</v>
      </c>
      <c r="B2591" s="211">
        <v>990</v>
      </c>
      <c r="C2591" s="211" t="s">
        <v>10385</v>
      </c>
      <c r="D2591" s="211" t="s">
        <v>1255</v>
      </c>
      <c r="E2591" s="211" t="s">
        <v>10385</v>
      </c>
      <c r="F2591" s="211" t="s">
        <v>7592</v>
      </c>
    </row>
    <row r="2592" spans="1:6">
      <c r="A2592" s="211" t="s">
        <v>2253</v>
      </c>
      <c r="B2592" s="211">
        <v>4230</v>
      </c>
      <c r="C2592" s="211">
        <v>523</v>
      </c>
      <c r="D2592" s="211" t="s">
        <v>1117</v>
      </c>
      <c r="E2592" s="211" t="s">
        <v>10385</v>
      </c>
      <c r="F2592" s="211" t="s">
        <v>7322</v>
      </c>
    </row>
    <row r="2593" spans="1:6">
      <c r="A2593" s="211" t="s">
        <v>2254</v>
      </c>
      <c r="B2593" s="211">
        <v>2901</v>
      </c>
      <c r="C2593" s="211">
        <v>1060</v>
      </c>
      <c r="D2593" s="211" t="s">
        <v>1117</v>
      </c>
      <c r="E2593" s="211" t="s">
        <v>10385</v>
      </c>
      <c r="F2593" s="211" t="s">
        <v>7205</v>
      </c>
    </row>
    <row r="2594" spans="1:6">
      <c r="A2594" s="211" t="s">
        <v>7907</v>
      </c>
      <c r="B2594" s="211">
        <v>679</v>
      </c>
      <c r="C2594" s="211" t="s">
        <v>10385</v>
      </c>
      <c r="D2594" s="211" t="s">
        <v>1255</v>
      </c>
      <c r="E2594" s="211" t="s">
        <v>10385</v>
      </c>
      <c r="F2594" s="211" t="s">
        <v>7510</v>
      </c>
    </row>
    <row r="2595" spans="1:6">
      <c r="A2595" s="211" t="s">
        <v>2879</v>
      </c>
      <c r="B2595" s="211">
        <v>3219</v>
      </c>
      <c r="C2595" s="211">
        <v>1270</v>
      </c>
      <c r="D2595" s="211" t="s">
        <v>1117</v>
      </c>
      <c r="E2595" s="211" t="s">
        <v>10385</v>
      </c>
      <c r="F2595" s="211" t="s">
        <v>7386</v>
      </c>
    </row>
    <row r="2596" spans="1:6">
      <c r="A2596" s="211" t="s">
        <v>5790</v>
      </c>
      <c r="B2596" s="211">
        <v>7418</v>
      </c>
      <c r="C2596" s="211">
        <v>2003</v>
      </c>
      <c r="D2596" s="211" t="s">
        <v>1117</v>
      </c>
      <c r="E2596" s="211" t="s">
        <v>5791</v>
      </c>
      <c r="F2596" s="211" t="s">
        <v>7357</v>
      </c>
    </row>
    <row r="2597" spans="1:6">
      <c r="A2597" s="211" t="s">
        <v>5792</v>
      </c>
      <c r="B2597" s="211">
        <v>7420</v>
      </c>
      <c r="C2597" s="211">
        <v>1974</v>
      </c>
      <c r="D2597" s="211" t="s">
        <v>1117</v>
      </c>
      <c r="E2597" s="211" t="s">
        <v>5793</v>
      </c>
      <c r="F2597" s="211" t="s">
        <v>7357</v>
      </c>
    </row>
    <row r="2598" spans="1:6">
      <c r="A2598" s="211" t="s">
        <v>2255</v>
      </c>
      <c r="B2598" s="211">
        <v>200</v>
      </c>
      <c r="C2598" s="211">
        <v>2178</v>
      </c>
      <c r="D2598" s="211" t="s">
        <v>1255</v>
      </c>
      <c r="E2598" s="211" t="s">
        <v>10385</v>
      </c>
      <c r="F2598" s="211" t="s">
        <v>7263</v>
      </c>
    </row>
    <row r="2599" spans="1:6">
      <c r="A2599" s="211" t="s">
        <v>2256</v>
      </c>
      <c r="B2599" s="211">
        <v>4886</v>
      </c>
      <c r="C2599" s="211">
        <v>1515</v>
      </c>
      <c r="D2599" s="211" t="s">
        <v>1255</v>
      </c>
      <c r="E2599" s="211" t="s">
        <v>10385</v>
      </c>
      <c r="F2599" s="211" t="s">
        <v>7384</v>
      </c>
    </row>
    <row r="2600" spans="1:6">
      <c r="A2600" s="211" t="s">
        <v>5057</v>
      </c>
      <c r="B2600" s="211">
        <v>6885</v>
      </c>
      <c r="C2600" s="211">
        <v>1608</v>
      </c>
      <c r="D2600" s="211" t="s">
        <v>1255</v>
      </c>
      <c r="E2600" s="211" t="s">
        <v>10385</v>
      </c>
      <c r="F2600" s="211" t="s">
        <v>7272</v>
      </c>
    </row>
    <row r="2601" spans="1:6">
      <c r="A2601" s="211" t="s">
        <v>2257</v>
      </c>
      <c r="B2601" s="211">
        <v>5289</v>
      </c>
      <c r="C2601" s="211">
        <v>784</v>
      </c>
      <c r="D2601" s="211" t="s">
        <v>1255</v>
      </c>
      <c r="E2601" s="211" t="s">
        <v>10385</v>
      </c>
      <c r="F2601" s="211" t="s">
        <v>7386</v>
      </c>
    </row>
    <row r="2602" spans="1:6">
      <c r="A2602" s="211" t="s">
        <v>2258</v>
      </c>
      <c r="B2602" s="211">
        <v>5749</v>
      </c>
      <c r="C2602" s="211">
        <v>994</v>
      </c>
      <c r="D2602" s="211" t="s">
        <v>1117</v>
      </c>
      <c r="E2602" s="211" t="s">
        <v>10385</v>
      </c>
      <c r="F2602" s="211" t="s">
        <v>7425</v>
      </c>
    </row>
    <row r="2603" spans="1:6">
      <c r="A2603" s="211" t="s">
        <v>2259</v>
      </c>
      <c r="B2603" s="211">
        <v>5243</v>
      </c>
      <c r="C2603" s="211">
        <v>1402</v>
      </c>
      <c r="D2603" s="211" t="s">
        <v>1255</v>
      </c>
      <c r="E2603" s="211" t="s">
        <v>10385</v>
      </c>
      <c r="F2603" s="211" t="s">
        <v>7430</v>
      </c>
    </row>
    <row r="2604" spans="1:6">
      <c r="A2604" s="211" t="s">
        <v>9424</v>
      </c>
      <c r="B2604" s="211">
        <v>8460</v>
      </c>
      <c r="C2604" s="211">
        <v>1752</v>
      </c>
      <c r="D2604" s="211" t="s">
        <v>1255</v>
      </c>
      <c r="E2604" s="211" t="s">
        <v>9425</v>
      </c>
      <c r="F2604" s="211" t="s">
        <v>7357</v>
      </c>
    </row>
    <row r="2605" spans="1:6">
      <c r="A2605" s="211" t="s">
        <v>2260</v>
      </c>
      <c r="B2605" s="211">
        <v>2814</v>
      </c>
      <c r="C2605" s="211">
        <v>1038</v>
      </c>
      <c r="D2605" s="211" t="s">
        <v>1255</v>
      </c>
      <c r="E2605" s="211" t="s">
        <v>10385</v>
      </c>
      <c r="F2605" s="211" t="s">
        <v>7692</v>
      </c>
    </row>
    <row r="2606" spans="1:6">
      <c r="A2606" s="211" t="s">
        <v>2261</v>
      </c>
      <c r="B2606" s="211">
        <v>3934</v>
      </c>
      <c r="C2606" s="211">
        <v>969</v>
      </c>
      <c r="D2606" s="211" t="s">
        <v>1255</v>
      </c>
      <c r="E2606" s="211" t="s">
        <v>10385</v>
      </c>
      <c r="F2606" s="211" t="s">
        <v>7868</v>
      </c>
    </row>
    <row r="2607" spans="1:6">
      <c r="A2607" s="211" t="s">
        <v>7908</v>
      </c>
      <c r="B2607" s="211">
        <v>113</v>
      </c>
      <c r="C2607" s="211" t="s">
        <v>10385</v>
      </c>
      <c r="D2607" s="211" t="s">
        <v>1255</v>
      </c>
      <c r="E2607" s="211" t="s">
        <v>10385</v>
      </c>
      <c r="F2607" s="211" t="s">
        <v>7173</v>
      </c>
    </row>
    <row r="2608" spans="1:6">
      <c r="A2608" s="211" t="s">
        <v>7909</v>
      </c>
      <c r="B2608" s="211">
        <v>211</v>
      </c>
      <c r="C2608" s="211" t="s">
        <v>10385</v>
      </c>
      <c r="D2608" s="211" t="s">
        <v>1255</v>
      </c>
      <c r="E2608" s="211" t="s">
        <v>10385</v>
      </c>
      <c r="F2608" s="211" t="s">
        <v>7239</v>
      </c>
    </row>
    <row r="2609" spans="1:6">
      <c r="A2609" s="211" t="s">
        <v>9426</v>
      </c>
      <c r="B2609" s="211">
        <v>8193</v>
      </c>
      <c r="C2609" s="211">
        <v>994</v>
      </c>
      <c r="D2609" s="211" t="s">
        <v>1255</v>
      </c>
      <c r="E2609" s="211" t="s">
        <v>9427</v>
      </c>
      <c r="F2609" s="211" t="s">
        <v>7213</v>
      </c>
    </row>
    <row r="2610" spans="1:6">
      <c r="A2610" s="211" t="s">
        <v>5058</v>
      </c>
      <c r="B2610" s="211">
        <v>7004</v>
      </c>
      <c r="C2610" s="211">
        <v>546</v>
      </c>
      <c r="D2610" s="211" t="s">
        <v>1117</v>
      </c>
      <c r="E2610" s="211" t="s">
        <v>9428</v>
      </c>
      <c r="F2610" s="211" t="s">
        <v>7192</v>
      </c>
    </row>
    <row r="2611" spans="1:6">
      <c r="A2611" s="211" t="s">
        <v>2262</v>
      </c>
      <c r="B2611" s="211">
        <v>2956</v>
      </c>
      <c r="C2611" s="211">
        <v>821</v>
      </c>
      <c r="D2611" s="211" t="s">
        <v>1117</v>
      </c>
      <c r="E2611" s="211" t="s">
        <v>10385</v>
      </c>
      <c r="F2611" s="211" t="s">
        <v>7205</v>
      </c>
    </row>
    <row r="2612" spans="1:6">
      <c r="A2612" s="211" t="s">
        <v>2263</v>
      </c>
      <c r="B2612" s="211">
        <v>324</v>
      </c>
      <c r="C2612" s="211">
        <v>1764</v>
      </c>
      <c r="D2612" s="211" t="s">
        <v>1255</v>
      </c>
      <c r="E2612" s="211" t="s">
        <v>10385</v>
      </c>
      <c r="F2612" s="211" t="s">
        <v>7284</v>
      </c>
    </row>
    <row r="2613" spans="1:6">
      <c r="A2613" s="211" t="s">
        <v>2264</v>
      </c>
      <c r="B2613" s="211">
        <v>1076</v>
      </c>
      <c r="C2613" s="211">
        <v>1767</v>
      </c>
      <c r="D2613" s="211" t="s">
        <v>1255</v>
      </c>
      <c r="E2613" s="211" t="s">
        <v>10385</v>
      </c>
      <c r="F2613" s="211" t="s">
        <v>7306</v>
      </c>
    </row>
    <row r="2614" spans="1:6">
      <c r="A2614" s="211" t="s">
        <v>2265</v>
      </c>
      <c r="B2614" s="211">
        <v>1774</v>
      </c>
      <c r="C2614" s="211">
        <v>1209</v>
      </c>
      <c r="D2614" s="211" t="s">
        <v>1255</v>
      </c>
      <c r="E2614" s="211" t="s">
        <v>10385</v>
      </c>
      <c r="F2614" s="211" t="s">
        <v>7262</v>
      </c>
    </row>
    <row r="2615" spans="1:6">
      <c r="A2615" s="211" t="s">
        <v>2266</v>
      </c>
      <c r="B2615" s="211">
        <v>2820</v>
      </c>
      <c r="C2615" s="211">
        <v>1588</v>
      </c>
      <c r="D2615" s="211" t="s">
        <v>1255</v>
      </c>
      <c r="E2615" s="211" t="s">
        <v>10385</v>
      </c>
      <c r="F2615" s="211" t="s">
        <v>7510</v>
      </c>
    </row>
    <row r="2616" spans="1:6">
      <c r="A2616" s="211" t="s">
        <v>7910</v>
      </c>
      <c r="B2616" s="211">
        <v>4681</v>
      </c>
      <c r="C2616" s="211">
        <v>1503</v>
      </c>
      <c r="D2616" s="211" t="s">
        <v>1255</v>
      </c>
      <c r="E2616" s="211" t="s">
        <v>10385</v>
      </c>
      <c r="F2616" s="211" t="s">
        <v>7272</v>
      </c>
    </row>
    <row r="2617" spans="1:6">
      <c r="A2617" s="211" t="s">
        <v>3056</v>
      </c>
      <c r="B2617" s="211">
        <v>6278</v>
      </c>
      <c r="C2617" s="211">
        <v>875</v>
      </c>
      <c r="D2617" s="211" t="s">
        <v>1255</v>
      </c>
      <c r="E2617" s="211" t="s">
        <v>9429</v>
      </c>
      <c r="F2617" s="211" t="s">
        <v>7242</v>
      </c>
    </row>
    <row r="2618" spans="1:6">
      <c r="A2618" s="211" t="s">
        <v>2267</v>
      </c>
      <c r="B2618" s="211">
        <v>2797</v>
      </c>
      <c r="C2618" s="211">
        <v>1904</v>
      </c>
      <c r="D2618" s="211" t="s">
        <v>1255</v>
      </c>
      <c r="E2618" s="211" t="s">
        <v>10385</v>
      </c>
      <c r="F2618" s="211" t="s">
        <v>7167</v>
      </c>
    </row>
    <row r="2619" spans="1:6">
      <c r="A2619" s="211" t="s">
        <v>2268</v>
      </c>
      <c r="B2619" s="211">
        <v>4622</v>
      </c>
      <c r="C2619" s="211">
        <v>1201</v>
      </c>
      <c r="D2619" s="211" t="s">
        <v>1255</v>
      </c>
      <c r="E2619" s="211" t="s">
        <v>10385</v>
      </c>
      <c r="F2619" s="211" t="s">
        <v>7208</v>
      </c>
    </row>
    <row r="2620" spans="1:6">
      <c r="A2620" s="211" t="s">
        <v>7911</v>
      </c>
      <c r="B2620" s="211">
        <v>3655</v>
      </c>
      <c r="C2620" s="211" t="s">
        <v>10385</v>
      </c>
      <c r="D2620" s="211" t="s">
        <v>1255</v>
      </c>
      <c r="E2620" s="211" t="s">
        <v>10385</v>
      </c>
      <c r="F2620" s="211" t="s">
        <v>7208</v>
      </c>
    </row>
    <row r="2621" spans="1:6">
      <c r="A2621" s="211" t="s">
        <v>2269</v>
      </c>
      <c r="B2621" s="211">
        <v>5601</v>
      </c>
      <c r="C2621" s="211">
        <v>855</v>
      </c>
      <c r="D2621" s="211" t="s">
        <v>1255</v>
      </c>
      <c r="E2621" s="211" t="s">
        <v>10385</v>
      </c>
      <c r="F2621" s="211" t="s">
        <v>7389</v>
      </c>
    </row>
    <row r="2622" spans="1:6">
      <c r="A2622" s="211" t="s">
        <v>2270</v>
      </c>
      <c r="B2622" s="211">
        <v>4938</v>
      </c>
      <c r="C2622" s="211">
        <v>1051</v>
      </c>
      <c r="D2622" s="211" t="s">
        <v>1255</v>
      </c>
      <c r="E2622" s="211" t="s">
        <v>10385</v>
      </c>
      <c r="F2622" s="211" t="s">
        <v>7389</v>
      </c>
    </row>
    <row r="2623" spans="1:6">
      <c r="A2623" s="211" t="s">
        <v>2271</v>
      </c>
      <c r="B2623" s="211">
        <v>1899</v>
      </c>
      <c r="C2623" s="211">
        <v>1908</v>
      </c>
      <c r="D2623" s="211" t="s">
        <v>1255</v>
      </c>
      <c r="E2623" s="211" t="s">
        <v>10385</v>
      </c>
      <c r="F2623" s="211" t="s">
        <v>7199</v>
      </c>
    </row>
    <row r="2624" spans="1:6">
      <c r="A2624" s="211" t="s">
        <v>4882</v>
      </c>
      <c r="B2624" s="211">
        <v>4047</v>
      </c>
      <c r="C2624" s="211">
        <v>954</v>
      </c>
      <c r="D2624" s="211" t="s">
        <v>1255</v>
      </c>
      <c r="E2624" s="211" t="s">
        <v>10385</v>
      </c>
      <c r="F2624" s="211" t="s">
        <v>7386</v>
      </c>
    </row>
    <row r="2625" spans="1:6">
      <c r="A2625" s="211" t="s">
        <v>2272</v>
      </c>
      <c r="B2625" s="211">
        <v>4392</v>
      </c>
      <c r="C2625" s="211">
        <v>1174</v>
      </c>
      <c r="D2625" s="211" t="s">
        <v>1255</v>
      </c>
      <c r="E2625" s="211" t="s">
        <v>10385</v>
      </c>
      <c r="F2625" s="211" t="s">
        <v>7310</v>
      </c>
    </row>
    <row r="2626" spans="1:6">
      <c r="A2626" s="211" t="s">
        <v>2273</v>
      </c>
      <c r="B2626" s="211">
        <v>3232</v>
      </c>
      <c r="C2626" s="211">
        <v>1317</v>
      </c>
      <c r="D2626" s="211" t="s">
        <v>1255</v>
      </c>
      <c r="E2626" s="211" t="s">
        <v>10385</v>
      </c>
      <c r="F2626" s="211" t="s">
        <v>7272</v>
      </c>
    </row>
    <row r="2627" spans="1:6">
      <c r="A2627" s="211" t="s">
        <v>9430</v>
      </c>
      <c r="B2627" s="211">
        <v>7978</v>
      </c>
      <c r="C2627" s="211">
        <v>1001</v>
      </c>
      <c r="D2627" s="211" t="s">
        <v>1255</v>
      </c>
      <c r="E2627" s="211" t="s">
        <v>9431</v>
      </c>
      <c r="F2627" s="211" t="s">
        <v>7453</v>
      </c>
    </row>
    <row r="2628" spans="1:6">
      <c r="A2628" s="211" t="s">
        <v>4607</v>
      </c>
      <c r="B2628" s="211">
        <v>6512</v>
      </c>
      <c r="C2628" s="211">
        <v>1230</v>
      </c>
      <c r="D2628" s="211" t="s">
        <v>1255</v>
      </c>
      <c r="E2628" s="211" t="s">
        <v>10385</v>
      </c>
      <c r="F2628" s="211" t="s">
        <v>7249</v>
      </c>
    </row>
    <row r="2629" spans="1:6">
      <c r="A2629" s="211" t="s">
        <v>7912</v>
      </c>
      <c r="B2629" s="211">
        <v>7853</v>
      </c>
      <c r="C2629" s="211">
        <v>1394</v>
      </c>
      <c r="D2629" s="211" t="s">
        <v>1117</v>
      </c>
      <c r="E2629" s="211" t="s">
        <v>10385</v>
      </c>
      <c r="F2629" s="211" t="s">
        <v>7240</v>
      </c>
    </row>
    <row r="2630" spans="1:6">
      <c r="A2630" s="211" t="s">
        <v>2274</v>
      </c>
      <c r="B2630" s="211">
        <v>4966</v>
      </c>
      <c r="C2630" s="211">
        <v>1607</v>
      </c>
      <c r="D2630" s="211" t="s">
        <v>1255</v>
      </c>
      <c r="E2630" s="211" t="s">
        <v>10385</v>
      </c>
      <c r="F2630" s="211" t="s">
        <v>7197</v>
      </c>
    </row>
    <row r="2631" spans="1:6">
      <c r="A2631" s="211" t="s">
        <v>7913</v>
      </c>
      <c r="B2631" s="211">
        <v>5226</v>
      </c>
      <c r="C2631" s="211" t="s">
        <v>10385</v>
      </c>
      <c r="D2631" s="211" t="s">
        <v>1255</v>
      </c>
      <c r="E2631" s="211" t="s">
        <v>10385</v>
      </c>
      <c r="F2631" s="211" t="s">
        <v>7318</v>
      </c>
    </row>
    <row r="2632" spans="1:6">
      <c r="A2632" s="211" t="s">
        <v>7914</v>
      </c>
      <c r="B2632" s="211">
        <v>117</v>
      </c>
      <c r="C2632" s="211" t="s">
        <v>10385</v>
      </c>
      <c r="D2632" s="211" t="s">
        <v>1255</v>
      </c>
      <c r="E2632" s="211" t="s">
        <v>10385</v>
      </c>
      <c r="F2632" s="211" t="s">
        <v>7275</v>
      </c>
    </row>
    <row r="2633" spans="1:6">
      <c r="A2633" s="211" t="s">
        <v>2275</v>
      </c>
      <c r="B2633" s="211">
        <v>4071</v>
      </c>
      <c r="C2633" s="211">
        <v>706</v>
      </c>
      <c r="D2633" s="211" t="s">
        <v>1117</v>
      </c>
      <c r="E2633" s="211" t="s">
        <v>10385</v>
      </c>
      <c r="F2633" s="211" t="s">
        <v>7249</v>
      </c>
    </row>
    <row r="2634" spans="1:6">
      <c r="A2634" s="211" t="s">
        <v>2276</v>
      </c>
      <c r="B2634" s="211">
        <v>4201</v>
      </c>
      <c r="C2634" s="211">
        <v>1810</v>
      </c>
      <c r="D2634" s="211" t="s">
        <v>1255</v>
      </c>
      <c r="E2634" s="211" t="s">
        <v>10385</v>
      </c>
      <c r="F2634" s="211" t="s">
        <v>7383</v>
      </c>
    </row>
    <row r="2635" spans="1:6">
      <c r="A2635" s="211" t="s">
        <v>2277</v>
      </c>
      <c r="B2635" s="211">
        <v>4672</v>
      </c>
      <c r="C2635" s="211">
        <v>1575</v>
      </c>
      <c r="D2635" s="211" t="s">
        <v>1255</v>
      </c>
      <c r="E2635" s="211" t="s">
        <v>10385</v>
      </c>
      <c r="F2635" s="211" t="s">
        <v>7318</v>
      </c>
    </row>
    <row r="2636" spans="1:6">
      <c r="A2636" s="211" t="s">
        <v>5059</v>
      </c>
      <c r="B2636" s="211">
        <v>6249</v>
      </c>
      <c r="C2636" s="211">
        <v>1280</v>
      </c>
      <c r="D2636" s="211" t="s">
        <v>1117</v>
      </c>
      <c r="E2636" s="211" t="s">
        <v>10385</v>
      </c>
      <c r="F2636" s="211" t="s">
        <v>7224</v>
      </c>
    </row>
    <row r="2637" spans="1:6">
      <c r="A2637" s="211" t="s">
        <v>2278</v>
      </c>
      <c r="B2637" s="211">
        <v>4456</v>
      </c>
      <c r="C2637" s="211">
        <v>949</v>
      </c>
      <c r="D2637" s="211" t="s">
        <v>1117</v>
      </c>
      <c r="E2637" s="211" t="s">
        <v>10385</v>
      </c>
      <c r="F2637" s="211" t="s">
        <v>7320</v>
      </c>
    </row>
    <row r="2638" spans="1:6">
      <c r="A2638" s="211" t="s">
        <v>2279</v>
      </c>
      <c r="B2638" s="211">
        <v>4442</v>
      </c>
      <c r="C2638" s="211">
        <v>1574</v>
      </c>
      <c r="D2638" s="211" t="s">
        <v>1255</v>
      </c>
      <c r="E2638" s="211" t="s">
        <v>6792</v>
      </c>
      <c r="F2638" s="211" t="s">
        <v>7242</v>
      </c>
    </row>
    <row r="2639" spans="1:6">
      <c r="A2639" s="211" t="s">
        <v>5794</v>
      </c>
      <c r="B2639" s="211">
        <v>7216</v>
      </c>
      <c r="C2639" s="211">
        <v>1414</v>
      </c>
      <c r="D2639" s="211" t="s">
        <v>1255</v>
      </c>
      <c r="E2639" s="211" t="s">
        <v>10621</v>
      </c>
      <c r="F2639" s="211" t="s">
        <v>7205</v>
      </c>
    </row>
    <row r="2640" spans="1:6">
      <c r="A2640" s="211" t="s">
        <v>2280</v>
      </c>
      <c r="B2640" s="211">
        <v>505</v>
      </c>
      <c r="C2640" s="211">
        <v>1433</v>
      </c>
      <c r="D2640" s="211" t="s">
        <v>1117</v>
      </c>
      <c r="E2640" s="211" t="s">
        <v>10385</v>
      </c>
      <c r="F2640" s="211" t="s">
        <v>7318</v>
      </c>
    </row>
    <row r="2641" spans="1:6">
      <c r="A2641" s="211" t="s">
        <v>7915</v>
      </c>
      <c r="B2641" s="211">
        <v>781</v>
      </c>
      <c r="C2641" s="211" t="s">
        <v>10385</v>
      </c>
      <c r="D2641" s="211" t="s">
        <v>1255</v>
      </c>
      <c r="E2641" s="211" t="s">
        <v>10385</v>
      </c>
      <c r="F2641" s="211" t="s">
        <v>7171</v>
      </c>
    </row>
    <row r="2642" spans="1:6">
      <c r="A2642" s="211" t="s">
        <v>5795</v>
      </c>
      <c r="B2642" s="211">
        <v>7381</v>
      </c>
      <c r="C2642" s="211">
        <v>1000</v>
      </c>
      <c r="D2642" s="211" t="s">
        <v>1117</v>
      </c>
      <c r="E2642" s="211" t="s">
        <v>9432</v>
      </c>
      <c r="F2642" s="211" t="s">
        <v>7241</v>
      </c>
    </row>
    <row r="2643" spans="1:6">
      <c r="A2643" s="211" t="s">
        <v>7916</v>
      </c>
      <c r="B2643" s="211">
        <v>7848</v>
      </c>
      <c r="C2643" s="211">
        <v>2080</v>
      </c>
      <c r="D2643" s="211" t="s">
        <v>1117</v>
      </c>
      <c r="E2643" s="211" t="s">
        <v>10385</v>
      </c>
      <c r="F2643" s="211" t="s">
        <v>7386</v>
      </c>
    </row>
    <row r="2644" spans="1:6">
      <c r="A2644" s="211" t="s">
        <v>2281</v>
      </c>
      <c r="B2644" s="211">
        <v>4079</v>
      </c>
      <c r="C2644" s="211">
        <v>972</v>
      </c>
      <c r="D2644" s="211" t="s">
        <v>1255</v>
      </c>
      <c r="E2644" s="211" t="s">
        <v>10385</v>
      </c>
      <c r="F2644" s="211" t="s">
        <v>7308</v>
      </c>
    </row>
    <row r="2645" spans="1:6">
      <c r="A2645" s="211" t="s">
        <v>4664</v>
      </c>
      <c r="B2645" s="211">
        <v>6398</v>
      </c>
      <c r="C2645" s="211">
        <v>1984</v>
      </c>
      <c r="D2645" s="211" t="s">
        <v>1255</v>
      </c>
      <c r="E2645" s="211" t="s">
        <v>5796</v>
      </c>
      <c r="F2645" s="211" t="s">
        <v>7241</v>
      </c>
    </row>
    <row r="2646" spans="1:6">
      <c r="A2646" s="211" t="s">
        <v>2282</v>
      </c>
      <c r="B2646" s="211">
        <v>684</v>
      </c>
      <c r="C2646" s="211">
        <v>2309</v>
      </c>
      <c r="D2646" s="211" t="s">
        <v>1255</v>
      </c>
      <c r="E2646" s="211" t="s">
        <v>10385</v>
      </c>
      <c r="F2646" s="211" t="s">
        <v>7592</v>
      </c>
    </row>
    <row r="2647" spans="1:6">
      <c r="A2647" s="211" t="s">
        <v>2283</v>
      </c>
      <c r="B2647" s="211">
        <v>4715</v>
      </c>
      <c r="C2647" s="211">
        <v>1141</v>
      </c>
      <c r="D2647" s="211" t="s">
        <v>1255</v>
      </c>
      <c r="E2647" s="211" t="s">
        <v>10385</v>
      </c>
      <c r="F2647" s="211" t="s">
        <v>7318</v>
      </c>
    </row>
    <row r="2648" spans="1:6">
      <c r="A2648" s="211" t="s">
        <v>7917</v>
      </c>
      <c r="B2648" s="211">
        <v>7873</v>
      </c>
      <c r="C2648" s="211">
        <v>997</v>
      </c>
      <c r="D2648" s="211" t="s">
        <v>1255</v>
      </c>
      <c r="E2648" s="211" t="s">
        <v>10621</v>
      </c>
      <c r="F2648" s="211" t="s">
        <v>7205</v>
      </c>
    </row>
    <row r="2649" spans="1:6">
      <c r="A2649" s="211" t="s">
        <v>1500</v>
      </c>
      <c r="B2649" s="211">
        <v>1735</v>
      </c>
      <c r="C2649" s="211">
        <v>1530</v>
      </c>
      <c r="D2649" s="211" t="s">
        <v>1255</v>
      </c>
      <c r="E2649" s="211" t="s">
        <v>10385</v>
      </c>
      <c r="F2649" s="211" t="s">
        <v>7283</v>
      </c>
    </row>
    <row r="2650" spans="1:6">
      <c r="A2650" s="211" t="s">
        <v>4710</v>
      </c>
      <c r="B2650" s="211">
        <v>6215</v>
      </c>
      <c r="C2650" s="211">
        <v>852</v>
      </c>
      <c r="D2650" s="211" t="s">
        <v>1117</v>
      </c>
      <c r="E2650" s="211" t="s">
        <v>10385</v>
      </c>
      <c r="F2650" s="211" t="s">
        <v>7402</v>
      </c>
    </row>
    <row r="2651" spans="1:6">
      <c r="A2651" s="211" t="s">
        <v>1501</v>
      </c>
      <c r="B2651" s="211">
        <v>1249</v>
      </c>
      <c r="C2651" s="211">
        <v>791</v>
      </c>
      <c r="D2651" s="211" t="s">
        <v>1255</v>
      </c>
      <c r="E2651" s="211" t="s">
        <v>10385</v>
      </c>
      <c r="F2651" s="211" t="s">
        <v>7261</v>
      </c>
    </row>
    <row r="2652" spans="1:6">
      <c r="A2652" s="211" t="s">
        <v>1502</v>
      </c>
      <c r="B2652" s="211">
        <v>4572</v>
      </c>
      <c r="C2652" s="211">
        <v>1699</v>
      </c>
      <c r="D2652" s="211" t="s">
        <v>1255</v>
      </c>
      <c r="E2652" s="211" t="s">
        <v>5797</v>
      </c>
      <c r="F2652" s="211" t="s">
        <v>7334</v>
      </c>
    </row>
    <row r="2653" spans="1:6">
      <c r="A2653" s="211" t="s">
        <v>1503</v>
      </c>
      <c r="B2653" s="211">
        <v>4652</v>
      </c>
      <c r="C2653" s="211">
        <v>740</v>
      </c>
      <c r="D2653" s="211" t="s">
        <v>1117</v>
      </c>
      <c r="E2653" s="211" t="s">
        <v>10385</v>
      </c>
      <c r="F2653" s="211" t="s">
        <v>7224</v>
      </c>
    </row>
    <row r="2654" spans="1:6">
      <c r="A2654" s="211" t="s">
        <v>1504</v>
      </c>
      <c r="B2654" s="211">
        <v>3340</v>
      </c>
      <c r="C2654" s="211">
        <v>1503</v>
      </c>
      <c r="D2654" s="211" t="s">
        <v>1255</v>
      </c>
      <c r="E2654" s="211" t="s">
        <v>10385</v>
      </c>
      <c r="F2654" s="211" t="s">
        <v>7327</v>
      </c>
    </row>
    <row r="2655" spans="1:6">
      <c r="A2655" s="211" t="s">
        <v>7918</v>
      </c>
      <c r="B2655" s="211">
        <v>196</v>
      </c>
      <c r="C2655" s="211" t="s">
        <v>10385</v>
      </c>
      <c r="D2655" s="211" t="s">
        <v>1255</v>
      </c>
      <c r="E2655" s="211" t="s">
        <v>10385</v>
      </c>
      <c r="F2655" s="211" t="s">
        <v>7272</v>
      </c>
    </row>
    <row r="2656" spans="1:6">
      <c r="A2656" s="211" t="s">
        <v>8920</v>
      </c>
      <c r="B2656" s="211">
        <v>4948</v>
      </c>
      <c r="C2656" s="211">
        <v>745</v>
      </c>
      <c r="D2656" s="211" t="s">
        <v>1255</v>
      </c>
      <c r="E2656" s="211" t="s">
        <v>10385</v>
      </c>
      <c r="F2656" s="211" t="s">
        <v>7377</v>
      </c>
    </row>
    <row r="2657" spans="1:6">
      <c r="A2657" s="211" t="s">
        <v>8921</v>
      </c>
      <c r="B2657" s="211">
        <v>6119</v>
      </c>
      <c r="C2657" s="211">
        <v>745</v>
      </c>
      <c r="D2657" s="211" t="s">
        <v>1255</v>
      </c>
      <c r="E2657" s="211" t="s">
        <v>10385</v>
      </c>
      <c r="F2657" s="211" t="s">
        <v>7593</v>
      </c>
    </row>
    <row r="2658" spans="1:6">
      <c r="A2658" s="211" t="s">
        <v>1505</v>
      </c>
      <c r="B2658" s="211">
        <v>4128</v>
      </c>
      <c r="C2658" s="211">
        <v>1009</v>
      </c>
      <c r="D2658" s="211" t="s">
        <v>1255</v>
      </c>
      <c r="E2658" s="211" t="s">
        <v>10385</v>
      </c>
      <c r="F2658" s="211" t="s">
        <v>7646</v>
      </c>
    </row>
    <row r="2659" spans="1:6">
      <c r="A2659" s="211" t="s">
        <v>1506</v>
      </c>
      <c r="B2659" s="211">
        <v>1796</v>
      </c>
      <c r="C2659" s="211">
        <v>1536</v>
      </c>
      <c r="D2659" s="211" t="s">
        <v>1255</v>
      </c>
      <c r="E2659" s="211" t="s">
        <v>10385</v>
      </c>
      <c r="F2659" s="211" t="s">
        <v>7232</v>
      </c>
    </row>
    <row r="2660" spans="1:6">
      <c r="A2660" s="211" t="s">
        <v>7920</v>
      </c>
      <c r="B2660" s="211">
        <v>3029</v>
      </c>
      <c r="C2660" s="211" t="s">
        <v>10385</v>
      </c>
      <c r="D2660" s="211" t="s">
        <v>1255</v>
      </c>
      <c r="E2660" s="211" t="s">
        <v>10385</v>
      </c>
      <c r="F2660" s="211" t="s">
        <v>7232</v>
      </c>
    </row>
    <row r="2661" spans="1:6">
      <c r="A2661" s="211" t="s">
        <v>7921</v>
      </c>
      <c r="B2661" s="211">
        <v>7436</v>
      </c>
      <c r="C2661" s="211" t="s">
        <v>10385</v>
      </c>
      <c r="D2661" s="211" t="s">
        <v>1255</v>
      </c>
      <c r="E2661" s="211" t="s">
        <v>10385</v>
      </c>
      <c r="F2661" s="211" t="s">
        <v>7249</v>
      </c>
    </row>
    <row r="2662" spans="1:6">
      <c r="A2662" s="211" t="s">
        <v>7922</v>
      </c>
      <c r="B2662" s="211">
        <v>415</v>
      </c>
      <c r="C2662" s="211" t="s">
        <v>10385</v>
      </c>
      <c r="D2662" s="211" t="s">
        <v>1255</v>
      </c>
      <c r="E2662" s="211" t="s">
        <v>10385</v>
      </c>
      <c r="F2662" s="211" t="s">
        <v>7232</v>
      </c>
    </row>
    <row r="2663" spans="1:6">
      <c r="A2663" s="211" t="s">
        <v>7919</v>
      </c>
      <c r="B2663" s="211">
        <v>6029</v>
      </c>
      <c r="C2663" s="211" t="s">
        <v>10385</v>
      </c>
      <c r="D2663" s="211" t="s">
        <v>1117</v>
      </c>
      <c r="E2663" s="211" t="s">
        <v>10385</v>
      </c>
      <c r="F2663" s="211" t="s">
        <v>7308</v>
      </c>
    </row>
    <row r="2664" spans="1:6">
      <c r="A2664" s="211" t="s">
        <v>1507</v>
      </c>
      <c r="B2664" s="211">
        <v>5717</v>
      </c>
      <c r="C2664" s="211">
        <v>975</v>
      </c>
      <c r="D2664" s="211" t="s">
        <v>1117</v>
      </c>
      <c r="E2664" s="211" t="s">
        <v>10385</v>
      </c>
      <c r="F2664" s="211" t="s">
        <v>7275</v>
      </c>
    </row>
    <row r="2665" spans="1:6">
      <c r="A2665" s="211" t="s">
        <v>7923</v>
      </c>
      <c r="B2665" s="211">
        <v>2086</v>
      </c>
      <c r="C2665" s="211" t="s">
        <v>10385</v>
      </c>
      <c r="D2665" s="211" t="s">
        <v>1117</v>
      </c>
      <c r="E2665" s="211" t="s">
        <v>10385</v>
      </c>
      <c r="F2665" s="211" t="s">
        <v>7213</v>
      </c>
    </row>
    <row r="2666" spans="1:6">
      <c r="A2666" s="211" t="s">
        <v>1508</v>
      </c>
      <c r="B2666" s="211">
        <v>2201</v>
      </c>
      <c r="C2666" s="211">
        <v>1779</v>
      </c>
      <c r="D2666" s="211" t="s">
        <v>1255</v>
      </c>
      <c r="E2666" s="211" t="s">
        <v>10385</v>
      </c>
      <c r="F2666" s="211" t="s">
        <v>7283</v>
      </c>
    </row>
    <row r="2667" spans="1:6">
      <c r="A2667" s="211" t="s">
        <v>1509</v>
      </c>
      <c r="B2667" s="211">
        <v>4840</v>
      </c>
      <c r="C2667" s="211">
        <v>1611</v>
      </c>
      <c r="D2667" s="211" t="s">
        <v>1255</v>
      </c>
      <c r="E2667" s="211" t="s">
        <v>10385</v>
      </c>
      <c r="F2667" s="211" t="s">
        <v>7373</v>
      </c>
    </row>
    <row r="2668" spans="1:6">
      <c r="A2668" s="211" t="s">
        <v>1510</v>
      </c>
      <c r="B2668" s="211">
        <v>3410</v>
      </c>
      <c r="C2668" s="211">
        <v>1483</v>
      </c>
      <c r="D2668" s="211" t="s">
        <v>1255</v>
      </c>
      <c r="E2668" s="211" t="s">
        <v>10385</v>
      </c>
      <c r="F2668" s="211" t="s">
        <v>7284</v>
      </c>
    </row>
    <row r="2669" spans="1:6">
      <c r="A2669" s="211" t="s">
        <v>5798</v>
      </c>
      <c r="B2669" s="211">
        <v>7115</v>
      </c>
      <c r="C2669" s="211">
        <v>1000</v>
      </c>
      <c r="D2669" s="211" t="s">
        <v>1255</v>
      </c>
      <c r="E2669" s="211" t="s">
        <v>6793</v>
      </c>
      <c r="F2669" s="211" t="s">
        <v>7377</v>
      </c>
    </row>
    <row r="2670" spans="1:6">
      <c r="A2670" s="211" t="s">
        <v>4583</v>
      </c>
      <c r="B2670" s="211">
        <v>6525</v>
      </c>
      <c r="C2670" s="211">
        <v>1085</v>
      </c>
      <c r="D2670" s="211" t="s">
        <v>1255</v>
      </c>
      <c r="E2670" s="211" t="s">
        <v>6794</v>
      </c>
      <c r="F2670" s="211" t="s">
        <v>7219</v>
      </c>
    </row>
    <row r="2671" spans="1:6">
      <c r="A2671" s="211" t="s">
        <v>4665</v>
      </c>
      <c r="B2671" s="211">
        <v>6404</v>
      </c>
      <c r="C2671" s="211">
        <v>1993</v>
      </c>
      <c r="D2671" s="211" t="s">
        <v>1255</v>
      </c>
      <c r="E2671" s="211" t="s">
        <v>10385</v>
      </c>
      <c r="F2671" s="211" t="s">
        <v>7556</v>
      </c>
    </row>
    <row r="2672" spans="1:6">
      <c r="A2672" s="211" t="s">
        <v>7924</v>
      </c>
      <c r="B2672" s="211">
        <v>146</v>
      </c>
      <c r="C2672" s="211" t="s">
        <v>10385</v>
      </c>
      <c r="D2672" s="211" t="s">
        <v>1255</v>
      </c>
      <c r="E2672" s="211" t="s">
        <v>10385</v>
      </c>
      <c r="F2672" s="211" t="s">
        <v>7207</v>
      </c>
    </row>
    <row r="2673" spans="1:6">
      <c r="A2673" s="211" t="s">
        <v>7925</v>
      </c>
      <c r="B2673" s="211">
        <v>177</v>
      </c>
      <c r="C2673" s="211" t="s">
        <v>10385</v>
      </c>
      <c r="D2673" s="211" t="s">
        <v>1255</v>
      </c>
      <c r="E2673" s="211" t="s">
        <v>10385</v>
      </c>
      <c r="F2673" s="211" t="s">
        <v>7199</v>
      </c>
    </row>
    <row r="2674" spans="1:6">
      <c r="A2674" s="211" t="s">
        <v>7926</v>
      </c>
      <c r="B2674" s="211">
        <v>261</v>
      </c>
      <c r="C2674" s="211" t="s">
        <v>10385</v>
      </c>
      <c r="D2674" s="211" t="s">
        <v>1255</v>
      </c>
      <c r="E2674" s="211" t="s">
        <v>10385</v>
      </c>
      <c r="F2674" s="211" t="s">
        <v>7307</v>
      </c>
    </row>
    <row r="2675" spans="1:6">
      <c r="A2675" s="211" t="s">
        <v>7927</v>
      </c>
      <c r="B2675" s="211">
        <v>63</v>
      </c>
      <c r="C2675" s="211" t="s">
        <v>10385</v>
      </c>
      <c r="D2675" s="211" t="s">
        <v>1255</v>
      </c>
      <c r="E2675" s="211" t="s">
        <v>10385</v>
      </c>
      <c r="F2675" s="211" t="s">
        <v>7356</v>
      </c>
    </row>
    <row r="2676" spans="1:6">
      <c r="A2676" s="211" t="s">
        <v>1511</v>
      </c>
      <c r="B2676" s="211">
        <v>4751</v>
      </c>
      <c r="C2676" s="211">
        <v>1974</v>
      </c>
      <c r="D2676" s="211" t="s">
        <v>1255</v>
      </c>
      <c r="E2676" s="211" t="s">
        <v>10385</v>
      </c>
      <c r="F2676" s="211" t="s">
        <v>7186</v>
      </c>
    </row>
    <row r="2677" spans="1:6">
      <c r="A2677" s="211" t="s">
        <v>1512</v>
      </c>
      <c r="B2677" s="211">
        <v>3863</v>
      </c>
      <c r="C2677" s="211">
        <v>884</v>
      </c>
      <c r="D2677" s="211" t="s">
        <v>1255</v>
      </c>
      <c r="E2677" s="211" t="s">
        <v>10385</v>
      </c>
      <c r="F2677" s="211" t="s">
        <v>7453</v>
      </c>
    </row>
    <row r="2678" spans="1:6">
      <c r="A2678" s="211" t="s">
        <v>5799</v>
      </c>
      <c r="B2678" s="211">
        <v>7336</v>
      </c>
      <c r="C2678" s="211">
        <v>1728</v>
      </c>
      <c r="D2678" s="211" t="s">
        <v>1255</v>
      </c>
      <c r="E2678" s="211" t="s">
        <v>9433</v>
      </c>
      <c r="F2678" s="211" t="s">
        <v>7386</v>
      </c>
    </row>
    <row r="2679" spans="1:6">
      <c r="A2679" s="211" t="s">
        <v>4494</v>
      </c>
      <c r="B2679" s="211">
        <v>6597</v>
      </c>
      <c r="C2679" s="211">
        <v>2434</v>
      </c>
      <c r="D2679" s="211" t="s">
        <v>1255</v>
      </c>
      <c r="E2679" s="211" t="s">
        <v>5800</v>
      </c>
      <c r="F2679" s="211" t="s">
        <v>7446</v>
      </c>
    </row>
    <row r="2680" spans="1:6">
      <c r="A2680" s="211" t="s">
        <v>1513</v>
      </c>
      <c r="B2680" s="211">
        <v>4482</v>
      </c>
      <c r="C2680" s="211">
        <v>1484</v>
      </c>
      <c r="D2680" s="211" t="s">
        <v>1255</v>
      </c>
      <c r="E2680" s="211" t="s">
        <v>10385</v>
      </c>
      <c r="F2680" s="211" t="s">
        <v>7356</v>
      </c>
    </row>
    <row r="2681" spans="1:6">
      <c r="A2681" s="211" t="s">
        <v>10622</v>
      </c>
      <c r="B2681" s="211">
        <v>8793</v>
      </c>
      <c r="C2681" s="211">
        <v>414</v>
      </c>
      <c r="D2681" s="211" t="s">
        <v>1117</v>
      </c>
      <c r="E2681" s="211" t="s">
        <v>10623</v>
      </c>
      <c r="F2681" s="211" t="s">
        <v>7536</v>
      </c>
    </row>
    <row r="2682" spans="1:6">
      <c r="A2682" s="211" t="s">
        <v>1514</v>
      </c>
      <c r="B2682" s="211">
        <v>3760</v>
      </c>
      <c r="C2682" s="211">
        <v>2029</v>
      </c>
      <c r="D2682" s="211" t="s">
        <v>1255</v>
      </c>
      <c r="E2682" s="211" t="s">
        <v>10385</v>
      </c>
      <c r="F2682" s="211" t="s">
        <v>7526</v>
      </c>
    </row>
    <row r="2683" spans="1:6">
      <c r="A2683" s="211" t="s">
        <v>1515</v>
      </c>
      <c r="B2683" s="211">
        <v>3582</v>
      </c>
      <c r="C2683" s="211">
        <v>1026</v>
      </c>
      <c r="D2683" s="211" t="s">
        <v>1117</v>
      </c>
      <c r="E2683" s="211" t="s">
        <v>10385</v>
      </c>
      <c r="F2683" s="211" t="s">
        <v>7297</v>
      </c>
    </row>
    <row r="2684" spans="1:6">
      <c r="A2684" s="211" t="s">
        <v>5801</v>
      </c>
      <c r="B2684" s="211">
        <v>7208</v>
      </c>
      <c r="C2684" s="211">
        <v>1166</v>
      </c>
      <c r="D2684" s="211" t="s">
        <v>1255</v>
      </c>
      <c r="E2684" s="211" t="s">
        <v>5802</v>
      </c>
      <c r="F2684" s="211" t="s">
        <v>7316</v>
      </c>
    </row>
    <row r="2685" spans="1:6">
      <c r="A2685" s="211" t="s">
        <v>6795</v>
      </c>
      <c r="B2685" s="211">
        <v>7809</v>
      </c>
      <c r="C2685" s="211">
        <v>2378</v>
      </c>
      <c r="D2685" s="211" t="s">
        <v>1255</v>
      </c>
      <c r="E2685" s="211" t="s">
        <v>10624</v>
      </c>
      <c r="F2685" s="211" t="s">
        <v>7386</v>
      </c>
    </row>
    <row r="2686" spans="1:6">
      <c r="A2686" s="211" t="s">
        <v>5803</v>
      </c>
      <c r="B2686" s="211">
        <v>7392</v>
      </c>
      <c r="C2686" s="211">
        <v>2276</v>
      </c>
      <c r="D2686" s="211" t="s">
        <v>1117</v>
      </c>
      <c r="E2686" s="211" t="s">
        <v>6796</v>
      </c>
      <c r="F2686" s="211" t="s">
        <v>9068</v>
      </c>
    </row>
    <row r="2687" spans="1:6">
      <c r="A2687" s="211" t="s">
        <v>9434</v>
      </c>
      <c r="B2687" s="211">
        <v>8148</v>
      </c>
      <c r="C2687" s="211">
        <v>1172</v>
      </c>
      <c r="D2687" s="211" t="s">
        <v>1117</v>
      </c>
      <c r="E2687" s="211" t="s">
        <v>9435</v>
      </c>
      <c r="F2687" s="211" t="s">
        <v>7189</v>
      </c>
    </row>
    <row r="2688" spans="1:6">
      <c r="A2688" s="211" t="s">
        <v>7929</v>
      </c>
      <c r="B2688" s="211">
        <v>6934</v>
      </c>
      <c r="C2688" s="211" t="s">
        <v>10385</v>
      </c>
      <c r="D2688" s="211" t="s">
        <v>1255</v>
      </c>
      <c r="E2688" s="211" t="s">
        <v>10385</v>
      </c>
      <c r="F2688" s="211" t="s">
        <v>7238</v>
      </c>
    </row>
    <row r="2689" spans="1:6">
      <c r="A2689" s="211" t="s">
        <v>7930</v>
      </c>
      <c r="B2689" s="211">
        <v>7864</v>
      </c>
      <c r="C2689" s="211">
        <v>1593</v>
      </c>
      <c r="D2689" s="211" t="s">
        <v>1255</v>
      </c>
      <c r="E2689" s="211" t="s">
        <v>9436</v>
      </c>
      <c r="F2689" s="211" t="s">
        <v>7240</v>
      </c>
    </row>
    <row r="2690" spans="1:6">
      <c r="A2690" s="211" t="s">
        <v>5804</v>
      </c>
      <c r="B2690" s="211">
        <v>7390</v>
      </c>
      <c r="C2690" s="211">
        <v>1529</v>
      </c>
      <c r="D2690" s="211" t="s">
        <v>1255</v>
      </c>
      <c r="E2690" s="211" t="s">
        <v>10625</v>
      </c>
      <c r="F2690" s="211" t="s">
        <v>7334</v>
      </c>
    </row>
    <row r="2691" spans="1:6">
      <c r="A2691" s="211" t="s">
        <v>1516</v>
      </c>
      <c r="B2691" s="211">
        <v>4637</v>
      </c>
      <c r="C2691" s="211">
        <v>1368</v>
      </c>
      <c r="D2691" s="211" t="s">
        <v>1255</v>
      </c>
      <c r="E2691" s="211" t="s">
        <v>10385</v>
      </c>
      <c r="F2691" s="211" t="s">
        <v>7208</v>
      </c>
    </row>
    <row r="2692" spans="1:6">
      <c r="A2692" s="211" t="s">
        <v>1517</v>
      </c>
      <c r="B2692" s="211">
        <v>4021</v>
      </c>
      <c r="C2692" s="211">
        <v>1101</v>
      </c>
      <c r="D2692" s="211" t="s">
        <v>1255</v>
      </c>
      <c r="E2692" s="211" t="s">
        <v>10385</v>
      </c>
      <c r="F2692" s="211" t="s">
        <v>7196</v>
      </c>
    </row>
    <row r="2693" spans="1:6">
      <c r="A2693" s="211" t="s">
        <v>7931</v>
      </c>
      <c r="B2693" s="211">
        <v>1277</v>
      </c>
      <c r="C2693" s="211">
        <v>1824</v>
      </c>
      <c r="D2693" s="211" t="s">
        <v>1255</v>
      </c>
      <c r="E2693" s="211" t="s">
        <v>10385</v>
      </c>
      <c r="F2693" s="211" t="s">
        <v>7272</v>
      </c>
    </row>
    <row r="2694" spans="1:6">
      <c r="A2694" s="211" t="s">
        <v>1518</v>
      </c>
      <c r="B2694" s="211">
        <v>2521</v>
      </c>
      <c r="C2694" s="211">
        <v>1076</v>
      </c>
      <c r="D2694" s="211" t="s">
        <v>1117</v>
      </c>
      <c r="E2694" s="211" t="s">
        <v>10385</v>
      </c>
      <c r="F2694" s="211" t="s">
        <v>7272</v>
      </c>
    </row>
    <row r="2695" spans="1:6">
      <c r="A2695" s="211" t="s">
        <v>1519</v>
      </c>
      <c r="B2695" s="211">
        <v>1822</v>
      </c>
      <c r="C2695" s="211">
        <v>1104</v>
      </c>
      <c r="D2695" s="211" t="s">
        <v>1255</v>
      </c>
      <c r="E2695" s="211" t="s">
        <v>10385</v>
      </c>
      <c r="F2695" s="211" t="s">
        <v>7249</v>
      </c>
    </row>
    <row r="2696" spans="1:6">
      <c r="A2696" s="211" t="s">
        <v>7932</v>
      </c>
      <c r="B2696" s="211">
        <v>10</v>
      </c>
      <c r="C2696" s="211" t="s">
        <v>10385</v>
      </c>
      <c r="D2696" s="211" t="s">
        <v>1255</v>
      </c>
      <c r="E2696" s="211" t="s">
        <v>10385</v>
      </c>
      <c r="F2696" s="211" t="s">
        <v>7356</v>
      </c>
    </row>
    <row r="2697" spans="1:6">
      <c r="A2697" s="211" t="s">
        <v>5805</v>
      </c>
      <c r="B2697" s="211">
        <v>7406</v>
      </c>
      <c r="C2697" s="211">
        <v>794</v>
      </c>
      <c r="D2697" s="211" t="s">
        <v>1255</v>
      </c>
      <c r="E2697" s="211" t="s">
        <v>9437</v>
      </c>
      <c r="F2697" s="211" t="s">
        <v>7304</v>
      </c>
    </row>
    <row r="2698" spans="1:6">
      <c r="A2698" s="211" t="s">
        <v>1520</v>
      </c>
      <c r="B2698" s="211">
        <v>5665</v>
      </c>
      <c r="C2698" s="211">
        <v>805</v>
      </c>
      <c r="D2698" s="211" t="s">
        <v>1117</v>
      </c>
      <c r="E2698" s="211" t="s">
        <v>10385</v>
      </c>
      <c r="F2698" s="211" t="s">
        <v>7239</v>
      </c>
    </row>
    <row r="2699" spans="1:6">
      <c r="A2699" s="211" t="s">
        <v>5806</v>
      </c>
      <c r="B2699" s="211">
        <v>7607</v>
      </c>
      <c r="C2699" s="211">
        <v>1747</v>
      </c>
      <c r="D2699" s="211" t="s">
        <v>1255</v>
      </c>
      <c r="E2699" s="211" t="s">
        <v>10626</v>
      </c>
      <c r="F2699" s="211" t="s">
        <v>7239</v>
      </c>
    </row>
    <row r="2700" spans="1:6">
      <c r="A2700" s="211" t="s">
        <v>4584</v>
      </c>
      <c r="B2700" s="211">
        <v>6305</v>
      </c>
      <c r="C2700" s="211">
        <v>848</v>
      </c>
      <c r="D2700" s="211" t="s">
        <v>1255</v>
      </c>
      <c r="E2700" s="211" t="s">
        <v>5807</v>
      </c>
      <c r="F2700" s="211" t="s">
        <v>7219</v>
      </c>
    </row>
    <row r="2701" spans="1:6">
      <c r="A2701" s="211" t="s">
        <v>6797</v>
      </c>
      <c r="B2701" s="211">
        <v>7665</v>
      </c>
      <c r="C2701" s="211">
        <v>1183</v>
      </c>
      <c r="D2701" s="211" t="s">
        <v>1117</v>
      </c>
      <c r="E2701" s="211" t="s">
        <v>9438</v>
      </c>
      <c r="F2701" s="211" t="s">
        <v>7933</v>
      </c>
    </row>
    <row r="2702" spans="1:6">
      <c r="A2702" s="211" t="s">
        <v>7934</v>
      </c>
      <c r="B2702" s="211">
        <v>1278</v>
      </c>
      <c r="C2702" s="211">
        <v>1558</v>
      </c>
      <c r="D2702" s="211" t="s">
        <v>1255</v>
      </c>
      <c r="E2702" s="211" t="s">
        <v>10385</v>
      </c>
      <c r="F2702" s="211" t="s">
        <v>7272</v>
      </c>
    </row>
    <row r="2703" spans="1:6">
      <c r="A2703" s="211" t="s">
        <v>1521</v>
      </c>
      <c r="B2703" s="211">
        <v>4057</v>
      </c>
      <c r="C2703" s="211">
        <v>971</v>
      </c>
      <c r="D2703" s="211" t="s">
        <v>1255</v>
      </c>
      <c r="E2703" s="211" t="s">
        <v>10385</v>
      </c>
      <c r="F2703" s="211" t="s">
        <v>7240</v>
      </c>
    </row>
    <row r="2704" spans="1:6">
      <c r="A2704" s="211" t="s">
        <v>9439</v>
      </c>
      <c r="B2704" s="211">
        <v>8126</v>
      </c>
      <c r="C2704" s="211">
        <v>990</v>
      </c>
      <c r="D2704" s="211" t="s">
        <v>1117</v>
      </c>
      <c r="E2704" s="211" t="s">
        <v>10385</v>
      </c>
      <c r="F2704" s="211" t="s">
        <v>7167</v>
      </c>
    </row>
    <row r="2705" spans="1:6">
      <c r="A2705" s="211" t="s">
        <v>4608</v>
      </c>
      <c r="B2705" s="211">
        <v>6509</v>
      </c>
      <c r="C2705" s="211">
        <v>1020</v>
      </c>
      <c r="D2705" s="211" t="s">
        <v>1255</v>
      </c>
      <c r="E2705" s="211" t="s">
        <v>10385</v>
      </c>
      <c r="F2705" s="211" t="s">
        <v>7207</v>
      </c>
    </row>
    <row r="2706" spans="1:6">
      <c r="A2706" s="211" t="s">
        <v>9440</v>
      </c>
      <c r="B2706" s="211">
        <v>8483</v>
      </c>
      <c r="C2706" s="211">
        <v>992</v>
      </c>
      <c r="D2706" s="211" t="s">
        <v>1117</v>
      </c>
      <c r="E2706" s="211" t="s">
        <v>9441</v>
      </c>
      <c r="F2706" s="211" t="s">
        <v>7356</v>
      </c>
    </row>
    <row r="2707" spans="1:6">
      <c r="A2707" s="211" t="s">
        <v>5808</v>
      </c>
      <c r="B2707" s="211">
        <v>3797</v>
      </c>
      <c r="C2707" s="211">
        <v>1491</v>
      </c>
      <c r="D2707" s="211" t="s">
        <v>1255</v>
      </c>
      <c r="E2707" s="211" t="s">
        <v>5809</v>
      </c>
      <c r="F2707" s="211" t="s">
        <v>7334</v>
      </c>
    </row>
    <row r="2708" spans="1:6">
      <c r="A2708" s="211" t="s">
        <v>7935</v>
      </c>
      <c r="B2708" s="211">
        <v>2013</v>
      </c>
      <c r="C2708" s="211" t="s">
        <v>10385</v>
      </c>
      <c r="D2708" s="211" t="s">
        <v>1255</v>
      </c>
      <c r="E2708" s="211" t="s">
        <v>10385</v>
      </c>
      <c r="F2708" s="211" t="s">
        <v>7797</v>
      </c>
    </row>
    <row r="2709" spans="1:6">
      <c r="A2709" s="211" t="s">
        <v>9442</v>
      </c>
      <c r="B2709" s="211">
        <v>8038</v>
      </c>
      <c r="C2709" s="211">
        <v>1001</v>
      </c>
      <c r="D2709" s="211" t="s">
        <v>1255</v>
      </c>
      <c r="E2709" s="211" t="s">
        <v>10385</v>
      </c>
      <c r="F2709" s="211" t="s">
        <v>7238</v>
      </c>
    </row>
    <row r="2710" spans="1:6">
      <c r="A2710" s="211" t="s">
        <v>1522</v>
      </c>
      <c r="B2710" s="211">
        <v>2441</v>
      </c>
      <c r="C2710" s="211">
        <v>1032</v>
      </c>
      <c r="D2710" s="211" t="s">
        <v>1255</v>
      </c>
      <c r="E2710" s="211" t="s">
        <v>10385</v>
      </c>
      <c r="F2710" s="211" t="s">
        <v>7208</v>
      </c>
    </row>
    <row r="2711" spans="1:6">
      <c r="A2711" s="211" t="s">
        <v>1523</v>
      </c>
      <c r="B2711" s="211">
        <v>5566</v>
      </c>
      <c r="C2711" s="211">
        <v>1175</v>
      </c>
      <c r="D2711" s="211" t="s">
        <v>1255</v>
      </c>
      <c r="E2711" s="211" t="s">
        <v>10385</v>
      </c>
      <c r="F2711" s="211" t="s">
        <v>7308</v>
      </c>
    </row>
    <row r="2712" spans="1:6">
      <c r="A2712" s="211" t="s">
        <v>1524</v>
      </c>
      <c r="B2712" s="211">
        <v>3416</v>
      </c>
      <c r="C2712" s="211">
        <v>1060</v>
      </c>
      <c r="D2712" s="211" t="s">
        <v>1255</v>
      </c>
      <c r="E2712" s="211" t="s">
        <v>10385</v>
      </c>
      <c r="F2712" s="211" t="s">
        <v>7308</v>
      </c>
    </row>
    <row r="2713" spans="1:6">
      <c r="A2713" s="211" t="s">
        <v>5810</v>
      </c>
      <c r="B2713" s="211">
        <v>7575</v>
      </c>
      <c r="C2713" s="211">
        <v>855</v>
      </c>
      <c r="D2713" s="211" t="s">
        <v>1255</v>
      </c>
      <c r="E2713" s="211" t="s">
        <v>10385</v>
      </c>
      <c r="F2713" s="211" t="s">
        <v>7318</v>
      </c>
    </row>
    <row r="2714" spans="1:6">
      <c r="A2714" s="211" t="s">
        <v>1525</v>
      </c>
      <c r="B2714" s="211">
        <v>1887</v>
      </c>
      <c r="C2714" s="211">
        <v>1059</v>
      </c>
      <c r="D2714" s="211" t="s">
        <v>1255</v>
      </c>
      <c r="E2714" s="211" t="s">
        <v>10385</v>
      </c>
      <c r="F2714" s="211" t="s">
        <v>7167</v>
      </c>
    </row>
    <row r="2715" spans="1:6">
      <c r="A2715" s="211" t="s">
        <v>5060</v>
      </c>
      <c r="B2715" s="211">
        <v>3490</v>
      </c>
      <c r="C2715" s="211">
        <v>1011</v>
      </c>
      <c r="D2715" s="211" t="s">
        <v>1255</v>
      </c>
      <c r="E2715" s="211" t="s">
        <v>5811</v>
      </c>
      <c r="F2715" s="211" t="s">
        <v>7518</v>
      </c>
    </row>
    <row r="2716" spans="1:6">
      <c r="A2716" s="211" t="s">
        <v>1526</v>
      </c>
      <c r="B2716" s="211">
        <v>3673</v>
      </c>
      <c r="C2716" s="211">
        <v>905</v>
      </c>
      <c r="D2716" s="211" t="s">
        <v>1117</v>
      </c>
      <c r="E2716" s="211" t="s">
        <v>10385</v>
      </c>
      <c r="F2716" s="211" t="s">
        <v>7177</v>
      </c>
    </row>
    <row r="2717" spans="1:6">
      <c r="A2717" s="211" t="s">
        <v>6798</v>
      </c>
      <c r="B2717" s="211">
        <v>7667</v>
      </c>
      <c r="C2717" s="211">
        <v>832</v>
      </c>
      <c r="D2717" s="211" t="s">
        <v>1117</v>
      </c>
      <c r="E2717" s="211" t="s">
        <v>10385</v>
      </c>
      <c r="F2717" s="211" t="s">
        <v>7933</v>
      </c>
    </row>
    <row r="2718" spans="1:6">
      <c r="A2718" s="211" t="s">
        <v>1527</v>
      </c>
      <c r="B2718" s="211">
        <v>1133</v>
      </c>
      <c r="C2718" s="211">
        <v>1586</v>
      </c>
      <c r="D2718" s="211" t="s">
        <v>1255</v>
      </c>
      <c r="E2718" s="211" t="s">
        <v>10385</v>
      </c>
      <c r="F2718" s="211" t="s">
        <v>7306</v>
      </c>
    </row>
    <row r="2719" spans="1:6">
      <c r="A2719" s="211" t="s">
        <v>4585</v>
      </c>
      <c r="B2719" s="211">
        <v>6293</v>
      </c>
      <c r="C2719" s="211">
        <v>1845</v>
      </c>
      <c r="D2719" s="211" t="s">
        <v>1117</v>
      </c>
      <c r="E2719" s="211" t="s">
        <v>5812</v>
      </c>
      <c r="F2719" s="211" t="s">
        <v>7162</v>
      </c>
    </row>
    <row r="2720" spans="1:6">
      <c r="A2720" s="211" t="s">
        <v>9443</v>
      </c>
      <c r="B2720" s="211">
        <v>8194</v>
      </c>
      <c r="C2720" s="211">
        <v>815</v>
      </c>
      <c r="D2720" s="211" t="s">
        <v>1255</v>
      </c>
      <c r="E2720" s="211" t="s">
        <v>9444</v>
      </c>
      <c r="F2720" s="211" t="s">
        <v>7471</v>
      </c>
    </row>
    <row r="2721" spans="1:6">
      <c r="A2721" s="211" t="s">
        <v>4537</v>
      </c>
      <c r="B2721" s="211">
        <v>6664</v>
      </c>
      <c r="C2721" s="211">
        <v>933</v>
      </c>
      <c r="D2721" s="211" t="s">
        <v>1117</v>
      </c>
      <c r="E2721" s="211" t="s">
        <v>10385</v>
      </c>
      <c r="F2721" s="211" t="s">
        <v>7357</v>
      </c>
    </row>
    <row r="2722" spans="1:6">
      <c r="A2722" s="211" t="s">
        <v>7936</v>
      </c>
      <c r="B2722" s="211">
        <v>57</v>
      </c>
      <c r="C2722" s="211" t="s">
        <v>10385</v>
      </c>
      <c r="D2722" s="211" t="s">
        <v>1255</v>
      </c>
      <c r="E2722" s="211" t="s">
        <v>10385</v>
      </c>
      <c r="F2722" s="211" t="s">
        <v>7261</v>
      </c>
    </row>
    <row r="2723" spans="1:6">
      <c r="A2723" s="211" t="s">
        <v>7937</v>
      </c>
      <c r="B2723" s="211">
        <v>7031</v>
      </c>
      <c r="C2723" s="211" t="s">
        <v>10385</v>
      </c>
      <c r="D2723" s="211" t="s">
        <v>1255</v>
      </c>
      <c r="E2723" s="211" t="s">
        <v>10385</v>
      </c>
      <c r="F2723" s="211" t="s">
        <v>7279</v>
      </c>
    </row>
    <row r="2724" spans="1:6">
      <c r="A2724" s="211" t="s">
        <v>1528</v>
      </c>
      <c r="B2724" s="211">
        <v>2520</v>
      </c>
      <c r="C2724" s="211">
        <v>1193</v>
      </c>
      <c r="D2724" s="211" t="s">
        <v>1117</v>
      </c>
      <c r="E2724" s="211" t="s">
        <v>10385</v>
      </c>
      <c r="F2724" s="211" t="s">
        <v>7272</v>
      </c>
    </row>
    <row r="2725" spans="1:6">
      <c r="A2725" s="211" t="s">
        <v>1529</v>
      </c>
      <c r="B2725" s="211">
        <v>2352</v>
      </c>
      <c r="C2725" s="211">
        <v>1281</v>
      </c>
      <c r="D2725" s="211" t="s">
        <v>1255</v>
      </c>
      <c r="E2725" s="211" t="s">
        <v>10385</v>
      </c>
      <c r="F2725" s="211" t="s">
        <v>7243</v>
      </c>
    </row>
    <row r="2726" spans="1:6">
      <c r="A2726" s="211" t="s">
        <v>4911</v>
      </c>
      <c r="B2726" s="211">
        <v>4552</v>
      </c>
      <c r="C2726" s="211">
        <v>1125</v>
      </c>
      <c r="D2726" s="211" t="s">
        <v>1255</v>
      </c>
      <c r="E2726" s="211" t="s">
        <v>10385</v>
      </c>
      <c r="F2726" s="211" t="s">
        <v>7526</v>
      </c>
    </row>
    <row r="2727" spans="1:6">
      <c r="A2727" s="211" t="s">
        <v>1530</v>
      </c>
      <c r="B2727" s="211">
        <v>4283</v>
      </c>
      <c r="C2727" s="211">
        <v>1706</v>
      </c>
      <c r="D2727" s="211" t="s">
        <v>1255</v>
      </c>
      <c r="E2727" s="211" t="s">
        <v>10385</v>
      </c>
      <c r="F2727" s="211" t="s">
        <v>7213</v>
      </c>
    </row>
    <row r="2728" spans="1:6">
      <c r="A2728" s="211" t="s">
        <v>6799</v>
      </c>
      <c r="B2728" s="211">
        <v>7669</v>
      </c>
      <c r="C2728" s="211">
        <v>1606</v>
      </c>
      <c r="D2728" s="211" t="s">
        <v>1255</v>
      </c>
      <c r="E2728" s="211" t="s">
        <v>6800</v>
      </c>
      <c r="F2728" s="211" t="s">
        <v>7320</v>
      </c>
    </row>
    <row r="2729" spans="1:6">
      <c r="A2729" s="211" t="s">
        <v>8922</v>
      </c>
      <c r="B2729" s="211">
        <v>85</v>
      </c>
      <c r="C2729" s="211" t="s">
        <v>10385</v>
      </c>
      <c r="D2729" s="211" t="s">
        <v>1255</v>
      </c>
      <c r="E2729" s="211" t="s">
        <v>10385</v>
      </c>
      <c r="F2729" s="211" t="s">
        <v>7199</v>
      </c>
    </row>
    <row r="2730" spans="1:6">
      <c r="A2730" s="211" t="s">
        <v>8923</v>
      </c>
      <c r="B2730" s="211">
        <v>7546</v>
      </c>
      <c r="C2730" s="211">
        <v>865</v>
      </c>
      <c r="D2730" s="211" t="s">
        <v>1255</v>
      </c>
      <c r="E2730" s="211" t="s">
        <v>10385</v>
      </c>
      <c r="F2730" s="211" t="s">
        <v>7224</v>
      </c>
    </row>
    <row r="2731" spans="1:6">
      <c r="A2731" s="211" t="s">
        <v>1531</v>
      </c>
      <c r="B2731" s="211">
        <v>1179</v>
      </c>
      <c r="C2731" s="211">
        <v>1185</v>
      </c>
      <c r="D2731" s="211" t="s">
        <v>1255</v>
      </c>
      <c r="E2731" s="211" t="s">
        <v>10385</v>
      </c>
      <c r="F2731" s="211" t="s">
        <v>7323</v>
      </c>
    </row>
    <row r="2732" spans="1:6">
      <c r="A2732" s="211" t="s">
        <v>1532</v>
      </c>
      <c r="B2732" s="211">
        <v>5450</v>
      </c>
      <c r="C2732" s="211">
        <v>1414</v>
      </c>
      <c r="D2732" s="211" t="s">
        <v>1255</v>
      </c>
      <c r="E2732" s="211" t="s">
        <v>10385</v>
      </c>
      <c r="F2732" s="211" t="s">
        <v>7938</v>
      </c>
    </row>
    <row r="2733" spans="1:6">
      <c r="A2733" s="211" t="s">
        <v>7939</v>
      </c>
      <c r="B2733" s="211">
        <v>2746</v>
      </c>
      <c r="C2733" s="211" t="s">
        <v>10385</v>
      </c>
      <c r="D2733" s="211" t="s">
        <v>1255</v>
      </c>
      <c r="E2733" s="211" t="s">
        <v>10385</v>
      </c>
      <c r="F2733" s="211" t="s">
        <v>7219</v>
      </c>
    </row>
    <row r="2734" spans="1:6">
      <c r="A2734" s="211" t="s">
        <v>7940</v>
      </c>
      <c r="B2734" s="211">
        <v>5287</v>
      </c>
      <c r="C2734" s="211" t="s">
        <v>10385</v>
      </c>
      <c r="D2734" s="211" t="s">
        <v>1117</v>
      </c>
      <c r="E2734" s="211" t="s">
        <v>10385</v>
      </c>
      <c r="F2734" s="211" t="s">
        <v>7189</v>
      </c>
    </row>
    <row r="2735" spans="1:6">
      <c r="A2735" s="211" t="s">
        <v>1533</v>
      </c>
      <c r="B2735" s="211">
        <v>829</v>
      </c>
      <c r="C2735" s="211">
        <v>1270</v>
      </c>
      <c r="D2735" s="211" t="s">
        <v>1255</v>
      </c>
      <c r="E2735" s="211" t="s">
        <v>10385</v>
      </c>
      <c r="F2735" s="211" t="s">
        <v>7199</v>
      </c>
    </row>
    <row r="2736" spans="1:6">
      <c r="A2736" s="211" t="s">
        <v>3028</v>
      </c>
      <c r="B2736" s="211">
        <v>1495</v>
      </c>
      <c r="C2736" s="211">
        <v>696</v>
      </c>
      <c r="D2736" s="211" t="s">
        <v>1117</v>
      </c>
      <c r="E2736" s="211" t="s">
        <v>10385</v>
      </c>
      <c r="F2736" s="211" t="s">
        <v>7335</v>
      </c>
    </row>
    <row r="2737" spans="1:6">
      <c r="A2737" s="211" t="s">
        <v>1534</v>
      </c>
      <c r="B2737" s="211">
        <v>5118</v>
      </c>
      <c r="C2737" s="211">
        <v>779</v>
      </c>
      <c r="D2737" s="211" t="s">
        <v>1255</v>
      </c>
      <c r="E2737" s="211" t="s">
        <v>10385</v>
      </c>
      <c r="F2737" s="211" t="s">
        <v>7312</v>
      </c>
    </row>
    <row r="2738" spans="1:6">
      <c r="A2738" s="211" t="s">
        <v>5813</v>
      </c>
      <c r="B2738" s="211">
        <v>7286</v>
      </c>
      <c r="C2738" s="211">
        <v>896</v>
      </c>
      <c r="D2738" s="211" t="s">
        <v>1255</v>
      </c>
      <c r="E2738" s="211" t="s">
        <v>10385</v>
      </c>
      <c r="F2738" s="211" t="s">
        <v>7212</v>
      </c>
    </row>
    <row r="2739" spans="1:6">
      <c r="A2739" s="211" t="s">
        <v>1535</v>
      </c>
      <c r="B2739" s="211">
        <v>2484</v>
      </c>
      <c r="C2739" s="211">
        <v>2365</v>
      </c>
      <c r="D2739" s="211" t="s">
        <v>1255</v>
      </c>
      <c r="E2739" s="211" t="s">
        <v>10385</v>
      </c>
      <c r="F2739" s="211" t="s">
        <v>7306</v>
      </c>
    </row>
    <row r="2740" spans="1:6">
      <c r="A2740" s="211" t="s">
        <v>1536</v>
      </c>
      <c r="B2740" s="211">
        <v>3409</v>
      </c>
      <c r="C2740" s="211">
        <v>2462</v>
      </c>
      <c r="D2740" s="211" t="s">
        <v>1117</v>
      </c>
      <c r="E2740" s="211" t="s">
        <v>10627</v>
      </c>
      <c r="F2740" s="211" t="s">
        <v>7284</v>
      </c>
    </row>
    <row r="2741" spans="1:6">
      <c r="A2741" s="211" t="s">
        <v>1537</v>
      </c>
      <c r="B2741" s="211">
        <v>2721</v>
      </c>
      <c r="C2741" s="211">
        <v>669</v>
      </c>
      <c r="D2741" s="211" t="s">
        <v>1255</v>
      </c>
      <c r="E2741" s="211" t="s">
        <v>10385</v>
      </c>
      <c r="F2741" s="211" t="s">
        <v>7303</v>
      </c>
    </row>
    <row r="2742" spans="1:6">
      <c r="A2742" s="211" t="s">
        <v>7941</v>
      </c>
      <c r="B2742" s="211">
        <v>46</v>
      </c>
      <c r="C2742" s="211" t="s">
        <v>10385</v>
      </c>
      <c r="D2742" s="211" t="s">
        <v>1255</v>
      </c>
      <c r="E2742" s="211" t="s">
        <v>10385</v>
      </c>
      <c r="F2742" s="211" t="s">
        <v>7243</v>
      </c>
    </row>
    <row r="2743" spans="1:6">
      <c r="A2743" s="211" t="s">
        <v>7942</v>
      </c>
      <c r="B2743" s="211">
        <v>7744</v>
      </c>
      <c r="C2743" s="211">
        <v>1760</v>
      </c>
      <c r="D2743" s="211" t="s">
        <v>1255</v>
      </c>
      <c r="E2743" s="211" t="s">
        <v>10628</v>
      </c>
      <c r="F2743" s="211" t="s">
        <v>7173</v>
      </c>
    </row>
    <row r="2744" spans="1:6">
      <c r="A2744" s="211" t="s">
        <v>5814</v>
      </c>
      <c r="B2744" s="211">
        <v>7435</v>
      </c>
      <c r="C2744" s="211">
        <v>1143</v>
      </c>
      <c r="D2744" s="211" t="s">
        <v>1255</v>
      </c>
      <c r="E2744" s="211" t="s">
        <v>10385</v>
      </c>
      <c r="F2744" s="211" t="s">
        <v>7249</v>
      </c>
    </row>
    <row r="2745" spans="1:6">
      <c r="A2745" s="211" t="s">
        <v>1538</v>
      </c>
      <c r="B2745" s="211">
        <v>2165</v>
      </c>
      <c r="C2745" s="211">
        <v>736</v>
      </c>
      <c r="D2745" s="211" t="s">
        <v>1117</v>
      </c>
      <c r="E2745" s="211" t="s">
        <v>10385</v>
      </c>
      <c r="F2745" s="211" t="s">
        <v>7394</v>
      </c>
    </row>
    <row r="2746" spans="1:6">
      <c r="A2746" s="211" t="s">
        <v>7943</v>
      </c>
      <c r="B2746" s="211">
        <v>6116</v>
      </c>
      <c r="C2746" s="211">
        <v>2198</v>
      </c>
      <c r="D2746" s="211" t="s">
        <v>1117</v>
      </c>
      <c r="E2746" s="211" t="s">
        <v>6801</v>
      </c>
      <c r="F2746" s="211" t="s">
        <v>7377</v>
      </c>
    </row>
    <row r="2747" spans="1:6">
      <c r="A2747" s="211" t="s">
        <v>4609</v>
      </c>
      <c r="B2747" s="211">
        <v>6506</v>
      </c>
      <c r="C2747" s="211">
        <v>1147</v>
      </c>
      <c r="D2747" s="211" t="s">
        <v>1255</v>
      </c>
      <c r="E2747" s="211" t="s">
        <v>6802</v>
      </c>
      <c r="F2747" s="211" t="s">
        <v>7284</v>
      </c>
    </row>
    <row r="2748" spans="1:6">
      <c r="A2748" s="211" t="s">
        <v>1539</v>
      </c>
      <c r="B2748" s="211">
        <v>5057</v>
      </c>
      <c r="C2748" s="211">
        <v>1057</v>
      </c>
      <c r="D2748" s="211" t="s">
        <v>1255</v>
      </c>
      <c r="E2748" s="211" t="s">
        <v>10385</v>
      </c>
      <c r="F2748" s="211" t="s">
        <v>7337</v>
      </c>
    </row>
    <row r="2749" spans="1:6">
      <c r="A2749" s="211" t="s">
        <v>6803</v>
      </c>
      <c r="B2749" s="211">
        <v>7714</v>
      </c>
      <c r="C2749" s="211">
        <v>983</v>
      </c>
      <c r="D2749" s="211" t="s">
        <v>1255</v>
      </c>
      <c r="E2749" s="211" t="s">
        <v>6804</v>
      </c>
      <c r="F2749" s="211" t="s">
        <v>7215</v>
      </c>
    </row>
    <row r="2750" spans="1:6">
      <c r="A2750" s="211" t="s">
        <v>1540</v>
      </c>
      <c r="B2750" s="211">
        <v>2474</v>
      </c>
      <c r="C2750" s="211">
        <v>1528</v>
      </c>
      <c r="D2750" s="211" t="s">
        <v>1255</v>
      </c>
      <c r="E2750" s="211" t="s">
        <v>10385</v>
      </c>
      <c r="F2750" s="211" t="s">
        <v>7210</v>
      </c>
    </row>
    <row r="2751" spans="1:6">
      <c r="A2751" s="211" t="s">
        <v>5815</v>
      </c>
      <c r="B2751" s="211">
        <v>7207</v>
      </c>
      <c r="C2751" s="211">
        <v>1273</v>
      </c>
      <c r="D2751" s="211" t="s">
        <v>1255</v>
      </c>
      <c r="E2751" s="211" t="s">
        <v>5816</v>
      </c>
      <c r="F2751" s="211" t="s">
        <v>7316</v>
      </c>
    </row>
    <row r="2752" spans="1:6">
      <c r="A2752" s="211" t="s">
        <v>1541</v>
      </c>
      <c r="B2752" s="211">
        <v>5833</v>
      </c>
      <c r="C2752" s="211">
        <v>1046</v>
      </c>
      <c r="D2752" s="211" t="s">
        <v>1255</v>
      </c>
      <c r="E2752" s="211" t="s">
        <v>10385</v>
      </c>
      <c r="F2752" s="211" t="s">
        <v>7265</v>
      </c>
    </row>
    <row r="2753" spans="1:6">
      <c r="A2753" s="211" t="s">
        <v>5061</v>
      </c>
      <c r="B2753" s="211">
        <v>6617</v>
      </c>
      <c r="C2753" s="211">
        <v>1116</v>
      </c>
      <c r="D2753" s="211" t="s">
        <v>1255</v>
      </c>
      <c r="E2753" s="211" t="s">
        <v>10385</v>
      </c>
      <c r="F2753" s="211" t="s">
        <v>7390</v>
      </c>
    </row>
    <row r="2754" spans="1:6">
      <c r="A2754" s="211" t="s">
        <v>10385</v>
      </c>
      <c r="B2754" s="211">
        <v>8651</v>
      </c>
      <c r="C2754" s="211">
        <v>1247</v>
      </c>
      <c r="D2754" s="211" t="s">
        <v>1255</v>
      </c>
      <c r="E2754" s="211" t="s">
        <v>10629</v>
      </c>
      <c r="F2754" s="211" t="s">
        <v>7365</v>
      </c>
    </row>
    <row r="2755" spans="1:6">
      <c r="A2755" s="211" t="s">
        <v>7944</v>
      </c>
      <c r="B2755" s="211">
        <v>455</v>
      </c>
      <c r="C2755" s="211" t="s">
        <v>10385</v>
      </c>
      <c r="D2755" s="211" t="s">
        <v>1255</v>
      </c>
      <c r="E2755" s="211" t="s">
        <v>10385</v>
      </c>
      <c r="F2755" s="211" t="s">
        <v>7283</v>
      </c>
    </row>
    <row r="2756" spans="1:6">
      <c r="A2756" s="211" t="s">
        <v>7945</v>
      </c>
      <c r="B2756" s="211">
        <v>1944</v>
      </c>
      <c r="C2756" s="211" t="s">
        <v>10385</v>
      </c>
      <c r="D2756" s="211" t="s">
        <v>1255</v>
      </c>
      <c r="E2756" s="211" t="s">
        <v>10385</v>
      </c>
      <c r="F2756" s="211" t="s">
        <v>7425</v>
      </c>
    </row>
    <row r="2757" spans="1:6">
      <c r="A2757" s="211" t="s">
        <v>1542</v>
      </c>
      <c r="B2757" s="211">
        <v>3945</v>
      </c>
      <c r="C2757" s="211">
        <v>922</v>
      </c>
      <c r="D2757" s="211" t="s">
        <v>1117</v>
      </c>
      <c r="E2757" s="211" t="s">
        <v>10385</v>
      </c>
      <c r="F2757" s="211" t="s">
        <v>7438</v>
      </c>
    </row>
    <row r="2758" spans="1:6">
      <c r="A2758" s="211" t="s">
        <v>1543</v>
      </c>
      <c r="B2758" s="211">
        <v>1629</v>
      </c>
      <c r="C2758" s="211">
        <v>534</v>
      </c>
      <c r="D2758" s="211" t="s">
        <v>1255</v>
      </c>
      <c r="E2758" s="211" t="s">
        <v>10385</v>
      </c>
      <c r="F2758" s="211" t="s">
        <v>7946</v>
      </c>
    </row>
    <row r="2759" spans="1:6">
      <c r="A2759" s="211" t="s">
        <v>1544</v>
      </c>
      <c r="B2759" s="211">
        <v>3715</v>
      </c>
      <c r="C2759" s="211">
        <v>1071</v>
      </c>
      <c r="D2759" s="211" t="s">
        <v>1255</v>
      </c>
      <c r="E2759" s="211" t="s">
        <v>9445</v>
      </c>
      <c r="F2759" s="211" t="s">
        <v>7192</v>
      </c>
    </row>
    <row r="2760" spans="1:6">
      <c r="A2760" s="211" t="s">
        <v>1545</v>
      </c>
      <c r="B2760" s="211">
        <v>5828</v>
      </c>
      <c r="C2760" s="211">
        <v>986</v>
      </c>
      <c r="D2760" s="211" t="s">
        <v>1255</v>
      </c>
      <c r="E2760" s="211" t="s">
        <v>10385</v>
      </c>
      <c r="F2760" s="211" t="s">
        <v>7331</v>
      </c>
    </row>
    <row r="2761" spans="1:6">
      <c r="A2761" s="211" t="s">
        <v>1546</v>
      </c>
      <c r="B2761" s="211">
        <v>4006</v>
      </c>
      <c r="C2761" s="211">
        <v>947</v>
      </c>
      <c r="D2761" s="211" t="s">
        <v>1255</v>
      </c>
      <c r="E2761" s="211" t="s">
        <v>10385</v>
      </c>
      <c r="F2761" s="211" t="s">
        <v>7322</v>
      </c>
    </row>
    <row r="2762" spans="1:6">
      <c r="A2762" s="211" t="s">
        <v>2845</v>
      </c>
      <c r="B2762" s="211">
        <v>2002</v>
      </c>
      <c r="C2762" s="211">
        <v>1437</v>
      </c>
      <c r="D2762" s="211" t="s">
        <v>1255</v>
      </c>
      <c r="E2762" s="211" t="s">
        <v>10385</v>
      </c>
      <c r="F2762" s="211" t="s">
        <v>7322</v>
      </c>
    </row>
    <row r="2763" spans="1:6">
      <c r="A2763" s="211" t="s">
        <v>7947</v>
      </c>
      <c r="B2763" s="211">
        <v>2001</v>
      </c>
      <c r="C2763" s="211" t="s">
        <v>10385</v>
      </c>
      <c r="D2763" s="211" t="s">
        <v>1255</v>
      </c>
      <c r="E2763" s="211" t="s">
        <v>10385</v>
      </c>
      <c r="F2763" s="211" t="s">
        <v>7322</v>
      </c>
    </row>
    <row r="2764" spans="1:6">
      <c r="A2764" s="211" t="s">
        <v>9446</v>
      </c>
      <c r="B2764" s="211">
        <v>8324</v>
      </c>
      <c r="C2764" s="211">
        <v>1428</v>
      </c>
      <c r="D2764" s="211" t="s">
        <v>1255</v>
      </c>
      <c r="E2764" s="211" t="s">
        <v>9447</v>
      </c>
      <c r="F2764" s="211" t="s">
        <v>7310</v>
      </c>
    </row>
    <row r="2765" spans="1:6">
      <c r="A2765" s="211" t="s">
        <v>1547</v>
      </c>
      <c r="B2765" s="211">
        <v>3382</v>
      </c>
      <c r="C2765" s="211">
        <v>1012</v>
      </c>
      <c r="D2765" s="211" t="s">
        <v>1255</v>
      </c>
      <c r="E2765" s="211" t="s">
        <v>10385</v>
      </c>
      <c r="F2765" s="211" t="s">
        <v>7420</v>
      </c>
    </row>
    <row r="2766" spans="1:6">
      <c r="A2766" s="211" t="s">
        <v>2986</v>
      </c>
      <c r="B2766" s="211">
        <v>2108</v>
      </c>
      <c r="C2766" s="211">
        <v>980</v>
      </c>
      <c r="D2766" s="211" t="s">
        <v>1255</v>
      </c>
      <c r="E2766" s="211" t="s">
        <v>3108</v>
      </c>
      <c r="F2766" s="211" t="s">
        <v>7356</v>
      </c>
    </row>
    <row r="2767" spans="1:6">
      <c r="A2767" s="211" t="s">
        <v>7948</v>
      </c>
      <c r="B2767" s="211">
        <v>510</v>
      </c>
      <c r="C2767" s="211" t="s">
        <v>10385</v>
      </c>
      <c r="D2767" s="211" t="s">
        <v>1255</v>
      </c>
      <c r="E2767" s="211" t="s">
        <v>10385</v>
      </c>
      <c r="F2767" s="211" t="s">
        <v>7337</v>
      </c>
    </row>
    <row r="2768" spans="1:6">
      <c r="A2768" s="211" t="s">
        <v>9448</v>
      </c>
      <c r="B2768" s="211">
        <v>8424</v>
      </c>
      <c r="C2768" s="211">
        <v>1399</v>
      </c>
      <c r="D2768" s="211" t="s">
        <v>1255</v>
      </c>
      <c r="E2768" s="211" t="s">
        <v>9449</v>
      </c>
      <c r="F2768" s="211" t="s">
        <v>9048</v>
      </c>
    </row>
    <row r="2769" spans="1:6">
      <c r="A2769" s="211" t="s">
        <v>1548</v>
      </c>
      <c r="B2769" s="211">
        <v>4760</v>
      </c>
      <c r="C2769" s="211">
        <v>1334</v>
      </c>
      <c r="D2769" s="211" t="s">
        <v>1255</v>
      </c>
      <c r="E2769" s="211" t="s">
        <v>10385</v>
      </c>
      <c r="F2769" s="211" t="s">
        <v>7343</v>
      </c>
    </row>
    <row r="2770" spans="1:6">
      <c r="A2770" s="211" t="s">
        <v>7949</v>
      </c>
      <c r="B2770" s="211">
        <v>107</v>
      </c>
      <c r="C2770" s="211" t="s">
        <v>10385</v>
      </c>
      <c r="D2770" s="211" t="s">
        <v>1255</v>
      </c>
      <c r="E2770" s="211" t="s">
        <v>10385</v>
      </c>
      <c r="F2770" s="211" t="s">
        <v>7318</v>
      </c>
    </row>
    <row r="2771" spans="1:6">
      <c r="A2771" s="211" t="s">
        <v>1549</v>
      </c>
      <c r="B2771" s="211">
        <v>1985</v>
      </c>
      <c r="C2771" s="211">
        <v>1099</v>
      </c>
      <c r="D2771" s="211" t="s">
        <v>1255</v>
      </c>
      <c r="E2771" s="211" t="s">
        <v>10385</v>
      </c>
      <c r="F2771" s="211" t="s">
        <v>7331</v>
      </c>
    </row>
    <row r="2772" spans="1:6">
      <c r="A2772" s="211" t="s">
        <v>5817</v>
      </c>
      <c r="B2772" s="211">
        <v>7264</v>
      </c>
      <c r="C2772" s="211">
        <v>823</v>
      </c>
      <c r="D2772" s="211" t="s">
        <v>1117</v>
      </c>
      <c r="E2772" s="211" t="s">
        <v>6805</v>
      </c>
      <c r="F2772" s="211" t="s">
        <v>7322</v>
      </c>
    </row>
    <row r="2773" spans="1:6">
      <c r="A2773" s="211" t="s">
        <v>1550</v>
      </c>
      <c r="B2773" s="211">
        <v>4963</v>
      </c>
      <c r="C2773" s="211">
        <v>958</v>
      </c>
      <c r="D2773" s="211" t="s">
        <v>1255</v>
      </c>
      <c r="E2773" s="211" t="s">
        <v>10385</v>
      </c>
      <c r="F2773" s="211" t="s">
        <v>7664</v>
      </c>
    </row>
    <row r="2774" spans="1:6">
      <c r="A2774" s="211" t="s">
        <v>1551</v>
      </c>
      <c r="B2774" s="211">
        <v>3638</v>
      </c>
      <c r="C2774" s="211">
        <v>1336</v>
      </c>
      <c r="D2774" s="211" t="s">
        <v>1255</v>
      </c>
      <c r="E2774" s="211" t="s">
        <v>10385</v>
      </c>
      <c r="F2774" s="211" t="s">
        <v>7240</v>
      </c>
    </row>
    <row r="2775" spans="1:6">
      <c r="A2775" s="211" t="s">
        <v>10630</v>
      </c>
      <c r="B2775" s="211">
        <v>8785</v>
      </c>
      <c r="C2775" s="211">
        <v>972</v>
      </c>
      <c r="D2775" s="211" t="s">
        <v>1255</v>
      </c>
      <c r="E2775" s="211" t="s">
        <v>10631</v>
      </c>
      <c r="F2775" s="211" t="s">
        <v>7427</v>
      </c>
    </row>
    <row r="2776" spans="1:6">
      <c r="A2776" s="211" t="s">
        <v>1552</v>
      </c>
      <c r="B2776" s="211">
        <v>1891</v>
      </c>
      <c r="C2776" s="211">
        <v>1376</v>
      </c>
      <c r="D2776" s="211" t="s">
        <v>1255</v>
      </c>
      <c r="E2776" s="211" t="s">
        <v>10385</v>
      </c>
      <c r="F2776" s="211" t="s">
        <v>7438</v>
      </c>
    </row>
    <row r="2777" spans="1:6">
      <c r="A2777" s="211" t="s">
        <v>1553</v>
      </c>
      <c r="B2777" s="211">
        <v>5316</v>
      </c>
      <c r="C2777" s="211">
        <v>951</v>
      </c>
      <c r="D2777" s="211" t="s">
        <v>1117</v>
      </c>
      <c r="E2777" s="211" t="s">
        <v>9450</v>
      </c>
      <c r="F2777" s="211" t="s">
        <v>7224</v>
      </c>
    </row>
    <row r="2778" spans="1:6">
      <c r="A2778" s="211" t="s">
        <v>1554</v>
      </c>
      <c r="B2778" s="211">
        <v>4120</v>
      </c>
      <c r="C2778" s="211">
        <v>1404</v>
      </c>
      <c r="D2778" s="211" t="s">
        <v>1255</v>
      </c>
      <c r="E2778" s="211" t="s">
        <v>10385</v>
      </c>
      <c r="F2778" s="211" t="s">
        <v>7318</v>
      </c>
    </row>
    <row r="2779" spans="1:6">
      <c r="A2779" s="211" t="s">
        <v>4730</v>
      </c>
      <c r="B2779" s="211">
        <v>6443</v>
      </c>
      <c r="C2779" s="211">
        <v>1000</v>
      </c>
      <c r="D2779" s="211" t="s">
        <v>1255</v>
      </c>
      <c r="E2779" s="211" t="s">
        <v>10385</v>
      </c>
      <c r="F2779" s="211" t="s">
        <v>7380</v>
      </c>
    </row>
    <row r="2780" spans="1:6">
      <c r="A2780" s="211" t="s">
        <v>1555</v>
      </c>
      <c r="B2780" s="211">
        <v>5998</v>
      </c>
      <c r="C2780" s="211">
        <v>968</v>
      </c>
      <c r="D2780" s="211" t="s">
        <v>1255</v>
      </c>
      <c r="E2780" s="211" t="s">
        <v>10385</v>
      </c>
      <c r="F2780" s="211" t="s">
        <v>7380</v>
      </c>
    </row>
    <row r="2781" spans="1:6">
      <c r="A2781" s="211" t="s">
        <v>1556</v>
      </c>
      <c r="B2781" s="211">
        <v>5669</v>
      </c>
      <c r="C2781" s="211">
        <v>1204</v>
      </c>
      <c r="D2781" s="211" t="s">
        <v>1255</v>
      </c>
      <c r="E2781" s="211" t="s">
        <v>10385</v>
      </c>
      <c r="F2781" s="211" t="s">
        <v>7232</v>
      </c>
    </row>
    <row r="2782" spans="1:6">
      <c r="A2782" s="211" t="s">
        <v>7950</v>
      </c>
      <c r="B2782" s="211">
        <v>205</v>
      </c>
      <c r="C2782" s="211" t="s">
        <v>10385</v>
      </c>
      <c r="D2782" s="211" t="s">
        <v>1255</v>
      </c>
      <c r="E2782" s="211" t="s">
        <v>10385</v>
      </c>
      <c r="F2782" s="211" t="s">
        <v>7232</v>
      </c>
    </row>
    <row r="2783" spans="1:6">
      <c r="A2783" s="211" t="s">
        <v>9451</v>
      </c>
      <c r="B2783" s="211">
        <v>7893</v>
      </c>
      <c r="C2783" s="211">
        <v>1002</v>
      </c>
      <c r="D2783" s="211" t="s">
        <v>1117</v>
      </c>
      <c r="E2783" s="211" t="s">
        <v>9452</v>
      </c>
      <c r="F2783" s="211" t="s">
        <v>7224</v>
      </c>
    </row>
    <row r="2784" spans="1:6">
      <c r="A2784" s="211" t="s">
        <v>7951</v>
      </c>
      <c r="B2784" s="211">
        <v>2672</v>
      </c>
      <c r="C2784" s="211" t="s">
        <v>10385</v>
      </c>
      <c r="D2784" s="211" t="s">
        <v>1255</v>
      </c>
      <c r="E2784" s="211" t="s">
        <v>10385</v>
      </c>
      <c r="F2784" s="211" t="s">
        <v>7402</v>
      </c>
    </row>
    <row r="2785" spans="1:6">
      <c r="A2785" s="211" t="s">
        <v>5818</v>
      </c>
      <c r="B2785" s="211">
        <v>7541</v>
      </c>
      <c r="C2785" s="211">
        <v>946</v>
      </c>
      <c r="D2785" s="211" t="s">
        <v>1117</v>
      </c>
      <c r="E2785" s="211" t="s">
        <v>5819</v>
      </c>
      <c r="F2785" s="211" t="s">
        <v>7224</v>
      </c>
    </row>
    <row r="2786" spans="1:6">
      <c r="A2786" s="211" t="s">
        <v>1557</v>
      </c>
      <c r="B2786" s="211">
        <v>5652</v>
      </c>
      <c r="C2786" s="211">
        <v>888</v>
      </c>
      <c r="D2786" s="211" t="s">
        <v>1117</v>
      </c>
      <c r="E2786" s="211" t="s">
        <v>10385</v>
      </c>
      <c r="F2786" s="211" t="s">
        <v>7238</v>
      </c>
    </row>
    <row r="2787" spans="1:6">
      <c r="A2787" s="211" t="s">
        <v>1558</v>
      </c>
      <c r="B2787" s="211">
        <v>1963</v>
      </c>
      <c r="C2787" s="211">
        <v>1034</v>
      </c>
      <c r="D2787" s="211" t="s">
        <v>1255</v>
      </c>
      <c r="E2787" s="211" t="s">
        <v>10385</v>
      </c>
      <c r="F2787" s="211" t="s">
        <v>7843</v>
      </c>
    </row>
    <row r="2788" spans="1:6">
      <c r="A2788" s="211" t="s">
        <v>1559</v>
      </c>
      <c r="B2788" s="211">
        <v>4209</v>
      </c>
      <c r="C2788" s="211">
        <v>978</v>
      </c>
      <c r="D2788" s="211" t="s">
        <v>1255</v>
      </c>
      <c r="E2788" s="211" t="s">
        <v>10385</v>
      </c>
      <c r="F2788" s="211" t="s">
        <v>7235</v>
      </c>
    </row>
    <row r="2789" spans="1:6">
      <c r="A2789" s="211" t="s">
        <v>9453</v>
      </c>
      <c r="B2789" s="211">
        <v>8552</v>
      </c>
      <c r="C2789" s="211">
        <v>1004</v>
      </c>
      <c r="D2789" s="211" t="s">
        <v>1255</v>
      </c>
      <c r="E2789" s="211" t="s">
        <v>10385</v>
      </c>
      <c r="F2789" s="211" t="s">
        <v>7258</v>
      </c>
    </row>
    <row r="2790" spans="1:6">
      <c r="A2790" s="211" t="s">
        <v>5820</v>
      </c>
      <c r="B2790" s="211">
        <v>7545</v>
      </c>
      <c r="C2790" s="211">
        <v>930</v>
      </c>
      <c r="D2790" s="211" t="s">
        <v>1255</v>
      </c>
      <c r="E2790" s="211" t="s">
        <v>10385</v>
      </c>
      <c r="F2790" s="211" t="s">
        <v>7223</v>
      </c>
    </row>
    <row r="2791" spans="1:6">
      <c r="A2791" s="211" t="s">
        <v>10385</v>
      </c>
      <c r="B2791" s="211">
        <v>8659</v>
      </c>
      <c r="C2791" s="211">
        <v>1085</v>
      </c>
      <c r="D2791" s="211" t="s">
        <v>1255</v>
      </c>
      <c r="E2791" s="211" t="s">
        <v>10632</v>
      </c>
      <c r="F2791" s="211" t="s">
        <v>7299</v>
      </c>
    </row>
    <row r="2792" spans="1:6">
      <c r="A2792" s="211" t="s">
        <v>5821</v>
      </c>
      <c r="B2792" s="211">
        <v>7540</v>
      </c>
      <c r="C2792" s="211">
        <v>951</v>
      </c>
      <c r="D2792" s="211" t="s">
        <v>1255</v>
      </c>
      <c r="E2792" s="211" t="s">
        <v>10385</v>
      </c>
      <c r="F2792" s="211" t="s">
        <v>7223</v>
      </c>
    </row>
    <row r="2793" spans="1:6">
      <c r="A2793" s="211" t="s">
        <v>7952</v>
      </c>
      <c r="B2793" s="211">
        <v>70</v>
      </c>
      <c r="C2793" s="211" t="s">
        <v>10385</v>
      </c>
      <c r="D2793" s="211" t="s">
        <v>1255</v>
      </c>
      <c r="E2793" s="211" t="s">
        <v>10385</v>
      </c>
      <c r="F2793" s="211" t="s">
        <v>7223</v>
      </c>
    </row>
    <row r="2794" spans="1:6">
      <c r="A2794" s="211" t="s">
        <v>7953</v>
      </c>
      <c r="B2794" s="211">
        <v>7282</v>
      </c>
      <c r="C2794" s="211">
        <v>1104</v>
      </c>
      <c r="D2794" s="211" t="s">
        <v>1255</v>
      </c>
      <c r="E2794" s="211" t="s">
        <v>6030</v>
      </c>
      <c r="F2794" s="211" t="s">
        <v>7200</v>
      </c>
    </row>
    <row r="2795" spans="1:6">
      <c r="A2795" s="211" t="s">
        <v>7954</v>
      </c>
      <c r="B2795" s="211">
        <v>3891</v>
      </c>
      <c r="C2795" s="211" t="s">
        <v>10385</v>
      </c>
      <c r="D2795" s="211" t="s">
        <v>1255</v>
      </c>
      <c r="E2795" s="211" t="s">
        <v>10385</v>
      </c>
      <c r="F2795" s="211" t="s">
        <v>7283</v>
      </c>
    </row>
    <row r="2796" spans="1:6">
      <c r="A2796" s="211" t="s">
        <v>7955</v>
      </c>
      <c r="B2796" s="211">
        <v>5107</v>
      </c>
      <c r="C2796" s="211" t="s">
        <v>10385</v>
      </c>
      <c r="D2796" s="211" t="s">
        <v>1255</v>
      </c>
      <c r="E2796" s="211" t="s">
        <v>10385</v>
      </c>
      <c r="F2796" s="211" t="s">
        <v>7403</v>
      </c>
    </row>
    <row r="2797" spans="1:6">
      <c r="A2797" s="211" t="s">
        <v>7956</v>
      </c>
      <c r="B2797" s="211">
        <v>565</v>
      </c>
      <c r="C2797" s="211" t="s">
        <v>10385</v>
      </c>
      <c r="D2797" s="211" t="s">
        <v>1255</v>
      </c>
      <c r="E2797" s="211" t="s">
        <v>10385</v>
      </c>
      <c r="F2797" s="211" t="s">
        <v>7573</v>
      </c>
    </row>
    <row r="2798" spans="1:6">
      <c r="A2798" s="211" t="s">
        <v>1560</v>
      </c>
      <c r="B2798" s="211">
        <v>2381</v>
      </c>
      <c r="C2798" s="211">
        <v>914</v>
      </c>
      <c r="D2798" s="211" t="s">
        <v>1255</v>
      </c>
      <c r="E2798" s="211" t="s">
        <v>10385</v>
      </c>
      <c r="F2798" s="211" t="s">
        <v>7323</v>
      </c>
    </row>
    <row r="2799" spans="1:6">
      <c r="A2799" s="211" t="s">
        <v>7957</v>
      </c>
      <c r="B2799" s="211">
        <v>252</v>
      </c>
      <c r="C2799" s="211" t="s">
        <v>10385</v>
      </c>
      <c r="D2799" s="211" t="s">
        <v>1255</v>
      </c>
      <c r="E2799" s="211" t="s">
        <v>10385</v>
      </c>
      <c r="F2799" s="211" t="s">
        <v>7196</v>
      </c>
    </row>
    <row r="2800" spans="1:6">
      <c r="A2800" s="211" t="s">
        <v>1561</v>
      </c>
      <c r="B2800" s="211">
        <v>2685</v>
      </c>
      <c r="C2800" s="211">
        <v>914</v>
      </c>
      <c r="D2800" s="211" t="s">
        <v>1255</v>
      </c>
      <c r="E2800" s="211" t="s">
        <v>10385</v>
      </c>
      <c r="F2800" s="211" t="s">
        <v>7207</v>
      </c>
    </row>
    <row r="2801" spans="1:6">
      <c r="A2801" s="211" t="s">
        <v>1562</v>
      </c>
      <c r="B2801" s="211">
        <v>5034</v>
      </c>
      <c r="C2801" s="211">
        <v>870</v>
      </c>
      <c r="D2801" s="211" t="s">
        <v>1255</v>
      </c>
      <c r="E2801" s="211" t="s">
        <v>10385</v>
      </c>
      <c r="F2801" s="211" t="s">
        <v>7259</v>
      </c>
    </row>
    <row r="2802" spans="1:6">
      <c r="A2802" s="211" t="s">
        <v>7958</v>
      </c>
      <c r="B2802" s="211">
        <v>4358</v>
      </c>
      <c r="C2802" s="211" t="s">
        <v>10385</v>
      </c>
      <c r="D2802" s="211" t="s">
        <v>1255</v>
      </c>
      <c r="E2802" s="211" t="s">
        <v>10385</v>
      </c>
      <c r="F2802" s="211" t="s">
        <v>7427</v>
      </c>
    </row>
    <row r="2803" spans="1:6">
      <c r="A2803" s="211" t="s">
        <v>1563</v>
      </c>
      <c r="B2803" s="211">
        <v>3061</v>
      </c>
      <c r="C2803" s="211">
        <v>888</v>
      </c>
      <c r="D2803" s="211" t="s">
        <v>1255</v>
      </c>
      <c r="E2803" s="211" t="s">
        <v>10385</v>
      </c>
      <c r="F2803" s="211" t="s">
        <v>7323</v>
      </c>
    </row>
    <row r="2804" spans="1:6">
      <c r="A2804" s="211" t="s">
        <v>9454</v>
      </c>
      <c r="B2804" s="211">
        <v>8544</v>
      </c>
      <c r="C2804" s="211">
        <v>2181</v>
      </c>
      <c r="D2804" s="211" t="s">
        <v>1117</v>
      </c>
      <c r="E2804" s="211" t="s">
        <v>6632</v>
      </c>
      <c r="F2804" s="211" t="s">
        <v>7267</v>
      </c>
    </row>
    <row r="2805" spans="1:6">
      <c r="A2805" s="211" t="s">
        <v>1564</v>
      </c>
      <c r="B2805" s="211">
        <v>818</v>
      </c>
      <c r="C2805" s="211">
        <v>1832</v>
      </c>
      <c r="D2805" s="211" t="s">
        <v>1255</v>
      </c>
      <c r="E2805" s="211" t="s">
        <v>10385</v>
      </c>
      <c r="F2805" s="211" t="s">
        <v>7272</v>
      </c>
    </row>
    <row r="2806" spans="1:6">
      <c r="A2806" s="211" t="s">
        <v>1565</v>
      </c>
      <c r="B2806" s="211">
        <v>3473</v>
      </c>
      <c r="C2806" s="211">
        <v>1265</v>
      </c>
      <c r="D2806" s="211" t="s">
        <v>1255</v>
      </c>
      <c r="E2806" s="211" t="s">
        <v>10385</v>
      </c>
      <c r="F2806" s="211" t="s">
        <v>7430</v>
      </c>
    </row>
    <row r="2807" spans="1:6">
      <c r="A2807" s="211" t="s">
        <v>1566</v>
      </c>
      <c r="B2807" s="211">
        <v>2199</v>
      </c>
      <c r="C2807" s="211">
        <v>1633</v>
      </c>
      <c r="D2807" s="211" t="s">
        <v>1255</v>
      </c>
      <c r="E2807" s="211" t="s">
        <v>10385</v>
      </c>
      <c r="F2807" s="211" t="s">
        <v>7797</v>
      </c>
    </row>
    <row r="2808" spans="1:6">
      <c r="A2808" s="211" t="s">
        <v>1567</v>
      </c>
      <c r="B2808" s="211">
        <v>3631</v>
      </c>
      <c r="C2808" s="211">
        <v>1247</v>
      </c>
      <c r="D2808" s="211" t="s">
        <v>1255</v>
      </c>
      <c r="E2808" s="211" t="s">
        <v>10385</v>
      </c>
      <c r="F2808" s="211" t="s">
        <v>7446</v>
      </c>
    </row>
    <row r="2809" spans="1:6">
      <c r="A2809" s="211" t="s">
        <v>4694</v>
      </c>
      <c r="B2809" s="211">
        <v>6387</v>
      </c>
      <c r="C2809" s="211">
        <v>1363</v>
      </c>
      <c r="D2809" s="211" t="s">
        <v>1255</v>
      </c>
      <c r="E2809" s="211" t="s">
        <v>10633</v>
      </c>
      <c r="F2809" s="211" t="s">
        <v>7238</v>
      </c>
    </row>
    <row r="2810" spans="1:6">
      <c r="A2810" s="211" t="s">
        <v>1568</v>
      </c>
      <c r="B2810" s="211">
        <v>2391</v>
      </c>
      <c r="C2810" s="211">
        <v>815</v>
      </c>
      <c r="D2810" s="211" t="s">
        <v>1255</v>
      </c>
      <c r="E2810" s="211" t="s">
        <v>10385</v>
      </c>
      <c r="F2810" s="211" t="s">
        <v>7285</v>
      </c>
    </row>
    <row r="2811" spans="1:6">
      <c r="A2811" s="211" t="s">
        <v>7959</v>
      </c>
      <c r="B2811" s="211">
        <v>1951</v>
      </c>
      <c r="C2811" s="211" t="s">
        <v>10385</v>
      </c>
      <c r="D2811" s="211" t="s">
        <v>1255</v>
      </c>
      <c r="E2811" s="211" t="s">
        <v>10385</v>
      </c>
      <c r="F2811" s="211" t="s">
        <v>7285</v>
      </c>
    </row>
    <row r="2812" spans="1:6">
      <c r="A2812" s="211" t="s">
        <v>7960</v>
      </c>
      <c r="B2812" s="211">
        <v>5825</v>
      </c>
      <c r="C2812" s="211" t="s">
        <v>10385</v>
      </c>
      <c r="D2812" s="211" t="s">
        <v>1117</v>
      </c>
      <c r="E2812" s="211" t="s">
        <v>10385</v>
      </c>
      <c r="F2812" s="211" t="s">
        <v>7160</v>
      </c>
    </row>
    <row r="2813" spans="1:6">
      <c r="A2813" s="211" t="s">
        <v>1569</v>
      </c>
      <c r="B2813" s="211">
        <v>4855</v>
      </c>
      <c r="C2813" s="211">
        <v>964</v>
      </c>
      <c r="D2813" s="211" t="s">
        <v>1117</v>
      </c>
      <c r="E2813" s="211" t="s">
        <v>10385</v>
      </c>
      <c r="F2813" s="211" t="s">
        <v>7240</v>
      </c>
    </row>
    <row r="2814" spans="1:6">
      <c r="A2814" s="211" t="s">
        <v>5062</v>
      </c>
      <c r="B2814" s="211">
        <v>6996</v>
      </c>
      <c r="C2814" s="211">
        <v>819</v>
      </c>
      <c r="D2814" s="211" t="s">
        <v>1255</v>
      </c>
      <c r="E2814" s="211" t="s">
        <v>10385</v>
      </c>
      <c r="F2814" s="211" t="s">
        <v>7240</v>
      </c>
    </row>
    <row r="2815" spans="1:6">
      <c r="A2815" s="211" t="s">
        <v>1570</v>
      </c>
      <c r="B2815" s="211">
        <v>1962</v>
      </c>
      <c r="C2815" s="211">
        <v>1351</v>
      </c>
      <c r="D2815" s="211" t="s">
        <v>1255</v>
      </c>
      <c r="E2815" s="211" t="s">
        <v>10385</v>
      </c>
      <c r="F2815" s="211" t="s">
        <v>7843</v>
      </c>
    </row>
    <row r="2816" spans="1:6">
      <c r="A2816" s="211" t="s">
        <v>1571</v>
      </c>
      <c r="B2816" s="211">
        <v>2843</v>
      </c>
      <c r="C2816" s="211">
        <v>1121</v>
      </c>
      <c r="D2816" s="211" t="s">
        <v>1255</v>
      </c>
      <c r="E2816" s="211" t="s">
        <v>10385</v>
      </c>
      <c r="F2816" s="211" t="s">
        <v>7171</v>
      </c>
    </row>
    <row r="2817" spans="1:6">
      <c r="A2817" s="211" t="s">
        <v>7961</v>
      </c>
      <c r="B2817" s="211">
        <v>5409</v>
      </c>
      <c r="C2817" s="211" t="s">
        <v>10385</v>
      </c>
      <c r="D2817" s="211" t="s">
        <v>1255</v>
      </c>
      <c r="E2817" s="211" t="s">
        <v>10385</v>
      </c>
      <c r="F2817" s="211" t="s">
        <v>7325</v>
      </c>
    </row>
    <row r="2818" spans="1:6">
      <c r="A2818" s="211" t="s">
        <v>1572</v>
      </c>
      <c r="B2818" s="211">
        <v>1840</v>
      </c>
      <c r="C2818" s="211">
        <v>1529</v>
      </c>
      <c r="D2818" s="211" t="s">
        <v>1255</v>
      </c>
      <c r="E2818" s="211" t="s">
        <v>10385</v>
      </c>
      <c r="F2818" s="211" t="s">
        <v>7384</v>
      </c>
    </row>
    <row r="2819" spans="1:6">
      <c r="A2819" s="211" t="s">
        <v>1573</v>
      </c>
      <c r="B2819" s="211">
        <v>4667</v>
      </c>
      <c r="C2819" s="211">
        <v>1794</v>
      </c>
      <c r="D2819" s="211" t="s">
        <v>1255</v>
      </c>
      <c r="E2819" s="211" t="s">
        <v>6806</v>
      </c>
      <c r="F2819" s="211" t="s">
        <v>7283</v>
      </c>
    </row>
    <row r="2820" spans="1:6">
      <c r="A2820" s="211" t="s">
        <v>7962</v>
      </c>
      <c r="B2820" s="211">
        <v>233</v>
      </c>
      <c r="C2820" s="211" t="s">
        <v>10385</v>
      </c>
      <c r="D2820" s="211" t="s">
        <v>1255</v>
      </c>
      <c r="E2820" s="211" t="s">
        <v>10385</v>
      </c>
      <c r="F2820" s="211" t="s">
        <v>7171</v>
      </c>
    </row>
    <row r="2821" spans="1:6">
      <c r="A2821" s="211" t="s">
        <v>7963</v>
      </c>
      <c r="B2821" s="211">
        <v>270</v>
      </c>
      <c r="C2821" s="211" t="s">
        <v>10385</v>
      </c>
      <c r="D2821" s="211" t="s">
        <v>1255</v>
      </c>
      <c r="E2821" s="211" t="s">
        <v>10385</v>
      </c>
      <c r="F2821" s="211" t="s">
        <v>7320</v>
      </c>
    </row>
    <row r="2822" spans="1:6">
      <c r="A2822" s="211" t="s">
        <v>1574</v>
      </c>
      <c r="B2822" s="211">
        <v>849</v>
      </c>
      <c r="C2822" s="211">
        <v>580</v>
      </c>
      <c r="D2822" s="211" t="s">
        <v>1255</v>
      </c>
      <c r="E2822" s="211" t="s">
        <v>10385</v>
      </c>
      <c r="F2822" s="211" t="s">
        <v>7245</v>
      </c>
    </row>
    <row r="2823" spans="1:6">
      <c r="A2823" s="211" t="s">
        <v>1575</v>
      </c>
      <c r="B2823" s="211">
        <v>2890</v>
      </c>
      <c r="C2823" s="211">
        <v>1296</v>
      </c>
      <c r="D2823" s="211" t="s">
        <v>1255</v>
      </c>
      <c r="E2823" s="211" t="s">
        <v>10385</v>
      </c>
      <c r="F2823" s="211" t="s">
        <v>7272</v>
      </c>
    </row>
    <row r="2824" spans="1:6">
      <c r="A2824" s="211" t="s">
        <v>1576</v>
      </c>
      <c r="B2824" s="211">
        <v>4954</v>
      </c>
      <c r="C2824" s="211">
        <v>2211</v>
      </c>
      <c r="D2824" s="211" t="s">
        <v>1255</v>
      </c>
      <c r="E2824" s="211" t="s">
        <v>5822</v>
      </c>
      <c r="F2824" s="211" t="s">
        <v>7247</v>
      </c>
    </row>
    <row r="2825" spans="1:6">
      <c r="A2825" s="211" t="s">
        <v>1577</v>
      </c>
      <c r="B2825" s="211">
        <v>817</v>
      </c>
      <c r="C2825" s="211">
        <v>1084</v>
      </c>
      <c r="D2825" s="211" t="s">
        <v>1255</v>
      </c>
      <c r="E2825" s="211" t="s">
        <v>10385</v>
      </c>
      <c r="F2825" s="211" t="s">
        <v>7343</v>
      </c>
    </row>
    <row r="2826" spans="1:6">
      <c r="A2826" s="211" t="s">
        <v>7964</v>
      </c>
      <c r="B2826" s="211">
        <v>4902</v>
      </c>
      <c r="C2826" s="211" t="s">
        <v>10385</v>
      </c>
      <c r="D2826" s="211" t="s">
        <v>1255</v>
      </c>
      <c r="E2826" s="211" t="s">
        <v>10385</v>
      </c>
      <c r="F2826" s="211" t="s">
        <v>7335</v>
      </c>
    </row>
    <row r="2827" spans="1:6">
      <c r="A2827" s="211" t="s">
        <v>1578</v>
      </c>
      <c r="B2827" s="211">
        <v>3922</v>
      </c>
      <c r="C2827" s="211">
        <v>1186</v>
      </c>
      <c r="D2827" s="211" t="s">
        <v>1255</v>
      </c>
      <c r="E2827" s="211" t="s">
        <v>9455</v>
      </c>
      <c r="F2827" s="211" t="s">
        <v>7425</v>
      </c>
    </row>
    <row r="2828" spans="1:6">
      <c r="A2828" s="211" t="s">
        <v>1579</v>
      </c>
      <c r="B2828" s="211">
        <v>1397</v>
      </c>
      <c r="C2828" s="211">
        <v>1753</v>
      </c>
      <c r="D2828" s="211" t="s">
        <v>1255</v>
      </c>
      <c r="E2828" s="211" t="s">
        <v>10385</v>
      </c>
      <c r="F2828" s="211" t="s">
        <v>7386</v>
      </c>
    </row>
    <row r="2829" spans="1:6">
      <c r="A2829" s="211" t="s">
        <v>10634</v>
      </c>
      <c r="B2829" s="211">
        <v>8629</v>
      </c>
      <c r="C2829" s="211">
        <v>994</v>
      </c>
      <c r="D2829" s="211" t="s">
        <v>1255</v>
      </c>
      <c r="E2829" s="211" t="s">
        <v>10635</v>
      </c>
      <c r="F2829" s="211" t="s">
        <v>10474</v>
      </c>
    </row>
    <row r="2830" spans="1:6">
      <c r="A2830" s="211" t="s">
        <v>1580</v>
      </c>
      <c r="B2830" s="211">
        <v>5040</v>
      </c>
      <c r="C2830" s="211">
        <v>892</v>
      </c>
      <c r="D2830" s="211" t="s">
        <v>1255</v>
      </c>
      <c r="E2830" s="211" t="s">
        <v>10385</v>
      </c>
      <c r="F2830" s="211" t="s">
        <v>7297</v>
      </c>
    </row>
    <row r="2831" spans="1:6">
      <c r="A2831" s="211" t="s">
        <v>1581</v>
      </c>
      <c r="B2831" s="211">
        <v>2658</v>
      </c>
      <c r="C2831" s="211">
        <v>1609</v>
      </c>
      <c r="D2831" s="211" t="s">
        <v>1255</v>
      </c>
      <c r="E2831" s="211" t="s">
        <v>10385</v>
      </c>
      <c r="F2831" s="211" t="s">
        <v>7210</v>
      </c>
    </row>
    <row r="2832" spans="1:6">
      <c r="A2832" s="211" t="s">
        <v>1582</v>
      </c>
      <c r="B2832" s="211">
        <v>2006</v>
      </c>
      <c r="C2832" s="211">
        <v>827</v>
      </c>
      <c r="D2832" s="211" t="s">
        <v>1255</v>
      </c>
      <c r="E2832" s="211" t="s">
        <v>10385</v>
      </c>
      <c r="F2832" s="211" t="s">
        <v>7965</v>
      </c>
    </row>
    <row r="2833" spans="1:6">
      <c r="A2833" s="211" t="s">
        <v>7966</v>
      </c>
      <c r="B2833" s="211">
        <v>7283</v>
      </c>
      <c r="C2833" s="211">
        <v>1104</v>
      </c>
      <c r="D2833" s="211" t="s">
        <v>1255</v>
      </c>
      <c r="E2833" s="211" t="s">
        <v>5823</v>
      </c>
      <c r="F2833" s="211" t="s">
        <v>7200</v>
      </c>
    </row>
    <row r="2834" spans="1:6">
      <c r="A2834" s="211" t="s">
        <v>7967</v>
      </c>
      <c r="B2834" s="211">
        <v>280</v>
      </c>
      <c r="C2834" s="211" t="s">
        <v>10385</v>
      </c>
      <c r="D2834" s="211" t="s">
        <v>1255</v>
      </c>
      <c r="E2834" s="211" t="s">
        <v>10385</v>
      </c>
      <c r="F2834" s="211" t="s">
        <v>7270</v>
      </c>
    </row>
    <row r="2835" spans="1:6">
      <c r="A2835" s="211" t="s">
        <v>1583</v>
      </c>
      <c r="B2835" s="211">
        <v>2739</v>
      </c>
      <c r="C2835" s="211">
        <v>1226</v>
      </c>
      <c r="D2835" s="211" t="s">
        <v>1255</v>
      </c>
      <c r="E2835" s="211" t="s">
        <v>10385</v>
      </c>
      <c r="F2835" s="211" t="s">
        <v>7265</v>
      </c>
    </row>
    <row r="2836" spans="1:6">
      <c r="A2836" s="211" t="s">
        <v>5824</v>
      </c>
      <c r="B2836" s="211">
        <v>7543</v>
      </c>
      <c r="C2836" s="211">
        <v>512</v>
      </c>
      <c r="D2836" s="211" t="s">
        <v>1117</v>
      </c>
      <c r="E2836" s="211" t="s">
        <v>5825</v>
      </c>
      <c r="F2836" s="211" t="s">
        <v>7224</v>
      </c>
    </row>
    <row r="2837" spans="1:6">
      <c r="A2837" s="211" t="s">
        <v>7968</v>
      </c>
      <c r="B2837" s="211">
        <v>4211</v>
      </c>
      <c r="C2837" s="211" t="s">
        <v>10385</v>
      </c>
      <c r="D2837" s="211" t="s">
        <v>1255</v>
      </c>
      <c r="E2837" s="211" t="s">
        <v>10385</v>
      </c>
      <c r="F2837" s="211" t="s">
        <v>7316</v>
      </c>
    </row>
    <row r="2838" spans="1:6">
      <c r="A2838" s="211" t="s">
        <v>9456</v>
      </c>
      <c r="B2838" s="211">
        <v>7951</v>
      </c>
      <c r="C2838" s="211">
        <v>799</v>
      </c>
      <c r="D2838" s="211" t="s">
        <v>1117</v>
      </c>
      <c r="E2838" s="211" t="s">
        <v>9457</v>
      </c>
      <c r="F2838" s="211" t="s">
        <v>7288</v>
      </c>
    </row>
    <row r="2839" spans="1:6">
      <c r="A2839" s="211" t="s">
        <v>5063</v>
      </c>
      <c r="B2839" s="211">
        <v>6850</v>
      </c>
      <c r="C2839" s="211">
        <v>816</v>
      </c>
      <c r="D2839" s="211" t="s">
        <v>1255</v>
      </c>
      <c r="E2839" s="211" t="s">
        <v>10385</v>
      </c>
      <c r="F2839" s="211" t="s">
        <v>7213</v>
      </c>
    </row>
    <row r="2840" spans="1:6">
      <c r="A2840" s="211" t="s">
        <v>1584</v>
      </c>
      <c r="B2840" s="211">
        <v>4036</v>
      </c>
      <c r="C2840" s="211">
        <v>815</v>
      </c>
      <c r="D2840" s="211" t="s">
        <v>1255</v>
      </c>
      <c r="E2840" s="211" t="s">
        <v>10385</v>
      </c>
      <c r="F2840" s="211" t="s">
        <v>7221</v>
      </c>
    </row>
    <row r="2841" spans="1:6">
      <c r="A2841" s="211" t="s">
        <v>7969</v>
      </c>
      <c r="B2841" s="211">
        <v>68</v>
      </c>
      <c r="C2841" s="211" t="s">
        <v>10385</v>
      </c>
      <c r="D2841" s="211" t="s">
        <v>1255</v>
      </c>
      <c r="E2841" s="211" t="s">
        <v>10385</v>
      </c>
      <c r="F2841" s="211" t="s">
        <v>7402</v>
      </c>
    </row>
    <row r="2842" spans="1:6">
      <c r="A2842" s="211" t="s">
        <v>4754</v>
      </c>
      <c r="B2842" s="211">
        <v>6196</v>
      </c>
      <c r="C2842" s="211">
        <v>2390</v>
      </c>
      <c r="D2842" s="211" t="s">
        <v>1255</v>
      </c>
      <c r="E2842" s="211" t="s">
        <v>5826</v>
      </c>
      <c r="F2842" s="211" t="s">
        <v>7210</v>
      </c>
    </row>
    <row r="2843" spans="1:6">
      <c r="A2843" s="211" t="s">
        <v>5827</v>
      </c>
      <c r="B2843" s="211">
        <v>6812</v>
      </c>
      <c r="C2843" s="211">
        <v>527</v>
      </c>
      <c r="D2843" s="211" t="s">
        <v>1117</v>
      </c>
      <c r="E2843" s="211" t="s">
        <v>10385</v>
      </c>
      <c r="F2843" s="211" t="s">
        <v>7224</v>
      </c>
    </row>
    <row r="2844" spans="1:6">
      <c r="A2844" s="211" t="s">
        <v>1585</v>
      </c>
      <c r="B2844" s="211">
        <v>3168</v>
      </c>
      <c r="C2844" s="211">
        <v>1025</v>
      </c>
      <c r="D2844" s="211" t="s">
        <v>1255</v>
      </c>
      <c r="E2844" s="211" t="s">
        <v>10385</v>
      </c>
      <c r="F2844" s="211" t="s">
        <v>7581</v>
      </c>
    </row>
    <row r="2845" spans="1:6">
      <c r="A2845" s="211" t="s">
        <v>9458</v>
      </c>
      <c r="B2845" s="211">
        <v>7945</v>
      </c>
      <c r="C2845" s="211">
        <v>909</v>
      </c>
      <c r="D2845" s="211" t="s">
        <v>1255</v>
      </c>
      <c r="E2845" s="211" t="s">
        <v>9459</v>
      </c>
      <c r="F2845" s="211" t="s">
        <v>9065</v>
      </c>
    </row>
    <row r="2846" spans="1:6">
      <c r="A2846" s="211" t="s">
        <v>7970</v>
      </c>
      <c r="B2846" s="211">
        <v>696</v>
      </c>
      <c r="C2846" s="211" t="s">
        <v>10385</v>
      </c>
      <c r="D2846" s="211" t="s">
        <v>1255</v>
      </c>
      <c r="E2846" s="211" t="s">
        <v>10385</v>
      </c>
      <c r="F2846" s="211" t="s">
        <v>7597</v>
      </c>
    </row>
    <row r="2847" spans="1:6">
      <c r="A2847" s="211" t="s">
        <v>1586</v>
      </c>
      <c r="B2847" s="211">
        <v>5244</v>
      </c>
      <c r="C2847" s="211">
        <v>1130</v>
      </c>
      <c r="D2847" s="211" t="s">
        <v>1255</v>
      </c>
      <c r="E2847" s="211" t="s">
        <v>10385</v>
      </c>
      <c r="F2847" s="211" t="s">
        <v>7430</v>
      </c>
    </row>
    <row r="2848" spans="1:6">
      <c r="A2848" s="211" t="s">
        <v>4711</v>
      </c>
      <c r="B2848" s="211">
        <v>6234</v>
      </c>
      <c r="C2848" s="211">
        <v>765</v>
      </c>
      <c r="D2848" s="211" t="s">
        <v>1255</v>
      </c>
      <c r="E2848" s="211" t="s">
        <v>10385</v>
      </c>
      <c r="F2848" s="211" t="s">
        <v>7328</v>
      </c>
    </row>
    <row r="2849" spans="1:6">
      <c r="A2849" s="211" t="s">
        <v>5828</v>
      </c>
      <c r="B2849" s="211">
        <v>7550</v>
      </c>
      <c r="C2849" s="211">
        <v>772</v>
      </c>
      <c r="D2849" s="211" t="s">
        <v>1117</v>
      </c>
      <c r="E2849" s="211" t="s">
        <v>10385</v>
      </c>
      <c r="F2849" s="211" t="s">
        <v>7583</v>
      </c>
    </row>
    <row r="2850" spans="1:6">
      <c r="A2850" s="211" t="s">
        <v>7971</v>
      </c>
      <c r="B2850" s="211">
        <v>111</v>
      </c>
      <c r="C2850" s="211" t="s">
        <v>10385</v>
      </c>
      <c r="D2850" s="211" t="s">
        <v>1255</v>
      </c>
      <c r="E2850" s="211" t="s">
        <v>10385</v>
      </c>
      <c r="F2850" s="211" t="s">
        <v>7318</v>
      </c>
    </row>
    <row r="2851" spans="1:6">
      <c r="A2851" s="211" t="s">
        <v>5829</v>
      </c>
      <c r="B2851" s="211">
        <v>7531</v>
      </c>
      <c r="C2851" s="211">
        <v>1189</v>
      </c>
      <c r="D2851" s="211" t="s">
        <v>1255</v>
      </c>
      <c r="E2851" s="211" t="s">
        <v>9460</v>
      </c>
      <c r="F2851" s="211" t="s">
        <v>7224</v>
      </c>
    </row>
    <row r="2852" spans="1:6">
      <c r="A2852" s="211" t="s">
        <v>7972</v>
      </c>
      <c r="B2852" s="211">
        <v>1993</v>
      </c>
      <c r="C2852" s="211" t="s">
        <v>10385</v>
      </c>
      <c r="D2852" s="211" t="s">
        <v>1255</v>
      </c>
      <c r="E2852" s="211" t="s">
        <v>10385</v>
      </c>
      <c r="F2852" s="211" t="s">
        <v>7322</v>
      </c>
    </row>
    <row r="2853" spans="1:6">
      <c r="A2853" s="211" t="s">
        <v>1587</v>
      </c>
      <c r="B2853" s="211">
        <v>1160</v>
      </c>
      <c r="C2853" s="211">
        <v>1477</v>
      </c>
      <c r="D2853" s="211" t="s">
        <v>1255</v>
      </c>
      <c r="E2853" s="211" t="s">
        <v>10385</v>
      </c>
      <c r="F2853" s="211" t="s">
        <v>7224</v>
      </c>
    </row>
    <row r="2854" spans="1:6">
      <c r="A2854" s="211" t="s">
        <v>7973</v>
      </c>
      <c r="B2854" s="211">
        <v>4918</v>
      </c>
      <c r="C2854" s="211" t="s">
        <v>10385</v>
      </c>
      <c r="D2854" s="211" t="s">
        <v>1255</v>
      </c>
      <c r="E2854" s="211" t="s">
        <v>10385</v>
      </c>
      <c r="F2854" s="211" t="s">
        <v>7196</v>
      </c>
    </row>
    <row r="2855" spans="1:6">
      <c r="A2855" s="211" t="s">
        <v>5830</v>
      </c>
      <c r="B2855" s="211">
        <v>7429</v>
      </c>
      <c r="C2855" s="211">
        <v>1604</v>
      </c>
      <c r="D2855" s="211" t="s">
        <v>1255</v>
      </c>
      <c r="E2855" s="211" t="s">
        <v>10385</v>
      </c>
      <c r="F2855" s="211" t="s">
        <v>7165</v>
      </c>
    </row>
    <row r="2856" spans="1:6">
      <c r="A2856" s="211" t="s">
        <v>1588</v>
      </c>
      <c r="B2856" s="211">
        <v>2128</v>
      </c>
      <c r="C2856" s="211">
        <v>762</v>
      </c>
      <c r="D2856" s="211" t="s">
        <v>1255</v>
      </c>
      <c r="E2856" s="211" t="s">
        <v>10385</v>
      </c>
      <c r="F2856" s="211" t="s">
        <v>7171</v>
      </c>
    </row>
    <row r="2857" spans="1:6">
      <c r="A2857" s="211" t="s">
        <v>7974</v>
      </c>
      <c r="B2857" s="211">
        <v>4131</v>
      </c>
      <c r="C2857" s="211" t="s">
        <v>10385</v>
      </c>
      <c r="D2857" s="211" t="s">
        <v>1255</v>
      </c>
      <c r="E2857" s="211" t="s">
        <v>10385</v>
      </c>
      <c r="F2857" s="211" t="s">
        <v>7205</v>
      </c>
    </row>
    <row r="2858" spans="1:6">
      <c r="A2858" s="211" t="s">
        <v>5831</v>
      </c>
      <c r="B2858" s="211">
        <v>7604</v>
      </c>
      <c r="C2858" s="211">
        <v>1157</v>
      </c>
      <c r="D2858" s="211" t="s">
        <v>1255</v>
      </c>
      <c r="E2858" s="211" t="s">
        <v>9461</v>
      </c>
      <c r="F2858" s="211" t="s">
        <v>7414</v>
      </c>
    </row>
    <row r="2859" spans="1:6">
      <c r="A2859" s="211" t="s">
        <v>7975</v>
      </c>
      <c r="B2859" s="211">
        <v>5367</v>
      </c>
      <c r="C2859" s="211" t="s">
        <v>10385</v>
      </c>
      <c r="D2859" s="211" t="s">
        <v>1255</v>
      </c>
      <c r="E2859" s="211" t="s">
        <v>10385</v>
      </c>
      <c r="F2859" s="211" t="s">
        <v>7224</v>
      </c>
    </row>
    <row r="2860" spans="1:6">
      <c r="A2860" s="211" t="s">
        <v>4517</v>
      </c>
      <c r="B2860" s="211">
        <v>6542</v>
      </c>
      <c r="C2860" s="211">
        <v>962</v>
      </c>
      <c r="D2860" s="211" t="s">
        <v>1255</v>
      </c>
      <c r="E2860" s="211" t="s">
        <v>10385</v>
      </c>
      <c r="F2860" s="211" t="s">
        <v>7524</v>
      </c>
    </row>
    <row r="2861" spans="1:6">
      <c r="A2861" s="211" t="s">
        <v>5832</v>
      </c>
      <c r="B2861" s="211">
        <v>7490</v>
      </c>
      <c r="C2861" s="211">
        <v>906</v>
      </c>
      <c r="D2861" s="211" t="s">
        <v>1255</v>
      </c>
      <c r="E2861" s="211" t="s">
        <v>5833</v>
      </c>
      <c r="F2861" s="211" t="s">
        <v>7646</v>
      </c>
    </row>
    <row r="2862" spans="1:6">
      <c r="A2862" s="211" t="s">
        <v>1589</v>
      </c>
      <c r="B2862" s="211">
        <v>5569</v>
      </c>
      <c r="C2862" s="211">
        <v>1148</v>
      </c>
      <c r="D2862" s="211" t="s">
        <v>1255</v>
      </c>
      <c r="E2862" s="211" t="s">
        <v>10385</v>
      </c>
      <c r="F2862" s="211" t="s">
        <v>7284</v>
      </c>
    </row>
    <row r="2863" spans="1:6">
      <c r="A2863" s="211" t="s">
        <v>2933</v>
      </c>
      <c r="B2863" s="211">
        <v>2834</v>
      </c>
      <c r="C2863" s="211">
        <v>1802</v>
      </c>
      <c r="D2863" s="211" t="s">
        <v>1255</v>
      </c>
      <c r="E2863" s="211" t="s">
        <v>10385</v>
      </c>
      <c r="F2863" s="211" t="s">
        <v>7208</v>
      </c>
    </row>
    <row r="2864" spans="1:6">
      <c r="A2864" s="211" t="s">
        <v>1590</v>
      </c>
      <c r="B2864" s="211">
        <v>4581</v>
      </c>
      <c r="C2864" s="211">
        <v>1112</v>
      </c>
      <c r="D2864" s="211" t="s">
        <v>1255</v>
      </c>
      <c r="E2864" s="211" t="s">
        <v>10385</v>
      </c>
      <c r="F2864" s="211" t="s">
        <v>7479</v>
      </c>
    </row>
    <row r="2865" spans="1:6">
      <c r="A2865" s="211" t="s">
        <v>5834</v>
      </c>
      <c r="B2865" s="211">
        <v>7269</v>
      </c>
      <c r="C2865" s="211">
        <v>652</v>
      </c>
      <c r="D2865" s="211" t="s">
        <v>1117</v>
      </c>
      <c r="E2865" s="211" t="s">
        <v>6807</v>
      </c>
      <c r="F2865" s="211" t="s">
        <v>7458</v>
      </c>
    </row>
    <row r="2866" spans="1:6">
      <c r="A2866" s="211" t="s">
        <v>1591</v>
      </c>
      <c r="B2866" s="211">
        <v>2679</v>
      </c>
      <c r="C2866" s="211">
        <v>1036</v>
      </c>
      <c r="D2866" s="211" t="s">
        <v>1117</v>
      </c>
      <c r="E2866" s="211" t="s">
        <v>10385</v>
      </c>
      <c r="F2866" s="211" t="s">
        <v>7402</v>
      </c>
    </row>
    <row r="2867" spans="1:6">
      <c r="A2867" s="211" t="s">
        <v>1592</v>
      </c>
      <c r="B2867" s="211">
        <v>2366</v>
      </c>
      <c r="C2867" s="211">
        <v>944</v>
      </c>
      <c r="D2867" s="211" t="s">
        <v>1255</v>
      </c>
      <c r="E2867" s="211" t="s">
        <v>10385</v>
      </c>
      <c r="F2867" s="211" t="s">
        <v>7262</v>
      </c>
    </row>
    <row r="2868" spans="1:6">
      <c r="A2868" s="211" t="s">
        <v>7976</v>
      </c>
      <c r="B2868" s="211">
        <v>5208</v>
      </c>
      <c r="C2868" s="211" t="s">
        <v>10385</v>
      </c>
      <c r="D2868" s="211" t="s">
        <v>1255</v>
      </c>
      <c r="E2868" s="211" t="s">
        <v>10385</v>
      </c>
      <c r="F2868" s="211" t="s">
        <v>7303</v>
      </c>
    </row>
    <row r="2869" spans="1:6">
      <c r="A2869" s="211" t="s">
        <v>1593</v>
      </c>
      <c r="B2869" s="211">
        <v>6718</v>
      </c>
      <c r="C2869" s="211">
        <v>1247</v>
      </c>
      <c r="D2869" s="211" t="s">
        <v>1255</v>
      </c>
      <c r="E2869" s="211" t="s">
        <v>6808</v>
      </c>
      <c r="F2869" s="211" t="s">
        <v>7283</v>
      </c>
    </row>
    <row r="2870" spans="1:6">
      <c r="A2870" s="211" t="s">
        <v>7977</v>
      </c>
      <c r="B2870" s="211">
        <v>3328</v>
      </c>
      <c r="C2870" s="211" t="s">
        <v>10385</v>
      </c>
      <c r="D2870" s="211" t="s">
        <v>1255</v>
      </c>
      <c r="E2870" s="211" t="s">
        <v>10385</v>
      </c>
      <c r="F2870" s="211" t="s">
        <v>7262</v>
      </c>
    </row>
    <row r="2871" spans="1:6">
      <c r="A2871" s="211" t="s">
        <v>1594</v>
      </c>
      <c r="B2871" s="211">
        <v>2136</v>
      </c>
      <c r="C2871" s="211">
        <v>762</v>
      </c>
      <c r="D2871" s="211" t="s">
        <v>1117</v>
      </c>
      <c r="E2871" s="211" t="s">
        <v>10385</v>
      </c>
      <c r="F2871" s="211" t="s">
        <v>7212</v>
      </c>
    </row>
    <row r="2872" spans="1:6">
      <c r="A2872" s="211" t="s">
        <v>4695</v>
      </c>
      <c r="B2872" s="211">
        <v>6389</v>
      </c>
      <c r="C2872" s="211">
        <v>780</v>
      </c>
      <c r="D2872" s="211" t="s">
        <v>1255</v>
      </c>
      <c r="E2872" s="211" t="s">
        <v>10385</v>
      </c>
      <c r="F2872" s="211" t="s">
        <v>7263</v>
      </c>
    </row>
    <row r="2873" spans="1:6">
      <c r="A2873" s="211" t="s">
        <v>4805</v>
      </c>
      <c r="B2873" s="211">
        <v>6128</v>
      </c>
      <c r="C2873" s="211">
        <v>885</v>
      </c>
      <c r="D2873" s="211" t="s">
        <v>1255</v>
      </c>
      <c r="E2873" s="211" t="s">
        <v>10385</v>
      </c>
      <c r="F2873" s="211" t="s">
        <v>7508</v>
      </c>
    </row>
    <row r="2874" spans="1:6">
      <c r="A2874" s="211" t="s">
        <v>1595</v>
      </c>
      <c r="B2874" s="211">
        <v>5298</v>
      </c>
      <c r="C2874" s="211">
        <v>1017</v>
      </c>
      <c r="D2874" s="211" t="s">
        <v>1255</v>
      </c>
      <c r="E2874" s="211" t="s">
        <v>10385</v>
      </c>
      <c r="F2874" s="211" t="s">
        <v>7189</v>
      </c>
    </row>
    <row r="2875" spans="1:6">
      <c r="A2875" s="211" t="s">
        <v>4755</v>
      </c>
      <c r="B2875" s="211">
        <v>6202</v>
      </c>
      <c r="C2875" s="211">
        <v>1415</v>
      </c>
      <c r="D2875" s="211" t="s">
        <v>1255</v>
      </c>
      <c r="E2875" s="211" t="s">
        <v>10385</v>
      </c>
      <c r="F2875" s="211" t="s">
        <v>7232</v>
      </c>
    </row>
    <row r="2876" spans="1:6">
      <c r="A2876" s="211" t="s">
        <v>1596</v>
      </c>
      <c r="B2876" s="211">
        <v>4269</v>
      </c>
      <c r="C2876" s="211">
        <v>999</v>
      </c>
      <c r="D2876" s="211" t="s">
        <v>1255</v>
      </c>
      <c r="E2876" s="211" t="s">
        <v>10385</v>
      </c>
      <c r="F2876" s="211" t="s">
        <v>7365</v>
      </c>
    </row>
    <row r="2877" spans="1:6">
      <c r="A2877" s="211" t="s">
        <v>5835</v>
      </c>
      <c r="B2877" s="211">
        <v>7193</v>
      </c>
      <c r="C2877" s="211">
        <v>988</v>
      </c>
      <c r="D2877" s="211" t="s">
        <v>1255</v>
      </c>
      <c r="E2877" s="211" t="s">
        <v>10385</v>
      </c>
      <c r="F2877" s="211" t="s">
        <v>7235</v>
      </c>
    </row>
    <row r="2878" spans="1:6">
      <c r="A2878" s="211" t="s">
        <v>1597</v>
      </c>
      <c r="B2878" s="211">
        <v>3803</v>
      </c>
      <c r="C2878" s="211">
        <v>2038</v>
      </c>
      <c r="D2878" s="211" t="s">
        <v>1255</v>
      </c>
      <c r="E2878" s="211" t="s">
        <v>1598</v>
      </c>
      <c r="F2878" s="211" t="s">
        <v>7320</v>
      </c>
    </row>
    <row r="2879" spans="1:6">
      <c r="A2879" s="211" t="s">
        <v>5064</v>
      </c>
      <c r="B2879" s="211">
        <v>6843</v>
      </c>
      <c r="C2879" s="211">
        <v>895</v>
      </c>
      <c r="D2879" s="211" t="s">
        <v>1255</v>
      </c>
      <c r="E2879" s="211" t="s">
        <v>5836</v>
      </c>
      <c r="F2879" s="211" t="s">
        <v>7659</v>
      </c>
    </row>
    <row r="2880" spans="1:6">
      <c r="A2880" s="211" t="s">
        <v>1599</v>
      </c>
      <c r="B2880" s="211">
        <v>5053</v>
      </c>
      <c r="C2880" s="211">
        <v>1846</v>
      </c>
      <c r="D2880" s="211" t="s">
        <v>1255</v>
      </c>
      <c r="E2880" s="211" t="s">
        <v>10385</v>
      </c>
      <c r="F2880" s="211" t="s">
        <v>7342</v>
      </c>
    </row>
    <row r="2881" spans="1:6">
      <c r="A2881" s="211" t="s">
        <v>1600</v>
      </c>
      <c r="B2881" s="211">
        <v>2122</v>
      </c>
      <c r="C2881" s="211">
        <v>1264</v>
      </c>
      <c r="D2881" s="211" t="s">
        <v>1255</v>
      </c>
      <c r="E2881" s="211" t="s">
        <v>10385</v>
      </c>
      <c r="F2881" s="211" t="s">
        <v>7171</v>
      </c>
    </row>
    <row r="2882" spans="1:6">
      <c r="A2882" s="211" t="s">
        <v>5837</v>
      </c>
      <c r="B2882" s="211">
        <v>7276</v>
      </c>
      <c r="C2882" s="211">
        <v>1301</v>
      </c>
      <c r="D2882" s="211" t="s">
        <v>1255</v>
      </c>
      <c r="E2882" s="211" t="s">
        <v>10636</v>
      </c>
      <c r="F2882" s="211" t="s">
        <v>7430</v>
      </c>
    </row>
    <row r="2883" spans="1:6">
      <c r="A2883" s="211" t="s">
        <v>6809</v>
      </c>
      <c r="B2883" s="211">
        <v>7044</v>
      </c>
      <c r="C2883" s="211">
        <v>1754</v>
      </c>
      <c r="D2883" s="211" t="s">
        <v>1255</v>
      </c>
      <c r="E2883" s="211" t="s">
        <v>6810</v>
      </c>
      <c r="F2883" s="211" t="s">
        <v>7320</v>
      </c>
    </row>
    <row r="2884" spans="1:6">
      <c r="A2884" s="211" t="s">
        <v>6811</v>
      </c>
      <c r="B2884" s="211">
        <v>7781</v>
      </c>
      <c r="C2884" s="211">
        <v>1148</v>
      </c>
      <c r="D2884" s="211" t="s">
        <v>1255</v>
      </c>
      <c r="E2884" s="211" t="s">
        <v>10637</v>
      </c>
      <c r="F2884" s="211" t="s">
        <v>7301</v>
      </c>
    </row>
    <row r="2885" spans="1:6">
      <c r="A2885" s="211" t="s">
        <v>1601</v>
      </c>
      <c r="B2885" s="211">
        <v>3014</v>
      </c>
      <c r="C2885" s="211">
        <v>1098</v>
      </c>
      <c r="D2885" s="211" t="s">
        <v>1255</v>
      </c>
      <c r="E2885" s="211" t="s">
        <v>10385</v>
      </c>
      <c r="F2885" s="211" t="s">
        <v>7240</v>
      </c>
    </row>
    <row r="2886" spans="1:6">
      <c r="A2886" s="211" t="s">
        <v>10638</v>
      </c>
      <c r="B2886" s="211">
        <v>8597</v>
      </c>
      <c r="C2886" s="211">
        <v>947</v>
      </c>
      <c r="D2886" s="211" t="s">
        <v>1255</v>
      </c>
      <c r="E2886" s="211" t="s">
        <v>10385</v>
      </c>
      <c r="F2886" s="211" t="s">
        <v>7246</v>
      </c>
    </row>
    <row r="2887" spans="1:6">
      <c r="A2887" s="211" t="s">
        <v>7978</v>
      </c>
      <c r="B2887" s="211">
        <v>4197</v>
      </c>
      <c r="C2887" s="211" t="s">
        <v>10385</v>
      </c>
      <c r="D2887" s="211" t="s">
        <v>1255</v>
      </c>
      <c r="E2887" s="211" t="s">
        <v>10385</v>
      </c>
      <c r="F2887" s="211" t="s">
        <v>7402</v>
      </c>
    </row>
    <row r="2888" spans="1:6">
      <c r="A2888" s="211" t="s">
        <v>7979</v>
      </c>
      <c r="B2888" s="211">
        <v>5547</v>
      </c>
      <c r="C2888" s="211" t="s">
        <v>10385</v>
      </c>
      <c r="D2888" s="211" t="s">
        <v>1255</v>
      </c>
      <c r="E2888" s="211" t="s">
        <v>10385</v>
      </c>
      <c r="F2888" s="211" t="s">
        <v>7479</v>
      </c>
    </row>
    <row r="2889" spans="1:6">
      <c r="A2889" s="211" t="s">
        <v>1602</v>
      </c>
      <c r="B2889" s="211">
        <v>3494</v>
      </c>
      <c r="C2889" s="211">
        <v>1101</v>
      </c>
      <c r="D2889" s="211" t="s">
        <v>1255</v>
      </c>
      <c r="E2889" s="211" t="s">
        <v>10385</v>
      </c>
      <c r="F2889" s="211" t="s">
        <v>7241</v>
      </c>
    </row>
    <row r="2890" spans="1:6">
      <c r="A2890" s="211" t="s">
        <v>7980</v>
      </c>
      <c r="B2890" s="211">
        <v>1017</v>
      </c>
      <c r="C2890" s="211" t="s">
        <v>10385</v>
      </c>
      <c r="D2890" s="211" t="s">
        <v>1255</v>
      </c>
      <c r="E2890" s="211" t="s">
        <v>10385</v>
      </c>
      <c r="F2890" s="211" t="s">
        <v>7233</v>
      </c>
    </row>
    <row r="2891" spans="1:6">
      <c r="A2891" s="211" t="s">
        <v>1603</v>
      </c>
      <c r="B2891" s="211">
        <v>2461</v>
      </c>
      <c r="C2891" s="211">
        <v>1913</v>
      </c>
      <c r="D2891" s="211" t="s">
        <v>1255</v>
      </c>
      <c r="E2891" s="211" t="s">
        <v>10385</v>
      </c>
      <c r="F2891" s="211" t="s">
        <v>7201</v>
      </c>
    </row>
    <row r="2892" spans="1:6">
      <c r="A2892" s="211" t="s">
        <v>1604</v>
      </c>
      <c r="B2892" s="211">
        <v>3201</v>
      </c>
      <c r="C2892" s="211">
        <v>1363</v>
      </c>
      <c r="D2892" s="211" t="s">
        <v>1255</v>
      </c>
      <c r="E2892" s="211" t="s">
        <v>10385</v>
      </c>
      <c r="F2892" s="211" t="s">
        <v>7382</v>
      </c>
    </row>
    <row r="2893" spans="1:6">
      <c r="A2893" s="211" t="s">
        <v>1605</v>
      </c>
      <c r="B2893" s="211">
        <v>3075</v>
      </c>
      <c r="C2893" s="211">
        <v>849</v>
      </c>
      <c r="D2893" s="211" t="s">
        <v>1255</v>
      </c>
      <c r="E2893" s="211" t="s">
        <v>10385</v>
      </c>
      <c r="F2893" s="211" t="s">
        <v>7538</v>
      </c>
    </row>
    <row r="2894" spans="1:6">
      <c r="A2894" s="211" t="s">
        <v>1606</v>
      </c>
      <c r="B2894" s="211">
        <v>4866</v>
      </c>
      <c r="C2894" s="211">
        <v>999</v>
      </c>
      <c r="D2894" s="211" t="s">
        <v>1255</v>
      </c>
      <c r="E2894" s="211" t="s">
        <v>10385</v>
      </c>
      <c r="F2894" s="211" t="s">
        <v>7189</v>
      </c>
    </row>
    <row r="2895" spans="1:6">
      <c r="A2895" s="211" t="s">
        <v>1607</v>
      </c>
      <c r="B2895" s="211">
        <v>2373</v>
      </c>
      <c r="C2895" s="211">
        <v>947</v>
      </c>
      <c r="D2895" s="211" t="s">
        <v>1255</v>
      </c>
      <c r="E2895" s="211" t="s">
        <v>10385</v>
      </c>
      <c r="F2895" s="211" t="s">
        <v>7330</v>
      </c>
    </row>
    <row r="2896" spans="1:6">
      <c r="A2896" s="211" t="s">
        <v>7981</v>
      </c>
      <c r="B2896" s="211">
        <v>412</v>
      </c>
      <c r="C2896" s="211" t="s">
        <v>10385</v>
      </c>
      <c r="D2896" s="211" t="s">
        <v>1255</v>
      </c>
      <c r="E2896" s="211" t="s">
        <v>10385</v>
      </c>
      <c r="F2896" s="211" t="s">
        <v>7196</v>
      </c>
    </row>
    <row r="2897" spans="1:6">
      <c r="A2897" s="211" t="s">
        <v>10385</v>
      </c>
      <c r="B2897" s="211">
        <v>8200</v>
      </c>
      <c r="C2897" s="211" t="s">
        <v>10385</v>
      </c>
      <c r="D2897" s="211" t="s">
        <v>1255</v>
      </c>
      <c r="E2897" s="211" t="s">
        <v>9462</v>
      </c>
      <c r="F2897" s="211" t="s">
        <v>7217</v>
      </c>
    </row>
    <row r="2898" spans="1:6">
      <c r="A2898" s="211" t="s">
        <v>6812</v>
      </c>
      <c r="B2898" s="211">
        <v>7780</v>
      </c>
      <c r="C2898" s="211">
        <v>951</v>
      </c>
      <c r="D2898" s="211" t="s">
        <v>1255</v>
      </c>
      <c r="E2898" s="211" t="s">
        <v>6813</v>
      </c>
      <c r="F2898" s="211" t="s">
        <v>7444</v>
      </c>
    </row>
    <row r="2899" spans="1:6">
      <c r="A2899" s="211" t="s">
        <v>10639</v>
      </c>
      <c r="B2899" s="211">
        <v>8755</v>
      </c>
      <c r="C2899" s="211">
        <v>737</v>
      </c>
      <c r="D2899" s="211" t="s">
        <v>1117</v>
      </c>
      <c r="E2899" s="211" t="s">
        <v>10640</v>
      </c>
      <c r="F2899" s="211" t="s">
        <v>7208</v>
      </c>
    </row>
    <row r="2900" spans="1:6">
      <c r="A2900" s="211" t="s">
        <v>7982</v>
      </c>
      <c r="B2900" s="211">
        <v>702</v>
      </c>
      <c r="C2900" s="211" t="s">
        <v>10385</v>
      </c>
      <c r="D2900" s="211" t="s">
        <v>1255</v>
      </c>
      <c r="E2900" s="211" t="s">
        <v>10385</v>
      </c>
      <c r="F2900" s="211" t="s">
        <v>7239</v>
      </c>
    </row>
    <row r="2901" spans="1:6">
      <c r="A2901" s="211" t="s">
        <v>1608</v>
      </c>
      <c r="B2901" s="211">
        <v>5307</v>
      </c>
      <c r="C2901" s="211">
        <v>1113</v>
      </c>
      <c r="D2901" s="211" t="s">
        <v>1255</v>
      </c>
      <c r="E2901" s="211" t="s">
        <v>10641</v>
      </c>
      <c r="F2901" s="211" t="s">
        <v>7446</v>
      </c>
    </row>
    <row r="2902" spans="1:6">
      <c r="A2902" s="211" t="s">
        <v>5065</v>
      </c>
      <c r="B2902" s="211">
        <v>6905</v>
      </c>
      <c r="C2902" s="211">
        <v>1347</v>
      </c>
      <c r="D2902" s="211" t="s">
        <v>1255</v>
      </c>
      <c r="E2902" s="211" t="s">
        <v>5838</v>
      </c>
      <c r="F2902" s="211" t="s">
        <v>7383</v>
      </c>
    </row>
    <row r="2903" spans="1:6">
      <c r="A2903" s="211" t="s">
        <v>10642</v>
      </c>
      <c r="B2903" s="211">
        <v>8739</v>
      </c>
      <c r="C2903" s="211">
        <v>1066</v>
      </c>
      <c r="D2903" s="211" t="s">
        <v>1255</v>
      </c>
      <c r="E2903" s="211" t="s">
        <v>10643</v>
      </c>
      <c r="F2903" s="211" t="s">
        <v>7483</v>
      </c>
    </row>
    <row r="2904" spans="1:6">
      <c r="A2904" s="211" t="s">
        <v>1609</v>
      </c>
      <c r="B2904" s="211">
        <v>1252</v>
      </c>
      <c r="C2904" s="211">
        <v>796</v>
      </c>
      <c r="D2904" s="211" t="s">
        <v>1117</v>
      </c>
      <c r="E2904" s="211" t="s">
        <v>10385</v>
      </c>
      <c r="F2904" s="211" t="s">
        <v>7261</v>
      </c>
    </row>
    <row r="2905" spans="1:6">
      <c r="A2905" s="211" t="s">
        <v>7983</v>
      </c>
      <c r="B2905" s="211">
        <v>1593</v>
      </c>
      <c r="C2905" s="211" t="s">
        <v>10385</v>
      </c>
      <c r="D2905" s="211" t="s">
        <v>1255</v>
      </c>
      <c r="E2905" s="211" t="s">
        <v>10385</v>
      </c>
      <c r="F2905" s="211" t="s">
        <v>7356</v>
      </c>
    </row>
    <row r="2906" spans="1:6">
      <c r="A2906" s="211" t="s">
        <v>7984</v>
      </c>
      <c r="B2906" s="211">
        <v>552</v>
      </c>
      <c r="C2906" s="211" t="s">
        <v>10385</v>
      </c>
      <c r="D2906" s="211" t="s">
        <v>1255</v>
      </c>
      <c r="E2906" s="211" t="s">
        <v>10385</v>
      </c>
      <c r="F2906" s="211" t="s">
        <v>7592</v>
      </c>
    </row>
    <row r="2907" spans="1:6">
      <c r="A2907" s="211" t="s">
        <v>9463</v>
      </c>
      <c r="B2907" s="211">
        <v>8327</v>
      </c>
      <c r="C2907" s="211">
        <v>1651</v>
      </c>
      <c r="D2907" s="211" t="s">
        <v>1255</v>
      </c>
      <c r="E2907" s="211" t="s">
        <v>9464</v>
      </c>
      <c r="F2907" s="211" t="s">
        <v>9211</v>
      </c>
    </row>
    <row r="2908" spans="1:6">
      <c r="A2908" s="211" t="s">
        <v>9465</v>
      </c>
      <c r="B2908" s="211">
        <v>8258</v>
      </c>
      <c r="C2908" s="211">
        <v>1799</v>
      </c>
      <c r="D2908" s="211" t="s">
        <v>1255</v>
      </c>
      <c r="E2908" s="211" t="s">
        <v>9466</v>
      </c>
      <c r="F2908" s="211" t="s">
        <v>7283</v>
      </c>
    </row>
    <row r="2909" spans="1:6">
      <c r="A2909" s="211" t="s">
        <v>7985</v>
      </c>
      <c r="B2909" s="211">
        <v>1464</v>
      </c>
      <c r="C2909" s="211" t="s">
        <v>10385</v>
      </c>
      <c r="D2909" s="211" t="s">
        <v>1255</v>
      </c>
      <c r="E2909" s="211" t="s">
        <v>10385</v>
      </c>
      <c r="F2909" s="211" t="s">
        <v>7797</v>
      </c>
    </row>
    <row r="2910" spans="1:6">
      <c r="A2910" s="211" t="s">
        <v>9467</v>
      </c>
      <c r="B2910" s="211">
        <v>7901</v>
      </c>
      <c r="C2910" s="211">
        <v>1896</v>
      </c>
      <c r="D2910" s="211" t="s">
        <v>1117</v>
      </c>
      <c r="E2910" s="211" t="s">
        <v>9468</v>
      </c>
      <c r="F2910" s="211" t="s">
        <v>9469</v>
      </c>
    </row>
    <row r="2911" spans="1:6">
      <c r="A2911" s="211" t="s">
        <v>1610</v>
      </c>
      <c r="B2911" s="211">
        <v>2004</v>
      </c>
      <c r="C2911" s="211">
        <v>1026</v>
      </c>
      <c r="D2911" s="211" t="s">
        <v>1255</v>
      </c>
      <c r="E2911" s="211" t="s">
        <v>10385</v>
      </c>
      <c r="F2911" s="211" t="s">
        <v>7965</v>
      </c>
    </row>
    <row r="2912" spans="1:6">
      <c r="A2912" s="211" t="s">
        <v>7986</v>
      </c>
      <c r="B2912" s="211">
        <v>1719</v>
      </c>
      <c r="C2912" s="211" t="s">
        <v>10385</v>
      </c>
      <c r="D2912" s="211" t="s">
        <v>1255</v>
      </c>
      <c r="E2912" s="211" t="s">
        <v>10385</v>
      </c>
      <c r="F2912" s="211" t="s">
        <v>7354</v>
      </c>
    </row>
    <row r="2913" spans="1:6">
      <c r="A2913" s="211" t="s">
        <v>4845</v>
      </c>
      <c r="B2913" s="211">
        <v>6071</v>
      </c>
      <c r="C2913" s="211">
        <v>1281</v>
      </c>
      <c r="D2913" s="211" t="s">
        <v>1255</v>
      </c>
      <c r="E2913" s="211" t="s">
        <v>10385</v>
      </c>
      <c r="F2913" s="211" t="s">
        <v>7250</v>
      </c>
    </row>
    <row r="2914" spans="1:6">
      <c r="A2914" s="211" t="s">
        <v>5839</v>
      </c>
      <c r="B2914" s="211">
        <v>7260</v>
      </c>
      <c r="C2914" s="211">
        <v>684</v>
      </c>
      <c r="D2914" s="211" t="s">
        <v>1255</v>
      </c>
      <c r="E2914" s="211" t="s">
        <v>5840</v>
      </c>
      <c r="F2914" s="211" t="s">
        <v>7403</v>
      </c>
    </row>
    <row r="2915" spans="1:6">
      <c r="A2915" s="211" t="s">
        <v>1611</v>
      </c>
      <c r="B2915" s="211">
        <v>5111</v>
      </c>
      <c r="C2915" s="211">
        <v>1655</v>
      </c>
      <c r="D2915" s="211" t="s">
        <v>1255</v>
      </c>
      <c r="E2915" s="211" t="s">
        <v>6814</v>
      </c>
      <c r="F2915" s="211" t="s">
        <v>7383</v>
      </c>
    </row>
    <row r="2916" spans="1:6">
      <c r="A2916" s="211" t="s">
        <v>3029</v>
      </c>
      <c r="B2916" s="211">
        <v>1481</v>
      </c>
      <c r="C2916" s="211">
        <v>993</v>
      </c>
      <c r="D2916" s="211" t="s">
        <v>1117</v>
      </c>
      <c r="E2916" s="211" t="s">
        <v>10385</v>
      </c>
      <c r="F2916" s="211" t="s">
        <v>7384</v>
      </c>
    </row>
    <row r="2917" spans="1:6">
      <c r="A2917" s="211" t="s">
        <v>663</v>
      </c>
      <c r="B2917" s="211">
        <v>4641</v>
      </c>
      <c r="C2917" s="211">
        <v>1025</v>
      </c>
      <c r="D2917" s="211" t="s">
        <v>1255</v>
      </c>
      <c r="E2917" s="211" t="s">
        <v>10385</v>
      </c>
      <c r="F2917" s="211" t="s">
        <v>7173</v>
      </c>
    </row>
    <row r="2918" spans="1:6">
      <c r="A2918" s="211" t="s">
        <v>5841</v>
      </c>
      <c r="B2918" s="211">
        <v>7345</v>
      </c>
      <c r="C2918" s="211">
        <v>2339</v>
      </c>
      <c r="D2918" s="211" t="s">
        <v>1255</v>
      </c>
      <c r="E2918" s="211" t="s">
        <v>9470</v>
      </c>
      <c r="F2918" s="211" t="s">
        <v>7238</v>
      </c>
    </row>
    <row r="2919" spans="1:6">
      <c r="A2919" s="211" t="s">
        <v>7987</v>
      </c>
      <c r="B2919" s="211">
        <v>7212</v>
      </c>
      <c r="C2919" s="211">
        <v>1591</v>
      </c>
      <c r="D2919" s="211" t="s">
        <v>1255</v>
      </c>
      <c r="E2919" s="211" t="s">
        <v>10385</v>
      </c>
      <c r="F2919" s="211" t="s">
        <v>7272</v>
      </c>
    </row>
    <row r="2920" spans="1:6">
      <c r="A2920" s="211" t="s">
        <v>8924</v>
      </c>
      <c r="B2920" s="211">
        <v>499</v>
      </c>
      <c r="C2920" s="211">
        <v>1579</v>
      </c>
      <c r="D2920" s="211" t="s">
        <v>1117</v>
      </c>
      <c r="E2920" s="211" t="s">
        <v>10385</v>
      </c>
      <c r="F2920" s="211" t="s">
        <v>7177</v>
      </c>
    </row>
    <row r="2921" spans="1:6">
      <c r="A2921" s="211" t="s">
        <v>8925</v>
      </c>
      <c r="B2921" s="211">
        <v>1150</v>
      </c>
      <c r="C2921" s="211" t="s">
        <v>10385</v>
      </c>
      <c r="D2921" s="211" t="s">
        <v>1255</v>
      </c>
      <c r="E2921" s="211" t="s">
        <v>10385</v>
      </c>
      <c r="F2921" s="211" t="s">
        <v>7223</v>
      </c>
    </row>
    <row r="2922" spans="1:6">
      <c r="A2922" s="211" t="s">
        <v>7988</v>
      </c>
      <c r="B2922" s="211">
        <v>6020</v>
      </c>
      <c r="C2922" s="211" t="s">
        <v>10385</v>
      </c>
      <c r="D2922" s="211" t="s">
        <v>1255</v>
      </c>
      <c r="E2922" s="211" t="s">
        <v>10385</v>
      </c>
      <c r="F2922" s="211" t="s">
        <v>7249</v>
      </c>
    </row>
    <row r="2923" spans="1:6">
      <c r="A2923" s="211" t="s">
        <v>7989</v>
      </c>
      <c r="B2923" s="211">
        <v>5785</v>
      </c>
      <c r="C2923" s="211" t="s">
        <v>10385</v>
      </c>
      <c r="D2923" s="211" t="s">
        <v>1255</v>
      </c>
      <c r="E2923" s="211" t="s">
        <v>10385</v>
      </c>
      <c r="F2923" s="211" t="s">
        <v>7165</v>
      </c>
    </row>
    <row r="2924" spans="1:6">
      <c r="A2924" s="211" t="s">
        <v>5842</v>
      </c>
      <c r="B2924" s="211">
        <v>7171</v>
      </c>
      <c r="C2924" s="211">
        <v>822</v>
      </c>
      <c r="D2924" s="211" t="s">
        <v>1255</v>
      </c>
      <c r="E2924" s="211" t="s">
        <v>5843</v>
      </c>
      <c r="F2924" s="211" t="s">
        <v>7583</v>
      </c>
    </row>
    <row r="2925" spans="1:6">
      <c r="A2925" s="211" t="s">
        <v>664</v>
      </c>
      <c r="B2925" s="211">
        <v>4735</v>
      </c>
      <c r="C2925" s="211">
        <v>1475</v>
      </c>
      <c r="D2925" s="211" t="s">
        <v>1255</v>
      </c>
      <c r="E2925" s="211" t="s">
        <v>10385</v>
      </c>
      <c r="F2925" s="211" t="s">
        <v>7341</v>
      </c>
    </row>
    <row r="2926" spans="1:6">
      <c r="A2926" s="211" t="s">
        <v>9471</v>
      </c>
      <c r="B2926" s="211">
        <v>8198</v>
      </c>
      <c r="C2926" s="211">
        <v>1014</v>
      </c>
      <c r="D2926" s="211" t="s">
        <v>1117</v>
      </c>
      <c r="E2926" s="211" t="s">
        <v>9391</v>
      </c>
      <c r="F2926" s="211" t="s">
        <v>7217</v>
      </c>
    </row>
    <row r="2927" spans="1:6">
      <c r="A2927" s="211" t="s">
        <v>7990</v>
      </c>
      <c r="B2927" s="211">
        <v>7549</v>
      </c>
      <c r="C2927" s="211">
        <v>771</v>
      </c>
      <c r="D2927" s="211" t="s">
        <v>1255</v>
      </c>
      <c r="E2927" s="211" t="s">
        <v>10385</v>
      </c>
      <c r="F2927" s="211" t="s">
        <v>7583</v>
      </c>
    </row>
    <row r="2928" spans="1:6">
      <c r="A2928" s="211" t="s">
        <v>7991</v>
      </c>
      <c r="B2928" s="211">
        <v>1917</v>
      </c>
      <c r="C2928" s="211" t="s">
        <v>10385</v>
      </c>
      <c r="D2928" s="211" t="s">
        <v>1255</v>
      </c>
      <c r="E2928" s="211" t="s">
        <v>10385</v>
      </c>
      <c r="F2928" s="211" t="s">
        <v>7263</v>
      </c>
    </row>
    <row r="2929" spans="1:6">
      <c r="A2929" s="211" t="s">
        <v>665</v>
      </c>
      <c r="B2929" s="211">
        <v>2418</v>
      </c>
      <c r="C2929" s="211">
        <v>932</v>
      </c>
      <c r="D2929" s="211" t="s">
        <v>1117</v>
      </c>
      <c r="E2929" s="211" t="s">
        <v>10385</v>
      </c>
      <c r="F2929" s="211" t="s">
        <v>7167</v>
      </c>
    </row>
    <row r="2930" spans="1:6">
      <c r="A2930" s="211" t="s">
        <v>666</v>
      </c>
      <c r="B2930" s="211">
        <v>3998</v>
      </c>
      <c r="C2930" s="211">
        <v>1393</v>
      </c>
      <c r="D2930" s="211" t="s">
        <v>1255</v>
      </c>
      <c r="E2930" s="211" t="s">
        <v>10385</v>
      </c>
      <c r="F2930" s="211" t="s">
        <v>7657</v>
      </c>
    </row>
    <row r="2931" spans="1:6">
      <c r="A2931" s="211" t="s">
        <v>667</v>
      </c>
      <c r="B2931" s="211">
        <v>2294</v>
      </c>
      <c r="C2931" s="211">
        <v>1163</v>
      </c>
      <c r="D2931" s="211" t="s">
        <v>1255</v>
      </c>
      <c r="E2931" s="211" t="s">
        <v>10385</v>
      </c>
      <c r="F2931" s="211" t="s">
        <v>7331</v>
      </c>
    </row>
    <row r="2932" spans="1:6">
      <c r="A2932" s="211" t="s">
        <v>668</v>
      </c>
      <c r="B2932" s="211">
        <v>4771</v>
      </c>
      <c r="C2932" s="211">
        <v>1707</v>
      </c>
      <c r="D2932" s="211" t="s">
        <v>1255</v>
      </c>
      <c r="E2932" s="211" t="s">
        <v>10385</v>
      </c>
      <c r="F2932" s="211" t="s">
        <v>7241</v>
      </c>
    </row>
    <row r="2933" spans="1:6">
      <c r="A2933" s="211" t="s">
        <v>5844</v>
      </c>
      <c r="B2933" s="211">
        <v>7535</v>
      </c>
      <c r="C2933" s="211">
        <v>2304</v>
      </c>
      <c r="D2933" s="211" t="s">
        <v>1255</v>
      </c>
      <c r="E2933" s="211" t="s">
        <v>10385</v>
      </c>
      <c r="F2933" s="211" t="s">
        <v>7243</v>
      </c>
    </row>
    <row r="2934" spans="1:6">
      <c r="A2934" s="211" t="s">
        <v>9472</v>
      </c>
      <c r="B2934" s="211">
        <v>8244</v>
      </c>
      <c r="C2934" s="211">
        <v>891</v>
      </c>
      <c r="D2934" s="211" t="s">
        <v>1117</v>
      </c>
      <c r="E2934" s="211" t="s">
        <v>10644</v>
      </c>
      <c r="F2934" s="211" t="s">
        <v>7384</v>
      </c>
    </row>
    <row r="2935" spans="1:6">
      <c r="A2935" s="211" t="s">
        <v>669</v>
      </c>
      <c r="B2935" s="211">
        <v>5784</v>
      </c>
      <c r="C2935" s="211">
        <v>1373</v>
      </c>
      <c r="D2935" s="211" t="s">
        <v>1255</v>
      </c>
      <c r="E2935" s="211" t="s">
        <v>10385</v>
      </c>
      <c r="F2935" s="211" t="s">
        <v>7165</v>
      </c>
    </row>
    <row r="2936" spans="1:6">
      <c r="A2936" s="211" t="s">
        <v>9473</v>
      </c>
      <c r="B2936" s="211">
        <v>8455</v>
      </c>
      <c r="C2936" s="211">
        <v>1751</v>
      </c>
      <c r="D2936" s="211" t="s">
        <v>1255</v>
      </c>
      <c r="E2936" s="211" t="s">
        <v>9474</v>
      </c>
      <c r="F2936" s="211" t="s">
        <v>7425</v>
      </c>
    </row>
    <row r="2937" spans="1:6">
      <c r="A2937" s="211" t="s">
        <v>9475</v>
      </c>
      <c r="B2937" s="211">
        <v>7895</v>
      </c>
      <c r="C2937" s="211">
        <v>948</v>
      </c>
      <c r="D2937" s="211" t="s">
        <v>1117</v>
      </c>
      <c r="E2937" s="211" t="s">
        <v>10645</v>
      </c>
      <c r="F2937" s="211" t="s">
        <v>7224</v>
      </c>
    </row>
    <row r="2938" spans="1:6">
      <c r="A2938" s="211" t="s">
        <v>5845</v>
      </c>
      <c r="B2938" s="211">
        <v>7259</v>
      </c>
      <c r="C2938" s="211">
        <v>696</v>
      </c>
      <c r="D2938" s="211" t="s">
        <v>1255</v>
      </c>
      <c r="E2938" s="211" t="s">
        <v>10385</v>
      </c>
      <c r="F2938" s="211" t="s">
        <v>7403</v>
      </c>
    </row>
    <row r="2939" spans="1:6">
      <c r="A2939" s="211" t="s">
        <v>9476</v>
      </c>
      <c r="B2939" s="211">
        <v>8222</v>
      </c>
      <c r="C2939" s="211">
        <v>1800</v>
      </c>
      <c r="D2939" s="211" t="s">
        <v>1255</v>
      </c>
      <c r="E2939" s="211" t="s">
        <v>9477</v>
      </c>
      <c r="F2939" s="211" t="s">
        <v>7240</v>
      </c>
    </row>
    <row r="2940" spans="1:6">
      <c r="A2940" s="211" t="s">
        <v>670</v>
      </c>
      <c r="B2940" s="211">
        <v>2709</v>
      </c>
      <c r="C2940" s="211">
        <v>1970</v>
      </c>
      <c r="D2940" s="211" t="s">
        <v>1255</v>
      </c>
      <c r="E2940" s="211" t="s">
        <v>10385</v>
      </c>
      <c r="F2940" s="211" t="s">
        <v>7365</v>
      </c>
    </row>
    <row r="2941" spans="1:6">
      <c r="A2941" s="211" t="s">
        <v>7992</v>
      </c>
      <c r="B2941" s="211">
        <v>3861</v>
      </c>
      <c r="C2941" s="211" t="s">
        <v>10385</v>
      </c>
      <c r="D2941" s="211" t="s">
        <v>1117</v>
      </c>
      <c r="E2941" s="211" t="s">
        <v>10385</v>
      </c>
      <c r="F2941" s="211" t="s">
        <v>7334</v>
      </c>
    </row>
    <row r="2942" spans="1:6">
      <c r="A2942" s="211" t="s">
        <v>671</v>
      </c>
      <c r="B2942" s="211">
        <v>6715</v>
      </c>
      <c r="C2942" s="211">
        <v>1246</v>
      </c>
      <c r="D2942" s="211" t="s">
        <v>1117</v>
      </c>
      <c r="E2942" s="211" t="s">
        <v>10385</v>
      </c>
      <c r="F2942" s="211" t="s">
        <v>7246</v>
      </c>
    </row>
    <row r="2943" spans="1:6">
      <c r="A2943" s="211" t="s">
        <v>5066</v>
      </c>
      <c r="B2943" s="211">
        <v>7029</v>
      </c>
      <c r="C2943" s="211">
        <v>1160</v>
      </c>
      <c r="D2943" s="211" t="s">
        <v>1255</v>
      </c>
      <c r="E2943" s="211" t="s">
        <v>5846</v>
      </c>
      <c r="F2943" s="211" t="s">
        <v>7279</v>
      </c>
    </row>
    <row r="2944" spans="1:6">
      <c r="A2944" s="211" t="s">
        <v>672</v>
      </c>
      <c r="B2944" s="211">
        <v>4490</v>
      </c>
      <c r="C2944" s="211">
        <v>1641</v>
      </c>
      <c r="D2944" s="211" t="s">
        <v>1255</v>
      </c>
      <c r="E2944" s="211" t="s">
        <v>10385</v>
      </c>
      <c r="F2944" s="211" t="s">
        <v>7265</v>
      </c>
    </row>
    <row r="2945" spans="1:6">
      <c r="A2945" s="211" t="s">
        <v>673</v>
      </c>
      <c r="B2945" s="211">
        <v>5279</v>
      </c>
      <c r="C2945" s="211">
        <v>1313</v>
      </c>
      <c r="D2945" s="211" t="s">
        <v>1255</v>
      </c>
      <c r="E2945" s="211" t="s">
        <v>10385</v>
      </c>
      <c r="F2945" s="211" t="s">
        <v>7390</v>
      </c>
    </row>
    <row r="2946" spans="1:6">
      <c r="A2946" s="211" t="s">
        <v>674</v>
      </c>
      <c r="B2946" s="211">
        <v>5136</v>
      </c>
      <c r="C2946" s="211">
        <v>831</v>
      </c>
      <c r="D2946" s="211" t="s">
        <v>1117</v>
      </c>
      <c r="E2946" s="211" t="s">
        <v>10385</v>
      </c>
      <c r="F2946" s="211" t="s">
        <v>7277</v>
      </c>
    </row>
    <row r="2947" spans="1:6">
      <c r="A2947" s="211" t="s">
        <v>9478</v>
      </c>
      <c r="B2947" s="211">
        <v>8262</v>
      </c>
      <c r="C2947" s="211">
        <v>981</v>
      </c>
      <c r="D2947" s="211" t="s">
        <v>1255</v>
      </c>
      <c r="E2947" s="211" t="s">
        <v>6815</v>
      </c>
      <c r="F2947" s="211" t="s">
        <v>7583</v>
      </c>
    </row>
    <row r="2948" spans="1:6">
      <c r="A2948" s="211" t="s">
        <v>675</v>
      </c>
      <c r="B2948" s="211">
        <v>3190</v>
      </c>
      <c r="C2948" s="211">
        <v>1213</v>
      </c>
      <c r="D2948" s="211" t="s">
        <v>1255</v>
      </c>
      <c r="E2948" s="211" t="s">
        <v>10385</v>
      </c>
      <c r="F2948" s="211" t="s">
        <v>7430</v>
      </c>
    </row>
    <row r="2949" spans="1:6">
      <c r="A2949" s="211" t="s">
        <v>7993</v>
      </c>
      <c r="B2949" s="211">
        <v>5938</v>
      </c>
      <c r="C2949" s="211" t="s">
        <v>10385</v>
      </c>
      <c r="D2949" s="211" t="s">
        <v>1255</v>
      </c>
      <c r="E2949" s="211" t="s">
        <v>10385</v>
      </c>
      <c r="F2949" s="211" t="s">
        <v>7246</v>
      </c>
    </row>
    <row r="2950" spans="1:6">
      <c r="A2950" s="211" t="s">
        <v>676</v>
      </c>
      <c r="B2950" s="211">
        <v>4603</v>
      </c>
      <c r="C2950" s="211">
        <v>1763</v>
      </c>
      <c r="D2950" s="211" t="s">
        <v>1255</v>
      </c>
      <c r="E2950" s="211" t="s">
        <v>10385</v>
      </c>
      <c r="F2950" s="211" t="s">
        <v>7173</v>
      </c>
    </row>
    <row r="2951" spans="1:6">
      <c r="A2951" s="211" t="s">
        <v>7994</v>
      </c>
      <c r="B2951" s="211">
        <v>1893</v>
      </c>
      <c r="C2951" s="211" t="s">
        <v>10385</v>
      </c>
      <c r="D2951" s="211" t="s">
        <v>1117</v>
      </c>
      <c r="E2951" s="211" t="s">
        <v>10385</v>
      </c>
      <c r="F2951" s="211" t="s">
        <v>7173</v>
      </c>
    </row>
    <row r="2952" spans="1:6">
      <c r="A2952" s="211" t="s">
        <v>677</v>
      </c>
      <c r="B2952" s="211">
        <v>2099</v>
      </c>
      <c r="C2952" s="211">
        <v>1058</v>
      </c>
      <c r="D2952" s="211" t="s">
        <v>1255</v>
      </c>
      <c r="E2952" s="211" t="s">
        <v>10385</v>
      </c>
      <c r="F2952" s="211" t="s">
        <v>7219</v>
      </c>
    </row>
    <row r="2953" spans="1:6">
      <c r="A2953" s="211" t="s">
        <v>678</v>
      </c>
      <c r="B2953" s="211">
        <v>2232</v>
      </c>
      <c r="C2953" s="211">
        <v>1637</v>
      </c>
      <c r="D2953" s="211" t="s">
        <v>1255</v>
      </c>
      <c r="E2953" s="211" t="s">
        <v>10385</v>
      </c>
      <c r="F2953" s="211" t="s">
        <v>7383</v>
      </c>
    </row>
    <row r="2954" spans="1:6">
      <c r="A2954" s="211" t="s">
        <v>7995</v>
      </c>
      <c r="B2954" s="211">
        <v>1396</v>
      </c>
      <c r="C2954" s="211" t="s">
        <v>10385</v>
      </c>
      <c r="D2954" s="211" t="s">
        <v>1255</v>
      </c>
      <c r="E2954" s="211" t="s">
        <v>10385</v>
      </c>
      <c r="F2954" s="211" t="s">
        <v>7386</v>
      </c>
    </row>
    <row r="2955" spans="1:6">
      <c r="A2955" s="211" t="s">
        <v>9479</v>
      </c>
      <c r="B2955" s="211">
        <v>8051</v>
      </c>
      <c r="C2955" s="211">
        <v>737</v>
      </c>
      <c r="D2955" s="211" t="s">
        <v>1255</v>
      </c>
      <c r="E2955" s="211" t="s">
        <v>10646</v>
      </c>
      <c r="F2955" s="211" t="s">
        <v>7458</v>
      </c>
    </row>
    <row r="2956" spans="1:6">
      <c r="A2956" s="211" t="s">
        <v>679</v>
      </c>
      <c r="B2956" s="211">
        <v>760</v>
      </c>
      <c r="C2956" s="211">
        <v>994</v>
      </c>
      <c r="D2956" s="211" t="s">
        <v>1255</v>
      </c>
      <c r="E2956" s="211" t="s">
        <v>10385</v>
      </c>
      <c r="F2956" s="211" t="s">
        <v>7257</v>
      </c>
    </row>
    <row r="2957" spans="1:6">
      <c r="A2957" s="211" t="s">
        <v>680</v>
      </c>
      <c r="B2957" s="211">
        <v>4523</v>
      </c>
      <c r="C2957" s="211">
        <v>898</v>
      </c>
      <c r="D2957" s="211" t="s">
        <v>1117</v>
      </c>
      <c r="E2957" s="211" t="s">
        <v>6816</v>
      </c>
      <c r="F2957" s="211" t="s">
        <v>7257</v>
      </c>
    </row>
    <row r="2958" spans="1:6">
      <c r="A2958" s="211" t="s">
        <v>10647</v>
      </c>
      <c r="B2958" s="211">
        <v>8674</v>
      </c>
      <c r="C2958" s="211">
        <v>595</v>
      </c>
      <c r="D2958" s="211" t="s">
        <v>1255</v>
      </c>
      <c r="E2958" s="211" t="s">
        <v>10648</v>
      </c>
      <c r="F2958" s="211" t="s">
        <v>7501</v>
      </c>
    </row>
    <row r="2959" spans="1:6">
      <c r="A2959" s="211" t="s">
        <v>681</v>
      </c>
      <c r="B2959" s="211">
        <v>4956</v>
      </c>
      <c r="C2959" s="211">
        <v>1985</v>
      </c>
      <c r="D2959" s="211" t="s">
        <v>1117</v>
      </c>
      <c r="E2959" s="211" t="s">
        <v>9480</v>
      </c>
      <c r="F2959" s="211" t="s">
        <v>7247</v>
      </c>
    </row>
    <row r="2960" spans="1:6">
      <c r="A2960" s="211" t="s">
        <v>682</v>
      </c>
      <c r="B2960" s="211">
        <v>5121</v>
      </c>
      <c r="C2960" s="211">
        <v>1285</v>
      </c>
      <c r="D2960" s="211" t="s">
        <v>1255</v>
      </c>
      <c r="E2960" s="211" t="s">
        <v>10385</v>
      </c>
      <c r="F2960" s="211" t="s">
        <v>7225</v>
      </c>
    </row>
    <row r="2961" spans="1:6">
      <c r="A2961" s="211" t="s">
        <v>683</v>
      </c>
      <c r="B2961" s="211">
        <v>1244</v>
      </c>
      <c r="C2961" s="211">
        <v>810</v>
      </c>
      <c r="D2961" s="211" t="s">
        <v>1255</v>
      </c>
      <c r="E2961" s="211" t="s">
        <v>10385</v>
      </c>
      <c r="F2961" s="211" t="s">
        <v>7216</v>
      </c>
    </row>
    <row r="2962" spans="1:6">
      <c r="A2962" s="211" t="s">
        <v>684</v>
      </c>
      <c r="B2962" s="211">
        <v>4904</v>
      </c>
      <c r="C2962" s="211">
        <v>992</v>
      </c>
      <c r="D2962" s="211" t="s">
        <v>1255</v>
      </c>
      <c r="E2962" s="211" t="s">
        <v>10385</v>
      </c>
      <c r="F2962" s="211" t="s">
        <v>7335</v>
      </c>
    </row>
    <row r="2963" spans="1:6">
      <c r="A2963" s="211" t="s">
        <v>685</v>
      </c>
      <c r="B2963" s="211">
        <v>5607</v>
      </c>
      <c r="C2963" s="211">
        <v>1087</v>
      </c>
      <c r="D2963" s="211" t="s">
        <v>1255</v>
      </c>
      <c r="E2963" s="211" t="s">
        <v>10385</v>
      </c>
      <c r="F2963" s="211" t="s">
        <v>7380</v>
      </c>
    </row>
    <row r="2964" spans="1:6">
      <c r="A2964" s="211" t="s">
        <v>5847</v>
      </c>
      <c r="B2964" s="211">
        <v>7178</v>
      </c>
      <c r="C2964" s="211">
        <v>1952</v>
      </c>
      <c r="D2964" s="211" t="s">
        <v>1255</v>
      </c>
      <c r="E2964" s="211" t="s">
        <v>5848</v>
      </c>
      <c r="F2964" s="211" t="s">
        <v>7384</v>
      </c>
    </row>
    <row r="2965" spans="1:6">
      <c r="A2965" s="211" t="s">
        <v>5067</v>
      </c>
      <c r="B2965" s="211">
        <v>6962</v>
      </c>
      <c r="C2965" s="211">
        <v>1081</v>
      </c>
      <c r="D2965" s="211" t="s">
        <v>1255</v>
      </c>
      <c r="E2965" s="211" t="s">
        <v>10385</v>
      </c>
      <c r="F2965" s="211" t="s">
        <v>7656</v>
      </c>
    </row>
    <row r="2966" spans="1:6">
      <c r="A2966" s="211" t="s">
        <v>7996</v>
      </c>
      <c r="B2966" s="211">
        <v>4830</v>
      </c>
      <c r="C2966" s="211" t="s">
        <v>10385</v>
      </c>
      <c r="D2966" s="211" t="s">
        <v>1255</v>
      </c>
      <c r="E2966" s="211" t="s">
        <v>10385</v>
      </c>
      <c r="F2966" s="211" t="s">
        <v>7325</v>
      </c>
    </row>
    <row r="2967" spans="1:6">
      <c r="A2967" s="211" t="s">
        <v>686</v>
      </c>
      <c r="B2967" s="211">
        <v>4194</v>
      </c>
      <c r="C2967" s="211">
        <v>938</v>
      </c>
      <c r="D2967" s="211" t="s">
        <v>1255</v>
      </c>
      <c r="E2967" s="211" t="s">
        <v>10385</v>
      </c>
      <c r="F2967" s="211" t="s">
        <v>7402</v>
      </c>
    </row>
    <row r="2968" spans="1:6">
      <c r="A2968" s="211" t="s">
        <v>4636</v>
      </c>
      <c r="B2968" s="211">
        <v>6361</v>
      </c>
      <c r="C2968" s="211">
        <v>1104</v>
      </c>
      <c r="D2968" s="211" t="s">
        <v>1255</v>
      </c>
      <c r="E2968" s="211" t="s">
        <v>10385</v>
      </c>
      <c r="F2968" s="211" t="s">
        <v>7325</v>
      </c>
    </row>
    <row r="2969" spans="1:6">
      <c r="A2969" s="211" t="s">
        <v>687</v>
      </c>
      <c r="B2969" s="211">
        <v>2550</v>
      </c>
      <c r="C2969" s="211">
        <v>1037</v>
      </c>
      <c r="D2969" s="211" t="s">
        <v>1255</v>
      </c>
      <c r="E2969" s="211" t="s">
        <v>10385</v>
      </c>
      <c r="F2969" s="211" t="s">
        <v>7513</v>
      </c>
    </row>
    <row r="2970" spans="1:6">
      <c r="A2970" s="211" t="s">
        <v>688</v>
      </c>
      <c r="B2970" s="211">
        <v>4032</v>
      </c>
      <c r="C2970" s="211">
        <v>992</v>
      </c>
      <c r="D2970" s="211" t="s">
        <v>1255</v>
      </c>
      <c r="E2970" s="211" t="s">
        <v>10385</v>
      </c>
      <c r="F2970" s="211" t="s">
        <v>7221</v>
      </c>
    </row>
    <row r="2971" spans="1:6">
      <c r="A2971" s="211" t="s">
        <v>5068</v>
      </c>
      <c r="B2971" s="211">
        <v>6901</v>
      </c>
      <c r="C2971" s="211">
        <v>716</v>
      </c>
      <c r="D2971" s="211" t="s">
        <v>1117</v>
      </c>
      <c r="E2971" s="211" t="s">
        <v>10385</v>
      </c>
      <c r="F2971" s="211" t="s">
        <v>7536</v>
      </c>
    </row>
    <row r="2972" spans="1:6">
      <c r="A2972" s="211" t="s">
        <v>689</v>
      </c>
      <c r="B2972" s="211">
        <v>1014</v>
      </c>
      <c r="C2972" s="211">
        <v>1350</v>
      </c>
      <c r="D2972" s="211" t="s">
        <v>1255</v>
      </c>
      <c r="E2972" s="211" t="s">
        <v>10385</v>
      </c>
      <c r="F2972" s="211" t="s">
        <v>7323</v>
      </c>
    </row>
    <row r="2973" spans="1:6">
      <c r="A2973" s="211" t="s">
        <v>10649</v>
      </c>
      <c r="B2973" s="211">
        <v>8830</v>
      </c>
      <c r="C2973" s="211">
        <v>361</v>
      </c>
      <c r="D2973" s="211" t="s">
        <v>1255</v>
      </c>
      <c r="E2973" s="211" t="s">
        <v>10650</v>
      </c>
      <c r="F2973" s="211" t="s">
        <v>10408</v>
      </c>
    </row>
    <row r="2974" spans="1:6">
      <c r="A2974" s="211" t="s">
        <v>690</v>
      </c>
      <c r="B2974" s="211">
        <v>2380</v>
      </c>
      <c r="C2974" s="211">
        <v>751</v>
      </c>
      <c r="D2974" s="211" t="s">
        <v>1255</v>
      </c>
      <c r="E2974" s="211" t="s">
        <v>10385</v>
      </c>
      <c r="F2974" s="211" t="s">
        <v>7323</v>
      </c>
    </row>
    <row r="2975" spans="1:6">
      <c r="A2975" s="211" t="s">
        <v>5849</v>
      </c>
      <c r="B2975" s="211">
        <v>7496</v>
      </c>
      <c r="C2975" s="211">
        <v>846</v>
      </c>
      <c r="D2975" s="211" t="s">
        <v>1255</v>
      </c>
      <c r="E2975" s="211" t="s">
        <v>5850</v>
      </c>
      <c r="F2975" s="211" t="s">
        <v>7435</v>
      </c>
    </row>
    <row r="2976" spans="1:6">
      <c r="A2976" s="211" t="s">
        <v>691</v>
      </c>
      <c r="B2976" s="211">
        <v>960</v>
      </c>
      <c r="C2976" s="211">
        <v>1292</v>
      </c>
      <c r="D2976" s="211" t="s">
        <v>1255</v>
      </c>
      <c r="E2976" s="211" t="s">
        <v>10385</v>
      </c>
      <c r="F2976" s="211" t="s">
        <v>7627</v>
      </c>
    </row>
    <row r="2977" spans="1:6">
      <c r="A2977" s="211" t="s">
        <v>692</v>
      </c>
      <c r="B2977" s="211">
        <v>3107</v>
      </c>
      <c r="C2977" s="211">
        <v>800</v>
      </c>
      <c r="D2977" s="211" t="s">
        <v>1255</v>
      </c>
      <c r="E2977" s="211" t="s">
        <v>10385</v>
      </c>
      <c r="F2977" s="211" t="s">
        <v>7366</v>
      </c>
    </row>
    <row r="2978" spans="1:6">
      <c r="A2978" s="211" t="s">
        <v>693</v>
      </c>
      <c r="B2978" s="211">
        <v>5792</v>
      </c>
      <c r="C2978" s="211">
        <v>950</v>
      </c>
      <c r="D2978" s="211" t="s">
        <v>1117</v>
      </c>
      <c r="E2978" s="211" t="s">
        <v>10385</v>
      </c>
      <c r="F2978" s="211" t="s">
        <v>7364</v>
      </c>
    </row>
    <row r="2979" spans="1:6">
      <c r="A2979" s="211" t="s">
        <v>7997</v>
      </c>
      <c r="B2979" s="211">
        <v>5152</v>
      </c>
      <c r="C2979" s="211" t="s">
        <v>10385</v>
      </c>
      <c r="D2979" s="211" t="s">
        <v>1255</v>
      </c>
      <c r="E2979" s="211" t="s">
        <v>10385</v>
      </c>
      <c r="F2979" s="211" t="s">
        <v>7364</v>
      </c>
    </row>
    <row r="2980" spans="1:6">
      <c r="A2980" s="211" t="s">
        <v>5069</v>
      </c>
      <c r="B2980" s="211">
        <v>6708</v>
      </c>
      <c r="C2980" s="211">
        <v>1060</v>
      </c>
      <c r="D2980" s="211" t="s">
        <v>1255</v>
      </c>
      <c r="E2980" s="211" t="s">
        <v>6817</v>
      </c>
      <c r="F2980" s="211" t="s">
        <v>7322</v>
      </c>
    </row>
    <row r="2981" spans="1:6">
      <c r="A2981" s="211" t="s">
        <v>4712</v>
      </c>
      <c r="B2981" s="211">
        <v>6226</v>
      </c>
      <c r="C2981" s="211">
        <v>1383</v>
      </c>
      <c r="D2981" s="211" t="s">
        <v>1255</v>
      </c>
      <c r="E2981" s="211" t="s">
        <v>6818</v>
      </c>
      <c r="F2981" s="211" t="s">
        <v>7490</v>
      </c>
    </row>
    <row r="2982" spans="1:6">
      <c r="A2982" s="211" t="s">
        <v>694</v>
      </c>
      <c r="B2982" s="211">
        <v>908</v>
      </c>
      <c r="C2982" s="211">
        <v>1159</v>
      </c>
      <c r="D2982" s="211" t="s">
        <v>1255</v>
      </c>
      <c r="E2982" s="211" t="s">
        <v>10385</v>
      </c>
      <c r="F2982" s="211" t="s">
        <v>7210</v>
      </c>
    </row>
    <row r="2983" spans="1:6">
      <c r="A2983" s="211" t="s">
        <v>6819</v>
      </c>
      <c r="B2983" s="211">
        <v>7747</v>
      </c>
      <c r="C2983" s="211">
        <v>1082</v>
      </c>
      <c r="D2983" s="211" t="s">
        <v>1255</v>
      </c>
      <c r="E2983" s="211" t="s">
        <v>6820</v>
      </c>
      <c r="F2983" s="211" t="s">
        <v>7344</v>
      </c>
    </row>
    <row r="2984" spans="1:6">
      <c r="A2984" s="211" t="s">
        <v>5851</v>
      </c>
      <c r="B2984" s="211">
        <v>7119</v>
      </c>
      <c r="C2984" s="211">
        <v>960</v>
      </c>
      <c r="D2984" s="211" t="s">
        <v>1255</v>
      </c>
      <c r="E2984" s="211" t="s">
        <v>10385</v>
      </c>
      <c r="F2984" s="211" t="s">
        <v>7299</v>
      </c>
    </row>
    <row r="2985" spans="1:6">
      <c r="A2985" s="211" t="s">
        <v>695</v>
      </c>
      <c r="B2985" s="211">
        <v>2233</v>
      </c>
      <c r="C2985" s="211">
        <v>1007</v>
      </c>
      <c r="D2985" s="211" t="s">
        <v>1255</v>
      </c>
      <c r="E2985" s="211" t="s">
        <v>10385</v>
      </c>
      <c r="F2985" s="211" t="s">
        <v>7383</v>
      </c>
    </row>
    <row r="2986" spans="1:6">
      <c r="A2986" s="211" t="s">
        <v>6821</v>
      </c>
      <c r="B2986" s="211">
        <v>7794</v>
      </c>
      <c r="C2986" s="211">
        <v>1262</v>
      </c>
      <c r="D2986" s="211" t="s">
        <v>1255</v>
      </c>
      <c r="E2986" s="211" t="s">
        <v>10385</v>
      </c>
      <c r="F2986" s="211" t="s">
        <v>7233</v>
      </c>
    </row>
    <row r="2987" spans="1:6">
      <c r="A2987" s="211" t="s">
        <v>7998</v>
      </c>
      <c r="B2987" s="211">
        <v>511</v>
      </c>
      <c r="C2987" s="211" t="s">
        <v>10385</v>
      </c>
      <c r="D2987" s="211" t="s">
        <v>1255</v>
      </c>
      <c r="E2987" s="211" t="s">
        <v>10385</v>
      </c>
      <c r="F2987" s="211" t="s">
        <v>7337</v>
      </c>
    </row>
    <row r="2988" spans="1:6">
      <c r="A2988" s="211" t="s">
        <v>7999</v>
      </c>
      <c r="B2988" s="211">
        <v>164</v>
      </c>
      <c r="C2988" s="211" t="s">
        <v>10385</v>
      </c>
      <c r="D2988" s="211" t="s">
        <v>1255</v>
      </c>
      <c r="E2988" s="211" t="s">
        <v>10385</v>
      </c>
      <c r="F2988" s="211" t="s">
        <v>7239</v>
      </c>
    </row>
    <row r="2989" spans="1:6">
      <c r="A2989" s="211" t="s">
        <v>696</v>
      </c>
      <c r="B2989" s="211">
        <v>3867</v>
      </c>
      <c r="C2989" s="211">
        <v>846</v>
      </c>
      <c r="D2989" s="211" t="s">
        <v>1255</v>
      </c>
      <c r="E2989" s="211" t="s">
        <v>10385</v>
      </c>
      <c r="F2989" s="211" t="s">
        <v>7420</v>
      </c>
    </row>
    <row r="2990" spans="1:6">
      <c r="A2990" s="211" t="s">
        <v>8000</v>
      </c>
      <c r="B2990" s="211">
        <v>78</v>
      </c>
      <c r="C2990" s="211" t="s">
        <v>10385</v>
      </c>
      <c r="D2990" s="211" t="s">
        <v>1255</v>
      </c>
      <c r="E2990" s="211" t="s">
        <v>10385</v>
      </c>
      <c r="F2990" s="211" t="s">
        <v>7221</v>
      </c>
    </row>
    <row r="2991" spans="1:6">
      <c r="A2991" s="211" t="s">
        <v>697</v>
      </c>
      <c r="B2991" s="211">
        <v>4373</v>
      </c>
      <c r="C2991" s="211">
        <v>897</v>
      </c>
      <c r="D2991" s="211" t="s">
        <v>1255</v>
      </c>
      <c r="E2991" s="211" t="s">
        <v>10385</v>
      </c>
      <c r="F2991" s="211" t="s">
        <v>7364</v>
      </c>
    </row>
    <row r="2992" spans="1:6">
      <c r="A2992" s="211" t="s">
        <v>698</v>
      </c>
      <c r="B2992" s="211">
        <v>5237</v>
      </c>
      <c r="C2992" s="211">
        <v>1209</v>
      </c>
      <c r="D2992" s="211" t="s">
        <v>1255</v>
      </c>
      <c r="E2992" s="211" t="s">
        <v>10385</v>
      </c>
      <c r="F2992" s="211" t="s">
        <v>7760</v>
      </c>
    </row>
    <row r="2993" spans="1:6">
      <c r="A2993" s="211" t="s">
        <v>699</v>
      </c>
      <c r="B2993" s="211">
        <v>2980</v>
      </c>
      <c r="C2993" s="211">
        <v>1314</v>
      </c>
      <c r="D2993" s="211" t="s">
        <v>1255</v>
      </c>
      <c r="E2993" s="211" t="s">
        <v>10385</v>
      </c>
      <c r="F2993" s="211" t="s">
        <v>7286</v>
      </c>
    </row>
    <row r="2994" spans="1:6">
      <c r="A2994" s="211" t="s">
        <v>700</v>
      </c>
      <c r="B2994" s="211">
        <v>1188</v>
      </c>
      <c r="C2994" s="211">
        <v>1285</v>
      </c>
      <c r="D2994" s="211" t="s">
        <v>1255</v>
      </c>
      <c r="E2994" s="211" t="s">
        <v>10385</v>
      </c>
      <c r="F2994" s="211" t="s">
        <v>7177</v>
      </c>
    </row>
    <row r="2995" spans="1:6">
      <c r="A2995" s="211" t="s">
        <v>9481</v>
      </c>
      <c r="B2995" s="211">
        <v>8064</v>
      </c>
      <c r="C2995" s="211">
        <v>841</v>
      </c>
      <c r="D2995" s="211" t="s">
        <v>1255</v>
      </c>
      <c r="E2995" s="211" t="s">
        <v>10651</v>
      </c>
      <c r="F2995" s="211" t="s">
        <v>7331</v>
      </c>
    </row>
    <row r="2996" spans="1:6">
      <c r="A2996" s="211" t="s">
        <v>701</v>
      </c>
      <c r="B2996" s="211">
        <v>4987</v>
      </c>
      <c r="C2996" s="211">
        <v>1066</v>
      </c>
      <c r="D2996" s="211" t="s">
        <v>1255</v>
      </c>
      <c r="E2996" s="211" t="s">
        <v>10385</v>
      </c>
      <c r="F2996" s="211" t="s">
        <v>7479</v>
      </c>
    </row>
    <row r="2997" spans="1:6">
      <c r="A2997" s="211" t="s">
        <v>5322</v>
      </c>
      <c r="B2997" s="211">
        <v>6698</v>
      </c>
      <c r="C2997" s="211">
        <v>1069</v>
      </c>
      <c r="D2997" s="211" t="s">
        <v>1255</v>
      </c>
      <c r="E2997" s="211" t="s">
        <v>10385</v>
      </c>
      <c r="F2997" s="211" t="s">
        <v>7536</v>
      </c>
    </row>
    <row r="2998" spans="1:6">
      <c r="A2998" s="211" t="s">
        <v>8001</v>
      </c>
      <c r="B2998" s="211">
        <v>503</v>
      </c>
      <c r="C2998" s="211" t="s">
        <v>10385</v>
      </c>
      <c r="D2998" s="211" t="s">
        <v>1255</v>
      </c>
      <c r="E2998" s="211" t="s">
        <v>10385</v>
      </c>
      <c r="F2998" s="211" t="s">
        <v>7226</v>
      </c>
    </row>
    <row r="2999" spans="1:6">
      <c r="A2999" s="211" t="s">
        <v>702</v>
      </c>
      <c r="B2999" s="211">
        <v>951</v>
      </c>
      <c r="C2999" s="211">
        <v>1655</v>
      </c>
      <c r="D2999" s="211" t="s">
        <v>1255</v>
      </c>
      <c r="E2999" s="211" t="s">
        <v>10385</v>
      </c>
      <c r="F2999" s="211" t="s">
        <v>7627</v>
      </c>
    </row>
    <row r="3000" spans="1:6">
      <c r="A3000" s="211" t="s">
        <v>703</v>
      </c>
      <c r="B3000" s="211">
        <v>1658</v>
      </c>
      <c r="C3000" s="211">
        <v>992</v>
      </c>
      <c r="D3000" s="211" t="s">
        <v>1255</v>
      </c>
      <c r="E3000" s="211" t="s">
        <v>10385</v>
      </c>
      <c r="F3000" s="211" t="s">
        <v>7201</v>
      </c>
    </row>
    <row r="3001" spans="1:6">
      <c r="A3001" s="211" t="s">
        <v>704</v>
      </c>
      <c r="B3001" s="211">
        <v>2769</v>
      </c>
      <c r="C3001" s="211">
        <v>1899</v>
      </c>
      <c r="D3001" s="211" t="s">
        <v>1255</v>
      </c>
      <c r="E3001" s="211" t="s">
        <v>10385</v>
      </c>
      <c r="F3001" s="211" t="s">
        <v>7173</v>
      </c>
    </row>
    <row r="3002" spans="1:6">
      <c r="A3002" s="211" t="s">
        <v>705</v>
      </c>
      <c r="B3002" s="211">
        <v>3718</v>
      </c>
      <c r="C3002" s="211">
        <v>1478</v>
      </c>
      <c r="D3002" s="211" t="s">
        <v>1255</v>
      </c>
      <c r="E3002" s="211" t="s">
        <v>10385</v>
      </c>
      <c r="F3002" s="211" t="s">
        <v>7192</v>
      </c>
    </row>
    <row r="3003" spans="1:6">
      <c r="A3003" s="211" t="s">
        <v>706</v>
      </c>
      <c r="B3003" s="211">
        <v>5993</v>
      </c>
      <c r="C3003" s="211">
        <v>1356</v>
      </c>
      <c r="D3003" s="211" t="s">
        <v>1255</v>
      </c>
      <c r="E3003" s="211" t="s">
        <v>10385</v>
      </c>
      <c r="F3003" s="211" t="s">
        <v>7430</v>
      </c>
    </row>
    <row r="3004" spans="1:6">
      <c r="A3004" s="211" t="s">
        <v>707</v>
      </c>
      <c r="B3004" s="211">
        <v>5624</v>
      </c>
      <c r="C3004" s="211">
        <v>1781</v>
      </c>
      <c r="D3004" s="211" t="s">
        <v>1255</v>
      </c>
      <c r="E3004" s="211" t="s">
        <v>10385</v>
      </c>
      <c r="F3004" s="211" t="s">
        <v>7238</v>
      </c>
    </row>
    <row r="3005" spans="1:6">
      <c r="A3005" s="211" t="s">
        <v>708</v>
      </c>
      <c r="B3005" s="211">
        <v>1463</v>
      </c>
      <c r="C3005" s="211">
        <v>1655</v>
      </c>
      <c r="D3005" s="211" t="s">
        <v>1255</v>
      </c>
      <c r="E3005" s="211" t="s">
        <v>10385</v>
      </c>
      <c r="F3005" s="211" t="s">
        <v>7797</v>
      </c>
    </row>
    <row r="3006" spans="1:6">
      <c r="A3006" s="211" t="s">
        <v>709</v>
      </c>
      <c r="B3006" s="211">
        <v>1178</v>
      </c>
      <c r="C3006" s="211">
        <v>1348</v>
      </c>
      <c r="D3006" s="211" t="s">
        <v>1255</v>
      </c>
      <c r="E3006" s="211" t="s">
        <v>10385</v>
      </c>
      <c r="F3006" s="211" t="s">
        <v>7323</v>
      </c>
    </row>
    <row r="3007" spans="1:6">
      <c r="A3007" s="211" t="s">
        <v>8926</v>
      </c>
      <c r="B3007" s="211">
        <v>1080</v>
      </c>
      <c r="C3007" s="211">
        <v>1751</v>
      </c>
      <c r="D3007" s="211" t="s">
        <v>1255</v>
      </c>
      <c r="E3007" s="211" t="s">
        <v>10385</v>
      </c>
      <c r="F3007" s="211" t="s">
        <v>7232</v>
      </c>
    </row>
    <row r="3008" spans="1:6">
      <c r="A3008" s="211" t="s">
        <v>8927</v>
      </c>
      <c r="B3008" s="211">
        <v>5293</v>
      </c>
      <c r="C3008" s="211" t="s">
        <v>10385</v>
      </c>
      <c r="D3008" s="211" t="s">
        <v>1255</v>
      </c>
      <c r="E3008" s="211" t="s">
        <v>10385</v>
      </c>
      <c r="F3008" s="211" t="s">
        <v>7446</v>
      </c>
    </row>
    <row r="3009" spans="1:6">
      <c r="A3009" s="211" t="s">
        <v>4666</v>
      </c>
      <c r="B3009" s="211">
        <v>6403</v>
      </c>
      <c r="C3009" s="211">
        <v>1600</v>
      </c>
      <c r="D3009" s="211" t="s">
        <v>1255</v>
      </c>
      <c r="E3009" s="211" t="s">
        <v>10385</v>
      </c>
      <c r="F3009" s="211" t="s">
        <v>7167</v>
      </c>
    </row>
    <row r="3010" spans="1:6">
      <c r="A3010" s="211" t="s">
        <v>710</v>
      </c>
      <c r="B3010" s="211">
        <v>4276</v>
      </c>
      <c r="C3010" s="211">
        <v>1224</v>
      </c>
      <c r="D3010" s="211" t="s">
        <v>1255</v>
      </c>
      <c r="E3010" s="211" t="s">
        <v>10385</v>
      </c>
      <c r="F3010" s="211" t="s">
        <v>7217</v>
      </c>
    </row>
    <row r="3011" spans="1:6">
      <c r="A3011" s="211" t="s">
        <v>711</v>
      </c>
      <c r="B3011" s="211">
        <v>1233</v>
      </c>
      <c r="C3011" s="211">
        <v>732</v>
      </c>
      <c r="D3011" s="211" t="s">
        <v>1255</v>
      </c>
      <c r="E3011" s="211" t="s">
        <v>10385</v>
      </c>
      <c r="F3011" s="211" t="s">
        <v>8002</v>
      </c>
    </row>
    <row r="3012" spans="1:6">
      <c r="A3012" s="211" t="s">
        <v>712</v>
      </c>
      <c r="B3012" s="211">
        <v>1230</v>
      </c>
      <c r="C3012" s="211">
        <v>1443</v>
      </c>
      <c r="D3012" s="211" t="s">
        <v>1255</v>
      </c>
      <c r="E3012" s="211" t="s">
        <v>10385</v>
      </c>
      <c r="F3012" s="211" t="s">
        <v>8002</v>
      </c>
    </row>
    <row r="3013" spans="1:6">
      <c r="A3013" s="211" t="s">
        <v>713</v>
      </c>
      <c r="B3013" s="211">
        <v>4654</v>
      </c>
      <c r="C3013" s="211">
        <v>770</v>
      </c>
      <c r="D3013" s="211" t="s">
        <v>1255</v>
      </c>
      <c r="E3013" s="211" t="s">
        <v>10385</v>
      </c>
      <c r="F3013" s="211" t="s">
        <v>7398</v>
      </c>
    </row>
    <row r="3014" spans="1:6">
      <c r="A3014" s="211" t="s">
        <v>8003</v>
      </c>
      <c r="B3014" s="211">
        <v>1623</v>
      </c>
      <c r="C3014" s="211" t="s">
        <v>10385</v>
      </c>
      <c r="D3014" s="211" t="s">
        <v>1255</v>
      </c>
      <c r="E3014" s="211" t="s">
        <v>10385</v>
      </c>
      <c r="F3014" s="211" t="s">
        <v>7175</v>
      </c>
    </row>
    <row r="3015" spans="1:6">
      <c r="A3015" s="211" t="s">
        <v>4756</v>
      </c>
      <c r="B3015" s="211">
        <v>6183</v>
      </c>
      <c r="C3015" s="211">
        <v>807</v>
      </c>
      <c r="D3015" s="211" t="s">
        <v>1255</v>
      </c>
      <c r="E3015" s="211" t="s">
        <v>6822</v>
      </c>
      <c r="F3015" s="211" t="s">
        <v>7228</v>
      </c>
    </row>
    <row r="3016" spans="1:6">
      <c r="A3016" s="211" t="s">
        <v>714</v>
      </c>
      <c r="B3016" s="211">
        <v>5433</v>
      </c>
      <c r="C3016" s="211">
        <v>1002</v>
      </c>
      <c r="D3016" s="211" t="s">
        <v>1255</v>
      </c>
      <c r="E3016" s="211" t="s">
        <v>10385</v>
      </c>
      <c r="F3016" s="211" t="s">
        <v>7457</v>
      </c>
    </row>
    <row r="3017" spans="1:6">
      <c r="A3017" s="211" t="s">
        <v>715</v>
      </c>
      <c r="B3017" s="211">
        <v>2063</v>
      </c>
      <c r="C3017" s="211">
        <v>1665</v>
      </c>
      <c r="D3017" s="211" t="s">
        <v>1255</v>
      </c>
      <c r="E3017" s="211" t="s">
        <v>10385</v>
      </c>
      <c r="F3017" s="211" t="s">
        <v>7207</v>
      </c>
    </row>
    <row r="3018" spans="1:6">
      <c r="A3018" s="211" t="s">
        <v>716</v>
      </c>
      <c r="B3018" s="211">
        <v>2863</v>
      </c>
      <c r="C3018" s="211">
        <v>1531</v>
      </c>
      <c r="D3018" s="211" t="s">
        <v>1255</v>
      </c>
      <c r="E3018" s="211" t="s">
        <v>10385</v>
      </c>
      <c r="F3018" s="211" t="s">
        <v>7212</v>
      </c>
    </row>
    <row r="3019" spans="1:6">
      <c r="A3019" s="211" t="s">
        <v>8004</v>
      </c>
      <c r="B3019" s="211">
        <v>357</v>
      </c>
      <c r="C3019" s="211" t="s">
        <v>10385</v>
      </c>
      <c r="D3019" s="211" t="s">
        <v>1255</v>
      </c>
      <c r="E3019" s="211" t="s">
        <v>10385</v>
      </c>
      <c r="F3019" s="211" t="s">
        <v>7261</v>
      </c>
    </row>
    <row r="3020" spans="1:6">
      <c r="A3020" s="211" t="s">
        <v>717</v>
      </c>
      <c r="B3020" s="211">
        <v>2407</v>
      </c>
      <c r="C3020" s="211">
        <v>1218</v>
      </c>
      <c r="D3020" s="211" t="s">
        <v>1255</v>
      </c>
      <c r="E3020" s="211" t="s">
        <v>10385</v>
      </c>
      <c r="F3020" s="211" t="s">
        <v>7344</v>
      </c>
    </row>
    <row r="3021" spans="1:6">
      <c r="A3021" s="211" t="s">
        <v>718</v>
      </c>
      <c r="B3021" s="211">
        <v>4474</v>
      </c>
      <c r="C3021" s="211">
        <v>1165</v>
      </c>
      <c r="D3021" s="211" t="s">
        <v>1255</v>
      </c>
      <c r="E3021" s="211" t="s">
        <v>10385</v>
      </c>
      <c r="F3021" s="211" t="s">
        <v>7327</v>
      </c>
    </row>
    <row r="3022" spans="1:6">
      <c r="A3022" s="211" t="s">
        <v>719</v>
      </c>
      <c r="B3022" s="211">
        <v>673</v>
      </c>
      <c r="C3022" s="211">
        <v>1324</v>
      </c>
      <c r="D3022" s="211" t="s">
        <v>1255</v>
      </c>
      <c r="E3022" s="211" t="s">
        <v>10385</v>
      </c>
      <c r="F3022" s="211" t="s">
        <v>7171</v>
      </c>
    </row>
    <row r="3023" spans="1:6">
      <c r="A3023" s="211" t="s">
        <v>720</v>
      </c>
      <c r="B3023" s="211">
        <v>2912</v>
      </c>
      <c r="C3023" s="211">
        <v>865</v>
      </c>
      <c r="D3023" s="211" t="s">
        <v>1255</v>
      </c>
      <c r="E3023" s="211" t="s">
        <v>10385</v>
      </c>
      <c r="F3023" s="211" t="s">
        <v>7207</v>
      </c>
    </row>
    <row r="3024" spans="1:6">
      <c r="A3024" s="211" t="s">
        <v>721</v>
      </c>
      <c r="B3024" s="211">
        <v>4423</v>
      </c>
      <c r="C3024" s="211">
        <v>999</v>
      </c>
      <c r="D3024" s="211" t="s">
        <v>1255</v>
      </c>
      <c r="E3024" s="211" t="s">
        <v>10385</v>
      </c>
      <c r="F3024" s="211" t="s">
        <v>7225</v>
      </c>
    </row>
    <row r="3025" spans="1:6">
      <c r="A3025" s="211" t="s">
        <v>4586</v>
      </c>
      <c r="B3025" s="211">
        <v>6290</v>
      </c>
      <c r="C3025" s="211">
        <v>1709</v>
      </c>
      <c r="D3025" s="211" t="s">
        <v>1255</v>
      </c>
      <c r="E3025" s="211" t="s">
        <v>3077</v>
      </c>
      <c r="F3025" s="211" t="s">
        <v>7581</v>
      </c>
    </row>
    <row r="3026" spans="1:6">
      <c r="A3026" s="211" t="s">
        <v>722</v>
      </c>
      <c r="B3026" s="211">
        <v>3294</v>
      </c>
      <c r="C3026" s="211">
        <v>2111</v>
      </c>
      <c r="D3026" s="211" t="s">
        <v>1255</v>
      </c>
      <c r="E3026" s="211" t="s">
        <v>10385</v>
      </c>
      <c r="F3026" s="211" t="s">
        <v>7283</v>
      </c>
    </row>
    <row r="3027" spans="1:6">
      <c r="A3027" s="211" t="s">
        <v>8005</v>
      </c>
      <c r="B3027" s="211">
        <v>1918</v>
      </c>
      <c r="C3027" s="211" t="s">
        <v>10385</v>
      </c>
      <c r="D3027" s="211" t="s">
        <v>1255</v>
      </c>
      <c r="E3027" s="211" t="s">
        <v>10385</v>
      </c>
      <c r="F3027" s="211" t="s">
        <v>7246</v>
      </c>
    </row>
    <row r="3028" spans="1:6">
      <c r="A3028" s="211" t="s">
        <v>9482</v>
      </c>
      <c r="B3028" s="211">
        <v>7930</v>
      </c>
      <c r="C3028" s="211">
        <v>1704</v>
      </c>
      <c r="D3028" s="211" t="s">
        <v>1255</v>
      </c>
      <c r="E3028" s="211" t="s">
        <v>10652</v>
      </c>
      <c r="F3028" s="211" t="s">
        <v>7232</v>
      </c>
    </row>
    <row r="3029" spans="1:6">
      <c r="A3029" s="211" t="s">
        <v>723</v>
      </c>
      <c r="B3029" s="211">
        <v>4020</v>
      </c>
      <c r="C3029" s="211">
        <v>1122</v>
      </c>
      <c r="D3029" s="211" t="s">
        <v>1255</v>
      </c>
      <c r="E3029" s="211" t="s">
        <v>10385</v>
      </c>
      <c r="F3029" s="211" t="s">
        <v>7196</v>
      </c>
    </row>
    <row r="3030" spans="1:6">
      <c r="A3030" s="211" t="s">
        <v>9483</v>
      </c>
      <c r="B3030" s="211">
        <v>8144</v>
      </c>
      <c r="C3030" s="211">
        <v>1952</v>
      </c>
      <c r="D3030" s="211" t="s">
        <v>1117</v>
      </c>
      <c r="E3030" s="211" t="s">
        <v>10385</v>
      </c>
      <c r="F3030" s="211" t="s">
        <v>7241</v>
      </c>
    </row>
    <row r="3031" spans="1:6">
      <c r="A3031" s="211" t="s">
        <v>8006</v>
      </c>
      <c r="B3031" s="211">
        <v>64</v>
      </c>
      <c r="C3031" s="211" t="s">
        <v>10385</v>
      </c>
      <c r="D3031" s="211" t="s">
        <v>1255</v>
      </c>
      <c r="E3031" s="211" t="s">
        <v>10385</v>
      </c>
      <c r="F3031" s="211" t="s">
        <v>7243</v>
      </c>
    </row>
    <row r="3032" spans="1:6">
      <c r="A3032" s="211" t="s">
        <v>724</v>
      </c>
      <c r="B3032" s="211">
        <v>1575</v>
      </c>
      <c r="C3032" s="211">
        <v>1134</v>
      </c>
      <c r="D3032" s="211" t="s">
        <v>1255</v>
      </c>
      <c r="E3032" s="211" t="s">
        <v>10385</v>
      </c>
      <c r="F3032" s="211" t="s">
        <v>7415</v>
      </c>
    </row>
    <row r="3033" spans="1:6">
      <c r="A3033" s="211" t="s">
        <v>8007</v>
      </c>
      <c r="B3033" s="211">
        <v>5199</v>
      </c>
      <c r="C3033" s="211" t="s">
        <v>10385</v>
      </c>
      <c r="D3033" s="211" t="s">
        <v>1255</v>
      </c>
      <c r="E3033" s="211" t="s">
        <v>10385</v>
      </c>
      <c r="F3033" s="211" t="s">
        <v>7189</v>
      </c>
    </row>
    <row r="3034" spans="1:6">
      <c r="A3034" s="211" t="s">
        <v>8008</v>
      </c>
      <c r="B3034" s="211">
        <v>258</v>
      </c>
      <c r="C3034" s="211" t="s">
        <v>10385</v>
      </c>
      <c r="D3034" s="211" t="s">
        <v>1255</v>
      </c>
      <c r="E3034" s="211" t="s">
        <v>10385</v>
      </c>
      <c r="F3034" s="211" t="s">
        <v>7307</v>
      </c>
    </row>
    <row r="3035" spans="1:6">
      <c r="A3035" s="211" t="s">
        <v>8009</v>
      </c>
      <c r="B3035" s="211">
        <v>654</v>
      </c>
      <c r="C3035" s="211" t="s">
        <v>10385</v>
      </c>
      <c r="D3035" s="211" t="s">
        <v>1255</v>
      </c>
      <c r="E3035" s="211" t="s">
        <v>10385</v>
      </c>
      <c r="F3035" s="211" t="s">
        <v>7283</v>
      </c>
    </row>
    <row r="3036" spans="1:6">
      <c r="A3036" s="211" t="s">
        <v>8010</v>
      </c>
      <c r="B3036" s="211">
        <v>472</v>
      </c>
      <c r="C3036" s="211" t="s">
        <v>10385</v>
      </c>
      <c r="D3036" s="211" t="s">
        <v>1255</v>
      </c>
      <c r="E3036" s="211" t="s">
        <v>10385</v>
      </c>
      <c r="F3036" s="211" t="s">
        <v>7261</v>
      </c>
    </row>
    <row r="3037" spans="1:6">
      <c r="A3037" s="211" t="s">
        <v>725</v>
      </c>
      <c r="B3037" s="211">
        <v>3894</v>
      </c>
      <c r="C3037" s="211">
        <v>998</v>
      </c>
      <c r="D3037" s="211" t="s">
        <v>1255</v>
      </c>
      <c r="E3037" s="211" t="s">
        <v>10385</v>
      </c>
      <c r="F3037" s="211" t="s">
        <v>7760</v>
      </c>
    </row>
    <row r="3038" spans="1:6">
      <c r="A3038" s="211" t="s">
        <v>10352</v>
      </c>
      <c r="B3038" s="211">
        <v>1034</v>
      </c>
      <c r="C3038" s="211" t="s">
        <v>10385</v>
      </c>
      <c r="D3038" s="211" t="s">
        <v>1255</v>
      </c>
      <c r="E3038" s="211" t="s">
        <v>10385</v>
      </c>
      <c r="F3038" s="211" t="s">
        <v>7243</v>
      </c>
    </row>
    <row r="3039" spans="1:6">
      <c r="A3039" s="211" t="s">
        <v>9484</v>
      </c>
      <c r="B3039" s="211">
        <v>8471</v>
      </c>
      <c r="C3039" s="211">
        <v>1587</v>
      </c>
      <c r="D3039" s="211" t="s">
        <v>1255</v>
      </c>
      <c r="E3039" s="211" t="s">
        <v>9485</v>
      </c>
      <c r="F3039" s="211" t="s">
        <v>7196</v>
      </c>
    </row>
    <row r="3040" spans="1:6">
      <c r="A3040" s="211" t="s">
        <v>726</v>
      </c>
      <c r="B3040" s="211">
        <v>3951</v>
      </c>
      <c r="C3040" s="211">
        <v>1223</v>
      </c>
      <c r="D3040" s="211" t="s">
        <v>1255</v>
      </c>
      <c r="E3040" s="211" t="s">
        <v>10385</v>
      </c>
      <c r="F3040" s="211" t="s">
        <v>7510</v>
      </c>
    </row>
    <row r="3041" spans="1:6">
      <c r="A3041" s="211" t="s">
        <v>8011</v>
      </c>
      <c r="B3041" s="211">
        <v>3018</v>
      </c>
      <c r="C3041" s="211" t="s">
        <v>10385</v>
      </c>
      <c r="D3041" s="211" t="s">
        <v>1255</v>
      </c>
      <c r="E3041" s="211" t="s">
        <v>10385</v>
      </c>
      <c r="F3041" s="211" t="s">
        <v>7386</v>
      </c>
    </row>
    <row r="3042" spans="1:6">
      <c r="A3042" s="211" t="s">
        <v>8012</v>
      </c>
      <c r="B3042" s="211">
        <v>56</v>
      </c>
      <c r="C3042" s="211" t="s">
        <v>10385</v>
      </c>
      <c r="D3042" s="211" t="s">
        <v>1255</v>
      </c>
      <c r="E3042" s="211" t="s">
        <v>10385</v>
      </c>
      <c r="F3042" s="211" t="s">
        <v>7219</v>
      </c>
    </row>
    <row r="3043" spans="1:6">
      <c r="A3043" s="211" t="s">
        <v>8013</v>
      </c>
      <c r="B3043" s="211">
        <v>403</v>
      </c>
      <c r="C3043" s="211" t="s">
        <v>10385</v>
      </c>
      <c r="D3043" s="211" t="s">
        <v>1255</v>
      </c>
      <c r="E3043" s="211" t="s">
        <v>10385</v>
      </c>
      <c r="F3043" s="211" t="s">
        <v>7351</v>
      </c>
    </row>
    <row r="3044" spans="1:6">
      <c r="A3044" s="211" t="s">
        <v>8014</v>
      </c>
      <c r="B3044" s="211">
        <v>1998</v>
      </c>
      <c r="C3044" s="211" t="s">
        <v>10385</v>
      </c>
      <c r="D3044" s="211" t="s">
        <v>1255</v>
      </c>
      <c r="E3044" s="211" t="s">
        <v>10385</v>
      </c>
      <c r="F3044" s="211" t="s">
        <v>7331</v>
      </c>
    </row>
    <row r="3045" spans="1:6">
      <c r="A3045" s="211" t="s">
        <v>5852</v>
      </c>
      <c r="B3045" s="211">
        <v>7197</v>
      </c>
      <c r="C3045" s="211">
        <v>1687</v>
      </c>
      <c r="D3045" s="211" t="s">
        <v>1255</v>
      </c>
      <c r="E3045" s="211" t="s">
        <v>10385</v>
      </c>
      <c r="F3045" s="211" t="s">
        <v>7864</v>
      </c>
    </row>
    <row r="3046" spans="1:6">
      <c r="A3046" s="211" t="s">
        <v>8015</v>
      </c>
      <c r="B3046" s="211">
        <v>99</v>
      </c>
      <c r="C3046" s="211" t="s">
        <v>10385</v>
      </c>
      <c r="D3046" s="211" t="s">
        <v>1255</v>
      </c>
      <c r="E3046" s="211" t="s">
        <v>10385</v>
      </c>
      <c r="F3046" s="211" t="s">
        <v>7283</v>
      </c>
    </row>
    <row r="3047" spans="1:6">
      <c r="A3047" s="211" t="s">
        <v>2858</v>
      </c>
      <c r="B3047" s="211">
        <v>4046</v>
      </c>
      <c r="C3047" s="211">
        <v>1165</v>
      </c>
      <c r="D3047" s="211" t="s">
        <v>1255</v>
      </c>
      <c r="E3047" s="211" t="s">
        <v>10385</v>
      </c>
      <c r="F3047" s="211" t="s">
        <v>7386</v>
      </c>
    </row>
    <row r="3048" spans="1:6">
      <c r="A3048" s="211" t="s">
        <v>8016</v>
      </c>
      <c r="B3048" s="211">
        <v>98</v>
      </c>
      <c r="C3048" s="211" t="s">
        <v>10385</v>
      </c>
      <c r="D3048" s="211" t="s">
        <v>1255</v>
      </c>
      <c r="E3048" s="211" t="s">
        <v>10385</v>
      </c>
      <c r="F3048" s="211" t="s">
        <v>7283</v>
      </c>
    </row>
    <row r="3049" spans="1:6">
      <c r="A3049" s="211" t="s">
        <v>727</v>
      </c>
      <c r="B3049" s="211">
        <v>2798</v>
      </c>
      <c r="C3049" s="211">
        <v>1647</v>
      </c>
      <c r="D3049" s="211" t="s">
        <v>1117</v>
      </c>
      <c r="E3049" s="211" t="s">
        <v>10385</v>
      </c>
      <c r="F3049" s="211" t="s">
        <v>7167</v>
      </c>
    </row>
    <row r="3050" spans="1:6">
      <c r="A3050" s="211" t="s">
        <v>728</v>
      </c>
      <c r="B3050" s="211">
        <v>2605</v>
      </c>
      <c r="C3050" s="211">
        <v>1460</v>
      </c>
      <c r="D3050" s="211" t="s">
        <v>1117</v>
      </c>
      <c r="E3050" s="211" t="s">
        <v>10385</v>
      </c>
      <c r="F3050" s="211" t="s">
        <v>7167</v>
      </c>
    </row>
    <row r="3051" spans="1:6">
      <c r="A3051" s="211" t="s">
        <v>729</v>
      </c>
      <c r="B3051" s="211">
        <v>5216</v>
      </c>
      <c r="C3051" s="211">
        <v>880</v>
      </c>
      <c r="D3051" s="211" t="s">
        <v>1255</v>
      </c>
      <c r="E3051" s="211" t="s">
        <v>10385</v>
      </c>
      <c r="F3051" s="211" t="s">
        <v>7303</v>
      </c>
    </row>
    <row r="3052" spans="1:6">
      <c r="A3052" s="211" t="s">
        <v>4883</v>
      </c>
      <c r="B3052" s="211">
        <v>4850</v>
      </c>
      <c r="C3052" s="211">
        <v>764</v>
      </c>
      <c r="D3052" s="211" t="s">
        <v>1117</v>
      </c>
      <c r="E3052" s="211" t="s">
        <v>10385</v>
      </c>
      <c r="F3052" s="211" t="s">
        <v>7386</v>
      </c>
    </row>
    <row r="3053" spans="1:6">
      <c r="A3053" s="211" t="s">
        <v>9486</v>
      </c>
      <c r="B3053" s="211">
        <v>7998</v>
      </c>
      <c r="C3053" s="211">
        <v>1644</v>
      </c>
      <c r="D3053" s="211" t="s">
        <v>1255</v>
      </c>
      <c r="E3053" s="211" t="s">
        <v>10653</v>
      </c>
      <c r="F3053" s="211" t="s">
        <v>7208</v>
      </c>
    </row>
    <row r="3054" spans="1:6">
      <c r="A3054" s="211" t="s">
        <v>9487</v>
      </c>
      <c r="B3054" s="211">
        <v>8571</v>
      </c>
      <c r="C3054" s="211">
        <v>1017</v>
      </c>
      <c r="D3054" s="211" t="s">
        <v>1255</v>
      </c>
      <c r="E3054" s="211" t="s">
        <v>9488</v>
      </c>
      <c r="F3054" s="211" t="s">
        <v>7322</v>
      </c>
    </row>
    <row r="3055" spans="1:6">
      <c r="A3055" s="211" t="s">
        <v>10654</v>
      </c>
      <c r="B3055" s="211">
        <v>8794</v>
      </c>
      <c r="C3055" s="211">
        <v>581</v>
      </c>
      <c r="D3055" s="211" t="s">
        <v>1255</v>
      </c>
      <c r="E3055" s="211" t="s">
        <v>10655</v>
      </c>
      <c r="F3055" s="211" t="s">
        <v>7864</v>
      </c>
    </row>
    <row r="3056" spans="1:6">
      <c r="A3056" s="211" t="s">
        <v>730</v>
      </c>
      <c r="B3056" s="211">
        <v>2632</v>
      </c>
      <c r="C3056" s="211">
        <v>1499</v>
      </c>
      <c r="D3056" s="211" t="s">
        <v>1255</v>
      </c>
      <c r="E3056" s="211" t="s">
        <v>10385</v>
      </c>
      <c r="F3056" s="211" t="s">
        <v>7327</v>
      </c>
    </row>
    <row r="3057" spans="1:6">
      <c r="A3057" s="211" t="s">
        <v>731</v>
      </c>
      <c r="B3057" s="211">
        <v>2779</v>
      </c>
      <c r="C3057" s="211">
        <v>875</v>
      </c>
      <c r="D3057" s="211" t="s">
        <v>1117</v>
      </c>
      <c r="E3057" s="211" t="s">
        <v>10385</v>
      </c>
      <c r="F3057" s="211" t="s">
        <v>7275</v>
      </c>
    </row>
    <row r="3058" spans="1:6">
      <c r="A3058" s="211" t="s">
        <v>8017</v>
      </c>
      <c r="B3058" s="211">
        <v>2007</v>
      </c>
      <c r="C3058" s="211" t="s">
        <v>10385</v>
      </c>
      <c r="D3058" s="211" t="s">
        <v>1255</v>
      </c>
      <c r="E3058" s="211" t="s">
        <v>10385</v>
      </c>
      <c r="F3058" s="211" t="s">
        <v>7965</v>
      </c>
    </row>
    <row r="3059" spans="1:6">
      <c r="A3059" s="211" t="s">
        <v>4861</v>
      </c>
      <c r="B3059" s="211">
        <v>7706</v>
      </c>
      <c r="C3059" s="211">
        <v>993</v>
      </c>
      <c r="D3059" s="211" t="s">
        <v>1255</v>
      </c>
      <c r="E3059" s="211" t="s">
        <v>10656</v>
      </c>
      <c r="F3059" s="211" t="s">
        <v>7268</v>
      </c>
    </row>
    <row r="3060" spans="1:6">
      <c r="A3060" s="211" t="s">
        <v>8018</v>
      </c>
      <c r="B3060" s="211">
        <v>329</v>
      </c>
      <c r="C3060" s="211" t="s">
        <v>10385</v>
      </c>
      <c r="D3060" s="211" t="s">
        <v>1255</v>
      </c>
      <c r="E3060" s="211" t="s">
        <v>10385</v>
      </c>
      <c r="F3060" s="211" t="s">
        <v>7243</v>
      </c>
    </row>
    <row r="3061" spans="1:6">
      <c r="A3061" s="211" t="s">
        <v>8020</v>
      </c>
      <c r="B3061" s="211">
        <v>133</v>
      </c>
      <c r="C3061" s="211" t="s">
        <v>10385</v>
      </c>
      <c r="D3061" s="211" t="s">
        <v>1255</v>
      </c>
      <c r="E3061" s="211" t="s">
        <v>10385</v>
      </c>
      <c r="F3061" s="211" t="s">
        <v>7239</v>
      </c>
    </row>
    <row r="3062" spans="1:6">
      <c r="A3062" s="211" t="s">
        <v>8019</v>
      </c>
      <c r="B3062" s="211">
        <v>6023</v>
      </c>
      <c r="C3062" s="211" t="s">
        <v>10385</v>
      </c>
      <c r="D3062" s="211" t="s">
        <v>1255</v>
      </c>
      <c r="E3062" s="211" t="s">
        <v>10385</v>
      </c>
      <c r="F3062" s="211" t="s">
        <v>7207</v>
      </c>
    </row>
    <row r="3063" spans="1:6">
      <c r="A3063" s="211" t="s">
        <v>732</v>
      </c>
      <c r="B3063" s="211">
        <v>5163</v>
      </c>
      <c r="C3063" s="211">
        <v>933</v>
      </c>
      <c r="D3063" s="211" t="s">
        <v>1117</v>
      </c>
      <c r="E3063" s="211" t="s">
        <v>10385</v>
      </c>
      <c r="F3063" s="211" t="s">
        <v>7250</v>
      </c>
    </row>
    <row r="3064" spans="1:6">
      <c r="A3064" s="211" t="s">
        <v>733</v>
      </c>
      <c r="B3064" s="211">
        <v>3801</v>
      </c>
      <c r="C3064" s="211">
        <v>1723</v>
      </c>
      <c r="D3064" s="211" t="s">
        <v>1255</v>
      </c>
      <c r="E3064" s="211" t="s">
        <v>10385</v>
      </c>
      <c r="F3064" s="211" t="s">
        <v>7307</v>
      </c>
    </row>
    <row r="3065" spans="1:6">
      <c r="A3065" s="211" t="s">
        <v>734</v>
      </c>
      <c r="B3065" s="211">
        <v>4764</v>
      </c>
      <c r="C3065" s="211">
        <v>2144</v>
      </c>
      <c r="D3065" s="211" t="s">
        <v>1255</v>
      </c>
      <c r="E3065" s="211" t="s">
        <v>10385</v>
      </c>
      <c r="F3065" s="211" t="s">
        <v>7167</v>
      </c>
    </row>
    <row r="3066" spans="1:6">
      <c r="A3066" s="211" t="s">
        <v>735</v>
      </c>
      <c r="B3066" s="211">
        <v>2490</v>
      </c>
      <c r="C3066" s="211">
        <v>1776</v>
      </c>
      <c r="D3066" s="211" t="s">
        <v>1255</v>
      </c>
      <c r="E3066" s="211" t="s">
        <v>10385</v>
      </c>
      <c r="F3066" s="211" t="s">
        <v>7239</v>
      </c>
    </row>
    <row r="3067" spans="1:6">
      <c r="A3067" s="211" t="s">
        <v>8021</v>
      </c>
      <c r="B3067" s="211">
        <v>2808</v>
      </c>
      <c r="C3067" s="211">
        <v>1200</v>
      </c>
      <c r="D3067" s="211" t="s">
        <v>1255</v>
      </c>
      <c r="E3067" s="211" t="s">
        <v>10385</v>
      </c>
      <c r="F3067" s="211" t="s">
        <v>7262</v>
      </c>
    </row>
    <row r="3068" spans="1:6">
      <c r="A3068" s="211" t="s">
        <v>9489</v>
      </c>
      <c r="B3068" s="211">
        <v>7987</v>
      </c>
      <c r="C3068" s="211">
        <v>698</v>
      </c>
      <c r="D3068" s="211" t="s">
        <v>1117</v>
      </c>
      <c r="E3068" s="211" t="s">
        <v>6824</v>
      </c>
      <c r="F3068" s="211" t="s">
        <v>7231</v>
      </c>
    </row>
    <row r="3069" spans="1:6">
      <c r="A3069" s="211" t="s">
        <v>736</v>
      </c>
      <c r="B3069" s="211">
        <v>4158</v>
      </c>
      <c r="C3069" s="211">
        <v>1569</v>
      </c>
      <c r="D3069" s="211" t="s">
        <v>1255</v>
      </c>
      <c r="E3069" s="211" t="s">
        <v>10385</v>
      </c>
      <c r="F3069" s="211" t="s">
        <v>7320</v>
      </c>
    </row>
    <row r="3070" spans="1:6">
      <c r="A3070" s="211" t="s">
        <v>6823</v>
      </c>
      <c r="B3070" s="211">
        <v>7769</v>
      </c>
      <c r="C3070" s="211">
        <v>745</v>
      </c>
      <c r="D3070" s="211" t="s">
        <v>1117</v>
      </c>
      <c r="E3070" s="211" t="s">
        <v>6824</v>
      </c>
      <c r="F3070" s="211" t="s">
        <v>7231</v>
      </c>
    </row>
    <row r="3071" spans="1:6">
      <c r="A3071" s="211" t="s">
        <v>737</v>
      </c>
      <c r="B3071" s="211">
        <v>6284</v>
      </c>
      <c r="C3071" s="211">
        <v>1711</v>
      </c>
      <c r="D3071" s="211" t="s">
        <v>1255</v>
      </c>
      <c r="E3071" s="211" t="s">
        <v>3078</v>
      </c>
      <c r="F3071" s="211" t="s">
        <v>7231</v>
      </c>
    </row>
    <row r="3072" spans="1:6">
      <c r="A3072" s="211" t="s">
        <v>6825</v>
      </c>
      <c r="B3072" s="211">
        <v>7736</v>
      </c>
      <c r="C3072" s="211">
        <v>613</v>
      </c>
      <c r="D3072" s="211" t="s">
        <v>1117</v>
      </c>
      <c r="E3072" s="211" t="s">
        <v>6826</v>
      </c>
      <c r="F3072" s="211" t="s">
        <v>7458</v>
      </c>
    </row>
    <row r="3073" spans="1:6">
      <c r="A3073" s="211" t="s">
        <v>738</v>
      </c>
      <c r="B3073" s="211">
        <v>1502</v>
      </c>
      <c r="C3073" s="211">
        <v>1000</v>
      </c>
      <c r="D3073" s="211" t="s">
        <v>1255</v>
      </c>
      <c r="E3073" s="211" t="s">
        <v>10385</v>
      </c>
      <c r="F3073" s="211" t="s">
        <v>7438</v>
      </c>
    </row>
    <row r="3074" spans="1:6">
      <c r="A3074" s="211" t="s">
        <v>8022</v>
      </c>
      <c r="B3074" s="211">
        <v>101</v>
      </c>
      <c r="C3074" s="211" t="s">
        <v>10385</v>
      </c>
      <c r="D3074" s="211" t="s">
        <v>1255</v>
      </c>
      <c r="E3074" s="211" t="s">
        <v>10385</v>
      </c>
      <c r="F3074" s="211" t="s">
        <v>7337</v>
      </c>
    </row>
    <row r="3075" spans="1:6">
      <c r="A3075" s="211" t="s">
        <v>4587</v>
      </c>
      <c r="B3075" s="211">
        <v>6316</v>
      </c>
      <c r="C3075" s="211">
        <v>944</v>
      </c>
      <c r="D3075" s="211" t="s">
        <v>1117</v>
      </c>
      <c r="E3075" s="211" t="s">
        <v>6827</v>
      </c>
      <c r="F3075" s="211" t="s">
        <v>7231</v>
      </c>
    </row>
    <row r="3076" spans="1:6">
      <c r="A3076" s="211" t="s">
        <v>8023</v>
      </c>
      <c r="B3076" s="211">
        <v>838</v>
      </c>
      <c r="C3076" s="211" t="s">
        <v>10385</v>
      </c>
      <c r="D3076" s="211" t="s">
        <v>1255</v>
      </c>
      <c r="E3076" s="211" t="s">
        <v>10385</v>
      </c>
      <c r="F3076" s="211" t="s">
        <v>7270</v>
      </c>
    </row>
    <row r="3077" spans="1:6">
      <c r="A3077" s="211" t="s">
        <v>739</v>
      </c>
      <c r="B3077" s="211">
        <v>1597</v>
      </c>
      <c r="C3077" s="211">
        <v>1167</v>
      </c>
      <c r="D3077" s="211" t="s">
        <v>1255</v>
      </c>
      <c r="E3077" s="211" t="s">
        <v>10385</v>
      </c>
      <c r="F3077" s="211" t="s">
        <v>7265</v>
      </c>
    </row>
    <row r="3078" spans="1:6">
      <c r="A3078" s="211" t="s">
        <v>8024</v>
      </c>
      <c r="B3078" s="211">
        <v>143</v>
      </c>
      <c r="C3078" s="211" t="s">
        <v>10385</v>
      </c>
      <c r="D3078" s="211" t="s">
        <v>1255</v>
      </c>
      <c r="E3078" s="211" t="s">
        <v>10385</v>
      </c>
      <c r="F3078" s="211" t="s">
        <v>7284</v>
      </c>
    </row>
    <row r="3079" spans="1:6">
      <c r="A3079" s="211" t="s">
        <v>8025</v>
      </c>
      <c r="B3079" s="211">
        <v>413</v>
      </c>
      <c r="C3079" s="211" t="s">
        <v>10385</v>
      </c>
      <c r="D3079" s="211" t="s">
        <v>1255</v>
      </c>
      <c r="E3079" s="211" t="s">
        <v>10385</v>
      </c>
      <c r="F3079" s="211" t="s">
        <v>7232</v>
      </c>
    </row>
    <row r="3080" spans="1:6">
      <c r="A3080" s="211" t="s">
        <v>8026</v>
      </c>
      <c r="B3080" s="211">
        <v>6110</v>
      </c>
      <c r="C3080" s="211">
        <v>2056</v>
      </c>
      <c r="D3080" s="211" t="s">
        <v>1255</v>
      </c>
      <c r="E3080" s="211" t="s">
        <v>10385</v>
      </c>
      <c r="F3080" s="211" t="s">
        <v>7258</v>
      </c>
    </row>
    <row r="3081" spans="1:6">
      <c r="A3081" s="211" t="s">
        <v>10657</v>
      </c>
      <c r="B3081" s="211">
        <v>8806</v>
      </c>
      <c r="C3081" s="211">
        <v>2073</v>
      </c>
      <c r="D3081" s="211" t="s">
        <v>1255</v>
      </c>
      <c r="E3081" s="211" t="s">
        <v>10658</v>
      </c>
      <c r="F3081" s="211" t="s">
        <v>10341</v>
      </c>
    </row>
    <row r="3082" spans="1:6">
      <c r="A3082" s="211" t="s">
        <v>740</v>
      </c>
      <c r="B3082" s="211">
        <v>2973</v>
      </c>
      <c r="C3082" s="211">
        <v>1769</v>
      </c>
      <c r="D3082" s="211" t="s">
        <v>1255</v>
      </c>
      <c r="E3082" s="211" t="s">
        <v>10385</v>
      </c>
      <c r="F3082" s="211" t="s">
        <v>7334</v>
      </c>
    </row>
    <row r="3083" spans="1:6">
      <c r="A3083" s="211" t="s">
        <v>5070</v>
      </c>
      <c r="B3083" s="211">
        <v>6742</v>
      </c>
      <c r="C3083" s="211">
        <v>1237</v>
      </c>
      <c r="D3083" s="211" t="s">
        <v>1255</v>
      </c>
      <c r="E3083" s="211" t="s">
        <v>10659</v>
      </c>
      <c r="F3083" s="211" t="s">
        <v>7258</v>
      </c>
    </row>
    <row r="3084" spans="1:6">
      <c r="A3084" s="211" t="s">
        <v>8027</v>
      </c>
      <c r="B3084" s="211">
        <v>260</v>
      </c>
      <c r="C3084" s="211" t="s">
        <v>10385</v>
      </c>
      <c r="D3084" s="211" t="s">
        <v>1255</v>
      </c>
      <c r="E3084" s="211" t="s">
        <v>10385</v>
      </c>
      <c r="F3084" s="211" t="s">
        <v>7307</v>
      </c>
    </row>
    <row r="3085" spans="1:6">
      <c r="A3085" s="211" t="s">
        <v>741</v>
      </c>
      <c r="B3085" s="211">
        <v>1960</v>
      </c>
      <c r="C3085" s="211">
        <v>691</v>
      </c>
      <c r="D3085" s="211" t="s">
        <v>1255</v>
      </c>
      <c r="E3085" s="211" t="s">
        <v>10385</v>
      </c>
      <c r="F3085" s="211" t="s">
        <v>7248</v>
      </c>
    </row>
    <row r="3086" spans="1:6">
      <c r="A3086" s="211" t="s">
        <v>742</v>
      </c>
      <c r="B3086" s="211">
        <v>4775</v>
      </c>
      <c r="C3086" s="211">
        <v>949</v>
      </c>
      <c r="D3086" s="211" t="s">
        <v>1255</v>
      </c>
      <c r="E3086" s="211" t="s">
        <v>10385</v>
      </c>
      <c r="F3086" s="211" t="s">
        <v>7241</v>
      </c>
    </row>
    <row r="3087" spans="1:6">
      <c r="A3087" s="211" t="s">
        <v>743</v>
      </c>
      <c r="B3087" s="211">
        <v>4824</v>
      </c>
      <c r="C3087" s="211">
        <v>774</v>
      </c>
      <c r="D3087" s="211" t="s">
        <v>1255</v>
      </c>
      <c r="E3087" s="211" t="s">
        <v>10385</v>
      </c>
      <c r="F3087" s="211" t="s">
        <v>7629</v>
      </c>
    </row>
    <row r="3088" spans="1:6">
      <c r="A3088" s="211" t="s">
        <v>8028</v>
      </c>
      <c r="B3088" s="211">
        <v>346</v>
      </c>
      <c r="C3088" s="211" t="s">
        <v>10385</v>
      </c>
      <c r="D3088" s="211" t="s">
        <v>1255</v>
      </c>
      <c r="E3088" s="211" t="s">
        <v>10385</v>
      </c>
      <c r="F3088" s="211" t="s">
        <v>7243</v>
      </c>
    </row>
    <row r="3089" spans="1:6">
      <c r="A3089" s="211" t="s">
        <v>744</v>
      </c>
      <c r="B3089" s="211">
        <v>4484</v>
      </c>
      <c r="C3089" s="211">
        <v>874</v>
      </c>
      <c r="D3089" s="211" t="s">
        <v>1255</v>
      </c>
      <c r="E3089" s="211" t="s">
        <v>10385</v>
      </c>
      <c r="F3089" s="211" t="s">
        <v>7356</v>
      </c>
    </row>
    <row r="3090" spans="1:6">
      <c r="A3090" s="211" t="s">
        <v>5071</v>
      </c>
      <c r="B3090" s="211">
        <v>7785</v>
      </c>
      <c r="C3090" s="211">
        <v>1142</v>
      </c>
      <c r="D3090" s="211" t="s">
        <v>1255</v>
      </c>
      <c r="E3090" s="211" t="s">
        <v>9490</v>
      </c>
      <c r="F3090" s="211" t="s">
        <v>7199</v>
      </c>
    </row>
    <row r="3091" spans="1:6">
      <c r="A3091" s="211" t="s">
        <v>9491</v>
      </c>
      <c r="B3091" s="211">
        <v>8224</v>
      </c>
      <c r="C3091" s="211">
        <v>1795</v>
      </c>
      <c r="D3091" s="211" t="s">
        <v>1255</v>
      </c>
      <c r="E3091" s="211" t="s">
        <v>9492</v>
      </c>
      <c r="F3091" s="211" t="s">
        <v>7189</v>
      </c>
    </row>
    <row r="3092" spans="1:6">
      <c r="A3092" s="211" t="s">
        <v>8029</v>
      </c>
      <c r="B3092" s="211">
        <v>355</v>
      </c>
      <c r="C3092" s="211" t="s">
        <v>10385</v>
      </c>
      <c r="D3092" s="211" t="s">
        <v>1255</v>
      </c>
      <c r="E3092" s="211" t="s">
        <v>10385</v>
      </c>
      <c r="F3092" s="211" t="s">
        <v>7356</v>
      </c>
    </row>
    <row r="3093" spans="1:6">
      <c r="A3093" s="211" t="s">
        <v>8030</v>
      </c>
      <c r="B3093" s="211">
        <v>1382</v>
      </c>
      <c r="C3093" s="211" t="s">
        <v>10385</v>
      </c>
      <c r="D3093" s="211" t="s">
        <v>1255</v>
      </c>
      <c r="E3093" s="211" t="s">
        <v>10385</v>
      </c>
      <c r="F3093" s="211" t="s">
        <v>7240</v>
      </c>
    </row>
    <row r="3094" spans="1:6">
      <c r="A3094" s="211" t="s">
        <v>745</v>
      </c>
      <c r="B3094" s="211">
        <v>3714</v>
      </c>
      <c r="C3094" s="211">
        <v>812</v>
      </c>
      <c r="D3094" s="211" t="s">
        <v>1255</v>
      </c>
      <c r="E3094" s="211" t="s">
        <v>10385</v>
      </c>
      <c r="F3094" s="211" t="s">
        <v>7192</v>
      </c>
    </row>
    <row r="3095" spans="1:6">
      <c r="A3095" s="211" t="s">
        <v>746</v>
      </c>
      <c r="B3095" s="211">
        <v>2738</v>
      </c>
      <c r="C3095" s="211">
        <v>1328</v>
      </c>
      <c r="D3095" s="211" t="s">
        <v>1255</v>
      </c>
      <c r="E3095" s="211" t="s">
        <v>747</v>
      </c>
      <c r="F3095" s="211" t="s">
        <v>7265</v>
      </c>
    </row>
    <row r="3096" spans="1:6">
      <c r="A3096" s="211" t="s">
        <v>5072</v>
      </c>
      <c r="B3096" s="211">
        <v>6735</v>
      </c>
      <c r="C3096" s="211">
        <v>1243</v>
      </c>
      <c r="D3096" s="211" t="s">
        <v>1255</v>
      </c>
      <c r="E3096" s="211" t="s">
        <v>10385</v>
      </c>
      <c r="F3096" s="211" t="s">
        <v>7455</v>
      </c>
    </row>
    <row r="3097" spans="1:6">
      <c r="A3097" s="211" t="s">
        <v>748</v>
      </c>
      <c r="B3097" s="211">
        <v>3355</v>
      </c>
      <c r="C3097" s="211">
        <v>858</v>
      </c>
      <c r="D3097" s="211" t="s">
        <v>1117</v>
      </c>
      <c r="E3097" s="211" t="s">
        <v>10385</v>
      </c>
      <c r="F3097" s="211" t="s">
        <v>7267</v>
      </c>
    </row>
    <row r="3098" spans="1:6">
      <c r="A3098" s="211" t="s">
        <v>8031</v>
      </c>
      <c r="B3098" s="211">
        <v>2791</v>
      </c>
      <c r="C3098" s="211" t="s">
        <v>10385</v>
      </c>
      <c r="D3098" s="211" t="s">
        <v>1255</v>
      </c>
      <c r="E3098" s="211" t="s">
        <v>10385</v>
      </c>
      <c r="F3098" s="211" t="s">
        <v>7344</v>
      </c>
    </row>
    <row r="3099" spans="1:6">
      <c r="A3099" s="211" t="s">
        <v>749</v>
      </c>
      <c r="B3099" s="211">
        <v>4011</v>
      </c>
      <c r="C3099" s="211">
        <v>963</v>
      </c>
      <c r="D3099" s="211" t="s">
        <v>1255</v>
      </c>
      <c r="E3099" s="211" t="s">
        <v>10385</v>
      </c>
      <c r="F3099" s="211" t="s">
        <v>7331</v>
      </c>
    </row>
    <row r="3100" spans="1:6">
      <c r="A3100" s="211" t="s">
        <v>5853</v>
      </c>
      <c r="B3100" s="211">
        <v>7293</v>
      </c>
      <c r="C3100" s="211">
        <v>858</v>
      </c>
      <c r="D3100" s="211" t="s">
        <v>1255</v>
      </c>
      <c r="E3100" s="211" t="s">
        <v>10385</v>
      </c>
      <c r="F3100" s="211" t="s">
        <v>7444</v>
      </c>
    </row>
    <row r="3101" spans="1:6">
      <c r="A3101" s="211" t="s">
        <v>750</v>
      </c>
      <c r="B3101" s="211">
        <v>2435</v>
      </c>
      <c r="C3101" s="211">
        <v>908</v>
      </c>
      <c r="D3101" s="211" t="s">
        <v>1255</v>
      </c>
      <c r="E3101" s="211" t="s">
        <v>10385</v>
      </c>
      <c r="F3101" s="211" t="s">
        <v>7788</v>
      </c>
    </row>
    <row r="3102" spans="1:6">
      <c r="A3102" s="211" t="s">
        <v>8032</v>
      </c>
      <c r="B3102" s="211">
        <v>1095</v>
      </c>
      <c r="C3102" s="211" t="s">
        <v>10385</v>
      </c>
      <c r="D3102" s="211" t="s">
        <v>1255</v>
      </c>
      <c r="E3102" s="211" t="s">
        <v>10385</v>
      </c>
      <c r="F3102" s="211" t="s">
        <v>7788</v>
      </c>
    </row>
    <row r="3103" spans="1:6">
      <c r="A3103" s="211" t="s">
        <v>751</v>
      </c>
      <c r="B3103" s="211">
        <v>870</v>
      </c>
      <c r="C3103" s="211">
        <v>1204</v>
      </c>
      <c r="D3103" s="211" t="s">
        <v>1255</v>
      </c>
      <c r="E3103" s="211" t="s">
        <v>10385</v>
      </c>
      <c r="F3103" s="211" t="s">
        <v>7456</v>
      </c>
    </row>
    <row r="3104" spans="1:6">
      <c r="A3104" s="211" t="s">
        <v>3038</v>
      </c>
      <c r="B3104" s="211">
        <v>1434</v>
      </c>
      <c r="C3104" s="211">
        <v>1469</v>
      </c>
      <c r="D3104" s="211" t="s">
        <v>1255</v>
      </c>
      <c r="E3104" s="211" t="s">
        <v>10385</v>
      </c>
      <c r="F3104" s="211" t="s">
        <v>7388</v>
      </c>
    </row>
    <row r="3105" spans="1:6">
      <c r="A3105" s="211" t="s">
        <v>752</v>
      </c>
      <c r="B3105" s="211">
        <v>5061</v>
      </c>
      <c r="C3105" s="211">
        <v>1462</v>
      </c>
      <c r="D3105" s="211" t="s">
        <v>1255</v>
      </c>
      <c r="E3105" s="211" t="s">
        <v>10385</v>
      </c>
      <c r="F3105" s="211" t="s">
        <v>7283</v>
      </c>
    </row>
    <row r="3106" spans="1:6">
      <c r="A3106" s="211" t="s">
        <v>4891</v>
      </c>
      <c r="B3106" s="211">
        <v>925</v>
      </c>
      <c r="C3106" s="211">
        <v>1457</v>
      </c>
      <c r="D3106" s="211" t="s">
        <v>1255</v>
      </c>
      <c r="E3106" s="211" t="s">
        <v>3091</v>
      </c>
      <c r="F3106" s="211" t="s">
        <v>7263</v>
      </c>
    </row>
    <row r="3107" spans="1:6">
      <c r="A3107" s="211" t="s">
        <v>9493</v>
      </c>
      <c r="B3107" s="211">
        <v>8266</v>
      </c>
      <c r="C3107" s="211">
        <v>1009</v>
      </c>
      <c r="D3107" s="211" t="s">
        <v>1255</v>
      </c>
      <c r="E3107" s="211" t="s">
        <v>9494</v>
      </c>
      <c r="F3107" s="211" t="s">
        <v>7283</v>
      </c>
    </row>
    <row r="3108" spans="1:6">
      <c r="A3108" s="211" t="s">
        <v>753</v>
      </c>
      <c r="B3108" s="211">
        <v>1914</v>
      </c>
      <c r="C3108" s="211">
        <v>990</v>
      </c>
      <c r="D3108" s="211" t="s">
        <v>1255</v>
      </c>
      <c r="E3108" s="211" t="s">
        <v>10385</v>
      </c>
      <c r="F3108" s="211" t="s">
        <v>7257</v>
      </c>
    </row>
    <row r="3109" spans="1:6">
      <c r="A3109" s="211" t="s">
        <v>10660</v>
      </c>
      <c r="B3109" s="211">
        <v>8832</v>
      </c>
      <c r="C3109" s="211">
        <v>458</v>
      </c>
      <c r="D3109" s="211" t="s">
        <v>1255</v>
      </c>
      <c r="E3109" s="211" t="s">
        <v>10661</v>
      </c>
      <c r="F3109" s="211" t="s">
        <v>10408</v>
      </c>
    </row>
    <row r="3110" spans="1:6">
      <c r="A3110" s="211" t="s">
        <v>9495</v>
      </c>
      <c r="B3110" s="211">
        <v>8177</v>
      </c>
      <c r="C3110" s="211">
        <v>2004</v>
      </c>
      <c r="D3110" s="211" t="s">
        <v>1255</v>
      </c>
      <c r="E3110" s="211" t="s">
        <v>9496</v>
      </c>
      <c r="F3110" s="211" t="s">
        <v>7217</v>
      </c>
    </row>
    <row r="3111" spans="1:6">
      <c r="A3111" s="211" t="s">
        <v>754</v>
      </c>
      <c r="B3111" s="211">
        <v>1565</v>
      </c>
      <c r="C3111" s="211">
        <v>1118</v>
      </c>
      <c r="D3111" s="211" t="s">
        <v>1255</v>
      </c>
      <c r="E3111" s="211" t="s">
        <v>10385</v>
      </c>
      <c r="F3111" s="211" t="s">
        <v>7274</v>
      </c>
    </row>
    <row r="3112" spans="1:6">
      <c r="A3112" s="211" t="s">
        <v>8033</v>
      </c>
      <c r="B3112" s="211">
        <v>170</v>
      </c>
      <c r="C3112" s="211" t="s">
        <v>10385</v>
      </c>
      <c r="D3112" s="211" t="s">
        <v>1255</v>
      </c>
      <c r="E3112" s="211" t="s">
        <v>10385</v>
      </c>
      <c r="F3112" s="211" t="s">
        <v>7196</v>
      </c>
    </row>
    <row r="3113" spans="1:6">
      <c r="A3113" s="211" t="s">
        <v>8034</v>
      </c>
      <c r="B3113" s="211">
        <v>2970</v>
      </c>
      <c r="C3113" s="211" t="s">
        <v>10385</v>
      </c>
      <c r="D3113" s="211" t="s">
        <v>1255</v>
      </c>
      <c r="E3113" s="211" t="s">
        <v>10385</v>
      </c>
      <c r="F3113" s="211" t="s">
        <v>7334</v>
      </c>
    </row>
    <row r="3114" spans="1:6">
      <c r="A3114" s="211" t="s">
        <v>8035</v>
      </c>
      <c r="B3114" s="211">
        <v>3087</v>
      </c>
      <c r="C3114" s="211" t="s">
        <v>10385</v>
      </c>
      <c r="D3114" s="211" t="s">
        <v>1255</v>
      </c>
      <c r="E3114" s="211" t="s">
        <v>10385</v>
      </c>
      <c r="F3114" s="211" t="s">
        <v>7386</v>
      </c>
    </row>
    <row r="3115" spans="1:6">
      <c r="A3115" s="211" t="s">
        <v>755</v>
      </c>
      <c r="B3115" s="211">
        <v>1663</v>
      </c>
      <c r="C3115" s="211">
        <v>931</v>
      </c>
      <c r="D3115" s="211" t="s">
        <v>1255</v>
      </c>
      <c r="E3115" s="211" t="s">
        <v>10385</v>
      </c>
      <c r="F3115" s="211" t="s">
        <v>10341</v>
      </c>
    </row>
    <row r="3116" spans="1:6">
      <c r="A3116" s="211" t="s">
        <v>5073</v>
      </c>
      <c r="B3116" s="211">
        <v>6975</v>
      </c>
      <c r="C3116" s="211">
        <v>701</v>
      </c>
      <c r="D3116" s="211" t="s">
        <v>1255</v>
      </c>
      <c r="E3116" s="211" t="s">
        <v>9497</v>
      </c>
      <c r="F3116" s="211" t="s">
        <v>7349</v>
      </c>
    </row>
    <row r="3117" spans="1:6">
      <c r="A3117" s="211" t="s">
        <v>5323</v>
      </c>
      <c r="B3117" s="211">
        <v>6609</v>
      </c>
      <c r="C3117" s="211">
        <v>834</v>
      </c>
      <c r="D3117" s="211" t="s">
        <v>1255</v>
      </c>
      <c r="E3117" s="211" t="s">
        <v>10385</v>
      </c>
      <c r="F3117" s="211" t="s">
        <v>7673</v>
      </c>
    </row>
    <row r="3118" spans="1:6">
      <c r="A3118" s="211" t="s">
        <v>756</v>
      </c>
      <c r="B3118" s="211">
        <v>2358</v>
      </c>
      <c r="C3118" s="211">
        <v>1316</v>
      </c>
      <c r="D3118" s="211" t="s">
        <v>1255</v>
      </c>
      <c r="E3118" s="211" t="s">
        <v>10385</v>
      </c>
      <c r="F3118" s="211" t="s">
        <v>7477</v>
      </c>
    </row>
    <row r="3119" spans="1:6">
      <c r="A3119" s="211" t="s">
        <v>5074</v>
      </c>
      <c r="B3119" s="211">
        <v>6872</v>
      </c>
      <c r="C3119" s="211">
        <v>1016</v>
      </c>
      <c r="D3119" s="211" t="s">
        <v>1255</v>
      </c>
      <c r="E3119" s="211" t="s">
        <v>5854</v>
      </c>
      <c r="F3119" s="211" t="s">
        <v>7433</v>
      </c>
    </row>
    <row r="3120" spans="1:6">
      <c r="A3120" s="211" t="s">
        <v>757</v>
      </c>
      <c r="B3120" s="211">
        <v>5823</v>
      </c>
      <c r="C3120" s="211">
        <v>974</v>
      </c>
      <c r="D3120" s="211" t="s">
        <v>1117</v>
      </c>
      <c r="E3120" s="211" t="s">
        <v>10385</v>
      </c>
      <c r="F3120" s="211" t="s">
        <v>7235</v>
      </c>
    </row>
    <row r="3121" spans="1:6">
      <c r="A3121" s="211" t="s">
        <v>2897</v>
      </c>
      <c r="B3121" s="211">
        <v>2829</v>
      </c>
      <c r="C3121" s="211">
        <v>1770</v>
      </c>
      <c r="D3121" s="211" t="s">
        <v>1255</v>
      </c>
      <c r="E3121" s="211" t="s">
        <v>10385</v>
      </c>
      <c r="F3121" s="211" t="s">
        <v>7384</v>
      </c>
    </row>
    <row r="3122" spans="1:6">
      <c r="A3122" s="211" t="s">
        <v>2910</v>
      </c>
      <c r="B3122" s="211">
        <v>1833</v>
      </c>
      <c r="C3122" s="211">
        <v>1341</v>
      </c>
      <c r="D3122" s="211" t="s">
        <v>1255</v>
      </c>
      <c r="E3122" s="211" t="s">
        <v>10385</v>
      </c>
      <c r="F3122" s="211" t="s">
        <v>7264</v>
      </c>
    </row>
    <row r="3123" spans="1:6">
      <c r="A3123" s="211" t="s">
        <v>10662</v>
      </c>
      <c r="B3123" s="211">
        <v>8614</v>
      </c>
      <c r="C3123" s="211">
        <v>1211</v>
      </c>
      <c r="D3123" s="211" t="s">
        <v>1255</v>
      </c>
      <c r="E3123" s="211" t="s">
        <v>10663</v>
      </c>
      <c r="F3123" s="211" t="s">
        <v>7233</v>
      </c>
    </row>
    <row r="3124" spans="1:6">
      <c r="A3124" s="211" t="s">
        <v>758</v>
      </c>
      <c r="B3124" s="211">
        <v>2627</v>
      </c>
      <c r="C3124" s="211">
        <v>753</v>
      </c>
      <c r="D3124" s="211" t="s">
        <v>1255</v>
      </c>
      <c r="E3124" s="211" t="s">
        <v>10385</v>
      </c>
      <c r="F3124" s="211" t="s">
        <v>7175</v>
      </c>
    </row>
    <row r="3125" spans="1:6">
      <c r="A3125" s="211" t="s">
        <v>759</v>
      </c>
      <c r="B3125" s="211">
        <v>5818</v>
      </c>
      <c r="C3125" s="211">
        <v>1059</v>
      </c>
      <c r="D3125" s="211" t="s">
        <v>1255</v>
      </c>
      <c r="E3125" s="211" t="s">
        <v>10385</v>
      </c>
      <c r="F3125" s="211" t="s">
        <v>7430</v>
      </c>
    </row>
    <row r="3126" spans="1:6">
      <c r="A3126" s="211" t="s">
        <v>760</v>
      </c>
      <c r="B3126" s="211">
        <v>1105</v>
      </c>
      <c r="C3126" s="211">
        <v>1081</v>
      </c>
      <c r="D3126" s="211" t="s">
        <v>1255</v>
      </c>
      <c r="E3126" s="211" t="s">
        <v>10385</v>
      </c>
      <c r="F3126" s="211" t="s">
        <v>7255</v>
      </c>
    </row>
    <row r="3127" spans="1:6">
      <c r="A3127" s="211" t="s">
        <v>761</v>
      </c>
      <c r="B3127" s="211">
        <v>3262</v>
      </c>
      <c r="C3127" s="211">
        <v>1130</v>
      </c>
      <c r="D3127" s="211" t="s">
        <v>1255</v>
      </c>
      <c r="E3127" s="211" t="s">
        <v>10385</v>
      </c>
      <c r="F3127" s="211" t="s">
        <v>7199</v>
      </c>
    </row>
    <row r="3128" spans="1:6">
      <c r="A3128" s="211" t="s">
        <v>8036</v>
      </c>
      <c r="B3128" s="211">
        <v>192</v>
      </c>
      <c r="C3128" s="211" t="s">
        <v>10385</v>
      </c>
      <c r="D3128" s="211" t="s">
        <v>1255</v>
      </c>
      <c r="E3128" s="211" t="s">
        <v>10385</v>
      </c>
      <c r="F3128" s="211" t="s">
        <v>7173</v>
      </c>
    </row>
    <row r="3129" spans="1:6">
      <c r="A3129" s="211" t="s">
        <v>762</v>
      </c>
      <c r="B3129" s="211">
        <v>4921</v>
      </c>
      <c r="C3129" s="211">
        <v>1094</v>
      </c>
      <c r="D3129" s="211" t="s">
        <v>1255</v>
      </c>
      <c r="E3129" s="211" t="s">
        <v>10385</v>
      </c>
      <c r="F3129" s="211" t="s">
        <v>7581</v>
      </c>
    </row>
    <row r="3130" spans="1:6">
      <c r="A3130" s="211" t="s">
        <v>10664</v>
      </c>
      <c r="B3130" s="211">
        <v>8632</v>
      </c>
      <c r="C3130" s="211">
        <v>798</v>
      </c>
      <c r="D3130" s="211" t="s">
        <v>1255</v>
      </c>
      <c r="E3130" s="211" t="s">
        <v>10665</v>
      </c>
      <c r="F3130" s="211" t="s">
        <v>10474</v>
      </c>
    </row>
    <row r="3131" spans="1:6">
      <c r="A3131" s="211" t="s">
        <v>763</v>
      </c>
      <c r="B3131" s="211">
        <v>4383</v>
      </c>
      <c r="C3131" s="211">
        <v>1831</v>
      </c>
      <c r="D3131" s="211" t="s">
        <v>1255</v>
      </c>
      <c r="E3131" s="211" t="s">
        <v>6828</v>
      </c>
      <c r="F3131" s="211" t="s">
        <v>7247</v>
      </c>
    </row>
    <row r="3132" spans="1:6">
      <c r="A3132" s="211" t="s">
        <v>764</v>
      </c>
      <c r="B3132" s="211">
        <v>1189</v>
      </c>
      <c r="C3132" s="211">
        <v>1407</v>
      </c>
      <c r="D3132" s="211" t="s">
        <v>1255</v>
      </c>
      <c r="E3132" s="211" t="s">
        <v>10385</v>
      </c>
      <c r="F3132" s="211" t="s">
        <v>7318</v>
      </c>
    </row>
    <row r="3133" spans="1:6">
      <c r="A3133" s="211" t="s">
        <v>765</v>
      </c>
      <c r="B3133" s="211">
        <v>3496</v>
      </c>
      <c r="C3133" s="211">
        <v>1048</v>
      </c>
      <c r="D3133" s="211" t="s">
        <v>1255</v>
      </c>
      <c r="E3133" s="211" t="s">
        <v>10385</v>
      </c>
      <c r="F3133" s="211" t="s">
        <v>7177</v>
      </c>
    </row>
    <row r="3134" spans="1:6">
      <c r="A3134" s="211" t="s">
        <v>766</v>
      </c>
      <c r="B3134" s="211">
        <v>6566</v>
      </c>
      <c r="C3134" s="211">
        <v>594</v>
      </c>
      <c r="D3134" s="211" t="s">
        <v>1117</v>
      </c>
      <c r="E3134" s="211" t="s">
        <v>10385</v>
      </c>
      <c r="F3134" s="211" t="s">
        <v>7197</v>
      </c>
    </row>
    <row r="3135" spans="1:6">
      <c r="A3135" s="211" t="s">
        <v>5075</v>
      </c>
      <c r="B3135" s="211">
        <v>7030</v>
      </c>
      <c r="C3135" s="211">
        <v>851</v>
      </c>
      <c r="D3135" s="211" t="s">
        <v>1255</v>
      </c>
      <c r="E3135" s="211" t="s">
        <v>10385</v>
      </c>
      <c r="F3135" s="211" t="s">
        <v>7279</v>
      </c>
    </row>
    <row r="3136" spans="1:6">
      <c r="A3136" s="211" t="s">
        <v>767</v>
      </c>
      <c r="B3136" s="211">
        <v>2881</v>
      </c>
      <c r="C3136" s="211">
        <v>950</v>
      </c>
      <c r="D3136" s="211" t="s">
        <v>1255</v>
      </c>
      <c r="E3136" s="211" t="s">
        <v>10385</v>
      </c>
      <c r="F3136" s="211" t="s">
        <v>7430</v>
      </c>
    </row>
    <row r="3137" spans="1:6">
      <c r="A3137" s="211" t="s">
        <v>5855</v>
      </c>
      <c r="B3137" s="211">
        <v>7495</v>
      </c>
      <c r="C3137" s="211">
        <v>698</v>
      </c>
      <c r="D3137" s="211" t="s">
        <v>1117</v>
      </c>
      <c r="E3137" s="211" t="s">
        <v>5856</v>
      </c>
      <c r="F3137" s="211" t="s">
        <v>7435</v>
      </c>
    </row>
    <row r="3138" spans="1:6">
      <c r="A3138" s="211" t="s">
        <v>5857</v>
      </c>
      <c r="B3138" s="211">
        <v>7459</v>
      </c>
      <c r="C3138" s="211">
        <v>789</v>
      </c>
      <c r="D3138" s="211" t="s">
        <v>1255</v>
      </c>
      <c r="E3138" s="211" t="s">
        <v>5858</v>
      </c>
      <c r="F3138" s="211" t="s">
        <v>7789</v>
      </c>
    </row>
    <row r="3139" spans="1:6">
      <c r="A3139" s="211" t="s">
        <v>768</v>
      </c>
      <c r="B3139" s="211">
        <v>7709</v>
      </c>
      <c r="C3139" s="211">
        <v>1151</v>
      </c>
      <c r="D3139" s="211" t="s">
        <v>1255</v>
      </c>
      <c r="E3139" s="211" t="s">
        <v>9498</v>
      </c>
      <c r="F3139" s="211" t="s">
        <v>7415</v>
      </c>
    </row>
    <row r="3140" spans="1:6">
      <c r="A3140" s="211" t="s">
        <v>5859</v>
      </c>
      <c r="B3140" s="211">
        <v>7083</v>
      </c>
      <c r="C3140" s="211">
        <v>1328</v>
      </c>
      <c r="D3140" s="211" t="s">
        <v>1255</v>
      </c>
      <c r="E3140" s="211" t="s">
        <v>9499</v>
      </c>
      <c r="F3140" s="211" t="s">
        <v>7415</v>
      </c>
    </row>
    <row r="3141" spans="1:6">
      <c r="A3141" s="211" t="s">
        <v>769</v>
      </c>
      <c r="B3141" s="211">
        <v>5736</v>
      </c>
      <c r="C3141" s="211">
        <v>1091</v>
      </c>
      <c r="D3141" s="211" t="s">
        <v>1255</v>
      </c>
      <c r="E3141" s="211" t="s">
        <v>10385</v>
      </c>
      <c r="F3141" s="211" t="s">
        <v>7357</v>
      </c>
    </row>
    <row r="3142" spans="1:6">
      <c r="A3142" s="211" t="s">
        <v>8037</v>
      </c>
      <c r="B3142" s="211">
        <v>41</v>
      </c>
      <c r="C3142" s="211" t="s">
        <v>10385</v>
      </c>
      <c r="D3142" s="211" t="s">
        <v>1255</v>
      </c>
      <c r="E3142" s="211" t="s">
        <v>10385</v>
      </c>
      <c r="F3142" s="211" t="s">
        <v>7243</v>
      </c>
    </row>
    <row r="3143" spans="1:6">
      <c r="A3143" s="211" t="s">
        <v>3041</v>
      </c>
      <c r="B3143" s="211">
        <v>1238</v>
      </c>
      <c r="C3143" s="211">
        <v>1559</v>
      </c>
      <c r="D3143" s="211" t="s">
        <v>1255</v>
      </c>
      <c r="E3143" s="211" t="s">
        <v>10385</v>
      </c>
      <c r="F3143" s="211" t="s">
        <v>7384</v>
      </c>
    </row>
    <row r="3144" spans="1:6">
      <c r="A3144" s="211" t="s">
        <v>770</v>
      </c>
      <c r="B3144" s="211">
        <v>4316</v>
      </c>
      <c r="C3144" s="211">
        <v>1431</v>
      </c>
      <c r="D3144" s="211" t="s">
        <v>1255</v>
      </c>
      <c r="E3144" s="211" t="s">
        <v>10385</v>
      </c>
      <c r="F3144" s="211" t="s">
        <v>7327</v>
      </c>
    </row>
    <row r="3145" spans="1:6">
      <c r="A3145" s="211" t="s">
        <v>9500</v>
      </c>
      <c r="B3145" s="211">
        <v>8565</v>
      </c>
      <c r="C3145" s="211" t="s">
        <v>10385</v>
      </c>
      <c r="D3145" s="211" t="s">
        <v>1117</v>
      </c>
      <c r="E3145" s="211" t="s">
        <v>9501</v>
      </c>
      <c r="F3145" s="211" t="s">
        <v>7322</v>
      </c>
    </row>
    <row r="3146" spans="1:6">
      <c r="A3146" s="211" t="s">
        <v>771</v>
      </c>
      <c r="B3146" s="211">
        <v>5872</v>
      </c>
      <c r="C3146" s="211">
        <v>1352</v>
      </c>
      <c r="D3146" s="211" t="s">
        <v>1255</v>
      </c>
      <c r="E3146" s="211" t="s">
        <v>10385</v>
      </c>
      <c r="F3146" s="211" t="s">
        <v>7333</v>
      </c>
    </row>
    <row r="3147" spans="1:6">
      <c r="A3147" s="211" t="s">
        <v>5860</v>
      </c>
      <c r="B3147" s="211">
        <v>7354</v>
      </c>
      <c r="C3147" s="211">
        <v>1363</v>
      </c>
      <c r="D3147" s="211" t="s">
        <v>1255</v>
      </c>
      <c r="E3147" s="211" t="s">
        <v>10385</v>
      </c>
      <c r="F3147" s="211" t="s">
        <v>7375</v>
      </c>
    </row>
    <row r="3148" spans="1:6">
      <c r="A3148" s="211" t="s">
        <v>4588</v>
      </c>
      <c r="B3148" s="211">
        <v>6302</v>
      </c>
      <c r="C3148" s="211">
        <v>1027</v>
      </c>
      <c r="D3148" s="211" t="s">
        <v>1255</v>
      </c>
      <c r="E3148" s="211" t="s">
        <v>3079</v>
      </c>
      <c r="F3148" s="211" t="s">
        <v>7215</v>
      </c>
    </row>
    <row r="3149" spans="1:6">
      <c r="A3149" s="211" t="s">
        <v>772</v>
      </c>
      <c r="B3149" s="211">
        <v>2478</v>
      </c>
      <c r="C3149" s="211">
        <v>1287</v>
      </c>
      <c r="D3149" s="211" t="s">
        <v>1255</v>
      </c>
      <c r="E3149" s="211" t="s">
        <v>10385</v>
      </c>
      <c r="F3149" s="211" t="s">
        <v>7355</v>
      </c>
    </row>
    <row r="3150" spans="1:6">
      <c r="A3150" s="211" t="s">
        <v>8928</v>
      </c>
      <c r="B3150" s="211">
        <v>2206</v>
      </c>
      <c r="C3150" s="211">
        <v>1323</v>
      </c>
      <c r="D3150" s="211" t="s">
        <v>1255</v>
      </c>
      <c r="E3150" s="211" t="s">
        <v>10385</v>
      </c>
      <c r="F3150" s="211" t="s">
        <v>7312</v>
      </c>
    </row>
    <row r="3151" spans="1:6">
      <c r="A3151" s="211" t="s">
        <v>8929</v>
      </c>
      <c r="B3151" s="211">
        <v>3260</v>
      </c>
      <c r="C3151" s="211" t="s">
        <v>10385</v>
      </c>
      <c r="D3151" s="211" t="s">
        <v>1255</v>
      </c>
      <c r="E3151" s="211" t="s">
        <v>10385</v>
      </c>
      <c r="F3151" s="211" t="s">
        <v>7384</v>
      </c>
    </row>
    <row r="3152" spans="1:6">
      <c r="A3152" s="211" t="s">
        <v>4901</v>
      </c>
      <c r="B3152" s="211">
        <v>5144</v>
      </c>
      <c r="C3152" s="211">
        <v>1312</v>
      </c>
      <c r="D3152" s="211" t="s">
        <v>1255</v>
      </c>
      <c r="E3152" s="211" t="s">
        <v>10385</v>
      </c>
      <c r="F3152" s="211" t="s">
        <v>10391</v>
      </c>
    </row>
    <row r="3153" spans="1:6">
      <c r="A3153" s="211" t="s">
        <v>773</v>
      </c>
      <c r="B3153" s="211">
        <v>3481</v>
      </c>
      <c r="C3153" s="211">
        <v>1733</v>
      </c>
      <c r="D3153" s="211" t="s">
        <v>1255</v>
      </c>
      <c r="E3153" s="211" t="s">
        <v>10385</v>
      </c>
      <c r="F3153" s="211" t="s">
        <v>7224</v>
      </c>
    </row>
    <row r="3154" spans="1:6">
      <c r="A3154" s="211" t="s">
        <v>10666</v>
      </c>
      <c r="B3154" s="211">
        <v>8784</v>
      </c>
      <c r="C3154" s="211">
        <v>1303</v>
      </c>
      <c r="D3154" s="211" t="s">
        <v>1255</v>
      </c>
      <c r="E3154" s="211" t="s">
        <v>10667</v>
      </c>
      <c r="F3154" s="211" t="s">
        <v>7427</v>
      </c>
    </row>
    <row r="3155" spans="1:6">
      <c r="A3155" s="211" t="s">
        <v>774</v>
      </c>
      <c r="B3155" s="211">
        <v>1519</v>
      </c>
      <c r="C3155" s="211">
        <v>2248</v>
      </c>
      <c r="D3155" s="211" t="s">
        <v>1255</v>
      </c>
      <c r="E3155" s="211" t="s">
        <v>10385</v>
      </c>
      <c r="F3155" s="211" t="s">
        <v>7267</v>
      </c>
    </row>
    <row r="3156" spans="1:6">
      <c r="A3156" s="211" t="s">
        <v>8038</v>
      </c>
      <c r="B3156" s="211">
        <v>6765</v>
      </c>
      <c r="C3156" s="211">
        <v>720</v>
      </c>
      <c r="D3156" s="211" t="s">
        <v>1255</v>
      </c>
      <c r="E3156" s="211" t="s">
        <v>10385</v>
      </c>
      <c r="F3156" s="211" t="s">
        <v>7571</v>
      </c>
    </row>
    <row r="3157" spans="1:6">
      <c r="A3157" s="211" t="s">
        <v>8039</v>
      </c>
      <c r="B3157" s="211">
        <v>44</v>
      </c>
      <c r="C3157" s="211" t="s">
        <v>10385</v>
      </c>
      <c r="D3157" s="211" t="s">
        <v>1255</v>
      </c>
      <c r="E3157" s="211" t="s">
        <v>10385</v>
      </c>
      <c r="F3157" s="211" t="s">
        <v>7243</v>
      </c>
    </row>
    <row r="3158" spans="1:6">
      <c r="A3158" s="211" t="s">
        <v>775</v>
      </c>
      <c r="B3158" s="211">
        <v>4643</v>
      </c>
      <c r="C3158" s="211">
        <v>1079</v>
      </c>
      <c r="D3158" s="211" t="s">
        <v>1117</v>
      </c>
      <c r="E3158" s="211" t="s">
        <v>10385</v>
      </c>
      <c r="F3158" s="211" t="s">
        <v>7173</v>
      </c>
    </row>
    <row r="3159" spans="1:6">
      <c r="A3159" s="211" t="s">
        <v>5076</v>
      </c>
      <c r="B3159" s="211">
        <v>2350</v>
      </c>
      <c r="C3159" s="211" t="s">
        <v>10385</v>
      </c>
      <c r="D3159" s="211" t="s">
        <v>1255</v>
      </c>
      <c r="E3159" s="211" t="s">
        <v>10385</v>
      </c>
      <c r="F3159" s="211" t="s">
        <v>7237</v>
      </c>
    </row>
    <row r="3160" spans="1:6">
      <c r="A3160" s="211" t="s">
        <v>2975</v>
      </c>
      <c r="B3160" s="211">
        <v>2277</v>
      </c>
      <c r="C3160" s="211">
        <v>1472</v>
      </c>
      <c r="D3160" s="211" t="s">
        <v>1255</v>
      </c>
      <c r="E3160" s="211" t="s">
        <v>10385</v>
      </c>
      <c r="F3160" s="211" t="s">
        <v>7267</v>
      </c>
    </row>
    <row r="3161" spans="1:6">
      <c r="A3161" s="211" t="s">
        <v>776</v>
      </c>
      <c r="B3161" s="211">
        <v>5656</v>
      </c>
      <c r="C3161" s="211">
        <v>825</v>
      </c>
      <c r="D3161" s="211" t="s">
        <v>1117</v>
      </c>
      <c r="E3161" s="211" t="s">
        <v>10385</v>
      </c>
      <c r="F3161" s="211" t="s">
        <v>7186</v>
      </c>
    </row>
    <row r="3162" spans="1:6">
      <c r="A3162" s="211" t="s">
        <v>777</v>
      </c>
      <c r="B3162" s="211">
        <v>3178</v>
      </c>
      <c r="C3162" s="211">
        <v>981</v>
      </c>
      <c r="D3162" s="211" t="s">
        <v>1255</v>
      </c>
      <c r="E3162" s="211" t="s">
        <v>10385</v>
      </c>
      <c r="F3162" s="211" t="s">
        <v>7874</v>
      </c>
    </row>
    <row r="3163" spans="1:6">
      <c r="A3163" s="211" t="s">
        <v>778</v>
      </c>
      <c r="B3163" s="211">
        <v>2740</v>
      </c>
      <c r="C3163" s="211">
        <v>980</v>
      </c>
      <c r="D3163" s="211" t="s">
        <v>1255</v>
      </c>
      <c r="E3163" s="211" t="s">
        <v>10385</v>
      </c>
      <c r="F3163" s="211" t="s">
        <v>7162</v>
      </c>
    </row>
    <row r="3164" spans="1:6">
      <c r="A3164" s="211" t="s">
        <v>2868</v>
      </c>
      <c r="B3164" s="211">
        <v>3851</v>
      </c>
      <c r="C3164" s="211">
        <v>1074</v>
      </c>
      <c r="D3164" s="211" t="s">
        <v>1117</v>
      </c>
      <c r="E3164" s="211" t="s">
        <v>10385</v>
      </c>
      <c r="F3164" s="211" t="s">
        <v>7384</v>
      </c>
    </row>
    <row r="3165" spans="1:6">
      <c r="A3165" s="211" t="s">
        <v>8040</v>
      </c>
      <c r="B3165" s="211">
        <v>1792</v>
      </c>
      <c r="C3165" s="211">
        <v>1455</v>
      </c>
      <c r="D3165" s="211" t="s">
        <v>1255</v>
      </c>
      <c r="E3165" s="211" t="s">
        <v>10385</v>
      </c>
      <c r="F3165" s="211" t="s">
        <v>7433</v>
      </c>
    </row>
    <row r="3166" spans="1:6">
      <c r="A3166" s="211" t="s">
        <v>779</v>
      </c>
      <c r="B3166" s="211">
        <v>2542</v>
      </c>
      <c r="C3166" s="211">
        <v>1191</v>
      </c>
      <c r="D3166" s="211" t="s">
        <v>1255</v>
      </c>
      <c r="E3166" s="211" t="s">
        <v>10385</v>
      </c>
      <c r="F3166" s="211" t="s">
        <v>7354</v>
      </c>
    </row>
    <row r="3167" spans="1:6">
      <c r="A3167" s="211" t="s">
        <v>780</v>
      </c>
      <c r="B3167" s="211">
        <v>4648</v>
      </c>
      <c r="C3167" s="211">
        <v>1134</v>
      </c>
      <c r="D3167" s="211" t="s">
        <v>1255</v>
      </c>
      <c r="E3167" s="211" t="s">
        <v>10385</v>
      </c>
      <c r="F3167" s="211" t="s">
        <v>7275</v>
      </c>
    </row>
    <row r="3168" spans="1:6">
      <c r="A3168" s="211" t="s">
        <v>781</v>
      </c>
      <c r="B3168" s="211">
        <v>3347</v>
      </c>
      <c r="C3168" s="211">
        <v>1591</v>
      </c>
      <c r="D3168" s="211" t="s">
        <v>1255</v>
      </c>
      <c r="E3168" s="211" t="s">
        <v>10385</v>
      </c>
      <c r="F3168" s="211" t="s">
        <v>7430</v>
      </c>
    </row>
    <row r="3169" spans="1:6">
      <c r="A3169" s="211" t="s">
        <v>782</v>
      </c>
      <c r="B3169" s="211">
        <v>2618</v>
      </c>
      <c r="C3169" s="211">
        <v>1472</v>
      </c>
      <c r="D3169" s="211" t="s">
        <v>1255</v>
      </c>
      <c r="E3169" s="211" t="s">
        <v>10385</v>
      </c>
      <c r="F3169" s="211" t="s">
        <v>7430</v>
      </c>
    </row>
    <row r="3170" spans="1:6">
      <c r="A3170" s="211" t="s">
        <v>783</v>
      </c>
      <c r="B3170" s="211">
        <v>3346</v>
      </c>
      <c r="C3170" s="211">
        <v>1776</v>
      </c>
      <c r="D3170" s="211" t="s">
        <v>1255</v>
      </c>
      <c r="E3170" s="211" t="s">
        <v>5861</v>
      </c>
      <c r="F3170" s="211" t="s">
        <v>7430</v>
      </c>
    </row>
    <row r="3171" spans="1:6">
      <c r="A3171" s="211" t="s">
        <v>784</v>
      </c>
      <c r="B3171" s="211">
        <v>4304</v>
      </c>
      <c r="C3171" s="211">
        <v>1396</v>
      </c>
      <c r="D3171" s="211" t="s">
        <v>1255</v>
      </c>
      <c r="E3171" s="211" t="s">
        <v>10385</v>
      </c>
      <c r="F3171" s="211" t="s">
        <v>7263</v>
      </c>
    </row>
    <row r="3172" spans="1:6">
      <c r="A3172" s="211" t="s">
        <v>9502</v>
      </c>
      <c r="B3172" s="211">
        <v>8145</v>
      </c>
      <c r="C3172" s="211">
        <v>1138</v>
      </c>
      <c r="D3172" s="211" t="s">
        <v>1117</v>
      </c>
      <c r="E3172" s="211" t="s">
        <v>9503</v>
      </c>
      <c r="F3172" s="211" t="s">
        <v>7386</v>
      </c>
    </row>
    <row r="3173" spans="1:6">
      <c r="A3173" s="211" t="s">
        <v>785</v>
      </c>
      <c r="B3173" s="211">
        <v>2524</v>
      </c>
      <c r="C3173" s="211">
        <v>1530</v>
      </c>
      <c r="D3173" s="211" t="s">
        <v>1255</v>
      </c>
      <c r="E3173" s="211" t="s">
        <v>10385</v>
      </c>
      <c r="F3173" s="211" t="s">
        <v>7249</v>
      </c>
    </row>
    <row r="3174" spans="1:6">
      <c r="A3174" s="211" t="s">
        <v>8041</v>
      </c>
      <c r="B3174" s="211">
        <v>277</v>
      </c>
      <c r="C3174" s="211" t="s">
        <v>10385</v>
      </c>
      <c r="D3174" s="211" t="s">
        <v>1255</v>
      </c>
      <c r="E3174" s="211" t="s">
        <v>10385</v>
      </c>
      <c r="F3174" s="211" t="s">
        <v>7270</v>
      </c>
    </row>
    <row r="3175" spans="1:6">
      <c r="A3175" s="211" t="s">
        <v>4495</v>
      </c>
      <c r="B3175" s="211">
        <v>6590</v>
      </c>
      <c r="C3175" s="211">
        <v>1156</v>
      </c>
      <c r="D3175" s="211" t="s">
        <v>1255</v>
      </c>
      <c r="E3175" s="211" t="s">
        <v>10385</v>
      </c>
      <c r="F3175" s="211" t="s">
        <v>7390</v>
      </c>
    </row>
    <row r="3176" spans="1:6">
      <c r="A3176" s="211" t="s">
        <v>786</v>
      </c>
      <c r="B3176" s="211">
        <v>332</v>
      </c>
      <c r="C3176" s="211">
        <v>1871</v>
      </c>
      <c r="D3176" s="211" t="s">
        <v>1255</v>
      </c>
      <c r="E3176" s="211" t="s">
        <v>10385</v>
      </c>
      <c r="F3176" s="211" t="s">
        <v>7210</v>
      </c>
    </row>
    <row r="3177" spans="1:6">
      <c r="A3177" s="211" t="s">
        <v>6829</v>
      </c>
      <c r="B3177" s="211">
        <v>7796</v>
      </c>
      <c r="C3177" s="211">
        <v>1211</v>
      </c>
      <c r="D3177" s="211" t="s">
        <v>1255</v>
      </c>
      <c r="E3177" s="211" t="s">
        <v>10385</v>
      </c>
      <c r="F3177" s="211" t="s">
        <v>7249</v>
      </c>
    </row>
    <row r="3178" spans="1:6">
      <c r="A3178" s="211" t="s">
        <v>787</v>
      </c>
      <c r="B3178" s="211">
        <v>3671</v>
      </c>
      <c r="C3178" s="211">
        <v>1310</v>
      </c>
      <c r="D3178" s="211" t="s">
        <v>1117</v>
      </c>
      <c r="E3178" s="211" t="s">
        <v>10385</v>
      </c>
      <c r="F3178" s="211" t="s">
        <v>7224</v>
      </c>
    </row>
    <row r="3179" spans="1:6">
      <c r="A3179" s="211" t="s">
        <v>788</v>
      </c>
      <c r="B3179" s="211">
        <v>4592</v>
      </c>
      <c r="C3179" s="211">
        <v>775</v>
      </c>
      <c r="D3179" s="211" t="s">
        <v>1117</v>
      </c>
      <c r="E3179" s="211" t="s">
        <v>10385</v>
      </c>
      <c r="F3179" s="211" t="s">
        <v>7224</v>
      </c>
    </row>
    <row r="3180" spans="1:6">
      <c r="A3180" s="211" t="s">
        <v>789</v>
      </c>
      <c r="B3180" s="211">
        <v>3348</v>
      </c>
      <c r="C3180" s="211">
        <v>1702</v>
      </c>
      <c r="D3180" s="211" t="s">
        <v>1255</v>
      </c>
      <c r="E3180" s="211" t="s">
        <v>10385</v>
      </c>
      <c r="F3180" s="211" t="s">
        <v>7365</v>
      </c>
    </row>
    <row r="3181" spans="1:6">
      <c r="A3181" s="211" t="s">
        <v>790</v>
      </c>
      <c r="B3181" s="211">
        <v>4390</v>
      </c>
      <c r="C3181" s="211">
        <v>1436</v>
      </c>
      <c r="D3181" s="211" t="s">
        <v>1255</v>
      </c>
      <c r="E3181" s="211" t="s">
        <v>10385</v>
      </c>
      <c r="F3181" s="211" t="s">
        <v>7310</v>
      </c>
    </row>
    <row r="3182" spans="1:6">
      <c r="A3182" s="211" t="s">
        <v>8042</v>
      </c>
      <c r="B3182" s="211">
        <v>30</v>
      </c>
      <c r="C3182" s="211" t="s">
        <v>10385</v>
      </c>
      <c r="D3182" s="211" t="s">
        <v>1255</v>
      </c>
      <c r="E3182" s="211" t="s">
        <v>10385</v>
      </c>
      <c r="F3182" s="211" t="s">
        <v>7199</v>
      </c>
    </row>
    <row r="3183" spans="1:6">
      <c r="A3183" s="211" t="s">
        <v>791</v>
      </c>
      <c r="B3183" s="211">
        <v>3696</v>
      </c>
      <c r="C3183" s="211">
        <v>1632</v>
      </c>
      <c r="D3183" s="211" t="s">
        <v>1255</v>
      </c>
      <c r="E3183" s="211" t="s">
        <v>10385</v>
      </c>
      <c r="F3183" s="211" t="s">
        <v>7402</v>
      </c>
    </row>
    <row r="3184" spans="1:6">
      <c r="A3184" s="211" t="s">
        <v>9504</v>
      </c>
      <c r="B3184" s="211">
        <v>8389</v>
      </c>
      <c r="C3184" s="211" t="s">
        <v>10385</v>
      </c>
      <c r="D3184" s="211" t="s">
        <v>1117</v>
      </c>
      <c r="E3184" s="211" t="s">
        <v>10385</v>
      </c>
      <c r="F3184" s="211" t="s">
        <v>7282</v>
      </c>
    </row>
    <row r="3185" spans="1:6">
      <c r="A3185" s="211" t="s">
        <v>792</v>
      </c>
      <c r="B3185" s="211">
        <v>2871</v>
      </c>
      <c r="C3185" s="211">
        <v>1811</v>
      </c>
      <c r="D3185" s="211" t="s">
        <v>1255</v>
      </c>
      <c r="E3185" s="211" t="s">
        <v>10385</v>
      </c>
      <c r="F3185" s="211" t="s">
        <v>7316</v>
      </c>
    </row>
    <row r="3186" spans="1:6">
      <c r="A3186" s="211" t="s">
        <v>4667</v>
      </c>
      <c r="B3186" s="211">
        <v>6429</v>
      </c>
      <c r="C3186" s="211">
        <v>897</v>
      </c>
      <c r="D3186" s="211" t="s">
        <v>1117</v>
      </c>
      <c r="E3186" s="211" t="s">
        <v>10385</v>
      </c>
      <c r="F3186" s="211" t="s">
        <v>7167</v>
      </c>
    </row>
    <row r="3187" spans="1:6">
      <c r="A3187" s="211" t="s">
        <v>8043</v>
      </c>
      <c r="B3187" s="211">
        <v>321</v>
      </c>
      <c r="C3187" s="211" t="s">
        <v>10385</v>
      </c>
      <c r="D3187" s="211" t="s">
        <v>1255</v>
      </c>
      <c r="E3187" s="211" t="s">
        <v>10385</v>
      </c>
      <c r="F3187" s="211" t="s">
        <v>7207</v>
      </c>
    </row>
    <row r="3188" spans="1:6">
      <c r="A3188" s="211" t="s">
        <v>793</v>
      </c>
      <c r="B3188" s="211">
        <v>3702</v>
      </c>
      <c r="C3188" s="211">
        <v>1593</v>
      </c>
      <c r="D3188" s="211" t="s">
        <v>1255</v>
      </c>
      <c r="E3188" s="211" t="s">
        <v>10385</v>
      </c>
      <c r="F3188" s="211" t="s">
        <v>7386</v>
      </c>
    </row>
    <row r="3189" spans="1:6">
      <c r="A3189" s="211" t="s">
        <v>5862</v>
      </c>
      <c r="B3189" s="211">
        <v>7613</v>
      </c>
      <c r="C3189" s="211">
        <v>1335</v>
      </c>
      <c r="D3189" s="211" t="s">
        <v>1255</v>
      </c>
      <c r="E3189" s="211" t="s">
        <v>5863</v>
      </c>
      <c r="F3189" s="211" t="s">
        <v>7282</v>
      </c>
    </row>
    <row r="3190" spans="1:6">
      <c r="A3190" s="211" t="s">
        <v>794</v>
      </c>
      <c r="B3190" s="211">
        <v>850</v>
      </c>
      <c r="C3190" s="211">
        <v>2137</v>
      </c>
      <c r="D3190" s="211" t="s">
        <v>1255</v>
      </c>
      <c r="E3190" s="211" t="s">
        <v>10385</v>
      </c>
      <c r="F3190" s="211" t="s">
        <v>7320</v>
      </c>
    </row>
    <row r="3191" spans="1:6">
      <c r="A3191" s="211" t="s">
        <v>4538</v>
      </c>
      <c r="B3191" s="211">
        <v>6580</v>
      </c>
      <c r="C3191" s="211">
        <v>717</v>
      </c>
      <c r="D3191" s="211" t="s">
        <v>1255</v>
      </c>
      <c r="E3191" s="211" t="s">
        <v>10385</v>
      </c>
      <c r="F3191" s="211" t="s">
        <v>7661</v>
      </c>
    </row>
    <row r="3192" spans="1:6">
      <c r="A3192" s="211" t="s">
        <v>795</v>
      </c>
      <c r="B3192" s="211">
        <v>4323</v>
      </c>
      <c r="C3192" s="211">
        <v>1375</v>
      </c>
      <c r="D3192" s="211" t="s">
        <v>1255</v>
      </c>
      <c r="E3192" s="211" t="s">
        <v>10385</v>
      </c>
      <c r="F3192" s="211" t="s">
        <v>7199</v>
      </c>
    </row>
    <row r="3193" spans="1:6">
      <c r="A3193" s="211" t="s">
        <v>3843</v>
      </c>
      <c r="B3193" s="211">
        <v>3217</v>
      </c>
      <c r="C3193" s="211">
        <v>1147</v>
      </c>
      <c r="D3193" s="211" t="s">
        <v>1255</v>
      </c>
      <c r="E3193" s="211" t="s">
        <v>10385</v>
      </c>
      <c r="F3193" s="211" t="s">
        <v>7189</v>
      </c>
    </row>
    <row r="3194" spans="1:6">
      <c r="A3194" s="211" t="s">
        <v>5365</v>
      </c>
      <c r="B3194" s="211">
        <v>6388</v>
      </c>
      <c r="C3194" s="211">
        <v>765</v>
      </c>
      <c r="D3194" s="211" t="s">
        <v>1255</v>
      </c>
      <c r="E3194" s="211" t="s">
        <v>10385</v>
      </c>
      <c r="F3194" s="211" t="s">
        <v>7263</v>
      </c>
    </row>
    <row r="3195" spans="1:6">
      <c r="A3195" s="211" t="s">
        <v>9505</v>
      </c>
      <c r="B3195" s="211">
        <v>8428</v>
      </c>
      <c r="C3195" s="211">
        <v>1609</v>
      </c>
      <c r="D3195" s="211" t="s">
        <v>1255</v>
      </c>
      <c r="E3195" s="211" t="s">
        <v>9506</v>
      </c>
      <c r="F3195" s="211" t="s">
        <v>7272</v>
      </c>
    </row>
    <row r="3196" spans="1:6">
      <c r="A3196" s="211" t="s">
        <v>5354</v>
      </c>
      <c r="B3196" s="211">
        <v>2313</v>
      </c>
      <c r="C3196" s="211">
        <v>1495</v>
      </c>
      <c r="D3196" s="211" t="s">
        <v>1255</v>
      </c>
      <c r="E3196" s="211" t="s">
        <v>10385</v>
      </c>
      <c r="F3196" s="211" t="s">
        <v>7196</v>
      </c>
    </row>
    <row r="3197" spans="1:6">
      <c r="A3197" s="211" t="s">
        <v>5864</v>
      </c>
      <c r="B3197" s="211">
        <v>7112</v>
      </c>
      <c r="C3197" s="211">
        <v>845</v>
      </c>
      <c r="D3197" s="211" t="s">
        <v>1255</v>
      </c>
      <c r="E3197" s="211" t="s">
        <v>10385</v>
      </c>
      <c r="F3197" s="211" t="s">
        <v>7766</v>
      </c>
    </row>
    <row r="3198" spans="1:6">
      <c r="A3198" s="211" t="s">
        <v>8044</v>
      </c>
      <c r="B3198" s="211">
        <v>405</v>
      </c>
      <c r="C3198" s="211" t="s">
        <v>10385</v>
      </c>
      <c r="D3198" s="211" t="s">
        <v>1255</v>
      </c>
      <c r="E3198" s="211" t="s">
        <v>10385</v>
      </c>
      <c r="F3198" s="211" t="s">
        <v>7351</v>
      </c>
    </row>
    <row r="3199" spans="1:6">
      <c r="A3199" s="211" t="s">
        <v>796</v>
      </c>
      <c r="B3199" s="211">
        <v>5707</v>
      </c>
      <c r="C3199" s="211">
        <v>1454</v>
      </c>
      <c r="D3199" s="211" t="s">
        <v>1255</v>
      </c>
      <c r="E3199" s="211" t="s">
        <v>10385</v>
      </c>
      <c r="F3199" s="211" t="s">
        <v>7208</v>
      </c>
    </row>
    <row r="3200" spans="1:6">
      <c r="A3200" s="211" t="s">
        <v>797</v>
      </c>
      <c r="B3200" s="211">
        <v>1223</v>
      </c>
      <c r="C3200" s="211">
        <v>872</v>
      </c>
      <c r="D3200" s="211" t="s">
        <v>1255</v>
      </c>
      <c r="E3200" s="211" t="s">
        <v>10385</v>
      </c>
      <c r="F3200" s="211" t="s">
        <v>7265</v>
      </c>
    </row>
    <row r="3201" spans="1:6">
      <c r="A3201" s="211" t="s">
        <v>5865</v>
      </c>
      <c r="B3201" s="211">
        <v>7445</v>
      </c>
      <c r="C3201" s="211">
        <v>1174</v>
      </c>
      <c r="D3201" s="211" t="s">
        <v>1255</v>
      </c>
      <c r="E3201" s="211" t="s">
        <v>5866</v>
      </c>
      <c r="F3201" s="211" t="s">
        <v>7232</v>
      </c>
    </row>
    <row r="3202" spans="1:6">
      <c r="A3202" s="211" t="s">
        <v>798</v>
      </c>
      <c r="B3202" s="211">
        <v>3353</v>
      </c>
      <c r="C3202" s="211">
        <v>1153</v>
      </c>
      <c r="D3202" s="211" t="s">
        <v>1255</v>
      </c>
      <c r="E3202" s="211" t="s">
        <v>10385</v>
      </c>
      <c r="F3202" s="211" t="s">
        <v>7766</v>
      </c>
    </row>
    <row r="3203" spans="1:6">
      <c r="A3203" s="211" t="s">
        <v>799</v>
      </c>
      <c r="B3203" s="211">
        <v>4602</v>
      </c>
      <c r="C3203" s="211">
        <v>200</v>
      </c>
      <c r="D3203" s="211" t="s">
        <v>1255</v>
      </c>
      <c r="E3203" s="211" t="s">
        <v>10385</v>
      </c>
      <c r="F3203" s="211" t="s">
        <v>7207</v>
      </c>
    </row>
    <row r="3204" spans="1:6">
      <c r="A3204" s="211" t="s">
        <v>800</v>
      </c>
      <c r="B3204" s="211">
        <v>5187</v>
      </c>
      <c r="C3204" s="211">
        <v>924</v>
      </c>
      <c r="D3204" s="211" t="s">
        <v>1255</v>
      </c>
      <c r="E3204" s="211" t="s">
        <v>10385</v>
      </c>
      <c r="F3204" s="211" t="s">
        <v>7373</v>
      </c>
    </row>
    <row r="3205" spans="1:6">
      <c r="A3205" s="211" t="s">
        <v>5867</v>
      </c>
      <c r="B3205" s="211">
        <v>7584</v>
      </c>
      <c r="C3205" s="211">
        <v>1387</v>
      </c>
      <c r="D3205" s="211" t="s">
        <v>1255</v>
      </c>
      <c r="E3205" s="211" t="s">
        <v>5868</v>
      </c>
      <c r="F3205" s="211" t="s">
        <v>7325</v>
      </c>
    </row>
    <row r="3206" spans="1:6">
      <c r="A3206" s="211" t="s">
        <v>801</v>
      </c>
      <c r="B3206" s="211">
        <v>2900</v>
      </c>
      <c r="C3206" s="211">
        <v>1753</v>
      </c>
      <c r="D3206" s="211" t="s">
        <v>1255</v>
      </c>
      <c r="E3206" s="211" t="s">
        <v>10385</v>
      </c>
      <c r="F3206" s="211" t="s">
        <v>7205</v>
      </c>
    </row>
    <row r="3207" spans="1:6">
      <c r="A3207" s="211" t="s">
        <v>802</v>
      </c>
      <c r="B3207" s="211">
        <v>2537</v>
      </c>
      <c r="C3207" s="211">
        <v>990</v>
      </c>
      <c r="D3207" s="211" t="s">
        <v>1255</v>
      </c>
      <c r="E3207" s="211" t="s">
        <v>10385</v>
      </c>
      <c r="F3207" s="211" t="s">
        <v>7205</v>
      </c>
    </row>
    <row r="3208" spans="1:6">
      <c r="A3208" s="211" t="s">
        <v>9507</v>
      </c>
      <c r="B3208" s="211">
        <v>7896</v>
      </c>
      <c r="C3208" s="211">
        <v>798</v>
      </c>
      <c r="D3208" s="211" t="s">
        <v>1255</v>
      </c>
      <c r="E3208" s="211" t="s">
        <v>9508</v>
      </c>
      <c r="F3208" s="211" t="s">
        <v>7396</v>
      </c>
    </row>
    <row r="3209" spans="1:6">
      <c r="A3209" s="211" t="s">
        <v>5869</v>
      </c>
      <c r="B3209" s="211">
        <v>7258</v>
      </c>
      <c r="C3209" s="211">
        <v>1038</v>
      </c>
      <c r="D3209" s="211" t="s">
        <v>1255</v>
      </c>
      <c r="E3209" s="211" t="s">
        <v>10385</v>
      </c>
      <c r="F3209" s="211" t="s">
        <v>7403</v>
      </c>
    </row>
    <row r="3210" spans="1:6">
      <c r="A3210" s="211" t="s">
        <v>803</v>
      </c>
      <c r="B3210" s="211">
        <v>1365</v>
      </c>
      <c r="C3210" s="211">
        <v>1638</v>
      </c>
      <c r="D3210" s="211" t="s">
        <v>1255</v>
      </c>
      <c r="E3210" s="211" t="s">
        <v>10385</v>
      </c>
      <c r="F3210" s="211" t="s">
        <v>7286</v>
      </c>
    </row>
    <row r="3211" spans="1:6">
      <c r="A3211" s="211" t="s">
        <v>10668</v>
      </c>
      <c r="B3211" s="211">
        <v>8082</v>
      </c>
      <c r="C3211" s="211" t="s">
        <v>10385</v>
      </c>
      <c r="D3211" s="211" t="s">
        <v>1117</v>
      </c>
      <c r="E3211" s="211" t="s">
        <v>10385</v>
      </c>
      <c r="F3211" s="211" t="s">
        <v>7284</v>
      </c>
    </row>
    <row r="3212" spans="1:6">
      <c r="A3212" s="211" t="s">
        <v>9509</v>
      </c>
      <c r="B3212" s="211">
        <v>8510</v>
      </c>
      <c r="C3212" s="211">
        <v>1893</v>
      </c>
      <c r="D3212" s="211" t="s">
        <v>1255</v>
      </c>
      <c r="E3212" s="211" t="s">
        <v>9510</v>
      </c>
      <c r="F3212" s="211" t="s">
        <v>7165</v>
      </c>
    </row>
    <row r="3213" spans="1:6">
      <c r="A3213" s="211" t="s">
        <v>9511</v>
      </c>
      <c r="B3213" s="211">
        <v>8448</v>
      </c>
      <c r="C3213" s="211">
        <v>1910</v>
      </c>
      <c r="D3213" s="211" t="s">
        <v>1255</v>
      </c>
      <c r="E3213" s="211" t="s">
        <v>9512</v>
      </c>
      <c r="F3213" s="211" t="s">
        <v>7382</v>
      </c>
    </row>
    <row r="3214" spans="1:6">
      <c r="A3214" s="211" t="s">
        <v>804</v>
      </c>
      <c r="B3214" s="211">
        <v>1243</v>
      </c>
      <c r="C3214" s="211">
        <v>914</v>
      </c>
      <c r="D3214" s="211" t="s">
        <v>1255</v>
      </c>
      <c r="E3214" s="211" t="s">
        <v>10385</v>
      </c>
      <c r="F3214" s="211" t="s">
        <v>7216</v>
      </c>
    </row>
    <row r="3215" spans="1:6">
      <c r="A3215" s="211" t="s">
        <v>9513</v>
      </c>
      <c r="B3215" s="211">
        <v>8416</v>
      </c>
      <c r="C3215" s="211">
        <v>969</v>
      </c>
      <c r="D3215" s="211" t="s">
        <v>1255</v>
      </c>
      <c r="E3215" s="211" t="s">
        <v>10385</v>
      </c>
      <c r="F3215" s="211" t="s">
        <v>7304</v>
      </c>
    </row>
    <row r="3216" spans="1:6">
      <c r="A3216" s="211" t="s">
        <v>805</v>
      </c>
      <c r="B3216" s="211">
        <v>3919</v>
      </c>
      <c r="C3216" s="211">
        <v>830</v>
      </c>
      <c r="D3216" s="211" t="s">
        <v>1255</v>
      </c>
      <c r="E3216" s="211" t="s">
        <v>10385</v>
      </c>
      <c r="F3216" s="211" t="s">
        <v>7285</v>
      </c>
    </row>
    <row r="3217" spans="1:6">
      <c r="A3217" s="211" t="s">
        <v>8045</v>
      </c>
      <c r="B3217" s="211">
        <v>237</v>
      </c>
      <c r="C3217" s="211" t="s">
        <v>10385</v>
      </c>
      <c r="D3217" s="211" t="s">
        <v>1255</v>
      </c>
      <c r="E3217" s="211" t="s">
        <v>10385</v>
      </c>
      <c r="F3217" s="211" t="s">
        <v>7199</v>
      </c>
    </row>
    <row r="3218" spans="1:6">
      <c r="A3218" s="211" t="s">
        <v>806</v>
      </c>
      <c r="B3218" s="211">
        <v>5990</v>
      </c>
      <c r="C3218" s="211">
        <v>1185</v>
      </c>
      <c r="D3218" s="211" t="s">
        <v>1255</v>
      </c>
      <c r="E3218" s="211" t="s">
        <v>10385</v>
      </c>
      <c r="F3218" s="211" t="s">
        <v>7235</v>
      </c>
    </row>
    <row r="3219" spans="1:6">
      <c r="A3219" s="211" t="s">
        <v>8046</v>
      </c>
      <c r="B3219" s="211">
        <v>386</v>
      </c>
      <c r="C3219" s="211" t="s">
        <v>10385</v>
      </c>
      <c r="D3219" s="211" t="s">
        <v>1255</v>
      </c>
      <c r="E3219" s="211" t="s">
        <v>10385</v>
      </c>
      <c r="F3219" s="211" t="s">
        <v>7316</v>
      </c>
    </row>
    <row r="3220" spans="1:6">
      <c r="A3220" s="211" t="s">
        <v>807</v>
      </c>
      <c r="B3220" s="211">
        <v>5120</v>
      </c>
      <c r="C3220" s="211">
        <v>1408</v>
      </c>
      <c r="D3220" s="211" t="s">
        <v>1255</v>
      </c>
      <c r="E3220" s="211" t="s">
        <v>10385</v>
      </c>
      <c r="F3220" s="211" t="s">
        <v>7225</v>
      </c>
    </row>
    <row r="3221" spans="1:6">
      <c r="A3221" s="211" t="s">
        <v>5077</v>
      </c>
      <c r="B3221" s="211">
        <v>7010</v>
      </c>
      <c r="C3221" s="211">
        <v>959</v>
      </c>
      <c r="D3221" s="211" t="s">
        <v>1255</v>
      </c>
      <c r="E3221" s="211" t="s">
        <v>10385</v>
      </c>
      <c r="F3221" s="211" t="s">
        <v>7349</v>
      </c>
    </row>
    <row r="3222" spans="1:6">
      <c r="A3222" s="211" t="s">
        <v>4806</v>
      </c>
      <c r="B3222" s="211">
        <v>6129</v>
      </c>
      <c r="C3222" s="211">
        <v>876</v>
      </c>
      <c r="D3222" s="211" t="s">
        <v>1255</v>
      </c>
      <c r="E3222" s="211" t="s">
        <v>10385</v>
      </c>
      <c r="F3222" s="211" t="s">
        <v>7508</v>
      </c>
    </row>
    <row r="3223" spans="1:6">
      <c r="A3223" s="211" t="s">
        <v>4892</v>
      </c>
      <c r="B3223" s="211">
        <v>4534</v>
      </c>
      <c r="C3223" s="211">
        <v>1785</v>
      </c>
      <c r="D3223" s="211" t="s">
        <v>1255</v>
      </c>
      <c r="E3223" s="211" t="s">
        <v>10385</v>
      </c>
      <c r="F3223" s="211" t="s">
        <v>7510</v>
      </c>
    </row>
    <row r="3224" spans="1:6">
      <c r="A3224" s="211" t="s">
        <v>9514</v>
      </c>
      <c r="B3224" s="211">
        <v>7957</v>
      </c>
      <c r="C3224" s="211">
        <v>1265</v>
      </c>
      <c r="D3224" s="211" t="s">
        <v>1255</v>
      </c>
      <c r="E3224" s="211" t="s">
        <v>9515</v>
      </c>
      <c r="F3224" s="211" t="s">
        <v>7325</v>
      </c>
    </row>
    <row r="3225" spans="1:6">
      <c r="A3225" s="211" t="s">
        <v>808</v>
      </c>
      <c r="B3225" s="211">
        <v>3970</v>
      </c>
      <c r="C3225" s="211">
        <v>843</v>
      </c>
      <c r="D3225" s="211" t="s">
        <v>1255</v>
      </c>
      <c r="E3225" s="211" t="s">
        <v>10385</v>
      </c>
      <c r="F3225" s="211" t="s">
        <v>7237</v>
      </c>
    </row>
    <row r="3226" spans="1:6">
      <c r="A3226" s="211" t="s">
        <v>9516</v>
      </c>
      <c r="B3226" s="211">
        <v>8272</v>
      </c>
      <c r="C3226" s="211">
        <v>1690</v>
      </c>
      <c r="D3226" s="211" t="s">
        <v>1255</v>
      </c>
      <c r="E3226" s="211" t="s">
        <v>10669</v>
      </c>
      <c r="F3226" s="211" t="s">
        <v>7171</v>
      </c>
    </row>
    <row r="3227" spans="1:6">
      <c r="A3227" s="211" t="s">
        <v>809</v>
      </c>
      <c r="B3227" s="211">
        <v>1231</v>
      </c>
      <c r="C3227" s="211">
        <v>1366</v>
      </c>
      <c r="D3227" s="211" t="s">
        <v>1255</v>
      </c>
      <c r="E3227" s="211" t="s">
        <v>10385</v>
      </c>
      <c r="F3227" s="211" t="s">
        <v>8002</v>
      </c>
    </row>
    <row r="3228" spans="1:6">
      <c r="A3228" s="211" t="s">
        <v>810</v>
      </c>
      <c r="B3228" s="211">
        <v>1185</v>
      </c>
      <c r="C3228" s="211">
        <v>1393</v>
      </c>
      <c r="D3228" s="211" t="s">
        <v>1255</v>
      </c>
      <c r="E3228" s="211" t="s">
        <v>10385</v>
      </c>
      <c r="F3228" s="211" t="s">
        <v>7177</v>
      </c>
    </row>
    <row r="3229" spans="1:6">
      <c r="A3229" s="211" t="s">
        <v>811</v>
      </c>
      <c r="B3229" s="211">
        <v>2883</v>
      </c>
      <c r="C3229" s="211">
        <v>995</v>
      </c>
      <c r="D3229" s="211" t="s">
        <v>1255</v>
      </c>
      <c r="E3229" s="211" t="s">
        <v>10385</v>
      </c>
      <c r="F3229" s="211" t="s">
        <v>7430</v>
      </c>
    </row>
    <row r="3230" spans="1:6">
      <c r="A3230" s="211" t="s">
        <v>812</v>
      </c>
      <c r="B3230" s="211">
        <v>3098</v>
      </c>
      <c r="C3230" s="211">
        <v>1192</v>
      </c>
      <c r="D3230" s="211" t="s">
        <v>1255</v>
      </c>
      <c r="E3230" s="211" t="s">
        <v>10385</v>
      </c>
      <c r="F3230" s="211" t="s">
        <v>7459</v>
      </c>
    </row>
    <row r="3231" spans="1:6">
      <c r="A3231" s="211" t="s">
        <v>10670</v>
      </c>
      <c r="B3231" s="211">
        <v>8747</v>
      </c>
      <c r="C3231" s="211">
        <v>341</v>
      </c>
      <c r="D3231" s="211" t="s">
        <v>1255</v>
      </c>
      <c r="E3231" s="211" t="s">
        <v>10671</v>
      </c>
      <c r="F3231" s="211" t="s">
        <v>7965</v>
      </c>
    </row>
    <row r="3232" spans="1:6">
      <c r="A3232" s="211" t="s">
        <v>813</v>
      </c>
      <c r="B3232" s="211">
        <v>1709</v>
      </c>
      <c r="C3232" s="211">
        <v>1999</v>
      </c>
      <c r="D3232" s="211" t="s">
        <v>1255</v>
      </c>
      <c r="E3232" s="211" t="s">
        <v>10385</v>
      </c>
      <c r="F3232" s="211" t="s">
        <v>7203</v>
      </c>
    </row>
    <row r="3233" spans="1:6">
      <c r="A3233" s="211" t="s">
        <v>4539</v>
      </c>
      <c r="B3233" s="211">
        <v>6579</v>
      </c>
      <c r="C3233" s="211">
        <v>763</v>
      </c>
      <c r="D3233" s="211" t="s">
        <v>1117</v>
      </c>
      <c r="E3233" s="211" t="s">
        <v>10385</v>
      </c>
      <c r="F3233" s="211" t="s">
        <v>7661</v>
      </c>
    </row>
    <row r="3234" spans="1:6">
      <c r="A3234" s="211" t="s">
        <v>4807</v>
      </c>
      <c r="B3234" s="211">
        <v>6124</v>
      </c>
      <c r="C3234" s="211">
        <v>1735</v>
      </c>
      <c r="D3234" s="211" t="s">
        <v>1255</v>
      </c>
      <c r="E3234" s="211" t="s">
        <v>10385</v>
      </c>
      <c r="F3234" s="211" t="s">
        <v>7299</v>
      </c>
    </row>
    <row r="3235" spans="1:6">
      <c r="A3235" s="211" t="s">
        <v>814</v>
      </c>
      <c r="B3235" s="211">
        <v>4875</v>
      </c>
      <c r="C3235" s="211">
        <v>1126</v>
      </c>
      <c r="D3235" s="211" t="s">
        <v>1255</v>
      </c>
      <c r="E3235" s="211" t="s">
        <v>10385</v>
      </c>
      <c r="F3235" s="211" t="s">
        <v>7240</v>
      </c>
    </row>
    <row r="3236" spans="1:6">
      <c r="A3236" s="211" t="s">
        <v>8047</v>
      </c>
      <c r="B3236" s="211">
        <v>5907</v>
      </c>
      <c r="C3236" s="211" t="s">
        <v>10385</v>
      </c>
      <c r="D3236" s="211" t="s">
        <v>1255</v>
      </c>
      <c r="E3236" s="211" t="s">
        <v>10385</v>
      </c>
      <c r="F3236" s="211" t="s">
        <v>7250</v>
      </c>
    </row>
    <row r="3237" spans="1:6">
      <c r="A3237" s="211" t="s">
        <v>8048</v>
      </c>
      <c r="B3237" s="211">
        <v>594</v>
      </c>
      <c r="C3237" s="211" t="s">
        <v>10385</v>
      </c>
      <c r="D3237" s="211" t="s">
        <v>1255</v>
      </c>
      <c r="E3237" s="211" t="s">
        <v>10385</v>
      </c>
      <c r="F3237" s="211" t="s">
        <v>7306</v>
      </c>
    </row>
    <row r="3238" spans="1:6">
      <c r="A3238" s="211" t="s">
        <v>815</v>
      </c>
      <c r="B3238" s="211">
        <v>2289</v>
      </c>
      <c r="C3238" s="211">
        <v>1102</v>
      </c>
      <c r="D3238" s="211" t="s">
        <v>1255</v>
      </c>
      <c r="E3238" s="211" t="s">
        <v>10385</v>
      </c>
      <c r="F3238" s="211" t="s">
        <v>7255</v>
      </c>
    </row>
    <row r="3239" spans="1:6">
      <c r="A3239" s="211" t="s">
        <v>5870</v>
      </c>
      <c r="B3239" s="211">
        <v>7494</v>
      </c>
      <c r="C3239" s="211">
        <v>1066</v>
      </c>
      <c r="D3239" s="211" t="s">
        <v>1255</v>
      </c>
      <c r="E3239" s="211" t="s">
        <v>5871</v>
      </c>
      <c r="F3239" s="211" t="s">
        <v>7435</v>
      </c>
    </row>
    <row r="3240" spans="1:6">
      <c r="A3240" s="211" t="s">
        <v>10353</v>
      </c>
      <c r="B3240" s="211">
        <v>1022</v>
      </c>
      <c r="C3240" s="211" t="s">
        <v>10385</v>
      </c>
      <c r="D3240" s="211" t="s">
        <v>1255</v>
      </c>
      <c r="E3240" s="211" t="s">
        <v>10385</v>
      </c>
      <c r="F3240" s="211" t="s">
        <v>7257</v>
      </c>
    </row>
    <row r="3241" spans="1:6">
      <c r="A3241" s="211" t="s">
        <v>5872</v>
      </c>
      <c r="B3241" s="211">
        <v>7442</v>
      </c>
      <c r="C3241" s="211">
        <v>984</v>
      </c>
      <c r="D3241" s="211" t="s">
        <v>1255</v>
      </c>
      <c r="E3241" s="211" t="s">
        <v>10385</v>
      </c>
      <c r="F3241" s="211" t="s">
        <v>7210</v>
      </c>
    </row>
    <row r="3242" spans="1:6">
      <c r="A3242" s="211" t="s">
        <v>816</v>
      </c>
      <c r="B3242" s="211">
        <v>1119</v>
      </c>
      <c r="C3242" s="211">
        <v>1333</v>
      </c>
      <c r="D3242" s="211" t="s">
        <v>1255</v>
      </c>
      <c r="E3242" s="211" t="s">
        <v>10385</v>
      </c>
      <c r="F3242" s="211" t="s">
        <v>10341</v>
      </c>
    </row>
    <row r="3243" spans="1:6">
      <c r="A3243" s="211" t="s">
        <v>5324</v>
      </c>
      <c r="B3243" s="211">
        <v>6834</v>
      </c>
      <c r="C3243" s="211">
        <v>817</v>
      </c>
      <c r="D3243" s="211" t="s">
        <v>1255</v>
      </c>
      <c r="E3243" s="211" t="s">
        <v>9517</v>
      </c>
      <c r="F3243" s="211" t="s">
        <v>7511</v>
      </c>
    </row>
    <row r="3244" spans="1:6">
      <c r="A3244" s="211" t="s">
        <v>5078</v>
      </c>
      <c r="B3244" s="211">
        <v>6030</v>
      </c>
      <c r="C3244" s="211">
        <v>876</v>
      </c>
      <c r="D3244" s="211" t="s">
        <v>1255</v>
      </c>
      <c r="E3244" s="211" t="s">
        <v>5873</v>
      </c>
      <c r="F3244" s="211" t="s">
        <v>7298</v>
      </c>
    </row>
    <row r="3245" spans="1:6">
      <c r="A3245" s="211" t="s">
        <v>817</v>
      </c>
      <c r="B3245" s="211">
        <v>5577</v>
      </c>
      <c r="C3245" s="211">
        <v>1966</v>
      </c>
      <c r="D3245" s="211" t="s">
        <v>1255</v>
      </c>
      <c r="E3245" s="211" t="s">
        <v>9518</v>
      </c>
      <c r="F3245" s="211" t="s">
        <v>7238</v>
      </c>
    </row>
    <row r="3246" spans="1:6">
      <c r="A3246" s="211" t="s">
        <v>8049</v>
      </c>
      <c r="B3246" s="211">
        <v>1979</v>
      </c>
      <c r="C3246" s="211" t="s">
        <v>10385</v>
      </c>
      <c r="D3246" s="211" t="s">
        <v>1255</v>
      </c>
      <c r="E3246" s="211" t="s">
        <v>10385</v>
      </c>
      <c r="F3246" s="211" t="s">
        <v>7342</v>
      </c>
    </row>
    <row r="3247" spans="1:6">
      <c r="A3247" s="211" t="s">
        <v>6830</v>
      </c>
      <c r="B3247" s="211">
        <v>7654</v>
      </c>
      <c r="C3247" s="211">
        <v>1141</v>
      </c>
      <c r="D3247" s="211" t="s">
        <v>1255</v>
      </c>
      <c r="E3247" s="211" t="s">
        <v>10385</v>
      </c>
      <c r="F3247" s="211" t="s">
        <v>7418</v>
      </c>
    </row>
    <row r="3248" spans="1:6">
      <c r="A3248" s="211" t="s">
        <v>8050</v>
      </c>
      <c r="B3248" s="211">
        <v>2472</v>
      </c>
      <c r="C3248" s="211" t="s">
        <v>10385</v>
      </c>
      <c r="D3248" s="211" t="s">
        <v>1255</v>
      </c>
      <c r="E3248" s="211" t="s">
        <v>10385</v>
      </c>
      <c r="F3248" s="211" t="s">
        <v>7342</v>
      </c>
    </row>
    <row r="3249" spans="1:6">
      <c r="A3249" s="211" t="s">
        <v>6831</v>
      </c>
      <c r="B3249" s="211">
        <v>7640</v>
      </c>
      <c r="C3249" s="211">
        <v>1032</v>
      </c>
      <c r="D3249" s="211" t="s">
        <v>1255</v>
      </c>
      <c r="E3249" s="211" t="s">
        <v>10385</v>
      </c>
      <c r="F3249" s="211" t="s">
        <v>7354</v>
      </c>
    </row>
    <row r="3250" spans="1:6">
      <c r="A3250" s="211" t="s">
        <v>5325</v>
      </c>
      <c r="B3250" s="211">
        <v>6308</v>
      </c>
      <c r="C3250" s="211">
        <v>996</v>
      </c>
      <c r="D3250" s="211" t="s">
        <v>1255</v>
      </c>
      <c r="E3250" s="211" t="s">
        <v>10385</v>
      </c>
      <c r="F3250" s="211" t="s">
        <v>7257</v>
      </c>
    </row>
    <row r="3251" spans="1:6">
      <c r="A3251" s="211" t="s">
        <v>5874</v>
      </c>
      <c r="B3251" s="211">
        <v>7268</v>
      </c>
      <c r="C3251" s="211">
        <v>677</v>
      </c>
      <c r="D3251" s="211" t="s">
        <v>1117</v>
      </c>
      <c r="E3251" s="211" t="s">
        <v>10385</v>
      </c>
      <c r="F3251" s="211" t="s">
        <v>7536</v>
      </c>
    </row>
    <row r="3252" spans="1:6">
      <c r="A3252" s="211" t="s">
        <v>818</v>
      </c>
      <c r="B3252" s="211">
        <v>5900</v>
      </c>
      <c r="C3252" s="211">
        <v>696</v>
      </c>
      <c r="D3252" s="211" t="s">
        <v>1117</v>
      </c>
      <c r="E3252" s="211" t="s">
        <v>10385</v>
      </c>
      <c r="F3252" s="211" t="s">
        <v>7364</v>
      </c>
    </row>
    <row r="3253" spans="1:6">
      <c r="A3253" s="211" t="s">
        <v>10672</v>
      </c>
      <c r="B3253" s="211">
        <v>8575</v>
      </c>
      <c r="C3253" s="211">
        <v>978</v>
      </c>
      <c r="D3253" s="211" t="s">
        <v>1255</v>
      </c>
      <c r="E3253" s="211" t="s">
        <v>10673</v>
      </c>
      <c r="F3253" s="211" t="s">
        <v>7328</v>
      </c>
    </row>
    <row r="3254" spans="1:6">
      <c r="A3254" s="211" t="s">
        <v>8051</v>
      </c>
      <c r="B3254" s="211">
        <v>626</v>
      </c>
      <c r="C3254" s="211" t="s">
        <v>10385</v>
      </c>
      <c r="D3254" s="211" t="s">
        <v>1255</v>
      </c>
      <c r="E3254" s="211" t="s">
        <v>10385</v>
      </c>
      <c r="F3254" s="211" t="s">
        <v>8052</v>
      </c>
    </row>
    <row r="3255" spans="1:6">
      <c r="A3255" s="211" t="s">
        <v>819</v>
      </c>
      <c r="B3255" s="211">
        <v>5479</v>
      </c>
      <c r="C3255" s="211">
        <v>1695</v>
      </c>
      <c r="D3255" s="211" t="s">
        <v>1255</v>
      </c>
      <c r="E3255" s="211" t="s">
        <v>10385</v>
      </c>
      <c r="F3255" s="211" t="s">
        <v>7212</v>
      </c>
    </row>
    <row r="3256" spans="1:6">
      <c r="A3256" s="211" t="s">
        <v>8930</v>
      </c>
      <c r="B3256" s="211">
        <v>5670</v>
      </c>
      <c r="C3256" s="211">
        <v>2092</v>
      </c>
      <c r="D3256" s="211" t="s">
        <v>1255</v>
      </c>
      <c r="E3256" s="211" t="s">
        <v>10385</v>
      </c>
      <c r="F3256" s="211" t="s">
        <v>7232</v>
      </c>
    </row>
    <row r="3257" spans="1:6">
      <c r="A3257" s="211" t="s">
        <v>2908</v>
      </c>
      <c r="B3257" s="211">
        <v>1767</v>
      </c>
      <c r="C3257" s="211">
        <v>1229</v>
      </c>
      <c r="D3257" s="211" t="s">
        <v>1255</v>
      </c>
      <c r="E3257" s="211" t="s">
        <v>10385</v>
      </c>
      <c r="F3257" s="211" t="s">
        <v>7380</v>
      </c>
    </row>
    <row r="3258" spans="1:6">
      <c r="A3258" s="211" t="s">
        <v>8053</v>
      </c>
      <c r="B3258" s="211">
        <v>126</v>
      </c>
      <c r="C3258" s="211" t="s">
        <v>10385</v>
      </c>
      <c r="D3258" s="211" t="s">
        <v>1255</v>
      </c>
      <c r="E3258" s="211" t="s">
        <v>10385</v>
      </c>
      <c r="F3258" s="211" t="s">
        <v>7343</v>
      </c>
    </row>
    <row r="3259" spans="1:6">
      <c r="A3259" s="211" t="s">
        <v>820</v>
      </c>
      <c r="B3259" s="211">
        <v>6015</v>
      </c>
      <c r="C3259" s="211">
        <v>952</v>
      </c>
      <c r="D3259" s="211" t="s">
        <v>1117</v>
      </c>
      <c r="E3259" s="211" t="s">
        <v>10385</v>
      </c>
      <c r="F3259" s="211" t="s">
        <v>7386</v>
      </c>
    </row>
    <row r="3260" spans="1:6">
      <c r="A3260" s="211" t="s">
        <v>9519</v>
      </c>
      <c r="B3260" s="211">
        <v>8232</v>
      </c>
      <c r="C3260" s="211">
        <v>1604</v>
      </c>
      <c r="D3260" s="211" t="s">
        <v>1255</v>
      </c>
      <c r="E3260" s="211" t="s">
        <v>10674</v>
      </c>
      <c r="F3260" s="211" t="s">
        <v>7384</v>
      </c>
    </row>
    <row r="3261" spans="1:6">
      <c r="A3261" s="211" t="s">
        <v>8054</v>
      </c>
      <c r="B3261" s="211">
        <v>7062</v>
      </c>
      <c r="C3261" s="211" t="s">
        <v>10385</v>
      </c>
      <c r="D3261" s="211" t="s">
        <v>1255</v>
      </c>
      <c r="E3261" s="211" t="s">
        <v>10385</v>
      </c>
      <c r="F3261" s="211" t="s">
        <v>7581</v>
      </c>
    </row>
    <row r="3262" spans="1:6">
      <c r="A3262" s="211" t="s">
        <v>821</v>
      </c>
      <c r="B3262" s="211">
        <v>2849</v>
      </c>
      <c r="C3262" s="211">
        <v>980</v>
      </c>
      <c r="D3262" s="211" t="s">
        <v>1255</v>
      </c>
      <c r="E3262" s="211" t="s">
        <v>10385</v>
      </c>
      <c r="F3262" s="211" t="s">
        <v>7290</v>
      </c>
    </row>
    <row r="3263" spans="1:6">
      <c r="A3263" s="211" t="s">
        <v>8055</v>
      </c>
      <c r="B3263" s="211">
        <v>6339</v>
      </c>
      <c r="C3263" s="211">
        <v>903</v>
      </c>
      <c r="D3263" s="211" t="s">
        <v>1255</v>
      </c>
      <c r="E3263" s="211" t="s">
        <v>10385</v>
      </c>
      <c r="F3263" s="211" t="s">
        <v>7288</v>
      </c>
    </row>
    <row r="3264" spans="1:6">
      <c r="A3264" s="211" t="s">
        <v>8056</v>
      </c>
      <c r="B3264" s="211">
        <v>1849</v>
      </c>
      <c r="C3264" s="211" t="s">
        <v>10385</v>
      </c>
      <c r="D3264" s="211" t="s">
        <v>1255</v>
      </c>
      <c r="E3264" s="211" t="s">
        <v>10385</v>
      </c>
      <c r="F3264" s="211" t="s">
        <v>7335</v>
      </c>
    </row>
    <row r="3265" spans="1:6">
      <c r="A3265" s="211" t="s">
        <v>822</v>
      </c>
      <c r="B3265" s="211">
        <v>2469</v>
      </c>
      <c r="C3265" s="211">
        <v>1105</v>
      </c>
      <c r="D3265" s="211" t="s">
        <v>1255</v>
      </c>
      <c r="E3265" s="211" t="s">
        <v>10385</v>
      </c>
      <c r="F3265" s="211" t="s">
        <v>7320</v>
      </c>
    </row>
    <row r="3266" spans="1:6">
      <c r="A3266" s="211" t="s">
        <v>823</v>
      </c>
      <c r="B3266" s="211">
        <v>1298</v>
      </c>
      <c r="C3266" s="211">
        <v>1432</v>
      </c>
      <c r="D3266" s="211" t="s">
        <v>1255</v>
      </c>
      <c r="E3266" s="211" t="s">
        <v>10385</v>
      </c>
      <c r="F3266" s="211" t="s">
        <v>7629</v>
      </c>
    </row>
    <row r="3267" spans="1:6">
      <c r="A3267" s="211" t="s">
        <v>10354</v>
      </c>
      <c r="B3267" s="211">
        <v>859</v>
      </c>
      <c r="C3267" s="211" t="s">
        <v>10385</v>
      </c>
      <c r="D3267" s="211" t="s">
        <v>1255</v>
      </c>
      <c r="E3267" s="211" t="s">
        <v>10385</v>
      </c>
      <c r="F3267" s="211" t="s">
        <v>7175</v>
      </c>
    </row>
    <row r="3268" spans="1:6">
      <c r="A3268" s="211" t="s">
        <v>9520</v>
      </c>
      <c r="B3268" s="211">
        <v>7996</v>
      </c>
      <c r="C3268" s="211">
        <v>1809</v>
      </c>
      <c r="D3268" s="211" t="s">
        <v>1255</v>
      </c>
      <c r="E3268" s="211" t="s">
        <v>10675</v>
      </c>
      <c r="F3268" s="211" t="s">
        <v>7208</v>
      </c>
    </row>
    <row r="3269" spans="1:6">
      <c r="A3269" s="211" t="s">
        <v>8057</v>
      </c>
      <c r="B3269" s="211">
        <v>7778</v>
      </c>
      <c r="C3269" s="211" t="s">
        <v>10385</v>
      </c>
      <c r="D3269" s="211" t="s">
        <v>1117</v>
      </c>
      <c r="E3269" s="211" t="s">
        <v>10385</v>
      </c>
      <c r="F3269" s="211" t="s">
        <v>7342</v>
      </c>
    </row>
    <row r="3270" spans="1:6">
      <c r="A3270" s="211" t="s">
        <v>824</v>
      </c>
      <c r="B3270" s="211">
        <v>2743</v>
      </c>
      <c r="C3270" s="211">
        <v>1327</v>
      </c>
      <c r="D3270" s="211" t="s">
        <v>1255</v>
      </c>
      <c r="E3270" s="211" t="s">
        <v>10385</v>
      </c>
      <c r="F3270" s="211" t="s">
        <v>7219</v>
      </c>
    </row>
    <row r="3271" spans="1:6">
      <c r="A3271" s="211" t="s">
        <v>825</v>
      </c>
      <c r="B3271" s="211">
        <v>2575</v>
      </c>
      <c r="C3271" s="211">
        <v>1067</v>
      </c>
      <c r="D3271" s="211" t="s">
        <v>1255</v>
      </c>
      <c r="E3271" s="211" t="s">
        <v>10385</v>
      </c>
      <c r="F3271" s="211" t="s">
        <v>7290</v>
      </c>
    </row>
    <row r="3272" spans="1:6">
      <c r="A3272" s="211" t="s">
        <v>826</v>
      </c>
      <c r="B3272" s="211">
        <v>1721</v>
      </c>
      <c r="C3272" s="211">
        <v>994</v>
      </c>
      <c r="D3272" s="211" t="s">
        <v>1255</v>
      </c>
      <c r="E3272" s="211" t="s">
        <v>10385</v>
      </c>
      <c r="F3272" s="211" t="s">
        <v>8058</v>
      </c>
    </row>
    <row r="3273" spans="1:6">
      <c r="A3273" s="211" t="s">
        <v>4637</v>
      </c>
      <c r="B3273" s="211">
        <v>6253</v>
      </c>
      <c r="C3273" s="211">
        <v>605</v>
      </c>
      <c r="D3273" s="211" t="s">
        <v>1255</v>
      </c>
      <c r="E3273" s="211" t="s">
        <v>10385</v>
      </c>
      <c r="F3273" s="211" t="s">
        <v>7571</v>
      </c>
    </row>
    <row r="3274" spans="1:6">
      <c r="A3274" s="211" t="s">
        <v>827</v>
      </c>
      <c r="B3274" s="211">
        <v>3396</v>
      </c>
      <c r="C3274" s="211">
        <v>1958</v>
      </c>
      <c r="D3274" s="211" t="s">
        <v>1255</v>
      </c>
      <c r="E3274" s="211" t="s">
        <v>10385</v>
      </c>
      <c r="F3274" s="211" t="s">
        <v>7275</v>
      </c>
    </row>
    <row r="3275" spans="1:6">
      <c r="A3275" s="211" t="s">
        <v>8059</v>
      </c>
      <c r="B3275" s="211">
        <v>2494</v>
      </c>
      <c r="C3275" s="211" t="s">
        <v>10385</v>
      </c>
      <c r="D3275" s="211" t="s">
        <v>1117</v>
      </c>
      <c r="E3275" s="211" t="s">
        <v>10385</v>
      </c>
      <c r="F3275" s="211" t="s">
        <v>7203</v>
      </c>
    </row>
    <row r="3276" spans="1:6">
      <c r="A3276" s="211" t="s">
        <v>8060</v>
      </c>
      <c r="B3276" s="211">
        <v>1793</v>
      </c>
      <c r="C3276" s="211">
        <v>1179</v>
      </c>
      <c r="D3276" s="211" t="s">
        <v>1255</v>
      </c>
      <c r="E3276" s="211" t="s">
        <v>10385</v>
      </c>
      <c r="F3276" s="211" t="s">
        <v>7433</v>
      </c>
    </row>
    <row r="3277" spans="1:6">
      <c r="A3277" s="211" t="s">
        <v>8061</v>
      </c>
      <c r="B3277" s="211">
        <v>173</v>
      </c>
      <c r="C3277" s="211" t="s">
        <v>10385</v>
      </c>
      <c r="D3277" s="211" t="s">
        <v>1255</v>
      </c>
      <c r="E3277" s="211" t="s">
        <v>10385</v>
      </c>
      <c r="F3277" s="211" t="s">
        <v>7356</v>
      </c>
    </row>
    <row r="3278" spans="1:6">
      <c r="A3278" s="211" t="s">
        <v>5875</v>
      </c>
      <c r="B3278" s="211">
        <v>7079</v>
      </c>
      <c r="C3278" s="211">
        <v>743</v>
      </c>
      <c r="D3278" s="211" t="s">
        <v>1117</v>
      </c>
      <c r="E3278" s="211" t="s">
        <v>5876</v>
      </c>
      <c r="F3278" s="211" t="s">
        <v>7196</v>
      </c>
    </row>
    <row r="3279" spans="1:6">
      <c r="A3279" s="211" t="s">
        <v>9521</v>
      </c>
      <c r="B3279" s="211">
        <v>8135</v>
      </c>
      <c r="C3279" s="211">
        <v>600</v>
      </c>
      <c r="D3279" s="211" t="s">
        <v>1117</v>
      </c>
      <c r="E3279" s="211" t="s">
        <v>9522</v>
      </c>
      <c r="F3279" s="211" t="s">
        <v>7556</v>
      </c>
    </row>
    <row r="3280" spans="1:6">
      <c r="A3280" s="211" t="s">
        <v>828</v>
      </c>
      <c r="B3280" s="211">
        <v>2988</v>
      </c>
      <c r="C3280" s="211">
        <v>955</v>
      </c>
      <c r="D3280" s="211" t="s">
        <v>1255</v>
      </c>
      <c r="E3280" s="211" t="s">
        <v>10385</v>
      </c>
      <c r="F3280" s="211" t="s">
        <v>7286</v>
      </c>
    </row>
    <row r="3281" spans="1:6">
      <c r="A3281" s="211" t="s">
        <v>829</v>
      </c>
      <c r="B3281" s="211">
        <v>4103</v>
      </c>
      <c r="C3281" s="211">
        <v>1052</v>
      </c>
      <c r="D3281" s="211" t="s">
        <v>1255</v>
      </c>
      <c r="E3281" s="211" t="s">
        <v>10385</v>
      </c>
      <c r="F3281" s="211" t="s">
        <v>8062</v>
      </c>
    </row>
    <row r="3282" spans="1:6">
      <c r="A3282" s="211" t="s">
        <v>830</v>
      </c>
      <c r="B3282" s="211">
        <v>5495</v>
      </c>
      <c r="C3282" s="211">
        <v>1417</v>
      </c>
      <c r="D3282" s="211" t="s">
        <v>1255</v>
      </c>
      <c r="E3282" s="211" t="s">
        <v>6832</v>
      </c>
      <c r="F3282" s="211" t="s">
        <v>7196</v>
      </c>
    </row>
    <row r="3283" spans="1:6">
      <c r="A3283" s="211" t="s">
        <v>831</v>
      </c>
      <c r="B3283" s="211">
        <v>1461</v>
      </c>
      <c r="C3283" s="211">
        <v>1812</v>
      </c>
      <c r="D3283" s="211" t="s">
        <v>1255</v>
      </c>
      <c r="E3283" s="211" t="s">
        <v>10385</v>
      </c>
      <c r="F3283" s="211" t="s">
        <v>7797</v>
      </c>
    </row>
    <row r="3284" spans="1:6">
      <c r="A3284" s="211" t="s">
        <v>832</v>
      </c>
      <c r="B3284" s="211">
        <v>794</v>
      </c>
      <c r="C3284" s="211">
        <v>1258</v>
      </c>
      <c r="D3284" s="211" t="s">
        <v>1255</v>
      </c>
      <c r="E3284" s="211" t="s">
        <v>10385</v>
      </c>
      <c r="F3284" s="211" t="s">
        <v>7456</v>
      </c>
    </row>
    <row r="3285" spans="1:6">
      <c r="A3285" s="211" t="s">
        <v>6833</v>
      </c>
      <c r="B3285" s="211">
        <v>7755</v>
      </c>
      <c r="C3285" s="211">
        <v>913</v>
      </c>
      <c r="D3285" s="211" t="s">
        <v>1255</v>
      </c>
      <c r="E3285" s="211" t="s">
        <v>6834</v>
      </c>
      <c r="F3285" s="211" t="s">
        <v>7561</v>
      </c>
    </row>
    <row r="3286" spans="1:6">
      <c r="A3286" s="211" t="s">
        <v>9523</v>
      </c>
      <c r="B3286" s="211">
        <v>8541</v>
      </c>
      <c r="C3286" s="211" t="s">
        <v>10385</v>
      </c>
      <c r="D3286" s="211" t="s">
        <v>1255</v>
      </c>
      <c r="E3286" s="211" t="s">
        <v>9524</v>
      </c>
      <c r="F3286" s="211" t="s">
        <v>7365</v>
      </c>
    </row>
    <row r="3287" spans="1:6">
      <c r="A3287" s="211" t="s">
        <v>5877</v>
      </c>
      <c r="B3287" s="211">
        <v>6593</v>
      </c>
      <c r="C3287" s="211">
        <v>1292</v>
      </c>
      <c r="D3287" s="211" t="s">
        <v>1255</v>
      </c>
      <c r="E3287" s="211" t="s">
        <v>9525</v>
      </c>
      <c r="F3287" s="211" t="s">
        <v>7189</v>
      </c>
    </row>
    <row r="3288" spans="1:6">
      <c r="A3288" s="211" t="s">
        <v>833</v>
      </c>
      <c r="B3288" s="211">
        <v>4064</v>
      </c>
      <c r="C3288" s="211">
        <v>710</v>
      </c>
      <c r="D3288" s="211" t="s">
        <v>1117</v>
      </c>
      <c r="E3288" s="211" t="s">
        <v>10385</v>
      </c>
      <c r="F3288" s="211" t="s">
        <v>7272</v>
      </c>
    </row>
    <row r="3289" spans="1:6">
      <c r="A3289" s="211" t="s">
        <v>834</v>
      </c>
      <c r="B3289" s="211">
        <v>2075</v>
      </c>
      <c r="C3289" s="211">
        <v>1044</v>
      </c>
      <c r="D3289" s="211" t="s">
        <v>1255</v>
      </c>
      <c r="E3289" s="211" t="s">
        <v>10385</v>
      </c>
      <c r="F3289" s="211" t="s">
        <v>7284</v>
      </c>
    </row>
    <row r="3290" spans="1:6">
      <c r="A3290" s="211" t="s">
        <v>9526</v>
      </c>
      <c r="B3290" s="211">
        <v>7955</v>
      </c>
      <c r="C3290" s="211">
        <v>1162</v>
      </c>
      <c r="D3290" s="211" t="s">
        <v>1255</v>
      </c>
      <c r="E3290" s="211" t="s">
        <v>9527</v>
      </c>
      <c r="F3290" s="211" t="s">
        <v>7325</v>
      </c>
    </row>
    <row r="3291" spans="1:6">
      <c r="A3291" s="211" t="s">
        <v>2960</v>
      </c>
      <c r="B3291" s="211">
        <v>2495</v>
      </c>
      <c r="C3291" s="211">
        <v>973</v>
      </c>
      <c r="D3291" s="211" t="s">
        <v>1117</v>
      </c>
      <c r="E3291" s="211" t="s">
        <v>10385</v>
      </c>
      <c r="F3291" s="211" t="s">
        <v>7203</v>
      </c>
    </row>
    <row r="3292" spans="1:6">
      <c r="A3292" s="211" t="s">
        <v>835</v>
      </c>
      <c r="B3292" s="211">
        <v>3915</v>
      </c>
      <c r="C3292" s="211">
        <v>997</v>
      </c>
      <c r="D3292" s="211" t="s">
        <v>1117</v>
      </c>
      <c r="E3292" s="211" t="s">
        <v>10385</v>
      </c>
      <c r="F3292" s="211" t="s">
        <v>7356</v>
      </c>
    </row>
    <row r="3293" spans="1:6">
      <c r="A3293" s="211" t="s">
        <v>4638</v>
      </c>
      <c r="B3293" s="211">
        <v>6325</v>
      </c>
      <c r="C3293" s="211">
        <v>606</v>
      </c>
      <c r="D3293" s="211" t="s">
        <v>1117</v>
      </c>
      <c r="E3293" s="211" t="s">
        <v>6835</v>
      </c>
      <c r="F3293" s="211" t="s">
        <v>7288</v>
      </c>
    </row>
    <row r="3294" spans="1:6">
      <c r="A3294" s="211" t="s">
        <v>4610</v>
      </c>
      <c r="B3294" s="211">
        <v>6505</v>
      </c>
      <c r="C3294" s="211">
        <v>1202</v>
      </c>
      <c r="D3294" s="211" t="s">
        <v>1255</v>
      </c>
      <c r="E3294" s="211" t="s">
        <v>6836</v>
      </c>
      <c r="F3294" s="211" t="s">
        <v>7284</v>
      </c>
    </row>
    <row r="3295" spans="1:6">
      <c r="A3295" s="211" t="s">
        <v>836</v>
      </c>
      <c r="B3295" s="211">
        <v>766</v>
      </c>
      <c r="C3295" s="211">
        <v>1090</v>
      </c>
      <c r="D3295" s="211" t="s">
        <v>1255</v>
      </c>
      <c r="E3295" s="211" t="s">
        <v>10385</v>
      </c>
      <c r="F3295" s="211" t="s">
        <v>7162</v>
      </c>
    </row>
    <row r="3296" spans="1:6">
      <c r="A3296" s="211" t="s">
        <v>837</v>
      </c>
      <c r="B3296" s="211">
        <v>1802</v>
      </c>
      <c r="C3296" s="211">
        <v>999</v>
      </c>
      <c r="D3296" s="211" t="s">
        <v>1255</v>
      </c>
      <c r="E3296" s="211" t="s">
        <v>10385</v>
      </c>
      <c r="F3296" s="211" t="s">
        <v>7239</v>
      </c>
    </row>
    <row r="3297" spans="1:6">
      <c r="A3297" s="211" t="s">
        <v>838</v>
      </c>
      <c r="B3297" s="211">
        <v>3375</v>
      </c>
      <c r="C3297" s="211">
        <v>1224</v>
      </c>
      <c r="D3297" s="211" t="s">
        <v>1255</v>
      </c>
      <c r="E3297" s="211" t="s">
        <v>10385</v>
      </c>
      <c r="F3297" s="211" t="s">
        <v>7453</v>
      </c>
    </row>
    <row r="3298" spans="1:6">
      <c r="A3298" s="211" t="s">
        <v>839</v>
      </c>
      <c r="B3298" s="211">
        <v>4427</v>
      </c>
      <c r="C3298" s="211">
        <v>930</v>
      </c>
      <c r="D3298" s="211" t="s">
        <v>1255</v>
      </c>
      <c r="E3298" s="211" t="s">
        <v>10385</v>
      </c>
      <c r="F3298" s="211" t="s">
        <v>9024</v>
      </c>
    </row>
    <row r="3299" spans="1:6">
      <c r="A3299" s="211" t="s">
        <v>840</v>
      </c>
      <c r="B3299" s="211">
        <v>4258</v>
      </c>
      <c r="C3299" s="211">
        <v>782</v>
      </c>
      <c r="D3299" s="211" t="s">
        <v>1255</v>
      </c>
      <c r="E3299" s="211" t="s">
        <v>10385</v>
      </c>
      <c r="F3299" s="211" t="s">
        <v>7303</v>
      </c>
    </row>
    <row r="3300" spans="1:6">
      <c r="A3300" s="211" t="s">
        <v>841</v>
      </c>
      <c r="B3300" s="211">
        <v>3571</v>
      </c>
      <c r="C3300" s="211">
        <v>1094</v>
      </c>
      <c r="D3300" s="211" t="s">
        <v>1117</v>
      </c>
      <c r="E3300" s="211" t="s">
        <v>10385</v>
      </c>
      <c r="F3300" s="211" t="s">
        <v>7308</v>
      </c>
    </row>
    <row r="3301" spans="1:6">
      <c r="A3301" s="211" t="s">
        <v>842</v>
      </c>
      <c r="B3301" s="211">
        <v>2774</v>
      </c>
      <c r="C3301" s="211">
        <v>1526</v>
      </c>
      <c r="D3301" s="211" t="s">
        <v>1255</v>
      </c>
      <c r="E3301" s="211" t="s">
        <v>10385</v>
      </c>
      <c r="F3301" s="211" t="s">
        <v>7275</v>
      </c>
    </row>
    <row r="3302" spans="1:6">
      <c r="A3302" s="211" t="s">
        <v>843</v>
      </c>
      <c r="B3302" s="211">
        <v>1281</v>
      </c>
      <c r="C3302" s="211">
        <v>1790</v>
      </c>
      <c r="D3302" s="211" t="s">
        <v>1255</v>
      </c>
      <c r="E3302" s="211" t="s">
        <v>10385</v>
      </c>
      <c r="F3302" s="211" t="s">
        <v>7249</v>
      </c>
    </row>
    <row r="3303" spans="1:6">
      <c r="A3303" s="211" t="s">
        <v>8063</v>
      </c>
      <c r="B3303" s="211">
        <v>772</v>
      </c>
      <c r="C3303" s="211" t="s">
        <v>10385</v>
      </c>
      <c r="D3303" s="211" t="s">
        <v>1255</v>
      </c>
      <c r="E3303" s="211" t="s">
        <v>10385</v>
      </c>
      <c r="F3303" s="211" t="s">
        <v>7196</v>
      </c>
    </row>
    <row r="3304" spans="1:6">
      <c r="A3304" s="211" t="s">
        <v>844</v>
      </c>
      <c r="B3304" s="211">
        <v>3072</v>
      </c>
      <c r="C3304" s="211">
        <v>1156</v>
      </c>
      <c r="D3304" s="211" t="s">
        <v>1255</v>
      </c>
      <c r="E3304" s="211" t="s">
        <v>10385</v>
      </c>
      <c r="F3304" s="211" t="s">
        <v>7318</v>
      </c>
    </row>
    <row r="3305" spans="1:6">
      <c r="A3305" s="211" t="s">
        <v>845</v>
      </c>
      <c r="B3305" s="211">
        <v>4315</v>
      </c>
      <c r="C3305" s="211">
        <v>735</v>
      </c>
      <c r="D3305" s="211" t="s">
        <v>1255</v>
      </c>
      <c r="E3305" s="211" t="s">
        <v>10385</v>
      </c>
      <c r="F3305" s="211" t="s">
        <v>7425</v>
      </c>
    </row>
    <row r="3306" spans="1:6">
      <c r="A3306" s="211" t="s">
        <v>846</v>
      </c>
      <c r="B3306" s="211">
        <v>4300</v>
      </c>
      <c r="C3306" s="211">
        <v>971</v>
      </c>
      <c r="D3306" s="211" t="s">
        <v>1255</v>
      </c>
      <c r="E3306" s="211" t="s">
        <v>10385</v>
      </c>
      <c r="F3306" s="211" t="s">
        <v>7203</v>
      </c>
    </row>
    <row r="3307" spans="1:6">
      <c r="A3307" s="211" t="s">
        <v>847</v>
      </c>
      <c r="B3307" s="211">
        <v>3175</v>
      </c>
      <c r="C3307" s="211">
        <v>987</v>
      </c>
      <c r="D3307" s="211" t="s">
        <v>1255</v>
      </c>
      <c r="E3307" s="211" t="s">
        <v>10385</v>
      </c>
      <c r="F3307" s="211" t="s">
        <v>7196</v>
      </c>
    </row>
    <row r="3308" spans="1:6">
      <c r="A3308" s="211" t="s">
        <v>848</v>
      </c>
      <c r="B3308" s="211">
        <v>2245</v>
      </c>
      <c r="C3308" s="211">
        <v>1473</v>
      </c>
      <c r="D3308" s="211" t="s">
        <v>1255</v>
      </c>
      <c r="E3308" s="211" t="s">
        <v>10385</v>
      </c>
      <c r="F3308" s="211" t="s">
        <v>7430</v>
      </c>
    </row>
    <row r="3309" spans="1:6">
      <c r="A3309" s="211" t="s">
        <v>849</v>
      </c>
      <c r="B3309" s="211">
        <v>3050</v>
      </c>
      <c r="C3309" s="211">
        <v>1795</v>
      </c>
      <c r="D3309" s="211" t="s">
        <v>1255</v>
      </c>
      <c r="E3309" s="211" t="s">
        <v>10385</v>
      </c>
      <c r="F3309" s="211" t="s">
        <v>7306</v>
      </c>
    </row>
    <row r="3310" spans="1:6">
      <c r="A3310" s="211" t="s">
        <v>850</v>
      </c>
      <c r="B3310" s="211">
        <v>1331</v>
      </c>
      <c r="C3310" s="211">
        <v>1167</v>
      </c>
      <c r="D3310" s="211" t="s">
        <v>1255</v>
      </c>
      <c r="E3310" s="211" t="s">
        <v>10385</v>
      </c>
      <c r="F3310" s="211" t="s">
        <v>7237</v>
      </c>
    </row>
    <row r="3311" spans="1:6">
      <c r="A3311" s="211" t="s">
        <v>851</v>
      </c>
      <c r="B3311" s="211">
        <v>4054</v>
      </c>
      <c r="C3311" s="211">
        <v>1022</v>
      </c>
      <c r="D3311" s="211" t="s">
        <v>1255</v>
      </c>
      <c r="E3311" s="211" t="s">
        <v>10385</v>
      </c>
      <c r="F3311" s="211" t="s">
        <v>7192</v>
      </c>
    </row>
    <row r="3312" spans="1:6">
      <c r="A3312" s="211" t="s">
        <v>5079</v>
      </c>
      <c r="B3312" s="211">
        <v>6822</v>
      </c>
      <c r="C3312" s="211">
        <v>868</v>
      </c>
      <c r="D3312" s="211" t="s">
        <v>1255</v>
      </c>
      <c r="E3312" s="211" t="s">
        <v>10385</v>
      </c>
      <c r="F3312" s="211" t="s">
        <v>7224</v>
      </c>
    </row>
    <row r="3313" spans="1:6">
      <c r="A3313" s="211" t="s">
        <v>8064</v>
      </c>
      <c r="B3313" s="211">
        <v>326</v>
      </c>
      <c r="C3313" s="211" t="s">
        <v>10385</v>
      </c>
      <c r="D3313" s="211" t="s">
        <v>1255</v>
      </c>
      <c r="E3313" s="211" t="s">
        <v>10385</v>
      </c>
      <c r="F3313" s="211" t="s">
        <v>7272</v>
      </c>
    </row>
    <row r="3314" spans="1:6">
      <c r="A3314" s="211" t="s">
        <v>852</v>
      </c>
      <c r="B3314" s="211">
        <v>3009</v>
      </c>
      <c r="C3314" s="211">
        <v>1101</v>
      </c>
      <c r="D3314" s="211" t="s">
        <v>1255</v>
      </c>
      <c r="E3314" s="211" t="s">
        <v>10385</v>
      </c>
      <c r="F3314" s="211" t="s">
        <v>7446</v>
      </c>
    </row>
    <row r="3315" spans="1:6">
      <c r="A3315" s="211" t="s">
        <v>853</v>
      </c>
      <c r="B3315" s="211">
        <v>1358</v>
      </c>
      <c r="C3315" s="211">
        <v>2319</v>
      </c>
      <c r="D3315" s="211" t="s">
        <v>1255</v>
      </c>
      <c r="E3315" s="211" t="s">
        <v>10385</v>
      </c>
      <c r="F3315" s="211" t="s">
        <v>7267</v>
      </c>
    </row>
    <row r="3316" spans="1:6">
      <c r="A3316" s="211" t="s">
        <v>854</v>
      </c>
      <c r="B3316" s="211">
        <v>2297</v>
      </c>
      <c r="C3316" s="211">
        <v>812</v>
      </c>
      <c r="D3316" s="211" t="s">
        <v>1255</v>
      </c>
      <c r="E3316" s="211" t="s">
        <v>10385</v>
      </c>
      <c r="F3316" s="211" t="s">
        <v>7415</v>
      </c>
    </row>
    <row r="3317" spans="1:6">
      <c r="A3317" s="211" t="s">
        <v>855</v>
      </c>
      <c r="B3317" s="211">
        <v>3300</v>
      </c>
      <c r="C3317" s="211">
        <v>1411</v>
      </c>
      <c r="D3317" s="211" t="s">
        <v>1255</v>
      </c>
      <c r="E3317" s="211" t="s">
        <v>10385</v>
      </c>
      <c r="F3317" s="211" t="s">
        <v>7283</v>
      </c>
    </row>
    <row r="3318" spans="1:6">
      <c r="A3318" s="211" t="s">
        <v>856</v>
      </c>
      <c r="B3318" s="211">
        <v>3724</v>
      </c>
      <c r="C3318" s="211">
        <v>760</v>
      </c>
      <c r="D3318" s="211" t="s">
        <v>1255</v>
      </c>
      <c r="E3318" s="211" t="s">
        <v>10385</v>
      </c>
      <c r="F3318" s="211" t="s">
        <v>7192</v>
      </c>
    </row>
    <row r="3319" spans="1:6">
      <c r="A3319" s="211" t="s">
        <v>8065</v>
      </c>
      <c r="B3319" s="211">
        <v>6040</v>
      </c>
      <c r="C3319" s="211" t="s">
        <v>10385</v>
      </c>
      <c r="D3319" s="211" t="s">
        <v>1255</v>
      </c>
      <c r="E3319" s="211" t="s">
        <v>10385</v>
      </c>
      <c r="F3319" s="211" t="s">
        <v>7192</v>
      </c>
    </row>
    <row r="3320" spans="1:6">
      <c r="A3320" s="211" t="s">
        <v>5326</v>
      </c>
      <c r="B3320" s="211">
        <v>6714</v>
      </c>
      <c r="C3320" s="211">
        <v>705</v>
      </c>
      <c r="D3320" s="211" t="s">
        <v>1255</v>
      </c>
      <c r="E3320" s="211" t="s">
        <v>10385</v>
      </c>
      <c r="F3320" s="211" t="s">
        <v>8066</v>
      </c>
    </row>
    <row r="3321" spans="1:6">
      <c r="A3321" s="211" t="s">
        <v>857</v>
      </c>
      <c r="B3321" s="211">
        <v>2804</v>
      </c>
      <c r="C3321" s="211">
        <v>798</v>
      </c>
      <c r="D3321" s="211" t="s">
        <v>1117</v>
      </c>
      <c r="E3321" s="211" t="s">
        <v>10385</v>
      </c>
      <c r="F3321" s="211" t="s">
        <v>7208</v>
      </c>
    </row>
    <row r="3322" spans="1:6">
      <c r="A3322" s="211" t="s">
        <v>8067</v>
      </c>
      <c r="B3322" s="211">
        <v>3904</v>
      </c>
      <c r="C3322" s="211" t="s">
        <v>10385</v>
      </c>
      <c r="D3322" s="211" t="s">
        <v>1255</v>
      </c>
      <c r="E3322" s="211" t="s">
        <v>10385</v>
      </c>
      <c r="F3322" s="211" t="s">
        <v>7736</v>
      </c>
    </row>
    <row r="3323" spans="1:6">
      <c r="A3323" s="211" t="s">
        <v>858</v>
      </c>
      <c r="B3323" s="211">
        <v>4278</v>
      </c>
      <c r="C3323" s="211">
        <v>971</v>
      </c>
      <c r="D3323" s="211" t="s">
        <v>1255</v>
      </c>
      <c r="E3323" s="211" t="s">
        <v>10385</v>
      </c>
      <c r="F3323" s="211" t="s">
        <v>7655</v>
      </c>
    </row>
    <row r="3324" spans="1:6">
      <c r="A3324" s="211" t="s">
        <v>859</v>
      </c>
      <c r="B3324" s="211">
        <v>4952</v>
      </c>
      <c r="C3324" s="211">
        <v>1480</v>
      </c>
      <c r="D3324" s="211" t="s">
        <v>1255</v>
      </c>
      <c r="E3324" s="211" t="s">
        <v>10385</v>
      </c>
      <c r="F3324" s="211" t="s">
        <v>7304</v>
      </c>
    </row>
    <row r="3325" spans="1:6">
      <c r="A3325" s="211" t="s">
        <v>8068</v>
      </c>
      <c r="B3325" s="211">
        <v>1907</v>
      </c>
      <c r="C3325" s="211" t="s">
        <v>10385</v>
      </c>
      <c r="D3325" s="211" t="s">
        <v>1255</v>
      </c>
      <c r="E3325" s="211" t="s">
        <v>10385</v>
      </c>
      <c r="F3325" s="211" t="s">
        <v>7162</v>
      </c>
    </row>
    <row r="3326" spans="1:6">
      <c r="A3326" s="211" t="s">
        <v>8069</v>
      </c>
      <c r="B3326" s="211">
        <v>314</v>
      </c>
      <c r="C3326" s="211" t="s">
        <v>10385</v>
      </c>
      <c r="D3326" s="211" t="s">
        <v>1255</v>
      </c>
      <c r="E3326" s="211" t="s">
        <v>10385</v>
      </c>
      <c r="F3326" s="211" t="s">
        <v>7272</v>
      </c>
    </row>
    <row r="3327" spans="1:6">
      <c r="A3327" s="211" t="s">
        <v>8070</v>
      </c>
      <c r="B3327" s="211">
        <v>4035</v>
      </c>
      <c r="C3327" s="211" t="s">
        <v>10385</v>
      </c>
      <c r="D3327" s="211" t="s">
        <v>1255</v>
      </c>
      <c r="E3327" s="211" t="s">
        <v>10385</v>
      </c>
      <c r="F3327" s="211" t="s">
        <v>7224</v>
      </c>
    </row>
    <row r="3328" spans="1:6">
      <c r="A3328" s="211" t="s">
        <v>860</v>
      </c>
      <c r="B3328" s="211">
        <v>1497</v>
      </c>
      <c r="C3328" s="211">
        <v>1620</v>
      </c>
      <c r="D3328" s="211" t="s">
        <v>1255</v>
      </c>
      <c r="E3328" s="211" t="s">
        <v>10385</v>
      </c>
      <c r="F3328" s="211" t="s">
        <v>7173</v>
      </c>
    </row>
    <row r="3329" spans="1:6">
      <c r="A3329" s="211" t="s">
        <v>6837</v>
      </c>
      <c r="B3329" s="211">
        <v>7684</v>
      </c>
      <c r="C3329" s="211">
        <v>1204</v>
      </c>
      <c r="D3329" s="211" t="s">
        <v>1255</v>
      </c>
      <c r="E3329" s="211" t="s">
        <v>6838</v>
      </c>
      <c r="F3329" s="211" t="s">
        <v>7283</v>
      </c>
    </row>
    <row r="3330" spans="1:6">
      <c r="A3330" s="211" t="s">
        <v>861</v>
      </c>
      <c r="B3330" s="211">
        <v>5727</v>
      </c>
      <c r="C3330" s="211">
        <v>880</v>
      </c>
      <c r="D3330" s="211" t="s">
        <v>1255</v>
      </c>
      <c r="E3330" s="211" t="s">
        <v>10385</v>
      </c>
      <c r="F3330" s="211" t="s">
        <v>7344</v>
      </c>
    </row>
    <row r="3331" spans="1:6">
      <c r="A3331" s="211" t="s">
        <v>8071</v>
      </c>
      <c r="B3331" s="211">
        <v>1021</v>
      </c>
      <c r="C3331" s="211" t="s">
        <v>10385</v>
      </c>
      <c r="D3331" s="211" t="s">
        <v>1255</v>
      </c>
      <c r="E3331" s="211" t="s">
        <v>10385</v>
      </c>
      <c r="F3331" s="211" t="s">
        <v>7196</v>
      </c>
    </row>
    <row r="3332" spans="1:6">
      <c r="A3332" s="211" t="s">
        <v>862</v>
      </c>
      <c r="B3332" s="211">
        <v>3036</v>
      </c>
      <c r="C3332" s="211">
        <v>1407</v>
      </c>
      <c r="D3332" s="211" t="s">
        <v>1255</v>
      </c>
      <c r="E3332" s="211" t="s">
        <v>10385</v>
      </c>
      <c r="F3332" s="211" t="s">
        <v>7282</v>
      </c>
    </row>
    <row r="3333" spans="1:6">
      <c r="A3333" s="211" t="s">
        <v>863</v>
      </c>
      <c r="B3333" s="211">
        <v>891</v>
      </c>
      <c r="C3333" s="211">
        <v>941</v>
      </c>
      <c r="D3333" s="211" t="s">
        <v>1255</v>
      </c>
      <c r="E3333" s="211" t="s">
        <v>10385</v>
      </c>
      <c r="F3333" s="211" t="s">
        <v>7162</v>
      </c>
    </row>
    <row r="3334" spans="1:6">
      <c r="A3334" s="211" t="s">
        <v>8072</v>
      </c>
      <c r="B3334" s="211">
        <v>2468</v>
      </c>
      <c r="C3334" s="211" t="s">
        <v>10385</v>
      </c>
      <c r="D3334" s="211" t="s">
        <v>1255</v>
      </c>
      <c r="E3334" s="211" t="s">
        <v>10385</v>
      </c>
      <c r="F3334" s="211" t="s">
        <v>7404</v>
      </c>
    </row>
    <row r="3335" spans="1:6">
      <c r="A3335" s="211" t="s">
        <v>864</v>
      </c>
      <c r="B3335" s="211">
        <v>5147</v>
      </c>
      <c r="C3335" s="211">
        <v>1078</v>
      </c>
      <c r="D3335" s="211" t="s">
        <v>1255</v>
      </c>
      <c r="E3335" s="211" t="s">
        <v>10385</v>
      </c>
      <c r="F3335" s="211" t="s">
        <v>7354</v>
      </c>
    </row>
    <row r="3336" spans="1:6">
      <c r="A3336" s="211" t="s">
        <v>2889</v>
      </c>
      <c r="B3336" s="211">
        <v>3450</v>
      </c>
      <c r="C3336" s="211">
        <v>856</v>
      </c>
      <c r="D3336" s="211" t="s">
        <v>1255</v>
      </c>
      <c r="E3336" s="211" t="s">
        <v>10385</v>
      </c>
      <c r="F3336" s="211" t="s">
        <v>7268</v>
      </c>
    </row>
    <row r="3337" spans="1:6">
      <c r="A3337" s="211" t="s">
        <v>865</v>
      </c>
      <c r="B3337" s="211">
        <v>665</v>
      </c>
      <c r="C3337" s="211">
        <v>1328</v>
      </c>
      <c r="D3337" s="211" t="s">
        <v>1255</v>
      </c>
      <c r="E3337" s="211" t="s">
        <v>10385</v>
      </c>
      <c r="F3337" s="211" t="s">
        <v>7162</v>
      </c>
    </row>
    <row r="3338" spans="1:6">
      <c r="A3338" s="211" t="s">
        <v>10355</v>
      </c>
      <c r="B3338" s="211">
        <v>892</v>
      </c>
      <c r="C3338" s="211" t="s">
        <v>10385</v>
      </c>
      <c r="D3338" s="211" t="s">
        <v>1255</v>
      </c>
      <c r="E3338" s="211" t="s">
        <v>10385</v>
      </c>
      <c r="F3338" s="211" t="s">
        <v>7162</v>
      </c>
    </row>
    <row r="3339" spans="1:6">
      <c r="A3339" s="211" t="s">
        <v>4912</v>
      </c>
      <c r="B3339" s="211">
        <v>4929</v>
      </c>
      <c r="C3339" s="211">
        <v>1112</v>
      </c>
      <c r="D3339" s="211" t="s">
        <v>1117</v>
      </c>
      <c r="E3339" s="211" t="s">
        <v>10385</v>
      </c>
      <c r="F3339" s="211" t="s">
        <v>7380</v>
      </c>
    </row>
    <row r="3340" spans="1:6">
      <c r="A3340" s="211" t="s">
        <v>8073</v>
      </c>
      <c r="B3340" s="211">
        <v>3643</v>
      </c>
      <c r="C3340" s="211" t="s">
        <v>10385</v>
      </c>
      <c r="D3340" s="211" t="s">
        <v>1117</v>
      </c>
      <c r="E3340" s="211" t="s">
        <v>10385</v>
      </c>
      <c r="F3340" s="211" t="s">
        <v>7192</v>
      </c>
    </row>
    <row r="3341" spans="1:6">
      <c r="A3341" s="211" t="s">
        <v>866</v>
      </c>
      <c r="B3341" s="211">
        <v>3007</v>
      </c>
      <c r="C3341" s="211">
        <v>733</v>
      </c>
      <c r="D3341" s="211" t="s">
        <v>1117</v>
      </c>
      <c r="E3341" s="211" t="s">
        <v>5878</v>
      </c>
      <c r="F3341" s="211" t="s">
        <v>7192</v>
      </c>
    </row>
    <row r="3342" spans="1:6">
      <c r="A3342" s="211" t="s">
        <v>867</v>
      </c>
      <c r="B3342" s="211">
        <v>4118</v>
      </c>
      <c r="C3342" s="211">
        <v>896</v>
      </c>
      <c r="D3342" s="211" t="s">
        <v>1255</v>
      </c>
      <c r="E3342" s="211" t="s">
        <v>10385</v>
      </c>
      <c r="F3342" s="211" t="s">
        <v>7320</v>
      </c>
    </row>
    <row r="3343" spans="1:6">
      <c r="A3343" s="211" t="s">
        <v>868</v>
      </c>
      <c r="B3343" s="211">
        <v>941</v>
      </c>
      <c r="C3343" s="211">
        <v>1184</v>
      </c>
      <c r="D3343" s="211" t="s">
        <v>1255</v>
      </c>
      <c r="E3343" s="211" t="s">
        <v>10385</v>
      </c>
      <c r="F3343" s="211" t="s">
        <v>7692</v>
      </c>
    </row>
    <row r="3344" spans="1:6">
      <c r="A3344" s="211" t="s">
        <v>9528</v>
      </c>
      <c r="B3344" s="211">
        <v>7940</v>
      </c>
      <c r="C3344" s="211">
        <v>1850</v>
      </c>
      <c r="D3344" s="211" t="s">
        <v>1255</v>
      </c>
      <c r="E3344" s="211" t="s">
        <v>9529</v>
      </c>
      <c r="F3344" s="211" t="s">
        <v>7325</v>
      </c>
    </row>
    <row r="3345" spans="1:6">
      <c r="A3345" s="211" t="s">
        <v>869</v>
      </c>
      <c r="B3345" s="211">
        <v>1120</v>
      </c>
      <c r="C3345" s="211">
        <v>1681</v>
      </c>
      <c r="D3345" s="211" t="s">
        <v>1255</v>
      </c>
      <c r="E3345" s="211" t="s">
        <v>10385</v>
      </c>
      <c r="F3345" s="211" t="s">
        <v>10341</v>
      </c>
    </row>
    <row r="3346" spans="1:6">
      <c r="A3346" s="211" t="s">
        <v>870</v>
      </c>
      <c r="B3346" s="211">
        <v>5743</v>
      </c>
      <c r="C3346" s="211">
        <v>1602</v>
      </c>
      <c r="D3346" s="211" t="s">
        <v>1255</v>
      </c>
      <c r="E3346" s="211" t="s">
        <v>6839</v>
      </c>
      <c r="F3346" s="211" t="s">
        <v>7327</v>
      </c>
    </row>
    <row r="3347" spans="1:6">
      <c r="A3347" s="211" t="s">
        <v>871</v>
      </c>
      <c r="B3347" s="211">
        <v>5400</v>
      </c>
      <c r="C3347" s="211">
        <v>910</v>
      </c>
      <c r="D3347" s="211" t="s">
        <v>1255</v>
      </c>
      <c r="E3347" s="211" t="s">
        <v>10385</v>
      </c>
      <c r="F3347" s="211" t="s">
        <v>7319</v>
      </c>
    </row>
    <row r="3348" spans="1:6">
      <c r="A3348" s="211" t="s">
        <v>8074</v>
      </c>
      <c r="B3348" s="211">
        <v>2991</v>
      </c>
      <c r="C3348" s="211" t="s">
        <v>10385</v>
      </c>
      <c r="D3348" s="211" t="s">
        <v>1255</v>
      </c>
      <c r="E3348" s="211" t="s">
        <v>10385</v>
      </c>
      <c r="F3348" s="211" t="s">
        <v>7286</v>
      </c>
    </row>
    <row r="3349" spans="1:6">
      <c r="A3349" s="211" t="s">
        <v>10676</v>
      </c>
      <c r="B3349" s="211">
        <v>8658</v>
      </c>
      <c r="C3349" s="211">
        <v>778</v>
      </c>
      <c r="D3349" s="211" t="s">
        <v>1255</v>
      </c>
      <c r="E3349" s="211" t="s">
        <v>9748</v>
      </c>
      <c r="F3349" s="211" t="s">
        <v>7255</v>
      </c>
    </row>
    <row r="3350" spans="1:6">
      <c r="A3350" s="211" t="s">
        <v>872</v>
      </c>
      <c r="B3350" s="211">
        <v>3728</v>
      </c>
      <c r="C3350" s="211">
        <v>570</v>
      </c>
      <c r="D3350" s="211" t="s">
        <v>1255</v>
      </c>
      <c r="E3350" s="211" t="s">
        <v>10385</v>
      </c>
      <c r="F3350" s="211" t="s">
        <v>7323</v>
      </c>
    </row>
    <row r="3351" spans="1:6">
      <c r="A3351" s="211" t="s">
        <v>873</v>
      </c>
      <c r="B3351" s="211">
        <v>5978</v>
      </c>
      <c r="C3351" s="211">
        <v>952</v>
      </c>
      <c r="D3351" s="211" t="s">
        <v>1255</v>
      </c>
      <c r="E3351" s="211" t="s">
        <v>10385</v>
      </c>
      <c r="F3351" s="211" t="s">
        <v>7344</v>
      </c>
    </row>
    <row r="3352" spans="1:6">
      <c r="A3352" s="211" t="s">
        <v>874</v>
      </c>
      <c r="B3352" s="211">
        <v>2340</v>
      </c>
      <c r="C3352" s="211">
        <v>944</v>
      </c>
      <c r="D3352" s="211" t="s">
        <v>1255</v>
      </c>
      <c r="E3352" s="211" t="s">
        <v>10385</v>
      </c>
      <c r="F3352" s="211" t="s">
        <v>7692</v>
      </c>
    </row>
    <row r="3353" spans="1:6">
      <c r="A3353" s="211" t="s">
        <v>4713</v>
      </c>
      <c r="B3353" s="211">
        <v>6214</v>
      </c>
      <c r="C3353" s="211">
        <v>957</v>
      </c>
      <c r="D3353" s="211" t="s">
        <v>1117</v>
      </c>
      <c r="E3353" s="211" t="s">
        <v>10385</v>
      </c>
      <c r="F3353" s="211" t="s">
        <v>7402</v>
      </c>
    </row>
    <row r="3354" spans="1:6">
      <c r="A3354" s="211" t="s">
        <v>5879</v>
      </c>
      <c r="B3354" s="211">
        <v>7582</v>
      </c>
      <c r="C3354" s="211">
        <v>1254</v>
      </c>
      <c r="D3354" s="211" t="s">
        <v>1117</v>
      </c>
      <c r="E3354" s="211" t="s">
        <v>9530</v>
      </c>
      <c r="F3354" s="211" t="s">
        <v>7325</v>
      </c>
    </row>
    <row r="3355" spans="1:6">
      <c r="A3355" s="211" t="s">
        <v>875</v>
      </c>
      <c r="B3355" s="211">
        <v>3670</v>
      </c>
      <c r="C3355" s="211">
        <v>1199</v>
      </c>
      <c r="D3355" s="211" t="s">
        <v>1117</v>
      </c>
      <c r="E3355" s="211" t="s">
        <v>10385</v>
      </c>
      <c r="F3355" s="211" t="s">
        <v>7224</v>
      </c>
    </row>
    <row r="3356" spans="1:6">
      <c r="A3356" s="211" t="s">
        <v>876</v>
      </c>
      <c r="B3356" s="211">
        <v>5614</v>
      </c>
      <c r="C3356" s="211">
        <v>1760</v>
      </c>
      <c r="D3356" s="211" t="s">
        <v>1255</v>
      </c>
      <c r="E3356" s="211" t="s">
        <v>6840</v>
      </c>
      <c r="F3356" s="211" t="s">
        <v>9044</v>
      </c>
    </row>
    <row r="3357" spans="1:6">
      <c r="A3357" s="211" t="s">
        <v>3117</v>
      </c>
      <c r="B3357" s="211">
        <v>5734</v>
      </c>
      <c r="C3357" s="211">
        <v>1149</v>
      </c>
      <c r="D3357" s="211" t="s">
        <v>1255</v>
      </c>
      <c r="E3357" s="211" t="s">
        <v>10385</v>
      </c>
      <c r="F3357" s="211" t="s">
        <v>7382</v>
      </c>
    </row>
    <row r="3358" spans="1:6">
      <c r="A3358" s="211" t="s">
        <v>8075</v>
      </c>
      <c r="B3358" s="211">
        <v>138</v>
      </c>
      <c r="C3358" s="211" t="s">
        <v>10385</v>
      </c>
      <c r="D3358" s="211" t="s">
        <v>1255</v>
      </c>
      <c r="E3358" s="211" t="s">
        <v>10385</v>
      </c>
      <c r="F3358" s="211" t="s">
        <v>7232</v>
      </c>
    </row>
    <row r="3359" spans="1:6">
      <c r="A3359" s="211" t="s">
        <v>5080</v>
      </c>
      <c r="B3359" s="211">
        <v>4033</v>
      </c>
      <c r="C3359" s="211">
        <v>1363</v>
      </c>
      <c r="D3359" s="211" t="s">
        <v>1255</v>
      </c>
      <c r="E3359" s="211" t="s">
        <v>10385</v>
      </c>
      <c r="F3359" s="211" t="s">
        <v>7224</v>
      </c>
    </row>
    <row r="3360" spans="1:6">
      <c r="A3360" s="211" t="s">
        <v>3844</v>
      </c>
      <c r="B3360" s="211">
        <v>2538</v>
      </c>
      <c r="C3360" s="211">
        <v>965</v>
      </c>
      <c r="D3360" s="211" t="s">
        <v>1255</v>
      </c>
      <c r="E3360" s="211" t="s">
        <v>10385</v>
      </c>
      <c r="F3360" s="211" t="s">
        <v>7205</v>
      </c>
    </row>
    <row r="3361" spans="1:6">
      <c r="A3361" s="211" t="s">
        <v>3118</v>
      </c>
      <c r="B3361" s="211">
        <v>5165</v>
      </c>
      <c r="C3361" s="211">
        <v>1607</v>
      </c>
      <c r="D3361" s="211" t="s">
        <v>1255</v>
      </c>
      <c r="E3361" s="211" t="s">
        <v>10385</v>
      </c>
      <c r="F3361" s="211" t="s">
        <v>7250</v>
      </c>
    </row>
    <row r="3362" spans="1:6">
      <c r="A3362" s="211" t="s">
        <v>3119</v>
      </c>
      <c r="B3362" s="211">
        <v>2741</v>
      </c>
      <c r="C3362" s="211">
        <v>1786</v>
      </c>
      <c r="D3362" s="211" t="s">
        <v>1255</v>
      </c>
      <c r="E3362" s="211" t="s">
        <v>10385</v>
      </c>
      <c r="F3362" s="211" t="s">
        <v>7196</v>
      </c>
    </row>
    <row r="3363" spans="1:6">
      <c r="A3363" s="211" t="s">
        <v>3120</v>
      </c>
      <c r="B3363" s="211">
        <v>5725</v>
      </c>
      <c r="C3363" s="211">
        <v>850</v>
      </c>
      <c r="D3363" s="211" t="s">
        <v>1255</v>
      </c>
      <c r="E3363" s="211" t="s">
        <v>10385</v>
      </c>
      <c r="F3363" s="211" t="s">
        <v>7344</v>
      </c>
    </row>
    <row r="3364" spans="1:6">
      <c r="A3364" s="211" t="s">
        <v>3121</v>
      </c>
      <c r="B3364" s="211">
        <v>1369</v>
      </c>
      <c r="C3364" s="211">
        <v>1699</v>
      </c>
      <c r="D3364" s="211" t="s">
        <v>1255</v>
      </c>
      <c r="E3364" s="211" t="s">
        <v>10385</v>
      </c>
      <c r="F3364" s="211" t="s">
        <v>7245</v>
      </c>
    </row>
    <row r="3365" spans="1:6">
      <c r="A3365" s="211" t="s">
        <v>3122</v>
      </c>
      <c r="B3365" s="211">
        <v>1261</v>
      </c>
      <c r="C3365" s="211">
        <v>1629</v>
      </c>
      <c r="D3365" s="211" t="s">
        <v>1255</v>
      </c>
      <c r="E3365" s="211" t="s">
        <v>10385</v>
      </c>
      <c r="F3365" s="211" t="s">
        <v>7356</v>
      </c>
    </row>
    <row r="3366" spans="1:6">
      <c r="A3366" s="211" t="s">
        <v>8076</v>
      </c>
      <c r="B3366" s="211">
        <v>283</v>
      </c>
      <c r="C3366" s="211" t="s">
        <v>10385</v>
      </c>
      <c r="D3366" s="211" t="s">
        <v>1255</v>
      </c>
      <c r="E3366" s="211" t="s">
        <v>10385</v>
      </c>
      <c r="F3366" s="211" t="s">
        <v>7320</v>
      </c>
    </row>
    <row r="3367" spans="1:6">
      <c r="A3367" s="211" t="s">
        <v>5880</v>
      </c>
      <c r="B3367" s="211">
        <v>7342</v>
      </c>
      <c r="C3367" s="211">
        <v>1278</v>
      </c>
      <c r="D3367" s="211" t="s">
        <v>1255</v>
      </c>
      <c r="E3367" s="211" t="s">
        <v>9531</v>
      </c>
      <c r="F3367" s="211" t="s">
        <v>7390</v>
      </c>
    </row>
    <row r="3368" spans="1:6">
      <c r="A3368" s="211" t="s">
        <v>3123</v>
      </c>
      <c r="B3368" s="211">
        <v>3148</v>
      </c>
      <c r="C3368" s="211">
        <v>1962</v>
      </c>
      <c r="D3368" s="211" t="s">
        <v>1255</v>
      </c>
      <c r="E3368" s="211" t="s">
        <v>10385</v>
      </c>
      <c r="F3368" s="211" t="s">
        <v>7384</v>
      </c>
    </row>
    <row r="3369" spans="1:6">
      <c r="A3369" s="211" t="s">
        <v>9532</v>
      </c>
      <c r="B3369" s="211">
        <v>8183</v>
      </c>
      <c r="C3369" s="211">
        <v>998</v>
      </c>
      <c r="D3369" s="211" t="s">
        <v>1255</v>
      </c>
      <c r="E3369" s="211" t="s">
        <v>6834</v>
      </c>
      <c r="F3369" s="211" t="s">
        <v>7561</v>
      </c>
    </row>
    <row r="3370" spans="1:6">
      <c r="A3370" s="211" t="s">
        <v>9533</v>
      </c>
      <c r="B3370" s="211">
        <v>8426</v>
      </c>
      <c r="C3370" s="211">
        <v>2016</v>
      </c>
      <c r="D3370" s="211" t="s">
        <v>1255</v>
      </c>
      <c r="E3370" s="211" t="s">
        <v>9534</v>
      </c>
      <c r="F3370" s="211" t="s">
        <v>7272</v>
      </c>
    </row>
    <row r="3371" spans="1:6">
      <c r="A3371" s="211" t="s">
        <v>8077</v>
      </c>
      <c r="B3371" s="211">
        <v>967</v>
      </c>
      <c r="C3371" s="211">
        <v>1385</v>
      </c>
      <c r="D3371" s="211" t="s">
        <v>1255</v>
      </c>
      <c r="E3371" s="211" t="s">
        <v>5881</v>
      </c>
      <c r="F3371" s="211" t="s">
        <v>7384</v>
      </c>
    </row>
    <row r="3372" spans="1:6">
      <c r="A3372" s="211" t="s">
        <v>3124</v>
      </c>
      <c r="B3372" s="211">
        <v>4224</v>
      </c>
      <c r="C3372" s="211">
        <v>1197</v>
      </c>
      <c r="D3372" s="211" t="s">
        <v>1255</v>
      </c>
      <c r="E3372" s="211" t="s">
        <v>10385</v>
      </c>
      <c r="F3372" s="211" t="s">
        <v>7322</v>
      </c>
    </row>
    <row r="3373" spans="1:6">
      <c r="A3373" s="211" t="s">
        <v>8078</v>
      </c>
      <c r="B3373" s="211">
        <v>548</v>
      </c>
      <c r="C3373" s="211" t="s">
        <v>10385</v>
      </c>
      <c r="D3373" s="211" t="s">
        <v>1255</v>
      </c>
      <c r="E3373" s="211" t="s">
        <v>10385</v>
      </c>
      <c r="F3373" s="211" t="s">
        <v>7791</v>
      </c>
    </row>
    <row r="3374" spans="1:6">
      <c r="A3374" s="211" t="s">
        <v>5882</v>
      </c>
      <c r="B3374" s="211">
        <v>7500</v>
      </c>
      <c r="C3374" s="211">
        <v>506</v>
      </c>
      <c r="D3374" s="211" t="s">
        <v>1117</v>
      </c>
      <c r="E3374" s="211" t="s">
        <v>5883</v>
      </c>
      <c r="F3374" s="211" t="s">
        <v>7284</v>
      </c>
    </row>
    <row r="3375" spans="1:6">
      <c r="A3375" s="211" t="s">
        <v>3125</v>
      </c>
      <c r="B3375" s="211">
        <v>3642</v>
      </c>
      <c r="C3375" s="211">
        <v>764</v>
      </c>
      <c r="D3375" s="211" t="s">
        <v>1117</v>
      </c>
      <c r="E3375" s="211" t="s">
        <v>10385</v>
      </c>
      <c r="F3375" s="211" t="s">
        <v>7192</v>
      </c>
    </row>
    <row r="3376" spans="1:6">
      <c r="A3376" s="211" t="s">
        <v>8079</v>
      </c>
      <c r="B3376" s="211">
        <v>5611</v>
      </c>
      <c r="C3376" s="211" t="s">
        <v>10385</v>
      </c>
      <c r="D3376" s="211" t="s">
        <v>1255</v>
      </c>
      <c r="E3376" s="211" t="s">
        <v>10385</v>
      </c>
      <c r="F3376" s="211" t="s">
        <v>7380</v>
      </c>
    </row>
    <row r="3377" spans="1:6">
      <c r="A3377" s="211" t="s">
        <v>3126</v>
      </c>
      <c r="B3377" s="211">
        <v>3263</v>
      </c>
      <c r="C3377" s="211">
        <v>1465</v>
      </c>
      <c r="D3377" s="211" t="s">
        <v>1117</v>
      </c>
      <c r="E3377" s="211" t="s">
        <v>10385</v>
      </c>
      <c r="F3377" s="211" t="s">
        <v>7171</v>
      </c>
    </row>
    <row r="3378" spans="1:6">
      <c r="A3378" s="211" t="s">
        <v>8080</v>
      </c>
      <c r="B3378" s="211">
        <v>5503</v>
      </c>
      <c r="C3378" s="211">
        <v>1465</v>
      </c>
      <c r="D3378" s="211" t="s">
        <v>1117</v>
      </c>
      <c r="E3378" s="211" t="s">
        <v>10385</v>
      </c>
      <c r="F3378" s="211" t="s">
        <v>7272</v>
      </c>
    </row>
    <row r="3379" spans="1:6">
      <c r="A3379" s="211" t="s">
        <v>8081</v>
      </c>
      <c r="B3379" s="211">
        <v>1115</v>
      </c>
      <c r="C3379" s="211" t="s">
        <v>10385</v>
      </c>
      <c r="D3379" s="211" t="s">
        <v>1255</v>
      </c>
      <c r="E3379" s="211" t="s">
        <v>10385</v>
      </c>
      <c r="F3379" s="211" t="s">
        <v>7245</v>
      </c>
    </row>
    <row r="3380" spans="1:6">
      <c r="A3380" s="211" t="s">
        <v>8082</v>
      </c>
      <c r="B3380" s="211">
        <v>4979</v>
      </c>
      <c r="C3380" s="211" t="s">
        <v>10385</v>
      </c>
      <c r="D3380" s="211" t="s">
        <v>1255</v>
      </c>
      <c r="E3380" s="211" t="s">
        <v>10385</v>
      </c>
      <c r="F3380" s="211" t="s">
        <v>7469</v>
      </c>
    </row>
    <row r="3381" spans="1:6">
      <c r="A3381" s="211" t="s">
        <v>3127</v>
      </c>
      <c r="B3381" s="211">
        <v>2261</v>
      </c>
      <c r="C3381" s="211">
        <v>1200</v>
      </c>
      <c r="D3381" s="211" t="s">
        <v>1255</v>
      </c>
      <c r="E3381" s="211" t="s">
        <v>10385</v>
      </c>
      <c r="F3381" s="211" t="s">
        <v>7430</v>
      </c>
    </row>
    <row r="3382" spans="1:6">
      <c r="A3382" s="211" t="s">
        <v>3128</v>
      </c>
      <c r="B3382" s="211">
        <v>3414</v>
      </c>
      <c r="C3382" s="211">
        <v>1107</v>
      </c>
      <c r="D3382" s="211" t="s">
        <v>1255</v>
      </c>
      <c r="E3382" s="211" t="s">
        <v>10385</v>
      </c>
      <c r="F3382" s="211" t="s">
        <v>7207</v>
      </c>
    </row>
    <row r="3383" spans="1:6">
      <c r="A3383" s="211" t="s">
        <v>5081</v>
      </c>
      <c r="B3383" s="211">
        <v>6890</v>
      </c>
      <c r="C3383" s="211">
        <v>1503</v>
      </c>
      <c r="D3383" s="211" t="s">
        <v>1255</v>
      </c>
      <c r="E3383" s="211" t="s">
        <v>10385</v>
      </c>
      <c r="F3383" s="211" t="s">
        <v>7646</v>
      </c>
    </row>
    <row r="3384" spans="1:6">
      <c r="A3384" s="211" t="s">
        <v>3129</v>
      </c>
      <c r="B3384" s="211">
        <v>2187</v>
      </c>
      <c r="C3384" s="211">
        <v>1097</v>
      </c>
      <c r="D3384" s="211" t="s">
        <v>1255</v>
      </c>
      <c r="E3384" s="211" t="s">
        <v>10385</v>
      </c>
      <c r="F3384" s="211" t="s">
        <v>7189</v>
      </c>
    </row>
    <row r="3385" spans="1:6">
      <c r="A3385" s="211" t="s">
        <v>5884</v>
      </c>
      <c r="B3385" s="211">
        <v>7481</v>
      </c>
      <c r="C3385" s="211">
        <v>1099</v>
      </c>
      <c r="D3385" s="211" t="s">
        <v>1255</v>
      </c>
      <c r="E3385" s="211" t="s">
        <v>10385</v>
      </c>
      <c r="F3385" s="211" t="s">
        <v>7389</v>
      </c>
    </row>
    <row r="3386" spans="1:6">
      <c r="A3386" s="211" t="s">
        <v>3130</v>
      </c>
      <c r="B3386" s="211">
        <v>3940</v>
      </c>
      <c r="C3386" s="211">
        <v>1226</v>
      </c>
      <c r="D3386" s="211" t="s">
        <v>1255</v>
      </c>
      <c r="E3386" s="211" t="s">
        <v>10385</v>
      </c>
      <c r="F3386" s="211" t="s">
        <v>7365</v>
      </c>
    </row>
    <row r="3387" spans="1:6">
      <c r="A3387" s="211" t="s">
        <v>10677</v>
      </c>
      <c r="B3387" s="211">
        <v>8855</v>
      </c>
      <c r="C3387" s="211" t="s">
        <v>10385</v>
      </c>
      <c r="D3387" s="211" t="s">
        <v>1255</v>
      </c>
      <c r="E3387" s="211" t="s">
        <v>10678</v>
      </c>
      <c r="F3387" s="211" t="s">
        <v>7205</v>
      </c>
    </row>
    <row r="3388" spans="1:6">
      <c r="A3388" s="211" t="s">
        <v>8083</v>
      </c>
      <c r="B3388" s="211">
        <v>6052</v>
      </c>
      <c r="C3388" s="211">
        <v>746</v>
      </c>
      <c r="D3388" s="211" t="s">
        <v>1255</v>
      </c>
      <c r="E3388" s="211" t="s">
        <v>10385</v>
      </c>
      <c r="F3388" s="211" t="s">
        <v>7446</v>
      </c>
    </row>
    <row r="3389" spans="1:6">
      <c r="A3389" s="211" t="s">
        <v>5885</v>
      </c>
      <c r="B3389" s="211">
        <v>7331</v>
      </c>
      <c r="C3389" s="211">
        <v>1190</v>
      </c>
      <c r="D3389" s="211" t="s">
        <v>1255</v>
      </c>
      <c r="E3389" s="211" t="s">
        <v>5886</v>
      </c>
      <c r="F3389" s="211" t="s">
        <v>7446</v>
      </c>
    </row>
    <row r="3390" spans="1:6">
      <c r="A3390" s="211" t="s">
        <v>3131</v>
      </c>
      <c r="B3390" s="211">
        <v>1976</v>
      </c>
      <c r="C3390" s="211">
        <v>746</v>
      </c>
      <c r="D3390" s="211" t="s">
        <v>1255</v>
      </c>
      <c r="E3390" s="211" t="s">
        <v>10385</v>
      </c>
      <c r="F3390" s="211" t="s">
        <v>7422</v>
      </c>
    </row>
    <row r="3391" spans="1:6">
      <c r="A3391" s="211" t="s">
        <v>3042</v>
      </c>
      <c r="B3391" s="211">
        <v>1005</v>
      </c>
      <c r="C3391" s="211">
        <v>1256</v>
      </c>
      <c r="D3391" s="211" t="s">
        <v>1255</v>
      </c>
      <c r="E3391" s="211" t="s">
        <v>10385</v>
      </c>
      <c r="F3391" s="211" t="s">
        <v>7263</v>
      </c>
    </row>
    <row r="3392" spans="1:6">
      <c r="A3392" s="211" t="s">
        <v>3132</v>
      </c>
      <c r="B3392" s="211">
        <v>3509</v>
      </c>
      <c r="C3392" s="211">
        <v>1943</v>
      </c>
      <c r="D3392" s="211" t="s">
        <v>1117</v>
      </c>
      <c r="E3392" s="211" t="s">
        <v>10385</v>
      </c>
      <c r="F3392" s="211" t="s">
        <v>7246</v>
      </c>
    </row>
    <row r="3393" spans="1:6">
      <c r="A3393" s="211" t="s">
        <v>8084</v>
      </c>
      <c r="B3393" s="211">
        <v>1319</v>
      </c>
      <c r="C3393" s="211" t="s">
        <v>10385</v>
      </c>
      <c r="D3393" s="211" t="s">
        <v>1255</v>
      </c>
      <c r="E3393" s="211" t="s">
        <v>10385</v>
      </c>
      <c r="F3393" s="211" t="s">
        <v>7510</v>
      </c>
    </row>
    <row r="3394" spans="1:6">
      <c r="A3394" s="211" t="s">
        <v>2848</v>
      </c>
      <c r="B3394" s="211">
        <v>3443</v>
      </c>
      <c r="C3394" s="211">
        <v>1599</v>
      </c>
      <c r="D3394" s="211" t="s">
        <v>1117</v>
      </c>
      <c r="E3394" s="211" t="s">
        <v>10385</v>
      </c>
      <c r="F3394" s="211" t="s">
        <v>7495</v>
      </c>
    </row>
    <row r="3395" spans="1:6">
      <c r="A3395" s="211" t="s">
        <v>10356</v>
      </c>
      <c r="B3395" s="211">
        <v>896</v>
      </c>
      <c r="C3395" s="211" t="s">
        <v>10385</v>
      </c>
      <c r="D3395" s="211" t="s">
        <v>1255</v>
      </c>
      <c r="E3395" s="211" t="s">
        <v>10385</v>
      </c>
      <c r="F3395" s="211" t="s">
        <v>7356</v>
      </c>
    </row>
    <row r="3396" spans="1:6">
      <c r="A3396" s="211" t="s">
        <v>3133</v>
      </c>
      <c r="B3396" s="211">
        <v>5299</v>
      </c>
      <c r="C3396" s="211">
        <v>786</v>
      </c>
      <c r="D3396" s="211" t="s">
        <v>1117</v>
      </c>
      <c r="E3396" s="211" t="s">
        <v>10385</v>
      </c>
      <c r="F3396" s="211" t="s">
        <v>7386</v>
      </c>
    </row>
    <row r="3397" spans="1:6">
      <c r="A3397" s="211" t="s">
        <v>8085</v>
      </c>
      <c r="B3397" s="211">
        <v>610</v>
      </c>
      <c r="C3397" s="211" t="s">
        <v>10385</v>
      </c>
      <c r="D3397" s="211" t="s">
        <v>1255</v>
      </c>
      <c r="E3397" s="211" t="s">
        <v>10385</v>
      </c>
      <c r="F3397" s="211" t="s">
        <v>7592</v>
      </c>
    </row>
    <row r="3398" spans="1:6">
      <c r="A3398" s="211" t="s">
        <v>8086</v>
      </c>
      <c r="B3398" s="211">
        <v>7777</v>
      </c>
      <c r="C3398" s="211" t="s">
        <v>10385</v>
      </c>
      <c r="D3398" s="211" t="s">
        <v>1117</v>
      </c>
      <c r="E3398" s="211" t="s">
        <v>10385</v>
      </c>
      <c r="F3398" s="211" t="s">
        <v>7342</v>
      </c>
    </row>
    <row r="3399" spans="1:6">
      <c r="A3399" s="211" t="s">
        <v>9535</v>
      </c>
      <c r="B3399" s="211">
        <v>8059</v>
      </c>
      <c r="C3399" s="211">
        <v>808</v>
      </c>
      <c r="D3399" s="211" t="s">
        <v>1255</v>
      </c>
      <c r="E3399" s="211" t="s">
        <v>9536</v>
      </c>
      <c r="F3399" s="211" t="s">
        <v>7430</v>
      </c>
    </row>
    <row r="3400" spans="1:6">
      <c r="A3400" s="211" t="s">
        <v>8087</v>
      </c>
      <c r="B3400" s="211">
        <v>2498</v>
      </c>
      <c r="C3400" s="211">
        <v>912</v>
      </c>
      <c r="D3400" s="211" t="s">
        <v>1255</v>
      </c>
      <c r="E3400" s="211" t="s">
        <v>10385</v>
      </c>
      <c r="F3400" s="211" t="s">
        <v>7213</v>
      </c>
    </row>
    <row r="3401" spans="1:6">
      <c r="A3401" s="211" t="s">
        <v>4880</v>
      </c>
      <c r="B3401" s="211">
        <v>5126</v>
      </c>
      <c r="C3401" s="211">
        <v>1271</v>
      </c>
      <c r="D3401" s="211" t="s">
        <v>1255</v>
      </c>
      <c r="E3401" s="211" t="s">
        <v>10385</v>
      </c>
      <c r="F3401" s="211" t="s">
        <v>7335</v>
      </c>
    </row>
    <row r="3402" spans="1:6">
      <c r="A3402" s="211" t="s">
        <v>8088</v>
      </c>
      <c r="B3402" s="211">
        <v>124</v>
      </c>
      <c r="C3402" s="211" t="s">
        <v>10385</v>
      </c>
      <c r="D3402" s="211" t="s">
        <v>1255</v>
      </c>
      <c r="E3402" s="211" t="s">
        <v>10385</v>
      </c>
      <c r="F3402" s="211" t="s">
        <v>7343</v>
      </c>
    </row>
    <row r="3403" spans="1:6">
      <c r="A3403" s="211" t="s">
        <v>5327</v>
      </c>
      <c r="B3403" s="211">
        <v>6225</v>
      </c>
      <c r="C3403" s="211">
        <v>987</v>
      </c>
      <c r="D3403" s="211" t="s">
        <v>1255</v>
      </c>
      <c r="E3403" s="211" t="s">
        <v>10385</v>
      </c>
      <c r="F3403" s="211" t="s">
        <v>7490</v>
      </c>
    </row>
    <row r="3404" spans="1:6">
      <c r="A3404" s="211" t="s">
        <v>8089</v>
      </c>
      <c r="B3404" s="211">
        <v>724</v>
      </c>
      <c r="C3404" s="211" t="s">
        <v>10385</v>
      </c>
      <c r="D3404" s="211" t="s">
        <v>1255</v>
      </c>
      <c r="E3404" s="211" t="s">
        <v>10385</v>
      </c>
      <c r="F3404" s="211" t="s">
        <v>8090</v>
      </c>
    </row>
    <row r="3405" spans="1:6">
      <c r="A3405" s="211" t="s">
        <v>3134</v>
      </c>
      <c r="B3405" s="211">
        <v>3662</v>
      </c>
      <c r="C3405" s="211">
        <v>1054</v>
      </c>
      <c r="D3405" s="211" t="s">
        <v>1255</v>
      </c>
      <c r="E3405" s="211" t="s">
        <v>10385</v>
      </c>
      <c r="F3405" s="211" t="s">
        <v>7740</v>
      </c>
    </row>
    <row r="3406" spans="1:6">
      <c r="A3406" s="211" t="s">
        <v>5887</v>
      </c>
      <c r="B3406" s="211">
        <v>6469</v>
      </c>
      <c r="C3406" s="211">
        <v>1816</v>
      </c>
      <c r="D3406" s="211" t="s">
        <v>1255</v>
      </c>
      <c r="E3406" s="211" t="s">
        <v>10385</v>
      </c>
      <c r="F3406" s="211" t="s">
        <v>7171</v>
      </c>
    </row>
    <row r="3407" spans="1:6">
      <c r="A3407" s="211" t="s">
        <v>10679</v>
      </c>
      <c r="B3407" s="211">
        <v>8574</v>
      </c>
      <c r="C3407" s="211">
        <v>1741</v>
      </c>
      <c r="D3407" s="211" t="s">
        <v>1255</v>
      </c>
      <c r="E3407" s="211" t="s">
        <v>10680</v>
      </c>
      <c r="F3407" s="211" t="s">
        <v>7224</v>
      </c>
    </row>
    <row r="3408" spans="1:6">
      <c r="A3408" s="211" t="s">
        <v>5888</v>
      </c>
      <c r="B3408" s="211">
        <v>7144</v>
      </c>
      <c r="C3408" s="211">
        <v>954</v>
      </c>
      <c r="D3408" s="211" t="s">
        <v>1255</v>
      </c>
      <c r="E3408" s="211" t="s">
        <v>5889</v>
      </c>
      <c r="F3408" s="211" t="s">
        <v>7521</v>
      </c>
    </row>
    <row r="3409" spans="1:6">
      <c r="A3409" s="211" t="s">
        <v>3135</v>
      </c>
      <c r="B3409" s="211">
        <v>1293</v>
      </c>
      <c r="C3409" s="211">
        <v>1427</v>
      </c>
      <c r="D3409" s="211" t="s">
        <v>1255</v>
      </c>
      <c r="E3409" s="211" t="s">
        <v>10385</v>
      </c>
      <c r="F3409" s="211" t="s">
        <v>7376</v>
      </c>
    </row>
    <row r="3410" spans="1:6">
      <c r="A3410" s="211" t="s">
        <v>10357</v>
      </c>
      <c r="B3410" s="211">
        <v>1214</v>
      </c>
      <c r="C3410" s="211" t="s">
        <v>10385</v>
      </c>
      <c r="D3410" s="211" t="s">
        <v>1255</v>
      </c>
      <c r="E3410" s="211" t="s">
        <v>10385</v>
      </c>
      <c r="F3410" s="211" t="s">
        <v>7204</v>
      </c>
    </row>
    <row r="3411" spans="1:6">
      <c r="A3411" s="211" t="s">
        <v>8091</v>
      </c>
      <c r="B3411" s="211">
        <v>3465</v>
      </c>
      <c r="C3411" s="211">
        <v>1016</v>
      </c>
      <c r="D3411" s="211" t="s">
        <v>1255</v>
      </c>
      <c r="E3411" s="211" t="s">
        <v>10385</v>
      </c>
      <c r="F3411" s="211" t="s">
        <v>7319</v>
      </c>
    </row>
    <row r="3412" spans="1:6">
      <c r="A3412" s="211" t="s">
        <v>3136</v>
      </c>
      <c r="B3412" s="211">
        <v>2365</v>
      </c>
      <c r="C3412" s="211">
        <v>1152</v>
      </c>
      <c r="D3412" s="211" t="s">
        <v>1255</v>
      </c>
      <c r="E3412" s="211" t="s">
        <v>10385</v>
      </c>
      <c r="F3412" s="211" t="s">
        <v>7262</v>
      </c>
    </row>
    <row r="3413" spans="1:6">
      <c r="A3413" s="211" t="s">
        <v>4540</v>
      </c>
      <c r="B3413" s="211">
        <v>6655</v>
      </c>
      <c r="C3413" s="211">
        <v>1633</v>
      </c>
      <c r="D3413" s="211" t="s">
        <v>1255</v>
      </c>
      <c r="E3413" s="211" t="s">
        <v>10385</v>
      </c>
      <c r="F3413" s="211" t="s">
        <v>7357</v>
      </c>
    </row>
    <row r="3414" spans="1:6">
      <c r="A3414" s="211" t="s">
        <v>2846</v>
      </c>
      <c r="B3414" s="211">
        <v>4051</v>
      </c>
      <c r="C3414" s="211">
        <v>624</v>
      </c>
      <c r="D3414" s="211" t="s">
        <v>1117</v>
      </c>
      <c r="E3414" s="211" t="s">
        <v>10385</v>
      </c>
      <c r="F3414" s="211" t="s">
        <v>7386</v>
      </c>
    </row>
    <row r="3415" spans="1:6">
      <c r="A3415" s="211" t="s">
        <v>8092</v>
      </c>
      <c r="B3415" s="211">
        <v>4068</v>
      </c>
      <c r="C3415" s="211">
        <v>1112</v>
      </c>
      <c r="D3415" s="211" t="s">
        <v>1117</v>
      </c>
      <c r="E3415" s="211" t="s">
        <v>10385</v>
      </c>
      <c r="F3415" s="211" t="s">
        <v>7205</v>
      </c>
    </row>
    <row r="3416" spans="1:6">
      <c r="A3416" s="211" t="s">
        <v>3137</v>
      </c>
      <c r="B3416" s="211">
        <v>4486</v>
      </c>
      <c r="C3416" s="211">
        <v>962</v>
      </c>
      <c r="D3416" s="211" t="s">
        <v>1255</v>
      </c>
      <c r="E3416" s="211" t="s">
        <v>10385</v>
      </c>
      <c r="F3416" s="211" t="s">
        <v>7257</v>
      </c>
    </row>
    <row r="3417" spans="1:6">
      <c r="A3417" s="211" t="s">
        <v>3138</v>
      </c>
      <c r="B3417" s="211">
        <v>837</v>
      </c>
      <c r="C3417" s="211">
        <v>1195</v>
      </c>
      <c r="D3417" s="211" t="s">
        <v>1255</v>
      </c>
      <c r="E3417" s="211" t="s">
        <v>10385</v>
      </c>
      <c r="F3417" s="211" t="s">
        <v>7270</v>
      </c>
    </row>
    <row r="3418" spans="1:6">
      <c r="A3418" s="211" t="s">
        <v>3139</v>
      </c>
      <c r="B3418" s="211">
        <v>3706</v>
      </c>
      <c r="C3418" s="211">
        <v>1079</v>
      </c>
      <c r="D3418" s="211" t="s">
        <v>1255</v>
      </c>
      <c r="E3418" s="211" t="s">
        <v>10385</v>
      </c>
      <c r="F3418" s="211" t="s">
        <v>7240</v>
      </c>
    </row>
    <row r="3419" spans="1:6">
      <c r="A3419" s="211" t="s">
        <v>3140</v>
      </c>
      <c r="B3419" s="211">
        <v>5379</v>
      </c>
      <c r="C3419" s="211">
        <v>1187</v>
      </c>
      <c r="D3419" s="211" t="s">
        <v>1255</v>
      </c>
      <c r="E3419" s="211" t="s">
        <v>10385</v>
      </c>
      <c r="F3419" s="211" t="s">
        <v>7270</v>
      </c>
    </row>
    <row r="3420" spans="1:6">
      <c r="A3420" s="211" t="s">
        <v>9537</v>
      </c>
      <c r="B3420" s="211">
        <v>8168</v>
      </c>
      <c r="C3420" s="211">
        <v>1295</v>
      </c>
      <c r="D3420" s="211" t="s">
        <v>1255</v>
      </c>
      <c r="E3420" s="211" t="s">
        <v>9538</v>
      </c>
      <c r="F3420" s="211" t="s">
        <v>7240</v>
      </c>
    </row>
    <row r="3421" spans="1:6">
      <c r="A3421" s="211" t="s">
        <v>4731</v>
      </c>
      <c r="B3421" s="211">
        <v>6454</v>
      </c>
      <c r="C3421" s="211">
        <v>1321</v>
      </c>
      <c r="D3421" s="211" t="s">
        <v>1255</v>
      </c>
      <c r="E3421" s="211" t="s">
        <v>10385</v>
      </c>
      <c r="F3421" s="211" t="s">
        <v>7380</v>
      </c>
    </row>
    <row r="3422" spans="1:6">
      <c r="A3422" s="211" t="s">
        <v>3141</v>
      </c>
      <c r="B3422" s="211">
        <v>3309</v>
      </c>
      <c r="C3422" s="211">
        <v>1081</v>
      </c>
      <c r="D3422" s="211" t="s">
        <v>1255</v>
      </c>
      <c r="E3422" s="211" t="s">
        <v>10385</v>
      </c>
      <c r="F3422" s="211" t="s">
        <v>7459</v>
      </c>
    </row>
    <row r="3423" spans="1:6">
      <c r="A3423" s="211" t="s">
        <v>4732</v>
      </c>
      <c r="B3423" s="211">
        <v>6448</v>
      </c>
      <c r="C3423" s="211">
        <v>508</v>
      </c>
      <c r="D3423" s="211" t="s">
        <v>1117</v>
      </c>
      <c r="E3423" s="211" t="s">
        <v>10385</v>
      </c>
      <c r="F3423" s="211" t="s">
        <v>7510</v>
      </c>
    </row>
    <row r="3424" spans="1:6">
      <c r="A3424" s="211" t="s">
        <v>10681</v>
      </c>
      <c r="B3424" s="211">
        <v>8761</v>
      </c>
      <c r="C3424" s="211">
        <v>896</v>
      </c>
      <c r="D3424" s="211" t="s">
        <v>1255</v>
      </c>
      <c r="E3424" s="211" t="s">
        <v>10682</v>
      </c>
      <c r="F3424" s="211" t="s">
        <v>7213</v>
      </c>
    </row>
    <row r="3425" spans="1:6">
      <c r="A3425" s="211" t="s">
        <v>8093</v>
      </c>
      <c r="B3425" s="211">
        <v>3969</v>
      </c>
      <c r="C3425" s="211" t="s">
        <v>10385</v>
      </c>
      <c r="D3425" s="211" t="s">
        <v>1255</v>
      </c>
      <c r="E3425" s="211" t="s">
        <v>10385</v>
      </c>
      <c r="F3425" s="211" t="s">
        <v>7380</v>
      </c>
    </row>
    <row r="3426" spans="1:6">
      <c r="A3426" s="211" t="s">
        <v>3142</v>
      </c>
      <c r="B3426" s="211">
        <v>5765</v>
      </c>
      <c r="C3426" s="211">
        <v>1091</v>
      </c>
      <c r="D3426" s="211" t="s">
        <v>1255</v>
      </c>
      <c r="E3426" s="211" t="s">
        <v>6841</v>
      </c>
      <c r="F3426" s="211" t="s">
        <v>7382</v>
      </c>
    </row>
    <row r="3427" spans="1:6">
      <c r="A3427" s="211" t="s">
        <v>3143</v>
      </c>
      <c r="B3427" s="211">
        <v>1218</v>
      </c>
      <c r="C3427" s="211">
        <v>1852</v>
      </c>
      <c r="D3427" s="211" t="s">
        <v>1255</v>
      </c>
      <c r="E3427" s="211" t="s">
        <v>10385</v>
      </c>
      <c r="F3427" s="211" t="s">
        <v>7231</v>
      </c>
    </row>
    <row r="3428" spans="1:6">
      <c r="A3428" s="211" t="s">
        <v>3144</v>
      </c>
      <c r="B3428" s="211">
        <v>5635</v>
      </c>
      <c r="C3428" s="211">
        <v>1297</v>
      </c>
      <c r="D3428" s="211" t="s">
        <v>1255</v>
      </c>
      <c r="E3428" s="211" t="s">
        <v>5890</v>
      </c>
      <c r="F3428" s="211" t="s">
        <v>7241</v>
      </c>
    </row>
    <row r="3429" spans="1:6">
      <c r="A3429" s="211" t="s">
        <v>3145</v>
      </c>
      <c r="B3429" s="211">
        <v>518</v>
      </c>
      <c r="C3429" s="211">
        <v>1549</v>
      </c>
      <c r="D3429" s="211" t="s">
        <v>1255</v>
      </c>
      <c r="E3429" s="211" t="s">
        <v>10385</v>
      </c>
      <c r="F3429" s="211" t="s">
        <v>7297</v>
      </c>
    </row>
    <row r="3430" spans="1:6">
      <c r="A3430" s="211" t="s">
        <v>3146</v>
      </c>
      <c r="B3430" s="211">
        <v>1550</v>
      </c>
      <c r="C3430" s="211">
        <v>1252</v>
      </c>
      <c r="D3430" s="211" t="s">
        <v>1255</v>
      </c>
      <c r="E3430" s="211" t="s">
        <v>10385</v>
      </c>
      <c r="F3430" s="211" t="s">
        <v>7177</v>
      </c>
    </row>
    <row r="3431" spans="1:6">
      <c r="A3431" s="211" t="s">
        <v>9539</v>
      </c>
      <c r="B3431" s="211">
        <v>8294</v>
      </c>
      <c r="C3431" s="211">
        <v>1629</v>
      </c>
      <c r="D3431" s="211" t="s">
        <v>1255</v>
      </c>
      <c r="E3431" s="211" t="s">
        <v>10385</v>
      </c>
      <c r="F3431" s="211" t="s">
        <v>7380</v>
      </c>
    </row>
    <row r="3432" spans="1:6">
      <c r="A3432" s="211" t="s">
        <v>5082</v>
      </c>
      <c r="B3432" s="211">
        <v>6738</v>
      </c>
      <c r="C3432" s="211">
        <v>969</v>
      </c>
      <c r="D3432" s="211" t="s">
        <v>1255</v>
      </c>
      <c r="E3432" s="211" t="s">
        <v>10385</v>
      </c>
      <c r="F3432" s="211" t="s">
        <v>7258</v>
      </c>
    </row>
    <row r="3433" spans="1:6">
      <c r="A3433" s="211" t="s">
        <v>3147</v>
      </c>
      <c r="B3433" s="211">
        <v>4640</v>
      </c>
      <c r="C3433" s="211">
        <v>1125</v>
      </c>
      <c r="D3433" s="211" t="s">
        <v>1255</v>
      </c>
      <c r="E3433" s="211" t="s">
        <v>10385</v>
      </c>
      <c r="F3433" s="211" t="s">
        <v>7208</v>
      </c>
    </row>
    <row r="3434" spans="1:6">
      <c r="A3434" s="211" t="s">
        <v>3148</v>
      </c>
      <c r="B3434" s="211">
        <v>5490</v>
      </c>
      <c r="C3434" s="211">
        <v>1681</v>
      </c>
      <c r="D3434" s="211" t="s">
        <v>1255</v>
      </c>
      <c r="E3434" s="211" t="s">
        <v>10385</v>
      </c>
      <c r="F3434" s="211" t="s">
        <v>7171</v>
      </c>
    </row>
    <row r="3435" spans="1:6">
      <c r="A3435" s="211" t="s">
        <v>3845</v>
      </c>
      <c r="B3435" s="211">
        <v>947</v>
      </c>
      <c r="C3435" s="211">
        <v>1734</v>
      </c>
      <c r="D3435" s="211" t="s">
        <v>1255</v>
      </c>
      <c r="E3435" s="211" t="s">
        <v>10385</v>
      </c>
      <c r="F3435" s="211" t="s">
        <v>7510</v>
      </c>
    </row>
    <row r="3436" spans="1:6">
      <c r="A3436" s="211" t="s">
        <v>5366</v>
      </c>
      <c r="B3436" s="211">
        <v>4181</v>
      </c>
      <c r="C3436" s="211">
        <v>1709</v>
      </c>
      <c r="D3436" s="211" t="s">
        <v>1255</v>
      </c>
      <c r="E3436" s="211" t="s">
        <v>6842</v>
      </c>
      <c r="F3436" s="211" t="s">
        <v>7223</v>
      </c>
    </row>
    <row r="3437" spans="1:6">
      <c r="A3437" s="211" t="s">
        <v>8094</v>
      </c>
      <c r="B3437" s="211">
        <v>5044</v>
      </c>
      <c r="C3437" s="211" t="s">
        <v>10385</v>
      </c>
      <c r="D3437" s="211" t="s">
        <v>1255</v>
      </c>
      <c r="E3437" s="211" t="s">
        <v>10385</v>
      </c>
      <c r="F3437" s="211" t="s">
        <v>7382</v>
      </c>
    </row>
    <row r="3438" spans="1:6">
      <c r="A3438" s="211" t="s">
        <v>8095</v>
      </c>
      <c r="B3438" s="211">
        <v>14</v>
      </c>
      <c r="C3438" s="211" t="s">
        <v>10385</v>
      </c>
      <c r="D3438" s="211" t="s">
        <v>1255</v>
      </c>
      <c r="E3438" s="211" t="s">
        <v>10385</v>
      </c>
      <c r="F3438" s="211" t="s">
        <v>7231</v>
      </c>
    </row>
    <row r="3439" spans="1:6">
      <c r="A3439" s="211" t="s">
        <v>3149</v>
      </c>
      <c r="B3439" s="211">
        <v>3223</v>
      </c>
      <c r="C3439" s="211">
        <v>866</v>
      </c>
      <c r="D3439" s="211" t="s">
        <v>1255</v>
      </c>
      <c r="E3439" s="211" t="s">
        <v>10385</v>
      </c>
      <c r="F3439" s="211" t="s">
        <v>7189</v>
      </c>
    </row>
    <row r="3440" spans="1:6">
      <c r="A3440" s="211" t="s">
        <v>3150</v>
      </c>
      <c r="B3440" s="211">
        <v>4742</v>
      </c>
      <c r="C3440" s="211">
        <v>1333</v>
      </c>
      <c r="D3440" s="211" t="s">
        <v>1255</v>
      </c>
      <c r="E3440" s="211" t="s">
        <v>5891</v>
      </c>
      <c r="F3440" s="211" t="s">
        <v>7587</v>
      </c>
    </row>
    <row r="3441" spans="1:6">
      <c r="A3441" s="211" t="s">
        <v>3151</v>
      </c>
      <c r="B3441" s="211">
        <v>4542</v>
      </c>
      <c r="C3441" s="211">
        <v>1133</v>
      </c>
      <c r="D3441" s="211" t="s">
        <v>1255</v>
      </c>
      <c r="E3441" s="211" t="s">
        <v>10385</v>
      </c>
      <c r="F3441" s="211" t="s">
        <v>7380</v>
      </c>
    </row>
    <row r="3442" spans="1:6">
      <c r="A3442" s="211" t="s">
        <v>3152</v>
      </c>
      <c r="B3442" s="211">
        <v>799</v>
      </c>
      <c r="C3442" s="211">
        <v>1564</v>
      </c>
      <c r="D3442" s="211" t="s">
        <v>1255</v>
      </c>
      <c r="E3442" s="211" t="s">
        <v>10385</v>
      </c>
      <c r="F3442" s="211" t="s">
        <v>7275</v>
      </c>
    </row>
    <row r="3443" spans="1:6">
      <c r="A3443" s="211" t="s">
        <v>8096</v>
      </c>
      <c r="B3443" s="211">
        <v>1321</v>
      </c>
      <c r="C3443" s="211" t="s">
        <v>10385</v>
      </c>
      <c r="D3443" s="211" t="s">
        <v>1255</v>
      </c>
      <c r="E3443" s="211" t="s">
        <v>10385</v>
      </c>
      <c r="F3443" s="211" t="s">
        <v>7510</v>
      </c>
    </row>
    <row r="3444" spans="1:6">
      <c r="A3444" s="211" t="s">
        <v>9540</v>
      </c>
      <c r="B3444" s="211">
        <v>8302</v>
      </c>
      <c r="C3444" s="211">
        <v>593</v>
      </c>
      <c r="D3444" s="211" t="s">
        <v>1117</v>
      </c>
      <c r="E3444" s="211" t="s">
        <v>10683</v>
      </c>
      <c r="F3444" s="211" t="s">
        <v>7573</v>
      </c>
    </row>
    <row r="3445" spans="1:6">
      <c r="A3445" s="211" t="s">
        <v>3153</v>
      </c>
      <c r="B3445" s="211">
        <v>2817</v>
      </c>
      <c r="C3445" s="211">
        <v>1147</v>
      </c>
      <c r="D3445" s="211" t="s">
        <v>1255</v>
      </c>
      <c r="E3445" s="211" t="s">
        <v>10385</v>
      </c>
      <c r="F3445" s="211" t="s">
        <v>7237</v>
      </c>
    </row>
    <row r="3446" spans="1:6">
      <c r="A3446" s="211" t="s">
        <v>8097</v>
      </c>
      <c r="B3446" s="211">
        <v>2581</v>
      </c>
      <c r="C3446" s="211" t="s">
        <v>10385</v>
      </c>
      <c r="D3446" s="211" t="s">
        <v>1255</v>
      </c>
      <c r="E3446" s="211" t="s">
        <v>10385</v>
      </c>
      <c r="F3446" s="211" t="s">
        <v>7380</v>
      </c>
    </row>
    <row r="3447" spans="1:6">
      <c r="A3447" s="211" t="s">
        <v>3154</v>
      </c>
      <c r="B3447" s="211">
        <v>2838</v>
      </c>
      <c r="C3447" s="211">
        <v>1604</v>
      </c>
      <c r="D3447" s="211" t="s">
        <v>1255</v>
      </c>
      <c r="E3447" s="211" t="s">
        <v>10385</v>
      </c>
      <c r="F3447" s="211" t="s">
        <v>7171</v>
      </c>
    </row>
    <row r="3448" spans="1:6">
      <c r="A3448" s="211" t="s">
        <v>3155</v>
      </c>
      <c r="B3448" s="211">
        <v>4743</v>
      </c>
      <c r="C3448" s="211">
        <v>1244</v>
      </c>
      <c r="D3448" s="211" t="s">
        <v>1255</v>
      </c>
      <c r="E3448" s="211" t="s">
        <v>10385</v>
      </c>
      <c r="F3448" s="211" t="s">
        <v>7587</v>
      </c>
    </row>
    <row r="3449" spans="1:6">
      <c r="A3449" s="211" t="s">
        <v>3156</v>
      </c>
      <c r="B3449" s="211">
        <v>3538</v>
      </c>
      <c r="C3449" s="211">
        <v>1669</v>
      </c>
      <c r="D3449" s="211" t="s">
        <v>1255</v>
      </c>
      <c r="E3449" s="211" t="s">
        <v>10385</v>
      </c>
      <c r="F3449" s="211" t="s">
        <v>7171</v>
      </c>
    </row>
    <row r="3450" spans="1:6">
      <c r="A3450" s="211" t="s">
        <v>3157</v>
      </c>
      <c r="B3450" s="211">
        <v>1023</v>
      </c>
      <c r="C3450" s="211">
        <v>1602</v>
      </c>
      <c r="D3450" s="211" t="s">
        <v>1255</v>
      </c>
      <c r="E3450" s="211" t="s">
        <v>10385</v>
      </c>
      <c r="F3450" s="211" t="s">
        <v>7223</v>
      </c>
    </row>
    <row r="3451" spans="1:6">
      <c r="A3451" s="211" t="s">
        <v>3158</v>
      </c>
      <c r="B3451" s="211">
        <v>3272</v>
      </c>
      <c r="C3451" s="211">
        <v>1099</v>
      </c>
      <c r="D3451" s="211" t="s">
        <v>1255</v>
      </c>
      <c r="E3451" s="211" t="s">
        <v>10385</v>
      </c>
      <c r="F3451" s="211" t="s">
        <v>7344</v>
      </c>
    </row>
    <row r="3452" spans="1:6">
      <c r="A3452" s="211" t="s">
        <v>8098</v>
      </c>
      <c r="B3452" s="211">
        <v>5315</v>
      </c>
      <c r="C3452" s="211" t="s">
        <v>10385</v>
      </c>
      <c r="D3452" s="211" t="s">
        <v>1255</v>
      </c>
      <c r="E3452" s="211" t="s">
        <v>10385</v>
      </c>
      <c r="F3452" s="211" t="s">
        <v>7373</v>
      </c>
    </row>
    <row r="3453" spans="1:6">
      <c r="A3453" s="211" t="s">
        <v>5892</v>
      </c>
      <c r="B3453" s="211">
        <v>7536</v>
      </c>
      <c r="C3453" s="211">
        <v>2167</v>
      </c>
      <c r="D3453" s="211" t="s">
        <v>1117</v>
      </c>
      <c r="E3453" s="211" t="s">
        <v>5893</v>
      </c>
      <c r="F3453" s="211" t="s">
        <v>7243</v>
      </c>
    </row>
    <row r="3454" spans="1:6">
      <c r="A3454" s="211" t="s">
        <v>8099</v>
      </c>
      <c r="B3454" s="211">
        <v>898</v>
      </c>
      <c r="C3454" s="211" t="s">
        <v>10385</v>
      </c>
      <c r="D3454" s="211" t="s">
        <v>1255</v>
      </c>
      <c r="E3454" s="211" t="s">
        <v>10385</v>
      </c>
      <c r="F3454" s="211" t="s">
        <v>7356</v>
      </c>
    </row>
    <row r="3455" spans="1:6">
      <c r="A3455" s="211" t="s">
        <v>3159</v>
      </c>
      <c r="B3455" s="211">
        <v>2873</v>
      </c>
      <c r="C3455" s="211">
        <v>1885</v>
      </c>
      <c r="D3455" s="211" t="s">
        <v>1255</v>
      </c>
      <c r="E3455" s="211" t="s">
        <v>10385</v>
      </c>
      <c r="F3455" s="211" t="s">
        <v>7316</v>
      </c>
    </row>
    <row r="3456" spans="1:6">
      <c r="A3456" s="211" t="s">
        <v>8100</v>
      </c>
      <c r="B3456" s="211">
        <v>2056</v>
      </c>
      <c r="C3456" s="211" t="s">
        <v>10385</v>
      </c>
      <c r="D3456" s="211" t="s">
        <v>1255</v>
      </c>
      <c r="E3456" s="211" t="s">
        <v>10385</v>
      </c>
      <c r="F3456" s="211" t="s">
        <v>7189</v>
      </c>
    </row>
    <row r="3457" spans="1:6">
      <c r="A3457" s="211" t="s">
        <v>3160</v>
      </c>
      <c r="B3457" s="211">
        <v>2285</v>
      </c>
      <c r="C3457" s="211">
        <v>2314</v>
      </c>
      <c r="D3457" s="211" t="s">
        <v>1255</v>
      </c>
      <c r="E3457" s="211" t="s">
        <v>10385</v>
      </c>
      <c r="F3457" s="211" t="s">
        <v>7377</v>
      </c>
    </row>
    <row r="3458" spans="1:6">
      <c r="A3458" s="211" t="s">
        <v>3161</v>
      </c>
      <c r="B3458" s="211">
        <v>1811</v>
      </c>
      <c r="C3458" s="211">
        <v>649</v>
      </c>
      <c r="D3458" s="211" t="s">
        <v>1255</v>
      </c>
      <c r="E3458" s="211" t="s">
        <v>10385</v>
      </c>
      <c r="F3458" s="211" t="s">
        <v>7757</v>
      </c>
    </row>
    <row r="3459" spans="1:6">
      <c r="A3459" s="211" t="s">
        <v>3162</v>
      </c>
      <c r="B3459" s="211">
        <v>3729</v>
      </c>
      <c r="C3459" s="211">
        <v>1358</v>
      </c>
      <c r="D3459" s="211" t="s">
        <v>1255</v>
      </c>
      <c r="E3459" s="211" t="s">
        <v>10385</v>
      </c>
      <c r="F3459" s="211" t="s">
        <v>7213</v>
      </c>
    </row>
    <row r="3460" spans="1:6">
      <c r="A3460" s="211" t="s">
        <v>3163</v>
      </c>
      <c r="B3460" s="211">
        <v>3153</v>
      </c>
      <c r="C3460" s="211">
        <v>794</v>
      </c>
      <c r="D3460" s="211" t="s">
        <v>1255</v>
      </c>
      <c r="E3460" s="211" t="s">
        <v>10385</v>
      </c>
      <c r="F3460" s="211" t="s">
        <v>7280</v>
      </c>
    </row>
    <row r="3461" spans="1:6">
      <c r="A3461" s="211" t="s">
        <v>3164</v>
      </c>
      <c r="B3461" s="211">
        <v>4449</v>
      </c>
      <c r="C3461" s="211">
        <v>930</v>
      </c>
      <c r="D3461" s="211" t="s">
        <v>1255</v>
      </c>
      <c r="E3461" s="211" t="s">
        <v>10385</v>
      </c>
      <c r="F3461" s="211" t="s">
        <v>7310</v>
      </c>
    </row>
    <row r="3462" spans="1:6">
      <c r="A3462" s="211" t="s">
        <v>3165</v>
      </c>
      <c r="B3462" s="211">
        <v>5951</v>
      </c>
      <c r="C3462" s="211">
        <v>878</v>
      </c>
      <c r="D3462" s="211" t="s">
        <v>1255</v>
      </c>
      <c r="E3462" s="211" t="s">
        <v>10385</v>
      </c>
      <c r="F3462" s="211" t="s">
        <v>7213</v>
      </c>
    </row>
    <row r="3463" spans="1:6">
      <c r="A3463" s="211" t="s">
        <v>8101</v>
      </c>
      <c r="B3463" s="211">
        <v>6356</v>
      </c>
      <c r="C3463" s="211">
        <v>428</v>
      </c>
      <c r="D3463" s="211" t="s">
        <v>1255</v>
      </c>
      <c r="E3463" s="211" t="s">
        <v>10385</v>
      </c>
      <c r="F3463" s="211" t="s">
        <v>7571</v>
      </c>
    </row>
    <row r="3464" spans="1:6">
      <c r="A3464" s="211" t="s">
        <v>3166</v>
      </c>
      <c r="B3464" s="211">
        <v>3004</v>
      </c>
      <c r="C3464" s="211">
        <v>945</v>
      </c>
      <c r="D3464" s="211" t="s">
        <v>1255</v>
      </c>
      <c r="E3464" s="211" t="s">
        <v>10385</v>
      </c>
      <c r="F3464" s="211" t="s">
        <v>7657</v>
      </c>
    </row>
    <row r="3465" spans="1:6">
      <c r="A3465" s="211" t="s">
        <v>3167</v>
      </c>
      <c r="B3465" s="211">
        <v>4588</v>
      </c>
      <c r="C3465" s="211">
        <v>1187</v>
      </c>
      <c r="D3465" s="211" t="s">
        <v>1255</v>
      </c>
      <c r="E3465" s="211" t="s">
        <v>10385</v>
      </c>
      <c r="F3465" s="211" t="s">
        <v>7861</v>
      </c>
    </row>
    <row r="3466" spans="1:6">
      <c r="A3466" s="211" t="s">
        <v>3168</v>
      </c>
      <c r="B3466" s="211">
        <v>3999</v>
      </c>
      <c r="C3466" s="211">
        <v>858</v>
      </c>
      <c r="D3466" s="211" t="s">
        <v>1255</v>
      </c>
      <c r="E3466" s="211" t="s">
        <v>10385</v>
      </c>
      <c r="F3466" s="211" t="s">
        <v>7536</v>
      </c>
    </row>
    <row r="3467" spans="1:6">
      <c r="A3467" s="211" t="s">
        <v>103</v>
      </c>
      <c r="B3467" s="211">
        <v>4483</v>
      </c>
      <c r="C3467" s="211">
        <v>1355</v>
      </c>
      <c r="D3467" s="211" t="s">
        <v>1255</v>
      </c>
      <c r="E3467" s="211" t="s">
        <v>10385</v>
      </c>
      <c r="F3467" s="211" t="s">
        <v>7356</v>
      </c>
    </row>
    <row r="3468" spans="1:6">
      <c r="A3468" s="211" t="s">
        <v>4733</v>
      </c>
      <c r="B3468" s="211">
        <v>6493</v>
      </c>
      <c r="C3468" s="211">
        <v>1975</v>
      </c>
      <c r="D3468" s="211" t="s">
        <v>1117</v>
      </c>
      <c r="E3468" s="211" t="s">
        <v>6843</v>
      </c>
      <c r="F3468" s="211" t="s">
        <v>7262</v>
      </c>
    </row>
    <row r="3469" spans="1:6">
      <c r="A3469" s="211" t="s">
        <v>104</v>
      </c>
      <c r="B3469" s="211">
        <v>4273</v>
      </c>
      <c r="C3469" s="211">
        <v>1172</v>
      </c>
      <c r="D3469" s="211" t="s">
        <v>1255</v>
      </c>
      <c r="E3469" s="211" t="s">
        <v>10385</v>
      </c>
      <c r="F3469" s="211" t="s">
        <v>7471</v>
      </c>
    </row>
    <row r="3470" spans="1:6">
      <c r="A3470" s="211" t="s">
        <v>8102</v>
      </c>
      <c r="B3470" s="211">
        <v>5089</v>
      </c>
      <c r="C3470" s="211" t="s">
        <v>10385</v>
      </c>
      <c r="D3470" s="211" t="s">
        <v>1117</v>
      </c>
      <c r="E3470" s="211" t="s">
        <v>10385</v>
      </c>
      <c r="F3470" s="211" t="s">
        <v>7471</v>
      </c>
    </row>
    <row r="3471" spans="1:6">
      <c r="A3471" s="211" t="s">
        <v>5894</v>
      </c>
      <c r="B3471" s="211">
        <v>6540</v>
      </c>
      <c r="C3471" s="211">
        <v>1701</v>
      </c>
      <c r="D3471" s="211" t="s">
        <v>1255</v>
      </c>
      <c r="E3471" s="211" t="s">
        <v>10684</v>
      </c>
      <c r="F3471" s="211" t="s">
        <v>7307</v>
      </c>
    </row>
    <row r="3472" spans="1:6">
      <c r="A3472" s="211" t="s">
        <v>8103</v>
      </c>
      <c r="B3472" s="211">
        <v>273</v>
      </c>
      <c r="C3472" s="211" t="s">
        <v>10385</v>
      </c>
      <c r="D3472" s="211" t="s">
        <v>1255</v>
      </c>
      <c r="E3472" s="211" t="s">
        <v>10385</v>
      </c>
      <c r="F3472" s="211" t="s">
        <v>7320</v>
      </c>
    </row>
    <row r="3473" spans="1:6">
      <c r="A3473" s="211" t="s">
        <v>105</v>
      </c>
      <c r="B3473" s="211">
        <v>2676</v>
      </c>
      <c r="C3473" s="211">
        <v>898</v>
      </c>
      <c r="D3473" s="211" t="s">
        <v>1255</v>
      </c>
      <c r="E3473" s="211" t="s">
        <v>10385</v>
      </c>
      <c r="F3473" s="211" t="s">
        <v>7843</v>
      </c>
    </row>
    <row r="3474" spans="1:6">
      <c r="A3474" s="211" t="s">
        <v>106</v>
      </c>
      <c r="B3474" s="211">
        <v>2677</v>
      </c>
      <c r="C3474" s="211">
        <v>1079</v>
      </c>
      <c r="D3474" s="211" t="s">
        <v>1255</v>
      </c>
      <c r="E3474" s="211" t="s">
        <v>10385</v>
      </c>
      <c r="F3474" s="211" t="s">
        <v>7843</v>
      </c>
    </row>
    <row r="3475" spans="1:6">
      <c r="A3475" s="211" t="s">
        <v>9541</v>
      </c>
      <c r="B3475" s="211">
        <v>8433</v>
      </c>
      <c r="C3475" s="211">
        <v>2623</v>
      </c>
      <c r="D3475" s="211" t="s">
        <v>1255</v>
      </c>
      <c r="E3475" s="211" t="s">
        <v>9542</v>
      </c>
      <c r="F3475" s="211" t="s">
        <v>7205</v>
      </c>
    </row>
    <row r="3476" spans="1:6">
      <c r="A3476" s="211" t="s">
        <v>107</v>
      </c>
      <c r="B3476" s="211">
        <v>5081</v>
      </c>
      <c r="C3476" s="211">
        <v>1972</v>
      </c>
      <c r="D3476" s="211" t="s">
        <v>1255</v>
      </c>
      <c r="E3476" s="211" t="s">
        <v>6844</v>
      </c>
      <c r="F3476" s="211" t="s">
        <v>7457</v>
      </c>
    </row>
    <row r="3477" spans="1:6">
      <c r="A3477" s="211" t="s">
        <v>9543</v>
      </c>
      <c r="B3477" s="211">
        <v>7982</v>
      </c>
      <c r="C3477" s="211">
        <v>1186</v>
      </c>
      <c r="D3477" s="211" t="s">
        <v>1255</v>
      </c>
      <c r="E3477" s="211" t="s">
        <v>9544</v>
      </c>
      <c r="F3477" s="211" t="s">
        <v>7399</v>
      </c>
    </row>
    <row r="3478" spans="1:6">
      <c r="A3478" s="211" t="s">
        <v>4830</v>
      </c>
      <c r="B3478" s="211">
        <v>6086</v>
      </c>
      <c r="C3478" s="211">
        <v>762</v>
      </c>
      <c r="D3478" s="211" t="s">
        <v>1255</v>
      </c>
      <c r="E3478" s="211" t="s">
        <v>10385</v>
      </c>
      <c r="F3478" s="211" t="s">
        <v>7203</v>
      </c>
    </row>
    <row r="3479" spans="1:6">
      <c r="A3479" s="211" t="s">
        <v>108</v>
      </c>
      <c r="B3479" s="211">
        <v>3690</v>
      </c>
      <c r="C3479" s="211">
        <v>1216</v>
      </c>
      <c r="D3479" s="211" t="s">
        <v>1255</v>
      </c>
      <c r="E3479" s="211" t="s">
        <v>10385</v>
      </c>
      <c r="F3479" s="211" t="s">
        <v>7223</v>
      </c>
    </row>
    <row r="3480" spans="1:6">
      <c r="A3480" s="211" t="s">
        <v>109</v>
      </c>
      <c r="B3480" s="211">
        <v>2962</v>
      </c>
      <c r="C3480" s="211">
        <v>833</v>
      </c>
      <c r="D3480" s="211" t="s">
        <v>1117</v>
      </c>
      <c r="E3480" s="211" t="s">
        <v>10385</v>
      </c>
      <c r="F3480" s="211" t="s">
        <v>7308</v>
      </c>
    </row>
    <row r="3481" spans="1:6">
      <c r="A3481" s="211" t="s">
        <v>6845</v>
      </c>
      <c r="B3481" s="211">
        <v>7728</v>
      </c>
      <c r="C3481" s="211">
        <v>1108</v>
      </c>
      <c r="D3481" s="211" t="s">
        <v>1255</v>
      </c>
      <c r="E3481" s="211" t="s">
        <v>6846</v>
      </c>
      <c r="F3481" s="211" t="s">
        <v>7322</v>
      </c>
    </row>
    <row r="3482" spans="1:6">
      <c r="A3482" s="211" t="s">
        <v>4518</v>
      </c>
      <c r="B3482" s="211">
        <v>6553</v>
      </c>
      <c r="C3482" s="211">
        <v>1199</v>
      </c>
      <c r="D3482" s="211" t="s">
        <v>1255</v>
      </c>
      <c r="E3482" s="211" t="s">
        <v>10685</v>
      </c>
      <c r="F3482" s="211" t="s">
        <v>7325</v>
      </c>
    </row>
    <row r="3483" spans="1:6">
      <c r="A3483" s="211" t="s">
        <v>9545</v>
      </c>
      <c r="B3483" s="211">
        <v>8342</v>
      </c>
      <c r="C3483" s="211">
        <v>1137</v>
      </c>
      <c r="D3483" s="211" t="s">
        <v>1255</v>
      </c>
      <c r="E3483" s="211" t="s">
        <v>9546</v>
      </c>
      <c r="F3483" s="211" t="s">
        <v>7320</v>
      </c>
    </row>
    <row r="3484" spans="1:6">
      <c r="A3484" s="211" t="s">
        <v>110</v>
      </c>
      <c r="B3484" s="211">
        <v>4325</v>
      </c>
      <c r="C3484" s="211">
        <v>1354</v>
      </c>
      <c r="D3484" s="211" t="s">
        <v>1255</v>
      </c>
      <c r="E3484" s="211" t="s">
        <v>5895</v>
      </c>
      <c r="F3484" s="211" t="s">
        <v>7199</v>
      </c>
    </row>
    <row r="3485" spans="1:6">
      <c r="A3485" s="211" t="s">
        <v>111</v>
      </c>
      <c r="B3485" s="211">
        <v>2250</v>
      </c>
      <c r="C3485" s="211">
        <v>1138</v>
      </c>
      <c r="D3485" s="211" t="s">
        <v>1255</v>
      </c>
      <c r="E3485" s="211" t="s">
        <v>10385</v>
      </c>
      <c r="F3485" s="211" t="s">
        <v>7536</v>
      </c>
    </row>
    <row r="3486" spans="1:6">
      <c r="A3486" s="211" t="s">
        <v>10686</v>
      </c>
      <c r="B3486" s="211">
        <v>8653</v>
      </c>
      <c r="C3486" s="211">
        <v>1025</v>
      </c>
      <c r="D3486" s="211" t="s">
        <v>1255</v>
      </c>
      <c r="E3486" s="211" t="s">
        <v>10687</v>
      </c>
      <c r="F3486" s="211" t="s">
        <v>7501</v>
      </c>
    </row>
    <row r="3487" spans="1:6">
      <c r="A3487" s="211" t="s">
        <v>8104</v>
      </c>
      <c r="B3487" s="211">
        <v>981</v>
      </c>
      <c r="C3487" s="211" t="s">
        <v>10385</v>
      </c>
      <c r="D3487" s="211" t="s">
        <v>1255</v>
      </c>
      <c r="E3487" s="211" t="s">
        <v>10385</v>
      </c>
      <c r="F3487" s="211" t="s">
        <v>7264</v>
      </c>
    </row>
    <row r="3488" spans="1:6">
      <c r="A3488" s="211" t="s">
        <v>9547</v>
      </c>
      <c r="B3488" s="211">
        <v>8284</v>
      </c>
      <c r="C3488" s="211">
        <v>999</v>
      </c>
      <c r="D3488" s="211" t="s">
        <v>1255</v>
      </c>
      <c r="E3488" s="211" t="s">
        <v>10385</v>
      </c>
      <c r="F3488" s="211" t="s">
        <v>7490</v>
      </c>
    </row>
    <row r="3489" spans="1:6">
      <c r="A3489" s="211" t="s">
        <v>9548</v>
      </c>
      <c r="B3489" s="211">
        <v>8334</v>
      </c>
      <c r="C3489" s="211">
        <v>336</v>
      </c>
      <c r="D3489" s="211" t="s">
        <v>1117</v>
      </c>
      <c r="E3489" s="211" t="s">
        <v>9549</v>
      </c>
      <c r="F3489" s="211" t="s">
        <v>7247</v>
      </c>
    </row>
    <row r="3490" spans="1:6">
      <c r="A3490" s="211" t="s">
        <v>4757</v>
      </c>
      <c r="B3490" s="211">
        <v>6191</v>
      </c>
      <c r="C3490" s="211">
        <v>1761</v>
      </c>
      <c r="D3490" s="211" t="s">
        <v>1255</v>
      </c>
      <c r="E3490" s="211" t="s">
        <v>10385</v>
      </c>
      <c r="F3490" s="211" t="s">
        <v>7292</v>
      </c>
    </row>
    <row r="3491" spans="1:6">
      <c r="A3491" s="211" t="s">
        <v>9550</v>
      </c>
      <c r="B3491" s="211">
        <v>8481</v>
      </c>
      <c r="C3491" s="211">
        <v>1704</v>
      </c>
      <c r="D3491" s="211" t="s">
        <v>1255</v>
      </c>
      <c r="E3491" s="211" t="s">
        <v>9551</v>
      </c>
      <c r="F3491" s="211" t="s">
        <v>7215</v>
      </c>
    </row>
    <row r="3492" spans="1:6">
      <c r="A3492" s="211" t="s">
        <v>112</v>
      </c>
      <c r="B3492" s="211">
        <v>1422</v>
      </c>
      <c r="C3492" s="211">
        <v>989</v>
      </c>
      <c r="D3492" s="211" t="s">
        <v>1255</v>
      </c>
      <c r="E3492" s="211" t="s">
        <v>10385</v>
      </c>
      <c r="F3492" s="211" t="s">
        <v>7257</v>
      </c>
    </row>
    <row r="3493" spans="1:6">
      <c r="A3493" s="211" t="s">
        <v>5896</v>
      </c>
      <c r="B3493" s="211">
        <v>7256</v>
      </c>
      <c r="C3493" s="211">
        <v>822</v>
      </c>
      <c r="D3493" s="211" t="s">
        <v>1255</v>
      </c>
      <c r="E3493" s="211" t="s">
        <v>10385</v>
      </c>
      <c r="F3493" s="211" t="s">
        <v>7458</v>
      </c>
    </row>
    <row r="3494" spans="1:6">
      <c r="A3494" s="211" t="s">
        <v>113</v>
      </c>
      <c r="B3494" s="211">
        <v>3975</v>
      </c>
      <c r="C3494" s="211">
        <v>751</v>
      </c>
      <c r="D3494" s="211" t="s">
        <v>1255</v>
      </c>
      <c r="E3494" s="211" t="s">
        <v>10385</v>
      </c>
      <c r="F3494" s="211" t="s">
        <v>7438</v>
      </c>
    </row>
    <row r="3495" spans="1:6">
      <c r="A3495" s="211" t="s">
        <v>114</v>
      </c>
      <c r="B3495" s="211">
        <v>1073</v>
      </c>
      <c r="C3495" s="211">
        <v>1026</v>
      </c>
      <c r="D3495" s="211" t="s">
        <v>1117</v>
      </c>
      <c r="E3495" s="211" t="s">
        <v>10385</v>
      </c>
      <c r="F3495" s="211" t="s">
        <v>7212</v>
      </c>
    </row>
    <row r="3496" spans="1:6">
      <c r="A3496" s="211" t="s">
        <v>115</v>
      </c>
      <c r="B3496" s="211">
        <v>5386</v>
      </c>
      <c r="C3496" s="211">
        <v>958</v>
      </c>
      <c r="D3496" s="211" t="s">
        <v>1255</v>
      </c>
      <c r="E3496" s="211" t="s">
        <v>10385</v>
      </c>
      <c r="F3496" s="211" t="s">
        <v>7286</v>
      </c>
    </row>
    <row r="3497" spans="1:6">
      <c r="A3497" s="211" t="s">
        <v>116</v>
      </c>
      <c r="B3497" s="211">
        <v>1053</v>
      </c>
      <c r="C3497" s="211">
        <v>1456</v>
      </c>
      <c r="D3497" s="211" t="s">
        <v>1255</v>
      </c>
      <c r="E3497" s="211" t="s">
        <v>10385</v>
      </c>
      <c r="F3497" s="211" t="s">
        <v>7376</v>
      </c>
    </row>
    <row r="3498" spans="1:6">
      <c r="A3498" s="211" t="s">
        <v>117</v>
      </c>
      <c r="B3498" s="211">
        <v>1702</v>
      </c>
      <c r="C3498" s="211">
        <v>1096</v>
      </c>
      <c r="D3498" s="211" t="s">
        <v>1255</v>
      </c>
      <c r="E3498" s="211" t="s">
        <v>10385</v>
      </c>
      <c r="F3498" s="211" t="s">
        <v>7213</v>
      </c>
    </row>
    <row r="3499" spans="1:6">
      <c r="A3499" s="211" t="s">
        <v>118</v>
      </c>
      <c r="B3499" s="211">
        <v>867</v>
      </c>
      <c r="C3499" s="211">
        <v>952</v>
      </c>
      <c r="D3499" s="211" t="s">
        <v>1255</v>
      </c>
      <c r="E3499" s="211" t="s">
        <v>10385</v>
      </c>
      <c r="F3499" s="211" t="s">
        <v>7717</v>
      </c>
    </row>
    <row r="3500" spans="1:6">
      <c r="A3500" s="211" t="s">
        <v>8106</v>
      </c>
      <c r="B3500" s="211">
        <v>3849</v>
      </c>
      <c r="C3500" s="211" t="s">
        <v>10385</v>
      </c>
      <c r="D3500" s="211" t="s">
        <v>1255</v>
      </c>
      <c r="E3500" s="211" t="s">
        <v>10385</v>
      </c>
      <c r="F3500" s="211" t="s">
        <v>8107</v>
      </c>
    </row>
    <row r="3501" spans="1:6">
      <c r="A3501" s="211" t="s">
        <v>5083</v>
      </c>
      <c r="B3501" s="211">
        <v>6722</v>
      </c>
      <c r="C3501" s="211">
        <v>1084</v>
      </c>
      <c r="D3501" s="211" t="s">
        <v>1255</v>
      </c>
      <c r="E3501" s="211" t="s">
        <v>10385</v>
      </c>
      <c r="F3501" s="211" t="s">
        <v>7246</v>
      </c>
    </row>
    <row r="3502" spans="1:6">
      <c r="A3502" s="211" t="s">
        <v>8105</v>
      </c>
      <c r="B3502" s="211">
        <v>5586</v>
      </c>
      <c r="C3502" s="211" t="s">
        <v>10385</v>
      </c>
      <c r="D3502" s="211" t="s">
        <v>1255</v>
      </c>
      <c r="E3502" s="211" t="s">
        <v>10385</v>
      </c>
      <c r="F3502" s="211" t="s">
        <v>7202</v>
      </c>
    </row>
    <row r="3503" spans="1:6">
      <c r="A3503" s="211" t="s">
        <v>8108</v>
      </c>
      <c r="B3503" s="211">
        <v>2623</v>
      </c>
      <c r="C3503" s="211" t="s">
        <v>10385</v>
      </c>
      <c r="D3503" s="211" t="s">
        <v>1255</v>
      </c>
      <c r="E3503" s="211" t="s">
        <v>10385</v>
      </c>
      <c r="F3503" s="211" t="s">
        <v>7867</v>
      </c>
    </row>
    <row r="3504" spans="1:6">
      <c r="A3504" s="211" t="s">
        <v>3057</v>
      </c>
      <c r="B3504" s="211">
        <v>6280</v>
      </c>
      <c r="C3504" s="211">
        <v>944</v>
      </c>
      <c r="D3504" s="211" t="s">
        <v>1255</v>
      </c>
      <c r="E3504" s="211" t="s">
        <v>10385</v>
      </c>
      <c r="F3504" s="211" t="s">
        <v>7242</v>
      </c>
    </row>
    <row r="3505" spans="1:6">
      <c r="A3505" s="211" t="s">
        <v>119</v>
      </c>
      <c r="B3505" s="211">
        <v>3497</v>
      </c>
      <c r="C3505" s="211">
        <v>700</v>
      </c>
      <c r="D3505" s="211" t="s">
        <v>1255</v>
      </c>
      <c r="E3505" s="211" t="s">
        <v>10385</v>
      </c>
      <c r="F3505" s="211" t="s">
        <v>7177</v>
      </c>
    </row>
    <row r="3506" spans="1:6">
      <c r="A3506" s="211" t="s">
        <v>120</v>
      </c>
      <c r="B3506" s="211">
        <v>1137</v>
      </c>
      <c r="C3506" s="211">
        <v>995</v>
      </c>
      <c r="D3506" s="211" t="s">
        <v>1255</v>
      </c>
      <c r="E3506" s="211" t="s">
        <v>10385</v>
      </c>
      <c r="F3506" s="211" t="s">
        <v>7306</v>
      </c>
    </row>
    <row r="3507" spans="1:6">
      <c r="A3507" s="211" t="s">
        <v>2847</v>
      </c>
      <c r="B3507" s="211">
        <v>4152</v>
      </c>
      <c r="C3507" s="211">
        <v>1153</v>
      </c>
      <c r="D3507" s="211" t="s">
        <v>1117</v>
      </c>
      <c r="E3507" s="211" t="s">
        <v>10385</v>
      </c>
      <c r="F3507" s="211" t="s">
        <v>7322</v>
      </c>
    </row>
    <row r="3508" spans="1:6">
      <c r="A3508" s="211" t="s">
        <v>5897</v>
      </c>
      <c r="B3508" s="211">
        <v>7352</v>
      </c>
      <c r="C3508" s="211">
        <v>2073</v>
      </c>
      <c r="D3508" s="211" t="s">
        <v>1117</v>
      </c>
      <c r="E3508" s="211" t="s">
        <v>9552</v>
      </c>
      <c r="F3508" s="211" t="s">
        <v>7375</v>
      </c>
    </row>
    <row r="3509" spans="1:6">
      <c r="A3509" s="211" t="s">
        <v>5084</v>
      </c>
      <c r="B3509" s="211">
        <v>6615</v>
      </c>
      <c r="C3509" s="211">
        <v>957</v>
      </c>
      <c r="D3509" s="211" t="s">
        <v>1255</v>
      </c>
      <c r="E3509" s="211" t="s">
        <v>9553</v>
      </c>
      <c r="F3509" s="211" t="s">
        <v>7189</v>
      </c>
    </row>
    <row r="3510" spans="1:6">
      <c r="A3510" s="211" t="s">
        <v>5898</v>
      </c>
      <c r="B3510" s="211">
        <v>7321</v>
      </c>
      <c r="C3510" s="211">
        <v>1833</v>
      </c>
      <c r="D3510" s="211" t="s">
        <v>1117</v>
      </c>
      <c r="E3510" s="211" t="s">
        <v>6847</v>
      </c>
      <c r="F3510" s="211" t="s">
        <v>7327</v>
      </c>
    </row>
    <row r="3511" spans="1:6">
      <c r="A3511" s="211" t="s">
        <v>121</v>
      </c>
      <c r="B3511" s="211">
        <v>5457</v>
      </c>
      <c r="C3511" s="211">
        <v>1680</v>
      </c>
      <c r="D3511" s="211" t="s">
        <v>1255</v>
      </c>
      <c r="E3511" s="211" t="s">
        <v>6848</v>
      </c>
      <c r="F3511" s="211" t="s">
        <v>7320</v>
      </c>
    </row>
    <row r="3512" spans="1:6">
      <c r="A3512" s="211" t="s">
        <v>8109</v>
      </c>
      <c r="B3512" s="211">
        <v>5188</v>
      </c>
      <c r="C3512" s="211" t="s">
        <v>10385</v>
      </c>
      <c r="D3512" s="211" t="s">
        <v>1255</v>
      </c>
      <c r="E3512" s="211" t="s">
        <v>10385</v>
      </c>
      <c r="F3512" s="211" t="s">
        <v>7373</v>
      </c>
    </row>
    <row r="3513" spans="1:6">
      <c r="A3513" s="211" t="s">
        <v>5085</v>
      </c>
      <c r="B3513" s="211">
        <v>6628</v>
      </c>
      <c r="C3513" s="211">
        <v>689</v>
      </c>
      <c r="D3513" s="211" t="s">
        <v>1255</v>
      </c>
      <c r="E3513" s="211" t="s">
        <v>10385</v>
      </c>
      <c r="F3513" s="211" t="s">
        <v>7240</v>
      </c>
    </row>
    <row r="3514" spans="1:6">
      <c r="A3514" s="211" t="s">
        <v>5899</v>
      </c>
      <c r="B3514" s="211">
        <v>7099</v>
      </c>
      <c r="C3514" s="211">
        <v>1167</v>
      </c>
      <c r="D3514" s="211" t="s">
        <v>1255</v>
      </c>
      <c r="E3514" s="211" t="s">
        <v>10385</v>
      </c>
      <c r="F3514" s="211" t="s">
        <v>7321</v>
      </c>
    </row>
    <row r="3515" spans="1:6">
      <c r="A3515" s="211" t="s">
        <v>122</v>
      </c>
      <c r="B3515" s="211">
        <v>3089</v>
      </c>
      <c r="C3515" s="211">
        <v>1334</v>
      </c>
      <c r="D3515" s="211" t="s">
        <v>1255</v>
      </c>
      <c r="E3515" s="211" t="s">
        <v>10385</v>
      </c>
      <c r="F3515" s="211" t="s">
        <v>7240</v>
      </c>
    </row>
    <row r="3516" spans="1:6">
      <c r="A3516" s="211" t="s">
        <v>123</v>
      </c>
      <c r="B3516" s="211">
        <v>6721</v>
      </c>
      <c r="C3516" s="211">
        <v>1052</v>
      </c>
      <c r="D3516" s="211" t="s">
        <v>1117</v>
      </c>
      <c r="E3516" s="211" t="s">
        <v>10385</v>
      </c>
      <c r="F3516" s="211" t="s">
        <v>7246</v>
      </c>
    </row>
    <row r="3517" spans="1:6">
      <c r="A3517" s="211" t="s">
        <v>8110</v>
      </c>
      <c r="B3517" s="211">
        <v>414</v>
      </c>
      <c r="C3517" s="211" t="s">
        <v>10385</v>
      </c>
      <c r="D3517" s="211" t="s">
        <v>1255</v>
      </c>
      <c r="E3517" s="211" t="s">
        <v>10385</v>
      </c>
      <c r="F3517" s="211" t="s">
        <v>7232</v>
      </c>
    </row>
    <row r="3518" spans="1:6">
      <c r="A3518" s="211" t="s">
        <v>8111</v>
      </c>
      <c r="B3518" s="211">
        <v>5201</v>
      </c>
      <c r="C3518" s="211" t="s">
        <v>10385</v>
      </c>
      <c r="D3518" s="211" t="s">
        <v>1255</v>
      </c>
      <c r="E3518" s="211" t="s">
        <v>10385</v>
      </c>
      <c r="F3518" s="211" t="s">
        <v>7189</v>
      </c>
    </row>
    <row r="3519" spans="1:6">
      <c r="A3519" s="211" t="s">
        <v>124</v>
      </c>
      <c r="B3519" s="211">
        <v>4056</v>
      </c>
      <c r="C3519" s="211">
        <v>1094</v>
      </c>
      <c r="D3519" s="211" t="s">
        <v>1255</v>
      </c>
      <c r="E3519" s="211" t="s">
        <v>10385</v>
      </c>
      <c r="F3519" s="211" t="s">
        <v>7240</v>
      </c>
    </row>
    <row r="3520" spans="1:6">
      <c r="A3520" s="211" t="s">
        <v>4541</v>
      </c>
      <c r="B3520" s="211">
        <v>6574</v>
      </c>
      <c r="C3520" s="211">
        <v>836</v>
      </c>
      <c r="D3520" s="211" t="s">
        <v>1255</v>
      </c>
      <c r="E3520" s="211" t="s">
        <v>6849</v>
      </c>
      <c r="F3520" s="211" t="s">
        <v>7287</v>
      </c>
    </row>
    <row r="3521" spans="1:6">
      <c r="A3521" s="211" t="s">
        <v>125</v>
      </c>
      <c r="B3521" s="211">
        <v>4730</v>
      </c>
      <c r="C3521" s="211">
        <v>740</v>
      </c>
      <c r="D3521" s="211" t="s">
        <v>1255</v>
      </c>
      <c r="E3521" s="211" t="s">
        <v>10385</v>
      </c>
      <c r="F3521" s="211" t="s">
        <v>7259</v>
      </c>
    </row>
    <row r="3522" spans="1:6">
      <c r="A3522" s="211" t="s">
        <v>8112</v>
      </c>
      <c r="B3522" s="211">
        <v>911</v>
      </c>
      <c r="C3522" s="211" t="s">
        <v>10385</v>
      </c>
      <c r="D3522" s="211" t="s">
        <v>1255</v>
      </c>
      <c r="E3522" s="211" t="s">
        <v>10385</v>
      </c>
      <c r="F3522" s="211" t="s">
        <v>7210</v>
      </c>
    </row>
    <row r="3523" spans="1:6">
      <c r="A3523" s="211" t="s">
        <v>5086</v>
      </c>
      <c r="B3523" s="211">
        <v>6781</v>
      </c>
      <c r="C3523" s="211">
        <v>1052</v>
      </c>
      <c r="D3523" s="211" t="s">
        <v>1255</v>
      </c>
      <c r="E3523" s="211" t="s">
        <v>10385</v>
      </c>
      <c r="F3523" s="211" t="s">
        <v>7200</v>
      </c>
    </row>
    <row r="3524" spans="1:6">
      <c r="A3524" s="211" t="s">
        <v>9554</v>
      </c>
      <c r="B3524" s="211">
        <v>7976</v>
      </c>
      <c r="C3524" s="211">
        <v>1000</v>
      </c>
      <c r="D3524" s="211" t="s">
        <v>1255</v>
      </c>
      <c r="E3524" s="211" t="s">
        <v>9555</v>
      </c>
      <c r="F3524" s="211" t="s">
        <v>7453</v>
      </c>
    </row>
    <row r="3525" spans="1:6">
      <c r="A3525" s="211" t="s">
        <v>126</v>
      </c>
      <c r="B3525" s="211">
        <v>2964</v>
      </c>
      <c r="C3525" s="211">
        <v>1135</v>
      </c>
      <c r="D3525" s="211" t="s">
        <v>1255</v>
      </c>
      <c r="E3525" s="211" t="s">
        <v>10385</v>
      </c>
      <c r="F3525" s="211" t="s">
        <v>7284</v>
      </c>
    </row>
    <row r="3526" spans="1:6">
      <c r="A3526" s="211" t="s">
        <v>6850</v>
      </c>
      <c r="B3526" s="211">
        <v>7764</v>
      </c>
      <c r="C3526" s="211">
        <v>1119</v>
      </c>
      <c r="D3526" s="211" t="s">
        <v>1255</v>
      </c>
      <c r="E3526" s="211" t="s">
        <v>6851</v>
      </c>
      <c r="F3526" s="211" t="s">
        <v>7453</v>
      </c>
    </row>
    <row r="3527" spans="1:6">
      <c r="A3527" s="211" t="s">
        <v>4696</v>
      </c>
      <c r="B3527" s="211">
        <v>6369</v>
      </c>
      <c r="C3527" s="211">
        <v>1360</v>
      </c>
      <c r="D3527" s="211" t="s">
        <v>1255</v>
      </c>
      <c r="E3527" s="211" t="s">
        <v>9556</v>
      </c>
      <c r="F3527" s="211" t="s">
        <v>7202</v>
      </c>
    </row>
    <row r="3528" spans="1:6">
      <c r="A3528" s="211" t="s">
        <v>127</v>
      </c>
      <c r="B3528" s="211">
        <v>4359</v>
      </c>
      <c r="C3528" s="211">
        <v>1405</v>
      </c>
      <c r="D3528" s="211" t="s">
        <v>1255</v>
      </c>
      <c r="E3528" s="211" t="s">
        <v>10385</v>
      </c>
      <c r="F3528" s="211" t="s">
        <v>7427</v>
      </c>
    </row>
    <row r="3529" spans="1:6">
      <c r="A3529" s="211" t="s">
        <v>128</v>
      </c>
      <c r="B3529" s="211">
        <v>3187</v>
      </c>
      <c r="C3529" s="211">
        <v>841</v>
      </c>
      <c r="D3529" s="211" t="s">
        <v>1255</v>
      </c>
      <c r="E3529" s="211" t="s">
        <v>10385</v>
      </c>
      <c r="F3529" s="211" t="s">
        <v>7874</v>
      </c>
    </row>
    <row r="3530" spans="1:6">
      <c r="A3530" s="211" t="s">
        <v>5087</v>
      </c>
      <c r="B3530" s="211">
        <v>6964</v>
      </c>
      <c r="C3530" s="211">
        <v>805</v>
      </c>
      <c r="D3530" s="211" t="s">
        <v>1255</v>
      </c>
      <c r="E3530" s="211" t="s">
        <v>10385</v>
      </c>
      <c r="F3530" s="211" t="s">
        <v>7246</v>
      </c>
    </row>
    <row r="3531" spans="1:6">
      <c r="A3531" s="211" t="s">
        <v>5900</v>
      </c>
      <c r="B3531" s="211">
        <v>7562</v>
      </c>
      <c r="C3531" s="211">
        <v>1113</v>
      </c>
      <c r="D3531" s="211" t="s">
        <v>1255</v>
      </c>
      <c r="E3531" s="211" t="s">
        <v>10385</v>
      </c>
      <c r="F3531" s="211" t="s">
        <v>7246</v>
      </c>
    </row>
    <row r="3532" spans="1:6">
      <c r="A3532" s="211" t="s">
        <v>9557</v>
      </c>
      <c r="B3532" s="211">
        <v>7905</v>
      </c>
      <c r="C3532" s="211">
        <v>1215</v>
      </c>
      <c r="D3532" s="211" t="s">
        <v>1255</v>
      </c>
      <c r="E3532" s="211" t="s">
        <v>9558</v>
      </c>
      <c r="F3532" s="211" t="s">
        <v>7223</v>
      </c>
    </row>
    <row r="3533" spans="1:6">
      <c r="A3533" s="211" t="s">
        <v>4639</v>
      </c>
      <c r="B3533" s="211">
        <v>6357</v>
      </c>
      <c r="C3533" s="211">
        <v>1000</v>
      </c>
      <c r="D3533" s="211" t="s">
        <v>1255</v>
      </c>
      <c r="E3533" s="211" t="s">
        <v>10385</v>
      </c>
      <c r="F3533" s="211" t="s">
        <v>7288</v>
      </c>
    </row>
    <row r="3534" spans="1:6">
      <c r="A3534" s="211" t="s">
        <v>129</v>
      </c>
      <c r="B3534" s="211">
        <v>1947</v>
      </c>
      <c r="C3534" s="211">
        <v>1425</v>
      </c>
      <c r="D3534" s="211" t="s">
        <v>1255</v>
      </c>
      <c r="E3534" s="211" t="s">
        <v>5901</v>
      </c>
      <c r="F3534" s="211" t="s">
        <v>7425</v>
      </c>
    </row>
    <row r="3535" spans="1:6">
      <c r="A3535" s="211" t="s">
        <v>8113</v>
      </c>
      <c r="B3535" s="211">
        <v>310</v>
      </c>
      <c r="C3535" s="211" t="s">
        <v>10385</v>
      </c>
      <c r="D3535" s="211" t="s">
        <v>1255</v>
      </c>
      <c r="E3535" s="211" t="s">
        <v>10385</v>
      </c>
      <c r="F3535" s="211" t="s">
        <v>7165</v>
      </c>
    </row>
    <row r="3536" spans="1:6">
      <c r="A3536" s="211" t="s">
        <v>5088</v>
      </c>
      <c r="B3536" s="211">
        <v>4394</v>
      </c>
      <c r="C3536" s="211">
        <v>762</v>
      </c>
      <c r="D3536" s="211" t="s">
        <v>1255</v>
      </c>
      <c r="E3536" s="211" t="s">
        <v>5902</v>
      </c>
      <c r="F3536" s="211" t="s">
        <v>7310</v>
      </c>
    </row>
    <row r="3537" spans="1:6">
      <c r="A3537" s="211" t="s">
        <v>5089</v>
      </c>
      <c r="B3537" s="211">
        <v>4836</v>
      </c>
      <c r="C3537" s="211">
        <v>1332</v>
      </c>
      <c r="D3537" s="211" t="s">
        <v>1255</v>
      </c>
      <c r="E3537" s="211" t="s">
        <v>10385</v>
      </c>
      <c r="F3537" s="211" t="s">
        <v>7446</v>
      </c>
    </row>
    <row r="3538" spans="1:6">
      <c r="A3538" s="211" t="s">
        <v>5090</v>
      </c>
      <c r="B3538" s="211">
        <v>3310</v>
      </c>
      <c r="C3538" s="211">
        <v>1085</v>
      </c>
      <c r="D3538" s="211" t="s">
        <v>1255</v>
      </c>
      <c r="E3538" s="211" t="s">
        <v>10385</v>
      </c>
      <c r="F3538" s="211" t="s">
        <v>7459</v>
      </c>
    </row>
    <row r="3539" spans="1:6">
      <c r="A3539" s="211" t="s">
        <v>130</v>
      </c>
      <c r="B3539" s="211">
        <v>5902</v>
      </c>
      <c r="C3539" s="211">
        <v>1076</v>
      </c>
      <c r="D3539" s="211" t="s">
        <v>1255</v>
      </c>
      <c r="E3539" s="211" t="s">
        <v>10385</v>
      </c>
      <c r="F3539" s="211" t="s">
        <v>7459</v>
      </c>
    </row>
    <row r="3540" spans="1:6">
      <c r="A3540" s="211" t="s">
        <v>9559</v>
      </c>
      <c r="B3540" s="211">
        <v>8440</v>
      </c>
      <c r="C3540" s="211">
        <v>1000</v>
      </c>
      <c r="D3540" s="211" t="s">
        <v>1117</v>
      </c>
      <c r="E3540" s="211" t="s">
        <v>9560</v>
      </c>
      <c r="F3540" s="211" t="s">
        <v>7272</v>
      </c>
    </row>
    <row r="3541" spans="1:6">
      <c r="A3541" s="211" t="s">
        <v>131</v>
      </c>
      <c r="B3541" s="211">
        <v>5799</v>
      </c>
      <c r="C3541" s="211">
        <v>1197</v>
      </c>
      <c r="D3541" s="211" t="s">
        <v>1255</v>
      </c>
      <c r="E3541" s="211" t="s">
        <v>10688</v>
      </c>
      <c r="F3541" s="211" t="s">
        <v>7427</v>
      </c>
    </row>
    <row r="3542" spans="1:6">
      <c r="A3542" s="211" t="s">
        <v>8114</v>
      </c>
      <c r="B3542" s="211">
        <v>537</v>
      </c>
      <c r="C3542" s="211" t="s">
        <v>10385</v>
      </c>
      <c r="D3542" s="211" t="s">
        <v>1255</v>
      </c>
      <c r="E3542" s="211" t="s">
        <v>10385</v>
      </c>
      <c r="F3542" s="211" t="s">
        <v>7233</v>
      </c>
    </row>
    <row r="3543" spans="1:6">
      <c r="A3543" s="211" t="s">
        <v>132</v>
      </c>
      <c r="B3543" s="211">
        <v>6135</v>
      </c>
      <c r="C3543" s="211">
        <v>1610</v>
      </c>
      <c r="D3543" s="211" t="s">
        <v>1255</v>
      </c>
      <c r="E3543" s="211" t="s">
        <v>10689</v>
      </c>
      <c r="F3543" s="211" t="s">
        <v>7316</v>
      </c>
    </row>
    <row r="3544" spans="1:6">
      <c r="A3544" s="211" t="s">
        <v>8115</v>
      </c>
      <c r="B3544" s="211">
        <v>568</v>
      </c>
      <c r="C3544" s="211" t="s">
        <v>10385</v>
      </c>
      <c r="D3544" s="211" t="s">
        <v>1255</v>
      </c>
      <c r="E3544" s="211" t="s">
        <v>10385</v>
      </c>
      <c r="F3544" s="211" t="s">
        <v>7573</v>
      </c>
    </row>
    <row r="3545" spans="1:6">
      <c r="A3545" s="211" t="s">
        <v>9561</v>
      </c>
      <c r="B3545" s="211">
        <v>8365</v>
      </c>
      <c r="C3545" s="211">
        <v>1376</v>
      </c>
      <c r="D3545" s="211" t="s">
        <v>1255</v>
      </c>
      <c r="E3545" s="211" t="s">
        <v>10690</v>
      </c>
      <c r="F3545" s="211" t="s">
        <v>7202</v>
      </c>
    </row>
    <row r="3546" spans="1:6">
      <c r="A3546" s="211" t="s">
        <v>133</v>
      </c>
      <c r="B3546" s="211">
        <v>2386</v>
      </c>
      <c r="C3546" s="211">
        <v>1074</v>
      </c>
      <c r="D3546" s="211" t="s">
        <v>1255</v>
      </c>
      <c r="E3546" s="211" t="s">
        <v>10385</v>
      </c>
      <c r="F3546" s="211" t="s">
        <v>7382</v>
      </c>
    </row>
    <row r="3547" spans="1:6">
      <c r="A3547" s="211" t="s">
        <v>8116</v>
      </c>
      <c r="B3547" s="211">
        <v>530</v>
      </c>
      <c r="C3547" s="211" t="s">
        <v>10385</v>
      </c>
      <c r="D3547" s="211" t="s">
        <v>1255</v>
      </c>
      <c r="E3547" s="211" t="s">
        <v>10385</v>
      </c>
      <c r="F3547" s="211" t="s">
        <v>7171</v>
      </c>
    </row>
    <row r="3548" spans="1:6">
      <c r="A3548" s="211" t="s">
        <v>2918</v>
      </c>
      <c r="B3548" s="211">
        <v>3149</v>
      </c>
      <c r="C3548" s="211">
        <v>1460</v>
      </c>
      <c r="D3548" s="211" t="s">
        <v>1255</v>
      </c>
      <c r="E3548" s="211" t="s">
        <v>10385</v>
      </c>
      <c r="F3548" s="211" t="s">
        <v>7263</v>
      </c>
    </row>
    <row r="3549" spans="1:6">
      <c r="A3549" s="211" t="s">
        <v>134</v>
      </c>
      <c r="B3549" s="211">
        <v>4543</v>
      </c>
      <c r="C3549" s="211">
        <v>1329</v>
      </c>
      <c r="D3549" s="211" t="s">
        <v>1117</v>
      </c>
      <c r="E3549" s="211" t="s">
        <v>6852</v>
      </c>
      <c r="F3549" s="211" t="s">
        <v>7380</v>
      </c>
    </row>
    <row r="3550" spans="1:6">
      <c r="A3550" s="211" t="s">
        <v>8117</v>
      </c>
      <c r="B3550" s="211">
        <v>439</v>
      </c>
      <c r="C3550" s="211" t="s">
        <v>10385</v>
      </c>
      <c r="D3550" s="211" t="s">
        <v>1255</v>
      </c>
      <c r="E3550" s="211" t="s">
        <v>10385</v>
      </c>
      <c r="F3550" s="211" t="s">
        <v>7233</v>
      </c>
    </row>
    <row r="3551" spans="1:6">
      <c r="A3551" s="211" t="s">
        <v>135</v>
      </c>
      <c r="B3551" s="211">
        <v>5557</v>
      </c>
      <c r="C3551" s="211">
        <v>2024</v>
      </c>
      <c r="D3551" s="211" t="s">
        <v>1255</v>
      </c>
      <c r="E3551" s="211" t="s">
        <v>5903</v>
      </c>
      <c r="F3551" s="211" t="s">
        <v>7284</v>
      </c>
    </row>
    <row r="3552" spans="1:6">
      <c r="A3552" s="211" t="s">
        <v>136</v>
      </c>
      <c r="B3552" s="211">
        <v>5491</v>
      </c>
      <c r="C3552" s="211">
        <v>1432</v>
      </c>
      <c r="D3552" s="211" t="s">
        <v>1255</v>
      </c>
      <c r="E3552" s="211" t="s">
        <v>10385</v>
      </c>
      <c r="F3552" s="211" t="s">
        <v>7171</v>
      </c>
    </row>
    <row r="3553" spans="1:6">
      <c r="A3553" s="211" t="s">
        <v>137</v>
      </c>
      <c r="B3553" s="211">
        <v>4410</v>
      </c>
      <c r="C3553" s="211">
        <v>1121</v>
      </c>
      <c r="D3553" s="211" t="s">
        <v>1255</v>
      </c>
      <c r="E3553" s="211" t="s">
        <v>10385</v>
      </c>
      <c r="F3553" s="211" t="s">
        <v>7233</v>
      </c>
    </row>
    <row r="3554" spans="1:6">
      <c r="A3554" s="211" t="s">
        <v>3846</v>
      </c>
      <c r="B3554" s="211">
        <v>955</v>
      </c>
      <c r="C3554" s="211" t="s">
        <v>10385</v>
      </c>
      <c r="D3554" s="211" t="s">
        <v>1255</v>
      </c>
      <c r="E3554" s="211" t="s">
        <v>10385</v>
      </c>
      <c r="F3554" s="211" t="s">
        <v>7692</v>
      </c>
    </row>
    <row r="3555" spans="1:6">
      <c r="A3555" s="211" t="s">
        <v>5091</v>
      </c>
      <c r="B3555" s="211">
        <v>4561</v>
      </c>
      <c r="C3555" s="211">
        <v>1062</v>
      </c>
      <c r="D3555" s="211" t="s">
        <v>1255</v>
      </c>
      <c r="E3555" s="211" t="s">
        <v>10385</v>
      </c>
      <c r="F3555" s="211" t="s">
        <v>7286</v>
      </c>
    </row>
    <row r="3556" spans="1:6">
      <c r="A3556" s="211" t="s">
        <v>138</v>
      </c>
      <c r="B3556" s="211">
        <v>5094</v>
      </c>
      <c r="C3556" s="211">
        <v>1021</v>
      </c>
      <c r="D3556" s="211" t="s">
        <v>1255</v>
      </c>
      <c r="E3556" s="211" t="s">
        <v>10385</v>
      </c>
      <c r="F3556" s="211" t="s">
        <v>7213</v>
      </c>
    </row>
    <row r="3557" spans="1:6">
      <c r="A3557" s="211" t="s">
        <v>2869</v>
      </c>
      <c r="B3557" s="211">
        <v>3846</v>
      </c>
      <c r="C3557" s="211">
        <v>1362</v>
      </c>
      <c r="D3557" s="211" t="s">
        <v>1117</v>
      </c>
      <c r="E3557" s="211" t="s">
        <v>10385</v>
      </c>
      <c r="F3557" s="211" t="s">
        <v>8107</v>
      </c>
    </row>
    <row r="3558" spans="1:6">
      <c r="A3558" s="211" t="s">
        <v>139</v>
      </c>
      <c r="B3558" s="211">
        <v>4044</v>
      </c>
      <c r="C3558" s="211">
        <v>811</v>
      </c>
      <c r="D3558" s="211" t="s">
        <v>1255</v>
      </c>
      <c r="E3558" s="211" t="s">
        <v>10385</v>
      </c>
      <c r="F3558" s="211" t="s">
        <v>7189</v>
      </c>
    </row>
    <row r="3559" spans="1:6">
      <c r="A3559" s="211" t="s">
        <v>8118</v>
      </c>
      <c r="B3559" s="211">
        <v>1915</v>
      </c>
      <c r="C3559" s="211" t="s">
        <v>10385</v>
      </c>
      <c r="D3559" s="211" t="s">
        <v>1255</v>
      </c>
      <c r="E3559" s="211" t="s">
        <v>10385</v>
      </c>
      <c r="F3559" s="211" t="s">
        <v>7263</v>
      </c>
    </row>
    <row r="3560" spans="1:6">
      <c r="A3560" s="211" t="s">
        <v>9562</v>
      </c>
      <c r="B3560" s="211">
        <v>8454</v>
      </c>
      <c r="C3560" s="211">
        <v>1890</v>
      </c>
      <c r="D3560" s="211" t="s">
        <v>1255</v>
      </c>
      <c r="E3560" s="211" t="s">
        <v>9563</v>
      </c>
      <c r="F3560" s="211" t="s">
        <v>7425</v>
      </c>
    </row>
    <row r="3561" spans="1:6">
      <c r="A3561" s="211" t="s">
        <v>4519</v>
      </c>
      <c r="B3561" s="211">
        <v>6556</v>
      </c>
      <c r="C3561" s="211">
        <v>659</v>
      </c>
      <c r="D3561" s="211" t="s">
        <v>1117</v>
      </c>
      <c r="E3561" s="211" t="s">
        <v>10385</v>
      </c>
      <c r="F3561" s="211" t="s">
        <v>7524</v>
      </c>
    </row>
    <row r="3562" spans="1:6">
      <c r="A3562" s="211" t="s">
        <v>2941</v>
      </c>
      <c r="B3562" s="211">
        <v>2595</v>
      </c>
      <c r="C3562" s="211">
        <v>1684</v>
      </c>
      <c r="D3562" s="211" t="s">
        <v>1255</v>
      </c>
      <c r="E3562" s="211" t="s">
        <v>10385</v>
      </c>
      <c r="F3562" s="211" t="s">
        <v>7203</v>
      </c>
    </row>
    <row r="3563" spans="1:6">
      <c r="A3563" s="211" t="s">
        <v>10358</v>
      </c>
      <c r="B3563" s="211">
        <v>895</v>
      </c>
      <c r="C3563" s="211" t="s">
        <v>10385</v>
      </c>
      <c r="D3563" s="211" t="s">
        <v>1255</v>
      </c>
      <c r="E3563" s="211" t="s">
        <v>10385</v>
      </c>
      <c r="F3563" s="211" t="s">
        <v>7356</v>
      </c>
    </row>
    <row r="3564" spans="1:6">
      <c r="A3564" s="211" t="s">
        <v>140</v>
      </c>
      <c r="B3564" s="211">
        <v>1743</v>
      </c>
      <c r="C3564" s="211">
        <v>983</v>
      </c>
      <c r="D3564" s="211" t="s">
        <v>1255</v>
      </c>
      <c r="E3564" s="211" t="s">
        <v>10385</v>
      </c>
      <c r="F3564" s="211" t="s">
        <v>7283</v>
      </c>
    </row>
    <row r="3565" spans="1:6">
      <c r="A3565" s="211" t="s">
        <v>141</v>
      </c>
      <c r="B3565" s="211">
        <v>4372</v>
      </c>
      <c r="C3565" s="211">
        <v>1252</v>
      </c>
      <c r="D3565" s="211" t="s">
        <v>1255</v>
      </c>
      <c r="E3565" s="211" t="s">
        <v>10385</v>
      </c>
      <c r="F3565" s="211" t="s">
        <v>7364</v>
      </c>
    </row>
    <row r="3566" spans="1:6">
      <c r="A3566" s="211" t="s">
        <v>5092</v>
      </c>
      <c r="B3566" s="211">
        <v>6920</v>
      </c>
      <c r="C3566" s="211">
        <v>623</v>
      </c>
      <c r="D3566" s="211" t="s">
        <v>1255</v>
      </c>
      <c r="E3566" s="211" t="s">
        <v>10385</v>
      </c>
      <c r="F3566" s="211" t="s">
        <v>7285</v>
      </c>
    </row>
    <row r="3567" spans="1:6">
      <c r="A3567" s="211" t="s">
        <v>142</v>
      </c>
      <c r="B3567" s="211">
        <v>3385</v>
      </c>
      <c r="C3567" s="211">
        <v>966</v>
      </c>
      <c r="D3567" s="211" t="s">
        <v>1255</v>
      </c>
      <c r="E3567" s="211" t="s">
        <v>10385</v>
      </c>
      <c r="F3567" s="211" t="s">
        <v>7399</v>
      </c>
    </row>
    <row r="3568" spans="1:6">
      <c r="A3568" s="211" t="s">
        <v>6853</v>
      </c>
      <c r="B3568" s="211">
        <v>7829</v>
      </c>
      <c r="C3568" s="211">
        <v>972</v>
      </c>
      <c r="D3568" s="211" t="s">
        <v>1255</v>
      </c>
      <c r="E3568" s="211" t="s">
        <v>6854</v>
      </c>
      <c r="F3568" s="211" t="s">
        <v>7335</v>
      </c>
    </row>
    <row r="3569" spans="1:6">
      <c r="A3569" s="211" t="s">
        <v>143</v>
      </c>
      <c r="B3569" s="211">
        <v>5283</v>
      </c>
      <c r="C3569" s="211">
        <v>1202</v>
      </c>
      <c r="D3569" s="211" t="s">
        <v>1255</v>
      </c>
      <c r="E3569" s="211" t="s">
        <v>10385</v>
      </c>
      <c r="F3569" s="211" t="s">
        <v>7386</v>
      </c>
    </row>
    <row r="3570" spans="1:6">
      <c r="A3570" s="211" t="s">
        <v>5367</v>
      </c>
      <c r="B3570" s="211">
        <v>3956</v>
      </c>
      <c r="C3570" s="211">
        <v>1168</v>
      </c>
      <c r="D3570" s="211" t="s">
        <v>1255</v>
      </c>
      <c r="E3570" s="211" t="s">
        <v>10385</v>
      </c>
      <c r="F3570" s="211" t="s">
        <v>7766</v>
      </c>
    </row>
    <row r="3571" spans="1:6">
      <c r="A3571" s="211" t="s">
        <v>5368</v>
      </c>
      <c r="B3571" s="211">
        <v>2525</v>
      </c>
      <c r="C3571" s="211">
        <v>1112</v>
      </c>
      <c r="D3571" s="211" t="s">
        <v>1255</v>
      </c>
      <c r="E3571" s="211" t="s">
        <v>10385</v>
      </c>
      <c r="F3571" s="211" t="s">
        <v>7249</v>
      </c>
    </row>
    <row r="3572" spans="1:6">
      <c r="A3572" s="211" t="s">
        <v>5904</v>
      </c>
      <c r="B3572" s="211">
        <v>7414</v>
      </c>
      <c r="C3572" s="211">
        <v>2213</v>
      </c>
      <c r="D3572" s="211" t="s">
        <v>1117</v>
      </c>
      <c r="E3572" s="211" t="s">
        <v>5905</v>
      </c>
      <c r="F3572" s="211" t="s">
        <v>7623</v>
      </c>
    </row>
    <row r="3573" spans="1:6">
      <c r="A3573" s="211" t="s">
        <v>8119</v>
      </c>
      <c r="B3573" s="211">
        <v>3203</v>
      </c>
      <c r="C3573" s="211" t="s">
        <v>10385</v>
      </c>
      <c r="D3573" s="211" t="s">
        <v>1255</v>
      </c>
      <c r="E3573" s="211" t="s">
        <v>10385</v>
      </c>
      <c r="F3573" s="211" t="s">
        <v>7382</v>
      </c>
    </row>
    <row r="3574" spans="1:6">
      <c r="A3574" s="211" t="s">
        <v>144</v>
      </c>
      <c r="B3574" s="211">
        <v>4575</v>
      </c>
      <c r="C3574" s="211">
        <v>993</v>
      </c>
      <c r="D3574" s="211" t="s">
        <v>1255</v>
      </c>
      <c r="E3574" s="211" t="s">
        <v>10691</v>
      </c>
      <c r="F3574" s="211" t="s">
        <v>7377</v>
      </c>
    </row>
    <row r="3575" spans="1:6">
      <c r="A3575" s="211" t="s">
        <v>10692</v>
      </c>
      <c r="B3575" s="211">
        <v>8726</v>
      </c>
      <c r="C3575" s="211">
        <v>193</v>
      </c>
      <c r="D3575" s="211" t="s">
        <v>1255</v>
      </c>
      <c r="E3575" s="211" t="s">
        <v>10693</v>
      </c>
      <c r="F3575" s="211" t="s">
        <v>7573</v>
      </c>
    </row>
    <row r="3576" spans="1:6">
      <c r="A3576" s="211" t="s">
        <v>5093</v>
      </c>
      <c r="B3576" s="211">
        <v>4537</v>
      </c>
      <c r="C3576" s="211">
        <v>1894</v>
      </c>
      <c r="D3576" s="211" t="s">
        <v>1117</v>
      </c>
      <c r="E3576" s="211" t="s">
        <v>10385</v>
      </c>
      <c r="F3576" s="211" t="s">
        <v>7262</v>
      </c>
    </row>
    <row r="3577" spans="1:6">
      <c r="A3577" s="211" t="s">
        <v>5094</v>
      </c>
      <c r="B3577" s="211">
        <v>2902</v>
      </c>
      <c r="C3577" s="211">
        <v>1274</v>
      </c>
      <c r="D3577" s="211" t="s">
        <v>1117</v>
      </c>
      <c r="E3577" s="211" t="s">
        <v>10385</v>
      </c>
      <c r="F3577" s="211" t="s">
        <v>7205</v>
      </c>
    </row>
    <row r="3578" spans="1:6">
      <c r="A3578" s="211" t="s">
        <v>2911</v>
      </c>
      <c r="B3578" s="211">
        <v>3146</v>
      </c>
      <c r="C3578" s="211">
        <v>974</v>
      </c>
      <c r="D3578" s="211" t="s">
        <v>1255</v>
      </c>
      <c r="E3578" s="211" t="s">
        <v>10385</v>
      </c>
      <c r="F3578" s="211" t="s">
        <v>7216</v>
      </c>
    </row>
    <row r="3579" spans="1:6">
      <c r="A3579" s="211" t="s">
        <v>8120</v>
      </c>
      <c r="B3579" s="211">
        <v>5219</v>
      </c>
      <c r="C3579" s="211">
        <v>908</v>
      </c>
      <c r="D3579" s="211" t="s">
        <v>1117</v>
      </c>
      <c r="E3579" s="211" t="s">
        <v>9564</v>
      </c>
      <c r="F3579" s="211" t="s">
        <v>7377</v>
      </c>
    </row>
    <row r="3580" spans="1:6">
      <c r="A3580" s="211" t="s">
        <v>5906</v>
      </c>
      <c r="B3580" s="211">
        <v>7233</v>
      </c>
      <c r="C3580" s="211">
        <v>875</v>
      </c>
      <c r="D3580" s="211" t="s">
        <v>1117</v>
      </c>
      <c r="E3580" s="211" t="s">
        <v>10385</v>
      </c>
      <c r="F3580" s="211" t="s">
        <v>7205</v>
      </c>
    </row>
    <row r="3581" spans="1:6">
      <c r="A3581" s="211" t="s">
        <v>8121</v>
      </c>
      <c r="B3581" s="211">
        <v>7798</v>
      </c>
      <c r="C3581" s="211" t="s">
        <v>10385</v>
      </c>
      <c r="D3581" s="211" t="s">
        <v>1117</v>
      </c>
      <c r="E3581" s="211" t="s">
        <v>10385</v>
      </c>
      <c r="F3581" s="211" t="s">
        <v>7205</v>
      </c>
    </row>
    <row r="3582" spans="1:6">
      <c r="A3582" s="211" t="s">
        <v>145</v>
      </c>
      <c r="B3582" s="211">
        <v>5511</v>
      </c>
      <c r="C3582" s="211">
        <v>1041</v>
      </c>
      <c r="D3582" s="211" t="s">
        <v>1117</v>
      </c>
      <c r="E3582" s="211" t="s">
        <v>10385</v>
      </c>
      <c r="F3582" s="211" t="s">
        <v>7205</v>
      </c>
    </row>
    <row r="3583" spans="1:6">
      <c r="A3583" s="211" t="s">
        <v>8122</v>
      </c>
      <c r="B3583" s="211">
        <v>338</v>
      </c>
      <c r="C3583" s="211" t="s">
        <v>10385</v>
      </c>
      <c r="D3583" s="211" t="s">
        <v>1255</v>
      </c>
      <c r="E3583" s="211" t="s">
        <v>10385</v>
      </c>
      <c r="F3583" s="211" t="s">
        <v>7210</v>
      </c>
    </row>
    <row r="3584" spans="1:6">
      <c r="A3584" s="211" t="s">
        <v>146</v>
      </c>
      <c r="B3584" s="211">
        <v>778</v>
      </c>
      <c r="C3584" s="211">
        <v>1442</v>
      </c>
      <c r="D3584" s="211" t="s">
        <v>1255</v>
      </c>
      <c r="E3584" s="211" t="s">
        <v>10385</v>
      </c>
      <c r="F3584" s="211" t="s">
        <v>7199</v>
      </c>
    </row>
    <row r="3585" spans="1:6">
      <c r="A3585" s="211" t="s">
        <v>8123</v>
      </c>
      <c r="B3585" s="211">
        <v>137</v>
      </c>
      <c r="C3585" s="211" t="s">
        <v>10385</v>
      </c>
      <c r="D3585" s="211" t="s">
        <v>1255</v>
      </c>
      <c r="E3585" s="211" t="s">
        <v>10385</v>
      </c>
      <c r="F3585" s="211" t="s">
        <v>7232</v>
      </c>
    </row>
    <row r="3586" spans="1:6">
      <c r="A3586" s="211" t="s">
        <v>147</v>
      </c>
      <c r="B3586" s="211">
        <v>792</v>
      </c>
      <c r="C3586" s="211">
        <v>1520</v>
      </c>
      <c r="D3586" s="211" t="s">
        <v>1255</v>
      </c>
      <c r="E3586" s="211" t="s">
        <v>10385</v>
      </c>
      <c r="F3586" s="211" t="s">
        <v>7239</v>
      </c>
    </row>
    <row r="3587" spans="1:6">
      <c r="A3587" s="211" t="s">
        <v>8124</v>
      </c>
      <c r="B3587" s="211">
        <v>368</v>
      </c>
      <c r="C3587" s="211" t="s">
        <v>10385</v>
      </c>
      <c r="D3587" s="211" t="s">
        <v>1255</v>
      </c>
      <c r="E3587" s="211" t="s">
        <v>10385</v>
      </c>
      <c r="F3587" s="211" t="s">
        <v>7343</v>
      </c>
    </row>
    <row r="3588" spans="1:6">
      <c r="A3588" s="211" t="s">
        <v>4884</v>
      </c>
      <c r="B3588" s="211">
        <v>4005</v>
      </c>
      <c r="C3588" s="211">
        <v>1205</v>
      </c>
      <c r="D3588" s="211" t="s">
        <v>1255</v>
      </c>
      <c r="E3588" s="211" t="s">
        <v>10385</v>
      </c>
      <c r="F3588" s="211" t="s">
        <v>7322</v>
      </c>
    </row>
    <row r="3589" spans="1:6">
      <c r="A3589" s="211" t="s">
        <v>8125</v>
      </c>
      <c r="B3589" s="211">
        <v>23</v>
      </c>
      <c r="C3589" s="211" t="s">
        <v>10385</v>
      </c>
      <c r="D3589" s="211" t="s">
        <v>1255</v>
      </c>
      <c r="E3589" s="211" t="s">
        <v>10385</v>
      </c>
      <c r="F3589" s="211" t="s">
        <v>7356</v>
      </c>
    </row>
    <row r="3590" spans="1:6">
      <c r="A3590" s="211" t="s">
        <v>5907</v>
      </c>
      <c r="B3590" s="211">
        <v>7487</v>
      </c>
      <c r="C3590" s="211">
        <v>2084</v>
      </c>
      <c r="D3590" s="211" t="s">
        <v>1255</v>
      </c>
      <c r="E3590" s="211" t="s">
        <v>5908</v>
      </c>
      <c r="F3590" s="211" t="s">
        <v>7284</v>
      </c>
    </row>
    <row r="3591" spans="1:6">
      <c r="A3591" s="211" t="s">
        <v>5909</v>
      </c>
      <c r="B3591" s="211">
        <v>7055</v>
      </c>
      <c r="C3591" s="211">
        <v>971</v>
      </c>
      <c r="D3591" s="211" t="s">
        <v>1255</v>
      </c>
      <c r="E3591" s="211" t="s">
        <v>10385</v>
      </c>
      <c r="F3591" s="211" t="s">
        <v>7265</v>
      </c>
    </row>
    <row r="3592" spans="1:6">
      <c r="A3592" s="211" t="s">
        <v>148</v>
      </c>
      <c r="B3592" s="211">
        <v>5515</v>
      </c>
      <c r="C3592" s="211">
        <v>1854</v>
      </c>
      <c r="D3592" s="211" t="s">
        <v>1255</v>
      </c>
      <c r="E3592" s="211" t="s">
        <v>10385</v>
      </c>
      <c r="F3592" s="211" t="s">
        <v>7205</v>
      </c>
    </row>
    <row r="3593" spans="1:6">
      <c r="A3593" s="211" t="s">
        <v>8126</v>
      </c>
      <c r="B3593" s="211">
        <v>2032</v>
      </c>
      <c r="C3593" s="211" t="s">
        <v>10385</v>
      </c>
      <c r="D3593" s="211" t="s">
        <v>1117</v>
      </c>
      <c r="E3593" s="211" t="s">
        <v>10385</v>
      </c>
      <c r="F3593" s="211" t="s">
        <v>7510</v>
      </c>
    </row>
    <row r="3594" spans="1:6">
      <c r="A3594" s="211" t="s">
        <v>3058</v>
      </c>
      <c r="B3594" s="211">
        <v>6277</v>
      </c>
      <c r="C3594" s="211">
        <v>1389</v>
      </c>
      <c r="D3594" s="211" t="s">
        <v>1255</v>
      </c>
      <c r="E3594" s="211" t="s">
        <v>10385</v>
      </c>
      <c r="F3594" s="211" t="s">
        <v>7320</v>
      </c>
    </row>
    <row r="3595" spans="1:6">
      <c r="A3595" s="211" t="s">
        <v>149</v>
      </c>
      <c r="B3595" s="211">
        <v>3171</v>
      </c>
      <c r="C3595" s="211">
        <v>1009</v>
      </c>
      <c r="D3595" s="211" t="s">
        <v>1255</v>
      </c>
      <c r="E3595" s="211" t="s">
        <v>10385</v>
      </c>
      <c r="F3595" s="211" t="s">
        <v>7231</v>
      </c>
    </row>
    <row r="3596" spans="1:6">
      <c r="A3596" s="211" t="s">
        <v>5095</v>
      </c>
      <c r="B3596" s="211">
        <v>6622</v>
      </c>
      <c r="C3596" s="211">
        <v>1077</v>
      </c>
      <c r="D3596" s="211" t="s">
        <v>1255</v>
      </c>
      <c r="E3596" s="211" t="s">
        <v>9565</v>
      </c>
      <c r="F3596" s="211" t="s">
        <v>7446</v>
      </c>
    </row>
    <row r="3597" spans="1:6">
      <c r="A3597" s="211" t="s">
        <v>8127</v>
      </c>
      <c r="B3597" s="211">
        <v>5285</v>
      </c>
      <c r="C3597" s="211">
        <v>945</v>
      </c>
      <c r="D3597" s="211" t="s">
        <v>1117</v>
      </c>
      <c r="E3597" s="211" t="s">
        <v>10385</v>
      </c>
      <c r="F3597" s="211" t="s">
        <v>7189</v>
      </c>
    </row>
    <row r="3598" spans="1:6">
      <c r="A3598" s="211" t="s">
        <v>5292</v>
      </c>
      <c r="B3598" s="211">
        <v>2823</v>
      </c>
      <c r="C3598" s="211">
        <v>812</v>
      </c>
      <c r="D3598" s="211" t="s">
        <v>1117</v>
      </c>
      <c r="E3598" s="211" t="s">
        <v>10385</v>
      </c>
      <c r="F3598" s="211" t="s">
        <v>7262</v>
      </c>
    </row>
    <row r="3599" spans="1:6">
      <c r="A3599" s="211" t="s">
        <v>5293</v>
      </c>
      <c r="B3599" s="211">
        <v>6805</v>
      </c>
      <c r="C3599" s="211">
        <v>1743</v>
      </c>
      <c r="D3599" s="211" t="s">
        <v>1117</v>
      </c>
      <c r="E3599" s="211" t="s">
        <v>5910</v>
      </c>
      <c r="F3599" s="211" t="s">
        <v>7510</v>
      </c>
    </row>
    <row r="3600" spans="1:6">
      <c r="A3600" s="211" t="s">
        <v>150</v>
      </c>
      <c r="B3600" s="211">
        <v>1142</v>
      </c>
      <c r="C3600" s="211">
        <v>1903</v>
      </c>
      <c r="D3600" s="211" t="s">
        <v>1255</v>
      </c>
      <c r="E3600" s="211" t="s">
        <v>10385</v>
      </c>
      <c r="F3600" s="211" t="s">
        <v>7316</v>
      </c>
    </row>
    <row r="3601" spans="1:6">
      <c r="A3601" s="211" t="s">
        <v>8128</v>
      </c>
      <c r="B3601" s="211">
        <v>249</v>
      </c>
      <c r="C3601" s="211" t="s">
        <v>10385</v>
      </c>
      <c r="D3601" s="211" t="s">
        <v>1255</v>
      </c>
      <c r="E3601" s="211" t="s">
        <v>10385</v>
      </c>
      <c r="F3601" s="211" t="s">
        <v>7196</v>
      </c>
    </row>
    <row r="3602" spans="1:6">
      <c r="A3602" s="211" t="s">
        <v>8129</v>
      </c>
      <c r="B3602" s="211">
        <v>1093</v>
      </c>
      <c r="C3602" s="211" t="s">
        <v>10385</v>
      </c>
      <c r="D3602" s="211" t="s">
        <v>1255</v>
      </c>
      <c r="E3602" s="211" t="s">
        <v>10385</v>
      </c>
      <c r="F3602" s="211" t="s">
        <v>7788</v>
      </c>
    </row>
    <row r="3603" spans="1:6">
      <c r="A3603" s="211" t="s">
        <v>5096</v>
      </c>
      <c r="B3603" s="211">
        <v>5296</v>
      </c>
      <c r="C3603" s="211">
        <v>1027</v>
      </c>
      <c r="D3603" s="211" t="s">
        <v>1255</v>
      </c>
      <c r="E3603" s="211" t="s">
        <v>10385</v>
      </c>
      <c r="F3603" s="211" t="s">
        <v>7240</v>
      </c>
    </row>
    <row r="3604" spans="1:6">
      <c r="A3604" s="211" t="s">
        <v>5097</v>
      </c>
      <c r="B3604" s="211">
        <v>3953</v>
      </c>
      <c r="C3604" s="211">
        <v>783</v>
      </c>
      <c r="D3604" s="211" t="s">
        <v>1255</v>
      </c>
      <c r="E3604" s="211" t="s">
        <v>10385</v>
      </c>
      <c r="F3604" s="211" t="s">
        <v>7256</v>
      </c>
    </row>
    <row r="3605" spans="1:6">
      <c r="A3605" s="211" t="s">
        <v>4734</v>
      </c>
      <c r="B3605" s="211">
        <v>6453</v>
      </c>
      <c r="C3605" s="211">
        <v>1118</v>
      </c>
      <c r="D3605" s="211" t="s">
        <v>1255</v>
      </c>
      <c r="E3605" s="211" t="s">
        <v>10385</v>
      </c>
      <c r="F3605" s="211" t="s">
        <v>7380</v>
      </c>
    </row>
    <row r="3606" spans="1:6">
      <c r="A3606" s="211" t="s">
        <v>4697</v>
      </c>
      <c r="B3606" s="211">
        <v>6386</v>
      </c>
      <c r="C3606" s="211">
        <v>899</v>
      </c>
      <c r="D3606" s="211" t="s">
        <v>1255</v>
      </c>
      <c r="E3606" s="211" t="s">
        <v>10385</v>
      </c>
      <c r="F3606" s="211" t="s">
        <v>7263</v>
      </c>
    </row>
    <row r="3607" spans="1:6">
      <c r="A3607" s="211" t="s">
        <v>10694</v>
      </c>
      <c r="B3607" s="211">
        <v>8817</v>
      </c>
      <c r="C3607" s="211">
        <v>1303</v>
      </c>
      <c r="D3607" s="211" t="s">
        <v>1117</v>
      </c>
      <c r="E3607" s="211" t="s">
        <v>10695</v>
      </c>
      <c r="F3607" s="211" t="s">
        <v>7307</v>
      </c>
    </row>
    <row r="3608" spans="1:6">
      <c r="A3608" s="211" t="s">
        <v>151</v>
      </c>
      <c r="B3608" s="211">
        <v>5606</v>
      </c>
      <c r="C3608" s="211">
        <v>1311</v>
      </c>
      <c r="D3608" s="211" t="s">
        <v>1117</v>
      </c>
      <c r="E3608" s="211" t="s">
        <v>10385</v>
      </c>
      <c r="F3608" s="211" t="s">
        <v>7380</v>
      </c>
    </row>
    <row r="3609" spans="1:6">
      <c r="A3609" s="211" t="s">
        <v>4873</v>
      </c>
      <c r="B3609" s="211">
        <v>5591</v>
      </c>
      <c r="C3609" s="211">
        <v>785</v>
      </c>
      <c r="D3609" s="211" t="s">
        <v>1117</v>
      </c>
      <c r="E3609" s="211" t="s">
        <v>10385</v>
      </c>
      <c r="F3609" s="211" t="s">
        <v>7510</v>
      </c>
    </row>
    <row r="3610" spans="1:6">
      <c r="A3610" s="211" t="s">
        <v>152</v>
      </c>
      <c r="B3610" s="211">
        <v>3417</v>
      </c>
      <c r="C3610" s="211">
        <v>1294</v>
      </c>
      <c r="D3610" s="211" t="s">
        <v>1255</v>
      </c>
      <c r="E3610" s="211" t="s">
        <v>10385</v>
      </c>
      <c r="F3610" s="211" t="s">
        <v>7308</v>
      </c>
    </row>
    <row r="3611" spans="1:6">
      <c r="A3611" s="211" t="s">
        <v>5369</v>
      </c>
      <c r="B3611" s="211">
        <v>5538</v>
      </c>
      <c r="C3611" s="211">
        <v>1044</v>
      </c>
      <c r="D3611" s="211" t="s">
        <v>1255</v>
      </c>
      <c r="E3611" s="211" t="s">
        <v>10385</v>
      </c>
      <c r="F3611" s="211" t="s">
        <v>7396</v>
      </c>
    </row>
    <row r="3612" spans="1:6">
      <c r="A3612" s="211" t="s">
        <v>5370</v>
      </c>
      <c r="B3612" s="211">
        <v>4566</v>
      </c>
      <c r="C3612" s="211">
        <v>869</v>
      </c>
      <c r="D3612" s="211" t="s">
        <v>1255</v>
      </c>
      <c r="E3612" s="211" t="s">
        <v>10385</v>
      </c>
      <c r="F3612" s="211" t="s">
        <v>7286</v>
      </c>
    </row>
    <row r="3613" spans="1:6">
      <c r="A3613" s="211" t="s">
        <v>153</v>
      </c>
      <c r="B3613" s="211">
        <v>1496</v>
      </c>
      <c r="C3613" s="211">
        <v>1256</v>
      </c>
      <c r="D3613" s="211" t="s">
        <v>1255</v>
      </c>
      <c r="E3613" s="211" t="s">
        <v>10385</v>
      </c>
      <c r="F3613" s="211" t="s">
        <v>7275</v>
      </c>
    </row>
    <row r="3614" spans="1:6">
      <c r="A3614" s="211" t="s">
        <v>154</v>
      </c>
      <c r="B3614" s="211">
        <v>5554</v>
      </c>
      <c r="C3614" s="211">
        <v>1978</v>
      </c>
      <c r="D3614" s="211" t="s">
        <v>1255</v>
      </c>
      <c r="E3614" s="211" t="s">
        <v>9566</v>
      </c>
      <c r="F3614" s="211" t="s">
        <v>7341</v>
      </c>
    </row>
    <row r="3615" spans="1:6">
      <c r="A3615" s="211" t="s">
        <v>8130</v>
      </c>
      <c r="B3615" s="211">
        <v>3431</v>
      </c>
      <c r="C3615" s="211" t="s">
        <v>10385</v>
      </c>
      <c r="D3615" s="211" t="s">
        <v>1255</v>
      </c>
      <c r="E3615" s="211" t="s">
        <v>10385</v>
      </c>
      <c r="F3615" s="211" t="s">
        <v>7629</v>
      </c>
    </row>
    <row r="3616" spans="1:6">
      <c r="A3616" s="211" t="s">
        <v>9567</v>
      </c>
      <c r="B3616" s="211">
        <v>8447</v>
      </c>
      <c r="C3616" s="211">
        <v>993</v>
      </c>
      <c r="D3616" s="211" t="s">
        <v>1117</v>
      </c>
      <c r="E3616" s="211" t="s">
        <v>9568</v>
      </c>
      <c r="F3616" s="211" t="s">
        <v>7205</v>
      </c>
    </row>
    <row r="3617" spans="1:6">
      <c r="A3617" s="211" t="s">
        <v>4735</v>
      </c>
      <c r="B3617" s="211">
        <v>6447</v>
      </c>
      <c r="C3617" s="211">
        <v>749</v>
      </c>
      <c r="D3617" s="211" t="s">
        <v>1117</v>
      </c>
      <c r="E3617" s="211" t="s">
        <v>10385</v>
      </c>
      <c r="F3617" s="211" t="s">
        <v>7510</v>
      </c>
    </row>
    <row r="3618" spans="1:6">
      <c r="A3618" s="211" t="s">
        <v>155</v>
      </c>
      <c r="B3618" s="211">
        <v>4995</v>
      </c>
      <c r="C3618" s="211">
        <v>1703</v>
      </c>
      <c r="D3618" s="211" t="s">
        <v>1255</v>
      </c>
      <c r="E3618" s="211" t="s">
        <v>10385</v>
      </c>
      <c r="F3618" s="211" t="s">
        <v>7587</v>
      </c>
    </row>
    <row r="3619" spans="1:6">
      <c r="A3619" s="211" t="s">
        <v>156</v>
      </c>
      <c r="B3619" s="211">
        <v>4792</v>
      </c>
      <c r="C3619" s="211">
        <v>1931</v>
      </c>
      <c r="D3619" s="211" t="s">
        <v>1255</v>
      </c>
      <c r="E3619" s="211" t="s">
        <v>10385</v>
      </c>
      <c r="F3619" s="211" t="s">
        <v>7342</v>
      </c>
    </row>
    <row r="3620" spans="1:6">
      <c r="A3620" s="211" t="s">
        <v>5294</v>
      </c>
      <c r="B3620" s="211">
        <v>2186</v>
      </c>
      <c r="C3620" s="211">
        <v>786</v>
      </c>
      <c r="D3620" s="211" t="s">
        <v>1255</v>
      </c>
      <c r="E3620" s="211" t="s">
        <v>10385</v>
      </c>
      <c r="F3620" s="211" t="s">
        <v>7189</v>
      </c>
    </row>
    <row r="3621" spans="1:6">
      <c r="A3621" s="211" t="s">
        <v>5295</v>
      </c>
      <c r="B3621" s="211">
        <v>6892</v>
      </c>
      <c r="C3621" s="211">
        <v>995</v>
      </c>
      <c r="D3621" s="211" t="s">
        <v>1255</v>
      </c>
      <c r="E3621" s="211" t="s">
        <v>10385</v>
      </c>
      <c r="F3621" s="211" t="s">
        <v>7284</v>
      </c>
    </row>
    <row r="3622" spans="1:6">
      <c r="A3622" s="211" t="s">
        <v>8131</v>
      </c>
      <c r="B3622" s="211">
        <v>4111</v>
      </c>
      <c r="C3622" s="211">
        <v>809</v>
      </c>
      <c r="D3622" s="211" t="s">
        <v>1117</v>
      </c>
      <c r="E3622" s="211" t="s">
        <v>10385</v>
      </c>
      <c r="F3622" s="211" t="s">
        <v>7334</v>
      </c>
    </row>
    <row r="3623" spans="1:6">
      <c r="A3623" s="211" t="s">
        <v>157</v>
      </c>
      <c r="B3623" s="211">
        <v>7819</v>
      </c>
      <c r="C3623" s="211">
        <v>1610</v>
      </c>
      <c r="D3623" s="211" t="s">
        <v>1117</v>
      </c>
      <c r="E3623" s="211" t="s">
        <v>9569</v>
      </c>
      <c r="F3623" s="211" t="s">
        <v>7307</v>
      </c>
    </row>
    <row r="3624" spans="1:6">
      <c r="A3624" s="211" t="s">
        <v>8132</v>
      </c>
      <c r="B3624" s="211">
        <v>1911</v>
      </c>
      <c r="C3624" s="211" t="s">
        <v>10385</v>
      </c>
      <c r="D3624" s="211" t="s">
        <v>1255</v>
      </c>
      <c r="E3624" s="211" t="s">
        <v>10385</v>
      </c>
      <c r="F3624" s="211" t="s">
        <v>7219</v>
      </c>
    </row>
    <row r="3625" spans="1:6">
      <c r="A3625" s="211" t="s">
        <v>158</v>
      </c>
      <c r="B3625" s="211">
        <v>551</v>
      </c>
      <c r="C3625" s="211">
        <v>2160</v>
      </c>
      <c r="D3625" s="211" t="s">
        <v>1117</v>
      </c>
      <c r="E3625" s="211" t="s">
        <v>10385</v>
      </c>
      <c r="F3625" s="211" t="s">
        <v>7592</v>
      </c>
    </row>
    <row r="3626" spans="1:6">
      <c r="A3626" s="211" t="s">
        <v>6855</v>
      </c>
      <c r="B3626" s="211">
        <v>7752</v>
      </c>
      <c r="C3626" s="211">
        <v>769</v>
      </c>
      <c r="D3626" s="211" t="s">
        <v>1255</v>
      </c>
      <c r="E3626" s="211" t="s">
        <v>9570</v>
      </c>
      <c r="F3626" s="211" t="s">
        <v>7561</v>
      </c>
    </row>
    <row r="3627" spans="1:6">
      <c r="A3627" s="211" t="s">
        <v>9571</v>
      </c>
      <c r="B3627" s="211">
        <v>8181</v>
      </c>
      <c r="C3627" s="211">
        <v>1009</v>
      </c>
      <c r="D3627" s="211" t="s">
        <v>1255</v>
      </c>
      <c r="E3627" s="211" t="s">
        <v>9572</v>
      </c>
      <c r="F3627" s="211" t="s">
        <v>7561</v>
      </c>
    </row>
    <row r="3628" spans="1:6">
      <c r="A3628" s="211" t="s">
        <v>8133</v>
      </c>
      <c r="B3628" s="211">
        <v>659</v>
      </c>
      <c r="C3628" s="211" t="s">
        <v>10385</v>
      </c>
      <c r="D3628" s="211" t="s">
        <v>1255</v>
      </c>
      <c r="E3628" s="211" t="s">
        <v>10385</v>
      </c>
      <c r="F3628" s="211" t="s">
        <v>7356</v>
      </c>
    </row>
    <row r="3629" spans="1:6">
      <c r="A3629" s="211" t="s">
        <v>3059</v>
      </c>
      <c r="B3629" s="211">
        <v>6268</v>
      </c>
      <c r="C3629" s="211">
        <v>1119</v>
      </c>
      <c r="D3629" s="211" t="s">
        <v>1255</v>
      </c>
      <c r="E3629" s="211" t="s">
        <v>5911</v>
      </c>
      <c r="F3629" s="211" t="s">
        <v>9024</v>
      </c>
    </row>
    <row r="3630" spans="1:6">
      <c r="A3630" s="211" t="s">
        <v>8134</v>
      </c>
      <c r="B3630" s="211">
        <v>132</v>
      </c>
      <c r="C3630" s="211" t="s">
        <v>10385</v>
      </c>
      <c r="D3630" s="211" t="s">
        <v>1255</v>
      </c>
      <c r="E3630" s="211" t="s">
        <v>10385</v>
      </c>
      <c r="F3630" s="211" t="s">
        <v>7239</v>
      </c>
    </row>
    <row r="3631" spans="1:6">
      <c r="A3631" s="211" t="s">
        <v>5098</v>
      </c>
      <c r="B3631" s="211">
        <v>3208</v>
      </c>
      <c r="C3631" s="211">
        <v>1442</v>
      </c>
      <c r="D3631" s="211" t="s">
        <v>1255</v>
      </c>
      <c r="E3631" s="211" t="s">
        <v>10385</v>
      </c>
      <c r="F3631" s="211" t="s">
        <v>7189</v>
      </c>
    </row>
    <row r="3632" spans="1:6">
      <c r="A3632" s="211" t="s">
        <v>5099</v>
      </c>
      <c r="B3632" s="211">
        <v>3096</v>
      </c>
      <c r="C3632" s="211">
        <v>1068</v>
      </c>
      <c r="D3632" s="211" t="s">
        <v>1255</v>
      </c>
      <c r="E3632" s="211" t="s">
        <v>10385</v>
      </c>
      <c r="F3632" s="211" t="s">
        <v>7250</v>
      </c>
    </row>
    <row r="3633" spans="1:6">
      <c r="A3633" s="211" t="s">
        <v>5912</v>
      </c>
      <c r="B3633" s="211">
        <v>7141</v>
      </c>
      <c r="C3633" s="211">
        <v>1416</v>
      </c>
      <c r="D3633" s="211" t="s">
        <v>1255</v>
      </c>
      <c r="E3633" s="211" t="s">
        <v>6857</v>
      </c>
      <c r="F3633" s="211" t="s">
        <v>7429</v>
      </c>
    </row>
    <row r="3634" spans="1:6">
      <c r="A3634" s="211" t="s">
        <v>159</v>
      </c>
      <c r="B3634" s="211">
        <v>2907</v>
      </c>
      <c r="C3634" s="211">
        <v>378</v>
      </c>
      <c r="D3634" s="211" t="s">
        <v>1117</v>
      </c>
      <c r="E3634" s="211" t="s">
        <v>10385</v>
      </c>
      <c r="F3634" s="211" t="s">
        <v>7205</v>
      </c>
    </row>
    <row r="3635" spans="1:6">
      <c r="A3635" s="211" t="s">
        <v>8135</v>
      </c>
      <c r="B3635" s="211">
        <v>6451</v>
      </c>
      <c r="C3635" s="211">
        <v>2327</v>
      </c>
      <c r="D3635" s="211" t="s">
        <v>1255</v>
      </c>
      <c r="E3635" s="211" t="s">
        <v>6858</v>
      </c>
      <c r="F3635" s="211" t="s">
        <v>7573</v>
      </c>
    </row>
    <row r="3636" spans="1:6">
      <c r="A3636" s="211" t="s">
        <v>5371</v>
      </c>
      <c r="B3636" s="211">
        <v>5588</v>
      </c>
      <c r="C3636" s="211">
        <v>1644</v>
      </c>
      <c r="D3636" s="211" t="s">
        <v>1255</v>
      </c>
      <c r="E3636" s="211" t="s">
        <v>10385</v>
      </c>
      <c r="F3636" s="211" t="s">
        <v>7510</v>
      </c>
    </row>
    <row r="3637" spans="1:6">
      <c r="A3637" s="211" t="s">
        <v>8136</v>
      </c>
      <c r="B3637" s="211">
        <v>1685</v>
      </c>
      <c r="C3637" s="211">
        <v>1672</v>
      </c>
      <c r="D3637" s="211" t="s">
        <v>1255</v>
      </c>
      <c r="E3637" s="211" t="s">
        <v>10385</v>
      </c>
      <c r="F3637" s="211" t="s">
        <v>7459</v>
      </c>
    </row>
    <row r="3638" spans="1:6">
      <c r="A3638" s="211" t="s">
        <v>160</v>
      </c>
      <c r="B3638" s="211">
        <v>5844</v>
      </c>
      <c r="C3638" s="211">
        <v>1963</v>
      </c>
      <c r="D3638" s="211" t="s">
        <v>1117</v>
      </c>
      <c r="E3638" s="211" t="s">
        <v>9573</v>
      </c>
      <c r="F3638" s="211" t="s">
        <v>7587</v>
      </c>
    </row>
    <row r="3639" spans="1:6">
      <c r="A3639" s="211" t="s">
        <v>161</v>
      </c>
      <c r="B3639" s="211">
        <v>4434</v>
      </c>
      <c r="C3639" s="211">
        <v>1682</v>
      </c>
      <c r="D3639" s="211" t="s">
        <v>1255</v>
      </c>
      <c r="E3639" s="211" t="s">
        <v>10385</v>
      </c>
      <c r="F3639" s="211" t="s">
        <v>7320</v>
      </c>
    </row>
    <row r="3640" spans="1:6">
      <c r="A3640" s="211" t="s">
        <v>9574</v>
      </c>
      <c r="B3640" s="211">
        <v>8551</v>
      </c>
      <c r="C3640" s="211">
        <v>995</v>
      </c>
      <c r="D3640" s="211" t="s">
        <v>1255</v>
      </c>
      <c r="E3640" s="211" t="s">
        <v>10696</v>
      </c>
      <c r="F3640" s="211" t="s">
        <v>7377</v>
      </c>
    </row>
    <row r="3641" spans="1:6">
      <c r="A3641" s="211" t="s">
        <v>8137</v>
      </c>
      <c r="B3641" s="211">
        <v>360</v>
      </c>
      <c r="C3641" s="211" t="s">
        <v>10385</v>
      </c>
      <c r="D3641" s="211" t="s">
        <v>1255</v>
      </c>
      <c r="E3641" s="211" t="s">
        <v>10385</v>
      </c>
      <c r="F3641" s="211" t="s">
        <v>7173</v>
      </c>
    </row>
    <row r="3642" spans="1:6">
      <c r="A3642" s="211" t="s">
        <v>8138</v>
      </c>
      <c r="B3642" s="211">
        <v>19</v>
      </c>
      <c r="C3642" s="211" t="s">
        <v>10385</v>
      </c>
      <c r="D3642" s="211" t="s">
        <v>1255</v>
      </c>
      <c r="E3642" s="211" t="s">
        <v>10385</v>
      </c>
      <c r="F3642" s="211" t="s">
        <v>7196</v>
      </c>
    </row>
    <row r="3643" spans="1:6">
      <c r="A3643" s="211" t="s">
        <v>162</v>
      </c>
      <c r="B3643" s="211">
        <v>1250</v>
      </c>
      <c r="C3643" s="211">
        <v>1007</v>
      </c>
      <c r="D3643" s="211" t="s">
        <v>1117</v>
      </c>
      <c r="E3643" s="211" t="s">
        <v>10385</v>
      </c>
      <c r="F3643" s="211" t="s">
        <v>7261</v>
      </c>
    </row>
    <row r="3644" spans="1:6">
      <c r="A3644" s="211" t="s">
        <v>8139</v>
      </c>
      <c r="B3644" s="211">
        <v>528</v>
      </c>
      <c r="C3644" s="211" t="s">
        <v>10385</v>
      </c>
      <c r="D3644" s="211" t="s">
        <v>1255</v>
      </c>
      <c r="E3644" s="211" t="s">
        <v>10385</v>
      </c>
      <c r="F3644" s="211" t="s">
        <v>7356</v>
      </c>
    </row>
    <row r="3645" spans="1:6">
      <c r="A3645" s="211" t="s">
        <v>8140</v>
      </c>
      <c r="B3645" s="211">
        <v>150</v>
      </c>
      <c r="C3645" s="211" t="s">
        <v>10385</v>
      </c>
      <c r="D3645" s="211" t="s">
        <v>1255</v>
      </c>
      <c r="E3645" s="211" t="s">
        <v>10385</v>
      </c>
      <c r="F3645" s="211" t="s">
        <v>7306</v>
      </c>
    </row>
    <row r="3646" spans="1:6">
      <c r="A3646" s="211" t="s">
        <v>3060</v>
      </c>
      <c r="B3646" s="211">
        <v>6261</v>
      </c>
      <c r="C3646" s="211">
        <v>1306</v>
      </c>
      <c r="D3646" s="211" t="s">
        <v>1117</v>
      </c>
      <c r="E3646" s="211" t="s">
        <v>10385</v>
      </c>
      <c r="F3646" s="211" t="s">
        <v>7938</v>
      </c>
    </row>
    <row r="3647" spans="1:6">
      <c r="A3647" s="211" t="s">
        <v>8141</v>
      </c>
      <c r="B3647" s="211">
        <v>288</v>
      </c>
      <c r="C3647" s="211" t="s">
        <v>10385</v>
      </c>
      <c r="D3647" s="211" t="s">
        <v>1255</v>
      </c>
      <c r="E3647" s="211" t="s">
        <v>10385</v>
      </c>
      <c r="F3647" s="211" t="s">
        <v>7245</v>
      </c>
    </row>
    <row r="3648" spans="1:6">
      <c r="A3648" s="211" t="s">
        <v>163</v>
      </c>
      <c r="B3648" s="211">
        <v>1309</v>
      </c>
      <c r="C3648" s="211">
        <v>887</v>
      </c>
      <c r="D3648" s="211" t="s">
        <v>1255</v>
      </c>
      <c r="E3648" s="211" t="s">
        <v>10385</v>
      </c>
      <c r="F3648" s="211" t="s">
        <v>7510</v>
      </c>
    </row>
    <row r="3649" spans="1:6">
      <c r="A3649" s="211" t="s">
        <v>8142</v>
      </c>
      <c r="B3649" s="211">
        <v>4112</v>
      </c>
      <c r="C3649" s="211">
        <v>815</v>
      </c>
      <c r="D3649" s="211" t="s">
        <v>1117</v>
      </c>
      <c r="E3649" s="211" t="s">
        <v>6859</v>
      </c>
      <c r="F3649" s="211" t="s">
        <v>7356</v>
      </c>
    </row>
    <row r="3650" spans="1:6">
      <c r="A3650" s="211" t="s">
        <v>4905</v>
      </c>
      <c r="B3650" s="211">
        <v>3338</v>
      </c>
      <c r="C3650" s="211">
        <v>1597</v>
      </c>
      <c r="D3650" s="211" t="s">
        <v>1255</v>
      </c>
      <c r="E3650" s="211" t="s">
        <v>5100</v>
      </c>
      <c r="F3650" s="211" t="s">
        <v>7425</v>
      </c>
    </row>
    <row r="3651" spans="1:6">
      <c r="A3651" s="211" t="s">
        <v>8931</v>
      </c>
      <c r="B3651" s="211">
        <v>7751</v>
      </c>
      <c r="C3651" s="211">
        <v>821</v>
      </c>
      <c r="D3651" s="211" t="s">
        <v>1255</v>
      </c>
      <c r="E3651" s="211" t="s">
        <v>6856</v>
      </c>
      <c r="F3651" s="211" t="s">
        <v>7561</v>
      </c>
    </row>
    <row r="3652" spans="1:6">
      <c r="A3652" s="211" t="s">
        <v>8932</v>
      </c>
      <c r="B3652" s="211">
        <v>3545</v>
      </c>
      <c r="C3652" s="211" t="s">
        <v>10385</v>
      </c>
      <c r="D3652" s="211" t="s">
        <v>1255</v>
      </c>
      <c r="E3652" s="211" t="s">
        <v>10385</v>
      </c>
      <c r="F3652" s="211" t="s">
        <v>7212</v>
      </c>
    </row>
    <row r="3653" spans="1:6">
      <c r="A3653" s="211" t="s">
        <v>2898</v>
      </c>
      <c r="B3653" s="211">
        <v>2831</v>
      </c>
      <c r="C3653" s="211">
        <v>1021</v>
      </c>
      <c r="D3653" s="211" t="s">
        <v>1117</v>
      </c>
      <c r="E3653" s="211" t="s">
        <v>10385</v>
      </c>
      <c r="F3653" s="211" t="s">
        <v>7384</v>
      </c>
    </row>
    <row r="3654" spans="1:6">
      <c r="A3654" s="211" t="s">
        <v>8143</v>
      </c>
      <c r="B3654" s="211">
        <v>342</v>
      </c>
      <c r="C3654" s="211" t="s">
        <v>10385</v>
      </c>
      <c r="D3654" s="211" t="s">
        <v>1255</v>
      </c>
      <c r="E3654" s="211" t="s">
        <v>10385</v>
      </c>
      <c r="F3654" s="211" t="s">
        <v>7210</v>
      </c>
    </row>
    <row r="3655" spans="1:6">
      <c r="A3655" s="211" t="s">
        <v>164</v>
      </c>
      <c r="B3655" s="211">
        <v>4943</v>
      </c>
      <c r="C3655" s="211">
        <v>763</v>
      </c>
      <c r="D3655" s="211" t="s">
        <v>1255</v>
      </c>
      <c r="E3655" s="211" t="s">
        <v>10385</v>
      </c>
      <c r="F3655" s="211" t="s">
        <v>7508</v>
      </c>
    </row>
    <row r="3656" spans="1:6">
      <c r="A3656" s="211" t="s">
        <v>8144</v>
      </c>
      <c r="B3656" s="211">
        <v>5180</v>
      </c>
      <c r="C3656" s="211" t="s">
        <v>10385</v>
      </c>
      <c r="D3656" s="211" t="s">
        <v>1255</v>
      </c>
      <c r="E3656" s="211" t="s">
        <v>10385</v>
      </c>
      <c r="F3656" s="211" t="s">
        <v>7235</v>
      </c>
    </row>
    <row r="3657" spans="1:6">
      <c r="A3657" s="211" t="s">
        <v>10697</v>
      </c>
      <c r="B3657" s="211">
        <v>8616</v>
      </c>
      <c r="C3657" s="211">
        <v>1093</v>
      </c>
      <c r="D3657" s="211" t="s">
        <v>1255</v>
      </c>
      <c r="E3657" s="211" t="s">
        <v>10698</v>
      </c>
      <c r="F3657" s="211" t="s">
        <v>7490</v>
      </c>
    </row>
    <row r="3658" spans="1:6">
      <c r="A3658" s="211" t="s">
        <v>5101</v>
      </c>
      <c r="B3658" s="211">
        <v>6752</v>
      </c>
      <c r="C3658" s="211">
        <v>1081</v>
      </c>
      <c r="D3658" s="211" t="s">
        <v>1117</v>
      </c>
      <c r="E3658" s="211" t="s">
        <v>10385</v>
      </c>
      <c r="F3658" s="211" t="s">
        <v>7257</v>
      </c>
    </row>
    <row r="3659" spans="1:6">
      <c r="A3659" s="211" t="s">
        <v>165</v>
      </c>
      <c r="B3659" s="211">
        <v>1295</v>
      </c>
      <c r="C3659" s="211">
        <v>1226</v>
      </c>
      <c r="D3659" s="211" t="s">
        <v>1255</v>
      </c>
      <c r="E3659" s="211" t="s">
        <v>10385</v>
      </c>
      <c r="F3659" s="211" t="s">
        <v>7272</v>
      </c>
    </row>
    <row r="3660" spans="1:6">
      <c r="A3660" s="211" t="s">
        <v>9575</v>
      </c>
      <c r="B3660" s="211">
        <v>8500</v>
      </c>
      <c r="C3660" s="211">
        <v>1007</v>
      </c>
      <c r="D3660" s="211" t="s">
        <v>1255</v>
      </c>
      <c r="E3660" s="211" t="s">
        <v>10385</v>
      </c>
      <c r="F3660" s="211" t="s">
        <v>9044</v>
      </c>
    </row>
    <row r="3661" spans="1:6">
      <c r="A3661" s="211" t="s">
        <v>4589</v>
      </c>
      <c r="B3661" s="211">
        <v>4662</v>
      </c>
      <c r="C3661" s="211">
        <v>1336</v>
      </c>
      <c r="D3661" s="211" t="s">
        <v>1255</v>
      </c>
      <c r="E3661" s="211" t="s">
        <v>5102</v>
      </c>
      <c r="F3661" s="211" t="s">
        <v>7231</v>
      </c>
    </row>
    <row r="3662" spans="1:6">
      <c r="A3662" s="211" t="s">
        <v>166</v>
      </c>
      <c r="B3662" s="211">
        <v>3420</v>
      </c>
      <c r="C3662" s="211">
        <v>1988</v>
      </c>
      <c r="D3662" s="211" t="s">
        <v>1117</v>
      </c>
      <c r="E3662" s="211" t="s">
        <v>10385</v>
      </c>
      <c r="F3662" s="211" t="s">
        <v>7205</v>
      </c>
    </row>
    <row r="3663" spans="1:6">
      <c r="A3663" s="211" t="s">
        <v>167</v>
      </c>
      <c r="B3663" s="211">
        <v>2984</v>
      </c>
      <c r="C3663" s="211">
        <v>1986</v>
      </c>
      <c r="D3663" s="211" t="s">
        <v>1255</v>
      </c>
      <c r="E3663" s="211" t="s">
        <v>10385</v>
      </c>
      <c r="F3663" s="211" t="s">
        <v>7307</v>
      </c>
    </row>
    <row r="3664" spans="1:6">
      <c r="A3664" s="211" t="s">
        <v>168</v>
      </c>
      <c r="B3664" s="211">
        <v>3575</v>
      </c>
      <c r="C3664" s="211">
        <v>1081</v>
      </c>
      <c r="D3664" s="211" t="s">
        <v>1117</v>
      </c>
      <c r="E3664" s="211" t="s">
        <v>10385</v>
      </c>
      <c r="F3664" s="211" t="s">
        <v>7308</v>
      </c>
    </row>
    <row r="3665" spans="1:6">
      <c r="A3665" s="211" t="s">
        <v>169</v>
      </c>
      <c r="B3665" s="211">
        <v>5969</v>
      </c>
      <c r="C3665" s="211">
        <v>1794</v>
      </c>
      <c r="D3665" s="211" t="s">
        <v>1255</v>
      </c>
      <c r="E3665" s="211" t="s">
        <v>10385</v>
      </c>
      <c r="F3665" s="211" t="s">
        <v>7307</v>
      </c>
    </row>
    <row r="3666" spans="1:6">
      <c r="A3666" s="211" t="s">
        <v>170</v>
      </c>
      <c r="B3666" s="211">
        <v>2462</v>
      </c>
      <c r="C3666" s="211">
        <v>1726</v>
      </c>
      <c r="D3666" s="211" t="s">
        <v>1255</v>
      </c>
      <c r="E3666" s="211" t="s">
        <v>10385</v>
      </c>
      <c r="F3666" s="211" t="s">
        <v>7201</v>
      </c>
    </row>
    <row r="3667" spans="1:6">
      <c r="A3667" s="211" t="s">
        <v>4496</v>
      </c>
      <c r="B3667" s="211">
        <v>6584</v>
      </c>
      <c r="C3667" s="211">
        <v>1600</v>
      </c>
      <c r="D3667" s="211" t="s">
        <v>1255</v>
      </c>
      <c r="E3667" s="211" t="s">
        <v>6860</v>
      </c>
      <c r="F3667" s="211" t="s">
        <v>7386</v>
      </c>
    </row>
    <row r="3668" spans="1:6">
      <c r="A3668" s="211" t="s">
        <v>171</v>
      </c>
      <c r="B3668" s="211">
        <v>2960</v>
      </c>
      <c r="C3668" s="211">
        <v>997</v>
      </c>
      <c r="D3668" s="211" t="s">
        <v>1117</v>
      </c>
      <c r="E3668" s="211" t="s">
        <v>10385</v>
      </c>
      <c r="F3668" s="211" t="s">
        <v>7308</v>
      </c>
    </row>
    <row r="3669" spans="1:6">
      <c r="A3669" s="211" t="s">
        <v>5913</v>
      </c>
      <c r="B3669" s="211">
        <v>7095</v>
      </c>
      <c r="C3669" s="211">
        <v>1224</v>
      </c>
      <c r="D3669" s="211" t="s">
        <v>1255</v>
      </c>
      <c r="E3669" s="211" t="s">
        <v>6746</v>
      </c>
      <c r="F3669" s="211" t="s">
        <v>7511</v>
      </c>
    </row>
    <row r="3670" spans="1:6">
      <c r="A3670" s="211" t="s">
        <v>10699</v>
      </c>
      <c r="B3670" s="211">
        <v>8645</v>
      </c>
      <c r="C3670" s="211">
        <v>973</v>
      </c>
      <c r="D3670" s="211" t="s">
        <v>1255</v>
      </c>
      <c r="E3670" s="211" t="s">
        <v>10700</v>
      </c>
      <c r="F3670" s="211" t="s">
        <v>7242</v>
      </c>
    </row>
    <row r="3671" spans="1:6">
      <c r="A3671" s="211" t="s">
        <v>9576</v>
      </c>
      <c r="B3671" s="211">
        <v>8058</v>
      </c>
      <c r="C3671" s="211">
        <v>743</v>
      </c>
      <c r="D3671" s="211" t="s">
        <v>1255</v>
      </c>
      <c r="E3671" s="211" t="s">
        <v>9577</v>
      </c>
      <c r="F3671" s="211" t="s">
        <v>7430</v>
      </c>
    </row>
    <row r="3672" spans="1:6">
      <c r="A3672" s="211" t="s">
        <v>8145</v>
      </c>
      <c r="B3672" s="211">
        <v>956</v>
      </c>
      <c r="C3672" s="211" t="s">
        <v>10385</v>
      </c>
      <c r="D3672" s="211" t="s">
        <v>1255</v>
      </c>
      <c r="E3672" s="211" t="s">
        <v>10385</v>
      </c>
      <c r="F3672" s="211" t="s">
        <v>7692</v>
      </c>
    </row>
    <row r="3673" spans="1:6">
      <c r="A3673" s="211" t="s">
        <v>172</v>
      </c>
      <c r="B3673" s="211">
        <v>843</v>
      </c>
      <c r="C3673" s="211">
        <v>1402</v>
      </c>
      <c r="D3673" s="211" t="s">
        <v>1255</v>
      </c>
      <c r="E3673" s="211" t="s">
        <v>10385</v>
      </c>
      <c r="F3673" s="211" t="s">
        <v>7242</v>
      </c>
    </row>
    <row r="3674" spans="1:6">
      <c r="A3674" s="211" t="s">
        <v>4714</v>
      </c>
      <c r="B3674" s="211">
        <v>6227</v>
      </c>
      <c r="C3674" s="211">
        <v>1274</v>
      </c>
      <c r="D3674" s="211" t="s">
        <v>1255</v>
      </c>
      <c r="E3674" s="211" t="s">
        <v>6861</v>
      </c>
      <c r="F3674" s="211" t="s">
        <v>7223</v>
      </c>
    </row>
    <row r="3675" spans="1:6">
      <c r="A3675" s="211" t="s">
        <v>10701</v>
      </c>
      <c r="B3675" s="211">
        <v>8582</v>
      </c>
      <c r="C3675" s="211">
        <v>965</v>
      </c>
      <c r="D3675" s="211" t="s">
        <v>1255</v>
      </c>
      <c r="E3675" s="211" t="s">
        <v>10702</v>
      </c>
      <c r="F3675" s="211" t="s">
        <v>10413</v>
      </c>
    </row>
    <row r="3676" spans="1:6">
      <c r="A3676" s="211" t="s">
        <v>5914</v>
      </c>
      <c r="B3676" s="211">
        <v>7403</v>
      </c>
      <c r="C3676" s="211">
        <v>1275</v>
      </c>
      <c r="D3676" s="211" t="s">
        <v>1255</v>
      </c>
      <c r="E3676" s="211" t="s">
        <v>10703</v>
      </c>
      <c r="F3676" s="211" t="s">
        <v>7304</v>
      </c>
    </row>
    <row r="3677" spans="1:6">
      <c r="A3677" s="211" t="s">
        <v>173</v>
      </c>
      <c r="B3677" s="211">
        <v>3767</v>
      </c>
      <c r="C3677" s="211">
        <v>980</v>
      </c>
      <c r="D3677" s="211" t="s">
        <v>1255</v>
      </c>
      <c r="E3677" s="211" t="s">
        <v>10385</v>
      </c>
      <c r="F3677" s="211" t="s">
        <v>8146</v>
      </c>
    </row>
    <row r="3678" spans="1:6">
      <c r="A3678" s="211" t="s">
        <v>8147</v>
      </c>
      <c r="B3678" s="211">
        <v>692</v>
      </c>
      <c r="C3678" s="211" t="s">
        <v>10385</v>
      </c>
      <c r="D3678" s="211" t="s">
        <v>1255</v>
      </c>
      <c r="E3678" s="211" t="s">
        <v>10385</v>
      </c>
      <c r="F3678" s="211" t="s">
        <v>7592</v>
      </c>
    </row>
    <row r="3679" spans="1:6">
      <c r="A3679" s="211" t="s">
        <v>8148</v>
      </c>
      <c r="B3679" s="211">
        <v>2408</v>
      </c>
      <c r="C3679" s="211" t="s">
        <v>10385</v>
      </c>
      <c r="D3679" s="211" t="s">
        <v>1255</v>
      </c>
      <c r="E3679" s="211" t="s">
        <v>10385</v>
      </c>
      <c r="F3679" s="211" t="s">
        <v>7344</v>
      </c>
    </row>
    <row r="3680" spans="1:6">
      <c r="A3680" s="211" t="s">
        <v>174</v>
      </c>
      <c r="B3680" s="211">
        <v>2072</v>
      </c>
      <c r="C3680" s="211">
        <v>791</v>
      </c>
      <c r="D3680" s="211" t="s">
        <v>1255</v>
      </c>
      <c r="E3680" s="211" t="s">
        <v>10385</v>
      </c>
      <c r="F3680" s="211" t="s">
        <v>7757</v>
      </c>
    </row>
    <row r="3681" spans="1:6">
      <c r="A3681" s="211" t="s">
        <v>10704</v>
      </c>
      <c r="B3681" s="211">
        <v>8581</v>
      </c>
      <c r="C3681" s="211">
        <v>1901</v>
      </c>
      <c r="D3681" s="211" t="s">
        <v>1255</v>
      </c>
      <c r="E3681" s="211" t="s">
        <v>10705</v>
      </c>
      <c r="F3681" s="211" t="s">
        <v>10413</v>
      </c>
    </row>
    <row r="3682" spans="1:6">
      <c r="A3682" s="211" t="s">
        <v>8149</v>
      </c>
      <c r="B3682" s="211">
        <v>7871</v>
      </c>
      <c r="C3682" s="211">
        <v>694</v>
      </c>
      <c r="D3682" s="211" t="s">
        <v>1255</v>
      </c>
      <c r="E3682" s="211" t="s">
        <v>9578</v>
      </c>
      <c r="F3682" s="211" t="s">
        <v>7349</v>
      </c>
    </row>
    <row r="3683" spans="1:6">
      <c r="A3683" s="211" t="s">
        <v>8150</v>
      </c>
      <c r="B3683" s="211">
        <v>55</v>
      </c>
      <c r="C3683" s="211" t="s">
        <v>10385</v>
      </c>
      <c r="D3683" s="211" t="s">
        <v>1255</v>
      </c>
      <c r="E3683" s="211" t="s">
        <v>10385</v>
      </c>
      <c r="F3683" s="211" t="s">
        <v>7231</v>
      </c>
    </row>
    <row r="3684" spans="1:6">
      <c r="A3684" s="211" t="s">
        <v>8151</v>
      </c>
      <c r="B3684" s="211">
        <v>7870</v>
      </c>
      <c r="C3684" s="211">
        <v>739</v>
      </c>
      <c r="D3684" s="211" t="s">
        <v>1255</v>
      </c>
      <c r="E3684" s="211" t="s">
        <v>9579</v>
      </c>
      <c r="F3684" s="211" t="s">
        <v>7349</v>
      </c>
    </row>
    <row r="3685" spans="1:6">
      <c r="A3685" s="211" t="s">
        <v>175</v>
      </c>
      <c r="B3685" s="211">
        <v>2361</v>
      </c>
      <c r="C3685" s="211">
        <v>1044</v>
      </c>
      <c r="D3685" s="211" t="s">
        <v>1255</v>
      </c>
      <c r="E3685" s="211" t="s">
        <v>10385</v>
      </c>
      <c r="F3685" s="211" t="s">
        <v>7422</v>
      </c>
    </row>
    <row r="3686" spans="1:6">
      <c r="A3686" s="211" t="s">
        <v>8152</v>
      </c>
      <c r="B3686" s="211">
        <v>7836</v>
      </c>
      <c r="C3686" s="211" t="s">
        <v>10385</v>
      </c>
      <c r="D3686" s="211" t="s">
        <v>1117</v>
      </c>
      <c r="E3686" s="211" t="s">
        <v>10385</v>
      </c>
      <c r="F3686" s="211" t="s">
        <v>7623</v>
      </c>
    </row>
    <row r="3687" spans="1:6">
      <c r="A3687" s="211" t="s">
        <v>2864</v>
      </c>
      <c r="B3687" s="211">
        <v>2824</v>
      </c>
      <c r="C3687" s="211">
        <v>991</v>
      </c>
      <c r="D3687" s="211" t="s">
        <v>1117</v>
      </c>
      <c r="E3687" s="211" t="s">
        <v>10385</v>
      </c>
      <c r="F3687" s="211" t="s">
        <v>7510</v>
      </c>
    </row>
    <row r="3688" spans="1:6">
      <c r="A3688" s="211" t="s">
        <v>4611</v>
      </c>
      <c r="B3688" s="211">
        <v>6510</v>
      </c>
      <c r="C3688" s="211">
        <v>597</v>
      </c>
      <c r="D3688" s="211" t="s">
        <v>1117</v>
      </c>
      <c r="E3688" s="211" t="s">
        <v>10385</v>
      </c>
      <c r="F3688" s="211" t="s">
        <v>7207</v>
      </c>
    </row>
    <row r="3689" spans="1:6">
      <c r="A3689" s="211" t="s">
        <v>4542</v>
      </c>
      <c r="B3689" s="211">
        <v>6573</v>
      </c>
      <c r="C3689" s="211">
        <v>1227</v>
      </c>
      <c r="D3689" s="211" t="s">
        <v>1255</v>
      </c>
      <c r="E3689" s="211" t="s">
        <v>6862</v>
      </c>
      <c r="F3689" s="211" t="s">
        <v>7425</v>
      </c>
    </row>
    <row r="3690" spans="1:6">
      <c r="A3690" s="211" t="s">
        <v>176</v>
      </c>
      <c r="B3690" s="211">
        <v>2920</v>
      </c>
      <c r="C3690" s="211">
        <v>1261</v>
      </c>
      <c r="D3690" s="211" t="s">
        <v>1255</v>
      </c>
      <c r="E3690" s="211" t="s">
        <v>10385</v>
      </c>
      <c r="F3690" s="211" t="s">
        <v>7308</v>
      </c>
    </row>
    <row r="3691" spans="1:6">
      <c r="A3691" s="211" t="s">
        <v>177</v>
      </c>
      <c r="B3691" s="211">
        <v>2785</v>
      </c>
      <c r="C3691" s="211">
        <v>1726</v>
      </c>
      <c r="D3691" s="211" t="s">
        <v>1255</v>
      </c>
      <c r="E3691" s="211" t="s">
        <v>10385</v>
      </c>
      <c r="F3691" s="211" t="s">
        <v>7344</v>
      </c>
    </row>
    <row r="3692" spans="1:6">
      <c r="A3692" s="211" t="s">
        <v>178</v>
      </c>
      <c r="B3692" s="211">
        <v>31</v>
      </c>
      <c r="C3692" s="211">
        <v>1855</v>
      </c>
      <c r="D3692" s="211" t="s">
        <v>1255</v>
      </c>
      <c r="E3692" s="211" t="s">
        <v>10385</v>
      </c>
      <c r="F3692" s="211" t="s">
        <v>7199</v>
      </c>
    </row>
    <row r="3693" spans="1:6">
      <c r="A3693" s="211" t="s">
        <v>4590</v>
      </c>
      <c r="B3693" s="211">
        <v>6038</v>
      </c>
      <c r="C3693" s="211">
        <v>1241</v>
      </c>
      <c r="D3693" s="211" t="s">
        <v>1255</v>
      </c>
      <c r="E3693" s="211" t="s">
        <v>10385</v>
      </c>
      <c r="F3693" s="211" t="s">
        <v>7231</v>
      </c>
    </row>
    <row r="3694" spans="1:6">
      <c r="A3694" s="211" t="s">
        <v>5915</v>
      </c>
      <c r="B3694" s="211">
        <v>7602</v>
      </c>
      <c r="C3694" s="211">
        <v>759</v>
      </c>
      <c r="D3694" s="211" t="s">
        <v>1255</v>
      </c>
      <c r="E3694" s="211" t="s">
        <v>10385</v>
      </c>
      <c r="F3694" s="211" t="s">
        <v>7414</v>
      </c>
    </row>
    <row r="3695" spans="1:6">
      <c r="A3695" s="211" t="s">
        <v>9580</v>
      </c>
      <c r="B3695" s="211">
        <v>8101</v>
      </c>
      <c r="C3695" s="211">
        <v>1208</v>
      </c>
      <c r="D3695" s="211" t="s">
        <v>1255</v>
      </c>
      <c r="E3695" s="211" t="s">
        <v>9581</v>
      </c>
      <c r="F3695" s="211" t="s">
        <v>9056</v>
      </c>
    </row>
    <row r="3696" spans="1:6">
      <c r="A3696" s="211" t="s">
        <v>9582</v>
      </c>
      <c r="B3696" s="211">
        <v>7364</v>
      </c>
      <c r="C3696" s="211">
        <v>1947</v>
      </c>
      <c r="D3696" s="211" t="s">
        <v>1117</v>
      </c>
      <c r="E3696" s="211" t="s">
        <v>6863</v>
      </c>
      <c r="F3696" s="211" t="s">
        <v>7238</v>
      </c>
    </row>
    <row r="3697" spans="1:6">
      <c r="A3697" s="211" t="s">
        <v>5916</v>
      </c>
      <c r="B3697" s="211">
        <v>7356</v>
      </c>
      <c r="C3697" s="211">
        <v>1234</v>
      </c>
      <c r="D3697" s="211" t="s">
        <v>1255</v>
      </c>
      <c r="E3697" s="211" t="s">
        <v>6864</v>
      </c>
      <c r="F3697" s="211" t="s">
        <v>7238</v>
      </c>
    </row>
    <row r="3698" spans="1:6">
      <c r="A3698" s="211" t="s">
        <v>179</v>
      </c>
      <c r="B3698" s="211">
        <v>5580</v>
      </c>
      <c r="C3698" s="211">
        <v>1129</v>
      </c>
      <c r="D3698" s="211" t="s">
        <v>1255</v>
      </c>
      <c r="E3698" s="211" t="s">
        <v>6864</v>
      </c>
      <c r="F3698" s="211" t="s">
        <v>7238</v>
      </c>
    </row>
    <row r="3699" spans="1:6">
      <c r="A3699" s="211" t="s">
        <v>5103</v>
      </c>
      <c r="B3699" s="211">
        <v>6881</v>
      </c>
      <c r="C3699" s="211">
        <v>898</v>
      </c>
      <c r="D3699" s="211" t="s">
        <v>1255</v>
      </c>
      <c r="E3699" s="211" t="s">
        <v>10385</v>
      </c>
      <c r="F3699" s="211" t="s">
        <v>7536</v>
      </c>
    </row>
    <row r="3700" spans="1:6">
      <c r="A3700" s="211" t="s">
        <v>6865</v>
      </c>
      <c r="B3700" s="211">
        <v>7827</v>
      </c>
      <c r="C3700" s="211">
        <v>1820</v>
      </c>
      <c r="D3700" s="211" t="s">
        <v>1255</v>
      </c>
      <c r="E3700" s="211" t="s">
        <v>10385</v>
      </c>
      <c r="F3700" s="211" t="s">
        <v>7246</v>
      </c>
    </row>
    <row r="3701" spans="1:6">
      <c r="A3701" s="211" t="s">
        <v>180</v>
      </c>
      <c r="B3701" s="211">
        <v>5037</v>
      </c>
      <c r="C3701" s="211">
        <v>943</v>
      </c>
      <c r="D3701" s="211" t="s">
        <v>1255</v>
      </c>
      <c r="E3701" s="211" t="s">
        <v>10385</v>
      </c>
      <c r="F3701" s="211" t="s">
        <v>7165</v>
      </c>
    </row>
    <row r="3702" spans="1:6">
      <c r="A3702" s="211" t="s">
        <v>181</v>
      </c>
      <c r="B3702" s="211">
        <v>2646</v>
      </c>
      <c r="C3702" s="211">
        <v>834</v>
      </c>
      <c r="D3702" s="211" t="s">
        <v>1255</v>
      </c>
      <c r="E3702" s="211" t="s">
        <v>10385</v>
      </c>
      <c r="F3702" s="211" t="s">
        <v>7219</v>
      </c>
    </row>
    <row r="3703" spans="1:6">
      <c r="A3703" s="211" t="s">
        <v>182</v>
      </c>
      <c r="B3703" s="211">
        <v>1372</v>
      </c>
      <c r="C3703" s="211">
        <v>1179</v>
      </c>
      <c r="D3703" s="211" t="s">
        <v>1255</v>
      </c>
      <c r="E3703" s="211" t="s">
        <v>10385</v>
      </c>
      <c r="F3703" s="211" t="s">
        <v>7386</v>
      </c>
    </row>
    <row r="3704" spans="1:6">
      <c r="A3704" s="211" t="s">
        <v>5917</v>
      </c>
      <c r="B3704" s="211">
        <v>7210</v>
      </c>
      <c r="C3704" s="211">
        <v>1569</v>
      </c>
      <c r="D3704" s="211" t="s">
        <v>1255</v>
      </c>
      <c r="E3704" s="211" t="s">
        <v>9583</v>
      </c>
      <c r="F3704" s="211" t="s">
        <v>7272</v>
      </c>
    </row>
    <row r="3705" spans="1:6">
      <c r="A3705" s="211" t="s">
        <v>4782</v>
      </c>
      <c r="B3705" s="211">
        <v>6180</v>
      </c>
      <c r="C3705" s="211">
        <v>715</v>
      </c>
      <c r="D3705" s="211" t="s">
        <v>1117</v>
      </c>
      <c r="E3705" s="211" t="s">
        <v>10385</v>
      </c>
      <c r="F3705" s="211" t="s">
        <v>7173</v>
      </c>
    </row>
    <row r="3706" spans="1:6">
      <c r="A3706" s="211" t="s">
        <v>5918</v>
      </c>
      <c r="B3706" s="211">
        <v>7228</v>
      </c>
      <c r="C3706" s="211">
        <v>780</v>
      </c>
      <c r="D3706" s="211" t="s">
        <v>1117</v>
      </c>
      <c r="E3706" s="211" t="s">
        <v>10385</v>
      </c>
      <c r="F3706" s="211" t="s">
        <v>7629</v>
      </c>
    </row>
    <row r="3707" spans="1:6">
      <c r="A3707" s="211" t="s">
        <v>183</v>
      </c>
      <c r="B3707" s="211">
        <v>1825</v>
      </c>
      <c r="C3707" s="211">
        <v>1323</v>
      </c>
      <c r="D3707" s="211" t="s">
        <v>1255</v>
      </c>
      <c r="E3707" s="211" t="s">
        <v>184</v>
      </c>
      <c r="F3707" s="211" t="s">
        <v>7249</v>
      </c>
    </row>
    <row r="3708" spans="1:6">
      <c r="A3708" s="211" t="s">
        <v>185</v>
      </c>
      <c r="B3708" s="211">
        <v>2363</v>
      </c>
      <c r="C3708" s="211">
        <v>821</v>
      </c>
      <c r="D3708" s="211" t="s">
        <v>1117</v>
      </c>
      <c r="E3708" s="211" t="s">
        <v>10385</v>
      </c>
      <c r="F3708" s="211" t="s">
        <v>7262</v>
      </c>
    </row>
    <row r="3709" spans="1:6">
      <c r="A3709" s="211" t="s">
        <v>2909</v>
      </c>
      <c r="B3709" s="211">
        <v>2343</v>
      </c>
      <c r="C3709" s="211">
        <v>1762</v>
      </c>
      <c r="D3709" s="211" t="s">
        <v>1255</v>
      </c>
      <c r="E3709" s="211" t="s">
        <v>10385</v>
      </c>
      <c r="F3709" s="211" t="s">
        <v>7380</v>
      </c>
    </row>
    <row r="3710" spans="1:6">
      <c r="A3710" s="211" t="s">
        <v>186</v>
      </c>
      <c r="B3710" s="211">
        <v>5629</v>
      </c>
      <c r="C3710" s="211">
        <v>2014</v>
      </c>
      <c r="D3710" s="211" t="s">
        <v>1255</v>
      </c>
      <c r="E3710" s="211" t="s">
        <v>5919</v>
      </c>
      <c r="F3710" s="211" t="s">
        <v>7587</v>
      </c>
    </row>
    <row r="3711" spans="1:6">
      <c r="A3711" s="211" t="s">
        <v>187</v>
      </c>
      <c r="B3711" s="211">
        <v>2889</v>
      </c>
      <c r="C3711" s="211">
        <v>2023</v>
      </c>
      <c r="D3711" s="211" t="s">
        <v>1255</v>
      </c>
      <c r="E3711" s="211" t="s">
        <v>10385</v>
      </c>
      <c r="F3711" s="211" t="s">
        <v>7272</v>
      </c>
    </row>
    <row r="3712" spans="1:6">
      <c r="A3712" s="211" t="s">
        <v>188</v>
      </c>
      <c r="B3712" s="211">
        <v>5272</v>
      </c>
      <c r="C3712" s="211">
        <v>1129</v>
      </c>
      <c r="D3712" s="211" t="s">
        <v>1255</v>
      </c>
      <c r="E3712" s="211" t="s">
        <v>10385</v>
      </c>
      <c r="F3712" s="211" t="s">
        <v>7240</v>
      </c>
    </row>
    <row r="3713" spans="1:6">
      <c r="A3713" s="211" t="s">
        <v>6866</v>
      </c>
      <c r="B3713" s="211">
        <v>7661</v>
      </c>
      <c r="C3713" s="211">
        <v>886</v>
      </c>
      <c r="D3713" s="211" t="s">
        <v>1255</v>
      </c>
      <c r="E3713" s="211" t="s">
        <v>6867</v>
      </c>
      <c r="F3713" s="211" t="s">
        <v>7292</v>
      </c>
    </row>
    <row r="3714" spans="1:6">
      <c r="A3714" s="211" t="s">
        <v>189</v>
      </c>
      <c r="B3714" s="211">
        <v>1795</v>
      </c>
      <c r="C3714" s="211">
        <v>1881</v>
      </c>
      <c r="D3714" s="211" t="s">
        <v>1255</v>
      </c>
      <c r="E3714" s="211" t="s">
        <v>10385</v>
      </c>
      <c r="F3714" s="211" t="s">
        <v>7232</v>
      </c>
    </row>
    <row r="3715" spans="1:6">
      <c r="A3715" s="211" t="s">
        <v>9584</v>
      </c>
      <c r="B3715" s="211">
        <v>7941</v>
      </c>
      <c r="C3715" s="211">
        <v>1202</v>
      </c>
      <c r="D3715" s="211" t="s">
        <v>1255</v>
      </c>
      <c r="E3715" s="211" t="s">
        <v>9585</v>
      </c>
      <c r="F3715" s="211" t="s">
        <v>7288</v>
      </c>
    </row>
    <row r="3716" spans="1:6">
      <c r="A3716" s="211" t="s">
        <v>190</v>
      </c>
      <c r="B3716" s="211">
        <v>3199</v>
      </c>
      <c r="C3716" s="211">
        <v>965</v>
      </c>
      <c r="D3716" s="211" t="s">
        <v>1255</v>
      </c>
      <c r="E3716" s="211" t="s">
        <v>10385</v>
      </c>
      <c r="F3716" s="211" t="s">
        <v>7393</v>
      </c>
    </row>
    <row r="3717" spans="1:6">
      <c r="A3717" s="211" t="s">
        <v>5328</v>
      </c>
      <c r="B3717" s="211">
        <v>6306</v>
      </c>
      <c r="C3717" s="211">
        <v>1256</v>
      </c>
      <c r="D3717" s="211" t="s">
        <v>1255</v>
      </c>
      <c r="E3717" s="211" t="s">
        <v>10385</v>
      </c>
      <c r="F3717" s="211" t="s">
        <v>7219</v>
      </c>
    </row>
    <row r="3718" spans="1:6">
      <c r="A3718" s="211" t="s">
        <v>8153</v>
      </c>
      <c r="B3718" s="211">
        <v>3917</v>
      </c>
      <c r="C3718" s="211" t="s">
        <v>10385</v>
      </c>
      <c r="D3718" s="211" t="s">
        <v>1255</v>
      </c>
      <c r="E3718" s="211" t="s">
        <v>10385</v>
      </c>
      <c r="F3718" s="211" t="s">
        <v>7257</v>
      </c>
    </row>
    <row r="3719" spans="1:6">
      <c r="A3719" s="211" t="s">
        <v>9586</v>
      </c>
      <c r="B3719" s="211">
        <v>7934</v>
      </c>
      <c r="C3719" s="211">
        <v>993</v>
      </c>
      <c r="D3719" s="211" t="s">
        <v>1255</v>
      </c>
      <c r="E3719" s="211" t="s">
        <v>6867</v>
      </c>
      <c r="F3719" s="211" t="s">
        <v>7292</v>
      </c>
    </row>
    <row r="3720" spans="1:6">
      <c r="A3720" s="211" t="s">
        <v>8933</v>
      </c>
      <c r="B3720" s="211">
        <v>3885</v>
      </c>
      <c r="C3720" s="211">
        <v>1614</v>
      </c>
      <c r="D3720" s="211" t="s">
        <v>1255</v>
      </c>
      <c r="E3720" s="211" t="s">
        <v>10385</v>
      </c>
      <c r="F3720" s="211" t="s">
        <v>7337</v>
      </c>
    </row>
    <row r="3721" spans="1:6">
      <c r="A3721" s="211" t="s">
        <v>191</v>
      </c>
      <c r="B3721" s="211">
        <v>2577</v>
      </c>
      <c r="C3721" s="211">
        <v>932</v>
      </c>
      <c r="D3721" s="211" t="s">
        <v>1255</v>
      </c>
      <c r="E3721" s="211" t="s">
        <v>10385</v>
      </c>
      <c r="F3721" s="211" t="s">
        <v>7290</v>
      </c>
    </row>
    <row r="3722" spans="1:6">
      <c r="A3722" s="211" t="s">
        <v>8154</v>
      </c>
      <c r="B3722" s="211">
        <v>942</v>
      </c>
      <c r="C3722" s="211">
        <v>1247</v>
      </c>
      <c r="D3722" s="211" t="s">
        <v>1255</v>
      </c>
      <c r="E3722" s="211" t="s">
        <v>10385</v>
      </c>
      <c r="F3722" s="211" t="s">
        <v>7692</v>
      </c>
    </row>
    <row r="3723" spans="1:6">
      <c r="A3723" s="211" t="s">
        <v>8155</v>
      </c>
      <c r="B3723" s="211">
        <v>100</v>
      </c>
      <c r="C3723" s="211" t="s">
        <v>10385</v>
      </c>
      <c r="D3723" s="211" t="s">
        <v>1255</v>
      </c>
      <c r="E3723" s="211" t="s">
        <v>10385</v>
      </c>
      <c r="F3723" s="211" t="s">
        <v>7337</v>
      </c>
    </row>
    <row r="3724" spans="1:6">
      <c r="A3724" s="211" t="s">
        <v>192</v>
      </c>
      <c r="B3724" s="211">
        <v>788</v>
      </c>
      <c r="C3724" s="211">
        <v>1298</v>
      </c>
      <c r="D3724" s="211" t="s">
        <v>1255</v>
      </c>
      <c r="E3724" s="211" t="s">
        <v>10385</v>
      </c>
      <c r="F3724" s="211" t="s">
        <v>7232</v>
      </c>
    </row>
    <row r="3725" spans="1:6">
      <c r="A3725" s="211" t="s">
        <v>5920</v>
      </c>
      <c r="B3725" s="211">
        <v>7309</v>
      </c>
      <c r="C3725" s="211">
        <v>934</v>
      </c>
      <c r="D3725" s="211" t="s">
        <v>1255</v>
      </c>
      <c r="E3725" s="211" t="s">
        <v>10385</v>
      </c>
      <c r="F3725" s="211" t="s">
        <v>7490</v>
      </c>
    </row>
    <row r="3726" spans="1:6">
      <c r="A3726" s="211" t="s">
        <v>9587</v>
      </c>
      <c r="B3726" s="211">
        <v>7906</v>
      </c>
      <c r="C3726" s="211">
        <v>955</v>
      </c>
      <c r="D3726" s="211" t="s">
        <v>1255</v>
      </c>
      <c r="E3726" s="211" t="s">
        <v>9588</v>
      </c>
      <c r="F3726" s="211" t="s">
        <v>7223</v>
      </c>
    </row>
    <row r="3727" spans="1:6">
      <c r="A3727" s="211" t="s">
        <v>9589</v>
      </c>
      <c r="B3727" s="211">
        <v>8171</v>
      </c>
      <c r="C3727" s="211">
        <v>953</v>
      </c>
      <c r="D3727" s="211" t="s">
        <v>1117</v>
      </c>
      <c r="E3727" s="211" t="s">
        <v>9590</v>
      </c>
      <c r="F3727" s="211" t="s">
        <v>7373</v>
      </c>
    </row>
    <row r="3728" spans="1:6">
      <c r="A3728" s="211" t="s">
        <v>5104</v>
      </c>
      <c r="B3728" s="211">
        <v>6860</v>
      </c>
      <c r="C3728" s="211">
        <v>770</v>
      </c>
      <c r="D3728" s="211" t="s">
        <v>1255</v>
      </c>
      <c r="E3728" s="211" t="s">
        <v>6868</v>
      </c>
      <c r="F3728" s="211" t="s">
        <v>7438</v>
      </c>
    </row>
    <row r="3729" spans="1:6">
      <c r="A3729" s="211" t="s">
        <v>9591</v>
      </c>
      <c r="B3729" s="211">
        <v>8380</v>
      </c>
      <c r="C3729" s="211">
        <v>1009</v>
      </c>
      <c r="D3729" s="211" t="s">
        <v>1255</v>
      </c>
      <c r="E3729" s="211" t="s">
        <v>9592</v>
      </c>
      <c r="F3729" s="211" t="s">
        <v>7282</v>
      </c>
    </row>
    <row r="3730" spans="1:6">
      <c r="A3730" s="211" t="s">
        <v>193</v>
      </c>
      <c r="B3730" s="211">
        <v>2231</v>
      </c>
      <c r="C3730" s="211">
        <v>2081</v>
      </c>
      <c r="D3730" s="211" t="s">
        <v>1255</v>
      </c>
      <c r="E3730" s="211" t="s">
        <v>10385</v>
      </c>
      <c r="F3730" s="211" t="s">
        <v>7383</v>
      </c>
    </row>
    <row r="3731" spans="1:6">
      <c r="A3731" s="211" t="s">
        <v>194</v>
      </c>
      <c r="B3731" s="211">
        <v>1127</v>
      </c>
      <c r="C3731" s="211">
        <v>1462</v>
      </c>
      <c r="D3731" s="211" t="s">
        <v>1255</v>
      </c>
      <c r="E3731" s="211" t="s">
        <v>10385</v>
      </c>
      <c r="F3731" s="211" t="s">
        <v>7286</v>
      </c>
    </row>
    <row r="3732" spans="1:6">
      <c r="A3732" s="211" t="s">
        <v>9593</v>
      </c>
      <c r="B3732" s="211">
        <v>8226</v>
      </c>
      <c r="C3732" s="211" t="s">
        <v>10385</v>
      </c>
      <c r="D3732" s="211" t="s">
        <v>1255</v>
      </c>
      <c r="E3732" s="211" t="s">
        <v>9594</v>
      </c>
      <c r="F3732" s="211" t="s">
        <v>7386</v>
      </c>
    </row>
    <row r="3733" spans="1:6">
      <c r="A3733" s="211" t="s">
        <v>9595</v>
      </c>
      <c r="B3733" s="211">
        <v>8050</v>
      </c>
      <c r="C3733" s="211">
        <v>1002</v>
      </c>
      <c r="D3733" s="211" t="s">
        <v>1117</v>
      </c>
      <c r="E3733" s="211" t="s">
        <v>10706</v>
      </c>
      <c r="F3733" s="211" t="s">
        <v>7331</v>
      </c>
    </row>
    <row r="3734" spans="1:6">
      <c r="A3734" s="211" t="s">
        <v>8156</v>
      </c>
      <c r="B3734" s="211">
        <v>576</v>
      </c>
      <c r="C3734" s="211" t="s">
        <v>10385</v>
      </c>
      <c r="D3734" s="211" t="s">
        <v>1255</v>
      </c>
      <c r="E3734" s="211" t="s">
        <v>10385</v>
      </c>
      <c r="F3734" s="211" t="s">
        <v>7356</v>
      </c>
    </row>
    <row r="3735" spans="1:6">
      <c r="A3735" s="211" t="s">
        <v>6869</v>
      </c>
      <c r="B3735" s="211">
        <v>7763</v>
      </c>
      <c r="C3735" s="211">
        <v>1152</v>
      </c>
      <c r="D3735" s="211" t="s">
        <v>1255</v>
      </c>
      <c r="E3735" s="211" t="s">
        <v>6870</v>
      </c>
      <c r="F3735" s="211" t="s">
        <v>7265</v>
      </c>
    </row>
    <row r="3736" spans="1:6">
      <c r="A3736" s="211" t="s">
        <v>195</v>
      </c>
      <c r="B3736" s="211">
        <v>2126</v>
      </c>
      <c r="C3736" s="211">
        <v>1626</v>
      </c>
      <c r="D3736" s="211" t="s">
        <v>1255</v>
      </c>
      <c r="E3736" s="211" t="s">
        <v>9596</v>
      </c>
      <c r="F3736" s="211" t="s">
        <v>7205</v>
      </c>
    </row>
    <row r="3737" spans="1:6">
      <c r="A3737" s="211" t="s">
        <v>196</v>
      </c>
      <c r="B3737" s="211">
        <v>2731</v>
      </c>
      <c r="C3737" s="211">
        <v>896</v>
      </c>
      <c r="D3737" s="211" t="s">
        <v>1117</v>
      </c>
      <c r="E3737" s="211" t="s">
        <v>10385</v>
      </c>
      <c r="F3737" s="211" t="s">
        <v>7356</v>
      </c>
    </row>
    <row r="3738" spans="1:6">
      <c r="A3738" s="211" t="s">
        <v>10707</v>
      </c>
      <c r="B3738" s="211">
        <v>8679</v>
      </c>
      <c r="C3738" s="211">
        <v>1010</v>
      </c>
      <c r="D3738" s="211" t="s">
        <v>1117</v>
      </c>
      <c r="E3738" s="211" t="s">
        <v>10385</v>
      </c>
      <c r="F3738" s="211" t="s">
        <v>7414</v>
      </c>
    </row>
    <row r="3739" spans="1:6">
      <c r="A3739" s="211" t="s">
        <v>197</v>
      </c>
      <c r="B3739" s="211">
        <v>2131</v>
      </c>
      <c r="C3739" s="211">
        <v>935</v>
      </c>
      <c r="D3739" s="211" t="s">
        <v>1117</v>
      </c>
      <c r="E3739" s="211" t="s">
        <v>10385</v>
      </c>
      <c r="F3739" s="211" t="s">
        <v>7171</v>
      </c>
    </row>
    <row r="3740" spans="1:6">
      <c r="A3740" s="211" t="s">
        <v>3183</v>
      </c>
      <c r="B3740" s="211">
        <v>4753</v>
      </c>
      <c r="C3740" s="211">
        <v>1234</v>
      </c>
      <c r="D3740" s="211" t="s">
        <v>1255</v>
      </c>
      <c r="E3740" s="211" t="s">
        <v>10385</v>
      </c>
      <c r="F3740" s="211" t="s">
        <v>7186</v>
      </c>
    </row>
    <row r="3741" spans="1:6">
      <c r="A3741" s="211" t="s">
        <v>3184</v>
      </c>
      <c r="B3741" s="211">
        <v>4744</v>
      </c>
      <c r="C3741" s="211">
        <v>1343</v>
      </c>
      <c r="D3741" s="211" t="s">
        <v>1255</v>
      </c>
      <c r="E3741" s="211" t="s">
        <v>10385</v>
      </c>
      <c r="F3741" s="211" t="s">
        <v>7587</v>
      </c>
    </row>
    <row r="3742" spans="1:6">
      <c r="A3742" s="211" t="s">
        <v>3185</v>
      </c>
      <c r="B3742" s="211">
        <v>3936</v>
      </c>
      <c r="C3742" s="211">
        <v>822</v>
      </c>
      <c r="D3742" s="211" t="s">
        <v>1255</v>
      </c>
      <c r="E3742" s="211" t="s">
        <v>10385</v>
      </c>
      <c r="F3742" s="211" t="s">
        <v>7377</v>
      </c>
    </row>
    <row r="3743" spans="1:6">
      <c r="A3743" s="211" t="s">
        <v>4736</v>
      </c>
      <c r="B3743" s="211">
        <v>5985</v>
      </c>
      <c r="C3743" s="211">
        <v>723</v>
      </c>
      <c r="D3743" s="211" t="s">
        <v>1117</v>
      </c>
      <c r="E3743" s="211" t="s">
        <v>10385</v>
      </c>
      <c r="F3743" s="211" t="s">
        <v>7510</v>
      </c>
    </row>
    <row r="3744" spans="1:6">
      <c r="A3744" s="211" t="s">
        <v>3186</v>
      </c>
      <c r="B3744" s="211">
        <v>3020</v>
      </c>
      <c r="C3744" s="211">
        <v>1171</v>
      </c>
      <c r="D3744" s="211" t="s">
        <v>1255</v>
      </c>
      <c r="E3744" s="211" t="s">
        <v>10385</v>
      </c>
      <c r="F3744" s="211" t="s">
        <v>7192</v>
      </c>
    </row>
    <row r="3745" spans="1:6">
      <c r="A3745" s="211" t="s">
        <v>3187</v>
      </c>
      <c r="B3745" s="211">
        <v>4508</v>
      </c>
      <c r="C3745" s="211">
        <v>1203</v>
      </c>
      <c r="D3745" s="211" t="s">
        <v>1255</v>
      </c>
      <c r="E3745" s="211" t="s">
        <v>10385</v>
      </c>
      <c r="F3745" s="211" t="s">
        <v>7196</v>
      </c>
    </row>
    <row r="3746" spans="1:6">
      <c r="A3746" s="211" t="s">
        <v>3188</v>
      </c>
      <c r="B3746" s="211">
        <v>2150</v>
      </c>
      <c r="C3746" s="211">
        <v>1339</v>
      </c>
      <c r="D3746" s="211" t="s">
        <v>1117</v>
      </c>
      <c r="E3746" s="211" t="s">
        <v>10385</v>
      </c>
      <c r="F3746" s="211" t="s">
        <v>7189</v>
      </c>
    </row>
    <row r="3747" spans="1:6">
      <c r="A3747" s="211" t="s">
        <v>10708</v>
      </c>
      <c r="B3747" s="211">
        <v>8760</v>
      </c>
      <c r="C3747" s="211">
        <v>2616</v>
      </c>
      <c r="D3747" s="211" t="s">
        <v>1255</v>
      </c>
      <c r="E3747" s="211" t="s">
        <v>10709</v>
      </c>
      <c r="F3747" s="211" t="s">
        <v>7471</v>
      </c>
    </row>
    <row r="3748" spans="1:6">
      <c r="A3748" s="211" t="s">
        <v>3189</v>
      </c>
      <c r="B3748" s="211">
        <v>3108</v>
      </c>
      <c r="C3748" s="211">
        <v>896</v>
      </c>
      <c r="D3748" s="211" t="s">
        <v>1255</v>
      </c>
      <c r="E3748" s="211" t="s">
        <v>10385</v>
      </c>
      <c r="F3748" s="211" t="s">
        <v>7459</v>
      </c>
    </row>
    <row r="3749" spans="1:6">
      <c r="A3749" s="211" t="s">
        <v>3190</v>
      </c>
      <c r="B3749" s="211">
        <v>5661</v>
      </c>
      <c r="C3749" s="211">
        <v>1210</v>
      </c>
      <c r="D3749" s="211" t="s">
        <v>1117</v>
      </c>
      <c r="E3749" s="211" t="s">
        <v>10385</v>
      </c>
      <c r="F3749" s="211" t="s">
        <v>7342</v>
      </c>
    </row>
    <row r="3750" spans="1:6">
      <c r="A3750" s="211" t="s">
        <v>3191</v>
      </c>
      <c r="B3750" s="211">
        <v>3960</v>
      </c>
      <c r="C3750" s="211">
        <v>998</v>
      </c>
      <c r="D3750" s="211" t="s">
        <v>1255</v>
      </c>
      <c r="E3750" s="211" t="s">
        <v>10385</v>
      </c>
      <c r="F3750" s="211" t="s">
        <v>7292</v>
      </c>
    </row>
    <row r="3751" spans="1:6">
      <c r="A3751" s="211" t="s">
        <v>3192</v>
      </c>
      <c r="B3751" s="211">
        <v>5266</v>
      </c>
      <c r="C3751" s="211">
        <v>1485</v>
      </c>
      <c r="D3751" s="211" t="s">
        <v>1117</v>
      </c>
      <c r="E3751" s="211" t="s">
        <v>5921</v>
      </c>
      <c r="F3751" s="211" t="s">
        <v>7383</v>
      </c>
    </row>
    <row r="3752" spans="1:6">
      <c r="A3752" s="211" t="s">
        <v>5372</v>
      </c>
      <c r="B3752" s="211">
        <v>5673</v>
      </c>
      <c r="C3752" s="211">
        <v>1425</v>
      </c>
      <c r="D3752" s="211" t="s">
        <v>1255</v>
      </c>
      <c r="E3752" s="211" t="s">
        <v>10385</v>
      </c>
      <c r="F3752" s="211" t="s">
        <v>7239</v>
      </c>
    </row>
    <row r="3753" spans="1:6">
      <c r="A3753" s="211" t="s">
        <v>3847</v>
      </c>
      <c r="B3753" s="211">
        <v>3070</v>
      </c>
      <c r="C3753" s="211">
        <v>1098</v>
      </c>
      <c r="D3753" s="211" t="s">
        <v>1255</v>
      </c>
      <c r="E3753" s="211" t="s">
        <v>10385</v>
      </c>
      <c r="F3753" s="211" t="s">
        <v>7337</v>
      </c>
    </row>
    <row r="3754" spans="1:6">
      <c r="A3754" s="211" t="s">
        <v>3193</v>
      </c>
      <c r="B3754" s="211">
        <v>4950</v>
      </c>
      <c r="C3754" s="211">
        <v>655</v>
      </c>
      <c r="D3754" s="211" t="s">
        <v>1117</v>
      </c>
      <c r="E3754" s="211" t="s">
        <v>10385</v>
      </c>
      <c r="F3754" s="211" t="s">
        <v>7334</v>
      </c>
    </row>
    <row r="3755" spans="1:6">
      <c r="A3755" s="211" t="s">
        <v>5922</v>
      </c>
      <c r="B3755" s="211">
        <v>7215</v>
      </c>
      <c r="C3755" s="211">
        <v>1689</v>
      </c>
      <c r="D3755" s="211" t="s">
        <v>1255</v>
      </c>
      <c r="E3755" s="211" t="s">
        <v>10385</v>
      </c>
      <c r="F3755" s="211" t="s">
        <v>7205</v>
      </c>
    </row>
    <row r="3756" spans="1:6">
      <c r="A3756" s="211" t="s">
        <v>3194</v>
      </c>
      <c r="B3756" s="211">
        <v>3513</v>
      </c>
      <c r="C3756" s="211">
        <v>623</v>
      </c>
      <c r="D3756" s="211" t="s">
        <v>1117</v>
      </c>
      <c r="E3756" s="211" t="s">
        <v>10385</v>
      </c>
      <c r="F3756" s="211" t="s">
        <v>7246</v>
      </c>
    </row>
    <row r="3757" spans="1:6">
      <c r="A3757" s="211" t="s">
        <v>3195</v>
      </c>
      <c r="B3757" s="211">
        <v>872</v>
      </c>
      <c r="C3757" s="211">
        <v>1242</v>
      </c>
      <c r="D3757" s="211" t="s">
        <v>1255</v>
      </c>
      <c r="E3757" s="211" t="s">
        <v>10385</v>
      </c>
      <c r="F3757" s="211" t="s">
        <v>7265</v>
      </c>
    </row>
    <row r="3758" spans="1:6">
      <c r="A3758" s="211" t="s">
        <v>10710</v>
      </c>
      <c r="B3758" s="211">
        <v>7872</v>
      </c>
      <c r="C3758" s="211">
        <v>1704</v>
      </c>
      <c r="D3758" s="211" t="s">
        <v>1255</v>
      </c>
      <c r="E3758" s="211" t="s">
        <v>9597</v>
      </c>
      <c r="F3758" s="211" t="s">
        <v>7205</v>
      </c>
    </row>
    <row r="3759" spans="1:6">
      <c r="A3759" s="211" t="s">
        <v>10711</v>
      </c>
      <c r="B3759" s="211">
        <v>8412</v>
      </c>
      <c r="C3759" s="211">
        <v>981</v>
      </c>
      <c r="D3759" s="211" t="s">
        <v>1255</v>
      </c>
      <c r="E3759" s="211" t="s">
        <v>10385</v>
      </c>
      <c r="F3759" s="211" t="s">
        <v>7334</v>
      </c>
    </row>
    <row r="3760" spans="1:6">
      <c r="A3760" s="211" t="s">
        <v>9598</v>
      </c>
      <c r="B3760" s="211">
        <v>8184</v>
      </c>
      <c r="C3760" s="211">
        <v>2161</v>
      </c>
      <c r="D3760" s="211" t="s">
        <v>1255</v>
      </c>
      <c r="E3760" s="211" t="s">
        <v>9599</v>
      </c>
      <c r="F3760" s="211" t="s">
        <v>9068</v>
      </c>
    </row>
    <row r="3761" spans="1:6">
      <c r="A3761" s="211" t="s">
        <v>5923</v>
      </c>
      <c r="B3761" s="211">
        <v>7417</v>
      </c>
      <c r="C3761" s="211">
        <v>1724</v>
      </c>
      <c r="D3761" s="211" t="s">
        <v>1255</v>
      </c>
      <c r="E3761" s="211" t="s">
        <v>5924</v>
      </c>
      <c r="F3761" s="211" t="s">
        <v>7357</v>
      </c>
    </row>
    <row r="3762" spans="1:6">
      <c r="A3762" s="211" t="s">
        <v>3196</v>
      </c>
      <c r="B3762" s="211">
        <v>3003</v>
      </c>
      <c r="C3762" s="211">
        <v>1399</v>
      </c>
      <c r="D3762" s="211" t="s">
        <v>1255</v>
      </c>
      <c r="E3762" s="211" t="s">
        <v>10385</v>
      </c>
      <c r="F3762" s="211" t="s">
        <v>7160</v>
      </c>
    </row>
    <row r="3763" spans="1:6">
      <c r="A3763" s="211" t="s">
        <v>3197</v>
      </c>
      <c r="B3763" s="211">
        <v>3632</v>
      </c>
      <c r="C3763" s="211">
        <v>1503</v>
      </c>
      <c r="D3763" s="211" t="s">
        <v>1255</v>
      </c>
      <c r="E3763" s="211" t="s">
        <v>10385</v>
      </c>
      <c r="F3763" s="211" t="s">
        <v>7446</v>
      </c>
    </row>
    <row r="3764" spans="1:6">
      <c r="A3764" s="211" t="s">
        <v>8157</v>
      </c>
      <c r="B3764" s="211">
        <v>554</v>
      </c>
      <c r="C3764" s="211" t="s">
        <v>10385</v>
      </c>
      <c r="D3764" s="211" t="s">
        <v>1255</v>
      </c>
      <c r="E3764" s="211" t="s">
        <v>10385</v>
      </c>
      <c r="F3764" s="211" t="s">
        <v>7592</v>
      </c>
    </row>
    <row r="3765" spans="1:6">
      <c r="A3765" s="211" t="s">
        <v>9600</v>
      </c>
      <c r="B3765" s="211">
        <v>8225</v>
      </c>
      <c r="C3765" s="211">
        <v>2472</v>
      </c>
      <c r="D3765" s="211" t="s">
        <v>1255</v>
      </c>
      <c r="E3765" s="211" t="s">
        <v>9601</v>
      </c>
      <c r="F3765" s="211" t="s">
        <v>7386</v>
      </c>
    </row>
    <row r="3766" spans="1:6">
      <c r="A3766" s="211" t="s">
        <v>5373</v>
      </c>
      <c r="B3766" s="211">
        <v>4346</v>
      </c>
      <c r="C3766" s="211">
        <v>880</v>
      </c>
      <c r="D3766" s="211" t="s">
        <v>1117</v>
      </c>
      <c r="E3766" s="211" t="s">
        <v>10385</v>
      </c>
      <c r="F3766" s="211" t="s">
        <v>7459</v>
      </c>
    </row>
    <row r="3767" spans="1:6">
      <c r="A3767" s="211" t="s">
        <v>5374</v>
      </c>
      <c r="B3767" s="211">
        <v>685</v>
      </c>
      <c r="C3767" s="211">
        <v>2120</v>
      </c>
      <c r="D3767" s="211" t="s">
        <v>1255</v>
      </c>
      <c r="E3767" s="211" t="s">
        <v>10385</v>
      </c>
      <c r="F3767" s="211" t="s">
        <v>7592</v>
      </c>
    </row>
    <row r="3768" spans="1:6">
      <c r="A3768" s="211" t="s">
        <v>8158</v>
      </c>
      <c r="B3768" s="211">
        <v>290</v>
      </c>
      <c r="C3768" s="211" t="s">
        <v>10385</v>
      </c>
      <c r="D3768" s="211" t="s">
        <v>1255</v>
      </c>
      <c r="E3768" s="211" t="s">
        <v>10385</v>
      </c>
      <c r="F3768" s="211" t="s">
        <v>9024</v>
      </c>
    </row>
    <row r="3769" spans="1:6">
      <c r="A3769" s="211" t="s">
        <v>3198</v>
      </c>
      <c r="B3769" s="211">
        <v>4121</v>
      </c>
      <c r="C3769" s="211">
        <v>990</v>
      </c>
      <c r="D3769" s="211" t="s">
        <v>1117</v>
      </c>
      <c r="E3769" s="211" t="s">
        <v>10385</v>
      </c>
      <c r="F3769" s="211" t="s">
        <v>7318</v>
      </c>
    </row>
    <row r="3770" spans="1:6">
      <c r="A3770" s="211" t="s">
        <v>4831</v>
      </c>
      <c r="B3770" s="211">
        <v>6089</v>
      </c>
      <c r="C3770" s="211">
        <v>1117</v>
      </c>
      <c r="D3770" s="211" t="s">
        <v>1255</v>
      </c>
      <c r="E3770" s="211" t="s">
        <v>10385</v>
      </c>
      <c r="F3770" s="211" t="s">
        <v>7213</v>
      </c>
    </row>
    <row r="3771" spans="1:6">
      <c r="A3771" s="211" t="s">
        <v>9602</v>
      </c>
      <c r="B3771" s="211">
        <v>8017</v>
      </c>
      <c r="C3771" s="211">
        <v>2051</v>
      </c>
      <c r="D3771" s="211" t="s">
        <v>1117</v>
      </c>
      <c r="E3771" s="211" t="s">
        <v>9603</v>
      </c>
      <c r="F3771" s="211" t="s">
        <v>7343</v>
      </c>
    </row>
    <row r="3772" spans="1:6">
      <c r="A3772" s="211" t="s">
        <v>9604</v>
      </c>
      <c r="B3772" s="211">
        <v>8031</v>
      </c>
      <c r="C3772" s="211">
        <v>1003</v>
      </c>
      <c r="D3772" s="211" t="s">
        <v>1255</v>
      </c>
      <c r="E3772" s="211" t="s">
        <v>9605</v>
      </c>
      <c r="F3772" s="211" t="s">
        <v>7343</v>
      </c>
    </row>
    <row r="3773" spans="1:6">
      <c r="A3773" s="211" t="s">
        <v>3199</v>
      </c>
      <c r="B3773" s="211">
        <v>2450</v>
      </c>
      <c r="C3773" s="211">
        <v>1251</v>
      </c>
      <c r="D3773" s="211" t="s">
        <v>1255</v>
      </c>
      <c r="E3773" s="211" t="s">
        <v>10385</v>
      </c>
      <c r="F3773" s="211" t="s">
        <v>7327</v>
      </c>
    </row>
    <row r="3774" spans="1:6">
      <c r="A3774" s="211" t="s">
        <v>3200</v>
      </c>
      <c r="B3774" s="211">
        <v>2429</v>
      </c>
      <c r="C3774" s="211">
        <v>928</v>
      </c>
      <c r="D3774" s="211" t="s">
        <v>1117</v>
      </c>
      <c r="E3774" s="211" t="s">
        <v>10385</v>
      </c>
      <c r="F3774" s="211" t="s">
        <v>7208</v>
      </c>
    </row>
    <row r="3775" spans="1:6">
      <c r="A3775" s="211" t="s">
        <v>3201</v>
      </c>
      <c r="B3775" s="211">
        <v>2977</v>
      </c>
      <c r="C3775" s="211">
        <v>1432</v>
      </c>
      <c r="D3775" s="211" t="s">
        <v>1255</v>
      </c>
      <c r="E3775" s="211" t="s">
        <v>10385</v>
      </c>
      <c r="F3775" s="211" t="s">
        <v>7320</v>
      </c>
    </row>
    <row r="3776" spans="1:6">
      <c r="A3776" s="211" t="s">
        <v>9606</v>
      </c>
      <c r="B3776" s="211">
        <v>8196</v>
      </c>
      <c r="C3776" s="211">
        <v>599</v>
      </c>
      <c r="D3776" s="211" t="s">
        <v>1117</v>
      </c>
      <c r="E3776" s="211" t="s">
        <v>9607</v>
      </c>
      <c r="F3776" s="211" t="s">
        <v>7217</v>
      </c>
    </row>
    <row r="3777" spans="1:6">
      <c r="A3777" s="211" t="s">
        <v>3848</v>
      </c>
      <c r="B3777" s="211">
        <v>4338</v>
      </c>
      <c r="C3777" s="211">
        <v>892</v>
      </c>
      <c r="D3777" s="211" t="s">
        <v>1255</v>
      </c>
      <c r="E3777" s="211" t="s">
        <v>10385</v>
      </c>
      <c r="F3777" s="211" t="s">
        <v>7171</v>
      </c>
    </row>
    <row r="3778" spans="1:6">
      <c r="A3778" s="211" t="s">
        <v>5375</v>
      </c>
      <c r="B3778" s="211">
        <v>6665</v>
      </c>
      <c r="C3778" s="211">
        <v>466</v>
      </c>
      <c r="D3778" s="211" t="s">
        <v>1117</v>
      </c>
      <c r="E3778" s="211" t="s">
        <v>3072</v>
      </c>
      <c r="F3778" s="211" t="s">
        <v>7285</v>
      </c>
    </row>
    <row r="3779" spans="1:6">
      <c r="A3779" s="211" t="s">
        <v>8159</v>
      </c>
      <c r="B3779" s="211">
        <v>430</v>
      </c>
      <c r="C3779" s="211" t="s">
        <v>10385</v>
      </c>
      <c r="D3779" s="211" t="s">
        <v>1255</v>
      </c>
      <c r="E3779" s="211" t="s">
        <v>10385</v>
      </c>
      <c r="F3779" s="211" t="s">
        <v>7173</v>
      </c>
    </row>
    <row r="3780" spans="1:6">
      <c r="A3780" s="211" t="s">
        <v>4668</v>
      </c>
      <c r="B3780" s="211">
        <v>6424</v>
      </c>
      <c r="C3780" s="211">
        <v>601</v>
      </c>
      <c r="D3780" s="211" t="s">
        <v>1117</v>
      </c>
      <c r="E3780" s="211" t="s">
        <v>5925</v>
      </c>
      <c r="F3780" s="211" t="s">
        <v>7238</v>
      </c>
    </row>
    <row r="3781" spans="1:6">
      <c r="A3781" s="211" t="s">
        <v>5926</v>
      </c>
      <c r="B3781" s="211">
        <v>7211</v>
      </c>
      <c r="C3781" s="211">
        <v>1675</v>
      </c>
      <c r="D3781" s="211" t="s">
        <v>1255</v>
      </c>
      <c r="E3781" s="211" t="s">
        <v>10385</v>
      </c>
      <c r="F3781" s="211" t="s">
        <v>7272</v>
      </c>
    </row>
    <row r="3782" spans="1:6">
      <c r="A3782" s="211" t="s">
        <v>5296</v>
      </c>
      <c r="B3782" s="211">
        <v>2999</v>
      </c>
      <c r="C3782" s="211">
        <v>1457</v>
      </c>
      <c r="D3782" s="211" t="s">
        <v>1255</v>
      </c>
      <c r="E3782" s="211" t="s">
        <v>10385</v>
      </c>
      <c r="F3782" s="211" t="s">
        <v>8160</v>
      </c>
    </row>
    <row r="3783" spans="1:6">
      <c r="A3783" s="211" t="s">
        <v>5297</v>
      </c>
      <c r="B3783" s="211">
        <v>5232</v>
      </c>
      <c r="C3783" s="211">
        <v>1277</v>
      </c>
      <c r="D3783" s="211" t="s">
        <v>1255</v>
      </c>
      <c r="E3783" s="211" t="s">
        <v>6871</v>
      </c>
      <c r="F3783" s="211" t="s">
        <v>7246</v>
      </c>
    </row>
    <row r="3784" spans="1:6">
      <c r="A3784" s="211" t="s">
        <v>3202</v>
      </c>
      <c r="B3784" s="211">
        <v>4770</v>
      </c>
      <c r="C3784" s="211">
        <v>1297</v>
      </c>
      <c r="D3784" s="211" t="s">
        <v>1255</v>
      </c>
      <c r="E3784" s="211" t="s">
        <v>10385</v>
      </c>
      <c r="F3784" s="211" t="s">
        <v>7518</v>
      </c>
    </row>
    <row r="3785" spans="1:6">
      <c r="A3785" s="211" t="s">
        <v>5927</v>
      </c>
      <c r="B3785" s="211">
        <v>7426</v>
      </c>
      <c r="C3785" s="211">
        <v>995</v>
      </c>
      <c r="D3785" s="211" t="s">
        <v>1117</v>
      </c>
      <c r="E3785" s="211" t="s">
        <v>5928</v>
      </c>
      <c r="F3785" s="211" t="s">
        <v>7577</v>
      </c>
    </row>
    <row r="3786" spans="1:6">
      <c r="A3786" s="211" t="s">
        <v>8161</v>
      </c>
      <c r="B3786" s="211">
        <v>7432</v>
      </c>
      <c r="C3786" s="211" t="s">
        <v>10385</v>
      </c>
      <c r="D3786" s="211" t="s">
        <v>1255</v>
      </c>
      <c r="E3786" s="211" t="s">
        <v>10385</v>
      </c>
      <c r="F3786" s="211" t="s">
        <v>7165</v>
      </c>
    </row>
    <row r="3787" spans="1:6">
      <c r="A3787" s="211" t="s">
        <v>3203</v>
      </c>
      <c r="B3787" s="211">
        <v>1679</v>
      </c>
      <c r="C3787" s="211">
        <v>907</v>
      </c>
      <c r="D3787" s="211" t="s">
        <v>1255</v>
      </c>
      <c r="E3787" s="211" t="s">
        <v>10385</v>
      </c>
      <c r="F3787" s="211" t="s">
        <v>7581</v>
      </c>
    </row>
    <row r="3788" spans="1:6">
      <c r="A3788" s="211" t="s">
        <v>3204</v>
      </c>
      <c r="B3788" s="211">
        <v>1058</v>
      </c>
      <c r="C3788" s="211">
        <v>1251</v>
      </c>
      <c r="D3788" s="211" t="s">
        <v>1255</v>
      </c>
      <c r="E3788" s="211" t="s">
        <v>10385</v>
      </c>
      <c r="F3788" s="211" t="s">
        <v>7241</v>
      </c>
    </row>
    <row r="3789" spans="1:6">
      <c r="A3789" s="211" t="s">
        <v>9608</v>
      </c>
      <c r="B3789" s="211">
        <v>8394</v>
      </c>
      <c r="C3789" s="211">
        <v>1812</v>
      </c>
      <c r="D3789" s="211" t="s">
        <v>1255</v>
      </c>
      <c r="E3789" s="211" t="s">
        <v>10712</v>
      </c>
      <c r="F3789" s="211" t="s">
        <v>7334</v>
      </c>
    </row>
    <row r="3790" spans="1:6">
      <c r="A3790" s="211" t="s">
        <v>2936</v>
      </c>
      <c r="B3790" s="211">
        <v>1446</v>
      </c>
      <c r="C3790" s="211">
        <v>1461</v>
      </c>
      <c r="D3790" s="211" t="s">
        <v>1255</v>
      </c>
      <c r="E3790" s="211" t="s">
        <v>10385</v>
      </c>
      <c r="F3790" s="211" t="s">
        <v>7263</v>
      </c>
    </row>
    <row r="3791" spans="1:6">
      <c r="A3791" s="211" t="s">
        <v>10713</v>
      </c>
      <c r="B3791" s="211">
        <v>8848</v>
      </c>
      <c r="C3791" s="211">
        <v>1398</v>
      </c>
      <c r="D3791" s="211" t="s">
        <v>1255</v>
      </c>
      <c r="E3791" s="211" t="s">
        <v>10714</v>
      </c>
      <c r="F3791" s="211" t="s">
        <v>7272</v>
      </c>
    </row>
    <row r="3792" spans="1:6">
      <c r="A3792" s="211" t="s">
        <v>6872</v>
      </c>
      <c r="B3792" s="211">
        <v>7770</v>
      </c>
      <c r="C3792" s="211">
        <v>977</v>
      </c>
      <c r="D3792" s="211" t="s">
        <v>1117</v>
      </c>
      <c r="E3792" s="211" t="s">
        <v>10385</v>
      </c>
      <c r="F3792" s="211" t="s">
        <v>7257</v>
      </c>
    </row>
    <row r="3793" spans="1:6">
      <c r="A3793" s="211" t="s">
        <v>4591</v>
      </c>
      <c r="B3793" s="211">
        <v>6319</v>
      </c>
      <c r="C3793" s="211">
        <v>1080</v>
      </c>
      <c r="D3793" s="211" t="s">
        <v>1117</v>
      </c>
      <c r="E3793" s="211" t="s">
        <v>10385</v>
      </c>
      <c r="F3793" s="211" t="s">
        <v>7257</v>
      </c>
    </row>
    <row r="3794" spans="1:6">
      <c r="A3794" s="211" t="s">
        <v>5376</v>
      </c>
      <c r="B3794" s="211">
        <v>4748</v>
      </c>
      <c r="C3794" s="211">
        <v>969</v>
      </c>
      <c r="D3794" s="211" t="s">
        <v>1255</v>
      </c>
      <c r="E3794" s="211" t="s">
        <v>10385</v>
      </c>
      <c r="F3794" s="211" t="s">
        <v>7587</v>
      </c>
    </row>
    <row r="3795" spans="1:6">
      <c r="A3795" s="211" t="s">
        <v>10715</v>
      </c>
      <c r="B3795" s="211">
        <v>8741</v>
      </c>
      <c r="C3795" s="211">
        <v>934</v>
      </c>
      <c r="D3795" s="211" t="s">
        <v>1255</v>
      </c>
      <c r="E3795" s="211" t="s">
        <v>10716</v>
      </c>
      <c r="F3795" s="211" t="s">
        <v>7438</v>
      </c>
    </row>
    <row r="3796" spans="1:6">
      <c r="A3796" s="211" t="s">
        <v>3849</v>
      </c>
      <c r="B3796" s="211">
        <v>2625</v>
      </c>
      <c r="C3796" s="211">
        <v>1431</v>
      </c>
      <c r="D3796" s="211" t="s">
        <v>1255</v>
      </c>
      <c r="E3796" s="211" t="s">
        <v>10385</v>
      </c>
      <c r="F3796" s="211" t="s">
        <v>7383</v>
      </c>
    </row>
    <row r="3797" spans="1:6">
      <c r="A3797" s="211" t="s">
        <v>5377</v>
      </c>
      <c r="B3797" s="211">
        <v>5716</v>
      </c>
      <c r="C3797" s="211">
        <v>1022</v>
      </c>
      <c r="D3797" s="211" t="s">
        <v>1255</v>
      </c>
      <c r="E3797" s="211" t="s">
        <v>10385</v>
      </c>
      <c r="F3797" s="211" t="s">
        <v>7438</v>
      </c>
    </row>
    <row r="3798" spans="1:6">
      <c r="A3798" s="211" t="s">
        <v>9609</v>
      </c>
      <c r="B3798" s="211">
        <v>8087</v>
      </c>
      <c r="C3798" s="211">
        <v>1211</v>
      </c>
      <c r="D3798" s="211" t="s">
        <v>1255</v>
      </c>
      <c r="E3798" s="211" t="s">
        <v>10717</v>
      </c>
      <c r="F3798" s="211" t="s">
        <v>9281</v>
      </c>
    </row>
    <row r="3799" spans="1:6">
      <c r="A3799" s="211" t="s">
        <v>5929</v>
      </c>
      <c r="B3799" s="211">
        <v>7253</v>
      </c>
      <c r="C3799" s="211">
        <v>1091</v>
      </c>
      <c r="D3799" s="211" t="s">
        <v>1255</v>
      </c>
      <c r="E3799" s="211" t="s">
        <v>10385</v>
      </c>
      <c r="F3799" s="211" t="s">
        <v>7458</v>
      </c>
    </row>
    <row r="3800" spans="1:6">
      <c r="A3800" s="211" t="s">
        <v>8162</v>
      </c>
      <c r="B3800" s="211">
        <v>32</v>
      </c>
      <c r="C3800" s="211" t="s">
        <v>10385</v>
      </c>
      <c r="D3800" s="211" t="s">
        <v>1255</v>
      </c>
      <c r="E3800" s="211" t="s">
        <v>10385</v>
      </c>
      <c r="F3800" s="211" t="s">
        <v>7199</v>
      </c>
    </row>
    <row r="3801" spans="1:6">
      <c r="A3801" s="211" t="s">
        <v>3205</v>
      </c>
      <c r="B3801" s="211">
        <v>5530</v>
      </c>
      <c r="C3801" s="211">
        <v>1221</v>
      </c>
      <c r="D3801" s="211" t="s">
        <v>1255</v>
      </c>
      <c r="E3801" s="211" t="s">
        <v>3206</v>
      </c>
      <c r="F3801" s="211" t="s">
        <v>7356</v>
      </c>
    </row>
    <row r="3802" spans="1:6">
      <c r="A3802" s="211" t="s">
        <v>5930</v>
      </c>
      <c r="B3802" s="211">
        <v>7355</v>
      </c>
      <c r="C3802" s="211">
        <v>1365</v>
      </c>
      <c r="D3802" s="211" t="s">
        <v>1255</v>
      </c>
      <c r="E3802" s="211" t="s">
        <v>5931</v>
      </c>
      <c r="F3802" s="211" t="s">
        <v>7375</v>
      </c>
    </row>
    <row r="3803" spans="1:6">
      <c r="A3803" s="211" t="s">
        <v>3207</v>
      </c>
      <c r="B3803" s="211">
        <v>3816</v>
      </c>
      <c r="C3803" s="211">
        <v>1064</v>
      </c>
      <c r="D3803" s="211" t="s">
        <v>1117</v>
      </c>
      <c r="E3803" s="211" t="s">
        <v>10385</v>
      </c>
      <c r="F3803" s="211" t="s">
        <v>7320</v>
      </c>
    </row>
    <row r="3804" spans="1:6">
      <c r="A3804" s="211" t="s">
        <v>9610</v>
      </c>
      <c r="B3804" s="211">
        <v>8267</v>
      </c>
      <c r="C3804" s="211">
        <v>1100</v>
      </c>
      <c r="D3804" s="211" t="s">
        <v>1255</v>
      </c>
      <c r="E3804" s="211" t="s">
        <v>9611</v>
      </c>
      <c r="F3804" s="211" t="s">
        <v>7283</v>
      </c>
    </row>
    <row r="3805" spans="1:6">
      <c r="A3805" s="211" t="s">
        <v>8163</v>
      </c>
      <c r="B3805" s="211">
        <v>4154</v>
      </c>
      <c r="C3805" s="211" t="s">
        <v>10385</v>
      </c>
      <c r="D3805" s="211" t="s">
        <v>1117</v>
      </c>
      <c r="E3805" s="211" t="s">
        <v>10385</v>
      </c>
      <c r="F3805" s="211" t="s">
        <v>7334</v>
      </c>
    </row>
    <row r="3806" spans="1:6">
      <c r="A3806" s="211" t="s">
        <v>8164</v>
      </c>
      <c r="B3806" s="211">
        <v>7066</v>
      </c>
      <c r="C3806" s="211" t="s">
        <v>10385</v>
      </c>
      <c r="D3806" s="211" t="s">
        <v>1117</v>
      </c>
      <c r="E3806" s="211" t="s">
        <v>10385</v>
      </c>
      <c r="F3806" s="211" t="s">
        <v>7231</v>
      </c>
    </row>
    <row r="3807" spans="1:6">
      <c r="A3807" s="211" t="s">
        <v>3208</v>
      </c>
      <c r="B3807" s="211">
        <v>5054</v>
      </c>
      <c r="C3807" s="211">
        <v>1692</v>
      </c>
      <c r="D3807" s="211" t="s">
        <v>1255</v>
      </c>
      <c r="E3807" s="211" t="s">
        <v>10385</v>
      </c>
      <c r="F3807" s="211" t="s">
        <v>7306</v>
      </c>
    </row>
    <row r="3808" spans="1:6">
      <c r="A3808" s="211" t="s">
        <v>3209</v>
      </c>
      <c r="B3808" s="211">
        <v>2775</v>
      </c>
      <c r="C3808" s="211">
        <v>1230</v>
      </c>
      <c r="D3808" s="211" t="s">
        <v>1255</v>
      </c>
      <c r="E3808" s="211" t="s">
        <v>10385</v>
      </c>
      <c r="F3808" s="211" t="s">
        <v>7275</v>
      </c>
    </row>
    <row r="3809" spans="1:6">
      <c r="A3809" s="211" t="s">
        <v>3210</v>
      </c>
      <c r="B3809" s="211">
        <v>2425</v>
      </c>
      <c r="C3809" s="211">
        <v>920</v>
      </c>
      <c r="D3809" s="211" t="s">
        <v>1255</v>
      </c>
      <c r="E3809" s="211" t="s">
        <v>10385</v>
      </c>
      <c r="F3809" s="211" t="s">
        <v>7275</v>
      </c>
    </row>
    <row r="3810" spans="1:6">
      <c r="A3810" s="211" t="s">
        <v>8165</v>
      </c>
      <c r="B3810" s="211">
        <v>2271</v>
      </c>
      <c r="C3810" s="211">
        <v>1076</v>
      </c>
      <c r="D3810" s="211" t="s">
        <v>1117</v>
      </c>
      <c r="E3810" s="211" t="s">
        <v>10385</v>
      </c>
      <c r="F3810" s="211" t="s">
        <v>7322</v>
      </c>
    </row>
    <row r="3811" spans="1:6">
      <c r="A3811" s="211" t="s">
        <v>5378</v>
      </c>
      <c r="B3811" s="211">
        <v>4895</v>
      </c>
      <c r="C3811" s="211">
        <v>696</v>
      </c>
      <c r="D3811" s="211" t="s">
        <v>1117</v>
      </c>
      <c r="E3811" s="211" t="s">
        <v>10385</v>
      </c>
      <c r="F3811" s="211" t="s">
        <v>7384</v>
      </c>
    </row>
    <row r="3812" spans="1:6">
      <c r="A3812" s="211" t="s">
        <v>8166</v>
      </c>
      <c r="B3812" s="211">
        <v>279</v>
      </c>
      <c r="C3812" s="211" t="s">
        <v>10385</v>
      </c>
      <c r="D3812" s="211" t="s">
        <v>1255</v>
      </c>
      <c r="E3812" s="211" t="s">
        <v>10385</v>
      </c>
      <c r="F3812" s="211" t="s">
        <v>7270</v>
      </c>
    </row>
    <row r="3813" spans="1:6">
      <c r="A3813" s="211" t="s">
        <v>8167</v>
      </c>
      <c r="B3813" s="211">
        <v>7883</v>
      </c>
      <c r="C3813" s="211" t="s">
        <v>10385</v>
      </c>
      <c r="D3813" s="211" t="s">
        <v>1255</v>
      </c>
      <c r="E3813" s="211" t="s">
        <v>10385</v>
      </c>
      <c r="F3813" s="211" t="s">
        <v>7205</v>
      </c>
    </row>
    <row r="3814" spans="1:6">
      <c r="A3814" s="211" t="s">
        <v>9612</v>
      </c>
      <c r="B3814" s="211">
        <v>8465</v>
      </c>
      <c r="C3814" s="211">
        <v>360</v>
      </c>
      <c r="D3814" s="211" t="s">
        <v>1117</v>
      </c>
      <c r="E3814" s="211" t="s">
        <v>9613</v>
      </c>
      <c r="F3814" s="211" t="s">
        <v>7425</v>
      </c>
    </row>
    <row r="3815" spans="1:6">
      <c r="A3815" s="211" t="s">
        <v>5932</v>
      </c>
      <c r="B3815" s="211">
        <v>7395</v>
      </c>
      <c r="C3815" s="211">
        <v>827</v>
      </c>
      <c r="D3815" s="211" t="s">
        <v>1117</v>
      </c>
      <c r="E3815" s="211" t="s">
        <v>6955</v>
      </c>
      <c r="F3815" s="211" t="s">
        <v>7928</v>
      </c>
    </row>
    <row r="3816" spans="1:6">
      <c r="A3816" s="211" t="s">
        <v>3211</v>
      </c>
      <c r="B3816" s="211">
        <v>2773</v>
      </c>
      <c r="C3816" s="211">
        <v>1214</v>
      </c>
      <c r="D3816" s="211" t="s">
        <v>1255</v>
      </c>
      <c r="E3816" s="211" t="s">
        <v>10385</v>
      </c>
      <c r="F3816" s="211" t="s">
        <v>7275</v>
      </c>
    </row>
    <row r="3817" spans="1:6">
      <c r="A3817" s="211" t="s">
        <v>3212</v>
      </c>
      <c r="B3817" s="211">
        <v>800</v>
      </c>
      <c r="C3817" s="211">
        <v>1084</v>
      </c>
      <c r="D3817" s="211" t="s">
        <v>1255</v>
      </c>
      <c r="E3817" s="211" t="s">
        <v>10385</v>
      </c>
      <c r="F3817" s="211" t="s">
        <v>7275</v>
      </c>
    </row>
    <row r="3818" spans="1:6">
      <c r="A3818" s="211" t="s">
        <v>5933</v>
      </c>
      <c r="B3818" s="211">
        <v>7393</v>
      </c>
      <c r="C3818" s="211">
        <v>1973</v>
      </c>
      <c r="D3818" s="211" t="s">
        <v>1255</v>
      </c>
      <c r="E3818" s="211" t="s">
        <v>6873</v>
      </c>
      <c r="F3818" s="211" t="s">
        <v>7928</v>
      </c>
    </row>
    <row r="3819" spans="1:6">
      <c r="A3819" s="211" t="s">
        <v>3213</v>
      </c>
      <c r="B3819" s="211">
        <v>1318</v>
      </c>
      <c r="C3819" s="211">
        <v>1375</v>
      </c>
      <c r="D3819" s="211" t="s">
        <v>1255</v>
      </c>
      <c r="E3819" s="211" t="s">
        <v>10385</v>
      </c>
      <c r="F3819" s="211" t="s">
        <v>7610</v>
      </c>
    </row>
    <row r="3820" spans="1:6">
      <c r="A3820" s="211" t="s">
        <v>3214</v>
      </c>
      <c r="B3820" s="211">
        <v>4010</v>
      </c>
      <c r="C3820" s="211">
        <v>1188</v>
      </c>
      <c r="D3820" s="211" t="s">
        <v>1255</v>
      </c>
      <c r="E3820" s="211" t="s">
        <v>10385</v>
      </c>
      <c r="F3820" s="211" t="s">
        <v>7331</v>
      </c>
    </row>
    <row r="3821" spans="1:6">
      <c r="A3821" s="211" t="s">
        <v>3215</v>
      </c>
      <c r="B3821" s="211">
        <v>2561</v>
      </c>
      <c r="C3821" s="211">
        <v>1458</v>
      </c>
      <c r="D3821" s="211" t="s">
        <v>1255</v>
      </c>
      <c r="E3821" s="211" t="s">
        <v>10385</v>
      </c>
      <c r="F3821" s="211" t="s">
        <v>7196</v>
      </c>
    </row>
    <row r="3822" spans="1:6">
      <c r="A3822" s="211" t="s">
        <v>5329</v>
      </c>
      <c r="B3822" s="211">
        <v>6217</v>
      </c>
      <c r="C3822" s="211">
        <v>1012</v>
      </c>
      <c r="D3822" s="211" t="s">
        <v>1117</v>
      </c>
      <c r="E3822" s="211" t="s">
        <v>10385</v>
      </c>
      <c r="F3822" s="211" t="s">
        <v>7223</v>
      </c>
    </row>
    <row r="3823" spans="1:6">
      <c r="A3823" s="211" t="s">
        <v>3216</v>
      </c>
      <c r="B3823" s="211">
        <v>4067</v>
      </c>
      <c r="C3823" s="211">
        <v>825</v>
      </c>
      <c r="D3823" s="211" t="s">
        <v>1117</v>
      </c>
      <c r="E3823" s="211" t="s">
        <v>10385</v>
      </c>
      <c r="F3823" s="211" t="s">
        <v>7272</v>
      </c>
    </row>
    <row r="3824" spans="1:6">
      <c r="A3824" s="211" t="s">
        <v>5105</v>
      </c>
      <c r="B3824" s="211">
        <v>6925</v>
      </c>
      <c r="C3824" s="211">
        <v>939</v>
      </c>
      <c r="D3824" s="211" t="s">
        <v>1255</v>
      </c>
      <c r="E3824" s="211" t="s">
        <v>10385</v>
      </c>
      <c r="F3824" s="211" t="s">
        <v>7339</v>
      </c>
    </row>
    <row r="3825" spans="1:6">
      <c r="A3825" s="211" t="s">
        <v>5934</v>
      </c>
      <c r="B3825" s="211">
        <v>7413</v>
      </c>
      <c r="C3825" s="211">
        <v>1996</v>
      </c>
      <c r="D3825" s="211" t="s">
        <v>1255</v>
      </c>
      <c r="E3825" s="211" t="s">
        <v>5935</v>
      </c>
      <c r="F3825" s="211" t="s">
        <v>7623</v>
      </c>
    </row>
    <row r="3826" spans="1:6">
      <c r="A3826" s="211" t="s">
        <v>5330</v>
      </c>
      <c r="B3826" s="211">
        <v>6606</v>
      </c>
      <c r="C3826" s="211">
        <v>946</v>
      </c>
      <c r="D3826" s="211" t="s">
        <v>1255</v>
      </c>
      <c r="E3826" s="211" t="s">
        <v>10385</v>
      </c>
      <c r="F3826" s="211" t="s">
        <v>7349</v>
      </c>
    </row>
    <row r="3827" spans="1:6">
      <c r="A3827" s="211" t="s">
        <v>3217</v>
      </c>
      <c r="B3827" s="211">
        <v>3777</v>
      </c>
      <c r="C3827" s="211">
        <v>1211</v>
      </c>
      <c r="D3827" s="211" t="s">
        <v>1255</v>
      </c>
      <c r="E3827" s="211" t="s">
        <v>10385</v>
      </c>
      <c r="F3827" s="211" t="s">
        <v>7262</v>
      </c>
    </row>
    <row r="3828" spans="1:6">
      <c r="A3828" s="211" t="s">
        <v>4497</v>
      </c>
      <c r="B3828" s="211">
        <v>6588</v>
      </c>
      <c r="C3828" s="211">
        <v>1841</v>
      </c>
      <c r="D3828" s="211" t="s">
        <v>1255</v>
      </c>
      <c r="E3828" s="211" t="s">
        <v>9614</v>
      </c>
      <c r="F3828" s="211" t="s">
        <v>7390</v>
      </c>
    </row>
    <row r="3829" spans="1:6">
      <c r="A3829" s="211" t="s">
        <v>5106</v>
      </c>
      <c r="B3829" s="211">
        <v>6811</v>
      </c>
      <c r="C3829" s="211">
        <v>1048</v>
      </c>
      <c r="D3829" s="211" t="s">
        <v>1117</v>
      </c>
      <c r="E3829" s="211" t="s">
        <v>10385</v>
      </c>
      <c r="F3829" s="211" t="s">
        <v>7224</v>
      </c>
    </row>
    <row r="3830" spans="1:6">
      <c r="A3830" s="211" t="s">
        <v>4896</v>
      </c>
      <c r="B3830" s="211">
        <v>4363</v>
      </c>
      <c r="C3830" s="211">
        <v>1295</v>
      </c>
      <c r="D3830" s="211" t="s">
        <v>1255</v>
      </c>
      <c r="E3830" s="211" t="s">
        <v>10385</v>
      </c>
      <c r="F3830" s="211" t="s">
        <v>7459</v>
      </c>
    </row>
    <row r="3831" spans="1:6">
      <c r="A3831" s="211" t="s">
        <v>3218</v>
      </c>
      <c r="B3831" s="211">
        <v>7825</v>
      </c>
      <c r="C3831" s="211">
        <v>2336</v>
      </c>
      <c r="D3831" s="211" t="s">
        <v>1117</v>
      </c>
      <c r="E3831" s="211" t="s">
        <v>9615</v>
      </c>
      <c r="F3831" s="211" t="s">
        <v>7246</v>
      </c>
    </row>
    <row r="3832" spans="1:6">
      <c r="A3832" s="211" t="s">
        <v>5936</v>
      </c>
      <c r="B3832" s="211">
        <v>7202</v>
      </c>
      <c r="C3832" s="211">
        <v>1780</v>
      </c>
      <c r="D3832" s="211" t="s">
        <v>1255</v>
      </c>
      <c r="E3832" s="211" t="s">
        <v>5937</v>
      </c>
      <c r="F3832" s="211" t="s">
        <v>7316</v>
      </c>
    </row>
    <row r="3833" spans="1:6">
      <c r="A3833" s="211" t="s">
        <v>3219</v>
      </c>
      <c r="B3833" s="211">
        <v>5228</v>
      </c>
      <c r="C3833" s="211">
        <v>1347</v>
      </c>
      <c r="D3833" s="211" t="s">
        <v>1255</v>
      </c>
      <c r="E3833" s="211" t="s">
        <v>10385</v>
      </c>
      <c r="F3833" s="211" t="s">
        <v>7318</v>
      </c>
    </row>
    <row r="3834" spans="1:6">
      <c r="A3834" s="211" t="s">
        <v>6874</v>
      </c>
      <c r="B3834" s="211">
        <v>7824</v>
      </c>
      <c r="C3834" s="211">
        <v>558</v>
      </c>
      <c r="D3834" s="211" t="s">
        <v>1117</v>
      </c>
      <c r="E3834" s="211" t="s">
        <v>9616</v>
      </c>
      <c r="F3834" s="211" t="s">
        <v>7524</v>
      </c>
    </row>
    <row r="3835" spans="1:6">
      <c r="A3835" s="211" t="s">
        <v>5107</v>
      </c>
      <c r="B3835" s="211">
        <v>6798</v>
      </c>
      <c r="C3835" s="211">
        <v>819</v>
      </c>
      <c r="D3835" s="211" t="s">
        <v>1255</v>
      </c>
      <c r="E3835" s="211" t="s">
        <v>10385</v>
      </c>
      <c r="F3835" s="211" t="s">
        <v>7334</v>
      </c>
    </row>
    <row r="3836" spans="1:6">
      <c r="A3836" s="211" t="s">
        <v>3220</v>
      </c>
      <c r="B3836" s="211">
        <v>5500</v>
      </c>
      <c r="C3836" s="211">
        <v>1754</v>
      </c>
      <c r="D3836" s="211" t="s">
        <v>1117</v>
      </c>
      <c r="E3836" s="211" t="s">
        <v>9617</v>
      </c>
      <c r="F3836" s="211" t="s">
        <v>7272</v>
      </c>
    </row>
    <row r="3837" spans="1:6">
      <c r="A3837" s="211" t="s">
        <v>3221</v>
      </c>
      <c r="B3837" s="211">
        <v>1648</v>
      </c>
      <c r="C3837" s="211">
        <v>1056</v>
      </c>
      <c r="D3837" s="211" t="s">
        <v>1255</v>
      </c>
      <c r="E3837" s="211" t="s">
        <v>10385</v>
      </c>
      <c r="F3837" s="211" t="s">
        <v>7192</v>
      </c>
    </row>
    <row r="3838" spans="1:6">
      <c r="A3838" s="211" t="s">
        <v>9618</v>
      </c>
      <c r="B3838" s="211">
        <v>8010</v>
      </c>
      <c r="C3838" s="211">
        <v>1432</v>
      </c>
      <c r="D3838" s="211" t="s">
        <v>1117</v>
      </c>
      <c r="E3838" s="211" t="s">
        <v>10718</v>
      </c>
      <c r="F3838" s="211" t="s">
        <v>7173</v>
      </c>
    </row>
    <row r="3839" spans="1:6">
      <c r="A3839" s="211" t="s">
        <v>9619</v>
      </c>
      <c r="B3839" s="211">
        <v>8153</v>
      </c>
      <c r="C3839" s="211">
        <v>1558</v>
      </c>
      <c r="D3839" s="211" t="s">
        <v>1255</v>
      </c>
      <c r="E3839" s="211" t="s">
        <v>9594</v>
      </c>
      <c r="F3839" s="211" t="s">
        <v>7386</v>
      </c>
    </row>
    <row r="3840" spans="1:6">
      <c r="A3840" s="211" t="s">
        <v>3222</v>
      </c>
      <c r="B3840" s="211">
        <v>4779</v>
      </c>
      <c r="C3840" s="211">
        <v>989</v>
      </c>
      <c r="D3840" s="211" t="s">
        <v>1255</v>
      </c>
      <c r="E3840" s="211" t="s">
        <v>10385</v>
      </c>
      <c r="F3840" s="211" t="s">
        <v>7167</v>
      </c>
    </row>
    <row r="3841" spans="1:6">
      <c r="A3841" s="211" t="s">
        <v>4669</v>
      </c>
      <c r="B3841" s="211">
        <v>6420</v>
      </c>
      <c r="C3841" s="211">
        <v>1207</v>
      </c>
      <c r="D3841" s="211" t="s">
        <v>1255</v>
      </c>
      <c r="E3841" s="211" t="s">
        <v>9620</v>
      </c>
      <c r="F3841" s="211" t="s">
        <v>7167</v>
      </c>
    </row>
    <row r="3842" spans="1:6">
      <c r="A3842" s="211" t="s">
        <v>3223</v>
      </c>
      <c r="B3842" s="211">
        <v>1600</v>
      </c>
      <c r="C3842" s="211">
        <v>1150</v>
      </c>
      <c r="D3842" s="211" t="s">
        <v>1255</v>
      </c>
      <c r="E3842" s="211" t="s">
        <v>10385</v>
      </c>
      <c r="F3842" s="211" t="s">
        <v>7265</v>
      </c>
    </row>
    <row r="3843" spans="1:6">
      <c r="A3843" s="211" t="s">
        <v>3224</v>
      </c>
      <c r="B3843" s="211">
        <v>4349</v>
      </c>
      <c r="C3843" s="211">
        <v>626</v>
      </c>
      <c r="D3843" s="211" t="s">
        <v>1117</v>
      </c>
      <c r="E3843" s="211" t="s">
        <v>10385</v>
      </c>
      <c r="F3843" s="211" t="s">
        <v>7459</v>
      </c>
    </row>
    <row r="3844" spans="1:6">
      <c r="A3844" s="211" t="s">
        <v>9621</v>
      </c>
      <c r="B3844" s="211">
        <v>8020</v>
      </c>
      <c r="C3844" s="211">
        <v>1796</v>
      </c>
      <c r="D3844" s="211" t="s">
        <v>1255</v>
      </c>
      <c r="E3844" s="211" t="s">
        <v>9622</v>
      </c>
      <c r="F3844" s="211" t="s">
        <v>7343</v>
      </c>
    </row>
    <row r="3845" spans="1:6">
      <c r="A3845" s="211" t="s">
        <v>5379</v>
      </c>
      <c r="B3845" s="211">
        <v>6978</v>
      </c>
      <c r="C3845" s="211">
        <v>909</v>
      </c>
      <c r="D3845" s="211" t="s">
        <v>1255</v>
      </c>
      <c r="E3845" s="211" t="s">
        <v>10385</v>
      </c>
      <c r="F3845" s="211" t="s">
        <v>7250</v>
      </c>
    </row>
    <row r="3846" spans="1:6">
      <c r="A3846" s="211" t="s">
        <v>3850</v>
      </c>
      <c r="B3846" s="211">
        <v>2194</v>
      </c>
      <c r="C3846" s="211">
        <v>920</v>
      </c>
      <c r="D3846" s="211" t="s">
        <v>1255</v>
      </c>
      <c r="E3846" s="211" t="s">
        <v>10385</v>
      </c>
      <c r="F3846" s="211" t="s">
        <v>7797</v>
      </c>
    </row>
    <row r="3847" spans="1:6">
      <c r="A3847" s="211" t="s">
        <v>9623</v>
      </c>
      <c r="B3847" s="211">
        <v>8124</v>
      </c>
      <c r="C3847" s="211">
        <v>1500</v>
      </c>
      <c r="D3847" s="211" t="s">
        <v>1255</v>
      </c>
      <c r="E3847" s="211" t="s">
        <v>10385</v>
      </c>
      <c r="F3847" s="211" t="s">
        <v>7167</v>
      </c>
    </row>
    <row r="3848" spans="1:6">
      <c r="A3848" s="211" t="s">
        <v>10719</v>
      </c>
      <c r="B3848" s="211">
        <v>8063</v>
      </c>
      <c r="C3848" s="211">
        <v>605</v>
      </c>
      <c r="D3848" s="211" t="s">
        <v>1255</v>
      </c>
      <c r="E3848" s="211" t="s">
        <v>10385</v>
      </c>
      <c r="F3848" s="211" t="s">
        <v>7331</v>
      </c>
    </row>
    <row r="3849" spans="1:6">
      <c r="A3849" s="211" t="s">
        <v>10720</v>
      </c>
      <c r="B3849" s="211">
        <v>3397</v>
      </c>
      <c r="C3849" s="211">
        <v>1405</v>
      </c>
      <c r="D3849" s="211" t="s">
        <v>1255</v>
      </c>
      <c r="E3849" s="211" t="s">
        <v>10721</v>
      </c>
      <c r="F3849" s="211" t="s">
        <v>7331</v>
      </c>
    </row>
    <row r="3850" spans="1:6">
      <c r="A3850" s="211" t="s">
        <v>3225</v>
      </c>
      <c r="B3850" s="211">
        <v>744</v>
      </c>
      <c r="C3850" s="211">
        <v>2099</v>
      </c>
      <c r="D3850" s="211" t="s">
        <v>1255</v>
      </c>
      <c r="E3850" s="211" t="s">
        <v>10385</v>
      </c>
      <c r="F3850" s="211" t="s">
        <v>7318</v>
      </c>
    </row>
    <row r="3851" spans="1:6">
      <c r="A3851" s="211" t="s">
        <v>9624</v>
      </c>
      <c r="B3851" s="211">
        <v>8253</v>
      </c>
      <c r="C3851" s="211">
        <v>959</v>
      </c>
      <c r="D3851" s="211" t="s">
        <v>1255</v>
      </c>
      <c r="E3851" s="211" t="s">
        <v>10385</v>
      </c>
      <c r="F3851" s="211" t="s">
        <v>7335</v>
      </c>
    </row>
    <row r="3852" spans="1:6">
      <c r="A3852" s="211" t="s">
        <v>4808</v>
      </c>
      <c r="B3852" s="211">
        <v>6137</v>
      </c>
      <c r="C3852" s="211">
        <v>1474</v>
      </c>
      <c r="D3852" s="211" t="s">
        <v>1255</v>
      </c>
      <c r="E3852" s="211" t="s">
        <v>10385</v>
      </c>
      <c r="F3852" s="211" t="s">
        <v>7258</v>
      </c>
    </row>
    <row r="3853" spans="1:6">
      <c r="A3853" s="211" t="s">
        <v>5938</v>
      </c>
      <c r="B3853" s="211">
        <v>7159</v>
      </c>
      <c r="C3853" s="211">
        <v>1504</v>
      </c>
      <c r="D3853" s="211" t="s">
        <v>1255</v>
      </c>
      <c r="E3853" s="211" t="s">
        <v>5939</v>
      </c>
      <c r="F3853" s="211" t="s">
        <v>7275</v>
      </c>
    </row>
    <row r="3854" spans="1:6">
      <c r="A3854" s="211" t="s">
        <v>4698</v>
      </c>
      <c r="B3854" s="211">
        <v>6382</v>
      </c>
      <c r="C3854" s="211">
        <v>1341</v>
      </c>
      <c r="D3854" s="211" t="s">
        <v>1255</v>
      </c>
      <c r="E3854" s="211" t="s">
        <v>5940</v>
      </c>
      <c r="F3854" s="211" t="s">
        <v>7384</v>
      </c>
    </row>
    <row r="3855" spans="1:6">
      <c r="A3855" s="211" t="s">
        <v>3226</v>
      </c>
      <c r="B3855" s="211">
        <v>3678</v>
      </c>
      <c r="C3855" s="211">
        <v>890</v>
      </c>
      <c r="D3855" s="211" t="s">
        <v>1117</v>
      </c>
      <c r="E3855" s="211" t="s">
        <v>10385</v>
      </c>
      <c r="F3855" s="211" t="s">
        <v>7402</v>
      </c>
    </row>
    <row r="3856" spans="1:6">
      <c r="A3856" s="211" t="s">
        <v>3227</v>
      </c>
      <c r="B3856" s="211">
        <v>5930</v>
      </c>
      <c r="C3856" s="211">
        <v>1162</v>
      </c>
      <c r="D3856" s="211" t="s">
        <v>1117</v>
      </c>
      <c r="E3856" s="211" t="s">
        <v>10385</v>
      </c>
      <c r="F3856" s="211" t="s">
        <v>7292</v>
      </c>
    </row>
    <row r="3857" spans="1:6">
      <c r="A3857" s="211" t="s">
        <v>5941</v>
      </c>
      <c r="B3857" s="211">
        <v>7133</v>
      </c>
      <c r="C3857" s="211">
        <v>1937</v>
      </c>
      <c r="D3857" s="211" t="s">
        <v>1117</v>
      </c>
      <c r="E3857" s="211" t="s">
        <v>10722</v>
      </c>
      <c r="F3857" s="211" t="s">
        <v>7217</v>
      </c>
    </row>
    <row r="3858" spans="1:6">
      <c r="A3858" s="211" t="s">
        <v>3228</v>
      </c>
      <c r="B3858" s="211">
        <v>3579</v>
      </c>
      <c r="C3858" s="211">
        <v>358</v>
      </c>
      <c r="D3858" s="211" t="s">
        <v>1117</v>
      </c>
      <c r="E3858" s="211" t="s">
        <v>10385</v>
      </c>
      <c r="F3858" s="211" t="s">
        <v>7249</v>
      </c>
    </row>
    <row r="3859" spans="1:6">
      <c r="A3859" s="211" t="s">
        <v>3229</v>
      </c>
      <c r="B3859" s="211">
        <v>1654</v>
      </c>
      <c r="C3859" s="211">
        <v>1088</v>
      </c>
      <c r="D3859" s="211" t="s">
        <v>1255</v>
      </c>
      <c r="E3859" s="211" t="s">
        <v>10385</v>
      </c>
      <c r="F3859" s="211" t="s">
        <v>7201</v>
      </c>
    </row>
    <row r="3860" spans="1:6">
      <c r="A3860" s="211" t="s">
        <v>8168</v>
      </c>
      <c r="B3860" s="211">
        <v>13</v>
      </c>
      <c r="C3860" s="211" t="s">
        <v>10385</v>
      </c>
      <c r="D3860" s="211" t="s">
        <v>1255</v>
      </c>
      <c r="E3860" s="211" t="s">
        <v>10385</v>
      </c>
      <c r="F3860" s="211" t="s">
        <v>7231</v>
      </c>
    </row>
    <row r="3861" spans="1:6">
      <c r="A3861" s="211" t="s">
        <v>5942</v>
      </c>
      <c r="B3861" s="211">
        <v>7394</v>
      </c>
      <c r="C3861" s="211">
        <v>1440</v>
      </c>
      <c r="D3861" s="211" t="s">
        <v>1255</v>
      </c>
      <c r="E3861" s="211" t="s">
        <v>5943</v>
      </c>
      <c r="F3861" s="211" t="s">
        <v>7928</v>
      </c>
    </row>
    <row r="3862" spans="1:6">
      <c r="A3862" s="211" t="s">
        <v>3230</v>
      </c>
      <c r="B3862" s="211">
        <v>3498</v>
      </c>
      <c r="C3862" s="211">
        <v>1206</v>
      </c>
      <c r="D3862" s="211" t="s">
        <v>1255</v>
      </c>
      <c r="E3862" s="211" t="s">
        <v>10385</v>
      </c>
      <c r="F3862" s="211" t="s">
        <v>7177</v>
      </c>
    </row>
    <row r="3863" spans="1:6">
      <c r="A3863" s="211" t="s">
        <v>3231</v>
      </c>
      <c r="B3863" s="211">
        <v>4344</v>
      </c>
      <c r="C3863" s="211">
        <v>915</v>
      </c>
      <c r="D3863" s="211" t="s">
        <v>1117</v>
      </c>
      <c r="E3863" s="211" t="s">
        <v>10385</v>
      </c>
      <c r="F3863" s="211" t="s">
        <v>7459</v>
      </c>
    </row>
    <row r="3864" spans="1:6">
      <c r="A3864" s="211" t="s">
        <v>5944</v>
      </c>
      <c r="B3864" s="211">
        <v>7488</v>
      </c>
      <c r="C3864" s="211">
        <v>1606</v>
      </c>
      <c r="D3864" s="211" t="s">
        <v>1117</v>
      </c>
      <c r="E3864" s="211" t="s">
        <v>9625</v>
      </c>
      <c r="F3864" s="211" t="s">
        <v>7284</v>
      </c>
    </row>
    <row r="3865" spans="1:6">
      <c r="A3865" s="211" t="s">
        <v>6875</v>
      </c>
      <c r="B3865" s="211">
        <v>7733</v>
      </c>
      <c r="C3865" s="211">
        <v>1403</v>
      </c>
      <c r="D3865" s="211" t="s">
        <v>1117</v>
      </c>
      <c r="E3865" s="211" t="s">
        <v>9626</v>
      </c>
      <c r="F3865" s="211" t="s">
        <v>7322</v>
      </c>
    </row>
    <row r="3866" spans="1:6">
      <c r="A3866" s="211" t="s">
        <v>8169</v>
      </c>
      <c r="B3866" s="211">
        <v>3914</v>
      </c>
      <c r="C3866" s="211" t="s">
        <v>10385</v>
      </c>
      <c r="D3866" s="211" t="s">
        <v>1255</v>
      </c>
      <c r="E3866" s="211" t="s">
        <v>10385</v>
      </c>
      <c r="F3866" s="211" t="s">
        <v>7356</v>
      </c>
    </row>
    <row r="3867" spans="1:6">
      <c r="A3867" s="211" t="s">
        <v>10723</v>
      </c>
      <c r="B3867" s="211">
        <v>8691</v>
      </c>
      <c r="C3867" s="211">
        <v>1203</v>
      </c>
      <c r="D3867" s="211" t="s">
        <v>1117</v>
      </c>
      <c r="E3867" s="211" t="s">
        <v>10724</v>
      </c>
      <c r="F3867" s="211" t="s">
        <v>7587</v>
      </c>
    </row>
    <row r="3868" spans="1:6">
      <c r="A3868" s="211" t="s">
        <v>3232</v>
      </c>
      <c r="B3868" s="211">
        <v>4203</v>
      </c>
      <c r="C3868" s="211">
        <v>1280</v>
      </c>
      <c r="D3868" s="211" t="s">
        <v>1255</v>
      </c>
      <c r="E3868" s="211" t="s">
        <v>10385</v>
      </c>
      <c r="F3868" s="211" t="s">
        <v>7383</v>
      </c>
    </row>
    <row r="3869" spans="1:6">
      <c r="A3869" s="211" t="s">
        <v>3233</v>
      </c>
      <c r="B3869" s="211">
        <v>2463</v>
      </c>
      <c r="C3869" s="211">
        <v>1373</v>
      </c>
      <c r="D3869" s="211" t="s">
        <v>1255</v>
      </c>
      <c r="E3869" s="211" t="s">
        <v>10385</v>
      </c>
      <c r="F3869" s="211" t="s">
        <v>7201</v>
      </c>
    </row>
    <row r="3870" spans="1:6">
      <c r="A3870" s="211" t="s">
        <v>5331</v>
      </c>
      <c r="B3870" s="211">
        <v>6693</v>
      </c>
      <c r="C3870" s="211">
        <v>1874</v>
      </c>
      <c r="D3870" s="211" t="s">
        <v>1255</v>
      </c>
      <c r="E3870" s="211" t="s">
        <v>10385</v>
      </c>
      <c r="F3870" s="211" t="s">
        <v>7331</v>
      </c>
    </row>
    <row r="3871" spans="1:6">
      <c r="A3871" s="211" t="s">
        <v>5945</v>
      </c>
      <c r="B3871" s="211">
        <v>7084</v>
      </c>
      <c r="C3871" s="211">
        <v>1557</v>
      </c>
      <c r="D3871" s="211" t="s">
        <v>1255</v>
      </c>
      <c r="E3871" s="211" t="s">
        <v>9627</v>
      </c>
      <c r="F3871" s="211" t="s">
        <v>7415</v>
      </c>
    </row>
    <row r="3872" spans="1:6">
      <c r="A3872" s="211" t="s">
        <v>8170</v>
      </c>
      <c r="B3872" s="211">
        <v>2196</v>
      </c>
      <c r="C3872" s="211" t="s">
        <v>10385</v>
      </c>
      <c r="D3872" s="211" t="s">
        <v>1255</v>
      </c>
      <c r="E3872" s="211" t="s">
        <v>10385</v>
      </c>
      <c r="F3872" s="211" t="s">
        <v>7797</v>
      </c>
    </row>
    <row r="3873" spans="1:6">
      <c r="A3873" s="211" t="s">
        <v>10725</v>
      </c>
      <c r="B3873" s="211">
        <v>8698</v>
      </c>
      <c r="C3873" s="211">
        <v>2259</v>
      </c>
      <c r="D3873" s="211" t="s">
        <v>1255</v>
      </c>
      <c r="E3873" s="211" t="s">
        <v>10385</v>
      </c>
      <c r="F3873" s="211" t="s">
        <v>7386</v>
      </c>
    </row>
    <row r="3874" spans="1:6">
      <c r="A3874" s="211" t="s">
        <v>3234</v>
      </c>
      <c r="B3874" s="211">
        <v>851</v>
      </c>
      <c r="C3874" s="211">
        <v>1655</v>
      </c>
      <c r="D3874" s="211" t="s">
        <v>1255</v>
      </c>
      <c r="E3874" s="211" t="s">
        <v>10385</v>
      </c>
      <c r="F3874" s="211" t="s">
        <v>7320</v>
      </c>
    </row>
    <row r="3875" spans="1:6">
      <c r="A3875" s="211" t="s">
        <v>8171</v>
      </c>
      <c r="B3875" s="211">
        <v>281</v>
      </c>
      <c r="C3875" s="211" t="s">
        <v>10385</v>
      </c>
      <c r="D3875" s="211" t="s">
        <v>1255</v>
      </c>
      <c r="E3875" s="211" t="s">
        <v>10385</v>
      </c>
      <c r="F3875" s="211" t="s">
        <v>7320</v>
      </c>
    </row>
    <row r="3876" spans="1:6">
      <c r="A3876" s="211" t="s">
        <v>5946</v>
      </c>
      <c r="B3876" s="211">
        <v>5381</v>
      </c>
      <c r="C3876" s="211">
        <v>1444</v>
      </c>
      <c r="D3876" s="211" t="s">
        <v>1255</v>
      </c>
      <c r="E3876" s="211" t="s">
        <v>5947</v>
      </c>
      <c r="F3876" s="211" t="s">
        <v>7334</v>
      </c>
    </row>
    <row r="3877" spans="1:6">
      <c r="A3877" s="211" t="s">
        <v>5108</v>
      </c>
      <c r="B3877" s="211">
        <v>4202</v>
      </c>
      <c r="C3877" s="211">
        <v>1466</v>
      </c>
      <c r="D3877" s="211" t="s">
        <v>1255</v>
      </c>
      <c r="E3877" s="211" t="s">
        <v>10385</v>
      </c>
      <c r="F3877" s="211" t="s">
        <v>7383</v>
      </c>
    </row>
    <row r="3878" spans="1:6">
      <c r="A3878" s="211" t="s">
        <v>5109</v>
      </c>
      <c r="B3878" s="211">
        <v>3793</v>
      </c>
      <c r="C3878" s="211">
        <v>1224</v>
      </c>
      <c r="D3878" s="211" t="s">
        <v>1255</v>
      </c>
      <c r="E3878" s="211" t="s">
        <v>10385</v>
      </c>
      <c r="F3878" s="211" t="s">
        <v>7334</v>
      </c>
    </row>
    <row r="3879" spans="1:6">
      <c r="A3879" s="211" t="s">
        <v>3235</v>
      </c>
      <c r="B3879" s="211">
        <v>1316</v>
      </c>
      <c r="C3879" s="211">
        <v>1604</v>
      </c>
      <c r="D3879" s="211" t="s">
        <v>1255</v>
      </c>
      <c r="E3879" s="211" t="s">
        <v>10385</v>
      </c>
      <c r="F3879" s="211" t="s">
        <v>7610</v>
      </c>
    </row>
    <row r="3880" spans="1:6">
      <c r="A3880" s="211" t="s">
        <v>10726</v>
      </c>
      <c r="B3880" s="211">
        <v>8289</v>
      </c>
      <c r="C3880" s="211">
        <v>2496</v>
      </c>
      <c r="D3880" s="211" t="s">
        <v>1255</v>
      </c>
      <c r="E3880" s="211" t="s">
        <v>10727</v>
      </c>
      <c r="F3880" s="211" t="s">
        <v>7510</v>
      </c>
    </row>
    <row r="3881" spans="1:6">
      <c r="A3881" s="211" t="s">
        <v>8934</v>
      </c>
      <c r="B3881" s="211">
        <v>199</v>
      </c>
      <c r="C3881" s="211" t="s">
        <v>10385</v>
      </c>
      <c r="D3881" s="211" t="s">
        <v>1255</v>
      </c>
      <c r="E3881" s="211" t="s">
        <v>10385</v>
      </c>
      <c r="F3881" s="211" t="s">
        <v>7272</v>
      </c>
    </row>
    <row r="3882" spans="1:6">
      <c r="A3882" s="211" t="s">
        <v>10728</v>
      </c>
      <c r="B3882" s="211">
        <v>3268</v>
      </c>
      <c r="C3882" s="211">
        <v>1380</v>
      </c>
      <c r="D3882" s="211" t="s">
        <v>1255</v>
      </c>
      <c r="E3882" s="211" t="s">
        <v>10385</v>
      </c>
      <c r="F3882" s="211" t="s">
        <v>7212</v>
      </c>
    </row>
    <row r="3883" spans="1:6">
      <c r="A3883" s="211" t="s">
        <v>8935</v>
      </c>
      <c r="B3883" s="211">
        <v>701</v>
      </c>
      <c r="C3883" s="211" t="s">
        <v>10385</v>
      </c>
      <c r="D3883" s="211" t="s">
        <v>1255</v>
      </c>
      <c r="E3883" s="211" t="s">
        <v>10385</v>
      </c>
      <c r="F3883" s="211" t="s">
        <v>7239</v>
      </c>
    </row>
    <row r="3884" spans="1:6">
      <c r="A3884" s="211" t="s">
        <v>8936</v>
      </c>
      <c r="B3884" s="211">
        <v>6643</v>
      </c>
      <c r="C3884" s="211">
        <v>1312</v>
      </c>
      <c r="D3884" s="211" t="s">
        <v>1255</v>
      </c>
      <c r="E3884" s="211" t="s">
        <v>10385</v>
      </c>
      <c r="F3884" s="211" t="s">
        <v>7304</v>
      </c>
    </row>
    <row r="3885" spans="1:6">
      <c r="A3885" s="211" t="s">
        <v>8937</v>
      </c>
      <c r="B3885" s="211">
        <v>501</v>
      </c>
      <c r="C3885" s="211" t="s">
        <v>10385</v>
      </c>
      <c r="D3885" s="211" t="s">
        <v>1255</v>
      </c>
      <c r="E3885" s="211" t="s">
        <v>10385</v>
      </c>
      <c r="F3885" s="211" t="s">
        <v>7342</v>
      </c>
    </row>
    <row r="3886" spans="1:6">
      <c r="A3886" s="211" t="s">
        <v>8938</v>
      </c>
      <c r="B3886" s="211">
        <v>6435</v>
      </c>
      <c r="C3886" s="211">
        <v>1185</v>
      </c>
      <c r="D3886" s="211" t="s">
        <v>1255</v>
      </c>
      <c r="E3886" s="211" t="s">
        <v>10385</v>
      </c>
      <c r="F3886" s="211" t="s">
        <v>7241</v>
      </c>
    </row>
    <row r="3887" spans="1:6">
      <c r="A3887" s="211" t="s">
        <v>8939</v>
      </c>
      <c r="B3887" s="211">
        <v>6755</v>
      </c>
      <c r="C3887" s="211">
        <v>1312</v>
      </c>
      <c r="D3887" s="211" t="s">
        <v>1255</v>
      </c>
      <c r="E3887" s="211" t="s">
        <v>10385</v>
      </c>
      <c r="F3887" s="211" t="s">
        <v>7242</v>
      </c>
    </row>
    <row r="3888" spans="1:6">
      <c r="A3888" s="211" t="s">
        <v>10385</v>
      </c>
      <c r="B3888" s="211">
        <v>8621</v>
      </c>
      <c r="C3888" s="211">
        <v>351</v>
      </c>
      <c r="D3888" s="211" t="s">
        <v>1255</v>
      </c>
      <c r="E3888" s="211" t="s">
        <v>10385</v>
      </c>
      <c r="F3888" s="211" t="s">
        <v>8210</v>
      </c>
    </row>
    <row r="3889" spans="1:6">
      <c r="A3889" s="211" t="s">
        <v>5110</v>
      </c>
      <c r="B3889" s="211">
        <v>6690</v>
      </c>
      <c r="C3889" s="211">
        <v>871</v>
      </c>
      <c r="D3889" s="211" t="s">
        <v>1117</v>
      </c>
      <c r="E3889" s="211" t="s">
        <v>10385</v>
      </c>
      <c r="F3889" s="211" t="s">
        <v>7383</v>
      </c>
    </row>
    <row r="3890" spans="1:6">
      <c r="A3890" s="211" t="s">
        <v>8173</v>
      </c>
      <c r="B3890" s="211">
        <v>4200</v>
      </c>
      <c r="C3890" s="211" t="s">
        <v>10385</v>
      </c>
      <c r="D3890" s="211" t="s">
        <v>1255</v>
      </c>
      <c r="E3890" s="211" t="s">
        <v>10385</v>
      </c>
      <c r="F3890" s="211" t="s">
        <v>7316</v>
      </c>
    </row>
    <row r="3891" spans="1:6">
      <c r="A3891" s="211" t="s">
        <v>8172</v>
      </c>
      <c r="B3891" s="211">
        <v>5965</v>
      </c>
      <c r="C3891" s="211" t="s">
        <v>10385</v>
      </c>
      <c r="D3891" s="211" t="s">
        <v>1255</v>
      </c>
      <c r="E3891" s="211" t="s">
        <v>10385</v>
      </c>
      <c r="F3891" s="211" t="s">
        <v>7471</v>
      </c>
    </row>
    <row r="3892" spans="1:6">
      <c r="A3892" s="211" t="s">
        <v>8174</v>
      </c>
      <c r="B3892" s="211">
        <v>7866</v>
      </c>
      <c r="C3892" s="211">
        <v>1360</v>
      </c>
      <c r="D3892" s="211" t="s">
        <v>1255</v>
      </c>
      <c r="E3892" s="211" t="s">
        <v>9628</v>
      </c>
      <c r="F3892" s="211" t="s">
        <v>7240</v>
      </c>
    </row>
    <row r="3893" spans="1:6">
      <c r="A3893" s="211" t="s">
        <v>8175</v>
      </c>
      <c r="B3893" s="211">
        <v>6990</v>
      </c>
      <c r="C3893" s="211">
        <v>677</v>
      </c>
      <c r="D3893" s="211" t="s">
        <v>1117</v>
      </c>
      <c r="E3893" s="211" t="s">
        <v>10385</v>
      </c>
      <c r="F3893" s="211" t="s">
        <v>7386</v>
      </c>
    </row>
    <row r="3894" spans="1:6">
      <c r="A3894" s="211" t="s">
        <v>3236</v>
      </c>
      <c r="B3894" s="211">
        <v>2852</v>
      </c>
      <c r="C3894" s="211">
        <v>1026</v>
      </c>
      <c r="D3894" s="211" t="s">
        <v>1117</v>
      </c>
      <c r="E3894" s="211" t="s">
        <v>10385</v>
      </c>
      <c r="F3894" s="211" t="s">
        <v>7171</v>
      </c>
    </row>
    <row r="3895" spans="1:6">
      <c r="A3895" s="211" t="s">
        <v>3237</v>
      </c>
      <c r="B3895" s="211">
        <v>2420</v>
      </c>
      <c r="C3895" s="211">
        <v>1182</v>
      </c>
      <c r="D3895" s="211" t="s">
        <v>1117</v>
      </c>
      <c r="E3895" s="211" t="s">
        <v>10385</v>
      </c>
      <c r="F3895" s="211" t="s">
        <v>7173</v>
      </c>
    </row>
    <row r="3896" spans="1:6">
      <c r="A3896" s="211" t="s">
        <v>9629</v>
      </c>
      <c r="B3896" s="211">
        <v>8518</v>
      </c>
      <c r="C3896" s="211" t="s">
        <v>10385</v>
      </c>
      <c r="D3896" s="211" t="s">
        <v>1255</v>
      </c>
      <c r="E3896" s="211" t="s">
        <v>10385</v>
      </c>
      <c r="F3896" s="211" t="s">
        <v>7308</v>
      </c>
    </row>
    <row r="3897" spans="1:6">
      <c r="A3897" s="211" t="s">
        <v>3238</v>
      </c>
      <c r="B3897" s="211">
        <v>494</v>
      </c>
      <c r="C3897" s="211">
        <v>1724</v>
      </c>
      <c r="D3897" s="211" t="s">
        <v>1255</v>
      </c>
      <c r="E3897" s="211" t="s">
        <v>10385</v>
      </c>
      <c r="F3897" s="211" t="s">
        <v>7177</v>
      </c>
    </row>
    <row r="3898" spans="1:6">
      <c r="A3898" s="211" t="s">
        <v>9630</v>
      </c>
      <c r="B3898" s="211">
        <v>8185</v>
      </c>
      <c r="C3898" s="211">
        <v>1010</v>
      </c>
      <c r="D3898" s="211" t="s">
        <v>1255</v>
      </c>
      <c r="E3898" s="211" t="s">
        <v>9631</v>
      </c>
      <c r="F3898" s="211" t="s">
        <v>9068</v>
      </c>
    </row>
    <row r="3899" spans="1:6">
      <c r="A3899" s="211" t="s">
        <v>3239</v>
      </c>
      <c r="B3899" s="211">
        <v>1791</v>
      </c>
      <c r="C3899" s="211">
        <v>1445</v>
      </c>
      <c r="D3899" s="211" t="s">
        <v>1255</v>
      </c>
      <c r="E3899" s="211" t="s">
        <v>10385</v>
      </c>
      <c r="F3899" s="211" t="s">
        <v>7433</v>
      </c>
    </row>
    <row r="3900" spans="1:6">
      <c r="A3900" s="211" t="s">
        <v>3240</v>
      </c>
      <c r="B3900" s="211">
        <v>2963</v>
      </c>
      <c r="C3900" s="211">
        <v>929</v>
      </c>
      <c r="D3900" s="211" t="s">
        <v>1117</v>
      </c>
      <c r="E3900" s="211" t="s">
        <v>10385</v>
      </c>
      <c r="F3900" s="211" t="s">
        <v>7308</v>
      </c>
    </row>
    <row r="3901" spans="1:6">
      <c r="A3901" s="211" t="s">
        <v>3241</v>
      </c>
      <c r="B3901" s="211">
        <v>1652</v>
      </c>
      <c r="C3901" s="211">
        <v>1219</v>
      </c>
      <c r="D3901" s="211" t="s">
        <v>1117</v>
      </c>
      <c r="E3901" s="211" t="s">
        <v>10385</v>
      </c>
      <c r="F3901" s="211" t="s">
        <v>7245</v>
      </c>
    </row>
    <row r="3902" spans="1:6">
      <c r="A3902" s="211" t="s">
        <v>5948</v>
      </c>
      <c r="B3902" s="211">
        <v>7411</v>
      </c>
      <c r="C3902" s="211">
        <v>999</v>
      </c>
      <c r="D3902" s="211" t="s">
        <v>1117</v>
      </c>
      <c r="E3902" s="211" t="s">
        <v>10385</v>
      </c>
      <c r="F3902" s="211" t="s">
        <v>7577</v>
      </c>
    </row>
    <row r="3903" spans="1:6">
      <c r="A3903" s="211" t="s">
        <v>8176</v>
      </c>
      <c r="B3903" s="211">
        <v>1013</v>
      </c>
      <c r="C3903" s="211" t="s">
        <v>10385</v>
      </c>
      <c r="D3903" s="211" t="s">
        <v>1255</v>
      </c>
      <c r="E3903" s="211" t="s">
        <v>10385</v>
      </c>
      <c r="F3903" s="211" t="s">
        <v>7171</v>
      </c>
    </row>
    <row r="3904" spans="1:6">
      <c r="A3904" s="211" t="s">
        <v>3242</v>
      </c>
      <c r="B3904" s="211">
        <v>559</v>
      </c>
      <c r="C3904" s="211">
        <v>1084</v>
      </c>
      <c r="D3904" s="211" t="s">
        <v>1255</v>
      </c>
      <c r="E3904" s="211" t="s">
        <v>10385</v>
      </c>
      <c r="F3904" s="211" t="s">
        <v>7262</v>
      </c>
    </row>
    <row r="3905" spans="1:6">
      <c r="A3905" s="211" t="s">
        <v>5949</v>
      </c>
      <c r="B3905" s="211">
        <v>7431</v>
      </c>
      <c r="C3905" s="211">
        <v>1295</v>
      </c>
      <c r="D3905" s="211" t="s">
        <v>1255</v>
      </c>
      <c r="E3905" s="211" t="s">
        <v>10385</v>
      </c>
      <c r="F3905" s="211" t="s">
        <v>7165</v>
      </c>
    </row>
    <row r="3906" spans="1:6">
      <c r="A3906" s="211" t="s">
        <v>3243</v>
      </c>
      <c r="B3906" s="211">
        <v>5941</v>
      </c>
      <c r="C3906" s="211">
        <v>787</v>
      </c>
      <c r="D3906" s="211" t="s">
        <v>1117</v>
      </c>
      <c r="E3906" s="211" t="s">
        <v>10385</v>
      </c>
      <c r="F3906" s="211" t="s">
        <v>7524</v>
      </c>
    </row>
    <row r="3907" spans="1:6">
      <c r="A3907" s="211" t="s">
        <v>3244</v>
      </c>
      <c r="B3907" s="211">
        <v>3533</v>
      </c>
      <c r="C3907" s="211">
        <v>762</v>
      </c>
      <c r="D3907" s="211" t="s">
        <v>1117</v>
      </c>
      <c r="E3907" s="211" t="s">
        <v>10385</v>
      </c>
      <c r="F3907" s="211" t="s">
        <v>7199</v>
      </c>
    </row>
    <row r="3908" spans="1:6">
      <c r="A3908" s="211" t="s">
        <v>3245</v>
      </c>
      <c r="B3908" s="211">
        <v>1297</v>
      </c>
      <c r="C3908" s="211">
        <v>1128</v>
      </c>
      <c r="D3908" s="211" t="s">
        <v>1255</v>
      </c>
      <c r="E3908" s="211" t="s">
        <v>10385</v>
      </c>
      <c r="F3908" s="211" t="s">
        <v>7629</v>
      </c>
    </row>
    <row r="3909" spans="1:6">
      <c r="A3909" s="211" t="s">
        <v>9632</v>
      </c>
      <c r="B3909" s="211">
        <v>8228</v>
      </c>
      <c r="C3909" s="211">
        <v>1494</v>
      </c>
      <c r="D3909" s="211" t="s">
        <v>1255</v>
      </c>
      <c r="E3909" s="211" t="s">
        <v>10385</v>
      </c>
      <c r="F3909" s="211" t="s">
        <v>7263</v>
      </c>
    </row>
    <row r="3910" spans="1:6">
      <c r="A3910" s="211" t="s">
        <v>4783</v>
      </c>
      <c r="B3910" s="211">
        <v>6173</v>
      </c>
      <c r="C3910" s="211">
        <v>1037</v>
      </c>
      <c r="D3910" s="211" t="s">
        <v>1255</v>
      </c>
      <c r="E3910" s="211" t="s">
        <v>10729</v>
      </c>
      <c r="F3910" s="211" t="s">
        <v>7275</v>
      </c>
    </row>
    <row r="3911" spans="1:6">
      <c r="A3911" s="211" t="s">
        <v>5111</v>
      </c>
      <c r="B3911" s="211">
        <v>5417</v>
      </c>
      <c r="C3911" s="211">
        <v>2159</v>
      </c>
      <c r="D3911" s="211" t="s">
        <v>1255</v>
      </c>
      <c r="E3911" s="211" t="s">
        <v>6877</v>
      </c>
      <c r="F3911" s="211" t="s">
        <v>7471</v>
      </c>
    </row>
    <row r="3912" spans="1:6">
      <c r="A3912" s="211" t="s">
        <v>8177</v>
      </c>
      <c r="B3912" s="211">
        <v>282</v>
      </c>
      <c r="C3912" s="211" t="s">
        <v>10385</v>
      </c>
      <c r="D3912" s="211" t="s">
        <v>1255</v>
      </c>
      <c r="E3912" s="211" t="s">
        <v>10385</v>
      </c>
      <c r="F3912" s="211" t="s">
        <v>7320</v>
      </c>
    </row>
    <row r="3913" spans="1:6">
      <c r="A3913" s="211" t="s">
        <v>3246</v>
      </c>
      <c r="B3913" s="211">
        <v>4239</v>
      </c>
      <c r="C3913" s="211">
        <v>1043</v>
      </c>
      <c r="D3913" s="211" t="s">
        <v>1255</v>
      </c>
      <c r="E3913" s="211" t="s">
        <v>10385</v>
      </c>
      <c r="F3913" s="211" t="s">
        <v>7383</v>
      </c>
    </row>
    <row r="3914" spans="1:6">
      <c r="A3914" s="211" t="s">
        <v>8178</v>
      </c>
      <c r="B3914" s="211">
        <v>6047</v>
      </c>
      <c r="C3914" s="211" t="s">
        <v>10385</v>
      </c>
      <c r="D3914" s="211" t="s">
        <v>1255</v>
      </c>
      <c r="E3914" s="211" t="s">
        <v>10385</v>
      </c>
      <c r="F3914" s="211" t="s">
        <v>7373</v>
      </c>
    </row>
    <row r="3915" spans="1:6">
      <c r="A3915" s="211" t="s">
        <v>3247</v>
      </c>
      <c r="B3915" s="211">
        <v>2155</v>
      </c>
      <c r="C3915" s="211">
        <v>1278</v>
      </c>
      <c r="D3915" s="211" t="s">
        <v>1255</v>
      </c>
      <c r="E3915" s="211" t="s">
        <v>10385</v>
      </c>
      <c r="F3915" s="211" t="s">
        <v>7240</v>
      </c>
    </row>
    <row r="3916" spans="1:6">
      <c r="A3916" s="211" t="s">
        <v>3248</v>
      </c>
      <c r="B3916" s="211">
        <v>4493</v>
      </c>
      <c r="C3916" s="211">
        <v>911</v>
      </c>
      <c r="D3916" s="211" t="s">
        <v>1255</v>
      </c>
      <c r="E3916" s="211" t="s">
        <v>10385</v>
      </c>
      <c r="F3916" s="211" t="s">
        <v>7453</v>
      </c>
    </row>
    <row r="3917" spans="1:6">
      <c r="A3917" s="211" t="s">
        <v>4485</v>
      </c>
      <c r="B3917" s="211">
        <v>6710</v>
      </c>
      <c r="C3917" s="211">
        <v>2015</v>
      </c>
      <c r="D3917" s="211" t="s">
        <v>1255</v>
      </c>
      <c r="E3917" s="211" t="s">
        <v>6876</v>
      </c>
      <c r="F3917" s="211" t="s">
        <v>7322</v>
      </c>
    </row>
    <row r="3918" spans="1:6">
      <c r="A3918" s="211" t="s">
        <v>6878</v>
      </c>
      <c r="B3918" s="211">
        <v>7666</v>
      </c>
      <c r="C3918" s="211">
        <v>1260</v>
      </c>
      <c r="D3918" s="211" t="s">
        <v>1117</v>
      </c>
      <c r="E3918" s="211" t="s">
        <v>9633</v>
      </c>
      <c r="F3918" s="211" t="s">
        <v>7933</v>
      </c>
    </row>
    <row r="3919" spans="1:6">
      <c r="A3919" s="211" t="s">
        <v>5380</v>
      </c>
      <c r="B3919" s="211">
        <v>6848</v>
      </c>
      <c r="C3919" s="211">
        <v>941</v>
      </c>
      <c r="D3919" s="211" t="s">
        <v>1255</v>
      </c>
      <c r="E3919" s="211" t="s">
        <v>9634</v>
      </c>
      <c r="F3919" s="211" t="s">
        <v>7213</v>
      </c>
    </row>
    <row r="3920" spans="1:6">
      <c r="A3920" s="211" t="s">
        <v>3249</v>
      </c>
      <c r="B3920" s="211">
        <v>3549</v>
      </c>
      <c r="C3920" s="211">
        <v>906</v>
      </c>
      <c r="D3920" s="211" t="s">
        <v>1117</v>
      </c>
      <c r="E3920" s="211" t="s">
        <v>10385</v>
      </c>
      <c r="F3920" s="211" t="s">
        <v>7344</v>
      </c>
    </row>
    <row r="3921" spans="1:6">
      <c r="A3921" s="211" t="s">
        <v>3250</v>
      </c>
      <c r="B3921" s="211">
        <v>4489</v>
      </c>
      <c r="C3921" s="211">
        <v>1632</v>
      </c>
      <c r="D3921" s="211" t="s">
        <v>1117</v>
      </c>
      <c r="E3921" s="211" t="s">
        <v>10385</v>
      </c>
      <c r="F3921" s="211" t="s">
        <v>7265</v>
      </c>
    </row>
    <row r="3922" spans="1:6">
      <c r="A3922" s="211" t="s">
        <v>8179</v>
      </c>
      <c r="B3922" s="211">
        <v>4727</v>
      </c>
      <c r="C3922" s="211" t="s">
        <v>10385</v>
      </c>
      <c r="D3922" s="211" t="s">
        <v>1255</v>
      </c>
      <c r="E3922" s="211" t="s">
        <v>10385</v>
      </c>
      <c r="F3922" s="211" t="s">
        <v>7259</v>
      </c>
    </row>
    <row r="3923" spans="1:6">
      <c r="A3923" s="211" t="s">
        <v>3251</v>
      </c>
      <c r="B3923" s="211">
        <v>1526</v>
      </c>
      <c r="C3923" s="211">
        <v>1161</v>
      </c>
      <c r="D3923" s="211" t="s">
        <v>1255</v>
      </c>
      <c r="E3923" s="211" t="s">
        <v>10385</v>
      </c>
      <c r="F3923" s="211" t="s">
        <v>7419</v>
      </c>
    </row>
    <row r="3924" spans="1:6">
      <c r="A3924" s="211" t="s">
        <v>3252</v>
      </c>
      <c r="B3924" s="211">
        <v>5774</v>
      </c>
      <c r="C3924" s="211">
        <v>939</v>
      </c>
      <c r="D3924" s="211" t="s">
        <v>1255</v>
      </c>
      <c r="E3924" s="211" t="s">
        <v>10385</v>
      </c>
      <c r="F3924" s="211" t="s">
        <v>7425</v>
      </c>
    </row>
    <row r="3925" spans="1:6">
      <c r="A3925" s="211" t="s">
        <v>5112</v>
      </c>
      <c r="B3925" s="211">
        <v>6824</v>
      </c>
      <c r="C3925" s="211">
        <v>1078</v>
      </c>
      <c r="D3925" s="211" t="s">
        <v>1255</v>
      </c>
      <c r="E3925" s="211" t="s">
        <v>9635</v>
      </c>
      <c r="F3925" s="211" t="s">
        <v>7402</v>
      </c>
    </row>
    <row r="3926" spans="1:6">
      <c r="A3926" s="211" t="s">
        <v>3253</v>
      </c>
      <c r="B3926" s="211">
        <v>228</v>
      </c>
      <c r="C3926" s="211">
        <v>1786</v>
      </c>
      <c r="D3926" s="211" t="s">
        <v>1255</v>
      </c>
      <c r="E3926" s="211" t="s">
        <v>10385</v>
      </c>
      <c r="F3926" s="211" t="s">
        <v>7171</v>
      </c>
    </row>
    <row r="3927" spans="1:6">
      <c r="A3927" s="211" t="s">
        <v>4498</v>
      </c>
      <c r="B3927" s="211">
        <v>6587</v>
      </c>
      <c r="C3927" s="211">
        <v>1943</v>
      </c>
      <c r="D3927" s="211" t="s">
        <v>1255</v>
      </c>
      <c r="E3927" s="211" t="s">
        <v>9636</v>
      </c>
      <c r="F3927" s="211" t="s">
        <v>7390</v>
      </c>
    </row>
    <row r="3928" spans="1:6">
      <c r="A3928" s="211" t="s">
        <v>9637</v>
      </c>
      <c r="B3928" s="211">
        <v>8466</v>
      </c>
      <c r="C3928" s="211">
        <v>608</v>
      </c>
      <c r="D3928" s="211" t="s">
        <v>1117</v>
      </c>
      <c r="E3928" s="211" t="s">
        <v>9638</v>
      </c>
      <c r="F3928" s="211" t="s">
        <v>7425</v>
      </c>
    </row>
    <row r="3929" spans="1:6">
      <c r="A3929" s="211" t="s">
        <v>3254</v>
      </c>
      <c r="B3929" s="211">
        <v>3372</v>
      </c>
      <c r="C3929" s="211">
        <v>1754</v>
      </c>
      <c r="D3929" s="211" t="s">
        <v>1255</v>
      </c>
      <c r="E3929" s="211" t="s">
        <v>10385</v>
      </c>
      <c r="F3929" s="211" t="s">
        <v>7356</v>
      </c>
    </row>
    <row r="3930" spans="1:6">
      <c r="A3930" s="211" t="s">
        <v>3255</v>
      </c>
      <c r="B3930" s="211">
        <v>5650</v>
      </c>
      <c r="C3930" s="211">
        <v>991</v>
      </c>
      <c r="D3930" s="211" t="s">
        <v>1117</v>
      </c>
      <c r="E3930" s="211" t="s">
        <v>5950</v>
      </c>
      <c r="F3930" s="211" t="s">
        <v>7238</v>
      </c>
    </row>
    <row r="3931" spans="1:6">
      <c r="A3931" s="211" t="s">
        <v>6879</v>
      </c>
      <c r="B3931" s="211">
        <v>7735</v>
      </c>
      <c r="C3931" s="211">
        <v>862</v>
      </c>
      <c r="D3931" s="211" t="s">
        <v>1117</v>
      </c>
      <c r="E3931" s="211" t="s">
        <v>9639</v>
      </c>
      <c r="F3931" s="211" t="s">
        <v>7322</v>
      </c>
    </row>
    <row r="3932" spans="1:6">
      <c r="A3932" s="211" t="s">
        <v>3256</v>
      </c>
      <c r="B3932" s="211">
        <v>3317</v>
      </c>
      <c r="C3932" s="211">
        <v>1171</v>
      </c>
      <c r="D3932" s="211" t="s">
        <v>1255</v>
      </c>
      <c r="E3932" s="211" t="s">
        <v>10385</v>
      </c>
      <c r="F3932" s="211" t="s">
        <v>7195</v>
      </c>
    </row>
    <row r="3933" spans="1:6">
      <c r="A3933" s="211" t="s">
        <v>3257</v>
      </c>
      <c r="B3933" s="211">
        <v>4557</v>
      </c>
      <c r="C3933" s="211">
        <v>1516</v>
      </c>
      <c r="D3933" s="211" t="s">
        <v>1255</v>
      </c>
      <c r="E3933" s="211" t="s">
        <v>10385</v>
      </c>
      <c r="F3933" s="211" t="s">
        <v>7304</v>
      </c>
    </row>
    <row r="3934" spans="1:6">
      <c r="A3934" s="211" t="s">
        <v>5951</v>
      </c>
      <c r="B3934" s="211">
        <v>7042</v>
      </c>
      <c r="C3934" s="211">
        <v>919</v>
      </c>
      <c r="D3934" s="211" t="s">
        <v>1255</v>
      </c>
      <c r="E3934" s="211" t="s">
        <v>5952</v>
      </c>
      <c r="F3934" s="211" t="s">
        <v>9024</v>
      </c>
    </row>
    <row r="3935" spans="1:6">
      <c r="A3935" s="211" t="s">
        <v>3258</v>
      </c>
      <c r="B3935" s="211">
        <v>1205</v>
      </c>
      <c r="C3935" s="211">
        <v>1769</v>
      </c>
      <c r="D3935" s="211" t="s">
        <v>1255</v>
      </c>
      <c r="E3935" s="211" t="s">
        <v>10385</v>
      </c>
      <c r="F3935" s="211" t="s">
        <v>7657</v>
      </c>
    </row>
    <row r="3936" spans="1:6">
      <c r="A3936" s="211" t="s">
        <v>9640</v>
      </c>
      <c r="B3936" s="211">
        <v>8260</v>
      </c>
      <c r="C3936" s="211">
        <v>1074</v>
      </c>
      <c r="D3936" s="211" t="s">
        <v>1255</v>
      </c>
      <c r="E3936" s="211" t="s">
        <v>9641</v>
      </c>
      <c r="F3936" s="211" t="s">
        <v>7583</v>
      </c>
    </row>
    <row r="3937" spans="1:6">
      <c r="A3937" s="211" t="s">
        <v>4612</v>
      </c>
      <c r="B3937" s="211">
        <v>6520</v>
      </c>
      <c r="C3937" s="211">
        <v>1796</v>
      </c>
      <c r="D3937" s="211" t="s">
        <v>1255</v>
      </c>
      <c r="E3937" s="211" t="s">
        <v>9642</v>
      </c>
      <c r="F3937" s="211" t="s">
        <v>7205</v>
      </c>
    </row>
    <row r="3938" spans="1:6">
      <c r="A3938" s="211" t="s">
        <v>9643</v>
      </c>
      <c r="B3938" s="211">
        <v>8142</v>
      </c>
      <c r="C3938" s="211">
        <v>1174</v>
      </c>
      <c r="D3938" s="211" t="s">
        <v>1117</v>
      </c>
      <c r="E3938" s="211" t="s">
        <v>9644</v>
      </c>
      <c r="F3938" s="211" t="s">
        <v>7587</v>
      </c>
    </row>
    <row r="3939" spans="1:6">
      <c r="A3939" s="211" t="s">
        <v>3061</v>
      </c>
      <c r="B3939" s="211">
        <v>6275</v>
      </c>
      <c r="C3939" s="211">
        <v>1740</v>
      </c>
      <c r="D3939" s="211" t="s">
        <v>1255</v>
      </c>
      <c r="E3939" s="211" t="s">
        <v>10385</v>
      </c>
      <c r="F3939" s="211" t="s">
        <v>7320</v>
      </c>
    </row>
    <row r="3940" spans="1:6">
      <c r="A3940" s="211" t="s">
        <v>3259</v>
      </c>
      <c r="B3940" s="211">
        <v>1527</v>
      </c>
      <c r="C3940" s="211">
        <v>1000</v>
      </c>
      <c r="D3940" s="211" t="s">
        <v>1255</v>
      </c>
      <c r="E3940" s="211" t="s">
        <v>10385</v>
      </c>
      <c r="F3940" s="211" t="s">
        <v>7419</v>
      </c>
    </row>
    <row r="3941" spans="1:6">
      <c r="A3941" s="211" t="s">
        <v>3260</v>
      </c>
      <c r="B3941" s="211">
        <v>3938</v>
      </c>
      <c r="C3941" s="211">
        <v>1202</v>
      </c>
      <c r="D3941" s="211" t="s">
        <v>1255</v>
      </c>
      <c r="E3941" s="211" t="s">
        <v>10385</v>
      </c>
      <c r="F3941" s="211" t="s">
        <v>7377</v>
      </c>
    </row>
    <row r="3942" spans="1:6">
      <c r="A3942" s="211" t="s">
        <v>3261</v>
      </c>
      <c r="B3942" s="211">
        <v>3552</v>
      </c>
      <c r="C3942" s="211">
        <v>683</v>
      </c>
      <c r="D3942" s="211" t="s">
        <v>1117</v>
      </c>
      <c r="E3942" s="211" t="s">
        <v>10385</v>
      </c>
      <c r="F3942" s="211" t="s">
        <v>7275</v>
      </c>
    </row>
    <row r="3943" spans="1:6">
      <c r="A3943" s="211" t="s">
        <v>3262</v>
      </c>
      <c r="B3943" s="211">
        <v>5257</v>
      </c>
      <c r="C3943" s="211">
        <v>2102</v>
      </c>
      <c r="D3943" s="211" t="s">
        <v>1255</v>
      </c>
      <c r="E3943" s="211" t="s">
        <v>10730</v>
      </c>
      <c r="F3943" s="211" t="s">
        <v>7383</v>
      </c>
    </row>
    <row r="3944" spans="1:6">
      <c r="A3944" s="211" t="s">
        <v>8180</v>
      </c>
      <c r="B3944" s="211">
        <v>149</v>
      </c>
      <c r="C3944" s="211" t="s">
        <v>10385</v>
      </c>
      <c r="D3944" s="211" t="s">
        <v>1255</v>
      </c>
      <c r="E3944" s="211" t="s">
        <v>10385</v>
      </c>
      <c r="F3944" s="211" t="s">
        <v>7207</v>
      </c>
    </row>
    <row r="3945" spans="1:6">
      <c r="A3945" s="211" t="s">
        <v>9645</v>
      </c>
      <c r="B3945" s="211">
        <v>5496</v>
      </c>
      <c r="C3945" s="211">
        <v>1635</v>
      </c>
      <c r="D3945" s="211" t="s">
        <v>1255</v>
      </c>
      <c r="E3945" s="211" t="s">
        <v>5953</v>
      </c>
      <c r="F3945" s="211" t="s">
        <v>7196</v>
      </c>
    </row>
    <row r="3946" spans="1:6">
      <c r="A3946" s="211" t="s">
        <v>9646</v>
      </c>
      <c r="B3946" s="211">
        <v>8559</v>
      </c>
      <c r="C3946" s="211">
        <v>1903</v>
      </c>
      <c r="D3946" s="211" t="s">
        <v>1255</v>
      </c>
      <c r="E3946" s="211" t="s">
        <v>10731</v>
      </c>
      <c r="F3946" s="211" t="s">
        <v>7510</v>
      </c>
    </row>
    <row r="3947" spans="1:6">
      <c r="A3947" s="211" t="s">
        <v>4855</v>
      </c>
      <c r="B3947" s="211">
        <v>3764</v>
      </c>
      <c r="C3947" s="211">
        <v>1564</v>
      </c>
      <c r="D3947" s="211" t="s">
        <v>1255</v>
      </c>
      <c r="E3947" s="211" t="s">
        <v>10385</v>
      </c>
      <c r="F3947" s="211" t="s">
        <v>7380</v>
      </c>
    </row>
    <row r="3948" spans="1:6">
      <c r="A3948" s="211" t="s">
        <v>3263</v>
      </c>
      <c r="B3948" s="211">
        <v>5705</v>
      </c>
      <c r="C3948" s="211">
        <v>1468</v>
      </c>
      <c r="D3948" s="211" t="s">
        <v>1117</v>
      </c>
      <c r="E3948" s="211" t="s">
        <v>6880</v>
      </c>
      <c r="F3948" s="211" t="s">
        <v>7173</v>
      </c>
    </row>
    <row r="3949" spans="1:6">
      <c r="A3949" s="211" t="s">
        <v>5954</v>
      </c>
      <c r="B3949" s="211">
        <v>7318</v>
      </c>
      <c r="C3949" s="211">
        <v>896</v>
      </c>
      <c r="D3949" s="211" t="s">
        <v>1255</v>
      </c>
      <c r="E3949" s="211" t="s">
        <v>6881</v>
      </c>
      <c r="F3949" s="211" t="s">
        <v>7287</v>
      </c>
    </row>
    <row r="3950" spans="1:6">
      <c r="A3950" s="211" t="s">
        <v>3264</v>
      </c>
      <c r="B3950" s="211">
        <v>4877</v>
      </c>
      <c r="C3950" s="211">
        <v>1105</v>
      </c>
      <c r="D3950" s="211" t="s">
        <v>1255</v>
      </c>
      <c r="E3950" s="211" t="s">
        <v>6882</v>
      </c>
      <c r="F3950" s="211" t="s">
        <v>7240</v>
      </c>
    </row>
    <row r="3951" spans="1:6">
      <c r="A3951" s="211" t="s">
        <v>3265</v>
      </c>
      <c r="B3951" s="211">
        <v>2458</v>
      </c>
      <c r="C3951" s="211">
        <v>1360</v>
      </c>
      <c r="D3951" s="211" t="s">
        <v>1255</v>
      </c>
      <c r="E3951" s="211" t="s">
        <v>10385</v>
      </c>
      <c r="F3951" s="211" t="s">
        <v>7242</v>
      </c>
    </row>
    <row r="3952" spans="1:6">
      <c r="A3952" s="211" t="s">
        <v>8181</v>
      </c>
      <c r="B3952" s="211">
        <v>1668</v>
      </c>
      <c r="C3952" s="211" t="s">
        <v>10385</v>
      </c>
      <c r="D3952" s="211" t="s">
        <v>1255</v>
      </c>
      <c r="E3952" s="211" t="s">
        <v>10385</v>
      </c>
      <c r="F3952" s="211" t="s">
        <v>7242</v>
      </c>
    </row>
    <row r="3953" spans="1:6">
      <c r="A3953" s="211" t="s">
        <v>3266</v>
      </c>
      <c r="B3953" s="211">
        <v>3030</v>
      </c>
      <c r="C3953" s="211">
        <v>1848</v>
      </c>
      <c r="D3953" s="211" t="s">
        <v>1255</v>
      </c>
      <c r="E3953" s="211" t="s">
        <v>10385</v>
      </c>
      <c r="F3953" s="211" t="s">
        <v>7232</v>
      </c>
    </row>
    <row r="3954" spans="1:6">
      <c r="A3954" s="211" t="s">
        <v>3267</v>
      </c>
      <c r="B3954" s="211">
        <v>2191</v>
      </c>
      <c r="C3954" s="211">
        <v>1134</v>
      </c>
      <c r="D3954" s="211" t="s">
        <v>1255</v>
      </c>
      <c r="E3954" s="211" t="s">
        <v>10385</v>
      </c>
      <c r="F3954" s="211" t="s">
        <v>7318</v>
      </c>
    </row>
    <row r="3955" spans="1:6">
      <c r="A3955" s="211" t="s">
        <v>3268</v>
      </c>
      <c r="B3955" s="211">
        <v>2961</v>
      </c>
      <c r="C3955" s="211">
        <v>931</v>
      </c>
      <c r="D3955" s="211" t="s">
        <v>1117</v>
      </c>
      <c r="E3955" s="211" t="s">
        <v>10385</v>
      </c>
      <c r="F3955" s="211" t="s">
        <v>7308</v>
      </c>
    </row>
    <row r="3956" spans="1:6">
      <c r="A3956" s="211" t="s">
        <v>8182</v>
      </c>
      <c r="B3956" s="211">
        <v>1590</v>
      </c>
      <c r="C3956" s="211" t="s">
        <v>10385</v>
      </c>
      <c r="D3956" s="211" t="s">
        <v>1255</v>
      </c>
      <c r="E3956" s="211" t="s">
        <v>10385</v>
      </c>
      <c r="F3956" s="211" t="s">
        <v>7356</v>
      </c>
    </row>
    <row r="3957" spans="1:6">
      <c r="A3957" s="211" t="s">
        <v>3269</v>
      </c>
      <c r="B3957" s="211">
        <v>1980</v>
      </c>
      <c r="C3957" s="211">
        <v>1307</v>
      </c>
      <c r="D3957" s="211" t="s">
        <v>1255</v>
      </c>
      <c r="E3957" s="211" t="s">
        <v>10385</v>
      </c>
      <c r="F3957" s="211" t="s">
        <v>7292</v>
      </c>
    </row>
    <row r="3958" spans="1:6">
      <c r="A3958" s="211" t="s">
        <v>3270</v>
      </c>
      <c r="B3958" s="211">
        <v>4578</v>
      </c>
      <c r="C3958" s="211">
        <v>1340</v>
      </c>
      <c r="D3958" s="211" t="s">
        <v>1117</v>
      </c>
      <c r="E3958" s="211" t="s">
        <v>5955</v>
      </c>
      <c r="F3958" s="211" t="s">
        <v>7334</v>
      </c>
    </row>
    <row r="3959" spans="1:6">
      <c r="A3959" s="211" t="s">
        <v>3271</v>
      </c>
      <c r="B3959" s="211">
        <v>801</v>
      </c>
      <c r="C3959" s="211">
        <v>892</v>
      </c>
      <c r="D3959" s="211" t="s">
        <v>1255</v>
      </c>
      <c r="E3959" s="211" t="s">
        <v>10385</v>
      </c>
      <c r="F3959" s="211" t="s">
        <v>7275</v>
      </c>
    </row>
    <row r="3960" spans="1:6">
      <c r="A3960" s="211" t="s">
        <v>2899</v>
      </c>
      <c r="B3960" s="211">
        <v>2518</v>
      </c>
      <c r="C3960" s="211">
        <v>1379</v>
      </c>
      <c r="D3960" s="211" t="s">
        <v>1117</v>
      </c>
      <c r="E3960" s="211" t="s">
        <v>10385</v>
      </c>
      <c r="F3960" s="211" t="s">
        <v>7384</v>
      </c>
    </row>
    <row r="3961" spans="1:6">
      <c r="A3961" s="211" t="s">
        <v>9647</v>
      </c>
      <c r="B3961" s="211">
        <v>8127</v>
      </c>
      <c r="C3961" s="211">
        <v>990</v>
      </c>
      <c r="D3961" s="211" t="s">
        <v>1255</v>
      </c>
      <c r="E3961" s="211" t="s">
        <v>10385</v>
      </c>
      <c r="F3961" s="211" t="s">
        <v>7167</v>
      </c>
    </row>
    <row r="3962" spans="1:6">
      <c r="A3962" s="211" t="s">
        <v>3272</v>
      </c>
      <c r="B3962" s="211">
        <v>2432</v>
      </c>
      <c r="C3962" s="211">
        <v>1000</v>
      </c>
      <c r="D3962" s="211" t="s">
        <v>1117</v>
      </c>
      <c r="E3962" s="211" t="s">
        <v>10385</v>
      </c>
      <c r="F3962" s="211" t="s">
        <v>7208</v>
      </c>
    </row>
    <row r="3963" spans="1:6">
      <c r="A3963" s="211" t="s">
        <v>3273</v>
      </c>
      <c r="B3963" s="211">
        <v>4519</v>
      </c>
      <c r="C3963" s="211">
        <v>462</v>
      </c>
      <c r="D3963" s="211" t="s">
        <v>1117</v>
      </c>
      <c r="E3963" s="211" t="s">
        <v>10385</v>
      </c>
      <c r="F3963" s="211" t="s">
        <v>7356</v>
      </c>
    </row>
    <row r="3964" spans="1:6">
      <c r="A3964" s="211" t="s">
        <v>4876</v>
      </c>
      <c r="B3964" s="211">
        <v>5753</v>
      </c>
      <c r="C3964" s="211">
        <v>621</v>
      </c>
      <c r="D3964" s="211" t="s">
        <v>1117</v>
      </c>
      <c r="E3964" s="211" t="s">
        <v>10385</v>
      </c>
      <c r="F3964" s="211" t="s">
        <v>7285</v>
      </c>
    </row>
    <row r="3965" spans="1:6">
      <c r="A3965" s="211" t="s">
        <v>3274</v>
      </c>
      <c r="B3965" s="211">
        <v>5517</v>
      </c>
      <c r="C3965" s="211">
        <v>1448</v>
      </c>
      <c r="D3965" s="211" t="s">
        <v>1255</v>
      </c>
      <c r="E3965" s="211" t="s">
        <v>10385</v>
      </c>
      <c r="F3965" s="211" t="s">
        <v>7249</v>
      </c>
    </row>
    <row r="3966" spans="1:6">
      <c r="A3966" s="211" t="s">
        <v>3275</v>
      </c>
      <c r="B3966" s="211">
        <v>4686</v>
      </c>
      <c r="C3966" s="211">
        <v>858</v>
      </c>
      <c r="D3966" s="211" t="s">
        <v>1117</v>
      </c>
      <c r="E3966" s="211" t="s">
        <v>10385</v>
      </c>
      <c r="F3966" s="211" t="s">
        <v>7205</v>
      </c>
    </row>
    <row r="3967" spans="1:6">
      <c r="A3967" s="211" t="s">
        <v>5956</v>
      </c>
      <c r="B3967" s="211">
        <v>7234</v>
      </c>
      <c r="C3967" s="211">
        <v>956</v>
      </c>
      <c r="D3967" s="211" t="s">
        <v>1117</v>
      </c>
      <c r="E3967" s="211" t="s">
        <v>10385</v>
      </c>
      <c r="F3967" s="211" t="s">
        <v>7205</v>
      </c>
    </row>
    <row r="3968" spans="1:6">
      <c r="A3968" s="211" t="s">
        <v>3276</v>
      </c>
      <c r="B3968" s="211">
        <v>3419</v>
      </c>
      <c r="C3968" s="211">
        <v>1235</v>
      </c>
      <c r="D3968" s="211" t="s">
        <v>1117</v>
      </c>
      <c r="E3968" s="211" t="s">
        <v>10385</v>
      </c>
      <c r="F3968" s="211" t="s">
        <v>7205</v>
      </c>
    </row>
    <row r="3969" spans="1:6">
      <c r="A3969" s="211" t="s">
        <v>3277</v>
      </c>
      <c r="B3969" s="211">
        <v>2074</v>
      </c>
      <c r="C3969" s="211">
        <v>1569</v>
      </c>
      <c r="D3969" s="211" t="s">
        <v>1255</v>
      </c>
      <c r="E3969" s="211" t="s">
        <v>10385</v>
      </c>
      <c r="F3969" s="211" t="s">
        <v>7284</v>
      </c>
    </row>
    <row r="3970" spans="1:6">
      <c r="A3970" s="211" t="s">
        <v>10732</v>
      </c>
      <c r="B3970" s="211">
        <v>8669</v>
      </c>
      <c r="C3970" s="211">
        <v>975</v>
      </c>
      <c r="D3970" s="211" t="s">
        <v>1255</v>
      </c>
      <c r="E3970" s="211" t="s">
        <v>10733</v>
      </c>
      <c r="F3970" s="211" t="s">
        <v>7377</v>
      </c>
    </row>
    <row r="3971" spans="1:6">
      <c r="A3971" s="211" t="s">
        <v>3278</v>
      </c>
      <c r="B3971" s="211">
        <v>1781</v>
      </c>
      <c r="C3971" s="211">
        <v>2031</v>
      </c>
      <c r="D3971" s="211" t="s">
        <v>1255</v>
      </c>
      <c r="E3971" s="211" t="s">
        <v>10385</v>
      </c>
      <c r="F3971" s="211" t="s">
        <v>7306</v>
      </c>
    </row>
    <row r="3972" spans="1:6">
      <c r="A3972" s="211" t="s">
        <v>3279</v>
      </c>
      <c r="B3972" s="211">
        <v>5584</v>
      </c>
      <c r="C3972" s="211">
        <v>1085</v>
      </c>
      <c r="D3972" s="211" t="s">
        <v>1255</v>
      </c>
      <c r="E3972" s="211" t="s">
        <v>10385</v>
      </c>
      <c r="F3972" s="211" t="s">
        <v>7202</v>
      </c>
    </row>
    <row r="3973" spans="1:6">
      <c r="A3973" s="211" t="s">
        <v>3280</v>
      </c>
      <c r="B3973" s="211">
        <v>4729</v>
      </c>
      <c r="C3973" s="211">
        <v>894</v>
      </c>
      <c r="D3973" s="211" t="s">
        <v>1255</v>
      </c>
      <c r="E3973" s="211" t="s">
        <v>10385</v>
      </c>
      <c r="F3973" s="211" t="s">
        <v>7259</v>
      </c>
    </row>
    <row r="3974" spans="1:6">
      <c r="A3974" s="211" t="s">
        <v>3281</v>
      </c>
      <c r="B3974" s="211">
        <v>5225</v>
      </c>
      <c r="C3974" s="211">
        <v>1600</v>
      </c>
      <c r="D3974" s="211" t="s">
        <v>1255</v>
      </c>
      <c r="E3974" s="211" t="s">
        <v>10385</v>
      </c>
      <c r="F3974" s="211" t="s">
        <v>7318</v>
      </c>
    </row>
    <row r="3975" spans="1:6">
      <c r="A3975" s="211" t="s">
        <v>2977</v>
      </c>
      <c r="B3975" s="211">
        <v>2267</v>
      </c>
      <c r="C3975" s="211">
        <v>1061</v>
      </c>
      <c r="D3975" s="211" t="s">
        <v>1117</v>
      </c>
      <c r="E3975" s="211" t="s">
        <v>10385</v>
      </c>
      <c r="F3975" s="211" t="s">
        <v>7322</v>
      </c>
    </row>
    <row r="3976" spans="1:6">
      <c r="A3976" s="211" t="s">
        <v>3282</v>
      </c>
      <c r="B3976" s="211">
        <v>3646</v>
      </c>
      <c r="C3976" s="211">
        <v>1436</v>
      </c>
      <c r="D3976" s="211" t="s">
        <v>1255</v>
      </c>
      <c r="E3976" s="211" t="s">
        <v>10385</v>
      </c>
      <c r="F3976" s="211" t="s">
        <v>7386</v>
      </c>
    </row>
    <row r="3977" spans="1:6">
      <c r="A3977" s="211" t="s">
        <v>3283</v>
      </c>
      <c r="B3977" s="211">
        <v>944</v>
      </c>
      <c r="C3977" s="211">
        <v>1729</v>
      </c>
      <c r="D3977" s="211" t="s">
        <v>1255</v>
      </c>
      <c r="E3977" s="211" t="s">
        <v>10385</v>
      </c>
      <c r="F3977" s="211" t="s">
        <v>7262</v>
      </c>
    </row>
    <row r="3978" spans="1:6">
      <c r="A3978" s="211" t="s">
        <v>3284</v>
      </c>
      <c r="B3978" s="211">
        <v>3476</v>
      </c>
      <c r="C3978" s="211">
        <v>896</v>
      </c>
      <c r="D3978" s="211" t="s">
        <v>1117</v>
      </c>
      <c r="E3978" s="211" t="s">
        <v>10385</v>
      </c>
      <c r="F3978" s="211" t="s">
        <v>7316</v>
      </c>
    </row>
    <row r="3979" spans="1:6">
      <c r="A3979" s="211" t="s">
        <v>3285</v>
      </c>
      <c r="B3979" s="211">
        <v>791</v>
      </c>
      <c r="C3979" s="211">
        <v>1124</v>
      </c>
      <c r="D3979" s="211" t="s">
        <v>1117</v>
      </c>
      <c r="E3979" s="211" t="s">
        <v>10385</v>
      </c>
      <c r="F3979" s="211" t="s">
        <v>7239</v>
      </c>
    </row>
    <row r="3980" spans="1:6">
      <c r="A3980" s="211" t="s">
        <v>3286</v>
      </c>
      <c r="B3980" s="211">
        <v>5246</v>
      </c>
      <c r="C3980" s="211">
        <v>1640</v>
      </c>
      <c r="D3980" s="211" t="s">
        <v>1255</v>
      </c>
      <c r="E3980" s="211" t="s">
        <v>10385</v>
      </c>
      <c r="F3980" s="211" t="s">
        <v>7331</v>
      </c>
    </row>
    <row r="3981" spans="1:6">
      <c r="A3981" s="211" t="s">
        <v>3287</v>
      </c>
      <c r="B3981" s="211">
        <v>3032</v>
      </c>
      <c r="C3981" s="211">
        <v>1720</v>
      </c>
      <c r="D3981" s="211" t="s">
        <v>1255</v>
      </c>
      <c r="E3981" s="211" t="s">
        <v>10385</v>
      </c>
      <c r="F3981" s="211" t="s">
        <v>7232</v>
      </c>
    </row>
    <row r="3982" spans="1:6">
      <c r="A3982" s="211" t="s">
        <v>3288</v>
      </c>
      <c r="B3982" s="211">
        <v>6059</v>
      </c>
      <c r="C3982" s="211">
        <v>672</v>
      </c>
      <c r="D3982" s="211" t="s">
        <v>1255</v>
      </c>
      <c r="E3982" s="211" t="s">
        <v>10385</v>
      </c>
      <c r="F3982" s="211" t="s">
        <v>7259</v>
      </c>
    </row>
    <row r="3983" spans="1:6">
      <c r="A3983" s="211" t="s">
        <v>2853</v>
      </c>
      <c r="B3983" s="211">
        <v>4145</v>
      </c>
      <c r="C3983" s="211">
        <v>1257</v>
      </c>
      <c r="D3983" s="211" t="s">
        <v>1255</v>
      </c>
      <c r="E3983" s="211" t="s">
        <v>10385</v>
      </c>
      <c r="F3983" s="211" t="s">
        <v>7384</v>
      </c>
    </row>
    <row r="3984" spans="1:6">
      <c r="A3984" s="211" t="s">
        <v>5381</v>
      </c>
      <c r="B3984" s="211">
        <v>3800</v>
      </c>
      <c r="C3984" s="211">
        <v>1411</v>
      </c>
      <c r="D3984" s="211" t="s">
        <v>1255</v>
      </c>
      <c r="E3984" s="211" t="s">
        <v>10385</v>
      </c>
      <c r="F3984" s="211" t="s">
        <v>7242</v>
      </c>
    </row>
    <row r="3985" spans="1:6">
      <c r="A3985" s="211" t="s">
        <v>3851</v>
      </c>
      <c r="B3985" s="211">
        <v>4243</v>
      </c>
      <c r="C3985" s="211">
        <v>1645</v>
      </c>
      <c r="D3985" s="211" t="s">
        <v>1255</v>
      </c>
      <c r="E3985" s="211" t="s">
        <v>10385</v>
      </c>
      <c r="F3985" s="211" t="s">
        <v>7593</v>
      </c>
    </row>
    <row r="3986" spans="1:6">
      <c r="A3986" s="211" t="s">
        <v>3289</v>
      </c>
      <c r="B3986" s="211">
        <v>4739</v>
      </c>
      <c r="C3986" s="211">
        <v>911</v>
      </c>
      <c r="D3986" s="211" t="s">
        <v>1255</v>
      </c>
      <c r="E3986" s="211" t="s">
        <v>10385</v>
      </c>
      <c r="F3986" s="211" t="s">
        <v>7341</v>
      </c>
    </row>
    <row r="3987" spans="1:6">
      <c r="A3987" s="211" t="s">
        <v>3852</v>
      </c>
      <c r="B3987" s="211">
        <v>5790</v>
      </c>
      <c r="C3987" s="211">
        <v>1360</v>
      </c>
      <c r="D3987" s="211" t="s">
        <v>1255</v>
      </c>
      <c r="E3987" s="211" t="s">
        <v>10385</v>
      </c>
      <c r="F3987" s="211" t="s">
        <v>7250</v>
      </c>
    </row>
    <row r="3988" spans="1:6">
      <c r="A3988" s="211" t="s">
        <v>3853</v>
      </c>
      <c r="B3988" s="211">
        <v>6711</v>
      </c>
      <c r="C3988" s="211">
        <v>1363</v>
      </c>
      <c r="D3988" s="211" t="s">
        <v>1255</v>
      </c>
      <c r="E3988" s="211" t="s">
        <v>6883</v>
      </c>
      <c r="F3988" s="211" t="s">
        <v>7322</v>
      </c>
    </row>
    <row r="3989" spans="1:6">
      <c r="A3989" s="211" t="s">
        <v>3290</v>
      </c>
      <c r="B3989" s="211">
        <v>2569</v>
      </c>
      <c r="C3989" s="211">
        <v>858</v>
      </c>
      <c r="D3989" s="211" t="s">
        <v>1117</v>
      </c>
      <c r="E3989" s="211" t="s">
        <v>10385</v>
      </c>
      <c r="F3989" s="211" t="s">
        <v>7171</v>
      </c>
    </row>
    <row r="3990" spans="1:6">
      <c r="A3990" s="211" t="s">
        <v>3291</v>
      </c>
      <c r="B3990" s="211">
        <v>5213</v>
      </c>
      <c r="C3990" s="211">
        <v>1467</v>
      </c>
      <c r="D3990" s="211" t="s">
        <v>1255</v>
      </c>
      <c r="E3990" s="211" t="s">
        <v>6884</v>
      </c>
      <c r="F3990" s="211" t="s">
        <v>7377</v>
      </c>
    </row>
    <row r="3991" spans="1:6">
      <c r="A3991" s="211" t="s">
        <v>8183</v>
      </c>
      <c r="B3991" s="211">
        <v>586</v>
      </c>
      <c r="C3991" s="211">
        <v>751</v>
      </c>
      <c r="D3991" s="211" t="s">
        <v>1255</v>
      </c>
      <c r="E3991" s="211" t="s">
        <v>10385</v>
      </c>
      <c r="F3991" s="211" t="s">
        <v>7196</v>
      </c>
    </row>
    <row r="3992" spans="1:6">
      <c r="A3992" s="211" t="s">
        <v>5957</v>
      </c>
      <c r="B3992" s="211">
        <v>7410</v>
      </c>
      <c r="C3992" s="211">
        <v>1331</v>
      </c>
      <c r="D3992" s="211" t="s">
        <v>1255</v>
      </c>
      <c r="E3992" s="211" t="s">
        <v>5958</v>
      </c>
      <c r="F3992" s="211" t="s">
        <v>7577</v>
      </c>
    </row>
    <row r="3993" spans="1:6">
      <c r="A3993" s="211" t="s">
        <v>5959</v>
      </c>
      <c r="B3993" s="211">
        <v>6541</v>
      </c>
      <c r="C3993" s="211">
        <v>2387</v>
      </c>
      <c r="D3993" s="211" t="s">
        <v>1255</v>
      </c>
      <c r="E3993" s="211" t="s">
        <v>9648</v>
      </c>
      <c r="F3993" s="211" t="s">
        <v>7524</v>
      </c>
    </row>
    <row r="3994" spans="1:6">
      <c r="A3994" s="211" t="s">
        <v>5960</v>
      </c>
      <c r="B3994" s="211">
        <v>7074</v>
      </c>
      <c r="C3994" s="211">
        <v>1160</v>
      </c>
      <c r="D3994" s="211" t="s">
        <v>1255</v>
      </c>
      <c r="E3994" s="211" t="s">
        <v>5961</v>
      </c>
      <c r="F3994" s="211" t="s">
        <v>7219</v>
      </c>
    </row>
    <row r="3995" spans="1:6">
      <c r="A3995" s="211" t="s">
        <v>9649</v>
      </c>
      <c r="B3995" s="211">
        <v>8035</v>
      </c>
      <c r="C3995" s="211">
        <v>796</v>
      </c>
      <c r="D3995" s="211" t="s">
        <v>1117</v>
      </c>
      <c r="E3995" s="211" t="s">
        <v>10385</v>
      </c>
      <c r="F3995" s="211" t="s">
        <v>7518</v>
      </c>
    </row>
    <row r="3996" spans="1:6">
      <c r="A3996" s="211" t="s">
        <v>3292</v>
      </c>
      <c r="B3996" s="211">
        <v>4013</v>
      </c>
      <c r="C3996" s="211">
        <v>1454</v>
      </c>
      <c r="D3996" s="211" t="s">
        <v>1255</v>
      </c>
      <c r="E3996" s="211" t="s">
        <v>10385</v>
      </c>
      <c r="F3996" s="211" t="s">
        <v>7196</v>
      </c>
    </row>
    <row r="3997" spans="1:6">
      <c r="A3997" s="211" t="s">
        <v>5962</v>
      </c>
      <c r="B3997" s="211">
        <v>7118</v>
      </c>
      <c r="C3997" s="211">
        <v>1130</v>
      </c>
      <c r="D3997" s="211" t="s">
        <v>1255</v>
      </c>
      <c r="E3997" s="211" t="s">
        <v>10385</v>
      </c>
      <c r="F3997" s="211" t="s">
        <v>7299</v>
      </c>
    </row>
    <row r="3998" spans="1:6">
      <c r="A3998" s="211" t="s">
        <v>3293</v>
      </c>
      <c r="B3998" s="211">
        <v>3165</v>
      </c>
      <c r="C3998" s="211">
        <v>1363</v>
      </c>
      <c r="D3998" s="211" t="s">
        <v>1255</v>
      </c>
      <c r="E3998" s="211" t="s">
        <v>3294</v>
      </c>
      <c r="F3998" s="211" t="s">
        <v>7581</v>
      </c>
    </row>
    <row r="3999" spans="1:6">
      <c r="A3999" s="211" t="s">
        <v>3295</v>
      </c>
      <c r="B3999" s="211">
        <v>4933</v>
      </c>
      <c r="C3999" s="211">
        <v>1185</v>
      </c>
      <c r="D3999" s="211" t="s">
        <v>1255</v>
      </c>
      <c r="E3999" s="211" t="s">
        <v>10385</v>
      </c>
      <c r="F3999" s="211" t="s">
        <v>7237</v>
      </c>
    </row>
    <row r="4000" spans="1:6">
      <c r="A4000" s="211" t="s">
        <v>8940</v>
      </c>
      <c r="B4000" s="211">
        <v>108</v>
      </c>
      <c r="C4000" s="211">
        <v>1147</v>
      </c>
      <c r="D4000" s="211" t="s">
        <v>1255</v>
      </c>
      <c r="E4000" s="211" t="s">
        <v>10385</v>
      </c>
      <c r="F4000" s="211" t="s">
        <v>7318</v>
      </c>
    </row>
    <row r="4001" spans="1:6">
      <c r="A4001" s="211" t="s">
        <v>8941</v>
      </c>
      <c r="B4001" s="211">
        <v>158</v>
      </c>
      <c r="C4001" s="211">
        <v>1381</v>
      </c>
      <c r="D4001" s="211" t="s">
        <v>1255</v>
      </c>
      <c r="E4001" s="211" t="s">
        <v>10385</v>
      </c>
      <c r="F4001" s="211" t="s">
        <v>7306</v>
      </c>
    </row>
    <row r="4002" spans="1:6">
      <c r="A4002" s="211" t="s">
        <v>8942</v>
      </c>
      <c r="B4002" s="211">
        <v>3415</v>
      </c>
      <c r="C4002" s="211">
        <v>1381</v>
      </c>
      <c r="D4002" s="211" t="s">
        <v>1255</v>
      </c>
      <c r="E4002" s="211" t="s">
        <v>10385</v>
      </c>
      <c r="F4002" s="211" t="s">
        <v>7308</v>
      </c>
    </row>
    <row r="4003" spans="1:6">
      <c r="A4003" s="211" t="s">
        <v>8943</v>
      </c>
      <c r="B4003" s="211">
        <v>1804</v>
      </c>
      <c r="C4003" s="211" t="s">
        <v>10385</v>
      </c>
      <c r="D4003" s="211" t="s">
        <v>1255</v>
      </c>
      <c r="E4003" s="211" t="s">
        <v>10385</v>
      </c>
      <c r="F4003" s="211" t="s">
        <v>7165</v>
      </c>
    </row>
    <row r="4004" spans="1:6">
      <c r="A4004" s="211" t="s">
        <v>2860</v>
      </c>
      <c r="B4004" s="211">
        <v>2587</v>
      </c>
      <c r="C4004" s="211">
        <v>1332</v>
      </c>
      <c r="D4004" s="211" t="s">
        <v>1255</v>
      </c>
      <c r="E4004" s="211" t="s">
        <v>10385</v>
      </c>
      <c r="F4004" s="211" t="s">
        <v>7380</v>
      </c>
    </row>
    <row r="4005" spans="1:6">
      <c r="A4005" s="211" t="s">
        <v>3296</v>
      </c>
      <c r="B4005" s="211">
        <v>1140</v>
      </c>
      <c r="C4005" s="211">
        <v>1276</v>
      </c>
      <c r="D4005" s="211" t="s">
        <v>1255</v>
      </c>
      <c r="E4005" s="211" t="s">
        <v>10385</v>
      </c>
      <c r="F4005" s="211" t="s">
        <v>7232</v>
      </c>
    </row>
    <row r="4006" spans="1:6">
      <c r="A4006" s="211" t="s">
        <v>4499</v>
      </c>
      <c r="B4006" s="211">
        <v>6605</v>
      </c>
      <c r="C4006" s="211">
        <v>751</v>
      </c>
      <c r="D4006" s="211" t="s">
        <v>1255</v>
      </c>
      <c r="E4006" s="211" t="s">
        <v>10385</v>
      </c>
      <c r="F4006" s="211" t="s">
        <v>7349</v>
      </c>
    </row>
    <row r="4007" spans="1:6">
      <c r="A4007" s="211" t="s">
        <v>9650</v>
      </c>
      <c r="B4007" s="211">
        <v>8047</v>
      </c>
      <c r="C4007" s="211">
        <v>792</v>
      </c>
      <c r="D4007" s="211" t="s">
        <v>1255</v>
      </c>
      <c r="E4007" s="211" t="s">
        <v>10385</v>
      </c>
      <c r="F4007" s="211" t="s">
        <v>7536</v>
      </c>
    </row>
    <row r="4008" spans="1:6">
      <c r="A4008" s="211" t="s">
        <v>10734</v>
      </c>
      <c r="B4008" s="211">
        <v>6853</v>
      </c>
      <c r="C4008" s="211">
        <v>1114</v>
      </c>
      <c r="D4008" s="211" t="s">
        <v>1255</v>
      </c>
      <c r="E4008" s="211" t="s">
        <v>9651</v>
      </c>
      <c r="F4008" s="211" t="s">
        <v>7323</v>
      </c>
    </row>
    <row r="4009" spans="1:6">
      <c r="A4009" s="211" t="s">
        <v>8184</v>
      </c>
      <c r="B4009" s="211">
        <v>2291</v>
      </c>
      <c r="C4009" s="211" t="s">
        <v>10385</v>
      </c>
      <c r="D4009" s="211" t="s">
        <v>1255</v>
      </c>
      <c r="E4009" s="211" t="s">
        <v>10385</v>
      </c>
      <c r="F4009" s="211" t="s">
        <v>7267</v>
      </c>
    </row>
    <row r="4010" spans="1:6">
      <c r="A4010" s="211" t="s">
        <v>3297</v>
      </c>
      <c r="B4010" s="211">
        <v>3896</v>
      </c>
      <c r="C4010" s="211">
        <v>2297</v>
      </c>
      <c r="D4010" s="211" t="s">
        <v>1255</v>
      </c>
      <c r="E4010" s="211" t="s">
        <v>10385</v>
      </c>
      <c r="F4010" s="211" t="s">
        <v>7318</v>
      </c>
    </row>
    <row r="4011" spans="1:6">
      <c r="A4011" s="211" t="s">
        <v>6885</v>
      </c>
      <c r="B4011" s="211">
        <v>7741</v>
      </c>
      <c r="C4011" s="211">
        <v>884</v>
      </c>
      <c r="D4011" s="211" t="s">
        <v>1117</v>
      </c>
      <c r="E4011" s="211" t="s">
        <v>6886</v>
      </c>
      <c r="F4011" s="211" t="s">
        <v>7167</v>
      </c>
    </row>
    <row r="4012" spans="1:6">
      <c r="A4012" s="211" t="s">
        <v>5113</v>
      </c>
      <c r="B4012" s="211">
        <v>4852</v>
      </c>
      <c r="C4012" s="211">
        <v>668</v>
      </c>
      <c r="D4012" s="211" t="s">
        <v>1117</v>
      </c>
      <c r="E4012" s="211" t="s">
        <v>10385</v>
      </c>
      <c r="F4012" s="211" t="s">
        <v>7189</v>
      </c>
    </row>
    <row r="4013" spans="1:6">
      <c r="A4013" s="211" t="s">
        <v>5114</v>
      </c>
      <c r="B4013" s="211">
        <v>2862</v>
      </c>
      <c r="C4013" s="211">
        <v>1321</v>
      </c>
      <c r="D4013" s="211" t="s">
        <v>1255</v>
      </c>
      <c r="E4013" s="211" t="s">
        <v>10385</v>
      </c>
      <c r="F4013" s="211" t="s">
        <v>7212</v>
      </c>
    </row>
    <row r="4014" spans="1:6">
      <c r="A4014" s="211" t="s">
        <v>3298</v>
      </c>
      <c r="B4014" s="211">
        <v>5295</v>
      </c>
      <c r="C4014" s="211">
        <v>800</v>
      </c>
      <c r="D4014" s="211" t="s">
        <v>1255</v>
      </c>
      <c r="E4014" s="211" t="s">
        <v>10385</v>
      </c>
      <c r="F4014" s="211" t="s">
        <v>7373</v>
      </c>
    </row>
    <row r="4015" spans="1:6">
      <c r="A4015" s="211" t="s">
        <v>3299</v>
      </c>
      <c r="B4015" s="211">
        <v>3083</v>
      </c>
      <c r="C4015" s="211">
        <v>1231</v>
      </c>
      <c r="D4015" s="211" t="s">
        <v>1255</v>
      </c>
      <c r="E4015" s="211" t="s">
        <v>10385</v>
      </c>
      <c r="F4015" s="211" t="s">
        <v>7743</v>
      </c>
    </row>
    <row r="4016" spans="1:6">
      <c r="A4016" s="211" t="s">
        <v>5963</v>
      </c>
      <c r="B4016" s="211">
        <v>7385</v>
      </c>
      <c r="C4016" s="211">
        <v>1304</v>
      </c>
      <c r="D4016" s="211" t="s">
        <v>1255</v>
      </c>
      <c r="E4016" s="211" t="s">
        <v>10385</v>
      </c>
      <c r="F4016" s="211" t="s">
        <v>7167</v>
      </c>
    </row>
    <row r="4017" spans="1:6">
      <c r="A4017" s="211" t="s">
        <v>9652</v>
      </c>
      <c r="B4017" s="211">
        <v>8572</v>
      </c>
      <c r="C4017" s="211">
        <v>1030</v>
      </c>
      <c r="D4017" s="211" t="s">
        <v>1255</v>
      </c>
      <c r="E4017" s="211" t="s">
        <v>9653</v>
      </c>
      <c r="F4017" s="211" t="s">
        <v>7322</v>
      </c>
    </row>
    <row r="4018" spans="1:6">
      <c r="A4018" s="211" t="s">
        <v>9654</v>
      </c>
      <c r="B4018" s="211">
        <v>8414</v>
      </c>
      <c r="C4018" s="211">
        <v>992</v>
      </c>
      <c r="D4018" s="211" t="s">
        <v>1255</v>
      </c>
      <c r="E4018" s="211" t="s">
        <v>10385</v>
      </c>
      <c r="F4018" s="211" t="s">
        <v>7334</v>
      </c>
    </row>
    <row r="4019" spans="1:6">
      <c r="A4019" s="211" t="s">
        <v>3300</v>
      </c>
      <c r="B4019" s="211">
        <v>5148</v>
      </c>
      <c r="C4019" s="211">
        <v>1121</v>
      </c>
      <c r="D4019" s="211" t="s">
        <v>1255</v>
      </c>
      <c r="E4019" s="211" t="s">
        <v>10385</v>
      </c>
      <c r="F4019" s="211" t="s">
        <v>7354</v>
      </c>
    </row>
    <row r="4020" spans="1:6">
      <c r="A4020" s="211" t="s">
        <v>2998</v>
      </c>
      <c r="B4020" s="211">
        <v>1573</v>
      </c>
      <c r="C4020" s="211">
        <v>1157</v>
      </c>
      <c r="D4020" s="211" t="s">
        <v>1117</v>
      </c>
      <c r="E4020" s="211" t="s">
        <v>3110</v>
      </c>
      <c r="F4020" s="211" t="s">
        <v>7415</v>
      </c>
    </row>
    <row r="4021" spans="1:6">
      <c r="A4021" s="211" t="s">
        <v>4846</v>
      </c>
      <c r="B4021" s="211">
        <v>6074</v>
      </c>
      <c r="C4021" s="211">
        <v>699</v>
      </c>
      <c r="D4021" s="211" t="s">
        <v>1255</v>
      </c>
      <c r="E4021" s="211" t="s">
        <v>10385</v>
      </c>
      <c r="F4021" s="211" t="s">
        <v>7354</v>
      </c>
    </row>
    <row r="4022" spans="1:6">
      <c r="A4022" s="211" t="s">
        <v>2870</v>
      </c>
      <c r="B4022" s="211">
        <v>3853</v>
      </c>
      <c r="C4022" s="211">
        <v>850</v>
      </c>
      <c r="D4022" s="211" t="s">
        <v>1117</v>
      </c>
      <c r="E4022" s="211" t="s">
        <v>10385</v>
      </c>
      <c r="F4022" s="211" t="s">
        <v>7263</v>
      </c>
    </row>
    <row r="4023" spans="1:6">
      <c r="A4023" s="211" t="s">
        <v>3301</v>
      </c>
      <c r="B4023" s="211">
        <v>2747</v>
      </c>
      <c r="C4023" s="211">
        <v>1007</v>
      </c>
      <c r="D4023" s="211" t="s">
        <v>1255</v>
      </c>
      <c r="E4023" s="211" t="s">
        <v>10385</v>
      </c>
      <c r="F4023" s="211" t="s">
        <v>7257</v>
      </c>
    </row>
    <row r="4024" spans="1:6">
      <c r="A4024" s="211" t="s">
        <v>8185</v>
      </c>
      <c r="B4024" s="211">
        <v>5135</v>
      </c>
      <c r="C4024" s="211" t="s">
        <v>10385</v>
      </c>
      <c r="D4024" s="211" t="s">
        <v>1255</v>
      </c>
      <c r="E4024" s="211" t="s">
        <v>10385</v>
      </c>
      <c r="F4024" s="211" t="s">
        <v>7223</v>
      </c>
    </row>
    <row r="4025" spans="1:6">
      <c r="A4025" s="211" t="s">
        <v>3302</v>
      </c>
      <c r="B4025" s="211">
        <v>4173</v>
      </c>
      <c r="C4025" s="211">
        <v>1481</v>
      </c>
      <c r="D4025" s="211" t="s">
        <v>1255</v>
      </c>
      <c r="E4025" s="211" t="s">
        <v>10385</v>
      </c>
      <c r="F4025" s="211" t="s">
        <v>7224</v>
      </c>
    </row>
    <row r="4026" spans="1:6">
      <c r="A4026" s="211" t="s">
        <v>3303</v>
      </c>
      <c r="B4026" s="211">
        <v>1807</v>
      </c>
      <c r="C4026" s="211">
        <v>697</v>
      </c>
      <c r="D4026" s="211" t="s">
        <v>1255</v>
      </c>
      <c r="E4026" s="211" t="s">
        <v>10385</v>
      </c>
      <c r="F4026" s="211" t="s">
        <v>7757</v>
      </c>
    </row>
    <row r="4027" spans="1:6">
      <c r="A4027" s="211" t="s">
        <v>3304</v>
      </c>
      <c r="B4027" s="211">
        <v>4649</v>
      </c>
      <c r="C4027" s="211">
        <v>1225</v>
      </c>
      <c r="D4027" s="211" t="s">
        <v>1255</v>
      </c>
      <c r="E4027" s="211" t="s">
        <v>10385</v>
      </c>
      <c r="F4027" s="211" t="s">
        <v>7275</v>
      </c>
    </row>
    <row r="4028" spans="1:6">
      <c r="A4028" s="211" t="s">
        <v>3305</v>
      </c>
      <c r="B4028" s="211">
        <v>5958</v>
      </c>
      <c r="C4028" s="211">
        <v>1150</v>
      </c>
      <c r="D4028" s="211" t="s">
        <v>1255</v>
      </c>
      <c r="E4028" s="211" t="s">
        <v>10385</v>
      </c>
      <c r="F4028" s="211" t="s">
        <v>7171</v>
      </c>
    </row>
    <row r="4029" spans="1:6">
      <c r="A4029" s="211" t="s">
        <v>8186</v>
      </c>
      <c r="B4029" s="211">
        <v>434</v>
      </c>
      <c r="C4029" s="211" t="s">
        <v>10385</v>
      </c>
      <c r="D4029" s="211" t="s">
        <v>1255</v>
      </c>
      <c r="E4029" s="211" t="s">
        <v>10385</v>
      </c>
      <c r="F4029" s="211" t="s">
        <v>7199</v>
      </c>
    </row>
    <row r="4030" spans="1:6">
      <c r="A4030" s="211" t="s">
        <v>9655</v>
      </c>
      <c r="B4030" s="211">
        <v>8235</v>
      </c>
      <c r="C4030" s="211">
        <v>1000</v>
      </c>
      <c r="D4030" s="211" t="s">
        <v>1255</v>
      </c>
      <c r="E4030" s="211" t="s">
        <v>10385</v>
      </c>
      <c r="F4030" s="211" t="s">
        <v>7384</v>
      </c>
    </row>
    <row r="4031" spans="1:6">
      <c r="A4031" s="211" t="s">
        <v>6887</v>
      </c>
      <c r="B4031" s="211">
        <v>7073</v>
      </c>
      <c r="C4031" s="211">
        <v>1419</v>
      </c>
      <c r="D4031" s="211" t="s">
        <v>1255</v>
      </c>
      <c r="E4031" s="211" t="s">
        <v>9656</v>
      </c>
      <c r="F4031" s="211" t="s">
        <v>7453</v>
      </c>
    </row>
    <row r="4032" spans="1:6">
      <c r="A4032" s="211" t="s">
        <v>10359</v>
      </c>
      <c r="B4032" s="211">
        <v>903</v>
      </c>
      <c r="C4032" s="211" t="s">
        <v>10385</v>
      </c>
      <c r="D4032" s="211" t="s">
        <v>1255</v>
      </c>
      <c r="E4032" s="211" t="s">
        <v>10385</v>
      </c>
      <c r="F4032" s="211" t="s">
        <v>7356</v>
      </c>
    </row>
    <row r="4033" spans="1:6">
      <c r="A4033" s="211" t="s">
        <v>8187</v>
      </c>
      <c r="B4033" s="211">
        <v>72</v>
      </c>
      <c r="C4033" s="211" t="s">
        <v>10385</v>
      </c>
      <c r="D4033" s="211" t="s">
        <v>1255</v>
      </c>
      <c r="E4033" s="211" t="s">
        <v>10385</v>
      </c>
      <c r="F4033" s="211" t="s">
        <v>7223</v>
      </c>
    </row>
    <row r="4034" spans="1:6">
      <c r="A4034" s="211" t="s">
        <v>4847</v>
      </c>
      <c r="B4034" s="211">
        <v>6068</v>
      </c>
      <c r="C4034" s="211">
        <v>928</v>
      </c>
      <c r="D4034" s="211" t="s">
        <v>1255</v>
      </c>
      <c r="E4034" s="211" t="s">
        <v>10385</v>
      </c>
      <c r="F4034" s="211" t="s">
        <v>7354</v>
      </c>
    </row>
    <row r="4035" spans="1:6">
      <c r="A4035" s="211" t="s">
        <v>3306</v>
      </c>
      <c r="B4035" s="211">
        <v>3633</v>
      </c>
      <c r="C4035" s="211">
        <v>1992</v>
      </c>
      <c r="D4035" s="211" t="s">
        <v>1255</v>
      </c>
      <c r="E4035" s="211" t="s">
        <v>10385</v>
      </c>
      <c r="F4035" s="211" t="s">
        <v>7240</v>
      </c>
    </row>
    <row r="4036" spans="1:6">
      <c r="A4036" s="211" t="s">
        <v>3307</v>
      </c>
      <c r="B4036" s="211">
        <v>3932</v>
      </c>
      <c r="C4036" s="211">
        <v>1200</v>
      </c>
      <c r="D4036" s="211" t="s">
        <v>1255</v>
      </c>
      <c r="E4036" s="211" t="s">
        <v>10385</v>
      </c>
      <c r="F4036" s="211" t="s">
        <v>7327</v>
      </c>
    </row>
    <row r="4037" spans="1:6">
      <c r="A4037" s="211" t="s">
        <v>2953</v>
      </c>
      <c r="B4037" s="211">
        <v>2270</v>
      </c>
      <c r="C4037" s="211">
        <v>1015</v>
      </c>
      <c r="D4037" s="211" t="s">
        <v>1117</v>
      </c>
      <c r="E4037" s="211" t="s">
        <v>10385</v>
      </c>
      <c r="F4037" s="211" t="s">
        <v>7322</v>
      </c>
    </row>
    <row r="4038" spans="1:6">
      <c r="A4038" s="211" t="s">
        <v>3854</v>
      </c>
      <c r="B4038" s="211">
        <v>2069</v>
      </c>
      <c r="C4038" s="211">
        <v>1377</v>
      </c>
      <c r="D4038" s="211" t="s">
        <v>1255</v>
      </c>
      <c r="E4038" s="211" t="s">
        <v>9657</v>
      </c>
      <c r="F4038" s="211" t="s">
        <v>7272</v>
      </c>
    </row>
    <row r="4039" spans="1:6">
      <c r="A4039" s="211" t="s">
        <v>5382</v>
      </c>
      <c r="B4039" s="211">
        <v>5934</v>
      </c>
      <c r="C4039" s="211">
        <v>957</v>
      </c>
      <c r="D4039" s="211" t="s">
        <v>1255</v>
      </c>
      <c r="E4039" s="211" t="s">
        <v>10385</v>
      </c>
      <c r="F4039" s="211" t="s">
        <v>7382</v>
      </c>
    </row>
    <row r="4040" spans="1:6">
      <c r="A4040" s="211" t="s">
        <v>3308</v>
      </c>
      <c r="B4040" s="211">
        <v>1303</v>
      </c>
      <c r="C4040" s="211">
        <v>982</v>
      </c>
      <c r="D4040" s="211" t="s">
        <v>1255</v>
      </c>
      <c r="E4040" s="211" t="s">
        <v>10385</v>
      </c>
      <c r="F4040" s="211" t="s">
        <v>7592</v>
      </c>
    </row>
    <row r="4041" spans="1:6">
      <c r="A4041" s="211" t="s">
        <v>8188</v>
      </c>
      <c r="B4041" s="211">
        <v>557</v>
      </c>
      <c r="C4041" s="211" t="s">
        <v>10385</v>
      </c>
      <c r="D4041" s="211" t="s">
        <v>1255</v>
      </c>
      <c r="E4041" s="211" t="s">
        <v>10385</v>
      </c>
      <c r="F4041" s="211" t="s">
        <v>7510</v>
      </c>
    </row>
    <row r="4042" spans="1:6">
      <c r="A4042" s="211" t="s">
        <v>3309</v>
      </c>
      <c r="B4042" s="211">
        <v>2152</v>
      </c>
      <c r="C4042" s="211">
        <v>637</v>
      </c>
      <c r="D4042" s="211" t="s">
        <v>1117</v>
      </c>
      <c r="E4042" s="211" t="s">
        <v>10385</v>
      </c>
      <c r="F4042" s="211" t="s">
        <v>7189</v>
      </c>
    </row>
    <row r="4043" spans="1:6">
      <c r="A4043" s="211" t="s">
        <v>3310</v>
      </c>
      <c r="B4043" s="211">
        <v>1417</v>
      </c>
      <c r="C4043" s="211">
        <v>1432</v>
      </c>
      <c r="D4043" s="211" t="s">
        <v>1255</v>
      </c>
      <c r="E4043" s="211" t="s">
        <v>10385</v>
      </c>
      <c r="F4043" s="211" t="s">
        <v>7212</v>
      </c>
    </row>
    <row r="4044" spans="1:6">
      <c r="A4044" s="211" t="s">
        <v>8189</v>
      </c>
      <c r="B4044" s="211">
        <v>526</v>
      </c>
      <c r="C4044" s="211" t="s">
        <v>10385</v>
      </c>
      <c r="D4044" s="211" t="s">
        <v>1255</v>
      </c>
      <c r="E4044" s="211" t="s">
        <v>10385</v>
      </c>
      <c r="F4044" s="211" t="s">
        <v>7265</v>
      </c>
    </row>
    <row r="4045" spans="1:6">
      <c r="A4045" s="211" t="s">
        <v>3311</v>
      </c>
      <c r="B4045" s="211">
        <v>5321</v>
      </c>
      <c r="C4045" s="211">
        <v>1000</v>
      </c>
      <c r="D4045" s="211" t="s">
        <v>1117</v>
      </c>
      <c r="E4045" s="211" t="s">
        <v>10385</v>
      </c>
      <c r="F4045" s="211" t="s">
        <v>7223</v>
      </c>
    </row>
    <row r="4046" spans="1:6">
      <c r="A4046" s="211" t="s">
        <v>2890</v>
      </c>
      <c r="B4046" s="211">
        <v>3456</v>
      </c>
      <c r="C4046" s="211">
        <v>855</v>
      </c>
      <c r="D4046" s="211" t="s">
        <v>1255</v>
      </c>
      <c r="E4046" s="211" t="s">
        <v>10385</v>
      </c>
      <c r="F4046" s="211" t="s">
        <v>7268</v>
      </c>
    </row>
    <row r="4047" spans="1:6">
      <c r="A4047" s="211" t="s">
        <v>8190</v>
      </c>
      <c r="B4047" s="211">
        <v>1546</v>
      </c>
      <c r="C4047" s="211" t="s">
        <v>10385</v>
      </c>
      <c r="D4047" s="211" t="s">
        <v>1255</v>
      </c>
      <c r="E4047" s="211" t="s">
        <v>10385</v>
      </c>
      <c r="F4047" s="211" t="s">
        <v>7422</v>
      </c>
    </row>
    <row r="4048" spans="1:6">
      <c r="A4048" s="211" t="s">
        <v>5115</v>
      </c>
      <c r="B4048" s="211">
        <v>7012</v>
      </c>
      <c r="C4048" s="211">
        <v>746</v>
      </c>
      <c r="D4048" s="211" t="s">
        <v>1255</v>
      </c>
      <c r="E4048" s="211" t="s">
        <v>10385</v>
      </c>
      <c r="F4048" s="211" t="s">
        <v>7390</v>
      </c>
    </row>
    <row r="4049" spans="1:6">
      <c r="A4049" s="211" t="s">
        <v>8191</v>
      </c>
      <c r="B4049" s="211">
        <v>377</v>
      </c>
      <c r="C4049" s="211" t="s">
        <v>10385</v>
      </c>
      <c r="D4049" s="211" t="s">
        <v>1255</v>
      </c>
      <c r="E4049" s="211" t="s">
        <v>10385</v>
      </c>
      <c r="F4049" s="211" t="s">
        <v>7173</v>
      </c>
    </row>
    <row r="4050" spans="1:6">
      <c r="A4050" s="211" t="s">
        <v>3312</v>
      </c>
      <c r="B4050" s="211">
        <v>5320</v>
      </c>
      <c r="C4050" s="211">
        <v>896</v>
      </c>
      <c r="D4050" s="211" t="s">
        <v>1117</v>
      </c>
      <c r="E4050" s="211" t="s">
        <v>10385</v>
      </c>
      <c r="F4050" s="211" t="s">
        <v>7223</v>
      </c>
    </row>
    <row r="4051" spans="1:6">
      <c r="A4051" s="211" t="s">
        <v>8192</v>
      </c>
      <c r="B4051" s="211">
        <v>3742</v>
      </c>
      <c r="C4051" s="211" t="s">
        <v>10385</v>
      </c>
      <c r="D4051" s="211" t="s">
        <v>1255</v>
      </c>
      <c r="E4051" s="211" t="s">
        <v>10385</v>
      </c>
      <c r="F4051" s="211" t="s">
        <v>7471</v>
      </c>
    </row>
    <row r="4052" spans="1:6">
      <c r="A4052" s="211" t="s">
        <v>8193</v>
      </c>
      <c r="B4052" s="211">
        <v>7863</v>
      </c>
      <c r="C4052" s="211">
        <v>1116</v>
      </c>
      <c r="D4052" s="211" t="s">
        <v>1255</v>
      </c>
      <c r="E4052" s="211" t="s">
        <v>9658</v>
      </c>
      <c r="F4052" s="211" t="s">
        <v>7240</v>
      </c>
    </row>
    <row r="4053" spans="1:6">
      <c r="A4053" s="211" t="s">
        <v>3313</v>
      </c>
      <c r="B4053" s="211">
        <v>4780</v>
      </c>
      <c r="C4053" s="211">
        <v>912</v>
      </c>
      <c r="D4053" s="211" t="s">
        <v>1117</v>
      </c>
      <c r="E4053" s="211" t="s">
        <v>10385</v>
      </c>
      <c r="F4053" s="211" t="s">
        <v>7167</v>
      </c>
    </row>
    <row r="4054" spans="1:6">
      <c r="A4054" s="211" t="s">
        <v>3314</v>
      </c>
      <c r="B4054" s="211">
        <v>1838</v>
      </c>
      <c r="C4054" s="211">
        <v>1571</v>
      </c>
      <c r="D4054" s="211" t="s">
        <v>1255</v>
      </c>
      <c r="E4054" s="211" t="s">
        <v>10385</v>
      </c>
      <c r="F4054" s="211" t="s">
        <v>7335</v>
      </c>
    </row>
    <row r="4055" spans="1:6">
      <c r="A4055" s="211" t="s">
        <v>4670</v>
      </c>
      <c r="B4055" s="211">
        <v>6399</v>
      </c>
      <c r="C4055" s="211">
        <v>2113</v>
      </c>
      <c r="D4055" s="211" t="s">
        <v>1255</v>
      </c>
      <c r="E4055" s="211" t="s">
        <v>10385</v>
      </c>
      <c r="F4055" s="211" t="s">
        <v>7241</v>
      </c>
    </row>
    <row r="4056" spans="1:6">
      <c r="A4056" s="211" t="s">
        <v>9659</v>
      </c>
      <c r="B4056" s="211">
        <v>8492</v>
      </c>
      <c r="C4056" s="211">
        <v>992</v>
      </c>
      <c r="D4056" s="211" t="s">
        <v>1255</v>
      </c>
      <c r="E4056" s="211" t="s">
        <v>10385</v>
      </c>
      <c r="F4056" s="211" t="s">
        <v>7507</v>
      </c>
    </row>
    <row r="4057" spans="1:6">
      <c r="A4057" s="211" t="s">
        <v>9660</v>
      </c>
      <c r="B4057" s="211">
        <v>8506</v>
      </c>
      <c r="C4057" s="211">
        <v>999</v>
      </c>
      <c r="D4057" s="211" t="s">
        <v>1255</v>
      </c>
      <c r="E4057" s="211" t="s">
        <v>10385</v>
      </c>
      <c r="F4057" s="211" t="s">
        <v>7511</v>
      </c>
    </row>
    <row r="4058" spans="1:6">
      <c r="A4058" s="211" t="s">
        <v>5383</v>
      </c>
      <c r="B4058" s="211">
        <v>6315</v>
      </c>
      <c r="C4058" s="211">
        <v>760</v>
      </c>
      <c r="D4058" s="211" t="s">
        <v>1117</v>
      </c>
      <c r="E4058" s="211" t="s">
        <v>10385</v>
      </c>
      <c r="F4058" s="211" t="s">
        <v>7231</v>
      </c>
    </row>
    <row r="4059" spans="1:6">
      <c r="A4059" s="211" t="s">
        <v>5384</v>
      </c>
      <c r="B4059" s="211">
        <v>2105</v>
      </c>
      <c r="C4059" s="211">
        <v>1040</v>
      </c>
      <c r="D4059" s="211" t="s">
        <v>1117</v>
      </c>
      <c r="E4059" s="211" t="s">
        <v>10385</v>
      </c>
      <c r="F4059" s="211" t="s">
        <v>7356</v>
      </c>
    </row>
    <row r="4060" spans="1:6">
      <c r="A4060" s="211" t="s">
        <v>3315</v>
      </c>
      <c r="B4060" s="211">
        <v>2299</v>
      </c>
      <c r="C4060" s="211">
        <v>1079</v>
      </c>
      <c r="D4060" s="211" t="s">
        <v>1255</v>
      </c>
      <c r="E4060" s="211" t="s">
        <v>10385</v>
      </c>
      <c r="F4060" s="211" t="s">
        <v>7231</v>
      </c>
    </row>
    <row r="4061" spans="1:6">
      <c r="A4061" s="211" t="s">
        <v>8194</v>
      </c>
      <c r="B4061" s="211">
        <v>5087</v>
      </c>
      <c r="C4061" s="211" t="s">
        <v>10385</v>
      </c>
      <c r="D4061" s="211" t="s">
        <v>1255</v>
      </c>
      <c r="E4061" s="211" t="s">
        <v>10385</v>
      </c>
      <c r="F4061" s="211" t="s">
        <v>7457</v>
      </c>
    </row>
    <row r="4062" spans="1:6">
      <c r="A4062" s="211" t="s">
        <v>5964</v>
      </c>
      <c r="B4062" s="211">
        <v>7455</v>
      </c>
      <c r="C4062" s="211">
        <v>1348</v>
      </c>
      <c r="D4062" s="211" t="s">
        <v>1117</v>
      </c>
      <c r="E4062" s="211" t="s">
        <v>5965</v>
      </c>
      <c r="F4062" s="211" t="s">
        <v>7232</v>
      </c>
    </row>
    <row r="4063" spans="1:6">
      <c r="A4063" s="211" t="s">
        <v>3316</v>
      </c>
      <c r="B4063" s="211">
        <v>1341</v>
      </c>
      <c r="C4063" s="211">
        <v>997</v>
      </c>
      <c r="D4063" s="211" t="s">
        <v>1255</v>
      </c>
      <c r="E4063" s="211" t="s">
        <v>10385</v>
      </c>
      <c r="F4063" s="211" t="s">
        <v>7239</v>
      </c>
    </row>
    <row r="4064" spans="1:6">
      <c r="A4064" s="211" t="s">
        <v>3317</v>
      </c>
      <c r="B4064" s="211">
        <v>4110</v>
      </c>
      <c r="C4064" s="211">
        <v>919</v>
      </c>
      <c r="D4064" s="211" t="s">
        <v>1255</v>
      </c>
      <c r="E4064" s="211" t="s">
        <v>10385</v>
      </c>
      <c r="F4064" s="211" t="s">
        <v>7334</v>
      </c>
    </row>
    <row r="4065" spans="1:6">
      <c r="A4065" s="211" t="s">
        <v>9661</v>
      </c>
      <c r="B4065" s="211">
        <v>8166</v>
      </c>
      <c r="C4065" s="211">
        <v>999</v>
      </c>
      <c r="D4065" s="211" t="s">
        <v>1255</v>
      </c>
      <c r="E4065" s="211" t="s">
        <v>9662</v>
      </c>
      <c r="F4065" s="211" t="s">
        <v>7240</v>
      </c>
    </row>
    <row r="4066" spans="1:6">
      <c r="A4066" s="211" t="s">
        <v>3318</v>
      </c>
      <c r="B4066" s="211">
        <v>1566</v>
      </c>
      <c r="C4066" s="211">
        <v>1053</v>
      </c>
      <c r="D4066" s="211" t="s">
        <v>1255</v>
      </c>
      <c r="E4066" s="211" t="s">
        <v>10385</v>
      </c>
      <c r="F4066" s="211" t="s">
        <v>7274</v>
      </c>
    </row>
    <row r="4067" spans="1:6">
      <c r="A4067" s="211" t="s">
        <v>3319</v>
      </c>
      <c r="B4067" s="211">
        <v>4695</v>
      </c>
      <c r="C4067" s="211">
        <v>1490</v>
      </c>
      <c r="D4067" s="211" t="s">
        <v>1255</v>
      </c>
      <c r="E4067" s="211" t="s">
        <v>10385</v>
      </c>
      <c r="F4067" s="211" t="s">
        <v>7308</v>
      </c>
    </row>
    <row r="4068" spans="1:6">
      <c r="A4068" s="211" t="s">
        <v>3320</v>
      </c>
      <c r="B4068" s="211">
        <v>2166</v>
      </c>
      <c r="C4068" s="211">
        <v>1229</v>
      </c>
      <c r="D4068" s="211" t="s">
        <v>1255</v>
      </c>
      <c r="E4068" s="211" t="s">
        <v>10385</v>
      </c>
      <c r="F4068" s="211" t="s">
        <v>7192</v>
      </c>
    </row>
    <row r="4069" spans="1:6">
      <c r="A4069" s="211" t="s">
        <v>9663</v>
      </c>
      <c r="B4069" s="211">
        <v>8018</v>
      </c>
      <c r="C4069" s="211">
        <v>2057</v>
      </c>
      <c r="D4069" s="211" t="s">
        <v>1255</v>
      </c>
      <c r="E4069" s="211" t="s">
        <v>9664</v>
      </c>
      <c r="F4069" s="211" t="s">
        <v>9024</v>
      </c>
    </row>
    <row r="4070" spans="1:6">
      <c r="A4070" s="211" t="s">
        <v>5116</v>
      </c>
      <c r="B4070" s="211">
        <v>6844</v>
      </c>
      <c r="C4070" s="211">
        <v>1496</v>
      </c>
      <c r="D4070" s="211" t="s">
        <v>1255</v>
      </c>
      <c r="E4070" s="211" t="s">
        <v>5966</v>
      </c>
      <c r="F4070" s="211" t="s">
        <v>7429</v>
      </c>
    </row>
    <row r="4071" spans="1:6">
      <c r="A4071" s="211" t="s">
        <v>4671</v>
      </c>
      <c r="B4071" s="211">
        <v>6408</v>
      </c>
      <c r="C4071" s="211">
        <v>1238</v>
      </c>
      <c r="D4071" s="211" t="s">
        <v>1255</v>
      </c>
      <c r="E4071" s="211" t="s">
        <v>9665</v>
      </c>
      <c r="F4071" s="211" t="s">
        <v>7587</v>
      </c>
    </row>
    <row r="4072" spans="1:6">
      <c r="A4072" s="211" t="s">
        <v>8195</v>
      </c>
      <c r="B4072" s="211">
        <v>611</v>
      </c>
      <c r="C4072" s="211" t="s">
        <v>10385</v>
      </c>
      <c r="D4072" s="211" t="s">
        <v>1255</v>
      </c>
      <c r="E4072" s="211" t="s">
        <v>10385</v>
      </c>
      <c r="F4072" s="211" t="s">
        <v>7592</v>
      </c>
    </row>
    <row r="4073" spans="1:6">
      <c r="A4073" s="211" t="s">
        <v>3321</v>
      </c>
      <c r="B4073" s="211">
        <v>4756</v>
      </c>
      <c r="C4073" s="211">
        <v>983</v>
      </c>
      <c r="D4073" s="211" t="s">
        <v>1255</v>
      </c>
      <c r="E4073" s="211" t="s">
        <v>10385</v>
      </c>
      <c r="F4073" s="211" t="s">
        <v>7186</v>
      </c>
    </row>
    <row r="4074" spans="1:6">
      <c r="A4074" s="211" t="s">
        <v>8196</v>
      </c>
      <c r="B4074" s="211">
        <v>61</v>
      </c>
      <c r="C4074" s="211" t="s">
        <v>10385</v>
      </c>
      <c r="D4074" s="211" t="s">
        <v>1255</v>
      </c>
      <c r="E4074" s="211" t="s">
        <v>10385</v>
      </c>
      <c r="F4074" s="211" t="s">
        <v>7356</v>
      </c>
    </row>
    <row r="4075" spans="1:6">
      <c r="A4075" s="211" t="s">
        <v>3322</v>
      </c>
      <c r="B4075" s="211">
        <v>2491</v>
      </c>
      <c r="C4075" s="211">
        <v>1344</v>
      </c>
      <c r="D4075" s="211" t="s">
        <v>1255</v>
      </c>
      <c r="E4075" s="211" t="s">
        <v>10385</v>
      </c>
      <c r="F4075" s="211" t="s">
        <v>7239</v>
      </c>
    </row>
    <row r="4076" spans="1:6">
      <c r="A4076" s="211" t="s">
        <v>2990</v>
      </c>
      <c r="B4076" s="211">
        <v>2228</v>
      </c>
      <c r="C4076" s="211">
        <v>810</v>
      </c>
      <c r="D4076" s="211" t="s">
        <v>1117</v>
      </c>
      <c r="E4076" s="211" t="s">
        <v>10385</v>
      </c>
      <c r="F4076" s="211" t="s">
        <v>7384</v>
      </c>
    </row>
    <row r="4077" spans="1:6">
      <c r="A4077" s="211" t="s">
        <v>9666</v>
      </c>
      <c r="B4077" s="211">
        <v>8388</v>
      </c>
      <c r="C4077" s="211">
        <v>799</v>
      </c>
      <c r="D4077" s="211" t="s">
        <v>1117</v>
      </c>
      <c r="E4077" s="211" t="s">
        <v>9667</v>
      </c>
      <c r="F4077" s="211" t="s">
        <v>7282</v>
      </c>
    </row>
    <row r="4078" spans="1:6">
      <c r="A4078" s="211" t="s">
        <v>5117</v>
      </c>
      <c r="B4078" s="211">
        <v>5662</v>
      </c>
      <c r="C4078" s="211">
        <v>1004</v>
      </c>
      <c r="D4078" s="211" t="s">
        <v>1117</v>
      </c>
      <c r="E4078" s="211" t="s">
        <v>10385</v>
      </c>
      <c r="F4078" s="211" t="s">
        <v>7342</v>
      </c>
    </row>
    <row r="4079" spans="1:6">
      <c r="A4079" s="211" t="s">
        <v>3323</v>
      </c>
      <c r="B4079" s="211">
        <v>5292</v>
      </c>
      <c r="C4079" s="211">
        <v>1253</v>
      </c>
      <c r="D4079" s="211" t="s">
        <v>1255</v>
      </c>
      <c r="E4079" s="211" t="s">
        <v>10385</v>
      </c>
      <c r="F4079" s="211" t="s">
        <v>7446</v>
      </c>
    </row>
    <row r="4080" spans="1:6">
      <c r="A4080" s="211" t="s">
        <v>5967</v>
      </c>
      <c r="B4080" s="211">
        <v>7063</v>
      </c>
      <c r="C4080" s="211">
        <v>673</v>
      </c>
      <c r="D4080" s="211" t="s">
        <v>1117</v>
      </c>
      <c r="E4080" s="211" t="s">
        <v>6888</v>
      </c>
      <c r="F4080" s="211" t="s">
        <v>7231</v>
      </c>
    </row>
    <row r="4081" spans="1:6">
      <c r="A4081" s="211" t="s">
        <v>4613</v>
      </c>
      <c r="B4081" s="211">
        <v>6516</v>
      </c>
      <c r="C4081" s="211">
        <v>992</v>
      </c>
      <c r="D4081" s="211" t="s">
        <v>1255</v>
      </c>
      <c r="E4081" s="211" t="s">
        <v>10385</v>
      </c>
      <c r="F4081" s="211" t="s">
        <v>7272</v>
      </c>
    </row>
    <row r="4082" spans="1:6">
      <c r="A4082" s="211" t="s">
        <v>3324</v>
      </c>
      <c r="B4082" s="211">
        <v>6000</v>
      </c>
      <c r="C4082" s="211">
        <v>2059</v>
      </c>
      <c r="D4082" s="211" t="s">
        <v>1255</v>
      </c>
      <c r="E4082" s="211" t="s">
        <v>10385</v>
      </c>
      <c r="F4082" s="211" t="s">
        <v>7189</v>
      </c>
    </row>
    <row r="4083" spans="1:6">
      <c r="A4083" s="211" t="s">
        <v>5968</v>
      </c>
      <c r="B4083" s="211">
        <v>7576</v>
      </c>
      <c r="C4083" s="211">
        <v>1700</v>
      </c>
      <c r="D4083" s="211" t="s">
        <v>1255</v>
      </c>
      <c r="E4083" s="211" t="s">
        <v>5969</v>
      </c>
      <c r="F4083" s="211" t="s">
        <v>7325</v>
      </c>
    </row>
    <row r="4084" spans="1:6">
      <c r="A4084" s="211" t="s">
        <v>8197</v>
      </c>
      <c r="B4084" s="211">
        <v>7065</v>
      </c>
      <c r="C4084" s="211" t="s">
        <v>10385</v>
      </c>
      <c r="D4084" s="211" t="s">
        <v>1117</v>
      </c>
      <c r="E4084" s="211" t="s">
        <v>10385</v>
      </c>
      <c r="F4084" s="211" t="s">
        <v>7231</v>
      </c>
    </row>
    <row r="4085" spans="1:6">
      <c r="A4085" s="211" t="s">
        <v>3325</v>
      </c>
      <c r="B4085" s="211">
        <v>2771</v>
      </c>
      <c r="C4085" s="211">
        <v>1089</v>
      </c>
      <c r="D4085" s="211" t="s">
        <v>1117</v>
      </c>
      <c r="E4085" s="211" t="s">
        <v>10385</v>
      </c>
      <c r="F4085" s="211" t="s">
        <v>7173</v>
      </c>
    </row>
    <row r="4086" spans="1:6">
      <c r="A4086" s="211" t="s">
        <v>5970</v>
      </c>
      <c r="B4086" s="211">
        <v>7583</v>
      </c>
      <c r="C4086" s="211">
        <v>914</v>
      </c>
      <c r="D4086" s="211" t="s">
        <v>1117</v>
      </c>
      <c r="E4086" s="211" t="s">
        <v>9668</v>
      </c>
      <c r="F4086" s="211" t="s">
        <v>7325</v>
      </c>
    </row>
    <row r="4087" spans="1:6">
      <c r="A4087" s="211" t="s">
        <v>4737</v>
      </c>
      <c r="B4087" s="211">
        <v>6444</v>
      </c>
      <c r="C4087" s="211">
        <v>1370</v>
      </c>
      <c r="D4087" s="211" t="s">
        <v>1255</v>
      </c>
      <c r="E4087" s="211" t="s">
        <v>10385</v>
      </c>
      <c r="F4087" s="211" t="s">
        <v>7389</v>
      </c>
    </row>
    <row r="4088" spans="1:6">
      <c r="A4088" s="211" t="s">
        <v>8198</v>
      </c>
      <c r="B4088" s="211">
        <v>812</v>
      </c>
      <c r="C4088" s="211" t="s">
        <v>10385</v>
      </c>
      <c r="D4088" s="211" t="s">
        <v>1255</v>
      </c>
      <c r="E4088" s="211" t="s">
        <v>10385</v>
      </c>
      <c r="F4088" s="211" t="s">
        <v>7275</v>
      </c>
    </row>
    <row r="4089" spans="1:6">
      <c r="A4089" s="211" t="s">
        <v>8199</v>
      </c>
      <c r="B4089" s="211">
        <v>11</v>
      </c>
      <c r="C4089" s="211" t="s">
        <v>10385</v>
      </c>
      <c r="D4089" s="211" t="s">
        <v>1255</v>
      </c>
      <c r="E4089" s="211" t="s">
        <v>10385</v>
      </c>
      <c r="F4089" s="211" t="s">
        <v>7356</v>
      </c>
    </row>
    <row r="4090" spans="1:6">
      <c r="A4090" s="211" t="s">
        <v>3326</v>
      </c>
      <c r="B4090" s="211">
        <v>1038</v>
      </c>
      <c r="C4090" s="211">
        <v>1826</v>
      </c>
      <c r="D4090" s="211" t="s">
        <v>1255</v>
      </c>
      <c r="E4090" s="211" t="s">
        <v>10385</v>
      </c>
      <c r="F4090" s="211" t="s">
        <v>9024</v>
      </c>
    </row>
    <row r="4091" spans="1:6">
      <c r="A4091" s="211" t="s">
        <v>3327</v>
      </c>
      <c r="B4091" s="211">
        <v>4908</v>
      </c>
      <c r="C4091" s="211">
        <v>867</v>
      </c>
      <c r="D4091" s="211" t="s">
        <v>1117</v>
      </c>
      <c r="E4091" s="211" t="s">
        <v>10385</v>
      </c>
      <c r="F4091" s="211" t="s">
        <v>7343</v>
      </c>
    </row>
    <row r="4092" spans="1:6">
      <c r="A4092" s="211" t="s">
        <v>3328</v>
      </c>
      <c r="B4092" s="211">
        <v>5046</v>
      </c>
      <c r="C4092" s="211">
        <v>841</v>
      </c>
      <c r="D4092" s="211" t="s">
        <v>1117</v>
      </c>
      <c r="E4092" s="211" t="s">
        <v>10385</v>
      </c>
      <c r="F4092" s="211" t="s">
        <v>7284</v>
      </c>
    </row>
    <row r="4093" spans="1:6">
      <c r="A4093" s="211" t="s">
        <v>3329</v>
      </c>
      <c r="B4093" s="211">
        <v>4763</v>
      </c>
      <c r="C4093" s="211">
        <v>1989</v>
      </c>
      <c r="D4093" s="211" t="s">
        <v>1255</v>
      </c>
      <c r="E4093" s="211" t="s">
        <v>10385</v>
      </c>
      <c r="F4093" s="211" t="s">
        <v>7167</v>
      </c>
    </row>
    <row r="4094" spans="1:6">
      <c r="A4094" s="211" t="s">
        <v>9669</v>
      </c>
      <c r="B4094" s="211">
        <v>8176</v>
      </c>
      <c r="C4094" s="211">
        <v>1346</v>
      </c>
      <c r="D4094" s="211" t="s">
        <v>1255</v>
      </c>
      <c r="E4094" s="211" t="s">
        <v>9670</v>
      </c>
      <c r="F4094" s="211" t="s">
        <v>7192</v>
      </c>
    </row>
    <row r="4095" spans="1:6">
      <c r="A4095" s="211" t="s">
        <v>8200</v>
      </c>
      <c r="B4095" s="211">
        <v>316</v>
      </c>
      <c r="C4095" s="211" t="s">
        <v>10385</v>
      </c>
      <c r="D4095" s="211" t="s">
        <v>1255</v>
      </c>
      <c r="E4095" s="211" t="s">
        <v>10385</v>
      </c>
      <c r="F4095" s="211" t="s">
        <v>7272</v>
      </c>
    </row>
    <row r="4096" spans="1:6">
      <c r="A4096" s="211" t="s">
        <v>3330</v>
      </c>
      <c r="B4096" s="211">
        <v>1647</v>
      </c>
      <c r="C4096" s="211">
        <v>1794</v>
      </c>
      <c r="D4096" s="211" t="s">
        <v>1255</v>
      </c>
      <c r="E4096" s="211" t="s">
        <v>10385</v>
      </c>
      <c r="F4096" s="211" t="s">
        <v>7189</v>
      </c>
    </row>
    <row r="4097" spans="1:6">
      <c r="A4097" s="211" t="s">
        <v>5118</v>
      </c>
      <c r="B4097" s="211">
        <v>1304</v>
      </c>
      <c r="C4097" s="211" t="s">
        <v>10385</v>
      </c>
      <c r="D4097" s="211" t="s">
        <v>1255</v>
      </c>
      <c r="E4097" s="211" t="s">
        <v>10385</v>
      </c>
      <c r="F4097" s="211" t="s">
        <v>7592</v>
      </c>
    </row>
    <row r="4098" spans="1:6">
      <c r="A4098" s="211" t="s">
        <v>10735</v>
      </c>
      <c r="B4098" s="211">
        <v>8644</v>
      </c>
      <c r="C4098" s="211">
        <v>1065</v>
      </c>
      <c r="D4098" s="211" t="s">
        <v>1255</v>
      </c>
      <c r="E4098" s="211" t="s">
        <v>10736</v>
      </c>
      <c r="F4098" s="211" t="s">
        <v>7242</v>
      </c>
    </row>
    <row r="4099" spans="1:6">
      <c r="A4099" s="211" t="s">
        <v>3855</v>
      </c>
      <c r="B4099" s="211">
        <v>1757</v>
      </c>
      <c r="C4099" s="211">
        <v>2002</v>
      </c>
      <c r="D4099" s="211" t="s">
        <v>1255</v>
      </c>
      <c r="E4099" s="211" t="s">
        <v>10385</v>
      </c>
      <c r="F4099" s="211" t="s">
        <v>7272</v>
      </c>
    </row>
    <row r="4100" spans="1:6">
      <c r="A4100" s="211" t="s">
        <v>2912</v>
      </c>
      <c r="B4100" s="211">
        <v>1850</v>
      </c>
      <c r="C4100" s="211">
        <v>1791</v>
      </c>
      <c r="D4100" s="211" t="s">
        <v>1255</v>
      </c>
      <c r="E4100" s="211" t="s">
        <v>10385</v>
      </c>
      <c r="F4100" s="211" t="s">
        <v>7335</v>
      </c>
    </row>
    <row r="4101" spans="1:6">
      <c r="A4101" s="211" t="s">
        <v>3331</v>
      </c>
      <c r="B4101" s="211">
        <v>3707</v>
      </c>
      <c r="C4101" s="211">
        <v>1101</v>
      </c>
      <c r="D4101" s="211" t="s">
        <v>1255</v>
      </c>
      <c r="E4101" s="211" t="s">
        <v>10385</v>
      </c>
      <c r="F4101" s="211" t="s">
        <v>7240</v>
      </c>
    </row>
    <row r="4102" spans="1:6">
      <c r="A4102" s="211" t="s">
        <v>4699</v>
      </c>
      <c r="B4102" s="211">
        <v>6381</v>
      </c>
      <c r="C4102" s="211">
        <v>1274</v>
      </c>
      <c r="D4102" s="211" t="s">
        <v>1255</v>
      </c>
      <c r="E4102" s="211" t="s">
        <v>10385</v>
      </c>
      <c r="F4102" s="211" t="s">
        <v>7384</v>
      </c>
    </row>
    <row r="4103" spans="1:6">
      <c r="A4103" s="211" t="s">
        <v>8201</v>
      </c>
      <c r="B4103" s="211">
        <v>7850</v>
      </c>
      <c r="C4103" s="211">
        <v>1192</v>
      </c>
      <c r="D4103" s="211" t="s">
        <v>1255</v>
      </c>
      <c r="E4103" s="211" t="s">
        <v>10385</v>
      </c>
      <c r="F4103" s="211" t="s">
        <v>7189</v>
      </c>
    </row>
    <row r="4104" spans="1:6">
      <c r="A4104" s="211" t="s">
        <v>8202</v>
      </c>
      <c r="B4104" s="211">
        <v>141</v>
      </c>
      <c r="C4104" s="211">
        <v>1704</v>
      </c>
      <c r="D4104" s="211" t="s">
        <v>1255</v>
      </c>
      <c r="E4104" s="211" t="s">
        <v>10385</v>
      </c>
      <c r="F4104" s="211" t="s">
        <v>7384</v>
      </c>
    </row>
    <row r="4105" spans="1:6">
      <c r="A4105" s="211" t="s">
        <v>4672</v>
      </c>
      <c r="B4105" s="211">
        <v>6423</v>
      </c>
      <c r="C4105" s="211">
        <v>847</v>
      </c>
      <c r="D4105" s="211" t="s">
        <v>1117</v>
      </c>
      <c r="E4105" s="211" t="s">
        <v>10385</v>
      </c>
      <c r="F4105" s="211" t="s">
        <v>7238</v>
      </c>
    </row>
    <row r="4106" spans="1:6">
      <c r="A4106" s="211" t="s">
        <v>3332</v>
      </c>
      <c r="B4106" s="211">
        <v>2599</v>
      </c>
      <c r="C4106" s="211">
        <v>1229</v>
      </c>
      <c r="D4106" s="211" t="s">
        <v>1117</v>
      </c>
      <c r="E4106" s="211" t="s">
        <v>10385</v>
      </c>
      <c r="F4106" s="211" t="s">
        <v>7167</v>
      </c>
    </row>
    <row r="4107" spans="1:6">
      <c r="A4107" s="211" t="s">
        <v>8203</v>
      </c>
      <c r="B4107" s="211">
        <v>370</v>
      </c>
      <c r="C4107" s="211" t="s">
        <v>10385</v>
      </c>
      <c r="D4107" s="211" t="s">
        <v>1255</v>
      </c>
      <c r="E4107" s="211" t="s">
        <v>10385</v>
      </c>
      <c r="F4107" s="211" t="s">
        <v>7275</v>
      </c>
    </row>
    <row r="4108" spans="1:6">
      <c r="A4108" s="211" t="s">
        <v>5119</v>
      </c>
      <c r="B4108" s="211">
        <v>780</v>
      </c>
      <c r="C4108" s="211">
        <v>1520</v>
      </c>
      <c r="D4108" s="211" t="s">
        <v>1255</v>
      </c>
      <c r="E4108" s="211" t="s">
        <v>10385</v>
      </c>
      <c r="F4108" s="211" t="s">
        <v>7199</v>
      </c>
    </row>
    <row r="4109" spans="1:6">
      <c r="A4109" s="211" t="s">
        <v>5120</v>
      </c>
      <c r="B4109" s="211">
        <v>2712</v>
      </c>
      <c r="C4109" s="211">
        <v>896</v>
      </c>
      <c r="D4109" s="211" t="s">
        <v>1255</v>
      </c>
      <c r="E4109" s="211" t="s">
        <v>10385</v>
      </c>
      <c r="F4109" s="211" t="s">
        <v>7365</v>
      </c>
    </row>
    <row r="4110" spans="1:6">
      <c r="A4110" s="211" t="s">
        <v>10737</v>
      </c>
      <c r="B4110" s="211">
        <v>8579</v>
      </c>
      <c r="C4110" s="211">
        <v>1325</v>
      </c>
      <c r="D4110" s="211" t="s">
        <v>1255</v>
      </c>
      <c r="E4110" s="211" t="s">
        <v>10738</v>
      </c>
      <c r="F4110" s="211" t="s">
        <v>9469</v>
      </c>
    </row>
    <row r="4111" spans="1:6">
      <c r="A4111" s="211" t="s">
        <v>3333</v>
      </c>
      <c r="B4111" s="211">
        <v>2884</v>
      </c>
      <c r="C4111" s="211">
        <v>1147</v>
      </c>
      <c r="D4111" s="211" t="s">
        <v>1255</v>
      </c>
      <c r="E4111" s="211" t="s">
        <v>10385</v>
      </c>
      <c r="F4111" s="211" t="s">
        <v>7430</v>
      </c>
    </row>
    <row r="4112" spans="1:6">
      <c r="A4112" s="211" t="s">
        <v>3334</v>
      </c>
      <c r="B4112" s="211">
        <v>3712</v>
      </c>
      <c r="C4112" s="211">
        <v>1080</v>
      </c>
      <c r="D4112" s="211" t="s">
        <v>1255</v>
      </c>
      <c r="E4112" s="211" t="s">
        <v>10385</v>
      </c>
      <c r="F4112" s="211" t="s">
        <v>7192</v>
      </c>
    </row>
    <row r="4113" spans="1:6">
      <c r="A4113" s="211" t="s">
        <v>5121</v>
      </c>
      <c r="B4113" s="211">
        <v>7820</v>
      </c>
      <c r="C4113" s="211">
        <v>1531</v>
      </c>
      <c r="D4113" s="211" t="s">
        <v>1117</v>
      </c>
      <c r="E4113" s="211" t="s">
        <v>9671</v>
      </c>
      <c r="F4113" s="211" t="s">
        <v>7304</v>
      </c>
    </row>
    <row r="4114" spans="1:6">
      <c r="A4114" s="211" t="s">
        <v>9672</v>
      </c>
      <c r="B4114" s="211">
        <v>7944</v>
      </c>
      <c r="C4114" s="211">
        <v>999</v>
      </c>
      <c r="D4114" s="211" t="s">
        <v>1255</v>
      </c>
      <c r="E4114" s="211" t="s">
        <v>9673</v>
      </c>
      <c r="F4114" s="211" t="s">
        <v>9065</v>
      </c>
    </row>
    <row r="4115" spans="1:6">
      <c r="A4115" s="211" t="s">
        <v>3335</v>
      </c>
      <c r="B4115" s="211">
        <v>5641</v>
      </c>
      <c r="C4115" s="211">
        <v>1442</v>
      </c>
      <c r="D4115" s="211" t="s">
        <v>1117</v>
      </c>
      <c r="E4115" s="211" t="s">
        <v>5971</v>
      </c>
      <c r="F4115" s="211" t="s">
        <v>7241</v>
      </c>
    </row>
    <row r="4116" spans="1:6">
      <c r="A4116" s="211" t="s">
        <v>4520</v>
      </c>
      <c r="B4116" s="211">
        <v>6538</v>
      </c>
      <c r="C4116" s="211">
        <v>1457</v>
      </c>
      <c r="D4116" s="211" t="s">
        <v>1117</v>
      </c>
      <c r="E4116" s="211" t="s">
        <v>10385</v>
      </c>
      <c r="F4116" s="211" t="s">
        <v>7304</v>
      </c>
    </row>
    <row r="4117" spans="1:6">
      <c r="A4117" s="211" t="s">
        <v>8204</v>
      </c>
      <c r="B4117" s="211">
        <v>3865</v>
      </c>
      <c r="C4117" s="211">
        <v>1089</v>
      </c>
      <c r="D4117" s="211" t="s">
        <v>1255</v>
      </c>
      <c r="E4117" s="211" t="s">
        <v>10385</v>
      </c>
      <c r="F4117" s="211" t="s">
        <v>7453</v>
      </c>
    </row>
    <row r="4118" spans="1:6">
      <c r="A4118" s="211" t="s">
        <v>9674</v>
      </c>
      <c r="B4118" s="211">
        <v>8358</v>
      </c>
      <c r="C4118" s="211">
        <v>1006</v>
      </c>
      <c r="D4118" s="211" t="s">
        <v>1117</v>
      </c>
      <c r="E4118" s="211" t="s">
        <v>9675</v>
      </c>
      <c r="F4118" s="211" t="s">
        <v>7414</v>
      </c>
    </row>
    <row r="4119" spans="1:6">
      <c r="A4119" s="211" t="s">
        <v>9676</v>
      </c>
      <c r="B4119" s="211">
        <v>8093</v>
      </c>
      <c r="C4119" s="211">
        <v>1484</v>
      </c>
      <c r="D4119" s="211" t="s">
        <v>1255</v>
      </c>
      <c r="E4119" s="211" t="s">
        <v>10739</v>
      </c>
      <c r="F4119" s="211" t="s">
        <v>7316</v>
      </c>
    </row>
    <row r="4120" spans="1:6">
      <c r="A4120" s="211" t="s">
        <v>8944</v>
      </c>
      <c r="B4120" s="211">
        <v>243</v>
      </c>
      <c r="C4120" s="211">
        <v>1107</v>
      </c>
      <c r="D4120" s="211" t="s">
        <v>1117</v>
      </c>
      <c r="E4120" s="211" t="s">
        <v>10385</v>
      </c>
      <c r="F4120" s="211" t="s">
        <v>7265</v>
      </c>
    </row>
    <row r="4121" spans="1:6">
      <c r="A4121" s="211" t="s">
        <v>8945</v>
      </c>
      <c r="B4121" s="211">
        <v>256</v>
      </c>
      <c r="C4121" s="211" t="s">
        <v>10385</v>
      </c>
      <c r="D4121" s="211" t="s">
        <v>1255</v>
      </c>
      <c r="E4121" s="211" t="s">
        <v>10385</v>
      </c>
      <c r="F4121" s="211" t="s">
        <v>7196</v>
      </c>
    </row>
    <row r="4122" spans="1:6">
      <c r="A4122" s="211" t="s">
        <v>8946</v>
      </c>
      <c r="B4122" s="211">
        <v>5047</v>
      </c>
      <c r="C4122" s="211">
        <v>1004</v>
      </c>
      <c r="D4122" s="211" t="s">
        <v>1117</v>
      </c>
      <c r="E4122" s="211" t="s">
        <v>10385</v>
      </c>
      <c r="F4122" s="211" t="s">
        <v>7205</v>
      </c>
    </row>
    <row r="4123" spans="1:6">
      <c r="A4123" s="211" t="s">
        <v>8947</v>
      </c>
      <c r="B4123" s="211">
        <v>4319</v>
      </c>
      <c r="C4123" s="211">
        <v>1605</v>
      </c>
      <c r="D4123" s="211" t="s">
        <v>1255</v>
      </c>
      <c r="E4123" s="211" t="s">
        <v>10385</v>
      </c>
      <c r="F4123" s="211" t="s">
        <v>7382</v>
      </c>
    </row>
    <row r="4124" spans="1:6">
      <c r="A4124" s="211" t="s">
        <v>8948</v>
      </c>
      <c r="B4124" s="211">
        <v>3281</v>
      </c>
      <c r="C4124" s="211" t="s">
        <v>10385</v>
      </c>
      <c r="D4124" s="211" t="s">
        <v>1255</v>
      </c>
      <c r="E4124" s="211" t="s">
        <v>10385</v>
      </c>
      <c r="F4124" s="211" t="s">
        <v>7343</v>
      </c>
    </row>
    <row r="4125" spans="1:6">
      <c r="A4125" s="211" t="s">
        <v>8949</v>
      </c>
      <c r="B4125" s="211">
        <v>5593</v>
      </c>
      <c r="C4125" s="211" t="s">
        <v>10385</v>
      </c>
      <c r="D4125" s="211" t="s">
        <v>1255</v>
      </c>
      <c r="E4125" s="211" t="s">
        <v>10385</v>
      </c>
      <c r="F4125" s="211" t="s">
        <v>7262</v>
      </c>
    </row>
    <row r="4126" spans="1:6">
      <c r="A4126" s="211" t="s">
        <v>8950</v>
      </c>
      <c r="B4126" s="211">
        <v>7861</v>
      </c>
      <c r="C4126" s="211">
        <v>797</v>
      </c>
      <c r="D4126" s="211" t="s">
        <v>1255</v>
      </c>
      <c r="E4126" s="211" t="s">
        <v>9677</v>
      </c>
      <c r="F4126" s="211" t="s">
        <v>7240</v>
      </c>
    </row>
    <row r="4127" spans="1:6">
      <c r="A4127" s="211" t="s">
        <v>8951</v>
      </c>
      <c r="B4127" s="211">
        <v>7600</v>
      </c>
      <c r="C4127" s="211">
        <v>1004</v>
      </c>
      <c r="D4127" s="211" t="s">
        <v>1117</v>
      </c>
      <c r="E4127" s="211" t="s">
        <v>10385</v>
      </c>
      <c r="F4127" s="211" t="s">
        <v>7342</v>
      </c>
    </row>
    <row r="4128" spans="1:6">
      <c r="A4128" s="211" t="s">
        <v>3336</v>
      </c>
      <c r="B4128" s="211">
        <v>916</v>
      </c>
      <c r="C4128" s="211">
        <v>1451</v>
      </c>
      <c r="D4128" s="211" t="s">
        <v>1255</v>
      </c>
      <c r="E4128" s="211" t="s">
        <v>10385</v>
      </c>
      <c r="F4128" s="211" t="s">
        <v>7267</v>
      </c>
    </row>
    <row r="4129" spans="1:6">
      <c r="A4129" s="211" t="s">
        <v>6889</v>
      </c>
      <c r="B4129" s="211">
        <v>7647</v>
      </c>
      <c r="C4129" s="211">
        <v>665</v>
      </c>
      <c r="D4129" s="211" t="s">
        <v>1255</v>
      </c>
      <c r="E4129" s="211" t="s">
        <v>10385</v>
      </c>
      <c r="F4129" s="211" t="s">
        <v>7418</v>
      </c>
    </row>
    <row r="4130" spans="1:6">
      <c r="A4130" s="211" t="s">
        <v>8205</v>
      </c>
      <c r="B4130" s="211">
        <v>4618</v>
      </c>
      <c r="C4130" s="211" t="s">
        <v>10385</v>
      </c>
      <c r="D4130" s="211" t="s">
        <v>1255</v>
      </c>
      <c r="E4130" s="211" t="s">
        <v>10385</v>
      </c>
      <c r="F4130" s="211" t="s">
        <v>7346</v>
      </c>
    </row>
    <row r="4131" spans="1:6">
      <c r="A4131" s="211" t="s">
        <v>3337</v>
      </c>
      <c r="B4131" s="211">
        <v>2247</v>
      </c>
      <c r="C4131" s="211">
        <v>1451</v>
      </c>
      <c r="D4131" s="211" t="s">
        <v>1255</v>
      </c>
      <c r="E4131" s="211" t="s">
        <v>10385</v>
      </c>
      <c r="F4131" s="211" t="s">
        <v>7536</v>
      </c>
    </row>
    <row r="4132" spans="1:6">
      <c r="A4132" s="211" t="s">
        <v>8206</v>
      </c>
      <c r="B4132" s="211">
        <v>1815</v>
      </c>
      <c r="C4132" s="211" t="s">
        <v>10385</v>
      </c>
      <c r="D4132" s="211" t="s">
        <v>1255</v>
      </c>
      <c r="E4132" s="211" t="s">
        <v>10385</v>
      </c>
      <c r="F4132" s="211" t="s">
        <v>7629</v>
      </c>
    </row>
    <row r="4133" spans="1:6">
      <c r="A4133" s="211" t="s">
        <v>3338</v>
      </c>
      <c r="B4133" s="211">
        <v>5714</v>
      </c>
      <c r="C4133" s="211">
        <v>833</v>
      </c>
      <c r="D4133" s="211" t="s">
        <v>1255</v>
      </c>
      <c r="E4133" s="211" t="s">
        <v>10740</v>
      </c>
      <c r="F4133" s="211" t="s">
        <v>7438</v>
      </c>
    </row>
    <row r="4134" spans="1:6">
      <c r="A4134" s="211" t="s">
        <v>3339</v>
      </c>
      <c r="B4134" s="211">
        <v>2841</v>
      </c>
      <c r="C4134" s="211">
        <v>1968</v>
      </c>
      <c r="D4134" s="211" t="s">
        <v>1255</v>
      </c>
      <c r="E4134" s="211" t="s">
        <v>10741</v>
      </c>
      <c r="F4134" s="211" t="s">
        <v>7200</v>
      </c>
    </row>
    <row r="4135" spans="1:6">
      <c r="A4135" s="211" t="s">
        <v>3340</v>
      </c>
      <c r="B4135" s="211">
        <v>3212</v>
      </c>
      <c r="C4135" s="211">
        <v>556</v>
      </c>
      <c r="D4135" s="211" t="s">
        <v>1117</v>
      </c>
      <c r="E4135" s="211" t="s">
        <v>10385</v>
      </c>
      <c r="F4135" s="211" t="s">
        <v>7189</v>
      </c>
    </row>
    <row r="4136" spans="1:6">
      <c r="A4136" s="211" t="s">
        <v>8207</v>
      </c>
      <c r="B4136" s="211">
        <v>190</v>
      </c>
      <c r="C4136" s="211" t="s">
        <v>10385</v>
      </c>
      <c r="D4136" s="211" t="s">
        <v>1255</v>
      </c>
      <c r="E4136" s="211" t="s">
        <v>10385</v>
      </c>
      <c r="F4136" s="211" t="s">
        <v>7343</v>
      </c>
    </row>
    <row r="4137" spans="1:6">
      <c r="A4137" s="211" t="s">
        <v>9678</v>
      </c>
      <c r="B4137" s="211">
        <v>8378</v>
      </c>
      <c r="C4137" s="211">
        <v>974</v>
      </c>
      <c r="D4137" s="211" t="s">
        <v>1117</v>
      </c>
      <c r="E4137" s="211" t="s">
        <v>9679</v>
      </c>
      <c r="F4137" s="211" t="s">
        <v>7282</v>
      </c>
    </row>
    <row r="4138" spans="1:6">
      <c r="A4138" s="211" t="s">
        <v>6890</v>
      </c>
      <c r="B4138" s="211">
        <v>7659</v>
      </c>
      <c r="C4138" s="211">
        <v>1031</v>
      </c>
      <c r="D4138" s="211" t="s">
        <v>1255</v>
      </c>
      <c r="E4138" s="211" t="s">
        <v>6891</v>
      </c>
      <c r="F4138" s="211" t="s">
        <v>7292</v>
      </c>
    </row>
    <row r="4139" spans="1:6">
      <c r="A4139" s="211" t="s">
        <v>3341</v>
      </c>
      <c r="B4139" s="211">
        <v>2422</v>
      </c>
      <c r="C4139" s="211">
        <v>1202</v>
      </c>
      <c r="D4139" s="211" t="s">
        <v>1255</v>
      </c>
      <c r="E4139" s="211" t="s">
        <v>10385</v>
      </c>
      <c r="F4139" s="211" t="s">
        <v>7167</v>
      </c>
    </row>
    <row r="4140" spans="1:6">
      <c r="A4140" s="211" t="s">
        <v>3342</v>
      </c>
      <c r="B4140" s="211">
        <v>2975</v>
      </c>
      <c r="C4140" s="211">
        <v>1894</v>
      </c>
      <c r="D4140" s="211" t="s">
        <v>1255</v>
      </c>
      <c r="E4140" s="211" t="s">
        <v>10385</v>
      </c>
      <c r="F4140" s="211" t="s">
        <v>7320</v>
      </c>
    </row>
    <row r="4141" spans="1:6">
      <c r="A4141" s="211" t="s">
        <v>3343</v>
      </c>
      <c r="B4141" s="211">
        <v>2156</v>
      </c>
      <c r="C4141" s="211">
        <v>1610</v>
      </c>
      <c r="D4141" s="211" t="s">
        <v>1255</v>
      </c>
      <c r="E4141" s="211" t="s">
        <v>10385</v>
      </c>
      <c r="F4141" s="211" t="s">
        <v>7240</v>
      </c>
    </row>
    <row r="4142" spans="1:6">
      <c r="A4142" s="211" t="s">
        <v>3344</v>
      </c>
      <c r="B4142" s="211">
        <v>3883</v>
      </c>
      <c r="C4142" s="211">
        <v>826</v>
      </c>
      <c r="D4142" s="211" t="s">
        <v>1255</v>
      </c>
      <c r="E4142" s="211" t="s">
        <v>10385</v>
      </c>
      <c r="F4142" s="211" t="s">
        <v>7427</v>
      </c>
    </row>
    <row r="4143" spans="1:6">
      <c r="A4143" s="211" t="s">
        <v>2927</v>
      </c>
      <c r="B4143" s="211">
        <v>2810</v>
      </c>
      <c r="C4143" s="211">
        <v>1662</v>
      </c>
      <c r="D4143" s="211" t="s">
        <v>1255</v>
      </c>
      <c r="E4143" s="211" t="s">
        <v>10385</v>
      </c>
      <c r="F4143" s="211" t="s">
        <v>7380</v>
      </c>
    </row>
    <row r="4144" spans="1:6">
      <c r="A4144" s="211" t="s">
        <v>3345</v>
      </c>
      <c r="B4144" s="211">
        <v>2437</v>
      </c>
      <c r="C4144" s="211">
        <v>1081</v>
      </c>
      <c r="D4144" s="211" t="s">
        <v>1255</v>
      </c>
      <c r="E4144" s="211" t="s">
        <v>10385</v>
      </c>
      <c r="F4144" s="211" t="s">
        <v>7788</v>
      </c>
    </row>
    <row r="4145" spans="1:6">
      <c r="A4145" s="211" t="s">
        <v>4564</v>
      </c>
      <c r="B4145" s="211">
        <v>6486</v>
      </c>
      <c r="C4145" s="211">
        <v>1536</v>
      </c>
      <c r="D4145" s="211" t="s">
        <v>1255</v>
      </c>
      <c r="E4145" s="211" t="s">
        <v>10385</v>
      </c>
      <c r="F4145" s="211" t="s">
        <v>7392</v>
      </c>
    </row>
    <row r="4146" spans="1:6">
      <c r="A4146" s="211" t="s">
        <v>3346</v>
      </c>
      <c r="B4146" s="211">
        <v>3398</v>
      </c>
      <c r="C4146" s="211">
        <v>1683</v>
      </c>
      <c r="D4146" s="211" t="s">
        <v>1255</v>
      </c>
      <c r="E4146" s="211" t="s">
        <v>10385</v>
      </c>
      <c r="F4146" s="211" t="s">
        <v>7272</v>
      </c>
    </row>
    <row r="4147" spans="1:6">
      <c r="A4147" s="211" t="s">
        <v>3347</v>
      </c>
      <c r="B4147" s="211">
        <v>1730</v>
      </c>
      <c r="C4147" s="211">
        <v>800</v>
      </c>
      <c r="D4147" s="211" t="s">
        <v>1255</v>
      </c>
      <c r="E4147" s="211" t="s">
        <v>10385</v>
      </c>
      <c r="F4147" s="211" t="s">
        <v>7250</v>
      </c>
    </row>
    <row r="4148" spans="1:6">
      <c r="A4148" s="211" t="s">
        <v>8208</v>
      </c>
      <c r="B4148" s="211">
        <v>6043</v>
      </c>
      <c r="C4148" s="211" t="s">
        <v>10385</v>
      </c>
      <c r="D4148" s="211" t="s">
        <v>1255</v>
      </c>
      <c r="E4148" s="211" t="s">
        <v>10385</v>
      </c>
      <c r="F4148" s="211" t="s">
        <v>7386</v>
      </c>
    </row>
    <row r="4149" spans="1:6">
      <c r="A4149" s="211" t="s">
        <v>2972</v>
      </c>
      <c r="B4149" s="211">
        <v>2183</v>
      </c>
      <c r="C4149" s="211">
        <v>606</v>
      </c>
      <c r="D4149" s="211" t="s">
        <v>1117</v>
      </c>
      <c r="E4149" s="211" t="s">
        <v>10385</v>
      </c>
      <c r="F4149" s="211" t="s">
        <v>7386</v>
      </c>
    </row>
    <row r="4150" spans="1:6">
      <c r="A4150" s="211" t="s">
        <v>2983</v>
      </c>
      <c r="B4150" s="211">
        <v>2225</v>
      </c>
      <c r="C4150" s="211">
        <v>939</v>
      </c>
      <c r="D4150" s="211" t="s">
        <v>1117</v>
      </c>
      <c r="E4150" s="211" t="s">
        <v>10385</v>
      </c>
      <c r="F4150" s="211" t="s">
        <v>7263</v>
      </c>
    </row>
    <row r="4151" spans="1:6">
      <c r="A4151" s="211" t="s">
        <v>8209</v>
      </c>
      <c r="B4151" s="211">
        <v>364</v>
      </c>
      <c r="C4151" s="211" t="s">
        <v>10385</v>
      </c>
      <c r="D4151" s="211" t="s">
        <v>1255</v>
      </c>
      <c r="E4151" s="211" t="s">
        <v>10385</v>
      </c>
      <c r="F4151" s="211" t="s">
        <v>7173</v>
      </c>
    </row>
    <row r="4152" spans="1:6">
      <c r="A4152" s="211" t="s">
        <v>3348</v>
      </c>
      <c r="B4152" s="211">
        <v>815</v>
      </c>
      <c r="C4152" s="211">
        <v>821</v>
      </c>
      <c r="D4152" s="211" t="s">
        <v>1255</v>
      </c>
      <c r="E4152" s="211" t="s">
        <v>10385</v>
      </c>
      <c r="F4152" s="211" t="s">
        <v>7343</v>
      </c>
    </row>
    <row r="4153" spans="1:6">
      <c r="A4153" s="211" t="s">
        <v>6892</v>
      </c>
      <c r="B4153" s="211">
        <v>7838</v>
      </c>
      <c r="C4153" s="211">
        <v>1067</v>
      </c>
      <c r="D4153" s="211" t="s">
        <v>1255</v>
      </c>
      <c r="E4153" s="211" t="s">
        <v>6893</v>
      </c>
      <c r="F4153" s="211" t="s">
        <v>7382</v>
      </c>
    </row>
    <row r="4154" spans="1:6">
      <c r="A4154" s="211" t="s">
        <v>5122</v>
      </c>
      <c r="B4154" s="211">
        <v>6864</v>
      </c>
      <c r="C4154" s="211">
        <v>967</v>
      </c>
      <c r="D4154" s="211" t="s">
        <v>1255</v>
      </c>
      <c r="E4154" s="211" t="s">
        <v>5972</v>
      </c>
      <c r="F4154" s="211" t="s">
        <v>8210</v>
      </c>
    </row>
    <row r="4155" spans="1:6">
      <c r="A4155" s="211" t="s">
        <v>10742</v>
      </c>
      <c r="B4155" s="211">
        <v>8734</v>
      </c>
      <c r="C4155" s="211">
        <v>629</v>
      </c>
      <c r="D4155" s="211" t="s">
        <v>1255</v>
      </c>
      <c r="E4155" s="211" t="s">
        <v>10743</v>
      </c>
      <c r="F4155" s="211" t="s">
        <v>7344</v>
      </c>
    </row>
    <row r="4156" spans="1:6">
      <c r="A4156" s="211" t="s">
        <v>3349</v>
      </c>
      <c r="B4156" s="211">
        <v>700</v>
      </c>
      <c r="C4156" s="211">
        <v>2508</v>
      </c>
      <c r="D4156" s="211" t="s">
        <v>1255</v>
      </c>
      <c r="E4156" s="211" t="s">
        <v>10385</v>
      </c>
      <c r="F4156" s="211" t="s">
        <v>7239</v>
      </c>
    </row>
    <row r="4157" spans="1:6">
      <c r="A4157" s="211" t="s">
        <v>4867</v>
      </c>
      <c r="B4157" s="211">
        <v>6723</v>
      </c>
      <c r="C4157" s="211">
        <v>954</v>
      </c>
      <c r="D4157" s="211" t="s">
        <v>1255</v>
      </c>
      <c r="E4157" s="211" t="s">
        <v>10385</v>
      </c>
      <c r="F4157" s="211" t="s">
        <v>7384</v>
      </c>
    </row>
    <row r="4158" spans="1:6">
      <c r="A4158" s="211" t="s">
        <v>8211</v>
      </c>
      <c r="B4158" s="211">
        <v>2413</v>
      </c>
      <c r="C4158" s="211" t="s">
        <v>10385</v>
      </c>
      <c r="D4158" s="211" t="s">
        <v>1255</v>
      </c>
      <c r="E4158" s="211" t="s">
        <v>10385</v>
      </c>
      <c r="F4158" s="211" t="s">
        <v>7438</v>
      </c>
    </row>
    <row r="4159" spans="1:6">
      <c r="A4159" s="211" t="s">
        <v>8212</v>
      </c>
      <c r="B4159" s="211">
        <v>5587</v>
      </c>
      <c r="C4159" s="211" t="s">
        <v>10385</v>
      </c>
      <c r="D4159" s="211" t="s">
        <v>1255</v>
      </c>
      <c r="E4159" s="211" t="s">
        <v>10385</v>
      </c>
      <c r="F4159" s="211" t="s">
        <v>7510</v>
      </c>
    </row>
    <row r="4160" spans="1:6">
      <c r="A4160" s="211" t="s">
        <v>9680</v>
      </c>
      <c r="B4160" s="211">
        <v>8498</v>
      </c>
      <c r="C4160" s="211">
        <v>600</v>
      </c>
      <c r="D4160" s="211" t="s">
        <v>1117</v>
      </c>
      <c r="E4160" s="211" t="s">
        <v>10744</v>
      </c>
      <c r="F4160" s="211" t="s">
        <v>9044</v>
      </c>
    </row>
    <row r="4161" spans="1:6">
      <c r="A4161" s="211" t="s">
        <v>3350</v>
      </c>
      <c r="B4161" s="211">
        <v>2133</v>
      </c>
      <c r="C4161" s="211">
        <v>827</v>
      </c>
      <c r="D4161" s="211" t="s">
        <v>1117</v>
      </c>
      <c r="E4161" s="211" t="s">
        <v>10385</v>
      </c>
      <c r="F4161" s="211" t="s">
        <v>7171</v>
      </c>
    </row>
    <row r="4162" spans="1:6">
      <c r="A4162" s="211" t="s">
        <v>9681</v>
      </c>
      <c r="B4162" s="211">
        <v>8496</v>
      </c>
      <c r="C4162" s="211">
        <v>992</v>
      </c>
      <c r="D4162" s="211" t="s">
        <v>1255</v>
      </c>
      <c r="E4162" s="211" t="s">
        <v>10385</v>
      </c>
      <c r="F4162" s="211" t="s">
        <v>7511</v>
      </c>
    </row>
    <row r="4163" spans="1:6">
      <c r="A4163" s="211" t="s">
        <v>9682</v>
      </c>
      <c r="B4163" s="211">
        <v>8173</v>
      </c>
      <c r="C4163" s="211">
        <v>1191</v>
      </c>
      <c r="D4163" s="211" t="s">
        <v>1255</v>
      </c>
      <c r="E4163" s="211" t="s">
        <v>9683</v>
      </c>
      <c r="F4163" s="211" t="s">
        <v>7373</v>
      </c>
    </row>
    <row r="4164" spans="1:6">
      <c r="A4164" s="211" t="s">
        <v>3351</v>
      </c>
      <c r="B4164" s="211">
        <v>5223</v>
      </c>
      <c r="C4164" s="211">
        <v>1543</v>
      </c>
      <c r="D4164" s="211" t="s">
        <v>1255</v>
      </c>
      <c r="E4164" s="211" t="s">
        <v>10385</v>
      </c>
      <c r="F4164" s="211" t="s">
        <v>7318</v>
      </c>
    </row>
    <row r="4165" spans="1:6">
      <c r="A4165" s="211" t="s">
        <v>6894</v>
      </c>
      <c r="B4165" s="211">
        <v>7702</v>
      </c>
      <c r="C4165" s="211">
        <v>462</v>
      </c>
      <c r="D4165" s="211" t="s">
        <v>1255</v>
      </c>
      <c r="E4165" s="211" t="s">
        <v>6895</v>
      </c>
      <c r="F4165" s="211" t="s">
        <v>7288</v>
      </c>
    </row>
    <row r="4166" spans="1:6">
      <c r="A4166" s="211" t="s">
        <v>8213</v>
      </c>
      <c r="B4166" s="211">
        <v>3848</v>
      </c>
      <c r="C4166" s="211" t="s">
        <v>10385</v>
      </c>
      <c r="D4166" s="211" t="s">
        <v>1255</v>
      </c>
      <c r="E4166" s="211" t="s">
        <v>10385</v>
      </c>
      <c r="F4166" s="211" t="s">
        <v>8107</v>
      </c>
    </row>
    <row r="4167" spans="1:6">
      <c r="A4167" s="211" t="s">
        <v>3352</v>
      </c>
      <c r="B4167" s="211">
        <v>3928</v>
      </c>
      <c r="C4167" s="211">
        <v>1415</v>
      </c>
      <c r="D4167" s="211" t="s">
        <v>1255</v>
      </c>
      <c r="E4167" s="211" t="s">
        <v>10385</v>
      </c>
      <c r="F4167" s="211" t="s">
        <v>7868</v>
      </c>
    </row>
    <row r="4168" spans="1:6">
      <c r="A4168" s="211" t="s">
        <v>10745</v>
      </c>
      <c r="B4168" s="211">
        <v>8745</v>
      </c>
      <c r="C4168" s="211">
        <v>539</v>
      </c>
      <c r="D4168" s="211" t="s">
        <v>1255</v>
      </c>
      <c r="E4168" s="211" t="s">
        <v>10746</v>
      </c>
      <c r="F4168" s="211" t="s">
        <v>7965</v>
      </c>
    </row>
    <row r="4169" spans="1:6">
      <c r="A4169" s="211" t="s">
        <v>9684</v>
      </c>
      <c r="B4169" s="211">
        <v>8007</v>
      </c>
      <c r="C4169" s="211">
        <v>797</v>
      </c>
      <c r="D4169" s="211" t="s">
        <v>1255</v>
      </c>
      <c r="E4169" s="211" t="s">
        <v>10385</v>
      </c>
      <c r="F4169" s="211" t="s">
        <v>7965</v>
      </c>
    </row>
    <row r="4170" spans="1:6">
      <c r="A4170" s="211" t="s">
        <v>3062</v>
      </c>
      <c r="B4170" s="211">
        <v>6263</v>
      </c>
      <c r="C4170" s="211">
        <v>618</v>
      </c>
      <c r="D4170" s="211" t="s">
        <v>1255</v>
      </c>
      <c r="E4170" s="211" t="s">
        <v>10385</v>
      </c>
      <c r="F4170" s="211" t="s">
        <v>7310</v>
      </c>
    </row>
    <row r="4171" spans="1:6">
      <c r="A4171" s="211" t="s">
        <v>9685</v>
      </c>
      <c r="B4171" s="211">
        <v>8338</v>
      </c>
      <c r="C4171" s="211">
        <v>1301</v>
      </c>
      <c r="D4171" s="211" t="s">
        <v>1255</v>
      </c>
      <c r="E4171" s="211" t="s">
        <v>9686</v>
      </c>
      <c r="F4171" s="211" t="s">
        <v>7247</v>
      </c>
    </row>
    <row r="4172" spans="1:6">
      <c r="A4172" s="211" t="s">
        <v>4784</v>
      </c>
      <c r="B4172" s="211">
        <v>6165</v>
      </c>
      <c r="C4172" s="211">
        <v>926</v>
      </c>
      <c r="D4172" s="211" t="s">
        <v>1255</v>
      </c>
      <c r="E4172" s="211" t="s">
        <v>10385</v>
      </c>
      <c r="F4172" s="211" t="s">
        <v>7659</v>
      </c>
    </row>
    <row r="4173" spans="1:6">
      <c r="A4173" s="211" t="s">
        <v>3353</v>
      </c>
      <c r="B4173" s="211">
        <v>62</v>
      </c>
      <c r="C4173" s="211">
        <v>1377</v>
      </c>
      <c r="D4173" s="211" t="s">
        <v>1255</v>
      </c>
      <c r="E4173" s="211" t="s">
        <v>10385</v>
      </c>
      <c r="F4173" s="211" t="s">
        <v>7356</v>
      </c>
    </row>
    <row r="4174" spans="1:6">
      <c r="A4174" s="211" t="s">
        <v>8214</v>
      </c>
      <c r="B4174" s="211">
        <v>379</v>
      </c>
      <c r="C4174" s="211" t="s">
        <v>10385</v>
      </c>
      <c r="D4174" s="211" t="s">
        <v>1255</v>
      </c>
      <c r="E4174" s="211" t="s">
        <v>10385</v>
      </c>
      <c r="F4174" s="211" t="s">
        <v>7356</v>
      </c>
    </row>
    <row r="4175" spans="1:6">
      <c r="A4175" s="211" t="s">
        <v>3354</v>
      </c>
      <c r="B4175" s="211">
        <v>993</v>
      </c>
      <c r="C4175" s="211">
        <v>1648</v>
      </c>
      <c r="D4175" s="211" t="s">
        <v>1255</v>
      </c>
      <c r="E4175" s="211" t="s">
        <v>10385</v>
      </c>
      <c r="F4175" s="211" t="s">
        <v>7356</v>
      </c>
    </row>
    <row r="4176" spans="1:6">
      <c r="A4176" s="211" t="s">
        <v>10360</v>
      </c>
      <c r="B4176" s="211">
        <v>901</v>
      </c>
      <c r="C4176" s="211" t="s">
        <v>10385</v>
      </c>
      <c r="D4176" s="211" t="s">
        <v>1255</v>
      </c>
      <c r="E4176" s="211" t="s">
        <v>10385</v>
      </c>
      <c r="F4176" s="211" t="s">
        <v>7356</v>
      </c>
    </row>
    <row r="4177" spans="1:6">
      <c r="A4177" s="211" t="s">
        <v>3355</v>
      </c>
      <c r="B4177" s="211">
        <v>2031</v>
      </c>
      <c r="C4177" s="211">
        <v>513</v>
      </c>
      <c r="D4177" s="211" t="s">
        <v>1255</v>
      </c>
      <c r="E4177" s="211" t="s">
        <v>6896</v>
      </c>
      <c r="F4177" s="211" t="s">
        <v>7382</v>
      </c>
    </row>
    <row r="4178" spans="1:6">
      <c r="A4178" s="211" t="s">
        <v>3356</v>
      </c>
      <c r="B4178" s="211">
        <v>3933</v>
      </c>
      <c r="C4178" s="211">
        <v>480</v>
      </c>
      <c r="D4178" s="211" t="s">
        <v>1255</v>
      </c>
      <c r="E4178" s="211" t="s">
        <v>10385</v>
      </c>
      <c r="F4178" s="211" t="s">
        <v>7382</v>
      </c>
    </row>
    <row r="4179" spans="1:6">
      <c r="A4179" s="211" t="s">
        <v>10747</v>
      </c>
      <c r="B4179" s="211">
        <v>8617</v>
      </c>
      <c r="C4179" s="211">
        <v>1040</v>
      </c>
      <c r="D4179" s="211" t="s">
        <v>1255</v>
      </c>
      <c r="E4179" s="211" t="s">
        <v>10748</v>
      </c>
      <c r="F4179" s="211" t="s">
        <v>7199</v>
      </c>
    </row>
    <row r="4180" spans="1:6">
      <c r="A4180" s="211" t="s">
        <v>9687</v>
      </c>
      <c r="B4180" s="211">
        <v>8462</v>
      </c>
      <c r="C4180" s="211">
        <v>999</v>
      </c>
      <c r="D4180" s="211" t="s">
        <v>1255</v>
      </c>
      <c r="E4180" s="211" t="s">
        <v>9688</v>
      </c>
      <c r="F4180" s="211" t="s">
        <v>7287</v>
      </c>
    </row>
    <row r="4181" spans="1:6">
      <c r="A4181" s="211" t="s">
        <v>9689</v>
      </c>
      <c r="B4181" s="211">
        <v>7993</v>
      </c>
      <c r="C4181" s="211">
        <v>1484</v>
      </c>
      <c r="D4181" s="211" t="s">
        <v>1255</v>
      </c>
      <c r="E4181" s="211" t="s">
        <v>10749</v>
      </c>
      <c r="F4181" s="211" t="s">
        <v>7275</v>
      </c>
    </row>
    <row r="4182" spans="1:6">
      <c r="A4182" s="211" t="s">
        <v>8215</v>
      </c>
      <c r="B4182" s="211">
        <v>3735</v>
      </c>
      <c r="C4182" s="211" t="s">
        <v>10385</v>
      </c>
      <c r="D4182" s="211" t="s">
        <v>1255</v>
      </c>
      <c r="E4182" s="211" t="s">
        <v>10385</v>
      </c>
      <c r="F4182" s="211" t="s">
        <v>7203</v>
      </c>
    </row>
    <row r="4183" spans="1:6">
      <c r="A4183" s="211" t="s">
        <v>3357</v>
      </c>
      <c r="B4183" s="211">
        <v>1610</v>
      </c>
      <c r="C4183" s="211">
        <v>782</v>
      </c>
      <c r="D4183" s="211" t="s">
        <v>1255</v>
      </c>
      <c r="E4183" s="211" t="s">
        <v>10385</v>
      </c>
      <c r="F4183" s="211" t="s">
        <v>7257</v>
      </c>
    </row>
    <row r="4184" spans="1:6">
      <c r="A4184" s="211" t="s">
        <v>5973</v>
      </c>
      <c r="B4184" s="211">
        <v>7305</v>
      </c>
      <c r="C4184" s="211">
        <v>1174</v>
      </c>
      <c r="D4184" s="211" t="s">
        <v>1255</v>
      </c>
      <c r="E4184" s="211" t="s">
        <v>10385</v>
      </c>
      <c r="F4184" s="211" t="s">
        <v>7233</v>
      </c>
    </row>
    <row r="4185" spans="1:6">
      <c r="A4185" s="211" t="s">
        <v>3358</v>
      </c>
      <c r="B4185" s="211">
        <v>3210</v>
      </c>
      <c r="C4185" s="211">
        <v>1016</v>
      </c>
      <c r="D4185" s="211" t="s">
        <v>1255</v>
      </c>
      <c r="E4185" s="211" t="s">
        <v>10385</v>
      </c>
      <c r="F4185" s="211" t="s">
        <v>7189</v>
      </c>
    </row>
    <row r="4186" spans="1:6">
      <c r="A4186" s="211" t="s">
        <v>10750</v>
      </c>
      <c r="B4186" s="211">
        <v>8610</v>
      </c>
      <c r="C4186" s="211">
        <v>1463</v>
      </c>
      <c r="D4186" s="211" t="s">
        <v>1255</v>
      </c>
      <c r="E4186" s="211" t="s">
        <v>10751</v>
      </c>
      <c r="F4186" s="211" t="s">
        <v>7200</v>
      </c>
    </row>
    <row r="4187" spans="1:6">
      <c r="A4187" s="211" t="s">
        <v>3359</v>
      </c>
      <c r="B4187" s="211">
        <v>4388</v>
      </c>
      <c r="C4187" s="211">
        <v>1899</v>
      </c>
      <c r="D4187" s="211" t="s">
        <v>1255</v>
      </c>
      <c r="E4187" s="211" t="s">
        <v>3360</v>
      </c>
      <c r="F4187" s="211" t="s">
        <v>7310</v>
      </c>
    </row>
    <row r="4188" spans="1:6">
      <c r="A4188" s="211" t="s">
        <v>3361</v>
      </c>
      <c r="B4188" s="211">
        <v>6372</v>
      </c>
      <c r="C4188" s="211">
        <v>1021</v>
      </c>
      <c r="D4188" s="211" t="s">
        <v>1255</v>
      </c>
      <c r="E4188" s="211" t="s">
        <v>10385</v>
      </c>
      <c r="F4188" s="211" t="s">
        <v>7283</v>
      </c>
    </row>
    <row r="4189" spans="1:6">
      <c r="A4189" s="211" t="s">
        <v>6897</v>
      </c>
      <c r="B4189" s="211">
        <v>7767</v>
      </c>
      <c r="C4189" s="211">
        <v>1224</v>
      </c>
      <c r="D4189" s="211" t="s">
        <v>1255</v>
      </c>
      <c r="E4189" s="211" t="s">
        <v>6898</v>
      </c>
      <c r="F4189" s="211" t="s">
        <v>7581</v>
      </c>
    </row>
    <row r="4190" spans="1:6">
      <c r="A4190" s="211" t="s">
        <v>8216</v>
      </c>
      <c r="B4190" s="211">
        <v>213</v>
      </c>
      <c r="C4190" s="211" t="s">
        <v>10385</v>
      </c>
      <c r="D4190" s="211" t="s">
        <v>1255</v>
      </c>
      <c r="E4190" s="211" t="s">
        <v>10385</v>
      </c>
      <c r="F4190" s="211" t="s">
        <v>7239</v>
      </c>
    </row>
    <row r="4191" spans="1:6">
      <c r="A4191" s="211" t="s">
        <v>3362</v>
      </c>
      <c r="B4191" s="211">
        <v>3968</v>
      </c>
      <c r="C4191" s="211">
        <v>999</v>
      </c>
      <c r="D4191" s="211" t="s">
        <v>1255</v>
      </c>
      <c r="E4191" s="211" t="s">
        <v>10385</v>
      </c>
      <c r="F4191" s="211" t="s">
        <v>7380</v>
      </c>
    </row>
    <row r="4192" spans="1:6">
      <c r="A4192" s="211" t="s">
        <v>10361</v>
      </c>
      <c r="B4192" s="211">
        <v>889</v>
      </c>
      <c r="C4192" s="211" t="s">
        <v>10385</v>
      </c>
      <c r="D4192" s="211" t="s">
        <v>1255</v>
      </c>
      <c r="E4192" s="211" t="s">
        <v>10385</v>
      </c>
      <c r="F4192" s="211" t="s">
        <v>7169</v>
      </c>
    </row>
    <row r="4193" spans="1:6">
      <c r="A4193" s="211" t="s">
        <v>3363</v>
      </c>
      <c r="B4193" s="211">
        <v>5791</v>
      </c>
      <c r="C4193" s="211">
        <v>764</v>
      </c>
      <c r="D4193" s="211" t="s">
        <v>1255</v>
      </c>
      <c r="E4193" s="211" t="s">
        <v>10385</v>
      </c>
      <c r="F4193" s="211" t="s">
        <v>7364</v>
      </c>
    </row>
    <row r="4194" spans="1:6">
      <c r="A4194" s="211" t="s">
        <v>8217</v>
      </c>
      <c r="B4194" s="211">
        <v>3864</v>
      </c>
      <c r="C4194" s="211">
        <v>857</v>
      </c>
      <c r="D4194" s="211" t="s">
        <v>1255</v>
      </c>
      <c r="E4194" s="211" t="s">
        <v>10385</v>
      </c>
      <c r="F4194" s="211" t="s">
        <v>7453</v>
      </c>
    </row>
    <row r="4195" spans="1:6">
      <c r="A4195" s="211" t="s">
        <v>3364</v>
      </c>
      <c r="B4195" s="211">
        <v>1302</v>
      </c>
      <c r="C4195" s="211">
        <v>979</v>
      </c>
      <c r="D4195" s="211" t="s">
        <v>1255</v>
      </c>
      <c r="E4195" s="211" t="s">
        <v>10385</v>
      </c>
      <c r="F4195" s="211" t="s">
        <v>7592</v>
      </c>
    </row>
    <row r="4196" spans="1:6">
      <c r="A4196" s="211" t="s">
        <v>9690</v>
      </c>
      <c r="B4196" s="211">
        <v>8469</v>
      </c>
      <c r="C4196" s="211">
        <v>1946</v>
      </c>
      <c r="D4196" s="211" t="s">
        <v>1255</v>
      </c>
      <c r="E4196" s="211" t="s">
        <v>9691</v>
      </c>
      <c r="F4196" s="211" t="s">
        <v>7196</v>
      </c>
    </row>
    <row r="4197" spans="1:6">
      <c r="A4197" s="211" t="s">
        <v>3365</v>
      </c>
      <c r="B4197" s="211">
        <v>6391</v>
      </c>
      <c r="C4197" s="211">
        <v>1255</v>
      </c>
      <c r="D4197" s="211" t="s">
        <v>1255</v>
      </c>
      <c r="E4197" s="211" t="s">
        <v>10385</v>
      </c>
      <c r="F4197" s="211" t="s">
        <v>7384</v>
      </c>
    </row>
    <row r="4198" spans="1:6">
      <c r="A4198" s="211" t="s">
        <v>10752</v>
      </c>
      <c r="B4198" s="211">
        <v>8780</v>
      </c>
      <c r="C4198" s="211">
        <v>363</v>
      </c>
      <c r="D4198" s="211" t="s">
        <v>1117</v>
      </c>
      <c r="E4198" s="211" t="s">
        <v>10753</v>
      </c>
      <c r="F4198" s="211" t="s">
        <v>7383</v>
      </c>
    </row>
    <row r="4199" spans="1:6">
      <c r="A4199" s="211" t="s">
        <v>3366</v>
      </c>
      <c r="B4199" s="211">
        <v>2400</v>
      </c>
      <c r="C4199" s="211">
        <v>1321</v>
      </c>
      <c r="D4199" s="211" t="s">
        <v>1255</v>
      </c>
      <c r="E4199" s="211" t="s">
        <v>10385</v>
      </c>
      <c r="F4199" s="211" t="s">
        <v>7165</v>
      </c>
    </row>
    <row r="4200" spans="1:6">
      <c r="A4200" s="211" t="s">
        <v>3367</v>
      </c>
      <c r="B4200" s="211">
        <v>2729</v>
      </c>
      <c r="C4200" s="211">
        <v>671</v>
      </c>
      <c r="D4200" s="211" t="s">
        <v>1117</v>
      </c>
      <c r="E4200" s="211" t="s">
        <v>10385</v>
      </c>
      <c r="F4200" s="211" t="s">
        <v>7231</v>
      </c>
    </row>
    <row r="4201" spans="1:6">
      <c r="A4201" s="211" t="s">
        <v>3368</v>
      </c>
      <c r="B4201" s="211">
        <v>4773</v>
      </c>
      <c r="C4201" s="211">
        <v>1187</v>
      </c>
      <c r="D4201" s="211" t="s">
        <v>1255</v>
      </c>
      <c r="E4201" s="211" t="s">
        <v>10385</v>
      </c>
      <c r="F4201" s="211" t="s">
        <v>7241</v>
      </c>
    </row>
    <row r="4202" spans="1:6">
      <c r="A4202" s="211" t="s">
        <v>3369</v>
      </c>
      <c r="B4202" s="211">
        <v>2526</v>
      </c>
      <c r="C4202" s="211">
        <v>1279</v>
      </c>
      <c r="D4202" s="211" t="s">
        <v>1255</v>
      </c>
      <c r="E4202" s="211" t="s">
        <v>10385</v>
      </c>
      <c r="F4202" s="211" t="s">
        <v>7249</v>
      </c>
    </row>
    <row r="4203" spans="1:6">
      <c r="A4203" s="211" t="s">
        <v>4673</v>
      </c>
      <c r="B4203" s="211">
        <v>6432</v>
      </c>
      <c r="C4203" s="211">
        <v>785</v>
      </c>
      <c r="D4203" s="211" t="s">
        <v>1255</v>
      </c>
      <c r="E4203" s="211" t="s">
        <v>10385</v>
      </c>
      <c r="F4203" s="211" t="s">
        <v>7186</v>
      </c>
    </row>
    <row r="4204" spans="1:6">
      <c r="A4204" s="211" t="s">
        <v>3370</v>
      </c>
      <c r="B4204" s="211">
        <v>4454</v>
      </c>
      <c r="C4204" s="211">
        <v>1104</v>
      </c>
      <c r="D4204" s="211" t="s">
        <v>1255</v>
      </c>
      <c r="E4204" s="211" t="s">
        <v>10385</v>
      </c>
      <c r="F4204" s="211" t="s">
        <v>7242</v>
      </c>
    </row>
    <row r="4205" spans="1:6">
      <c r="A4205" s="211" t="s">
        <v>3371</v>
      </c>
      <c r="B4205" s="211">
        <v>1283</v>
      </c>
      <c r="C4205" s="211">
        <v>1666</v>
      </c>
      <c r="D4205" s="211" t="s">
        <v>1255</v>
      </c>
      <c r="E4205" s="211" t="s">
        <v>10385</v>
      </c>
      <c r="F4205" s="211" t="s">
        <v>7165</v>
      </c>
    </row>
    <row r="4206" spans="1:6">
      <c r="A4206" s="211" t="s">
        <v>3372</v>
      </c>
      <c r="B4206" s="211">
        <v>5210</v>
      </c>
      <c r="C4206" s="211">
        <v>1240</v>
      </c>
      <c r="D4206" s="211" t="s">
        <v>1255</v>
      </c>
      <c r="E4206" s="211" t="s">
        <v>10385</v>
      </c>
      <c r="F4206" s="211" t="s">
        <v>7508</v>
      </c>
    </row>
    <row r="4207" spans="1:6">
      <c r="A4207" s="211" t="s">
        <v>5974</v>
      </c>
      <c r="B4207" s="211">
        <v>7380</v>
      </c>
      <c r="C4207" s="211">
        <v>1075</v>
      </c>
      <c r="D4207" s="211" t="s">
        <v>1117</v>
      </c>
      <c r="E4207" s="211" t="s">
        <v>5975</v>
      </c>
      <c r="F4207" s="211" t="s">
        <v>7167</v>
      </c>
    </row>
    <row r="4208" spans="1:6">
      <c r="A4208" s="211" t="s">
        <v>10754</v>
      </c>
      <c r="B4208" s="211">
        <v>8580</v>
      </c>
      <c r="C4208" s="211">
        <v>1150</v>
      </c>
      <c r="D4208" s="211" t="s">
        <v>1255</v>
      </c>
      <c r="E4208" s="211" t="s">
        <v>10755</v>
      </c>
      <c r="F4208" s="211" t="s">
        <v>7243</v>
      </c>
    </row>
    <row r="4209" spans="1:6">
      <c r="A4209" s="211" t="s">
        <v>3373</v>
      </c>
      <c r="B4209" s="211">
        <v>4500</v>
      </c>
      <c r="C4209" s="211">
        <v>1727</v>
      </c>
      <c r="D4209" s="211" t="s">
        <v>1255</v>
      </c>
      <c r="E4209" s="211" t="s">
        <v>6899</v>
      </c>
      <c r="F4209" s="211" t="s">
        <v>7162</v>
      </c>
    </row>
    <row r="4210" spans="1:6">
      <c r="A4210" s="211" t="s">
        <v>3374</v>
      </c>
      <c r="B4210" s="211">
        <v>5532</v>
      </c>
      <c r="C4210" s="211">
        <v>1011</v>
      </c>
      <c r="D4210" s="211" t="s">
        <v>1117</v>
      </c>
      <c r="E4210" s="211" t="s">
        <v>10385</v>
      </c>
      <c r="F4210" s="211" t="s">
        <v>7398</v>
      </c>
    </row>
    <row r="4211" spans="1:6">
      <c r="A4211" s="211" t="s">
        <v>2917</v>
      </c>
      <c r="B4211" s="211">
        <v>2865</v>
      </c>
      <c r="C4211" s="211">
        <v>1557</v>
      </c>
      <c r="D4211" s="211" t="s">
        <v>1255</v>
      </c>
      <c r="E4211" s="211" t="s">
        <v>10385</v>
      </c>
      <c r="F4211" s="211" t="s">
        <v>7322</v>
      </c>
    </row>
    <row r="4212" spans="1:6">
      <c r="A4212" s="211" t="s">
        <v>3375</v>
      </c>
      <c r="B4212" s="211">
        <v>6791</v>
      </c>
      <c r="C4212" s="211">
        <v>2033</v>
      </c>
      <c r="D4212" s="211" t="s">
        <v>1255</v>
      </c>
      <c r="E4212" s="211" t="s">
        <v>6900</v>
      </c>
      <c r="F4212" s="211" t="s">
        <v>7524</v>
      </c>
    </row>
    <row r="4213" spans="1:6">
      <c r="A4213" s="211" t="s">
        <v>8218</v>
      </c>
      <c r="B4213" s="211">
        <v>5546</v>
      </c>
      <c r="C4213" s="211" t="s">
        <v>10385</v>
      </c>
      <c r="D4213" s="211" t="s">
        <v>1255</v>
      </c>
      <c r="E4213" s="211" t="s">
        <v>10385</v>
      </c>
      <c r="F4213" s="211" t="s">
        <v>7398</v>
      </c>
    </row>
    <row r="4214" spans="1:6">
      <c r="A4214" s="211" t="s">
        <v>3376</v>
      </c>
      <c r="B4214" s="211">
        <v>4947</v>
      </c>
      <c r="C4214" s="211">
        <v>862</v>
      </c>
      <c r="D4214" s="211" t="s">
        <v>1255</v>
      </c>
      <c r="E4214" s="211" t="s">
        <v>10385</v>
      </c>
      <c r="F4214" s="211" t="s">
        <v>7377</v>
      </c>
    </row>
    <row r="4215" spans="1:6">
      <c r="A4215" s="211" t="s">
        <v>3377</v>
      </c>
      <c r="B4215" s="211">
        <v>294</v>
      </c>
      <c r="C4215" s="211">
        <v>1585</v>
      </c>
      <c r="D4215" s="211" t="s">
        <v>1255</v>
      </c>
      <c r="E4215" s="211" t="s">
        <v>10385</v>
      </c>
      <c r="F4215" s="211" t="s">
        <v>9024</v>
      </c>
    </row>
    <row r="4216" spans="1:6">
      <c r="A4216" s="211" t="s">
        <v>10756</v>
      </c>
      <c r="B4216" s="211">
        <v>8611</v>
      </c>
      <c r="C4216" s="211">
        <v>1106</v>
      </c>
      <c r="D4216" s="211" t="s">
        <v>1255</v>
      </c>
      <c r="E4216" s="211" t="s">
        <v>10757</v>
      </c>
      <c r="F4216" s="211" t="s">
        <v>7200</v>
      </c>
    </row>
    <row r="4217" spans="1:6">
      <c r="A4217" s="211" t="s">
        <v>9692</v>
      </c>
      <c r="B4217" s="211">
        <v>8117</v>
      </c>
      <c r="C4217" s="211">
        <v>2404</v>
      </c>
      <c r="D4217" s="211" t="s">
        <v>1255</v>
      </c>
      <c r="E4217" s="211" t="s">
        <v>9693</v>
      </c>
      <c r="F4217" s="211" t="s">
        <v>7587</v>
      </c>
    </row>
    <row r="4218" spans="1:6">
      <c r="A4218" s="211" t="s">
        <v>5976</v>
      </c>
      <c r="B4218" s="211">
        <v>7333</v>
      </c>
      <c r="C4218" s="211">
        <v>1588</v>
      </c>
      <c r="D4218" s="211" t="s">
        <v>1255</v>
      </c>
      <c r="E4218" s="211" t="s">
        <v>6901</v>
      </c>
      <c r="F4218" s="211" t="s">
        <v>7349</v>
      </c>
    </row>
    <row r="4219" spans="1:6">
      <c r="A4219" s="211" t="s">
        <v>3378</v>
      </c>
      <c r="B4219" s="211">
        <v>5780</v>
      </c>
      <c r="C4219" s="211">
        <v>1040</v>
      </c>
      <c r="D4219" s="211" t="s">
        <v>1255</v>
      </c>
      <c r="E4219" s="211" t="s">
        <v>10385</v>
      </c>
      <c r="F4219" s="211" t="s">
        <v>7615</v>
      </c>
    </row>
    <row r="4220" spans="1:6">
      <c r="A4220" s="211" t="s">
        <v>5123</v>
      </c>
      <c r="B4220" s="211">
        <v>5640</v>
      </c>
      <c r="C4220" s="211">
        <v>1558</v>
      </c>
      <c r="D4220" s="211" t="s">
        <v>1117</v>
      </c>
      <c r="E4220" s="211" t="s">
        <v>5975</v>
      </c>
      <c r="F4220" s="211" t="s">
        <v>7167</v>
      </c>
    </row>
    <row r="4221" spans="1:6">
      <c r="A4221" s="211" t="s">
        <v>6902</v>
      </c>
      <c r="B4221" s="211">
        <v>6688</v>
      </c>
      <c r="C4221" s="211">
        <v>1452</v>
      </c>
      <c r="D4221" s="211" t="s">
        <v>1255</v>
      </c>
      <c r="E4221" s="211" t="s">
        <v>6903</v>
      </c>
      <c r="F4221" s="211" t="s">
        <v>7383</v>
      </c>
    </row>
    <row r="4222" spans="1:6">
      <c r="A4222" s="211" t="s">
        <v>3379</v>
      </c>
      <c r="B4222" s="211">
        <v>4613</v>
      </c>
      <c r="C4222" s="211">
        <v>735</v>
      </c>
      <c r="D4222" s="211" t="s">
        <v>1117</v>
      </c>
      <c r="E4222" s="211" t="s">
        <v>10385</v>
      </c>
      <c r="F4222" s="211" t="s">
        <v>7429</v>
      </c>
    </row>
    <row r="4223" spans="1:6">
      <c r="A4223" s="211" t="s">
        <v>3380</v>
      </c>
      <c r="B4223" s="211">
        <v>2796</v>
      </c>
      <c r="C4223" s="211">
        <v>1067</v>
      </c>
      <c r="D4223" s="211" t="s">
        <v>1255</v>
      </c>
      <c r="E4223" s="211" t="s">
        <v>10385</v>
      </c>
      <c r="F4223" s="211" t="s">
        <v>7208</v>
      </c>
    </row>
    <row r="4224" spans="1:6">
      <c r="A4224" s="211" t="s">
        <v>3381</v>
      </c>
      <c r="B4224" s="211">
        <v>5130</v>
      </c>
      <c r="C4224" s="211">
        <v>1080</v>
      </c>
      <c r="D4224" s="211" t="s">
        <v>1255</v>
      </c>
      <c r="E4224" s="211" t="s">
        <v>10385</v>
      </c>
      <c r="F4224" s="211" t="s">
        <v>7225</v>
      </c>
    </row>
    <row r="4225" spans="1:6">
      <c r="A4225" s="211" t="s">
        <v>8219</v>
      </c>
      <c r="B4225" s="211">
        <v>3359</v>
      </c>
      <c r="C4225" s="211" t="s">
        <v>10385</v>
      </c>
      <c r="D4225" s="211" t="s">
        <v>1255</v>
      </c>
      <c r="E4225" s="211" t="s">
        <v>10385</v>
      </c>
      <c r="F4225" s="211" t="s">
        <v>7256</v>
      </c>
    </row>
    <row r="4226" spans="1:6">
      <c r="A4226" s="211" t="s">
        <v>8220</v>
      </c>
      <c r="B4226" s="211">
        <v>1665</v>
      </c>
      <c r="C4226" s="211" t="s">
        <v>10385</v>
      </c>
      <c r="D4226" s="211" t="s">
        <v>1255</v>
      </c>
      <c r="E4226" s="211" t="s">
        <v>10385</v>
      </c>
      <c r="F4226" s="211" t="s">
        <v>7286</v>
      </c>
    </row>
    <row r="4227" spans="1:6">
      <c r="A4227" s="211" t="s">
        <v>3382</v>
      </c>
      <c r="B4227" s="211">
        <v>2254</v>
      </c>
      <c r="C4227" s="211">
        <v>1554</v>
      </c>
      <c r="D4227" s="211" t="s">
        <v>1255</v>
      </c>
      <c r="E4227" s="211" t="s">
        <v>10385</v>
      </c>
      <c r="F4227" s="211" t="s">
        <v>7160</v>
      </c>
    </row>
    <row r="4228" spans="1:6">
      <c r="A4228" s="211" t="s">
        <v>3383</v>
      </c>
      <c r="B4228" s="211">
        <v>3166</v>
      </c>
      <c r="C4228" s="211">
        <v>981</v>
      </c>
      <c r="D4228" s="211" t="s">
        <v>1255</v>
      </c>
      <c r="E4228" s="211" t="s">
        <v>10385</v>
      </c>
      <c r="F4228" s="211" t="s">
        <v>7581</v>
      </c>
    </row>
    <row r="4229" spans="1:6">
      <c r="A4229" s="211" t="s">
        <v>8221</v>
      </c>
      <c r="B4229" s="211">
        <v>3684</v>
      </c>
      <c r="C4229" s="211" t="s">
        <v>10385</v>
      </c>
      <c r="D4229" s="211" t="s">
        <v>1255</v>
      </c>
      <c r="E4229" s="211" t="s">
        <v>10385</v>
      </c>
      <c r="F4229" s="211" t="s">
        <v>7221</v>
      </c>
    </row>
    <row r="4230" spans="1:6">
      <c r="A4230" s="211" t="s">
        <v>6904</v>
      </c>
      <c r="B4230" s="211">
        <v>7839</v>
      </c>
      <c r="C4230" s="211">
        <v>1008</v>
      </c>
      <c r="D4230" s="211" t="s">
        <v>1255</v>
      </c>
      <c r="E4230" s="211" t="s">
        <v>6905</v>
      </c>
      <c r="F4230" s="211" t="s">
        <v>7382</v>
      </c>
    </row>
    <row r="4231" spans="1:6">
      <c r="A4231" s="211" t="s">
        <v>3384</v>
      </c>
      <c r="B4231" s="211">
        <v>2016</v>
      </c>
      <c r="C4231" s="211">
        <v>1679</v>
      </c>
      <c r="D4231" s="211" t="s">
        <v>1255</v>
      </c>
      <c r="E4231" s="211" t="s">
        <v>10385</v>
      </c>
      <c r="F4231" s="211" t="s">
        <v>7270</v>
      </c>
    </row>
    <row r="4232" spans="1:6">
      <c r="A4232" s="211" t="s">
        <v>5124</v>
      </c>
      <c r="B4232" s="211">
        <v>1274</v>
      </c>
      <c r="C4232" s="211">
        <v>1373</v>
      </c>
      <c r="D4232" s="211" t="s">
        <v>1255</v>
      </c>
      <c r="E4232" s="211" t="s">
        <v>10385</v>
      </c>
      <c r="F4232" s="211" t="s">
        <v>7192</v>
      </c>
    </row>
    <row r="4233" spans="1:6">
      <c r="A4233" s="211" t="s">
        <v>5125</v>
      </c>
      <c r="B4233" s="211">
        <v>3078</v>
      </c>
      <c r="C4233" s="211">
        <v>1059</v>
      </c>
      <c r="D4233" s="211" t="s">
        <v>1255</v>
      </c>
      <c r="E4233" s="211" t="s">
        <v>10385</v>
      </c>
      <c r="F4233" s="211" t="s">
        <v>7257</v>
      </c>
    </row>
    <row r="4234" spans="1:6">
      <c r="A4234" s="211" t="s">
        <v>8222</v>
      </c>
      <c r="B4234" s="211">
        <v>96</v>
      </c>
      <c r="C4234" s="211" t="s">
        <v>10385</v>
      </c>
      <c r="D4234" s="211" t="s">
        <v>1255</v>
      </c>
      <c r="E4234" s="211" t="s">
        <v>10385</v>
      </c>
      <c r="F4234" s="211" t="s">
        <v>7283</v>
      </c>
    </row>
    <row r="4235" spans="1:6">
      <c r="A4235" s="211" t="s">
        <v>3385</v>
      </c>
      <c r="B4235" s="211">
        <v>2147</v>
      </c>
      <c r="C4235" s="211">
        <v>661</v>
      </c>
      <c r="D4235" s="211" t="s">
        <v>1117</v>
      </c>
      <c r="E4235" s="211" t="s">
        <v>10385</v>
      </c>
      <c r="F4235" s="211" t="s">
        <v>7199</v>
      </c>
    </row>
    <row r="4236" spans="1:6">
      <c r="A4236" s="211" t="s">
        <v>8223</v>
      </c>
      <c r="B4236" s="211">
        <v>399</v>
      </c>
      <c r="C4236" s="211" t="s">
        <v>10385</v>
      </c>
      <c r="D4236" s="211" t="s">
        <v>1255</v>
      </c>
      <c r="E4236" s="211" t="s">
        <v>10385</v>
      </c>
      <c r="F4236" s="211" t="s">
        <v>7351</v>
      </c>
    </row>
    <row r="4237" spans="1:6">
      <c r="A4237" s="211" t="s">
        <v>3386</v>
      </c>
      <c r="B4237" s="211">
        <v>3827</v>
      </c>
      <c r="C4237" s="211">
        <v>899</v>
      </c>
      <c r="D4237" s="211" t="s">
        <v>1255</v>
      </c>
      <c r="E4237" s="211" t="s">
        <v>10385</v>
      </c>
      <c r="F4237" s="211" t="s">
        <v>7476</v>
      </c>
    </row>
    <row r="4238" spans="1:6">
      <c r="A4238" s="211" t="s">
        <v>3387</v>
      </c>
      <c r="B4238" s="211">
        <v>5750</v>
      </c>
      <c r="C4238" s="211">
        <v>703</v>
      </c>
      <c r="D4238" s="211" t="s">
        <v>1117</v>
      </c>
      <c r="E4238" s="211" t="s">
        <v>5977</v>
      </c>
      <c r="F4238" s="211" t="s">
        <v>7425</v>
      </c>
    </row>
    <row r="4239" spans="1:6">
      <c r="A4239" s="211" t="s">
        <v>3388</v>
      </c>
      <c r="B4239" s="211">
        <v>943</v>
      </c>
      <c r="C4239" s="211">
        <v>1421</v>
      </c>
      <c r="D4239" s="211" t="s">
        <v>1255</v>
      </c>
      <c r="E4239" s="211" t="s">
        <v>10385</v>
      </c>
      <c r="F4239" s="211" t="s">
        <v>7262</v>
      </c>
    </row>
    <row r="4240" spans="1:6">
      <c r="A4240" s="211" t="s">
        <v>8224</v>
      </c>
      <c r="B4240" s="211">
        <v>7869</v>
      </c>
      <c r="C4240" s="211">
        <v>942</v>
      </c>
      <c r="D4240" s="211" t="s">
        <v>1255</v>
      </c>
      <c r="E4240" s="211" t="s">
        <v>10385</v>
      </c>
      <c r="F4240" s="211" t="s">
        <v>7189</v>
      </c>
    </row>
    <row r="4241" spans="1:6">
      <c r="A4241" s="211" t="s">
        <v>6906</v>
      </c>
      <c r="B4241" s="211">
        <v>6639</v>
      </c>
      <c r="C4241" s="211">
        <v>1128</v>
      </c>
      <c r="D4241" s="211" t="s">
        <v>1255</v>
      </c>
      <c r="E4241" s="211" t="s">
        <v>9694</v>
      </c>
      <c r="F4241" s="211" t="s">
        <v>7189</v>
      </c>
    </row>
    <row r="4242" spans="1:6">
      <c r="A4242" s="211" t="s">
        <v>4614</v>
      </c>
      <c r="B4242" s="211">
        <v>6518</v>
      </c>
      <c r="C4242" s="211">
        <v>1371</v>
      </c>
      <c r="D4242" s="211" t="s">
        <v>1255</v>
      </c>
      <c r="E4242" s="211" t="s">
        <v>10385</v>
      </c>
      <c r="F4242" s="211" t="s">
        <v>7272</v>
      </c>
    </row>
    <row r="4243" spans="1:6">
      <c r="A4243" s="211" t="s">
        <v>8225</v>
      </c>
      <c r="B4243" s="211">
        <v>2723</v>
      </c>
      <c r="C4243" s="211" t="s">
        <v>10385</v>
      </c>
      <c r="D4243" s="211" t="s">
        <v>1255</v>
      </c>
      <c r="E4243" s="211" t="s">
        <v>10385</v>
      </c>
      <c r="F4243" s="211" t="s">
        <v>7303</v>
      </c>
    </row>
    <row r="4244" spans="1:6">
      <c r="A4244" s="211" t="s">
        <v>3389</v>
      </c>
      <c r="B4244" s="211">
        <v>5524</v>
      </c>
      <c r="C4244" s="211">
        <v>1043</v>
      </c>
      <c r="D4244" s="211" t="s">
        <v>1117</v>
      </c>
      <c r="E4244" s="211" t="s">
        <v>10385</v>
      </c>
      <c r="F4244" s="211" t="s">
        <v>7308</v>
      </c>
    </row>
    <row r="4245" spans="1:6">
      <c r="A4245" s="211" t="s">
        <v>8226</v>
      </c>
      <c r="B4245" s="211">
        <v>1180</v>
      </c>
      <c r="C4245" s="211" t="s">
        <v>10385</v>
      </c>
      <c r="D4245" s="211" t="s">
        <v>1255</v>
      </c>
      <c r="E4245" s="211" t="s">
        <v>10385</v>
      </c>
      <c r="F4245" s="211" t="s">
        <v>7213</v>
      </c>
    </row>
    <row r="4246" spans="1:6">
      <c r="A4246" s="211" t="s">
        <v>3390</v>
      </c>
      <c r="B4246" s="211">
        <v>1943</v>
      </c>
      <c r="C4246" s="211">
        <v>1431</v>
      </c>
      <c r="D4246" s="211" t="s">
        <v>1255</v>
      </c>
      <c r="E4246" s="211" t="s">
        <v>10385</v>
      </c>
      <c r="F4246" s="211" t="s">
        <v>7255</v>
      </c>
    </row>
    <row r="4247" spans="1:6">
      <c r="A4247" s="211" t="s">
        <v>2991</v>
      </c>
      <c r="B4247" s="211">
        <v>2224</v>
      </c>
      <c r="C4247" s="211">
        <v>1548</v>
      </c>
      <c r="D4247" s="211" t="s">
        <v>1255</v>
      </c>
      <c r="E4247" s="211" t="s">
        <v>10385</v>
      </c>
      <c r="F4247" s="211" t="s">
        <v>7384</v>
      </c>
    </row>
    <row r="4248" spans="1:6">
      <c r="A4248" s="211" t="s">
        <v>8227</v>
      </c>
      <c r="B4248" s="211">
        <v>7658</v>
      </c>
      <c r="C4248" s="211" t="s">
        <v>10385</v>
      </c>
      <c r="D4248" s="211" t="s">
        <v>1255</v>
      </c>
      <c r="E4248" s="211" t="s">
        <v>10385</v>
      </c>
      <c r="F4248" s="211" t="s">
        <v>7292</v>
      </c>
    </row>
    <row r="4249" spans="1:6">
      <c r="A4249" s="211" t="s">
        <v>5126</v>
      </c>
      <c r="B4249" s="211">
        <v>6808</v>
      </c>
      <c r="C4249" s="211">
        <v>1301</v>
      </c>
      <c r="D4249" s="211" t="s">
        <v>1255</v>
      </c>
      <c r="E4249" s="211" t="s">
        <v>10385</v>
      </c>
      <c r="F4249" s="211" t="s">
        <v>7325</v>
      </c>
    </row>
    <row r="4250" spans="1:6">
      <c r="A4250" s="211" t="s">
        <v>9695</v>
      </c>
      <c r="B4250" s="211">
        <v>8315</v>
      </c>
      <c r="C4250" s="211">
        <v>1649</v>
      </c>
      <c r="D4250" s="211" t="s">
        <v>1255</v>
      </c>
      <c r="E4250" s="211" t="s">
        <v>9696</v>
      </c>
      <c r="F4250" s="211" t="s">
        <v>7320</v>
      </c>
    </row>
    <row r="4251" spans="1:6">
      <c r="A4251" s="211" t="s">
        <v>5978</v>
      </c>
      <c r="B4251" s="211">
        <v>7226</v>
      </c>
      <c r="C4251" s="211">
        <v>553</v>
      </c>
      <c r="D4251" s="211" t="s">
        <v>1117</v>
      </c>
      <c r="E4251" s="211" t="s">
        <v>10385</v>
      </c>
      <c r="F4251" s="211" t="s">
        <v>7272</v>
      </c>
    </row>
    <row r="4252" spans="1:6">
      <c r="A4252" s="211" t="s">
        <v>3391</v>
      </c>
      <c r="B4252" s="211">
        <v>1941</v>
      </c>
      <c r="C4252" s="211">
        <v>1262</v>
      </c>
      <c r="D4252" s="211" t="s">
        <v>1255</v>
      </c>
      <c r="E4252" s="211" t="s">
        <v>10385</v>
      </c>
      <c r="F4252" s="211" t="s">
        <v>7240</v>
      </c>
    </row>
    <row r="4253" spans="1:6">
      <c r="A4253" s="211" t="s">
        <v>3392</v>
      </c>
      <c r="B4253" s="211">
        <v>5973</v>
      </c>
      <c r="C4253" s="211">
        <v>1606</v>
      </c>
      <c r="D4253" s="211" t="s">
        <v>1255</v>
      </c>
      <c r="E4253" s="211" t="s">
        <v>10758</v>
      </c>
      <c r="F4253" s="211" t="s">
        <v>7208</v>
      </c>
    </row>
    <row r="4254" spans="1:6">
      <c r="A4254" s="211" t="s">
        <v>3393</v>
      </c>
      <c r="B4254" s="211">
        <v>2879</v>
      </c>
      <c r="C4254" s="211">
        <v>910</v>
      </c>
      <c r="D4254" s="211" t="s">
        <v>1255</v>
      </c>
      <c r="E4254" s="211" t="s">
        <v>10385</v>
      </c>
      <c r="F4254" s="211" t="s">
        <v>7331</v>
      </c>
    </row>
    <row r="4255" spans="1:6">
      <c r="A4255" s="211" t="s">
        <v>5127</v>
      </c>
      <c r="B4255" s="211">
        <v>4052</v>
      </c>
      <c r="C4255" s="211">
        <v>1383</v>
      </c>
      <c r="D4255" s="211" t="s">
        <v>1255</v>
      </c>
      <c r="E4255" s="211" t="s">
        <v>10385</v>
      </c>
      <c r="F4255" s="211" t="s">
        <v>7192</v>
      </c>
    </row>
    <row r="4256" spans="1:6">
      <c r="A4256" s="211" t="s">
        <v>5128</v>
      </c>
      <c r="B4256" s="211">
        <v>4790</v>
      </c>
      <c r="C4256" s="211">
        <v>1559</v>
      </c>
      <c r="D4256" s="211" t="s">
        <v>1255</v>
      </c>
      <c r="E4256" s="211" t="s">
        <v>10385</v>
      </c>
      <c r="F4256" s="211" t="s">
        <v>7306</v>
      </c>
    </row>
    <row r="4257" spans="1:6">
      <c r="A4257" s="211" t="s">
        <v>9697</v>
      </c>
      <c r="B4257" s="211">
        <v>8392</v>
      </c>
      <c r="C4257" s="211">
        <v>1197</v>
      </c>
      <c r="D4257" s="211" t="s">
        <v>1255</v>
      </c>
      <c r="E4257" s="211" t="s">
        <v>10759</v>
      </c>
      <c r="F4257" s="211" t="s">
        <v>7304</v>
      </c>
    </row>
    <row r="4258" spans="1:6">
      <c r="A4258" s="211" t="s">
        <v>10760</v>
      </c>
      <c r="B4258" s="211">
        <v>8603</v>
      </c>
      <c r="C4258" s="211">
        <v>701</v>
      </c>
      <c r="D4258" s="211" t="s">
        <v>1117</v>
      </c>
      <c r="E4258" s="211" t="s">
        <v>10761</v>
      </c>
      <c r="F4258" s="211" t="s">
        <v>7356</v>
      </c>
    </row>
    <row r="4259" spans="1:6">
      <c r="A4259" s="211" t="s">
        <v>3394</v>
      </c>
      <c r="B4259" s="211">
        <v>5551</v>
      </c>
      <c r="C4259" s="211">
        <v>2270</v>
      </c>
      <c r="D4259" s="211" t="s">
        <v>1255</v>
      </c>
      <c r="E4259" s="211" t="s">
        <v>10385</v>
      </c>
      <c r="F4259" s="211" t="s">
        <v>7341</v>
      </c>
    </row>
    <row r="4260" spans="1:6">
      <c r="A4260" s="211" t="s">
        <v>3395</v>
      </c>
      <c r="B4260" s="211">
        <v>3247</v>
      </c>
      <c r="C4260" s="211">
        <v>1481</v>
      </c>
      <c r="D4260" s="211" t="s">
        <v>1255</v>
      </c>
      <c r="E4260" s="211" t="s">
        <v>10385</v>
      </c>
      <c r="F4260" s="211" t="s">
        <v>7210</v>
      </c>
    </row>
    <row r="4261" spans="1:6">
      <c r="A4261" s="211" t="s">
        <v>3396</v>
      </c>
      <c r="B4261" s="211">
        <v>1535</v>
      </c>
      <c r="C4261" s="211">
        <v>1326</v>
      </c>
      <c r="D4261" s="211" t="s">
        <v>1255</v>
      </c>
      <c r="E4261" s="211" t="s">
        <v>10385</v>
      </c>
      <c r="F4261" s="211" t="s">
        <v>7212</v>
      </c>
    </row>
    <row r="4262" spans="1:6">
      <c r="A4262" s="211" t="s">
        <v>8228</v>
      </c>
      <c r="B4262" s="211">
        <v>651</v>
      </c>
      <c r="C4262" s="211" t="s">
        <v>10385</v>
      </c>
      <c r="D4262" s="211" t="s">
        <v>1255</v>
      </c>
      <c r="E4262" s="211" t="s">
        <v>10385</v>
      </c>
      <c r="F4262" s="211" t="s">
        <v>7318</v>
      </c>
    </row>
    <row r="4263" spans="1:6">
      <c r="A4263" s="211" t="s">
        <v>9698</v>
      </c>
      <c r="B4263" s="211">
        <v>8393</v>
      </c>
      <c r="C4263" s="211">
        <v>1008</v>
      </c>
      <c r="D4263" s="211" t="s">
        <v>1255</v>
      </c>
      <c r="E4263" s="211" t="s">
        <v>10762</v>
      </c>
      <c r="F4263" s="211" t="s">
        <v>7304</v>
      </c>
    </row>
    <row r="4264" spans="1:6">
      <c r="A4264" s="211" t="s">
        <v>3397</v>
      </c>
      <c r="B4264" s="211">
        <v>5920</v>
      </c>
      <c r="C4264" s="211">
        <v>719</v>
      </c>
      <c r="D4264" s="211" t="s">
        <v>1117</v>
      </c>
      <c r="E4264" s="211" t="s">
        <v>10385</v>
      </c>
      <c r="F4264" s="211" t="s">
        <v>7425</v>
      </c>
    </row>
    <row r="4265" spans="1:6">
      <c r="A4265" s="211" t="s">
        <v>3398</v>
      </c>
      <c r="B4265" s="211">
        <v>6392</v>
      </c>
      <c r="C4265" s="211">
        <v>1196</v>
      </c>
      <c r="D4265" s="211" t="s">
        <v>1255</v>
      </c>
      <c r="E4265" s="211" t="s">
        <v>10385</v>
      </c>
      <c r="F4265" s="211" t="s">
        <v>7384</v>
      </c>
    </row>
    <row r="4266" spans="1:6">
      <c r="A4266" s="211" t="s">
        <v>9699</v>
      </c>
      <c r="B4266" s="211">
        <v>8395</v>
      </c>
      <c r="C4266" s="211">
        <v>1792</v>
      </c>
      <c r="D4266" s="211" t="s">
        <v>1255</v>
      </c>
      <c r="E4266" s="211" t="s">
        <v>10385</v>
      </c>
      <c r="F4266" s="211" t="s">
        <v>7334</v>
      </c>
    </row>
    <row r="4267" spans="1:6">
      <c r="A4267" s="211" t="s">
        <v>3399</v>
      </c>
      <c r="B4267" s="211">
        <v>4934</v>
      </c>
      <c r="C4267" s="211">
        <v>777</v>
      </c>
      <c r="D4267" s="211" t="s">
        <v>1255</v>
      </c>
      <c r="E4267" s="211" t="s">
        <v>10385</v>
      </c>
      <c r="F4267" s="211" t="s">
        <v>7237</v>
      </c>
    </row>
    <row r="4268" spans="1:6">
      <c r="A4268" s="211" t="s">
        <v>2852</v>
      </c>
      <c r="B4268" s="211">
        <v>4061</v>
      </c>
      <c r="C4268" s="211">
        <v>1232</v>
      </c>
      <c r="D4268" s="211" t="s">
        <v>1255</v>
      </c>
      <c r="E4268" s="211" t="s">
        <v>10385</v>
      </c>
      <c r="F4268" s="211" t="s">
        <v>8229</v>
      </c>
    </row>
    <row r="4269" spans="1:6">
      <c r="A4269" s="211" t="s">
        <v>9700</v>
      </c>
      <c r="B4269" s="211">
        <v>7968</v>
      </c>
      <c r="C4269" s="211" t="s">
        <v>10385</v>
      </c>
      <c r="D4269" s="211" t="s">
        <v>1255</v>
      </c>
      <c r="E4269" s="211" t="s">
        <v>9701</v>
      </c>
      <c r="F4269" s="211" t="s">
        <v>7581</v>
      </c>
    </row>
    <row r="4270" spans="1:6">
      <c r="A4270" s="211" t="s">
        <v>5355</v>
      </c>
      <c r="B4270" s="211">
        <v>5138</v>
      </c>
      <c r="C4270" s="211">
        <v>1432</v>
      </c>
      <c r="D4270" s="211" t="s">
        <v>1255</v>
      </c>
      <c r="E4270" s="211" t="s">
        <v>10385</v>
      </c>
      <c r="F4270" s="211" t="s">
        <v>7200</v>
      </c>
    </row>
    <row r="4271" spans="1:6">
      <c r="A4271" s="211" t="s">
        <v>5979</v>
      </c>
      <c r="B4271" s="211">
        <v>7766</v>
      </c>
      <c r="C4271" s="211">
        <v>1302</v>
      </c>
      <c r="D4271" s="211" t="s">
        <v>1255</v>
      </c>
      <c r="E4271" s="211" t="s">
        <v>10385</v>
      </c>
      <c r="F4271" s="211" t="s">
        <v>7581</v>
      </c>
    </row>
    <row r="4272" spans="1:6">
      <c r="A4272" s="211" t="s">
        <v>3856</v>
      </c>
      <c r="B4272" s="211">
        <v>1624</v>
      </c>
      <c r="C4272" s="211">
        <v>1674</v>
      </c>
      <c r="D4272" s="211" t="s">
        <v>1255</v>
      </c>
      <c r="E4272" s="211" t="s">
        <v>10385</v>
      </c>
      <c r="F4272" s="211" t="s">
        <v>7657</v>
      </c>
    </row>
    <row r="4273" spans="1:6">
      <c r="A4273" s="211" t="s">
        <v>8952</v>
      </c>
      <c r="B4273" s="211">
        <v>2698</v>
      </c>
      <c r="C4273" s="211">
        <v>850</v>
      </c>
      <c r="D4273" s="211" t="s">
        <v>1117</v>
      </c>
      <c r="E4273" s="211" t="s">
        <v>10385</v>
      </c>
      <c r="F4273" s="211" t="s">
        <v>7425</v>
      </c>
    </row>
    <row r="4274" spans="1:6">
      <c r="A4274" s="211" t="s">
        <v>8953</v>
      </c>
      <c r="B4274" s="211">
        <v>5755</v>
      </c>
      <c r="C4274" s="211" t="s">
        <v>10385</v>
      </c>
      <c r="D4274" s="211" t="s">
        <v>1117</v>
      </c>
      <c r="E4274" s="211" t="s">
        <v>10385</v>
      </c>
      <c r="F4274" s="211" t="s">
        <v>7285</v>
      </c>
    </row>
    <row r="4275" spans="1:6">
      <c r="A4275" s="211" t="s">
        <v>3400</v>
      </c>
      <c r="B4275" s="211">
        <v>4097</v>
      </c>
      <c r="C4275" s="211">
        <v>2050</v>
      </c>
      <c r="D4275" s="211" t="s">
        <v>1255</v>
      </c>
      <c r="E4275" s="211" t="s">
        <v>10385</v>
      </c>
      <c r="F4275" s="211" t="s">
        <v>7267</v>
      </c>
    </row>
    <row r="4276" spans="1:6">
      <c r="A4276" s="211" t="s">
        <v>3034</v>
      </c>
      <c r="B4276" s="211">
        <v>1346</v>
      </c>
      <c r="C4276" s="211">
        <v>2392</v>
      </c>
      <c r="D4276" s="211" t="s">
        <v>1255</v>
      </c>
      <c r="E4276" s="211" t="s">
        <v>10385</v>
      </c>
      <c r="F4276" s="211" t="s">
        <v>7267</v>
      </c>
    </row>
    <row r="4277" spans="1:6">
      <c r="A4277" s="211" t="s">
        <v>8230</v>
      </c>
      <c r="B4277" s="211">
        <v>3157</v>
      </c>
      <c r="C4277" s="211" t="s">
        <v>10385</v>
      </c>
      <c r="D4277" s="211" t="s">
        <v>1255</v>
      </c>
      <c r="E4277" s="211" t="s">
        <v>10385</v>
      </c>
      <c r="F4277" s="211" t="s">
        <v>7267</v>
      </c>
    </row>
    <row r="4278" spans="1:6">
      <c r="A4278" s="211" t="s">
        <v>5129</v>
      </c>
      <c r="B4278" s="211">
        <v>6936</v>
      </c>
      <c r="C4278" s="211">
        <v>925</v>
      </c>
      <c r="D4278" s="211" t="s">
        <v>1255</v>
      </c>
      <c r="E4278" s="211" t="s">
        <v>10385</v>
      </c>
      <c r="F4278" s="211" t="s">
        <v>7414</v>
      </c>
    </row>
    <row r="4279" spans="1:6">
      <c r="A4279" s="211" t="s">
        <v>9702</v>
      </c>
      <c r="B4279" s="211">
        <v>8475</v>
      </c>
      <c r="C4279" s="211">
        <v>1857</v>
      </c>
      <c r="D4279" s="211" t="s">
        <v>1255</v>
      </c>
      <c r="E4279" s="211" t="s">
        <v>9703</v>
      </c>
      <c r="F4279" s="211" t="s">
        <v>7219</v>
      </c>
    </row>
    <row r="4280" spans="1:6">
      <c r="A4280" s="211" t="s">
        <v>8231</v>
      </c>
      <c r="B4280" s="211">
        <v>4093</v>
      </c>
      <c r="C4280" s="211" t="s">
        <v>10385</v>
      </c>
      <c r="D4280" s="211" t="s">
        <v>1255</v>
      </c>
      <c r="E4280" s="211" t="s">
        <v>10385</v>
      </c>
      <c r="F4280" s="211" t="s">
        <v>7194</v>
      </c>
    </row>
    <row r="4281" spans="1:6">
      <c r="A4281" s="211" t="s">
        <v>8232</v>
      </c>
      <c r="B4281" s="211">
        <v>995</v>
      </c>
      <c r="C4281" s="211" t="s">
        <v>10385</v>
      </c>
      <c r="D4281" s="211" t="s">
        <v>1255</v>
      </c>
      <c r="E4281" s="211" t="s">
        <v>10385</v>
      </c>
      <c r="F4281" s="211" t="s">
        <v>7169</v>
      </c>
    </row>
    <row r="4282" spans="1:6">
      <c r="A4282" s="211" t="s">
        <v>3401</v>
      </c>
      <c r="B4282" s="211">
        <v>3551</v>
      </c>
      <c r="C4282" s="211">
        <v>850</v>
      </c>
      <c r="D4282" s="211" t="s">
        <v>1117</v>
      </c>
      <c r="E4282" s="211" t="s">
        <v>10385</v>
      </c>
      <c r="F4282" s="211" t="s">
        <v>7344</v>
      </c>
    </row>
    <row r="4283" spans="1:6">
      <c r="A4283" s="211" t="s">
        <v>3402</v>
      </c>
      <c r="B4283" s="211">
        <v>4693</v>
      </c>
      <c r="C4283" s="211">
        <v>1217</v>
      </c>
      <c r="D4283" s="211" t="s">
        <v>1255</v>
      </c>
      <c r="E4283" s="211" t="s">
        <v>10385</v>
      </c>
      <c r="F4283" s="211" t="s">
        <v>7165</v>
      </c>
    </row>
    <row r="4284" spans="1:6">
      <c r="A4284" s="211" t="s">
        <v>3403</v>
      </c>
      <c r="B4284" s="211">
        <v>4003</v>
      </c>
      <c r="C4284" s="211">
        <v>1342</v>
      </c>
      <c r="D4284" s="211" t="s">
        <v>1255</v>
      </c>
      <c r="E4284" s="211" t="s">
        <v>10385</v>
      </c>
      <c r="F4284" s="211" t="s">
        <v>7316</v>
      </c>
    </row>
    <row r="4285" spans="1:6">
      <c r="A4285" s="211" t="s">
        <v>3404</v>
      </c>
      <c r="B4285" s="211">
        <v>4639</v>
      </c>
      <c r="C4285" s="211">
        <v>927</v>
      </c>
      <c r="D4285" s="211" t="s">
        <v>1255</v>
      </c>
      <c r="E4285" s="211" t="s">
        <v>10385</v>
      </c>
      <c r="F4285" s="211" t="s">
        <v>7208</v>
      </c>
    </row>
    <row r="4286" spans="1:6">
      <c r="A4286" s="211" t="s">
        <v>9704</v>
      </c>
      <c r="B4286" s="211">
        <v>7970</v>
      </c>
      <c r="C4286" s="211">
        <v>1796</v>
      </c>
      <c r="D4286" s="211" t="s">
        <v>1255</v>
      </c>
      <c r="E4286" s="211" t="s">
        <v>9705</v>
      </c>
      <c r="F4286" s="211" t="s">
        <v>7265</v>
      </c>
    </row>
    <row r="4287" spans="1:6">
      <c r="A4287" s="211" t="s">
        <v>3405</v>
      </c>
      <c r="B4287" s="211">
        <v>3052</v>
      </c>
      <c r="C4287" s="211">
        <v>870</v>
      </c>
      <c r="D4287" s="211" t="s">
        <v>1117</v>
      </c>
      <c r="E4287" s="211" t="s">
        <v>10385</v>
      </c>
      <c r="F4287" s="211" t="s">
        <v>7342</v>
      </c>
    </row>
    <row r="4288" spans="1:6">
      <c r="A4288" s="211" t="s">
        <v>5980</v>
      </c>
      <c r="B4288" s="211">
        <v>7151</v>
      </c>
      <c r="C4288" s="211">
        <v>1837</v>
      </c>
      <c r="D4288" s="211" t="s">
        <v>1255</v>
      </c>
      <c r="E4288" s="211" t="s">
        <v>5981</v>
      </c>
      <c r="F4288" s="211" t="s">
        <v>7173</v>
      </c>
    </row>
    <row r="4289" spans="1:6">
      <c r="A4289" s="211" t="s">
        <v>3406</v>
      </c>
      <c r="B4289" s="211">
        <v>1254</v>
      </c>
      <c r="C4289" s="211">
        <v>1742</v>
      </c>
      <c r="D4289" s="211" t="s">
        <v>1255</v>
      </c>
      <c r="E4289" s="211" t="s">
        <v>10385</v>
      </c>
      <c r="F4289" s="211" t="s">
        <v>7231</v>
      </c>
    </row>
    <row r="4290" spans="1:6">
      <c r="A4290" s="211" t="s">
        <v>3407</v>
      </c>
      <c r="B4290" s="211">
        <v>2800</v>
      </c>
      <c r="C4290" s="211">
        <v>1092</v>
      </c>
      <c r="D4290" s="211" t="s">
        <v>1255</v>
      </c>
      <c r="E4290" s="211" t="s">
        <v>10385</v>
      </c>
      <c r="F4290" s="211" t="s">
        <v>7167</v>
      </c>
    </row>
    <row r="4291" spans="1:6">
      <c r="A4291" s="211" t="s">
        <v>3408</v>
      </c>
      <c r="B4291" s="211">
        <v>6034</v>
      </c>
      <c r="C4291" s="211">
        <v>749</v>
      </c>
      <c r="D4291" s="211" t="s">
        <v>1117</v>
      </c>
      <c r="E4291" s="211" t="s">
        <v>10385</v>
      </c>
      <c r="F4291" s="211" t="s">
        <v>7383</v>
      </c>
    </row>
    <row r="4292" spans="1:6">
      <c r="A4292" s="211" t="s">
        <v>3409</v>
      </c>
      <c r="B4292" s="211">
        <v>521</v>
      </c>
      <c r="C4292" s="211">
        <v>1252</v>
      </c>
      <c r="D4292" s="211" t="s">
        <v>1255</v>
      </c>
      <c r="E4292" s="211" t="s">
        <v>10385</v>
      </c>
      <c r="F4292" s="211" t="s">
        <v>7297</v>
      </c>
    </row>
    <row r="4293" spans="1:6">
      <c r="A4293" s="211" t="s">
        <v>3410</v>
      </c>
      <c r="B4293" s="211">
        <v>2157</v>
      </c>
      <c r="C4293" s="211">
        <v>2061</v>
      </c>
      <c r="D4293" s="211" t="s">
        <v>1255</v>
      </c>
      <c r="E4293" s="211" t="s">
        <v>10385</v>
      </c>
      <c r="F4293" s="211" t="s">
        <v>7189</v>
      </c>
    </row>
    <row r="4294" spans="1:6">
      <c r="A4294" s="211" t="s">
        <v>4758</v>
      </c>
      <c r="B4294" s="211">
        <v>6181</v>
      </c>
      <c r="C4294" s="211">
        <v>1882</v>
      </c>
      <c r="D4294" s="211" t="s">
        <v>1255</v>
      </c>
      <c r="E4294" s="211" t="s">
        <v>5982</v>
      </c>
      <c r="F4294" s="211" t="s">
        <v>7306</v>
      </c>
    </row>
    <row r="4295" spans="1:6">
      <c r="A4295" s="211" t="s">
        <v>3411</v>
      </c>
      <c r="B4295" s="211">
        <v>5043</v>
      </c>
      <c r="C4295" s="211">
        <v>907</v>
      </c>
      <c r="D4295" s="211" t="s">
        <v>1255</v>
      </c>
      <c r="E4295" s="211" t="s">
        <v>10385</v>
      </c>
      <c r="F4295" s="211" t="s">
        <v>7327</v>
      </c>
    </row>
    <row r="4296" spans="1:6">
      <c r="A4296" s="211" t="s">
        <v>6907</v>
      </c>
      <c r="B4296" s="211">
        <v>7711</v>
      </c>
      <c r="C4296" s="211">
        <v>1190</v>
      </c>
      <c r="D4296" s="211" t="s">
        <v>1255</v>
      </c>
      <c r="E4296" s="211" t="s">
        <v>9706</v>
      </c>
      <c r="F4296" s="211" t="s">
        <v>7415</v>
      </c>
    </row>
    <row r="4297" spans="1:6">
      <c r="A4297" s="211" t="s">
        <v>3412</v>
      </c>
      <c r="B4297" s="211">
        <v>2283</v>
      </c>
      <c r="C4297" s="211">
        <v>1756</v>
      </c>
      <c r="D4297" s="211" t="s">
        <v>1255</v>
      </c>
      <c r="E4297" s="211" t="s">
        <v>10385</v>
      </c>
      <c r="F4297" s="211" t="s">
        <v>7377</v>
      </c>
    </row>
    <row r="4298" spans="1:6">
      <c r="A4298" s="211" t="s">
        <v>3413</v>
      </c>
      <c r="B4298" s="211">
        <v>4609</v>
      </c>
      <c r="C4298" s="211">
        <v>1526</v>
      </c>
      <c r="D4298" s="211" t="s">
        <v>1255</v>
      </c>
      <c r="E4298" s="211" t="s">
        <v>5983</v>
      </c>
      <c r="F4298" s="211" t="s">
        <v>7275</v>
      </c>
    </row>
    <row r="4299" spans="1:6">
      <c r="A4299" s="211" t="s">
        <v>3414</v>
      </c>
      <c r="B4299" s="211">
        <v>5394</v>
      </c>
      <c r="C4299" s="211">
        <v>738</v>
      </c>
      <c r="D4299" s="211" t="s">
        <v>1255</v>
      </c>
      <c r="E4299" s="211" t="s">
        <v>10385</v>
      </c>
      <c r="F4299" s="211" t="s">
        <v>7524</v>
      </c>
    </row>
    <row r="4300" spans="1:6">
      <c r="A4300" s="211" t="s">
        <v>3415</v>
      </c>
      <c r="B4300" s="211">
        <v>2090</v>
      </c>
      <c r="C4300" s="211">
        <v>811</v>
      </c>
      <c r="D4300" s="211" t="s">
        <v>1117</v>
      </c>
      <c r="E4300" s="211" t="s">
        <v>10385</v>
      </c>
      <c r="F4300" s="211" t="s">
        <v>7239</v>
      </c>
    </row>
    <row r="4301" spans="1:6">
      <c r="A4301" s="211" t="s">
        <v>6908</v>
      </c>
      <c r="B4301" s="211">
        <v>7808</v>
      </c>
      <c r="C4301" s="211">
        <v>1543</v>
      </c>
      <c r="D4301" s="211" t="s">
        <v>1255</v>
      </c>
      <c r="E4301" s="211" t="s">
        <v>10385</v>
      </c>
      <c r="F4301" s="211" t="s">
        <v>7272</v>
      </c>
    </row>
    <row r="4302" spans="1:6">
      <c r="A4302" s="211" t="s">
        <v>5984</v>
      </c>
      <c r="B4302" s="211">
        <v>7484</v>
      </c>
      <c r="C4302" s="211">
        <v>1148</v>
      </c>
      <c r="D4302" s="211" t="s">
        <v>1255</v>
      </c>
      <c r="E4302" s="211" t="s">
        <v>10385</v>
      </c>
      <c r="F4302" s="211" t="s">
        <v>7573</v>
      </c>
    </row>
    <row r="4303" spans="1:6">
      <c r="A4303" s="211" t="s">
        <v>3416</v>
      </c>
      <c r="B4303" s="211">
        <v>832</v>
      </c>
      <c r="C4303" s="211">
        <v>1837</v>
      </c>
      <c r="D4303" s="211" t="s">
        <v>1255</v>
      </c>
      <c r="E4303" s="211" t="s">
        <v>10385</v>
      </c>
      <c r="F4303" s="211" t="s">
        <v>7318</v>
      </c>
    </row>
    <row r="4304" spans="1:6">
      <c r="A4304" s="211" t="s">
        <v>9707</v>
      </c>
      <c r="B4304" s="211">
        <v>7926</v>
      </c>
      <c r="C4304" s="211">
        <v>1009</v>
      </c>
      <c r="D4304" s="211" t="s">
        <v>1255</v>
      </c>
      <c r="E4304" s="211" t="s">
        <v>9708</v>
      </c>
      <c r="F4304" s="211" t="s">
        <v>7210</v>
      </c>
    </row>
    <row r="4305" spans="1:6">
      <c r="A4305" s="211" t="s">
        <v>3417</v>
      </c>
      <c r="B4305" s="211">
        <v>1333</v>
      </c>
      <c r="C4305" s="211">
        <v>1830</v>
      </c>
      <c r="D4305" s="211" t="s">
        <v>1255</v>
      </c>
      <c r="E4305" s="211" t="s">
        <v>10385</v>
      </c>
      <c r="F4305" s="211" t="s">
        <v>7306</v>
      </c>
    </row>
    <row r="4306" spans="1:6">
      <c r="A4306" s="211" t="s">
        <v>5130</v>
      </c>
      <c r="B4306" s="211">
        <v>6707</v>
      </c>
      <c r="C4306" s="211">
        <v>1854</v>
      </c>
      <c r="D4306" s="211" t="s">
        <v>1255</v>
      </c>
      <c r="E4306" s="211" t="s">
        <v>6909</v>
      </c>
      <c r="F4306" s="211" t="s">
        <v>7322</v>
      </c>
    </row>
    <row r="4307" spans="1:6">
      <c r="A4307" s="211" t="s">
        <v>3418</v>
      </c>
      <c r="B4307" s="211">
        <v>3679</v>
      </c>
      <c r="C4307" s="211">
        <v>862</v>
      </c>
      <c r="D4307" s="211" t="s">
        <v>1117</v>
      </c>
      <c r="E4307" s="211" t="s">
        <v>10385</v>
      </c>
      <c r="F4307" s="211" t="s">
        <v>7402</v>
      </c>
    </row>
    <row r="4308" spans="1:6">
      <c r="A4308" s="211" t="s">
        <v>3419</v>
      </c>
      <c r="B4308" s="211">
        <v>2356</v>
      </c>
      <c r="C4308" s="211">
        <v>1146</v>
      </c>
      <c r="D4308" s="211" t="s">
        <v>1255</v>
      </c>
      <c r="E4308" s="211" t="s">
        <v>10385</v>
      </c>
      <c r="F4308" s="211" t="s">
        <v>7177</v>
      </c>
    </row>
    <row r="4309" spans="1:6">
      <c r="A4309" s="211" t="s">
        <v>3420</v>
      </c>
      <c r="B4309" s="211">
        <v>2622</v>
      </c>
      <c r="C4309" s="211">
        <v>1352</v>
      </c>
      <c r="D4309" s="211" t="s">
        <v>1255</v>
      </c>
      <c r="E4309" s="211" t="s">
        <v>10385</v>
      </c>
      <c r="F4309" s="211" t="s">
        <v>7867</v>
      </c>
    </row>
    <row r="4310" spans="1:6">
      <c r="A4310" s="211" t="s">
        <v>9709</v>
      </c>
      <c r="B4310" s="211">
        <v>8110</v>
      </c>
      <c r="C4310" s="211">
        <v>1575</v>
      </c>
      <c r="D4310" s="211" t="s">
        <v>1255</v>
      </c>
      <c r="E4310" s="211" t="s">
        <v>10385</v>
      </c>
      <c r="F4310" s="211" t="s">
        <v>7383</v>
      </c>
    </row>
    <row r="4311" spans="1:6">
      <c r="A4311" s="211" t="s">
        <v>3421</v>
      </c>
      <c r="B4311" s="211">
        <v>5815</v>
      </c>
      <c r="C4311" s="211">
        <v>1214</v>
      </c>
      <c r="D4311" s="211" t="s">
        <v>1255</v>
      </c>
      <c r="E4311" s="211" t="s">
        <v>10385</v>
      </c>
      <c r="F4311" s="211" t="s">
        <v>7383</v>
      </c>
    </row>
    <row r="4312" spans="1:6">
      <c r="A4312" s="211" t="s">
        <v>8954</v>
      </c>
      <c r="B4312" s="211">
        <v>3097</v>
      </c>
      <c r="C4312" s="211">
        <v>1770</v>
      </c>
      <c r="D4312" s="211" t="s">
        <v>1255</v>
      </c>
      <c r="E4312" s="211" t="s">
        <v>10385</v>
      </c>
      <c r="F4312" s="211" t="s">
        <v>7459</v>
      </c>
    </row>
    <row r="4313" spans="1:6">
      <c r="A4313" s="211" t="s">
        <v>8955</v>
      </c>
      <c r="B4313" s="211">
        <v>4965</v>
      </c>
      <c r="C4313" s="211" t="s">
        <v>10385</v>
      </c>
      <c r="D4313" s="211" t="s">
        <v>1255</v>
      </c>
      <c r="E4313" s="211" t="s">
        <v>10385</v>
      </c>
      <c r="F4313" s="211" t="s">
        <v>7197</v>
      </c>
    </row>
    <row r="4314" spans="1:6">
      <c r="A4314" s="211" t="s">
        <v>3422</v>
      </c>
      <c r="B4314" s="211">
        <v>3522</v>
      </c>
      <c r="C4314" s="211">
        <v>1794</v>
      </c>
      <c r="D4314" s="211" t="s">
        <v>1255</v>
      </c>
      <c r="E4314" s="211" t="s">
        <v>10385</v>
      </c>
      <c r="F4314" s="211" t="s">
        <v>7212</v>
      </c>
    </row>
    <row r="4315" spans="1:6">
      <c r="A4315" s="211" t="s">
        <v>8233</v>
      </c>
      <c r="B4315" s="211">
        <v>7837</v>
      </c>
      <c r="C4315" s="211" t="s">
        <v>10385</v>
      </c>
      <c r="D4315" s="211" t="s">
        <v>1255</v>
      </c>
      <c r="E4315" s="211" t="s">
        <v>10385</v>
      </c>
      <c r="F4315" s="211" t="s">
        <v>7623</v>
      </c>
    </row>
    <row r="4316" spans="1:6">
      <c r="A4316" s="211" t="s">
        <v>8234</v>
      </c>
      <c r="B4316" s="211">
        <v>5172</v>
      </c>
      <c r="C4316" s="211" t="s">
        <v>10385</v>
      </c>
      <c r="D4316" s="211" t="s">
        <v>1255</v>
      </c>
      <c r="E4316" s="211" t="s">
        <v>10385</v>
      </c>
      <c r="F4316" s="211" t="s">
        <v>7316</v>
      </c>
    </row>
    <row r="4317" spans="1:6">
      <c r="A4317" s="211" t="s">
        <v>3423</v>
      </c>
      <c r="B4317" s="211">
        <v>3063</v>
      </c>
      <c r="C4317" s="211">
        <v>863</v>
      </c>
      <c r="D4317" s="211" t="s">
        <v>1255</v>
      </c>
      <c r="E4317" s="211" t="s">
        <v>10385</v>
      </c>
      <c r="F4317" s="211" t="s">
        <v>7203</v>
      </c>
    </row>
    <row r="4318" spans="1:6">
      <c r="A4318" s="211" t="s">
        <v>5985</v>
      </c>
      <c r="B4318" s="211">
        <v>7322</v>
      </c>
      <c r="C4318" s="211">
        <v>836</v>
      </c>
      <c r="D4318" s="211" t="s">
        <v>1255</v>
      </c>
      <c r="E4318" s="211" t="s">
        <v>9710</v>
      </c>
      <c r="F4318" s="211" t="s">
        <v>7661</v>
      </c>
    </row>
    <row r="4319" spans="1:6">
      <c r="A4319" s="211" t="s">
        <v>8235</v>
      </c>
      <c r="B4319" s="211">
        <v>2097</v>
      </c>
      <c r="C4319" s="211" t="s">
        <v>10385</v>
      </c>
      <c r="D4319" s="211" t="s">
        <v>1255</v>
      </c>
      <c r="E4319" s="211" t="s">
        <v>10385</v>
      </c>
      <c r="F4319" s="211" t="s">
        <v>7219</v>
      </c>
    </row>
    <row r="4320" spans="1:6">
      <c r="A4320" s="211" t="s">
        <v>9711</v>
      </c>
      <c r="B4320" s="211">
        <v>8569</v>
      </c>
      <c r="C4320" s="211">
        <v>992</v>
      </c>
      <c r="D4320" s="211" t="s">
        <v>1255</v>
      </c>
      <c r="E4320" s="211" t="s">
        <v>10385</v>
      </c>
      <c r="F4320" s="211" t="s">
        <v>7431</v>
      </c>
    </row>
    <row r="4321" spans="1:6">
      <c r="A4321" s="211" t="s">
        <v>3424</v>
      </c>
      <c r="B4321" s="211">
        <v>1492</v>
      </c>
      <c r="C4321" s="211">
        <v>1859</v>
      </c>
      <c r="D4321" s="211" t="s">
        <v>1255</v>
      </c>
      <c r="E4321" s="211" t="s">
        <v>10385</v>
      </c>
      <c r="F4321" s="211" t="s">
        <v>7335</v>
      </c>
    </row>
    <row r="4322" spans="1:6">
      <c r="A4322" s="211" t="s">
        <v>2880</v>
      </c>
      <c r="B4322" s="211">
        <v>3705</v>
      </c>
      <c r="C4322" s="211">
        <v>755</v>
      </c>
      <c r="D4322" s="211" t="s">
        <v>1255</v>
      </c>
      <c r="E4322" s="211" t="s">
        <v>10385</v>
      </c>
      <c r="F4322" s="211" t="s">
        <v>7386</v>
      </c>
    </row>
    <row r="4323" spans="1:6">
      <c r="A4323" s="211" t="s">
        <v>5986</v>
      </c>
      <c r="B4323" s="211">
        <v>7454</v>
      </c>
      <c r="C4323" s="211">
        <v>617</v>
      </c>
      <c r="D4323" s="211" t="s">
        <v>1255</v>
      </c>
      <c r="E4323" s="211" t="s">
        <v>5987</v>
      </c>
      <c r="F4323" s="211" t="s">
        <v>10424</v>
      </c>
    </row>
    <row r="4324" spans="1:6">
      <c r="A4324" s="211" t="s">
        <v>8236</v>
      </c>
      <c r="B4324" s="211">
        <v>2010</v>
      </c>
      <c r="C4324" s="211" t="s">
        <v>10385</v>
      </c>
      <c r="D4324" s="211" t="s">
        <v>1255</v>
      </c>
      <c r="E4324" s="211" t="s">
        <v>10385</v>
      </c>
      <c r="F4324" s="211" t="s">
        <v>7965</v>
      </c>
    </row>
    <row r="4325" spans="1:6">
      <c r="A4325" s="211" t="s">
        <v>3425</v>
      </c>
      <c r="B4325" s="211">
        <v>3464</v>
      </c>
      <c r="C4325" s="211">
        <v>1228</v>
      </c>
      <c r="D4325" s="211" t="s">
        <v>1255</v>
      </c>
      <c r="E4325" s="211" t="s">
        <v>10385</v>
      </c>
      <c r="F4325" s="211" t="s">
        <v>7319</v>
      </c>
    </row>
    <row r="4326" spans="1:6">
      <c r="A4326" s="211" t="s">
        <v>8237</v>
      </c>
      <c r="B4326" s="211">
        <v>2631</v>
      </c>
      <c r="C4326" s="211">
        <v>1047</v>
      </c>
      <c r="D4326" s="211" t="s">
        <v>1255</v>
      </c>
      <c r="E4326" s="211" t="s">
        <v>10385</v>
      </c>
      <c r="F4326" s="211" t="s">
        <v>7393</v>
      </c>
    </row>
    <row r="4327" spans="1:6">
      <c r="A4327" s="211" t="s">
        <v>8238</v>
      </c>
      <c r="B4327" s="211">
        <v>2476</v>
      </c>
      <c r="C4327" s="211" t="s">
        <v>10385</v>
      </c>
      <c r="D4327" s="211" t="s">
        <v>1255</v>
      </c>
      <c r="E4327" s="211" t="s">
        <v>10385</v>
      </c>
      <c r="F4327" s="211" t="s">
        <v>7210</v>
      </c>
    </row>
    <row r="4328" spans="1:6">
      <c r="A4328" s="211" t="s">
        <v>5131</v>
      </c>
      <c r="B4328" s="211">
        <v>6719</v>
      </c>
      <c r="C4328" s="211">
        <v>1179</v>
      </c>
      <c r="D4328" s="211" t="s">
        <v>1255</v>
      </c>
      <c r="E4328" s="211" t="s">
        <v>10385</v>
      </c>
      <c r="F4328" s="211" t="s">
        <v>7283</v>
      </c>
    </row>
    <row r="4329" spans="1:6">
      <c r="A4329" s="211" t="s">
        <v>4615</v>
      </c>
      <c r="B4329" s="211">
        <v>6508</v>
      </c>
      <c r="C4329" s="211">
        <v>1219</v>
      </c>
      <c r="D4329" s="211" t="s">
        <v>1255</v>
      </c>
      <c r="E4329" s="211" t="s">
        <v>10385</v>
      </c>
      <c r="F4329" s="211" t="s">
        <v>7284</v>
      </c>
    </row>
    <row r="4330" spans="1:6">
      <c r="A4330" s="211" t="s">
        <v>8239</v>
      </c>
      <c r="B4330" s="211">
        <v>176</v>
      </c>
      <c r="C4330" s="211" t="s">
        <v>10385</v>
      </c>
      <c r="D4330" s="211" t="s">
        <v>1255</v>
      </c>
      <c r="E4330" s="211" t="s">
        <v>10385</v>
      </c>
      <c r="F4330" s="211" t="s">
        <v>7199</v>
      </c>
    </row>
    <row r="4331" spans="1:6">
      <c r="A4331" s="211" t="s">
        <v>5988</v>
      </c>
      <c r="B4331" s="211">
        <v>7161</v>
      </c>
      <c r="C4331" s="211">
        <v>1342</v>
      </c>
      <c r="D4331" s="211" t="s">
        <v>1255</v>
      </c>
      <c r="E4331" s="211" t="s">
        <v>5989</v>
      </c>
      <c r="F4331" s="211" t="s">
        <v>7275</v>
      </c>
    </row>
    <row r="4332" spans="1:6">
      <c r="A4332" s="211" t="s">
        <v>8240</v>
      </c>
      <c r="B4332" s="211">
        <v>1009</v>
      </c>
      <c r="C4332" s="211" t="s">
        <v>10385</v>
      </c>
      <c r="D4332" s="211" t="s">
        <v>1255</v>
      </c>
      <c r="E4332" s="211" t="s">
        <v>10385</v>
      </c>
      <c r="F4332" s="211" t="s">
        <v>7384</v>
      </c>
    </row>
    <row r="4333" spans="1:6">
      <c r="A4333" s="211" t="s">
        <v>5990</v>
      </c>
      <c r="B4333" s="211">
        <v>7136</v>
      </c>
      <c r="C4333" s="211">
        <v>856</v>
      </c>
      <c r="D4333" s="211" t="s">
        <v>1255</v>
      </c>
      <c r="E4333" s="211" t="s">
        <v>5991</v>
      </c>
      <c r="F4333" s="211" t="s">
        <v>7217</v>
      </c>
    </row>
    <row r="4334" spans="1:6">
      <c r="A4334" s="211" t="s">
        <v>3426</v>
      </c>
      <c r="B4334" s="211">
        <v>3529</v>
      </c>
      <c r="C4334" s="211">
        <v>985</v>
      </c>
      <c r="D4334" s="211" t="s">
        <v>1117</v>
      </c>
      <c r="E4334" s="211" t="s">
        <v>10385</v>
      </c>
      <c r="F4334" s="211" t="s">
        <v>7171</v>
      </c>
    </row>
    <row r="4335" spans="1:6">
      <c r="A4335" s="211" t="s">
        <v>8241</v>
      </c>
      <c r="B4335" s="211">
        <v>5956</v>
      </c>
      <c r="C4335" s="211" t="s">
        <v>10385</v>
      </c>
      <c r="D4335" s="211" t="s">
        <v>1117</v>
      </c>
      <c r="E4335" s="211" t="s">
        <v>10385</v>
      </c>
      <c r="F4335" s="211" t="s">
        <v>7171</v>
      </c>
    </row>
    <row r="4336" spans="1:6">
      <c r="A4336" s="211" t="s">
        <v>3427</v>
      </c>
      <c r="B4336" s="211">
        <v>3407</v>
      </c>
      <c r="C4336" s="211">
        <v>1206</v>
      </c>
      <c r="D4336" s="211" t="s">
        <v>1255</v>
      </c>
      <c r="E4336" s="211" t="s">
        <v>10385</v>
      </c>
      <c r="F4336" s="211" t="s">
        <v>7297</v>
      </c>
    </row>
    <row r="4337" spans="1:6">
      <c r="A4337" s="211" t="s">
        <v>8242</v>
      </c>
      <c r="B4337" s="211">
        <v>496</v>
      </c>
      <c r="C4337" s="211" t="s">
        <v>10385</v>
      </c>
      <c r="D4337" s="211" t="s">
        <v>1255</v>
      </c>
      <c r="E4337" s="211" t="s">
        <v>10385</v>
      </c>
      <c r="F4337" s="211" t="s">
        <v>7177</v>
      </c>
    </row>
    <row r="4338" spans="1:6">
      <c r="A4338" s="211" t="s">
        <v>5992</v>
      </c>
      <c r="B4338" s="211">
        <v>7243</v>
      </c>
      <c r="C4338" s="211">
        <v>975</v>
      </c>
      <c r="D4338" s="211" t="s">
        <v>1255</v>
      </c>
      <c r="E4338" s="211" t="s">
        <v>6910</v>
      </c>
      <c r="F4338" s="211" t="s">
        <v>7431</v>
      </c>
    </row>
    <row r="4339" spans="1:6">
      <c r="A4339" s="211" t="s">
        <v>3428</v>
      </c>
      <c r="B4339" s="211">
        <v>2409</v>
      </c>
      <c r="C4339" s="211">
        <v>881</v>
      </c>
      <c r="D4339" s="211" t="s">
        <v>1255</v>
      </c>
      <c r="E4339" s="211" t="s">
        <v>10385</v>
      </c>
      <c r="F4339" s="211" t="s">
        <v>7344</v>
      </c>
    </row>
    <row r="4340" spans="1:6">
      <c r="A4340" s="211" t="s">
        <v>5993</v>
      </c>
      <c r="B4340" s="211">
        <v>7409</v>
      </c>
      <c r="C4340" s="211">
        <v>995</v>
      </c>
      <c r="D4340" s="211" t="s">
        <v>1255</v>
      </c>
      <c r="E4340" s="211" t="s">
        <v>5994</v>
      </c>
      <c r="F4340" s="211" t="s">
        <v>7577</v>
      </c>
    </row>
    <row r="4341" spans="1:6">
      <c r="A4341" s="211" t="s">
        <v>3429</v>
      </c>
      <c r="B4341" s="211">
        <v>2894</v>
      </c>
      <c r="C4341" s="211">
        <v>1122</v>
      </c>
      <c r="D4341" s="211" t="s">
        <v>1255</v>
      </c>
      <c r="E4341" s="211" t="s">
        <v>10385</v>
      </c>
      <c r="F4341" s="211" t="s">
        <v>7272</v>
      </c>
    </row>
    <row r="4342" spans="1:6">
      <c r="A4342" s="211" t="s">
        <v>10362</v>
      </c>
      <c r="B4342" s="211">
        <v>1221</v>
      </c>
      <c r="C4342" s="211" t="s">
        <v>10385</v>
      </c>
      <c r="D4342" s="211" t="s">
        <v>1255</v>
      </c>
      <c r="E4342" s="211" t="s">
        <v>10385</v>
      </c>
      <c r="F4342" s="211" t="s">
        <v>7231</v>
      </c>
    </row>
    <row r="4343" spans="1:6">
      <c r="A4343" s="211" t="s">
        <v>8243</v>
      </c>
      <c r="B4343" s="211">
        <v>4134</v>
      </c>
      <c r="C4343" s="211" t="s">
        <v>10385</v>
      </c>
      <c r="D4343" s="211" t="s">
        <v>1255</v>
      </c>
      <c r="E4343" s="211" t="s">
        <v>10385</v>
      </c>
      <c r="F4343" s="211" t="s">
        <v>7205</v>
      </c>
    </row>
    <row r="4344" spans="1:6">
      <c r="A4344" s="211" t="s">
        <v>8244</v>
      </c>
      <c r="B4344" s="211">
        <v>1431</v>
      </c>
      <c r="C4344" s="211" t="s">
        <v>10385</v>
      </c>
      <c r="D4344" s="211" t="s">
        <v>1255</v>
      </c>
      <c r="E4344" s="211" t="s">
        <v>10385</v>
      </c>
      <c r="F4344" s="211" t="s">
        <v>7297</v>
      </c>
    </row>
    <row r="4345" spans="1:6">
      <c r="A4345" s="211" t="s">
        <v>3430</v>
      </c>
      <c r="B4345" s="211">
        <v>2230</v>
      </c>
      <c r="C4345" s="211">
        <v>1810</v>
      </c>
      <c r="D4345" s="211" t="s">
        <v>1255</v>
      </c>
      <c r="E4345" s="211" t="s">
        <v>10385</v>
      </c>
      <c r="F4345" s="211" t="s">
        <v>7384</v>
      </c>
    </row>
    <row r="4346" spans="1:6">
      <c r="A4346" s="211" t="s">
        <v>3431</v>
      </c>
      <c r="B4346" s="211">
        <v>2906</v>
      </c>
      <c r="C4346" s="211">
        <v>1310</v>
      </c>
      <c r="D4346" s="211" t="s">
        <v>1255</v>
      </c>
      <c r="E4346" s="211" t="s">
        <v>10385</v>
      </c>
      <c r="F4346" s="211" t="s">
        <v>7207</v>
      </c>
    </row>
    <row r="4347" spans="1:6">
      <c r="A4347" s="211" t="s">
        <v>3432</v>
      </c>
      <c r="B4347" s="211">
        <v>7128</v>
      </c>
      <c r="C4347" s="211">
        <v>1281</v>
      </c>
      <c r="D4347" s="211" t="s">
        <v>1255</v>
      </c>
      <c r="E4347" s="211" t="s">
        <v>10385</v>
      </c>
      <c r="F4347" s="211" t="s">
        <v>7258</v>
      </c>
    </row>
    <row r="4348" spans="1:6">
      <c r="A4348" s="211" t="s">
        <v>3433</v>
      </c>
      <c r="B4348" s="211">
        <v>2926</v>
      </c>
      <c r="C4348" s="211">
        <v>896</v>
      </c>
      <c r="D4348" s="211" t="s">
        <v>1255</v>
      </c>
      <c r="E4348" s="211" t="s">
        <v>10385</v>
      </c>
      <c r="F4348" s="211" t="s">
        <v>7205</v>
      </c>
    </row>
    <row r="4349" spans="1:6">
      <c r="A4349" s="211" t="s">
        <v>8245</v>
      </c>
      <c r="B4349" s="211">
        <v>5947</v>
      </c>
      <c r="C4349" s="211" t="s">
        <v>10385</v>
      </c>
      <c r="D4349" s="211" t="s">
        <v>1255</v>
      </c>
      <c r="E4349" s="211" t="s">
        <v>10385</v>
      </c>
      <c r="F4349" s="211" t="s">
        <v>7217</v>
      </c>
    </row>
    <row r="4350" spans="1:6">
      <c r="A4350" s="211" t="s">
        <v>3434</v>
      </c>
      <c r="B4350" s="211">
        <v>4571</v>
      </c>
      <c r="C4350" s="211">
        <v>1046</v>
      </c>
      <c r="D4350" s="211" t="s">
        <v>1255</v>
      </c>
      <c r="E4350" s="211" t="s">
        <v>10385</v>
      </c>
      <c r="F4350" s="211" t="s">
        <v>7334</v>
      </c>
    </row>
    <row r="4351" spans="1:6">
      <c r="A4351" s="211" t="s">
        <v>5132</v>
      </c>
      <c r="B4351" s="211">
        <v>6634</v>
      </c>
      <c r="C4351" s="211">
        <v>1268</v>
      </c>
      <c r="D4351" s="211" t="s">
        <v>1255</v>
      </c>
      <c r="E4351" s="211" t="s">
        <v>6911</v>
      </c>
      <c r="F4351" s="211" t="s">
        <v>7386</v>
      </c>
    </row>
    <row r="4352" spans="1:6">
      <c r="A4352" s="211" t="s">
        <v>3435</v>
      </c>
      <c r="B4352" s="211">
        <v>4380</v>
      </c>
      <c r="C4352" s="211">
        <v>902</v>
      </c>
      <c r="D4352" s="211" t="s">
        <v>1255</v>
      </c>
      <c r="E4352" s="211" t="s">
        <v>10385</v>
      </c>
      <c r="F4352" s="211" t="s">
        <v>7369</v>
      </c>
    </row>
    <row r="4353" spans="1:6">
      <c r="A4353" s="211" t="s">
        <v>9712</v>
      </c>
      <c r="B4353" s="211">
        <v>8158</v>
      </c>
      <c r="C4353" s="211">
        <v>1142</v>
      </c>
      <c r="D4353" s="211" t="s">
        <v>1255</v>
      </c>
      <c r="E4353" s="211" t="s">
        <v>9713</v>
      </c>
      <c r="F4353" s="211" t="s">
        <v>7386</v>
      </c>
    </row>
    <row r="4354" spans="1:6">
      <c r="A4354" s="211" t="s">
        <v>3436</v>
      </c>
      <c r="B4354" s="211">
        <v>3350</v>
      </c>
      <c r="C4354" s="211">
        <v>1376</v>
      </c>
      <c r="D4354" s="211" t="s">
        <v>1255</v>
      </c>
      <c r="E4354" s="211" t="s">
        <v>10385</v>
      </c>
      <c r="F4354" s="211" t="s">
        <v>7303</v>
      </c>
    </row>
    <row r="4355" spans="1:6">
      <c r="A4355" s="211" t="s">
        <v>3437</v>
      </c>
      <c r="B4355" s="211">
        <v>2888</v>
      </c>
      <c r="C4355" s="211">
        <v>1593</v>
      </c>
      <c r="D4355" s="211" t="s">
        <v>1255</v>
      </c>
      <c r="E4355" s="211" t="s">
        <v>10385</v>
      </c>
      <c r="F4355" s="211" t="s">
        <v>7322</v>
      </c>
    </row>
    <row r="4356" spans="1:6">
      <c r="A4356" s="211" t="s">
        <v>5133</v>
      </c>
      <c r="B4356" s="211">
        <v>6866</v>
      </c>
      <c r="C4356" s="211">
        <v>966</v>
      </c>
      <c r="D4356" s="211" t="s">
        <v>1255</v>
      </c>
      <c r="E4356" s="211" t="s">
        <v>10763</v>
      </c>
      <c r="F4356" s="211" t="s">
        <v>8210</v>
      </c>
    </row>
    <row r="4357" spans="1:6">
      <c r="A4357" s="211" t="s">
        <v>3438</v>
      </c>
      <c r="B4357" s="211">
        <v>5937</v>
      </c>
      <c r="C4357" s="211">
        <v>1232</v>
      </c>
      <c r="D4357" s="211" t="s">
        <v>1255</v>
      </c>
      <c r="E4357" s="211" t="s">
        <v>10385</v>
      </c>
      <c r="F4357" s="211" t="s">
        <v>7263</v>
      </c>
    </row>
    <row r="4358" spans="1:6">
      <c r="A4358" s="211" t="s">
        <v>3439</v>
      </c>
      <c r="B4358" s="211">
        <v>3907</v>
      </c>
      <c r="C4358" s="211">
        <v>945</v>
      </c>
      <c r="D4358" s="211" t="s">
        <v>1255</v>
      </c>
      <c r="E4358" s="211" t="s">
        <v>10385</v>
      </c>
      <c r="F4358" s="211" t="s">
        <v>7248</v>
      </c>
    </row>
    <row r="4359" spans="1:6">
      <c r="A4359" s="211" t="s">
        <v>3440</v>
      </c>
      <c r="B4359" s="211">
        <v>4369</v>
      </c>
      <c r="C4359" s="211">
        <v>1192</v>
      </c>
      <c r="D4359" s="211" t="s">
        <v>1255</v>
      </c>
      <c r="E4359" s="211" t="s">
        <v>10385</v>
      </c>
      <c r="F4359" s="211" t="s">
        <v>7427</v>
      </c>
    </row>
    <row r="4360" spans="1:6">
      <c r="A4360" s="211" t="s">
        <v>3441</v>
      </c>
      <c r="B4360" s="211">
        <v>4432</v>
      </c>
      <c r="C4360" s="211">
        <v>1696</v>
      </c>
      <c r="D4360" s="211" t="s">
        <v>1255</v>
      </c>
      <c r="E4360" s="211" t="s">
        <v>5995</v>
      </c>
      <c r="F4360" s="211" t="s">
        <v>7320</v>
      </c>
    </row>
    <row r="4361" spans="1:6">
      <c r="A4361" s="211" t="s">
        <v>4715</v>
      </c>
      <c r="B4361" s="211">
        <v>6222</v>
      </c>
      <c r="C4361" s="211">
        <v>707</v>
      </c>
      <c r="D4361" s="211" t="s">
        <v>1255</v>
      </c>
      <c r="E4361" s="211" t="s">
        <v>10385</v>
      </c>
      <c r="F4361" s="211" t="s">
        <v>7328</v>
      </c>
    </row>
    <row r="4362" spans="1:6">
      <c r="A4362" s="211" t="s">
        <v>3442</v>
      </c>
      <c r="B4362" s="211">
        <v>5277</v>
      </c>
      <c r="C4362" s="211">
        <v>2068</v>
      </c>
      <c r="D4362" s="211" t="s">
        <v>1255</v>
      </c>
      <c r="E4362" s="211" t="s">
        <v>10385</v>
      </c>
      <c r="F4362" s="211" t="s">
        <v>7390</v>
      </c>
    </row>
    <row r="4363" spans="1:6">
      <c r="A4363" s="211" t="s">
        <v>8246</v>
      </c>
      <c r="B4363" s="211">
        <v>2264</v>
      </c>
      <c r="C4363" s="211" t="s">
        <v>10385</v>
      </c>
      <c r="D4363" s="211" t="s">
        <v>1255</v>
      </c>
      <c r="E4363" s="211" t="s">
        <v>10385</v>
      </c>
      <c r="F4363" s="211" t="s">
        <v>7160</v>
      </c>
    </row>
    <row r="4364" spans="1:6">
      <c r="A4364" s="211" t="s">
        <v>3443</v>
      </c>
      <c r="B4364" s="211">
        <v>2540</v>
      </c>
      <c r="C4364" s="211">
        <v>1659</v>
      </c>
      <c r="D4364" s="211" t="s">
        <v>1255</v>
      </c>
      <c r="E4364" s="211" t="s">
        <v>10385</v>
      </c>
      <c r="F4364" s="211" t="s">
        <v>7459</v>
      </c>
    </row>
    <row r="4365" spans="1:6">
      <c r="A4365" s="211" t="s">
        <v>8247</v>
      </c>
      <c r="B4365" s="211">
        <v>2434</v>
      </c>
      <c r="C4365" s="211" t="s">
        <v>10385</v>
      </c>
      <c r="D4365" s="211" t="s">
        <v>1255</v>
      </c>
      <c r="E4365" s="211" t="s">
        <v>10385</v>
      </c>
      <c r="F4365" s="211" t="s">
        <v>7788</v>
      </c>
    </row>
    <row r="4366" spans="1:6">
      <c r="A4366" s="211" t="s">
        <v>4809</v>
      </c>
      <c r="B4366" s="211">
        <v>6123</v>
      </c>
      <c r="C4366" s="211">
        <v>1513</v>
      </c>
      <c r="D4366" s="211" t="s">
        <v>1255</v>
      </c>
      <c r="E4366" s="211" t="s">
        <v>10385</v>
      </c>
      <c r="F4366" s="211" t="s">
        <v>7299</v>
      </c>
    </row>
    <row r="4367" spans="1:6">
      <c r="A4367" s="211" t="s">
        <v>3444</v>
      </c>
      <c r="B4367" s="211">
        <v>5615</v>
      </c>
      <c r="C4367" s="211">
        <v>1550</v>
      </c>
      <c r="D4367" s="211" t="s">
        <v>1255</v>
      </c>
      <c r="E4367" s="211" t="s">
        <v>10385</v>
      </c>
      <c r="F4367" s="211" t="s">
        <v>9044</v>
      </c>
    </row>
    <row r="4368" spans="1:6">
      <c r="A4368" s="211" t="s">
        <v>3445</v>
      </c>
      <c r="B4368" s="211">
        <v>2317</v>
      </c>
      <c r="C4368" s="211">
        <v>879</v>
      </c>
      <c r="D4368" s="211" t="s">
        <v>1255</v>
      </c>
      <c r="E4368" s="211" t="s">
        <v>10385</v>
      </c>
      <c r="F4368" s="211" t="s">
        <v>7399</v>
      </c>
    </row>
    <row r="4369" spans="1:6">
      <c r="A4369" s="211" t="s">
        <v>3446</v>
      </c>
      <c r="B4369" s="211">
        <v>3224</v>
      </c>
      <c r="C4369" s="211">
        <v>1523</v>
      </c>
      <c r="D4369" s="211" t="s">
        <v>1255</v>
      </c>
      <c r="E4369" s="211" t="s">
        <v>10385</v>
      </c>
      <c r="F4369" s="211" t="s">
        <v>7160</v>
      </c>
    </row>
    <row r="4370" spans="1:6">
      <c r="A4370" s="211" t="s">
        <v>3447</v>
      </c>
      <c r="B4370" s="211">
        <v>4053</v>
      </c>
      <c r="C4370" s="211">
        <v>1208</v>
      </c>
      <c r="D4370" s="211" t="s">
        <v>1255</v>
      </c>
      <c r="E4370" s="211" t="s">
        <v>10385</v>
      </c>
      <c r="F4370" s="211" t="s">
        <v>7192</v>
      </c>
    </row>
    <row r="4371" spans="1:6">
      <c r="A4371" s="211" t="s">
        <v>6912</v>
      </c>
      <c r="B4371" s="211">
        <v>7680</v>
      </c>
      <c r="C4371" s="211">
        <v>855</v>
      </c>
      <c r="D4371" s="211" t="s">
        <v>1255</v>
      </c>
      <c r="E4371" s="211" t="s">
        <v>6913</v>
      </c>
      <c r="F4371" s="211" t="s">
        <v>7433</v>
      </c>
    </row>
    <row r="4372" spans="1:6">
      <c r="A4372" s="211" t="s">
        <v>3448</v>
      </c>
      <c r="B4372" s="211">
        <v>1806</v>
      </c>
      <c r="C4372" s="211">
        <v>682</v>
      </c>
      <c r="D4372" s="211" t="s">
        <v>1255</v>
      </c>
      <c r="E4372" s="211" t="s">
        <v>10385</v>
      </c>
      <c r="F4372" s="211" t="s">
        <v>7757</v>
      </c>
    </row>
    <row r="4373" spans="1:6">
      <c r="A4373" s="211" t="s">
        <v>3449</v>
      </c>
      <c r="B4373" s="211">
        <v>3172</v>
      </c>
      <c r="C4373" s="211">
        <v>1128</v>
      </c>
      <c r="D4373" s="211" t="s">
        <v>1255</v>
      </c>
      <c r="E4373" s="211" t="s">
        <v>10385</v>
      </c>
      <c r="F4373" s="211" t="s">
        <v>7231</v>
      </c>
    </row>
    <row r="4374" spans="1:6">
      <c r="A4374" s="211" t="s">
        <v>9714</v>
      </c>
      <c r="B4374" s="211">
        <v>8529</v>
      </c>
      <c r="C4374" s="211">
        <v>933</v>
      </c>
      <c r="D4374" s="211" t="s">
        <v>1255</v>
      </c>
      <c r="E4374" s="211" t="s">
        <v>9715</v>
      </c>
      <c r="F4374" s="211" t="s">
        <v>7501</v>
      </c>
    </row>
    <row r="4375" spans="1:6">
      <c r="A4375" s="211" t="s">
        <v>9716</v>
      </c>
      <c r="B4375" s="211">
        <v>8542</v>
      </c>
      <c r="C4375" s="211">
        <v>599</v>
      </c>
      <c r="D4375" s="211" t="s">
        <v>1117</v>
      </c>
      <c r="E4375" s="211" t="s">
        <v>10385</v>
      </c>
      <c r="F4375" s="211" t="s">
        <v>7267</v>
      </c>
    </row>
    <row r="4376" spans="1:6">
      <c r="A4376" s="211" t="s">
        <v>5134</v>
      </c>
      <c r="B4376" s="211">
        <v>6982</v>
      </c>
      <c r="C4376" s="211">
        <v>1566</v>
      </c>
      <c r="D4376" s="211" t="s">
        <v>1255</v>
      </c>
      <c r="E4376" s="211" t="s">
        <v>10764</v>
      </c>
      <c r="F4376" s="211" t="s">
        <v>7427</v>
      </c>
    </row>
    <row r="4377" spans="1:6">
      <c r="A4377" s="211" t="s">
        <v>3450</v>
      </c>
      <c r="B4377" s="211">
        <v>3424</v>
      </c>
      <c r="C4377" s="211">
        <v>1259</v>
      </c>
      <c r="D4377" s="211" t="s">
        <v>1255</v>
      </c>
      <c r="E4377" s="211" t="s">
        <v>10385</v>
      </c>
      <c r="F4377" s="211" t="s">
        <v>7249</v>
      </c>
    </row>
    <row r="4378" spans="1:6">
      <c r="A4378" s="211" t="s">
        <v>3451</v>
      </c>
      <c r="B4378" s="211">
        <v>3413</v>
      </c>
      <c r="C4378" s="211">
        <v>1079</v>
      </c>
      <c r="D4378" s="211" t="s">
        <v>1255</v>
      </c>
      <c r="E4378" s="211" t="s">
        <v>10385</v>
      </c>
      <c r="F4378" s="211" t="s">
        <v>7207</v>
      </c>
    </row>
    <row r="4379" spans="1:6">
      <c r="A4379" s="211" t="s">
        <v>3452</v>
      </c>
      <c r="B4379" s="211">
        <v>1805</v>
      </c>
      <c r="C4379" s="211">
        <v>1263</v>
      </c>
      <c r="D4379" s="211" t="s">
        <v>1255</v>
      </c>
      <c r="E4379" s="211" t="s">
        <v>10385</v>
      </c>
      <c r="F4379" s="211" t="s">
        <v>7297</v>
      </c>
    </row>
    <row r="4380" spans="1:6">
      <c r="A4380" s="211" t="s">
        <v>3453</v>
      </c>
      <c r="B4380" s="211">
        <v>666</v>
      </c>
      <c r="C4380" s="211">
        <v>1168</v>
      </c>
      <c r="D4380" s="211" t="s">
        <v>1255</v>
      </c>
      <c r="E4380" s="211" t="s">
        <v>10385</v>
      </c>
      <c r="F4380" s="211" t="s">
        <v>7162</v>
      </c>
    </row>
    <row r="4381" spans="1:6">
      <c r="A4381" s="211" t="s">
        <v>3454</v>
      </c>
      <c r="B4381" s="211">
        <v>2326</v>
      </c>
      <c r="C4381" s="211">
        <v>1048</v>
      </c>
      <c r="D4381" s="211" t="s">
        <v>1255</v>
      </c>
      <c r="E4381" s="211" t="s">
        <v>10385</v>
      </c>
      <c r="F4381" s="211" t="s">
        <v>7399</v>
      </c>
    </row>
    <row r="4382" spans="1:6">
      <c r="A4382" s="211" t="s">
        <v>3455</v>
      </c>
      <c r="B4382" s="211">
        <v>5032</v>
      </c>
      <c r="C4382" s="211">
        <v>1226</v>
      </c>
      <c r="D4382" s="211" t="s">
        <v>1255</v>
      </c>
      <c r="E4382" s="211" t="s">
        <v>10385</v>
      </c>
      <c r="F4382" s="211" t="s">
        <v>7259</v>
      </c>
    </row>
    <row r="4383" spans="1:6">
      <c r="A4383" s="211" t="s">
        <v>9717</v>
      </c>
      <c r="B4383" s="211">
        <v>7989</v>
      </c>
      <c r="C4383" s="211">
        <v>1784</v>
      </c>
      <c r="D4383" s="211" t="s">
        <v>1255</v>
      </c>
      <c r="E4383" s="211" t="s">
        <v>10765</v>
      </c>
      <c r="F4383" s="211" t="s">
        <v>7173</v>
      </c>
    </row>
    <row r="4384" spans="1:6">
      <c r="A4384" s="211" t="s">
        <v>5996</v>
      </c>
      <c r="B4384" s="211">
        <v>7452</v>
      </c>
      <c r="C4384" s="211">
        <v>946</v>
      </c>
      <c r="D4384" s="211" t="s">
        <v>1255</v>
      </c>
      <c r="E4384" s="211" t="s">
        <v>9718</v>
      </c>
      <c r="F4384" s="211" t="s">
        <v>10424</v>
      </c>
    </row>
    <row r="4385" spans="1:6">
      <c r="A4385" s="211" t="s">
        <v>8248</v>
      </c>
      <c r="B4385" s="211">
        <v>628</v>
      </c>
      <c r="C4385" s="211" t="s">
        <v>10385</v>
      </c>
      <c r="D4385" s="211" t="s">
        <v>1255</v>
      </c>
      <c r="E4385" s="211" t="s">
        <v>10385</v>
      </c>
      <c r="F4385" s="211" t="s">
        <v>8052</v>
      </c>
    </row>
    <row r="4386" spans="1:6">
      <c r="A4386" s="211" t="s">
        <v>8249</v>
      </c>
      <c r="B4386" s="211">
        <v>284</v>
      </c>
      <c r="C4386" s="211" t="s">
        <v>10385</v>
      </c>
      <c r="D4386" s="211" t="s">
        <v>1255</v>
      </c>
      <c r="E4386" s="211" t="s">
        <v>10385</v>
      </c>
      <c r="F4386" s="211" t="s">
        <v>7245</v>
      </c>
    </row>
    <row r="4387" spans="1:6">
      <c r="A4387" s="211" t="s">
        <v>3456</v>
      </c>
      <c r="B4387" s="211">
        <v>3778</v>
      </c>
      <c r="C4387" s="211">
        <v>736</v>
      </c>
      <c r="D4387" s="211" t="s">
        <v>1117</v>
      </c>
      <c r="E4387" s="211" t="s">
        <v>10385</v>
      </c>
      <c r="F4387" s="211" t="s">
        <v>7262</v>
      </c>
    </row>
    <row r="4388" spans="1:6">
      <c r="A4388" s="211" t="s">
        <v>3457</v>
      </c>
      <c r="B4388" s="211">
        <v>4872</v>
      </c>
      <c r="C4388" s="211">
        <v>693</v>
      </c>
      <c r="D4388" s="211" t="s">
        <v>1255</v>
      </c>
      <c r="E4388" s="211" t="s">
        <v>10385</v>
      </c>
      <c r="F4388" s="211" t="s">
        <v>7192</v>
      </c>
    </row>
    <row r="4389" spans="1:6">
      <c r="A4389" s="211" t="s">
        <v>3458</v>
      </c>
      <c r="B4389" s="211">
        <v>3251</v>
      </c>
      <c r="C4389" s="211">
        <v>1405</v>
      </c>
      <c r="D4389" s="211" t="s">
        <v>1255</v>
      </c>
      <c r="E4389" s="211" t="s">
        <v>10385</v>
      </c>
      <c r="F4389" s="211" t="s">
        <v>7306</v>
      </c>
    </row>
    <row r="4390" spans="1:6">
      <c r="A4390" s="211" t="s">
        <v>8250</v>
      </c>
      <c r="B4390" s="211">
        <v>648</v>
      </c>
      <c r="C4390" s="211" t="s">
        <v>10385</v>
      </c>
      <c r="D4390" s="211" t="s">
        <v>1255</v>
      </c>
      <c r="E4390" s="211" t="s">
        <v>10385</v>
      </c>
      <c r="F4390" s="211" t="s">
        <v>7504</v>
      </c>
    </row>
    <row r="4391" spans="1:6">
      <c r="A4391" s="211" t="s">
        <v>10766</v>
      </c>
      <c r="B4391" s="211">
        <v>8805</v>
      </c>
      <c r="C4391" s="211">
        <v>1000</v>
      </c>
      <c r="D4391" s="211" t="s">
        <v>1117</v>
      </c>
      <c r="E4391" s="211" t="s">
        <v>10767</v>
      </c>
      <c r="F4391" s="211" t="s">
        <v>7334</v>
      </c>
    </row>
    <row r="4392" spans="1:6">
      <c r="A4392" s="211" t="s">
        <v>10766</v>
      </c>
      <c r="B4392" s="211">
        <v>8816</v>
      </c>
      <c r="C4392" s="211" t="s">
        <v>10385</v>
      </c>
      <c r="D4392" s="211" t="s">
        <v>1117</v>
      </c>
      <c r="E4392" s="211" t="s">
        <v>10767</v>
      </c>
      <c r="F4392" s="211" t="s">
        <v>7334</v>
      </c>
    </row>
    <row r="4393" spans="1:6">
      <c r="A4393" s="211" t="s">
        <v>1413</v>
      </c>
      <c r="B4393" s="211">
        <v>250</v>
      </c>
      <c r="C4393" s="211">
        <v>1202</v>
      </c>
      <c r="D4393" s="211" t="s">
        <v>1255</v>
      </c>
      <c r="E4393" s="211" t="s">
        <v>10385</v>
      </c>
      <c r="F4393" s="211" t="s">
        <v>7196</v>
      </c>
    </row>
    <row r="4394" spans="1:6">
      <c r="A4394" s="211" t="s">
        <v>1414</v>
      </c>
      <c r="B4394" s="211">
        <v>1338</v>
      </c>
      <c r="C4394" s="211">
        <v>1231</v>
      </c>
      <c r="D4394" s="211" t="s">
        <v>1255</v>
      </c>
      <c r="E4394" s="211" t="s">
        <v>10385</v>
      </c>
      <c r="F4394" s="211" t="s">
        <v>7210</v>
      </c>
    </row>
    <row r="4395" spans="1:6">
      <c r="A4395" s="211" t="s">
        <v>10768</v>
      </c>
      <c r="B4395" s="211">
        <v>8732</v>
      </c>
      <c r="C4395" s="211">
        <v>1410</v>
      </c>
      <c r="D4395" s="211" t="s">
        <v>1117</v>
      </c>
      <c r="E4395" s="211" t="s">
        <v>10769</v>
      </c>
      <c r="F4395" s="211" t="s">
        <v>7573</v>
      </c>
    </row>
    <row r="4396" spans="1:6">
      <c r="A4396" s="211" t="s">
        <v>8251</v>
      </c>
      <c r="B4396" s="211">
        <v>725</v>
      </c>
      <c r="C4396" s="211" t="s">
        <v>10385</v>
      </c>
      <c r="D4396" s="211" t="s">
        <v>1255</v>
      </c>
      <c r="E4396" s="211" t="s">
        <v>10385</v>
      </c>
      <c r="F4396" s="211" t="s">
        <v>8090</v>
      </c>
    </row>
    <row r="4397" spans="1:6">
      <c r="A4397" s="211" t="s">
        <v>1415</v>
      </c>
      <c r="B4397" s="211">
        <v>2359</v>
      </c>
      <c r="C4397" s="211">
        <v>896</v>
      </c>
      <c r="D4397" s="211" t="s">
        <v>1255</v>
      </c>
      <c r="E4397" s="211" t="s">
        <v>10385</v>
      </c>
      <c r="F4397" s="211" t="s">
        <v>7422</v>
      </c>
    </row>
    <row r="4398" spans="1:6">
      <c r="A4398" s="211" t="s">
        <v>8252</v>
      </c>
      <c r="B4398" s="211">
        <v>1010</v>
      </c>
      <c r="C4398" s="211" t="s">
        <v>10385</v>
      </c>
      <c r="D4398" s="211" t="s">
        <v>1255</v>
      </c>
      <c r="E4398" s="211" t="s">
        <v>10385</v>
      </c>
      <c r="F4398" s="211" t="s">
        <v>7384</v>
      </c>
    </row>
    <row r="4399" spans="1:6">
      <c r="A4399" s="211" t="s">
        <v>5998</v>
      </c>
      <c r="B4399" s="211">
        <v>7277</v>
      </c>
      <c r="C4399" s="211">
        <v>878</v>
      </c>
      <c r="D4399" s="211" t="s">
        <v>1255</v>
      </c>
      <c r="E4399" s="211" t="s">
        <v>10385</v>
      </c>
      <c r="F4399" s="211" t="s">
        <v>7430</v>
      </c>
    </row>
    <row r="4400" spans="1:6">
      <c r="A4400" s="211" t="s">
        <v>5999</v>
      </c>
      <c r="B4400" s="211">
        <v>7026</v>
      </c>
      <c r="C4400" s="211">
        <v>1337</v>
      </c>
      <c r="D4400" s="211" t="s">
        <v>1255</v>
      </c>
      <c r="E4400" s="211" t="s">
        <v>6000</v>
      </c>
      <c r="F4400" s="211" t="s">
        <v>7242</v>
      </c>
    </row>
    <row r="4401" spans="1:6">
      <c r="A4401" s="211" t="s">
        <v>1416</v>
      </c>
      <c r="B4401" s="211">
        <v>2071</v>
      </c>
      <c r="C4401" s="211">
        <v>833</v>
      </c>
      <c r="D4401" s="211" t="s">
        <v>1255</v>
      </c>
      <c r="E4401" s="211" t="s">
        <v>10385</v>
      </c>
      <c r="F4401" s="211" t="s">
        <v>7757</v>
      </c>
    </row>
    <row r="4402" spans="1:6">
      <c r="A4402" s="211" t="s">
        <v>1417</v>
      </c>
      <c r="B4402" s="211">
        <v>5002</v>
      </c>
      <c r="C4402" s="211">
        <v>1008</v>
      </c>
      <c r="D4402" s="211" t="s">
        <v>1255</v>
      </c>
      <c r="E4402" s="211" t="s">
        <v>10385</v>
      </c>
      <c r="F4402" s="211" t="s">
        <v>7402</v>
      </c>
    </row>
    <row r="4403" spans="1:6">
      <c r="A4403" s="211" t="s">
        <v>6001</v>
      </c>
      <c r="B4403" s="211">
        <v>7192</v>
      </c>
      <c r="C4403" s="211">
        <v>1009</v>
      </c>
      <c r="D4403" s="211" t="s">
        <v>1255</v>
      </c>
      <c r="E4403" s="211" t="s">
        <v>10385</v>
      </c>
      <c r="F4403" s="211" t="s">
        <v>7235</v>
      </c>
    </row>
    <row r="4404" spans="1:6">
      <c r="A4404" s="211" t="s">
        <v>1418</v>
      </c>
      <c r="B4404" s="211">
        <v>5598</v>
      </c>
      <c r="C4404" s="211">
        <v>1262</v>
      </c>
      <c r="D4404" s="211" t="s">
        <v>1255</v>
      </c>
      <c r="E4404" s="211" t="s">
        <v>10385</v>
      </c>
      <c r="F4404" s="211" t="s">
        <v>7389</v>
      </c>
    </row>
    <row r="4405" spans="1:6">
      <c r="A4405" s="211" t="s">
        <v>1419</v>
      </c>
      <c r="B4405" s="211">
        <v>1126</v>
      </c>
      <c r="C4405" s="211">
        <v>1417</v>
      </c>
      <c r="D4405" s="211" t="s">
        <v>1255</v>
      </c>
      <c r="E4405" s="211" t="s">
        <v>10385</v>
      </c>
      <c r="F4405" s="211" t="s">
        <v>7286</v>
      </c>
    </row>
    <row r="4406" spans="1:6">
      <c r="A4406" s="211" t="s">
        <v>9719</v>
      </c>
      <c r="B4406" s="211">
        <v>8369</v>
      </c>
      <c r="C4406" s="211">
        <v>1018</v>
      </c>
      <c r="D4406" s="211" t="s">
        <v>1255</v>
      </c>
      <c r="E4406" s="211" t="s">
        <v>9720</v>
      </c>
      <c r="F4406" s="211" t="s">
        <v>7342</v>
      </c>
    </row>
    <row r="4407" spans="1:6">
      <c r="A4407" s="211" t="s">
        <v>5385</v>
      </c>
      <c r="B4407" s="211">
        <v>3773</v>
      </c>
      <c r="C4407" s="211">
        <v>1141</v>
      </c>
      <c r="D4407" s="211" t="s">
        <v>1255</v>
      </c>
      <c r="E4407" s="211" t="s">
        <v>10385</v>
      </c>
      <c r="F4407" s="211" t="s">
        <v>7262</v>
      </c>
    </row>
    <row r="4408" spans="1:6">
      <c r="A4408" s="211" t="s">
        <v>3857</v>
      </c>
      <c r="B4408" s="211">
        <v>1661</v>
      </c>
      <c r="C4408" s="211">
        <v>1025</v>
      </c>
      <c r="D4408" s="211" t="s">
        <v>1255</v>
      </c>
      <c r="E4408" s="211" t="s">
        <v>10385</v>
      </c>
      <c r="F4408" s="211" t="s">
        <v>7270</v>
      </c>
    </row>
    <row r="4409" spans="1:6">
      <c r="A4409" s="211" t="s">
        <v>1420</v>
      </c>
      <c r="B4409" s="211">
        <v>5777</v>
      </c>
      <c r="C4409" s="211">
        <v>701</v>
      </c>
      <c r="D4409" s="211" t="s">
        <v>1255</v>
      </c>
      <c r="E4409" s="211" t="s">
        <v>10385</v>
      </c>
      <c r="F4409" s="211" t="s">
        <v>7615</v>
      </c>
    </row>
    <row r="4410" spans="1:6">
      <c r="A4410" s="211" t="s">
        <v>8253</v>
      </c>
      <c r="B4410" s="211">
        <v>2438</v>
      </c>
      <c r="C4410" s="211" t="s">
        <v>10385</v>
      </c>
      <c r="D4410" s="211" t="s">
        <v>1255</v>
      </c>
      <c r="E4410" s="211" t="s">
        <v>10385</v>
      </c>
      <c r="F4410" s="211" t="s">
        <v>7788</v>
      </c>
    </row>
    <row r="4411" spans="1:6">
      <c r="A4411" s="211" t="s">
        <v>1421</v>
      </c>
      <c r="B4411" s="211">
        <v>6250</v>
      </c>
      <c r="C4411" s="211">
        <v>2027</v>
      </c>
      <c r="D4411" s="211" t="s">
        <v>1255</v>
      </c>
      <c r="E4411" s="211" t="s">
        <v>10385</v>
      </c>
      <c r="F4411" s="211" t="s">
        <v>7224</v>
      </c>
    </row>
    <row r="4412" spans="1:6">
      <c r="A4412" s="211" t="s">
        <v>1422</v>
      </c>
      <c r="B4412" s="211">
        <v>490</v>
      </c>
      <c r="C4412" s="211">
        <v>1837</v>
      </c>
      <c r="D4412" s="211" t="s">
        <v>1255</v>
      </c>
      <c r="E4412" s="211" t="s">
        <v>10385</v>
      </c>
      <c r="F4412" s="211" t="s">
        <v>7402</v>
      </c>
    </row>
    <row r="4413" spans="1:6">
      <c r="A4413" s="211" t="s">
        <v>8254</v>
      </c>
      <c r="B4413" s="211">
        <v>6251</v>
      </c>
      <c r="C4413" s="211">
        <v>1837</v>
      </c>
      <c r="D4413" s="211" t="s">
        <v>1255</v>
      </c>
      <c r="E4413" s="211" t="s">
        <v>10385</v>
      </c>
      <c r="F4413" s="211" t="s">
        <v>7224</v>
      </c>
    </row>
    <row r="4414" spans="1:6">
      <c r="A4414" s="211" t="s">
        <v>1423</v>
      </c>
      <c r="B4414" s="211">
        <v>2657</v>
      </c>
      <c r="C4414" s="211">
        <v>1160</v>
      </c>
      <c r="D4414" s="211" t="s">
        <v>1255</v>
      </c>
      <c r="E4414" s="211" t="s">
        <v>10385</v>
      </c>
      <c r="F4414" s="211" t="s">
        <v>7306</v>
      </c>
    </row>
    <row r="4415" spans="1:6">
      <c r="A4415" s="211" t="s">
        <v>1424</v>
      </c>
      <c r="B4415" s="211">
        <v>4732</v>
      </c>
      <c r="C4415" s="211">
        <v>673</v>
      </c>
      <c r="D4415" s="211" t="s">
        <v>1255</v>
      </c>
      <c r="E4415" s="211" t="s">
        <v>6914</v>
      </c>
      <c r="F4415" s="211" t="s">
        <v>7615</v>
      </c>
    </row>
    <row r="4416" spans="1:6">
      <c r="A4416" s="211" t="s">
        <v>1425</v>
      </c>
      <c r="B4416" s="211">
        <v>3207</v>
      </c>
      <c r="C4416" s="211">
        <v>486</v>
      </c>
      <c r="D4416" s="211" t="s">
        <v>1117</v>
      </c>
      <c r="E4416" s="211" t="s">
        <v>10385</v>
      </c>
      <c r="F4416" s="211" t="s">
        <v>7192</v>
      </c>
    </row>
    <row r="4417" spans="1:6">
      <c r="A4417" s="211" t="s">
        <v>6002</v>
      </c>
      <c r="B4417" s="211">
        <v>7405</v>
      </c>
      <c r="C4417" s="211">
        <v>1080</v>
      </c>
      <c r="D4417" s="211" t="s">
        <v>1255</v>
      </c>
      <c r="E4417" s="211" t="s">
        <v>9721</v>
      </c>
      <c r="F4417" s="211" t="s">
        <v>7304</v>
      </c>
    </row>
    <row r="4418" spans="1:6">
      <c r="A4418" s="211" t="s">
        <v>6915</v>
      </c>
      <c r="B4418" s="211">
        <v>7655</v>
      </c>
      <c r="C4418" s="211">
        <v>1901</v>
      </c>
      <c r="D4418" s="211" t="s">
        <v>1117</v>
      </c>
      <c r="E4418" s="211" t="s">
        <v>10385</v>
      </c>
      <c r="F4418" s="211" t="s">
        <v>7418</v>
      </c>
    </row>
    <row r="4419" spans="1:6">
      <c r="A4419" s="211" t="s">
        <v>10770</v>
      </c>
      <c r="B4419" s="211">
        <v>8620</v>
      </c>
      <c r="C4419" s="211">
        <v>926</v>
      </c>
      <c r="D4419" s="211" t="s">
        <v>1255</v>
      </c>
      <c r="E4419" s="211" t="s">
        <v>10771</v>
      </c>
      <c r="F4419" s="211" t="s">
        <v>8210</v>
      </c>
    </row>
    <row r="4420" spans="1:6">
      <c r="A4420" s="211" t="s">
        <v>6916</v>
      </c>
      <c r="B4420" s="211">
        <v>7787</v>
      </c>
      <c r="C4420" s="211">
        <v>978</v>
      </c>
      <c r="D4420" s="211" t="s">
        <v>1255</v>
      </c>
      <c r="E4420" s="211" t="s">
        <v>9722</v>
      </c>
      <c r="F4420" s="211" t="s">
        <v>7199</v>
      </c>
    </row>
    <row r="4421" spans="1:6">
      <c r="A4421" s="211" t="s">
        <v>9723</v>
      </c>
      <c r="B4421" s="211">
        <v>7935</v>
      </c>
      <c r="C4421" s="211" t="s">
        <v>10385</v>
      </c>
      <c r="D4421" s="211" t="s">
        <v>1255</v>
      </c>
      <c r="E4421" s="211" t="s">
        <v>9724</v>
      </c>
      <c r="F4421" s="211" t="s">
        <v>7292</v>
      </c>
    </row>
    <row r="4422" spans="1:6">
      <c r="A4422" s="211" t="s">
        <v>9725</v>
      </c>
      <c r="B4422" s="211">
        <v>8545</v>
      </c>
      <c r="C4422" s="211">
        <v>600</v>
      </c>
      <c r="D4422" s="211" t="s">
        <v>1117</v>
      </c>
      <c r="E4422" s="211" t="s">
        <v>6632</v>
      </c>
      <c r="F4422" s="211" t="s">
        <v>7267</v>
      </c>
    </row>
    <row r="4423" spans="1:6">
      <c r="A4423" s="211" t="s">
        <v>1426</v>
      </c>
      <c r="B4423" s="211">
        <v>4009</v>
      </c>
      <c r="C4423" s="211">
        <v>1214</v>
      </c>
      <c r="D4423" s="211" t="s">
        <v>1255</v>
      </c>
      <c r="E4423" s="211" t="s">
        <v>10385</v>
      </c>
      <c r="F4423" s="211" t="s">
        <v>7322</v>
      </c>
    </row>
    <row r="4424" spans="1:6">
      <c r="A4424" s="211" t="s">
        <v>8255</v>
      </c>
      <c r="B4424" s="211">
        <v>1432</v>
      </c>
      <c r="C4424" s="211" t="s">
        <v>10385</v>
      </c>
      <c r="D4424" s="211" t="s">
        <v>1255</v>
      </c>
      <c r="E4424" s="211" t="s">
        <v>10385</v>
      </c>
      <c r="F4424" s="211" t="s">
        <v>7297</v>
      </c>
    </row>
    <row r="4425" spans="1:6">
      <c r="A4425" s="211" t="s">
        <v>6003</v>
      </c>
      <c r="B4425" s="211">
        <v>7167</v>
      </c>
      <c r="C4425" s="211">
        <v>1016</v>
      </c>
      <c r="D4425" s="211" t="s">
        <v>1255</v>
      </c>
      <c r="E4425" s="211" t="s">
        <v>10385</v>
      </c>
      <c r="F4425" s="211" t="s">
        <v>7656</v>
      </c>
    </row>
    <row r="4426" spans="1:6">
      <c r="A4426" s="211" t="s">
        <v>1427</v>
      </c>
      <c r="B4426" s="211">
        <v>3667</v>
      </c>
      <c r="C4426" s="211">
        <v>814</v>
      </c>
      <c r="D4426" s="211" t="s">
        <v>1255</v>
      </c>
      <c r="E4426" s="211" t="s">
        <v>10385</v>
      </c>
      <c r="F4426" s="211" t="s">
        <v>7861</v>
      </c>
    </row>
    <row r="4427" spans="1:6">
      <c r="A4427" s="211" t="s">
        <v>1428</v>
      </c>
      <c r="B4427" s="211">
        <v>4656</v>
      </c>
      <c r="C4427" s="211">
        <v>740</v>
      </c>
      <c r="D4427" s="211" t="s">
        <v>1255</v>
      </c>
      <c r="E4427" s="211" t="s">
        <v>10385</v>
      </c>
      <c r="F4427" s="211" t="s">
        <v>7223</v>
      </c>
    </row>
    <row r="4428" spans="1:6">
      <c r="A4428" s="211" t="s">
        <v>6917</v>
      </c>
      <c r="B4428" s="211">
        <v>7673</v>
      </c>
      <c r="C4428" s="211">
        <v>1013</v>
      </c>
      <c r="D4428" s="211" t="s">
        <v>1255</v>
      </c>
      <c r="E4428" s="211" t="s">
        <v>10772</v>
      </c>
      <c r="F4428" s="211" t="s">
        <v>7247</v>
      </c>
    </row>
    <row r="4429" spans="1:6">
      <c r="A4429" s="211" t="s">
        <v>1429</v>
      </c>
      <c r="B4429" s="211">
        <v>3024</v>
      </c>
      <c r="C4429" s="211">
        <v>944</v>
      </c>
      <c r="D4429" s="211" t="s">
        <v>1255</v>
      </c>
      <c r="E4429" s="211" t="s">
        <v>10385</v>
      </c>
      <c r="F4429" s="211" t="s">
        <v>7399</v>
      </c>
    </row>
    <row r="4430" spans="1:6">
      <c r="A4430" s="211" t="s">
        <v>4674</v>
      </c>
      <c r="B4430" s="211">
        <v>6407</v>
      </c>
      <c r="C4430" s="211">
        <v>1483</v>
      </c>
      <c r="D4430" s="211" t="s">
        <v>1255</v>
      </c>
      <c r="E4430" s="211" t="s">
        <v>6918</v>
      </c>
      <c r="F4430" s="211" t="s">
        <v>7556</v>
      </c>
    </row>
    <row r="4431" spans="1:6">
      <c r="A4431" s="211" t="s">
        <v>6004</v>
      </c>
      <c r="B4431" s="211">
        <v>7032</v>
      </c>
      <c r="C4431" s="211">
        <v>830</v>
      </c>
      <c r="D4431" s="211" t="s">
        <v>1255</v>
      </c>
      <c r="E4431" s="211" t="s">
        <v>6005</v>
      </c>
      <c r="F4431" s="211" t="s">
        <v>7279</v>
      </c>
    </row>
    <row r="4432" spans="1:6">
      <c r="A4432" s="211" t="s">
        <v>9726</v>
      </c>
      <c r="B4432" s="211">
        <v>8085</v>
      </c>
      <c r="C4432" s="211">
        <v>1587</v>
      </c>
      <c r="D4432" s="211" t="s">
        <v>1255</v>
      </c>
      <c r="E4432" s="211" t="s">
        <v>10385</v>
      </c>
      <c r="F4432" s="211" t="s">
        <v>7250</v>
      </c>
    </row>
    <row r="4433" spans="1:6">
      <c r="A4433" s="211" t="s">
        <v>8256</v>
      </c>
      <c r="B4433" s="211">
        <v>1378</v>
      </c>
      <c r="C4433" s="211" t="s">
        <v>10385</v>
      </c>
      <c r="D4433" s="211" t="s">
        <v>1255</v>
      </c>
      <c r="E4433" s="211" t="s">
        <v>10385</v>
      </c>
      <c r="F4433" s="211" t="s">
        <v>7438</v>
      </c>
    </row>
    <row r="4434" spans="1:6">
      <c r="A4434" s="211" t="s">
        <v>9727</v>
      </c>
      <c r="B4434" s="211">
        <v>8086</v>
      </c>
      <c r="C4434" s="211">
        <v>1577</v>
      </c>
      <c r="D4434" s="211" t="s">
        <v>1255</v>
      </c>
      <c r="E4434" s="211" t="s">
        <v>10773</v>
      </c>
      <c r="F4434" s="211" t="s">
        <v>9281</v>
      </c>
    </row>
    <row r="4435" spans="1:6">
      <c r="A4435" s="211" t="s">
        <v>1430</v>
      </c>
      <c r="B4435" s="211">
        <v>4099</v>
      </c>
      <c r="C4435" s="211">
        <v>947</v>
      </c>
      <c r="D4435" s="211" t="s">
        <v>1255</v>
      </c>
      <c r="E4435" s="211" t="s">
        <v>10385</v>
      </c>
      <c r="F4435" s="211" t="s">
        <v>7196</v>
      </c>
    </row>
    <row r="4436" spans="1:6">
      <c r="A4436" s="211" t="s">
        <v>10774</v>
      </c>
      <c r="B4436" s="211">
        <v>8790</v>
      </c>
      <c r="C4436" s="211">
        <v>105</v>
      </c>
      <c r="D4436" s="211" t="s">
        <v>1255</v>
      </c>
      <c r="E4436" s="211" t="s">
        <v>10775</v>
      </c>
      <c r="F4436" s="211" t="s">
        <v>7536</v>
      </c>
    </row>
    <row r="4437" spans="1:6">
      <c r="A4437" s="211" t="s">
        <v>8257</v>
      </c>
      <c r="B4437" s="211">
        <v>623</v>
      </c>
      <c r="C4437" s="211" t="s">
        <v>10385</v>
      </c>
      <c r="D4437" s="211" t="s">
        <v>1255</v>
      </c>
      <c r="E4437" s="211" t="s">
        <v>10385</v>
      </c>
      <c r="F4437" s="211" t="s">
        <v>7277</v>
      </c>
    </row>
    <row r="4438" spans="1:6">
      <c r="A4438" s="211" t="s">
        <v>8258</v>
      </c>
      <c r="B4438" s="211">
        <v>522</v>
      </c>
      <c r="C4438" s="211" t="s">
        <v>10385</v>
      </c>
      <c r="D4438" s="211" t="s">
        <v>1255</v>
      </c>
      <c r="E4438" s="211" t="s">
        <v>10385</v>
      </c>
      <c r="F4438" s="211" t="s">
        <v>7487</v>
      </c>
    </row>
    <row r="4439" spans="1:6">
      <c r="A4439" s="211" t="s">
        <v>1431</v>
      </c>
      <c r="B4439" s="211">
        <v>4769</v>
      </c>
      <c r="C4439" s="211">
        <v>1635</v>
      </c>
      <c r="D4439" s="211" t="s">
        <v>1255</v>
      </c>
      <c r="E4439" s="211" t="s">
        <v>10385</v>
      </c>
      <c r="F4439" s="211" t="s">
        <v>7518</v>
      </c>
    </row>
    <row r="4440" spans="1:6">
      <c r="A4440" s="211" t="s">
        <v>1432</v>
      </c>
      <c r="B4440" s="211">
        <v>1375</v>
      </c>
      <c r="C4440" s="211">
        <v>1177</v>
      </c>
      <c r="D4440" s="211" t="s">
        <v>1255</v>
      </c>
      <c r="E4440" s="211" t="s">
        <v>10385</v>
      </c>
      <c r="F4440" s="211" t="s">
        <v>7394</v>
      </c>
    </row>
    <row r="4441" spans="1:6">
      <c r="A4441" s="211" t="s">
        <v>4906</v>
      </c>
      <c r="B4441" s="211">
        <v>4469</v>
      </c>
      <c r="C4441" s="211">
        <v>937</v>
      </c>
      <c r="D4441" s="211" t="s">
        <v>1255</v>
      </c>
      <c r="E4441" s="211" t="s">
        <v>9728</v>
      </c>
      <c r="F4441" s="211" t="s">
        <v>7285</v>
      </c>
    </row>
    <row r="4442" spans="1:6">
      <c r="A4442" s="211" t="s">
        <v>1433</v>
      </c>
      <c r="B4442" s="211">
        <v>5131</v>
      </c>
      <c r="C4442" s="211">
        <v>798</v>
      </c>
      <c r="D4442" s="211" t="s">
        <v>1255</v>
      </c>
      <c r="E4442" s="211" t="s">
        <v>10385</v>
      </c>
      <c r="F4442" s="211" t="s">
        <v>7225</v>
      </c>
    </row>
    <row r="4443" spans="1:6">
      <c r="A4443" s="211" t="s">
        <v>1434</v>
      </c>
      <c r="B4443" s="211">
        <v>1374</v>
      </c>
      <c r="C4443" s="211">
        <v>1073</v>
      </c>
      <c r="D4443" s="211" t="s">
        <v>1255</v>
      </c>
      <c r="E4443" s="211" t="s">
        <v>10385</v>
      </c>
      <c r="F4443" s="211" t="s">
        <v>7394</v>
      </c>
    </row>
    <row r="4444" spans="1:6">
      <c r="A4444" s="211" t="s">
        <v>1435</v>
      </c>
      <c r="B4444" s="211">
        <v>4582</v>
      </c>
      <c r="C4444" s="211">
        <v>1013</v>
      </c>
      <c r="D4444" s="211" t="s">
        <v>1255</v>
      </c>
      <c r="E4444" s="211" t="s">
        <v>10385</v>
      </c>
      <c r="F4444" s="211" t="s">
        <v>7479</v>
      </c>
    </row>
    <row r="4445" spans="1:6">
      <c r="A4445" s="211" t="s">
        <v>8259</v>
      </c>
      <c r="B4445" s="211">
        <v>681</v>
      </c>
      <c r="C4445" s="211" t="s">
        <v>10385</v>
      </c>
      <c r="D4445" s="211" t="s">
        <v>1255</v>
      </c>
      <c r="E4445" s="211" t="s">
        <v>10385</v>
      </c>
      <c r="F4445" s="211" t="s">
        <v>7409</v>
      </c>
    </row>
    <row r="4446" spans="1:6">
      <c r="A4446" s="211" t="s">
        <v>1436</v>
      </c>
      <c r="B4446" s="211">
        <v>5132</v>
      </c>
      <c r="C4446" s="211">
        <v>918</v>
      </c>
      <c r="D4446" s="211" t="s">
        <v>1255</v>
      </c>
      <c r="E4446" s="211" t="s">
        <v>10385</v>
      </c>
      <c r="F4446" s="211" t="s">
        <v>7225</v>
      </c>
    </row>
    <row r="4447" spans="1:6">
      <c r="A4447" s="211" t="s">
        <v>1437</v>
      </c>
      <c r="B4447" s="211">
        <v>1739</v>
      </c>
      <c r="C4447" s="211">
        <v>897</v>
      </c>
      <c r="D4447" s="211" t="s">
        <v>1255</v>
      </c>
      <c r="E4447" s="211" t="s">
        <v>10385</v>
      </c>
      <c r="F4447" s="211" t="s">
        <v>7407</v>
      </c>
    </row>
    <row r="4448" spans="1:6">
      <c r="A4448" s="211" t="s">
        <v>10776</v>
      </c>
      <c r="B4448" s="211">
        <v>8815</v>
      </c>
      <c r="C4448" s="211" t="s">
        <v>10385</v>
      </c>
      <c r="D4448" s="211" t="s">
        <v>1255</v>
      </c>
      <c r="E4448" s="211" t="s">
        <v>10777</v>
      </c>
      <c r="F4448" s="211" t="s">
        <v>7524</v>
      </c>
    </row>
    <row r="4449" spans="1:6">
      <c r="A4449" s="211" t="s">
        <v>8260</v>
      </c>
      <c r="B4449" s="211">
        <v>5563</v>
      </c>
      <c r="C4449" s="211">
        <v>1001</v>
      </c>
      <c r="D4449" s="211" t="s">
        <v>1117</v>
      </c>
      <c r="E4449" s="211" t="s">
        <v>10385</v>
      </c>
      <c r="F4449" s="211" t="s">
        <v>7284</v>
      </c>
    </row>
    <row r="4450" spans="1:6">
      <c r="A4450" s="211" t="s">
        <v>1438</v>
      </c>
      <c r="B4450" s="211">
        <v>3169</v>
      </c>
      <c r="C4450" s="211">
        <v>1520</v>
      </c>
      <c r="D4450" s="211" t="s">
        <v>1255</v>
      </c>
      <c r="E4450" s="211" t="s">
        <v>1439</v>
      </c>
      <c r="F4450" s="211" t="s">
        <v>7231</v>
      </c>
    </row>
    <row r="4451" spans="1:6">
      <c r="A4451" s="211" t="s">
        <v>5386</v>
      </c>
      <c r="B4451" s="211">
        <v>4404</v>
      </c>
      <c r="C4451" s="211">
        <v>1029</v>
      </c>
      <c r="D4451" s="211" t="s">
        <v>1255</v>
      </c>
      <c r="E4451" s="211" t="s">
        <v>10385</v>
      </c>
      <c r="F4451" s="211" t="s">
        <v>7354</v>
      </c>
    </row>
    <row r="4452" spans="1:6">
      <c r="A4452" s="211" t="s">
        <v>5135</v>
      </c>
      <c r="B4452" s="211">
        <v>6536</v>
      </c>
      <c r="C4452" s="211">
        <v>1001</v>
      </c>
      <c r="D4452" s="211" t="s">
        <v>1117</v>
      </c>
      <c r="E4452" s="211" t="s">
        <v>10385</v>
      </c>
      <c r="F4452" s="211" t="s">
        <v>7284</v>
      </c>
    </row>
    <row r="4453" spans="1:6">
      <c r="A4453" s="211" t="s">
        <v>8261</v>
      </c>
      <c r="B4453" s="211">
        <v>5190</v>
      </c>
      <c r="C4453" s="211" t="s">
        <v>10385</v>
      </c>
      <c r="D4453" s="211" t="s">
        <v>1255</v>
      </c>
      <c r="E4453" s="211" t="s">
        <v>10385</v>
      </c>
      <c r="F4453" s="211" t="s">
        <v>7386</v>
      </c>
    </row>
    <row r="4454" spans="1:6">
      <c r="A4454" s="211" t="s">
        <v>6006</v>
      </c>
      <c r="B4454" s="211">
        <v>7108</v>
      </c>
      <c r="C4454" s="211">
        <v>839</v>
      </c>
      <c r="D4454" s="211" t="s">
        <v>1255</v>
      </c>
      <c r="E4454" s="211" t="s">
        <v>10385</v>
      </c>
      <c r="F4454" s="211" t="s">
        <v>7501</v>
      </c>
    </row>
    <row r="4455" spans="1:6">
      <c r="A4455" s="211" t="s">
        <v>1440</v>
      </c>
      <c r="B4455" s="211">
        <v>4807</v>
      </c>
      <c r="C4455" s="211">
        <v>978</v>
      </c>
      <c r="D4455" s="211" t="s">
        <v>1117</v>
      </c>
      <c r="E4455" s="211" t="s">
        <v>10385</v>
      </c>
      <c r="F4455" s="211" t="s">
        <v>7232</v>
      </c>
    </row>
    <row r="4456" spans="1:6">
      <c r="A4456" s="211" t="s">
        <v>1441</v>
      </c>
      <c r="B4456" s="211">
        <v>4549</v>
      </c>
      <c r="C4456" s="211">
        <v>864</v>
      </c>
      <c r="D4456" s="211" t="s">
        <v>1117</v>
      </c>
      <c r="E4456" s="211" t="s">
        <v>10385</v>
      </c>
      <c r="F4456" s="211" t="s">
        <v>7526</v>
      </c>
    </row>
    <row r="4457" spans="1:6">
      <c r="A4457" s="211" t="s">
        <v>9729</v>
      </c>
      <c r="B4457" s="211">
        <v>7975</v>
      </c>
      <c r="C4457" s="211">
        <v>997</v>
      </c>
      <c r="D4457" s="211" t="s">
        <v>1255</v>
      </c>
      <c r="E4457" s="211" t="s">
        <v>9730</v>
      </c>
      <c r="F4457" s="211" t="s">
        <v>7257</v>
      </c>
    </row>
    <row r="4458" spans="1:6">
      <c r="A4458" s="211" t="s">
        <v>10363</v>
      </c>
      <c r="B4458" s="211">
        <v>865</v>
      </c>
      <c r="C4458" s="211" t="s">
        <v>10385</v>
      </c>
      <c r="D4458" s="211" t="s">
        <v>1255</v>
      </c>
      <c r="E4458" s="211" t="s">
        <v>10385</v>
      </c>
      <c r="F4458" s="211" t="s">
        <v>7175</v>
      </c>
    </row>
    <row r="4459" spans="1:6">
      <c r="A4459" s="211" t="s">
        <v>8262</v>
      </c>
      <c r="B4459" s="211">
        <v>5174</v>
      </c>
      <c r="C4459" s="211" t="s">
        <v>10385</v>
      </c>
      <c r="D4459" s="211" t="s">
        <v>1117</v>
      </c>
      <c r="E4459" s="211" t="s">
        <v>10385</v>
      </c>
      <c r="F4459" s="211" t="s">
        <v>7383</v>
      </c>
    </row>
    <row r="4460" spans="1:6">
      <c r="A4460" s="211" t="s">
        <v>1442</v>
      </c>
      <c r="B4460" s="211">
        <v>7771</v>
      </c>
      <c r="C4460" s="211">
        <v>2024</v>
      </c>
      <c r="D4460" s="211" t="s">
        <v>1255</v>
      </c>
      <c r="E4460" s="211" t="s">
        <v>6919</v>
      </c>
      <c r="F4460" s="211" t="s">
        <v>7342</v>
      </c>
    </row>
    <row r="4461" spans="1:6">
      <c r="A4461" s="211" t="s">
        <v>9731</v>
      </c>
      <c r="B4461" s="211">
        <v>8368</v>
      </c>
      <c r="C4461" s="211">
        <v>1125</v>
      </c>
      <c r="D4461" s="211" t="s">
        <v>1255</v>
      </c>
      <c r="E4461" s="211" t="s">
        <v>9732</v>
      </c>
      <c r="F4461" s="211" t="s">
        <v>7342</v>
      </c>
    </row>
    <row r="4462" spans="1:6">
      <c r="A4462" s="211" t="s">
        <v>1443</v>
      </c>
      <c r="B4462" s="211">
        <v>4927</v>
      </c>
      <c r="C4462" s="211">
        <v>1119</v>
      </c>
      <c r="D4462" s="211" t="s">
        <v>1255</v>
      </c>
      <c r="E4462" s="211" t="s">
        <v>10385</v>
      </c>
      <c r="F4462" s="211" t="s">
        <v>7256</v>
      </c>
    </row>
    <row r="4463" spans="1:6">
      <c r="A4463" s="211" t="s">
        <v>1444</v>
      </c>
      <c r="B4463" s="211">
        <v>765</v>
      </c>
      <c r="C4463" s="211">
        <v>1174</v>
      </c>
      <c r="D4463" s="211" t="s">
        <v>1255</v>
      </c>
      <c r="E4463" s="211" t="s">
        <v>10385</v>
      </c>
      <c r="F4463" s="211" t="s">
        <v>7162</v>
      </c>
    </row>
    <row r="4464" spans="1:6">
      <c r="A4464" s="211" t="s">
        <v>1445</v>
      </c>
      <c r="B4464" s="211">
        <v>3492</v>
      </c>
      <c r="C4464" s="211">
        <v>1501</v>
      </c>
      <c r="D4464" s="211" t="s">
        <v>1255</v>
      </c>
      <c r="E4464" s="211" t="s">
        <v>10385</v>
      </c>
      <c r="F4464" s="211" t="s">
        <v>7167</v>
      </c>
    </row>
    <row r="4465" spans="1:6">
      <c r="A4465" s="211" t="s">
        <v>8956</v>
      </c>
      <c r="B4465" s="211">
        <v>5334</v>
      </c>
      <c r="C4465" s="211">
        <v>1884</v>
      </c>
      <c r="D4465" s="211" t="s">
        <v>1255</v>
      </c>
      <c r="E4465" s="211" t="s">
        <v>10385</v>
      </c>
      <c r="F4465" s="211" t="s">
        <v>7224</v>
      </c>
    </row>
    <row r="4466" spans="1:6">
      <c r="A4466" s="211" t="s">
        <v>8957</v>
      </c>
      <c r="B4466" s="211">
        <v>3483</v>
      </c>
      <c r="C4466" s="211">
        <v>1884</v>
      </c>
      <c r="D4466" s="211" t="s">
        <v>1255</v>
      </c>
      <c r="E4466" s="211" t="s">
        <v>10385</v>
      </c>
      <c r="F4466" s="211" t="s">
        <v>7208</v>
      </c>
    </row>
    <row r="4467" spans="1:6">
      <c r="A4467" s="211" t="s">
        <v>8263</v>
      </c>
      <c r="B4467" s="211">
        <v>1913</v>
      </c>
      <c r="C4467" s="211" t="s">
        <v>10385</v>
      </c>
      <c r="D4467" s="211" t="s">
        <v>1255</v>
      </c>
      <c r="E4467" s="211" t="s">
        <v>10385</v>
      </c>
      <c r="F4467" s="211" t="s">
        <v>7219</v>
      </c>
    </row>
    <row r="4468" spans="1:6">
      <c r="A4468" s="211" t="s">
        <v>8264</v>
      </c>
      <c r="B4468" s="211">
        <v>6991</v>
      </c>
      <c r="C4468" s="211">
        <v>766</v>
      </c>
      <c r="D4468" s="211" t="s">
        <v>1117</v>
      </c>
      <c r="E4468" s="211" t="s">
        <v>10385</v>
      </c>
      <c r="F4468" s="211" t="s">
        <v>7349</v>
      </c>
    </row>
    <row r="4469" spans="1:6">
      <c r="A4469" s="211" t="s">
        <v>1446</v>
      </c>
      <c r="B4469" s="211">
        <v>5498</v>
      </c>
      <c r="C4469" s="211">
        <v>1148</v>
      </c>
      <c r="D4469" s="211" t="s">
        <v>1255</v>
      </c>
      <c r="E4469" s="211" t="s">
        <v>10385</v>
      </c>
      <c r="F4469" s="211" t="s">
        <v>7162</v>
      </c>
    </row>
    <row r="4470" spans="1:6">
      <c r="A4470" s="211" t="s">
        <v>1447</v>
      </c>
      <c r="B4470" s="211">
        <v>4339</v>
      </c>
      <c r="C4470" s="211">
        <v>1621</v>
      </c>
      <c r="D4470" s="211" t="s">
        <v>1255</v>
      </c>
      <c r="E4470" s="211" t="s">
        <v>10385</v>
      </c>
      <c r="F4470" s="211" t="s">
        <v>7212</v>
      </c>
    </row>
    <row r="4471" spans="1:6">
      <c r="A4471" s="211" t="s">
        <v>8265</v>
      </c>
      <c r="B4471" s="211">
        <v>325</v>
      </c>
      <c r="C4471" s="211" t="s">
        <v>10385</v>
      </c>
      <c r="D4471" s="211" t="s">
        <v>1255</v>
      </c>
      <c r="E4471" s="211" t="s">
        <v>10385</v>
      </c>
      <c r="F4471" s="211" t="s">
        <v>7272</v>
      </c>
    </row>
    <row r="4472" spans="1:6">
      <c r="A4472" s="211" t="s">
        <v>8266</v>
      </c>
      <c r="B4472" s="211">
        <v>402</v>
      </c>
      <c r="C4472" s="211" t="s">
        <v>10385</v>
      </c>
      <c r="D4472" s="211" t="s">
        <v>1255</v>
      </c>
      <c r="E4472" s="211" t="s">
        <v>10385</v>
      </c>
      <c r="F4472" s="211" t="s">
        <v>7351</v>
      </c>
    </row>
    <row r="4473" spans="1:6">
      <c r="A4473" s="211" t="s">
        <v>6920</v>
      </c>
      <c r="B4473" s="211">
        <v>7616</v>
      </c>
      <c r="C4473" s="211">
        <v>1988</v>
      </c>
      <c r="D4473" s="211" t="s">
        <v>1255</v>
      </c>
      <c r="E4473" s="211" t="s">
        <v>10778</v>
      </c>
      <c r="F4473" s="211" t="s">
        <v>7258</v>
      </c>
    </row>
    <row r="4474" spans="1:6">
      <c r="A4474" s="211" t="s">
        <v>1448</v>
      </c>
      <c r="B4474" s="211">
        <v>5657</v>
      </c>
      <c r="C4474" s="211">
        <v>767</v>
      </c>
      <c r="D4474" s="211" t="s">
        <v>1117</v>
      </c>
      <c r="E4474" s="211" t="s">
        <v>10385</v>
      </c>
      <c r="F4474" s="211" t="s">
        <v>7186</v>
      </c>
    </row>
    <row r="4475" spans="1:6">
      <c r="A4475" s="211" t="s">
        <v>8267</v>
      </c>
      <c r="B4475" s="211">
        <v>246</v>
      </c>
      <c r="C4475" s="211" t="s">
        <v>10385</v>
      </c>
      <c r="D4475" s="211" t="s">
        <v>1255</v>
      </c>
      <c r="E4475" s="211" t="s">
        <v>10385</v>
      </c>
      <c r="F4475" s="211" t="s">
        <v>7265</v>
      </c>
    </row>
    <row r="4476" spans="1:6">
      <c r="A4476" s="211" t="s">
        <v>5332</v>
      </c>
      <c r="B4476" s="211">
        <v>6300</v>
      </c>
      <c r="C4476" s="211">
        <v>1060</v>
      </c>
      <c r="D4476" s="211" t="s">
        <v>1255</v>
      </c>
      <c r="E4476" s="211" t="s">
        <v>10385</v>
      </c>
      <c r="F4476" s="211" t="s">
        <v>7215</v>
      </c>
    </row>
    <row r="4477" spans="1:6">
      <c r="A4477" s="211" t="s">
        <v>8268</v>
      </c>
      <c r="B4477" s="211">
        <v>171</v>
      </c>
      <c r="C4477" s="211" t="s">
        <v>10385</v>
      </c>
      <c r="D4477" s="211" t="s">
        <v>1255</v>
      </c>
      <c r="E4477" s="211" t="s">
        <v>10385</v>
      </c>
      <c r="F4477" s="211" t="s">
        <v>7356</v>
      </c>
    </row>
    <row r="4478" spans="1:6">
      <c r="A4478" s="211" t="s">
        <v>1449</v>
      </c>
      <c r="B4478" s="211">
        <v>3099</v>
      </c>
      <c r="C4478" s="211">
        <v>1125</v>
      </c>
      <c r="D4478" s="211" t="s">
        <v>1255</v>
      </c>
      <c r="E4478" s="211" t="s">
        <v>10385</v>
      </c>
      <c r="F4478" s="211" t="s">
        <v>7459</v>
      </c>
    </row>
    <row r="4479" spans="1:6">
      <c r="A4479" s="211" t="s">
        <v>1450</v>
      </c>
      <c r="B4479" s="211">
        <v>994</v>
      </c>
      <c r="C4479" s="211">
        <v>1364</v>
      </c>
      <c r="D4479" s="211" t="s">
        <v>1255</v>
      </c>
      <c r="E4479" s="211" t="s">
        <v>10385</v>
      </c>
      <c r="F4479" s="211" t="s">
        <v>7169</v>
      </c>
    </row>
    <row r="4480" spans="1:6">
      <c r="A4480" s="211" t="s">
        <v>8269</v>
      </c>
      <c r="B4480" s="211">
        <v>1633</v>
      </c>
      <c r="C4480" s="211" t="s">
        <v>10385</v>
      </c>
      <c r="D4480" s="211" t="s">
        <v>1255</v>
      </c>
      <c r="E4480" s="211" t="s">
        <v>10385</v>
      </c>
      <c r="F4480" s="211" t="s">
        <v>7322</v>
      </c>
    </row>
    <row r="4481" spans="1:6">
      <c r="A4481" s="211" t="s">
        <v>1451</v>
      </c>
      <c r="B4481" s="211">
        <v>4402</v>
      </c>
      <c r="C4481" s="211">
        <v>1393</v>
      </c>
      <c r="D4481" s="211" t="s">
        <v>1255</v>
      </c>
      <c r="E4481" s="211" t="s">
        <v>10385</v>
      </c>
      <c r="F4481" s="211" t="s">
        <v>7233</v>
      </c>
    </row>
    <row r="4482" spans="1:6">
      <c r="A4482" s="211" t="s">
        <v>8270</v>
      </c>
      <c r="B4482" s="211">
        <v>4579</v>
      </c>
      <c r="C4482" s="211" t="s">
        <v>10385</v>
      </c>
      <c r="D4482" s="211" t="s">
        <v>1255</v>
      </c>
      <c r="E4482" s="211" t="s">
        <v>10385</v>
      </c>
      <c r="F4482" s="211" t="s">
        <v>7479</v>
      </c>
    </row>
    <row r="4483" spans="1:6">
      <c r="A4483" s="211" t="s">
        <v>1452</v>
      </c>
      <c r="B4483" s="211">
        <v>1733</v>
      </c>
      <c r="C4483" s="211">
        <v>925</v>
      </c>
      <c r="D4483" s="211" t="s">
        <v>1255</v>
      </c>
      <c r="E4483" s="211" t="s">
        <v>10385</v>
      </c>
      <c r="F4483" s="211" t="s">
        <v>7250</v>
      </c>
    </row>
    <row r="4484" spans="1:6">
      <c r="A4484" s="211" t="s">
        <v>9733</v>
      </c>
      <c r="B4484" s="211">
        <v>8563</v>
      </c>
      <c r="C4484" s="211">
        <v>1145</v>
      </c>
      <c r="D4484" s="211" t="s">
        <v>1255</v>
      </c>
      <c r="E4484" s="211" t="s">
        <v>9734</v>
      </c>
      <c r="F4484" s="211" t="s">
        <v>7397</v>
      </c>
    </row>
    <row r="4485" spans="1:6">
      <c r="A4485" s="211" t="s">
        <v>1453</v>
      </c>
      <c r="B4485" s="211">
        <v>4501</v>
      </c>
      <c r="C4485" s="211">
        <v>815</v>
      </c>
      <c r="D4485" s="211" t="s">
        <v>1255</v>
      </c>
      <c r="E4485" s="211" t="s">
        <v>10385</v>
      </c>
      <c r="F4485" s="211" t="s">
        <v>7162</v>
      </c>
    </row>
    <row r="4486" spans="1:6">
      <c r="A4486" s="211" t="s">
        <v>1454</v>
      </c>
      <c r="B4486" s="211">
        <v>5647</v>
      </c>
      <c r="C4486" s="211">
        <v>1208</v>
      </c>
      <c r="D4486" s="211" t="s">
        <v>1255</v>
      </c>
      <c r="E4486" s="211" t="s">
        <v>10385</v>
      </c>
      <c r="F4486" s="211" t="s">
        <v>7241</v>
      </c>
    </row>
    <row r="4487" spans="1:6">
      <c r="A4487" s="211" t="s">
        <v>4907</v>
      </c>
      <c r="B4487" s="211">
        <v>2708</v>
      </c>
      <c r="C4487" s="211">
        <v>1365</v>
      </c>
      <c r="D4487" s="211" t="s">
        <v>1255</v>
      </c>
      <c r="E4487" s="211" t="s">
        <v>10385</v>
      </c>
      <c r="F4487" s="211" t="s">
        <v>7285</v>
      </c>
    </row>
    <row r="4488" spans="1:6">
      <c r="A4488" s="211" t="s">
        <v>5136</v>
      </c>
      <c r="B4488" s="211">
        <v>7003</v>
      </c>
      <c r="C4488" s="211">
        <v>981</v>
      </c>
      <c r="D4488" s="211" t="s">
        <v>1255</v>
      </c>
      <c r="E4488" s="211" t="s">
        <v>9735</v>
      </c>
      <c r="F4488" s="211" t="s">
        <v>7192</v>
      </c>
    </row>
    <row r="4489" spans="1:6">
      <c r="A4489" s="211" t="s">
        <v>1455</v>
      </c>
      <c r="B4489" s="211">
        <v>7245</v>
      </c>
      <c r="C4489" s="211">
        <v>829</v>
      </c>
      <c r="D4489" s="211" t="s">
        <v>1255</v>
      </c>
      <c r="E4489" s="211" t="s">
        <v>6007</v>
      </c>
      <c r="F4489" s="211" t="s">
        <v>7397</v>
      </c>
    </row>
    <row r="4490" spans="1:6">
      <c r="A4490" s="211" t="s">
        <v>6008</v>
      </c>
      <c r="B4490" s="211">
        <v>7299</v>
      </c>
      <c r="C4490" s="211">
        <v>481</v>
      </c>
      <c r="D4490" s="211" t="s">
        <v>1255</v>
      </c>
      <c r="E4490" s="211" t="s">
        <v>6009</v>
      </c>
      <c r="F4490" s="211" t="s">
        <v>8271</v>
      </c>
    </row>
    <row r="4491" spans="1:6">
      <c r="A4491" s="211" t="s">
        <v>9736</v>
      </c>
      <c r="B4491" s="211">
        <v>8052</v>
      </c>
      <c r="C4491" s="211">
        <v>629</v>
      </c>
      <c r="D4491" s="211" t="s">
        <v>1255</v>
      </c>
      <c r="E4491" s="211" t="s">
        <v>10779</v>
      </c>
      <c r="F4491" s="211" t="s">
        <v>7458</v>
      </c>
    </row>
    <row r="4492" spans="1:6">
      <c r="A4492" s="211" t="s">
        <v>4565</v>
      </c>
      <c r="B4492" s="211">
        <v>6476</v>
      </c>
      <c r="C4492" s="211">
        <v>966</v>
      </c>
      <c r="D4492" s="211" t="s">
        <v>1255</v>
      </c>
      <c r="E4492" s="211" t="s">
        <v>10385</v>
      </c>
      <c r="F4492" s="211" t="s">
        <v>7724</v>
      </c>
    </row>
    <row r="4493" spans="1:6">
      <c r="A4493" s="211" t="s">
        <v>1456</v>
      </c>
      <c r="B4493" s="211">
        <v>4580</v>
      </c>
      <c r="C4493" s="211">
        <v>1422</v>
      </c>
      <c r="D4493" s="211" t="s">
        <v>1255</v>
      </c>
      <c r="E4493" s="211" t="s">
        <v>10385</v>
      </c>
      <c r="F4493" s="211" t="s">
        <v>7479</v>
      </c>
    </row>
    <row r="4494" spans="1:6">
      <c r="A4494" s="211" t="s">
        <v>5137</v>
      </c>
      <c r="B4494" s="211">
        <v>5817</v>
      </c>
      <c r="C4494" s="211">
        <v>899</v>
      </c>
      <c r="D4494" s="211" t="s">
        <v>1255</v>
      </c>
      <c r="E4494" s="211" t="s">
        <v>10385</v>
      </c>
      <c r="F4494" s="211" t="s">
        <v>7430</v>
      </c>
    </row>
    <row r="4495" spans="1:6">
      <c r="A4495" s="211" t="s">
        <v>6010</v>
      </c>
      <c r="B4495" s="211">
        <v>7257</v>
      </c>
      <c r="C4495" s="211">
        <v>916</v>
      </c>
      <c r="D4495" s="211" t="s">
        <v>1255</v>
      </c>
      <c r="E4495" s="211" t="s">
        <v>10385</v>
      </c>
      <c r="F4495" s="211" t="s">
        <v>7403</v>
      </c>
    </row>
    <row r="4496" spans="1:6">
      <c r="A4496" s="211" t="s">
        <v>6921</v>
      </c>
      <c r="B4496" s="211">
        <v>7823</v>
      </c>
      <c r="C4496" s="211">
        <v>833</v>
      </c>
      <c r="D4496" s="211" t="s">
        <v>1117</v>
      </c>
      <c r="E4496" s="211" t="s">
        <v>6922</v>
      </c>
      <c r="F4496" s="211" t="s">
        <v>7524</v>
      </c>
    </row>
    <row r="4497" spans="1:6">
      <c r="A4497" s="211" t="s">
        <v>1457</v>
      </c>
      <c r="B4497" s="211">
        <v>5008</v>
      </c>
      <c r="C4497" s="211">
        <v>1417</v>
      </c>
      <c r="D4497" s="211" t="s">
        <v>1255</v>
      </c>
      <c r="E4497" s="211" t="s">
        <v>10385</v>
      </c>
      <c r="F4497" s="211" t="s">
        <v>7224</v>
      </c>
    </row>
    <row r="4498" spans="1:6">
      <c r="A4498" s="211" t="s">
        <v>8272</v>
      </c>
      <c r="B4498" s="211">
        <v>4334</v>
      </c>
      <c r="C4498" s="211" t="s">
        <v>10385</v>
      </c>
      <c r="D4498" s="211" t="s">
        <v>1255</v>
      </c>
      <c r="E4498" s="211" t="s">
        <v>10385</v>
      </c>
      <c r="F4498" s="211" t="s">
        <v>7277</v>
      </c>
    </row>
    <row r="4499" spans="1:6">
      <c r="A4499" s="211" t="s">
        <v>1458</v>
      </c>
      <c r="B4499" s="211">
        <v>4399</v>
      </c>
      <c r="C4499" s="211">
        <v>831</v>
      </c>
      <c r="D4499" s="211" t="s">
        <v>1255</v>
      </c>
      <c r="E4499" s="211" t="s">
        <v>10385</v>
      </c>
      <c r="F4499" s="211" t="s">
        <v>7200</v>
      </c>
    </row>
    <row r="4500" spans="1:6">
      <c r="A4500" s="211" t="s">
        <v>6923</v>
      </c>
      <c r="B4500" s="211">
        <v>5858</v>
      </c>
      <c r="C4500" s="211">
        <v>758</v>
      </c>
      <c r="D4500" s="211" t="s">
        <v>1255</v>
      </c>
      <c r="E4500" s="211" t="s">
        <v>6924</v>
      </c>
      <c r="F4500" s="211" t="s">
        <v>7396</v>
      </c>
    </row>
    <row r="4501" spans="1:6">
      <c r="A4501" s="211" t="s">
        <v>1459</v>
      </c>
      <c r="B4501" s="211">
        <v>5339</v>
      </c>
      <c r="C4501" s="211">
        <v>1261</v>
      </c>
      <c r="D4501" s="211" t="s">
        <v>1255</v>
      </c>
      <c r="E4501" s="211" t="s">
        <v>10385</v>
      </c>
      <c r="F4501" s="211" t="s">
        <v>7248</v>
      </c>
    </row>
    <row r="4502" spans="1:6">
      <c r="A4502" s="211" t="s">
        <v>9737</v>
      </c>
      <c r="B4502" s="211">
        <v>8453</v>
      </c>
      <c r="C4502" s="211">
        <v>992</v>
      </c>
      <c r="D4502" s="211" t="s">
        <v>1255</v>
      </c>
      <c r="E4502" s="211" t="s">
        <v>10385</v>
      </c>
      <c r="F4502" s="211" t="s">
        <v>7661</v>
      </c>
    </row>
    <row r="4503" spans="1:6">
      <c r="A4503" s="211" t="s">
        <v>6011</v>
      </c>
      <c r="B4503" s="211">
        <v>7493</v>
      </c>
      <c r="C4503" s="211">
        <v>1234</v>
      </c>
      <c r="D4503" s="211" t="s">
        <v>1255</v>
      </c>
      <c r="E4503" s="211" t="s">
        <v>6925</v>
      </c>
      <c r="F4503" s="211" t="s">
        <v>8210</v>
      </c>
    </row>
    <row r="4504" spans="1:6">
      <c r="A4504" s="211" t="s">
        <v>8273</v>
      </c>
      <c r="B4504" s="211">
        <v>1988</v>
      </c>
      <c r="C4504" s="211" t="s">
        <v>10385</v>
      </c>
      <c r="D4504" s="211" t="s">
        <v>1255</v>
      </c>
      <c r="E4504" s="211" t="s">
        <v>10385</v>
      </c>
      <c r="F4504" s="211" t="s">
        <v>7229</v>
      </c>
    </row>
    <row r="4505" spans="1:6">
      <c r="A4505" s="211" t="s">
        <v>8274</v>
      </c>
      <c r="B4505" s="211">
        <v>1952</v>
      </c>
      <c r="C4505" s="211" t="s">
        <v>10385</v>
      </c>
      <c r="D4505" s="211" t="s">
        <v>1255</v>
      </c>
      <c r="E4505" s="211" t="s">
        <v>10385</v>
      </c>
      <c r="F4505" s="211" t="s">
        <v>7255</v>
      </c>
    </row>
    <row r="4506" spans="1:6">
      <c r="A4506" s="211" t="s">
        <v>1460</v>
      </c>
      <c r="B4506" s="211">
        <v>2278</v>
      </c>
      <c r="C4506" s="211">
        <v>1149</v>
      </c>
      <c r="D4506" s="211" t="s">
        <v>1117</v>
      </c>
      <c r="E4506" s="211" t="s">
        <v>10385</v>
      </c>
      <c r="F4506" s="211" t="s">
        <v>7255</v>
      </c>
    </row>
    <row r="4507" spans="1:6">
      <c r="A4507" s="211" t="s">
        <v>6012</v>
      </c>
      <c r="B4507" s="211">
        <v>7158</v>
      </c>
      <c r="C4507" s="211">
        <v>1301</v>
      </c>
      <c r="D4507" s="211" t="s">
        <v>1255</v>
      </c>
      <c r="E4507" s="211" t="s">
        <v>6926</v>
      </c>
      <c r="F4507" s="211" t="s">
        <v>7344</v>
      </c>
    </row>
    <row r="4508" spans="1:6">
      <c r="A4508" s="211" t="s">
        <v>5138</v>
      </c>
      <c r="B4508" s="211">
        <v>6701</v>
      </c>
      <c r="C4508" s="211">
        <v>1090</v>
      </c>
      <c r="D4508" s="211" t="s">
        <v>1255</v>
      </c>
      <c r="E4508" s="211" t="s">
        <v>10385</v>
      </c>
      <c r="F4508" s="211" t="s">
        <v>7235</v>
      </c>
    </row>
    <row r="4509" spans="1:6">
      <c r="A4509" s="211" t="s">
        <v>6013</v>
      </c>
      <c r="B4509" s="211">
        <v>7471</v>
      </c>
      <c r="C4509" s="211">
        <v>863</v>
      </c>
      <c r="D4509" s="211" t="s">
        <v>1255</v>
      </c>
      <c r="E4509" s="211" t="s">
        <v>10385</v>
      </c>
      <c r="F4509" s="211" t="s">
        <v>7354</v>
      </c>
    </row>
    <row r="4510" spans="1:6">
      <c r="A4510" s="211" t="s">
        <v>1461</v>
      </c>
      <c r="B4510" s="211">
        <v>4225</v>
      </c>
      <c r="C4510" s="211">
        <v>1013</v>
      </c>
      <c r="D4510" s="211" t="s">
        <v>1255</v>
      </c>
      <c r="E4510" s="211" t="s">
        <v>10385</v>
      </c>
      <c r="F4510" s="211" t="s">
        <v>7322</v>
      </c>
    </row>
    <row r="4511" spans="1:6">
      <c r="A4511" s="211" t="s">
        <v>1462</v>
      </c>
      <c r="B4511" s="211">
        <v>6009</v>
      </c>
      <c r="C4511" s="211">
        <v>1628</v>
      </c>
      <c r="D4511" s="211" t="s">
        <v>1255</v>
      </c>
      <c r="E4511" s="211" t="s">
        <v>9738</v>
      </c>
      <c r="F4511" s="211" t="s">
        <v>7373</v>
      </c>
    </row>
    <row r="4512" spans="1:6">
      <c r="A4512" s="211" t="s">
        <v>1463</v>
      </c>
      <c r="B4512" s="211">
        <v>2589</v>
      </c>
      <c r="C4512" s="211">
        <v>1025</v>
      </c>
      <c r="D4512" s="211" t="s">
        <v>1255</v>
      </c>
      <c r="E4512" s="211" t="s">
        <v>10385</v>
      </c>
      <c r="F4512" s="211" t="s">
        <v>7189</v>
      </c>
    </row>
    <row r="4513" spans="1:6">
      <c r="A4513" s="211" t="s">
        <v>4810</v>
      </c>
      <c r="B4513" s="211">
        <v>6121</v>
      </c>
      <c r="C4513" s="211">
        <v>1011</v>
      </c>
      <c r="D4513" s="211" t="s">
        <v>1255</v>
      </c>
      <c r="E4513" s="211" t="s">
        <v>10385</v>
      </c>
      <c r="F4513" s="211" t="s">
        <v>7593</v>
      </c>
    </row>
    <row r="4514" spans="1:6">
      <c r="A4514" s="211" t="s">
        <v>6014</v>
      </c>
      <c r="B4514" s="211">
        <v>7553</v>
      </c>
      <c r="C4514" s="211">
        <v>1016</v>
      </c>
      <c r="D4514" s="211" t="s">
        <v>1255</v>
      </c>
      <c r="E4514" s="211" t="s">
        <v>10385</v>
      </c>
      <c r="F4514" s="211" t="s">
        <v>7656</v>
      </c>
    </row>
    <row r="4515" spans="1:6">
      <c r="A4515" s="211" t="s">
        <v>6927</v>
      </c>
      <c r="B4515" s="211">
        <v>7690</v>
      </c>
      <c r="C4515" s="211">
        <v>802</v>
      </c>
      <c r="D4515" s="211" t="s">
        <v>1255</v>
      </c>
      <c r="E4515" s="211" t="s">
        <v>10385</v>
      </c>
      <c r="F4515" s="211" t="s">
        <v>7656</v>
      </c>
    </row>
    <row r="4516" spans="1:6">
      <c r="A4516" s="211" t="s">
        <v>8275</v>
      </c>
      <c r="B4516" s="211">
        <v>1485</v>
      </c>
      <c r="C4516" s="211" t="s">
        <v>10385</v>
      </c>
      <c r="D4516" s="211" t="s">
        <v>1255</v>
      </c>
      <c r="E4516" s="211" t="s">
        <v>10385</v>
      </c>
      <c r="F4516" s="211" t="s">
        <v>7335</v>
      </c>
    </row>
    <row r="4517" spans="1:6">
      <c r="A4517" s="211" t="s">
        <v>1464</v>
      </c>
      <c r="B4517" s="211">
        <v>5788</v>
      </c>
      <c r="C4517" s="211">
        <v>1158</v>
      </c>
      <c r="D4517" s="211" t="s">
        <v>1255</v>
      </c>
      <c r="E4517" s="211" t="s">
        <v>10385</v>
      </c>
      <c r="F4517" s="211" t="s">
        <v>7459</v>
      </c>
    </row>
    <row r="4518" spans="1:6">
      <c r="A4518" s="211" t="s">
        <v>8276</v>
      </c>
      <c r="B4518" s="211">
        <v>241</v>
      </c>
      <c r="C4518" s="211" t="s">
        <v>10385</v>
      </c>
      <c r="D4518" s="211" t="s">
        <v>1255</v>
      </c>
      <c r="E4518" s="211" t="s">
        <v>10385</v>
      </c>
      <c r="F4518" s="211" t="s">
        <v>7219</v>
      </c>
    </row>
    <row r="4519" spans="1:6">
      <c r="A4519" s="211" t="s">
        <v>1465</v>
      </c>
      <c r="B4519" s="211">
        <v>2362</v>
      </c>
      <c r="C4519" s="211">
        <v>1070</v>
      </c>
      <c r="D4519" s="211" t="s">
        <v>1255</v>
      </c>
      <c r="E4519" s="211" t="s">
        <v>10385</v>
      </c>
      <c r="F4519" s="211" t="s">
        <v>7422</v>
      </c>
    </row>
    <row r="4520" spans="1:6">
      <c r="A4520" s="211" t="s">
        <v>10364</v>
      </c>
      <c r="B4520" s="211">
        <v>860</v>
      </c>
      <c r="C4520" s="211" t="s">
        <v>10385</v>
      </c>
      <c r="D4520" s="211" t="s">
        <v>1255</v>
      </c>
      <c r="E4520" s="211" t="s">
        <v>10385</v>
      </c>
      <c r="F4520" s="211" t="s">
        <v>7175</v>
      </c>
    </row>
    <row r="4521" spans="1:6">
      <c r="A4521" s="211" t="s">
        <v>1466</v>
      </c>
      <c r="B4521" s="211">
        <v>5901</v>
      </c>
      <c r="C4521" s="211">
        <v>794</v>
      </c>
      <c r="D4521" s="211" t="s">
        <v>1255</v>
      </c>
      <c r="E4521" s="211" t="s">
        <v>10385</v>
      </c>
      <c r="F4521" s="211" t="s">
        <v>7364</v>
      </c>
    </row>
    <row r="4522" spans="1:6">
      <c r="A4522" s="211" t="s">
        <v>5139</v>
      </c>
      <c r="B4522" s="211">
        <v>6971</v>
      </c>
      <c r="C4522" s="211">
        <v>1147</v>
      </c>
      <c r="D4522" s="211" t="s">
        <v>1255</v>
      </c>
      <c r="E4522" s="211" t="s">
        <v>10385</v>
      </c>
      <c r="F4522" s="211" t="s">
        <v>7264</v>
      </c>
    </row>
    <row r="4523" spans="1:6">
      <c r="A4523" s="211" t="s">
        <v>4862</v>
      </c>
      <c r="B4523" s="211">
        <v>5416</v>
      </c>
      <c r="C4523" s="211">
        <v>770</v>
      </c>
      <c r="D4523" s="211" t="s">
        <v>1255</v>
      </c>
      <c r="E4523" s="211" t="s">
        <v>10385</v>
      </c>
      <c r="F4523" s="211" t="s">
        <v>7571</v>
      </c>
    </row>
    <row r="4524" spans="1:6">
      <c r="A4524" s="211" t="s">
        <v>1467</v>
      </c>
      <c r="B4524" s="211">
        <v>1620</v>
      </c>
      <c r="C4524" s="211">
        <v>860</v>
      </c>
      <c r="D4524" s="211" t="s">
        <v>1255</v>
      </c>
      <c r="E4524" s="211" t="s">
        <v>10385</v>
      </c>
      <c r="F4524" s="211" t="s">
        <v>7175</v>
      </c>
    </row>
    <row r="4525" spans="1:6">
      <c r="A4525" s="211" t="s">
        <v>8277</v>
      </c>
      <c r="B4525" s="211">
        <v>1991</v>
      </c>
      <c r="C4525" s="211" t="s">
        <v>10385</v>
      </c>
      <c r="D4525" s="211" t="s">
        <v>1255</v>
      </c>
      <c r="E4525" s="211" t="s">
        <v>10385</v>
      </c>
      <c r="F4525" s="211" t="s">
        <v>7229</v>
      </c>
    </row>
    <row r="4526" spans="1:6">
      <c r="A4526" s="211" t="s">
        <v>9739</v>
      </c>
      <c r="B4526" s="211">
        <v>8560</v>
      </c>
      <c r="C4526" s="211">
        <v>2001</v>
      </c>
      <c r="D4526" s="211" t="s">
        <v>1255</v>
      </c>
      <c r="E4526" s="211" t="s">
        <v>9740</v>
      </c>
      <c r="F4526" s="211" t="s">
        <v>7322</v>
      </c>
    </row>
    <row r="4527" spans="1:6">
      <c r="A4527" s="211" t="s">
        <v>8278</v>
      </c>
      <c r="B4527" s="211">
        <v>2828</v>
      </c>
      <c r="C4527" s="211">
        <v>1074</v>
      </c>
      <c r="D4527" s="211" t="s">
        <v>1255</v>
      </c>
      <c r="E4527" s="211" t="s">
        <v>10385</v>
      </c>
      <c r="F4527" s="211" t="s">
        <v>7262</v>
      </c>
    </row>
    <row r="4528" spans="1:6">
      <c r="A4528" s="211" t="s">
        <v>10780</v>
      </c>
      <c r="B4528" s="211">
        <v>8810</v>
      </c>
      <c r="C4528" s="211">
        <v>799</v>
      </c>
      <c r="D4528" s="211" t="s">
        <v>1255</v>
      </c>
      <c r="E4528" s="211" t="s">
        <v>10781</v>
      </c>
      <c r="F4528" s="211" t="s">
        <v>7928</v>
      </c>
    </row>
    <row r="4529" spans="1:6">
      <c r="A4529" s="211" t="s">
        <v>2964</v>
      </c>
      <c r="B4529" s="211">
        <v>2179</v>
      </c>
      <c r="C4529" s="211">
        <v>806</v>
      </c>
      <c r="D4529" s="211" t="s">
        <v>1255</v>
      </c>
      <c r="E4529" s="211" t="s">
        <v>10385</v>
      </c>
      <c r="F4529" s="211" t="s">
        <v>7446</v>
      </c>
    </row>
    <row r="4530" spans="1:6">
      <c r="A4530" s="211" t="s">
        <v>1468</v>
      </c>
      <c r="B4530" s="211">
        <v>1171</v>
      </c>
      <c r="C4530" s="211">
        <v>1269</v>
      </c>
      <c r="D4530" s="211" t="s">
        <v>1255</v>
      </c>
      <c r="E4530" s="211" t="s">
        <v>10385</v>
      </c>
      <c r="F4530" s="211" t="s">
        <v>7243</v>
      </c>
    </row>
    <row r="4531" spans="1:6">
      <c r="A4531" s="211" t="s">
        <v>1469</v>
      </c>
      <c r="B4531" s="211">
        <v>2682</v>
      </c>
      <c r="C4531" s="211">
        <v>1029</v>
      </c>
      <c r="D4531" s="211" t="s">
        <v>1255</v>
      </c>
      <c r="E4531" s="211" t="s">
        <v>10385</v>
      </c>
      <c r="F4531" s="211" t="s">
        <v>7274</v>
      </c>
    </row>
    <row r="4532" spans="1:6">
      <c r="A4532" s="211" t="s">
        <v>1470</v>
      </c>
      <c r="B4532" s="211">
        <v>2602</v>
      </c>
      <c r="C4532" s="211">
        <v>1076</v>
      </c>
      <c r="D4532" s="211" t="s">
        <v>1255</v>
      </c>
      <c r="E4532" s="211" t="s">
        <v>10385</v>
      </c>
      <c r="F4532" s="211" t="s">
        <v>7208</v>
      </c>
    </row>
    <row r="4533" spans="1:6">
      <c r="A4533" s="211" t="s">
        <v>8279</v>
      </c>
      <c r="B4533" s="211">
        <v>4309</v>
      </c>
      <c r="C4533" s="211">
        <v>817</v>
      </c>
      <c r="D4533" s="211" t="s">
        <v>1255</v>
      </c>
      <c r="E4533" s="211" t="s">
        <v>10385</v>
      </c>
      <c r="F4533" s="211" t="s">
        <v>7312</v>
      </c>
    </row>
    <row r="4534" spans="1:6">
      <c r="A4534" s="211" t="s">
        <v>1471</v>
      </c>
      <c r="B4534" s="211">
        <v>1074</v>
      </c>
      <c r="C4534" s="211">
        <v>812</v>
      </c>
      <c r="D4534" s="211" t="s">
        <v>1255</v>
      </c>
      <c r="E4534" s="211" t="s">
        <v>10385</v>
      </c>
      <c r="F4534" s="211" t="s">
        <v>7212</v>
      </c>
    </row>
    <row r="4535" spans="1:6">
      <c r="A4535" s="211" t="s">
        <v>1472</v>
      </c>
      <c r="B4535" s="211">
        <v>2354</v>
      </c>
      <c r="C4535" s="211">
        <v>1592</v>
      </c>
      <c r="D4535" s="211" t="s">
        <v>1255</v>
      </c>
      <c r="E4535" s="211" t="s">
        <v>10385</v>
      </c>
      <c r="F4535" s="211" t="s">
        <v>7177</v>
      </c>
    </row>
    <row r="4536" spans="1:6">
      <c r="A4536" s="211" t="s">
        <v>1473</v>
      </c>
      <c r="B4536" s="211">
        <v>1232</v>
      </c>
      <c r="C4536" s="211">
        <v>1245</v>
      </c>
      <c r="D4536" s="211" t="s">
        <v>1255</v>
      </c>
      <c r="E4536" s="211" t="s">
        <v>10385</v>
      </c>
      <c r="F4536" s="211" t="s">
        <v>8002</v>
      </c>
    </row>
    <row r="4537" spans="1:6">
      <c r="A4537" s="211" t="s">
        <v>1474</v>
      </c>
      <c r="B4537" s="211">
        <v>2576</v>
      </c>
      <c r="C4537" s="211">
        <v>1054</v>
      </c>
      <c r="D4537" s="211" t="s">
        <v>1255</v>
      </c>
      <c r="E4537" s="211" t="s">
        <v>10385</v>
      </c>
      <c r="F4537" s="211" t="s">
        <v>7290</v>
      </c>
    </row>
    <row r="4538" spans="1:6">
      <c r="A4538" s="211" t="s">
        <v>6928</v>
      </c>
      <c r="B4538" s="211">
        <v>7791</v>
      </c>
      <c r="C4538" s="211">
        <v>773</v>
      </c>
      <c r="D4538" s="211" t="s">
        <v>1255</v>
      </c>
      <c r="E4538" s="211" t="s">
        <v>10385</v>
      </c>
      <c r="F4538" s="211" t="s">
        <v>7301</v>
      </c>
    </row>
    <row r="4539" spans="1:6">
      <c r="A4539" s="211" t="s">
        <v>1475</v>
      </c>
      <c r="B4539" s="211">
        <v>2689</v>
      </c>
      <c r="C4539" s="211">
        <v>926</v>
      </c>
      <c r="D4539" s="211" t="s">
        <v>1255</v>
      </c>
      <c r="E4539" s="211" t="s">
        <v>10385</v>
      </c>
      <c r="F4539" s="211" t="s">
        <v>7284</v>
      </c>
    </row>
    <row r="4540" spans="1:6">
      <c r="A4540" s="211" t="s">
        <v>9741</v>
      </c>
      <c r="B4540" s="211">
        <v>8377</v>
      </c>
      <c r="C4540" s="211">
        <v>922</v>
      </c>
      <c r="D4540" s="211" t="s">
        <v>1255</v>
      </c>
      <c r="E4540" s="211" t="s">
        <v>9742</v>
      </c>
      <c r="F4540" s="211" t="s">
        <v>9059</v>
      </c>
    </row>
    <row r="4541" spans="1:6">
      <c r="A4541" s="211" t="s">
        <v>10782</v>
      </c>
      <c r="B4541" s="211">
        <v>8814</v>
      </c>
      <c r="C4541" s="211">
        <v>808</v>
      </c>
      <c r="D4541" s="211" t="s">
        <v>1117</v>
      </c>
      <c r="E4541" s="211" t="s">
        <v>10783</v>
      </c>
      <c r="F4541" s="211" t="s">
        <v>7524</v>
      </c>
    </row>
    <row r="4542" spans="1:6">
      <c r="A4542" s="211" t="s">
        <v>5140</v>
      </c>
      <c r="B4542" s="211">
        <v>5176</v>
      </c>
      <c r="C4542" s="211">
        <v>1394</v>
      </c>
      <c r="D4542" s="211" t="s">
        <v>1255</v>
      </c>
      <c r="E4542" s="211" t="s">
        <v>6929</v>
      </c>
      <c r="F4542" s="211" t="s">
        <v>7322</v>
      </c>
    </row>
    <row r="4543" spans="1:6">
      <c r="A4543" s="211" t="s">
        <v>1476</v>
      </c>
      <c r="B4543" s="211">
        <v>5869</v>
      </c>
      <c r="C4543" s="211">
        <v>939</v>
      </c>
      <c r="D4543" s="211" t="s">
        <v>1255</v>
      </c>
      <c r="E4543" s="211" t="s">
        <v>10385</v>
      </c>
      <c r="F4543" s="211" t="s">
        <v>7248</v>
      </c>
    </row>
    <row r="4544" spans="1:6">
      <c r="A4544" s="211" t="s">
        <v>9743</v>
      </c>
      <c r="B4544" s="211">
        <v>8213</v>
      </c>
      <c r="C4544" s="211">
        <v>800</v>
      </c>
      <c r="D4544" s="211" t="s">
        <v>1255</v>
      </c>
      <c r="E4544" s="211" t="s">
        <v>10385</v>
      </c>
      <c r="F4544" s="211" t="s">
        <v>7471</v>
      </c>
    </row>
    <row r="4545" spans="1:6">
      <c r="A4545" s="211" t="s">
        <v>8280</v>
      </c>
      <c r="B4545" s="211">
        <v>174</v>
      </c>
      <c r="C4545" s="211" t="s">
        <v>10385</v>
      </c>
      <c r="D4545" s="211" t="s">
        <v>1255</v>
      </c>
      <c r="E4545" s="211" t="s">
        <v>10385</v>
      </c>
      <c r="F4545" s="211" t="s">
        <v>7219</v>
      </c>
    </row>
    <row r="4546" spans="1:6">
      <c r="A4546" s="211" t="s">
        <v>9744</v>
      </c>
      <c r="B4546" s="211">
        <v>8530</v>
      </c>
      <c r="C4546" s="211">
        <v>1016</v>
      </c>
      <c r="D4546" s="211" t="s">
        <v>1255</v>
      </c>
      <c r="E4546" s="211" t="s">
        <v>9745</v>
      </c>
      <c r="F4546" s="211" t="s">
        <v>7501</v>
      </c>
    </row>
    <row r="4547" spans="1:6">
      <c r="A4547" s="211" t="s">
        <v>1477</v>
      </c>
      <c r="B4547" s="211">
        <v>2372</v>
      </c>
      <c r="C4547" s="211">
        <v>1339</v>
      </c>
      <c r="D4547" s="211" t="s">
        <v>1255</v>
      </c>
      <c r="E4547" s="211" t="s">
        <v>10385</v>
      </c>
      <c r="F4547" s="211" t="s">
        <v>7330</v>
      </c>
    </row>
    <row r="4548" spans="1:6">
      <c r="A4548" s="211" t="s">
        <v>1478</v>
      </c>
      <c r="B4548" s="211">
        <v>758</v>
      </c>
      <c r="C4548" s="211">
        <v>1222</v>
      </c>
      <c r="D4548" s="211" t="s">
        <v>1255</v>
      </c>
      <c r="E4548" s="211" t="s">
        <v>10385</v>
      </c>
      <c r="F4548" s="211" t="s">
        <v>7257</v>
      </c>
    </row>
    <row r="4549" spans="1:6">
      <c r="A4549" s="211" t="s">
        <v>6930</v>
      </c>
      <c r="B4549" s="211">
        <v>7758</v>
      </c>
      <c r="C4549" s="211">
        <v>947</v>
      </c>
      <c r="D4549" s="211" t="s">
        <v>1255</v>
      </c>
      <c r="E4549" s="211" t="s">
        <v>9746</v>
      </c>
      <c r="F4549" s="211" t="s">
        <v>7217</v>
      </c>
    </row>
    <row r="4550" spans="1:6">
      <c r="A4550" s="211" t="s">
        <v>9747</v>
      </c>
      <c r="B4550" s="211">
        <v>8536</v>
      </c>
      <c r="C4550" s="211">
        <v>989</v>
      </c>
      <c r="D4550" s="211" t="s">
        <v>1255</v>
      </c>
      <c r="E4550" s="211" t="s">
        <v>9881</v>
      </c>
      <c r="F4550" s="211" t="s">
        <v>7255</v>
      </c>
    </row>
    <row r="4551" spans="1:6">
      <c r="A4551" s="211" t="s">
        <v>8281</v>
      </c>
      <c r="B4551" s="211">
        <v>1460</v>
      </c>
      <c r="C4551" s="211" t="s">
        <v>10385</v>
      </c>
      <c r="D4551" s="211" t="s">
        <v>1255</v>
      </c>
      <c r="E4551" s="211" t="s">
        <v>10385</v>
      </c>
      <c r="F4551" s="211" t="s">
        <v>7263</v>
      </c>
    </row>
    <row r="4552" spans="1:6">
      <c r="A4552" s="211" t="s">
        <v>5333</v>
      </c>
      <c r="B4552" s="211">
        <v>6679</v>
      </c>
      <c r="C4552" s="211">
        <v>1148</v>
      </c>
      <c r="D4552" s="211" t="s">
        <v>1255</v>
      </c>
      <c r="E4552" s="211" t="s">
        <v>10385</v>
      </c>
      <c r="F4552" s="211" t="s">
        <v>7431</v>
      </c>
    </row>
    <row r="4553" spans="1:6">
      <c r="A4553" s="211" t="s">
        <v>2973</v>
      </c>
      <c r="B4553" s="211">
        <v>2149</v>
      </c>
      <c r="C4553" s="211">
        <v>813</v>
      </c>
      <c r="D4553" s="211" t="s">
        <v>1117</v>
      </c>
      <c r="E4553" s="211" t="s">
        <v>10385</v>
      </c>
      <c r="F4553" s="211" t="s">
        <v>7386</v>
      </c>
    </row>
    <row r="4554" spans="1:6">
      <c r="A4554" s="211" t="s">
        <v>1479</v>
      </c>
      <c r="B4554" s="211">
        <v>2316</v>
      </c>
      <c r="C4554" s="211">
        <v>777</v>
      </c>
      <c r="D4554" s="211" t="s">
        <v>1255</v>
      </c>
      <c r="E4554" s="211" t="s">
        <v>10385</v>
      </c>
      <c r="F4554" s="211" t="s">
        <v>7399</v>
      </c>
    </row>
    <row r="4555" spans="1:6">
      <c r="A4555" s="211" t="s">
        <v>1480</v>
      </c>
      <c r="B4555" s="211">
        <v>4238</v>
      </c>
      <c r="C4555" s="211">
        <v>830</v>
      </c>
      <c r="D4555" s="211" t="s">
        <v>1255</v>
      </c>
      <c r="E4555" s="211" t="s">
        <v>10385</v>
      </c>
      <c r="F4555" s="211" t="s">
        <v>7383</v>
      </c>
    </row>
    <row r="4556" spans="1:6">
      <c r="A4556" s="211" t="s">
        <v>4640</v>
      </c>
      <c r="B4556" s="211">
        <v>6355</v>
      </c>
      <c r="C4556" s="211">
        <v>226</v>
      </c>
      <c r="D4556" s="211" t="s">
        <v>1117</v>
      </c>
      <c r="E4556" s="211" t="s">
        <v>10385</v>
      </c>
      <c r="F4556" s="211" t="s">
        <v>7571</v>
      </c>
    </row>
    <row r="4557" spans="1:6">
      <c r="A4557" s="211" t="s">
        <v>1481</v>
      </c>
      <c r="B4557" s="211">
        <v>5294</v>
      </c>
      <c r="C4557" s="211">
        <v>2003</v>
      </c>
      <c r="D4557" s="211" t="s">
        <v>1255</v>
      </c>
      <c r="E4557" s="211" t="s">
        <v>10385</v>
      </c>
      <c r="F4557" s="211" t="s">
        <v>7373</v>
      </c>
    </row>
    <row r="4558" spans="1:6">
      <c r="A4558" s="211" t="s">
        <v>8282</v>
      </c>
      <c r="B4558" s="211">
        <v>1821</v>
      </c>
      <c r="C4558" s="211" t="s">
        <v>10385</v>
      </c>
      <c r="D4558" s="211" t="s">
        <v>1255</v>
      </c>
      <c r="E4558" s="211" t="s">
        <v>10385</v>
      </c>
      <c r="F4558" s="211" t="s">
        <v>7284</v>
      </c>
    </row>
    <row r="4559" spans="1:6">
      <c r="A4559" s="211" t="s">
        <v>1482</v>
      </c>
      <c r="B4559" s="211">
        <v>1797</v>
      </c>
      <c r="C4559" s="211">
        <v>1671</v>
      </c>
      <c r="D4559" s="211" t="s">
        <v>1255</v>
      </c>
      <c r="E4559" s="211" t="s">
        <v>10385</v>
      </c>
      <c r="F4559" s="211" t="s">
        <v>7292</v>
      </c>
    </row>
    <row r="4560" spans="1:6">
      <c r="A4560" s="211" t="s">
        <v>1483</v>
      </c>
      <c r="B4560" s="211">
        <v>4504</v>
      </c>
      <c r="C4560" s="211">
        <v>948</v>
      </c>
      <c r="D4560" s="211" t="s">
        <v>1255</v>
      </c>
      <c r="E4560" s="211" t="s">
        <v>10385</v>
      </c>
      <c r="F4560" s="211" t="s">
        <v>7420</v>
      </c>
    </row>
    <row r="4561" spans="1:6">
      <c r="A4561" s="211" t="s">
        <v>3030</v>
      </c>
      <c r="B4561" s="211">
        <v>931</v>
      </c>
      <c r="C4561" s="211">
        <v>947</v>
      </c>
      <c r="D4561" s="211" t="s">
        <v>1255</v>
      </c>
      <c r="E4561" s="211" t="s">
        <v>10385</v>
      </c>
      <c r="F4561" s="211" t="s">
        <v>7335</v>
      </c>
    </row>
    <row r="4562" spans="1:6">
      <c r="A4562" s="211" t="s">
        <v>1484</v>
      </c>
      <c r="B4562" s="211">
        <v>5276</v>
      </c>
      <c r="C4562" s="211">
        <v>2100</v>
      </c>
      <c r="D4562" s="211" t="s">
        <v>1255</v>
      </c>
      <c r="E4562" s="211" t="s">
        <v>10385</v>
      </c>
      <c r="F4562" s="211" t="s">
        <v>7386</v>
      </c>
    </row>
    <row r="4563" spans="1:6">
      <c r="A4563" s="211" t="s">
        <v>1485</v>
      </c>
      <c r="B4563" s="211">
        <v>3155</v>
      </c>
      <c r="C4563" s="211">
        <v>1612</v>
      </c>
      <c r="D4563" s="211" t="s">
        <v>1255</v>
      </c>
      <c r="E4563" s="211" t="s">
        <v>10385</v>
      </c>
      <c r="F4563" s="211" t="s">
        <v>7365</v>
      </c>
    </row>
    <row r="4564" spans="1:6">
      <c r="A4564" s="211" t="s">
        <v>1486</v>
      </c>
      <c r="B4564" s="211">
        <v>4562</v>
      </c>
      <c r="C4564" s="211">
        <v>1242</v>
      </c>
      <c r="D4564" s="211" t="s">
        <v>1255</v>
      </c>
      <c r="E4564" s="211" t="s">
        <v>10385</v>
      </c>
      <c r="F4564" s="211" t="s">
        <v>7286</v>
      </c>
    </row>
    <row r="4565" spans="1:6">
      <c r="A4565" s="211" t="s">
        <v>10784</v>
      </c>
      <c r="B4565" s="211">
        <v>8583</v>
      </c>
      <c r="C4565" s="211">
        <v>1009</v>
      </c>
      <c r="D4565" s="211" t="s">
        <v>1255</v>
      </c>
      <c r="E4565" s="211" t="s">
        <v>10785</v>
      </c>
      <c r="F4565" s="211" t="s">
        <v>10413</v>
      </c>
    </row>
    <row r="4566" spans="1:6">
      <c r="A4566" s="211" t="s">
        <v>6015</v>
      </c>
      <c r="B4566" s="211">
        <v>7472</v>
      </c>
      <c r="C4566" s="211">
        <v>795</v>
      </c>
      <c r="D4566" s="211" t="s">
        <v>1117</v>
      </c>
      <c r="E4566" s="211" t="s">
        <v>9749</v>
      </c>
      <c r="F4566" s="211" t="s">
        <v>7250</v>
      </c>
    </row>
    <row r="4567" spans="1:6">
      <c r="A4567" s="211" t="s">
        <v>6933</v>
      </c>
      <c r="B4567" s="211">
        <v>7880</v>
      </c>
      <c r="C4567" s="211">
        <v>976</v>
      </c>
      <c r="D4567" s="211" t="s">
        <v>1255</v>
      </c>
      <c r="E4567" s="211" t="s">
        <v>9750</v>
      </c>
      <c r="F4567" s="211" t="s">
        <v>9048</v>
      </c>
    </row>
    <row r="4568" spans="1:6">
      <c r="A4568" s="211" t="s">
        <v>6931</v>
      </c>
      <c r="B4568" s="211">
        <v>7734</v>
      </c>
      <c r="C4568" s="211">
        <v>859</v>
      </c>
      <c r="D4568" s="211" t="s">
        <v>1117</v>
      </c>
      <c r="E4568" s="211" t="s">
        <v>6932</v>
      </c>
      <c r="F4568" s="211" t="s">
        <v>7322</v>
      </c>
    </row>
    <row r="4569" spans="1:6">
      <c r="A4569" s="211" t="s">
        <v>4759</v>
      </c>
      <c r="B4569" s="211">
        <v>6190</v>
      </c>
      <c r="C4569" s="211">
        <v>2085</v>
      </c>
      <c r="D4569" s="211" t="s">
        <v>1255</v>
      </c>
      <c r="E4569" s="211" t="s">
        <v>10385</v>
      </c>
      <c r="F4569" s="211" t="s">
        <v>7292</v>
      </c>
    </row>
    <row r="4570" spans="1:6">
      <c r="A4570" s="211" t="s">
        <v>8283</v>
      </c>
      <c r="B4570" s="211">
        <v>1953</v>
      </c>
      <c r="C4570" s="211" t="s">
        <v>10385</v>
      </c>
      <c r="D4570" s="211" t="s">
        <v>1255</v>
      </c>
      <c r="E4570" s="211" t="s">
        <v>10385</v>
      </c>
      <c r="F4570" s="211" t="s">
        <v>7267</v>
      </c>
    </row>
    <row r="4571" spans="1:6">
      <c r="A4571" s="211" t="s">
        <v>3063</v>
      </c>
      <c r="B4571" s="211">
        <v>6267</v>
      </c>
      <c r="C4571" s="211">
        <v>1521</v>
      </c>
      <c r="D4571" s="211" t="s">
        <v>1255</v>
      </c>
      <c r="E4571" s="211" t="s">
        <v>10385</v>
      </c>
      <c r="F4571" s="211" t="s">
        <v>9024</v>
      </c>
    </row>
    <row r="4572" spans="1:6">
      <c r="A4572" s="211" t="s">
        <v>8284</v>
      </c>
      <c r="B4572" s="211">
        <v>971</v>
      </c>
      <c r="C4572" s="211" t="s">
        <v>10385</v>
      </c>
      <c r="D4572" s="211" t="s">
        <v>1255</v>
      </c>
      <c r="E4572" s="211" t="s">
        <v>10385</v>
      </c>
      <c r="F4572" s="211" t="s">
        <v>7335</v>
      </c>
    </row>
    <row r="4573" spans="1:6">
      <c r="A4573" s="211" t="s">
        <v>10786</v>
      </c>
      <c r="B4573" s="211">
        <v>8662</v>
      </c>
      <c r="C4573" s="211">
        <v>1141</v>
      </c>
      <c r="D4573" s="211" t="s">
        <v>1255</v>
      </c>
      <c r="E4573" s="211" t="s">
        <v>10787</v>
      </c>
      <c r="F4573" s="211" t="s">
        <v>10445</v>
      </c>
    </row>
    <row r="4574" spans="1:6">
      <c r="A4574" s="211" t="s">
        <v>8285</v>
      </c>
      <c r="B4574" s="211">
        <v>3869</v>
      </c>
      <c r="C4574" s="211" t="s">
        <v>10385</v>
      </c>
      <c r="D4574" s="211" t="s">
        <v>1255</v>
      </c>
      <c r="E4574" s="211" t="s">
        <v>10385</v>
      </c>
      <c r="F4574" s="211" t="s">
        <v>7162</v>
      </c>
    </row>
    <row r="4575" spans="1:6">
      <c r="A4575" s="211" t="s">
        <v>8286</v>
      </c>
      <c r="B4575" s="211">
        <v>1225</v>
      </c>
      <c r="C4575" s="211" t="s">
        <v>10385</v>
      </c>
      <c r="D4575" s="211" t="s">
        <v>1255</v>
      </c>
      <c r="E4575" s="211" t="s">
        <v>10385</v>
      </c>
      <c r="F4575" s="211" t="s">
        <v>7162</v>
      </c>
    </row>
    <row r="4576" spans="1:6">
      <c r="A4576" s="211" t="s">
        <v>1487</v>
      </c>
      <c r="B4576" s="211">
        <v>1486</v>
      </c>
      <c r="C4576" s="211">
        <v>849</v>
      </c>
      <c r="D4576" s="211" t="s">
        <v>1255</v>
      </c>
      <c r="E4576" s="211" t="s">
        <v>10385</v>
      </c>
      <c r="F4576" s="211" t="s">
        <v>7280</v>
      </c>
    </row>
    <row r="4577" spans="1:6">
      <c r="A4577" s="211" t="s">
        <v>1488</v>
      </c>
      <c r="B4577" s="211">
        <v>1742</v>
      </c>
      <c r="C4577" s="211">
        <v>1217</v>
      </c>
      <c r="D4577" s="211" t="s">
        <v>1255</v>
      </c>
      <c r="E4577" s="211" t="s">
        <v>10385</v>
      </c>
      <c r="F4577" s="211" t="s">
        <v>7283</v>
      </c>
    </row>
    <row r="4578" spans="1:6">
      <c r="A4578" s="211" t="s">
        <v>1489</v>
      </c>
      <c r="B4578" s="211">
        <v>1405</v>
      </c>
      <c r="C4578" s="211">
        <v>1539</v>
      </c>
      <c r="D4578" s="211" t="s">
        <v>1255</v>
      </c>
      <c r="E4578" s="211" t="s">
        <v>10385</v>
      </c>
      <c r="F4578" s="211" t="s">
        <v>7279</v>
      </c>
    </row>
    <row r="4579" spans="1:6">
      <c r="A4579" s="211" t="s">
        <v>1490</v>
      </c>
      <c r="B4579" s="211">
        <v>4413</v>
      </c>
      <c r="C4579" s="211">
        <v>917</v>
      </c>
      <c r="D4579" s="211" t="s">
        <v>1255</v>
      </c>
      <c r="E4579" s="211" t="s">
        <v>10385</v>
      </c>
      <c r="F4579" s="211" t="s">
        <v>7233</v>
      </c>
    </row>
    <row r="4580" spans="1:6">
      <c r="A4580" s="211" t="s">
        <v>6934</v>
      </c>
      <c r="B4580" s="211">
        <v>7724</v>
      </c>
      <c r="C4580" s="211">
        <v>1060</v>
      </c>
      <c r="D4580" s="211" t="s">
        <v>1255</v>
      </c>
      <c r="E4580" s="211" t="s">
        <v>9751</v>
      </c>
      <c r="F4580" s="211" t="s">
        <v>7532</v>
      </c>
    </row>
    <row r="4581" spans="1:6">
      <c r="A4581" s="211" t="s">
        <v>9752</v>
      </c>
      <c r="B4581" s="211">
        <v>8040</v>
      </c>
      <c r="C4581" s="211">
        <v>993</v>
      </c>
      <c r="D4581" s="211" t="s">
        <v>1117</v>
      </c>
      <c r="E4581" s="211" t="s">
        <v>10385</v>
      </c>
      <c r="F4581" s="211" t="s">
        <v>7238</v>
      </c>
    </row>
    <row r="4582" spans="1:6">
      <c r="A4582" s="211" t="s">
        <v>1491</v>
      </c>
      <c r="B4582" s="211">
        <v>2153</v>
      </c>
      <c r="C4582" s="211">
        <v>720</v>
      </c>
      <c r="D4582" s="211" t="s">
        <v>1117</v>
      </c>
      <c r="E4582" s="211" t="s">
        <v>10385</v>
      </c>
      <c r="F4582" s="211" t="s">
        <v>7189</v>
      </c>
    </row>
    <row r="4583" spans="1:6">
      <c r="A4583" s="211" t="s">
        <v>6935</v>
      </c>
      <c r="B4583" s="211">
        <v>7874</v>
      </c>
      <c r="C4583" s="211">
        <v>1058</v>
      </c>
      <c r="D4583" s="211" t="s">
        <v>1255</v>
      </c>
      <c r="E4583" s="211" t="s">
        <v>10385</v>
      </c>
      <c r="F4583" s="211" t="s">
        <v>7272</v>
      </c>
    </row>
    <row r="4584" spans="1:6">
      <c r="A4584" s="211" t="s">
        <v>6016</v>
      </c>
      <c r="B4584" s="211">
        <v>7387</v>
      </c>
      <c r="C4584" s="211">
        <v>1209</v>
      </c>
      <c r="D4584" s="211" t="s">
        <v>1255</v>
      </c>
      <c r="E4584" s="211" t="s">
        <v>10385</v>
      </c>
      <c r="F4584" s="211" t="s">
        <v>7241</v>
      </c>
    </row>
    <row r="4585" spans="1:6">
      <c r="A4585" s="211" t="s">
        <v>5141</v>
      </c>
      <c r="B4585" s="211">
        <v>6757</v>
      </c>
      <c r="C4585" s="211">
        <v>2009</v>
      </c>
      <c r="D4585" s="211" t="s">
        <v>1255</v>
      </c>
      <c r="E4585" s="211" t="s">
        <v>10385</v>
      </c>
      <c r="F4585" s="211" t="s">
        <v>7320</v>
      </c>
    </row>
    <row r="4586" spans="1:6">
      <c r="A4586" s="211" t="s">
        <v>9753</v>
      </c>
      <c r="B4586" s="211">
        <v>8146</v>
      </c>
      <c r="C4586" s="211">
        <v>799</v>
      </c>
      <c r="D4586" s="211" t="s">
        <v>1117</v>
      </c>
      <c r="E4586" s="211" t="s">
        <v>9754</v>
      </c>
      <c r="F4586" s="211" t="s">
        <v>7386</v>
      </c>
    </row>
    <row r="4587" spans="1:6">
      <c r="A4587" s="211" t="s">
        <v>10788</v>
      </c>
      <c r="B4587" s="211">
        <v>8833</v>
      </c>
      <c r="C4587" s="211">
        <v>520</v>
      </c>
      <c r="D4587" s="211" t="s">
        <v>1117</v>
      </c>
      <c r="E4587" s="211" t="s">
        <v>10789</v>
      </c>
      <c r="F4587" s="211" t="s">
        <v>10408</v>
      </c>
    </row>
    <row r="4588" spans="1:6">
      <c r="A4588" s="211" t="s">
        <v>8287</v>
      </c>
      <c r="B4588" s="211">
        <v>6867</v>
      </c>
      <c r="C4588" s="211" t="s">
        <v>10385</v>
      </c>
      <c r="D4588" s="211" t="s">
        <v>1255</v>
      </c>
      <c r="E4588" s="211" t="s">
        <v>10790</v>
      </c>
      <c r="F4588" s="211" t="s">
        <v>8210</v>
      </c>
    </row>
    <row r="4589" spans="1:6">
      <c r="A4589" s="211" t="s">
        <v>8288</v>
      </c>
      <c r="B4589" s="211">
        <v>167</v>
      </c>
      <c r="C4589" s="211" t="s">
        <v>10385</v>
      </c>
      <c r="D4589" s="211" t="s">
        <v>1255</v>
      </c>
      <c r="E4589" s="211" t="s">
        <v>10385</v>
      </c>
      <c r="F4589" s="211" t="s">
        <v>7219</v>
      </c>
    </row>
    <row r="4590" spans="1:6">
      <c r="A4590" s="211" t="s">
        <v>9755</v>
      </c>
      <c r="B4590" s="211">
        <v>7889</v>
      </c>
      <c r="C4590" s="211">
        <v>1959</v>
      </c>
      <c r="D4590" s="211" t="s">
        <v>1255</v>
      </c>
      <c r="E4590" s="211" t="s">
        <v>10365</v>
      </c>
      <c r="F4590" s="211" t="s">
        <v>7224</v>
      </c>
    </row>
    <row r="4591" spans="1:6">
      <c r="A4591" s="211" t="s">
        <v>5142</v>
      </c>
      <c r="B4591" s="211">
        <v>6859</v>
      </c>
      <c r="C4591" s="211" t="s">
        <v>10385</v>
      </c>
      <c r="D4591" s="211" t="s">
        <v>1255</v>
      </c>
      <c r="E4591" s="211" t="s">
        <v>10385</v>
      </c>
      <c r="F4591" s="211" t="s">
        <v>7429</v>
      </c>
    </row>
    <row r="4592" spans="1:6">
      <c r="A4592" s="211" t="s">
        <v>1492</v>
      </c>
      <c r="B4592" s="211">
        <v>3694</v>
      </c>
      <c r="C4592" s="211">
        <v>1045</v>
      </c>
      <c r="D4592" s="211" t="s">
        <v>1255</v>
      </c>
      <c r="E4592" s="211" t="s">
        <v>10385</v>
      </c>
      <c r="F4592" s="211" t="s">
        <v>7184</v>
      </c>
    </row>
    <row r="4593" spans="1:6">
      <c r="A4593" s="211" t="s">
        <v>2924</v>
      </c>
      <c r="B4593" s="211">
        <v>3136</v>
      </c>
      <c r="C4593" s="211">
        <v>1708</v>
      </c>
      <c r="D4593" s="211" t="s">
        <v>1255</v>
      </c>
      <c r="E4593" s="211" t="s">
        <v>10385</v>
      </c>
      <c r="F4593" s="211" t="s">
        <v>8289</v>
      </c>
    </row>
    <row r="4594" spans="1:6">
      <c r="A4594" s="211" t="s">
        <v>2944</v>
      </c>
      <c r="B4594" s="211">
        <v>2465</v>
      </c>
      <c r="C4594" s="211">
        <v>1457</v>
      </c>
      <c r="D4594" s="211" t="s">
        <v>1255</v>
      </c>
      <c r="E4594" s="211" t="s">
        <v>3105</v>
      </c>
      <c r="F4594" s="211" t="s">
        <v>9211</v>
      </c>
    </row>
    <row r="4595" spans="1:6">
      <c r="A4595" s="211" t="s">
        <v>1493</v>
      </c>
      <c r="B4595" s="211">
        <v>5816</v>
      </c>
      <c r="C4595" s="211">
        <v>1343</v>
      </c>
      <c r="D4595" s="211" t="s">
        <v>1255</v>
      </c>
      <c r="E4595" s="211" t="s">
        <v>10385</v>
      </c>
      <c r="F4595" s="211" t="s">
        <v>7383</v>
      </c>
    </row>
    <row r="4596" spans="1:6">
      <c r="A4596" s="211" t="s">
        <v>8290</v>
      </c>
      <c r="B4596" s="211">
        <v>3327</v>
      </c>
      <c r="C4596" s="211" t="s">
        <v>10385</v>
      </c>
      <c r="D4596" s="211" t="s">
        <v>1255</v>
      </c>
      <c r="E4596" s="211" t="s">
        <v>10385</v>
      </c>
      <c r="F4596" s="211" t="s">
        <v>7262</v>
      </c>
    </row>
    <row r="4597" spans="1:6">
      <c r="A4597" s="211" t="s">
        <v>6936</v>
      </c>
      <c r="B4597" s="211">
        <v>7685</v>
      </c>
      <c r="C4597" s="211">
        <v>894</v>
      </c>
      <c r="D4597" s="211" t="s">
        <v>1255</v>
      </c>
      <c r="E4597" s="211" t="s">
        <v>6937</v>
      </c>
      <c r="F4597" s="211" t="s">
        <v>7283</v>
      </c>
    </row>
    <row r="4598" spans="1:6">
      <c r="A4598" s="211" t="s">
        <v>4811</v>
      </c>
      <c r="B4598" s="211">
        <v>6140</v>
      </c>
      <c r="C4598" s="211">
        <v>988</v>
      </c>
      <c r="D4598" s="211" t="s">
        <v>1255</v>
      </c>
      <c r="E4598" s="211" t="s">
        <v>10385</v>
      </c>
      <c r="F4598" s="211" t="s">
        <v>7299</v>
      </c>
    </row>
    <row r="4599" spans="1:6">
      <c r="A4599" s="211" t="s">
        <v>1494</v>
      </c>
      <c r="B4599" s="211">
        <v>5384</v>
      </c>
      <c r="C4599" s="211">
        <v>908</v>
      </c>
      <c r="D4599" s="211" t="s">
        <v>1255</v>
      </c>
      <c r="E4599" s="211" t="s">
        <v>10385</v>
      </c>
      <c r="F4599" s="211" t="s">
        <v>7286</v>
      </c>
    </row>
    <row r="4600" spans="1:6">
      <c r="A4600" s="211" t="s">
        <v>5143</v>
      </c>
      <c r="B4600" s="211">
        <v>6959</v>
      </c>
      <c r="C4600" s="211">
        <v>876</v>
      </c>
      <c r="D4600" s="211" t="s">
        <v>1255</v>
      </c>
      <c r="E4600" s="211" t="s">
        <v>10385</v>
      </c>
      <c r="F4600" s="211" t="s">
        <v>7656</v>
      </c>
    </row>
    <row r="4601" spans="1:6">
      <c r="A4601" s="211" t="s">
        <v>6017</v>
      </c>
      <c r="B4601" s="211">
        <v>7176</v>
      </c>
      <c r="C4601" s="211">
        <v>1503</v>
      </c>
      <c r="D4601" s="211" t="s">
        <v>1255</v>
      </c>
      <c r="E4601" s="211" t="s">
        <v>6018</v>
      </c>
      <c r="F4601" s="211" t="s">
        <v>7384</v>
      </c>
    </row>
    <row r="4602" spans="1:6">
      <c r="A4602" s="211" t="s">
        <v>5144</v>
      </c>
      <c r="B4602" s="211">
        <v>7006</v>
      </c>
      <c r="C4602" s="211">
        <v>948</v>
      </c>
      <c r="D4602" s="211" t="s">
        <v>1255</v>
      </c>
      <c r="E4602" s="211" t="s">
        <v>10385</v>
      </c>
      <c r="F4602" s="211" t="s">
        <v>7349</v>
      </c>
    </row>
    <row r="4603" spans="1:6">
      <c r="A4603" s="211" t="s">
        <v>1495</v>
      </c>
      <c r="B4603" s="211">
        <v>5419</v>
      </c>
      <c r="C4603" s="211">
        <v>1208</v>
      </c>
      <c r="D4603" s="211" t="s">
        <v>1255</v>
      </c>
      <c r="E4603" s="211" t="s">
        <v>10385</v>
      </c>
      <c r="F4603" s="211" t="s">
        <v>7213</v>
      </c>
    </row>
    <row r="4604" spans="1:6">
      <c r="A4604" s="211" t="s">
        <v>1496</v>
      </c>
      <c r="B4604" s="211">
        <v>1500</v>
      </c>
      <c r="C4604" s="211">
        <v>1215</v>
      </c>
      <c r="D4604" s="211" t="s">
        <v>1117</v>
      </c>
      <c r="E4604" s="211" t="s">
        <v>10385</v>
      </c>
      <c r="F4604" s="211" t="s">
        <v>7208</v>
      </c>
    </row>
    <row r="4605" spans="1:6">
      <c r="A4605" s="211" t="s">
        <v>1497</v>
      </c>
      <c r="B4605" s="211">
        <v>5609</v>
      </c>
      <c r="C4605" s="211">
        <v>1232</v>
      </c>
      <c r="D4605" s="211" t="s">
        <v>1255</v>
      </c>
      <c r="E4605" s="211" t="s">
        <v>10385</v>
      </c>
      <c r="F4605" s="211" t="s">
        <v>7380</v>
      </c>
    </row>
    <row r="4606" spans="1:6">
      <c r="A4606" s="211" t="s">
        <v>1498</v>
      </c>
      <c r="B4606" s="211">
        <v>884</v>
      </c>
      <c r="C4606" s="211">
        <v>1349</v>
      </c>
      <c r="D4606" s="211" t="s">
        <v>1255</v>
      </c>
      <c r="E4606" s="211" t="s">
        <v>10385</v>
      </c>
      <c r="F4606" s="211" t="s">
        <v>7356</v>
      </c>
    </row>
    <row r="4607" spans="1:6">
      <c r="A4607" s="211" t="s">
        <v>8291</v>
      </c>
      <c r="B4607" s="211">
        <v>6151</v>
      </c>
      <c r="C4607" s="211">
        <v>795</v>
      </c>
      <c r="D4607" s="211" t="s">
        <v>1255</v>
      </c>
      <c r="E4607" s="211" t="s">
        <v>10385</v>
      </c>
      <c r="F4607" s="211" t="s">
        <v>7267</v>
      </c>
    </row>
    <row r="4608" spans="1:6">
      <c r="A4608" s="211" t="s">
        <v>1499</v>
      </c>
      <c r="B4608" s="211">
        <v>1253</v>
      </c>
      <c r="C4608" s="211">
        <v>1304</v>
      </c>
      <c r="D4608" s="211" t="s">
        <v>1255</v>
      </c>
      <c r="E4608" s="211" t="s">
        <v>10385</v>
      </c>
      <c r="F4608" s="211" t="s">
        <v>7162</v>
      </c>
    </row>
    <row r="4609" spans="1:6">
      <c r="A4609" s="211" t="s">
        <v>6938</v>
      </c>
      <c r="B4609" s="211">
        <v>7786</v>
      </c>
      <c r="C4609" s="211">
        <v>1115</v>
      </c>
      <c r="D4609" s="211" t="s">
        <v>1255</v>
      </c>
      <c r="E4609" s="211" t="s">
        <v>6939</v>
      </c>
      <c r="F4609" s="211" t="s">
        <v>7199</v>
      </c>
    </row>
    <row r="4610" spans="1:6">
      <c r="A4610" s="211" t="s">
        <v>4009</v>
      </c>
      <c r="B4610" s="211">
        <v>1330</v>
      </c>
      <c r="C4610" s="211">
        <v>990</v>
      </c>
      <c r="D4610" s="211" t="s">
        <v>1255</v>
      </c>
      <c r="E4610" s="211" t="s">
        <v>10385</v>
      </c>
      <c r="F4610" s="211" t="s">
        <v>7237</v>
      </c>
    </row>
    <row r="4611" spans="1:6">
      <c r="A4611" s="211" t="s">
        <v>4010</v>
      </c>
      <c r="B4611" s="211">
        <v>3205</v>
      </c>
      <c r="C4611" s="211">
        <v>1307</v>
      </c>
      <c r="D4611" s="211" t="s">
        <v>1255</v>
      </c>
      <c r="E4611" s="211" t="s">
        <v>9756</v>
      </c>
      <c r="F4611" s="211" t="s">
        <v>7399</v>
      </c>
    </row>
    <row r="4612" spans="1:6">
      <c r="A4612" s="211" t="s">
        <v>6019</v>
      </c>
      <c r="B4612" s="211">
        <v>7230</v>
      </c>
      <c r="C4612" s="211">
        <v>557</v>
      </c>
      <c r="D4612" s="211" t="s">
        <v>1117</v>
      </c>
      <c r="E4612" s="211" t="s">
        <v>10385</v>
      </c>
      <c r="F4612" s="211" t="s">
        <v>7629</v>
      </c>
    </row>
    <row r="4613" spans="1:6">
      <c r="A4613" s="211" t="s">
        <v>9757</v>
      </c>
      <c r="B4613" s="211">
        <v>8170</v>
      </c>
      <c r="C4613" s="211">
        <v>987</v>
      </c>
      <c r="D4613" s="211" t="s">
        <v>1255</v>
      </c>
      <c r="E4613" s="211" t="s">
        <v>9758</v>
      </c>
      <c r="F4613" s="211" t="s">
        <v>7373</v>
      </c>
    </row>
    <row r="4614" spans="1:6">
      <c r="A4614" s="211" t="s">
        <v>4011</v>
      </c>
      <c r="B4614" s="211">
        <v>3401</v>
      </c>
      <c r="C4614" s="211">
        <v>1584</v>
      </c>
      <c r="D4614" s="211" t="s">
        <v>1255</v>
      </c>
      <c r="E4614" s="211" t="s">
        <v>10385</v>
      </c>
      <c r="F4614" s="211" t="s">
        <v>7646</v>
      </c>
    </row>
    <row r="4615" spans="1:6">
      <c r="A4615" s="211" t="s">
        <v>4012</v>
      </c>
      <c r="B4615" s="211">
        <v>3179</v>
      </c>
      <c r="C4615" s="211">
        <v>965</v>
      </c>
      <c r="D4615" s="211" t="s">
        <v>1255</v>
      </c>
      <c r="E4615" s="211" t="s">
        <v>10385</v>
      </c>
      <c r="F4615" s="211" t="s">
        <v>7874</v>
      </c>
    </row>
    <row r="4616" spans="1:6">
      <c r="A4616" s="211" t="s">
        <v>4013</v>
      </c>
      <c r="B4616" s="211">
        <v>1152</v>
      </c>
      <c r="C4616" s="211">
        <v>1732</v>
      </c>
      <c r="D4616" s="211" t="s">
        <v>1255</v>
      </c>
      <c r="E4616" s="211" t="s">
        <v>10385</v>
      </c>
      <c r="F4616" s="211" t="s">
        <v>7274</v>
      </c>
    </row>
    <row r="4617" spans="1:6">
      <c r="A4617" s="211" t="s">
        <v>4014</v>
      </c>
      <c r="B4617" s="211">
        <v>5754</v>
      </c>
      <c r="C4617" s="211">
        <v>813</v>
      </c>
      <c r="D4617" s="211" t="s">
        <v>1117</v>
      </c>
      <c r="E4617" s="211" t="s">
        <v>10385</v>
      </c>
      <c r="F4617" s="211" t="s">
        <v>7285</v>
      </c>
    </row>
    <row r="4618" spans="1:6">
      <c r="A4618" s="211" t="s">
        <v>4015</v>
      </c>
      <c r="B4618" s="211">
        <v>4210</v>
      </c>
      <c r="C4618" s="211">
        <v>1539</v>
      </c>
      <c r="D4618" s="211" t="s">
        <v>1255</v>
      </c>
      <c r="E4618" s="211" t="s">
        <v>10385</v>
      </c>
      <c r="F4618" s="211" t="s">
        <v>7235</v>
      </c>
    </row>
    <row r="4619" spans="1:6">
      <c r="A4619" s="211" t="s">
        <v>4016</v>
      </c>
      <c r="B4619" s="211">
        <v>3908</v>
      </c>
      <c r="C4619" s="211">
        <v>997</v>
      </c>
      <c r="D4619" s="211" t="s">
        <v>1255</v>
      </c>
      <c r="E4619" s="211" t="s">
        <v>10385</v>
      </c>
      <c r="F4619" s="211" t="s">
        <v>7248</v>
      </c>
    </row>
    <row r="4620" spans="1:6">
      <c r="A4620" s="211" t="s">
        <v>8292</v>
      </c>
      <c r="B4620" s="211">
        <v>973</v>
      </c>
      <c r="C4620" s="211" t="s">
        <v>10385</v>
      </c>
      <c r="D4620" s="211" t="s">
        <v>1255</v>
      </c>
      <c r="E4620" s="211" t="s">
        <v>10385</v>
      </c>
      <c r="F4620" s="211" t="s">
        <v>7264</v>
      </c>
    </row>
    <row r="4621" spans="1:6">
      <c r="A4621" s="211" t="s">
        <v>9759</v>
      </c>
      <c r="B4621" s="211">
        <v>8008</v>
      </c>
      <c r="C4621" s="211">
        <v>944</v>
      </c>
      <c r="D4621" s="211" t="s">
        <v>1255</v>
      </c>
      <c r="E4621" s="211" t="s">
        <v>10385</v>
      </c>
      <c r="F4621" s="211" t="s">
        <v>7965</v>
      </c>
    </row>
    <row r="4622" spans="1:6">
      <c r="A4622" s="211" t="s">
        <v>2886</v>
      </c>
      <c r="B4622" s="211">
        <v>3628</v>
      </c>
      <c r="C4622" s="211">
        <v>986</v>
      </c>
      <c r="D4622" s="211" t="s">
        <v>1255</v>
      </c>
      <c r="E4622" s="211" t="s">
        <v>10385</v>
      </c>
      <c r="F4622" s="211" t="s">
        <v>7322</v>
      </c>
    </row>
    <row r="4623" spans="1:6">
      <c r="A4623" s="211" t="s">
        <v>9760</v>
      </c>
      <c r="B4623" s="211">
        <v>8379</v>
      </c>
      <c r="C4623" s="211">
        <v>1003</v>
      </c>
      <c r="D4623" s="211" t="s">
        <v>1255</v>
      </c>
      <c r="E4623" s="211" t="s">
        <v>9761</v>
      </c>
      <c r="F4623" s="211" t="s">
        <v>7282</v>
      </c>
    </row>
    <row r="4624" spans="1:6">
      <c r="A4624" s="211" t="s">
        <v>4017</v>
      </c>
      <c r="B4624" s="211">
        <v>5343</v>
      </c>
      <c r="C4624" s="211">
        <v>1328</v>
      </c>
      <c r="D4624" s="211" t="s">
        <v>1255</v>
      </c>
      <c r="E4624" s="211" t="s">
        <v>6940</v>
      </c>
      <c r="F4624" s="211" t="s">
        <v>7490</v>
      </c>
    </row>
    <row r="4625" spans="1:6">
      <c r="A4625" s="211" t="s">
        <v>10791</v>
      </c>
      <c r="B4625" s="211">
        <v>8829</v>
      </c>
      <c r="C4625" s="211">
        <v>598</v>
      </c>
      <c r="D4625" s="211" t="s">
        <v>1255</v>
      </c>
      <c r="E4625" s="211" t="s">
        <v>10792</v>
      </c>
      <c r="F4625" s="211" t="s">
        <v>10408</v>
      </c>
    </row>
    <row r="4626" spans="1:6">
      <c r="A4626" s="211" t="s">
        <v>10793</v>
      </c>
      <c r="B4626" s="211">
        <v>8787</v>
      </c>
      <c r="C4626" s="211">
        <v>765</v>
      </c>
      <c r="D4626" s="211" t="s">
        <v>1255</v>
      </c>
      <c r="E4626" s="211" t="s">
        <v>10385</v>
      </c>
      <c r="F4626" s="211" t="s">
        <v>7354</v>
      </c>
    </row>
    <row r="4627" spans="1:6">
      <c r="A4627" s="211" t="s">
        <v>4018</v>
      </c>
      <c r="B4627" s="211">
        <v>1544</v>
      </c>
      <c r="C4627" s="211">
        <v>1310</v>
      </c>
      <c r="D4627" s="211" t="s">
        <v>1255</v>
      </c>
      <c r="E4627" s="211" t="s">
        <v>10385</v>
      </c>
      <c r="F4627" s="211" t="s">
        <v>7233</v>
      </c>
    </row>
    <row r="4628" spans="1:6">
      <c r="A4628" s="211" t="s">
        <v>4019</v>
      </c>
      <c r="B4628" s="211">
        <v>4713</v>
      </c>
      <c r="C4628" s="211">
        <v>933</v>
      </c>
      <c r="D4628" s="211" t="s">
        <v>1255</v>
      </c>
      <c r="E4628" s="211" t="s">
        <v>10385</v>
      </c>
      <c r="F4628" s="211" t="s">
        <v>7760</v>
      </c>
    </row>
    <row r="4629" spans="1:6">
      <c r="A4629" s="211" t="s">
        <v>4020</v>
      </c>
      <c r="B4629" s="211">
        <v>4226</v>
      </c>
      <c r="C4629" s="211">
        <v>1294</v>
      </c>
      <c r="D4629" s="211" t="s">
        <v>1255</v>
      </c>
      <c r="E4629" s="211" t="s">
        <v>10385</v>
      </c>
      <c r="F4629" s="211" t="s">
        <v>7160</v>
      </c>
    </row>
    <row r="4630" spans="1:6">
      <c r="A4630" s="211" t="s">
        <v>4021</v>
      </c>
      <c r="B4630" s="211">
        <v>4924</v>
      </c>
      <c r="C4630" s="211">
        <v>603</v>
      </c>
      <c r="D4630" s="211" t="s">
        <v>1117</v>
      </c>
      <c r="E4630" s="211" t="s">
        <v>10385</v>
      </c>
      <c r="F4630" s="211" t="s">
        <v>7267</v>
      </c>
    </row>
    <row r="4631" spans="1:6">
      <c r="A4631" s="211" t="s">
        <v>8293</v>
      </c>
      <c r="B4631" s="211">
        <v>363</v>
      </c>
      <c r="C4631" s="211" t="s">
        <v>10385</v>
      </c>
      <c r="D4631" s="211" t="s">
        <v>1255</v>
      </c>
      <c r="E4631" s="211" t="s">
        <v>10385</v>
      </c>
      <c r="F4631" s="211" t="s">
        <v>7173</v>
      </c>
    </row>
    <row r="4632" spans="1:6">
      <c r="A4632" s="211" t="s">
        <v>6020</v>
      </c>
      <c r="B4632" s="211">
        <v>7463</v>
      </c>
      <c r="C4632" s="211">
        <v>685</v>
      </c>
      <c r="D4632" s="211" t="s">
        <v>1255</v>
      </c>
      <c r="E4632" s="211" t="s">
        <v>10385</v>
      </c>
      <c r="F4632" s="211" t="s">
        <v>7427</v>
      </c>
    </row>
    <row r="4633" spans="1:6">
      <c r="A4633" s="211" t="s">
        <v>8294</v>
      </c>
      <c r="B4633" s="211">
        <v>6380</v>
      </c>
      <c r="C4633" s="211">
        <v>775</v>
      </c>
      <c r="D4633" s="211" t="s">
        <v>1255</v>
      </c>
      <c r="E4633" s="211" t="s">
        <v>10385</v>
      </c>
      <c r="F4633" s="211" t="s">
        <v>7202</v>
      </c>
    </row>
    <row r="4634" spans="1:6">
      <c r="A4634" s="211" t="s">
        <v>4022</v>
      </c>
      <c r="B4634" s="211">
        <v>5688</v>
      </c>
      <c r="C4634" s="211">
        <v>1640</v>
      </c>
      <c r="D4634" s="211" t="s">
        <v>1255</v>
      </c>
      <c r="E4634" s="211" t="s">
        <v>10385</v>
      </c>
      <c r="F4634" s="211" t="s">
        <v>7441</v>
      </c>
    </row>
    <row r="4635" spans="1:6">
      <c r="A4635" s="211" t="s">
        <v>6021</v>
      </c>
      <c r="B4635" s="211">
        <v>7534</v>
      </c>
      <c r="C4635" s="211">
        <v>684</v>
      </c>
      <c r="D4635" s="211" t="s">
        <v>1255</v>
      </c>
      <c r="E4635" s="211" t="s">
        <v>9762</v>
      </c>
      <c r="F4635" s="211" t="s">
        <v>7328</v>
      </c>
    </row>
    <row r="4636" spans="1:6">
      <c r="A4636" s="211" t="s">
        <v>4023</v>
      </c>
      <c r="B4636" s="211">
        <v>4869</v>
      </c>
      <c r="C4636" s="211">
        <v>847</v>
      </c>
      <c r="D4636" s="211" t="s">
        <v>1255</v>
      </c>
      <c r="E4636" s="211" t="s">
        <v>10385</v>
      </c>
      <c r="F4636" s="211" t="s">
        <v>7240</v>
      </c>
    </row>
    <row r="4637" spans="1:6">
      <c r="A4637" s="211" t="s">
        <v>8295</v>
      </c>
      <c r="B4637" s="211">
        <v>4012</v>
      </c>
      <c r="C4637" s="211" t="s">
        <v>10385</v>
      </c>
      <c r="D4637" s="211" t="s">
        <v>1255</v>
      </c>
      <c r="E4637" s="211" t="s">
        <v>10385</v>
      </c>
      <c r="F4637" s="211" t="s">
        <v>7219</v>
      </c>
    </row>
    <row r="4638" spans="1:6">
      <c r="A4638" s="211" t="s">
        <v>4024</v>
      </c>
      <c r="B4638" s="211">
        <v>5145</v>
      </c>
      <c r="C4638" s="211">
        <v>1928</v>
      </c>
      <c r="D4638" s="211" t="s">
        <v>1255</v>
      </c>
      <c r="E4638" s="211" t="s">
        <v>10385</v>
      </c>
      <c r="F4638" s="211" t="s">
        <v>7325</v>
      </c>
    </row>
    <row r="4639" spans="1:6">
      <c r="A4639" s="211" t="s">
        <v>6022</v>
      </c>
      <c r="B4639" s="211">
        <v>7072</v>
      </c>
      <c r="C4639" s="211">
        <v>1201</v>
      </c>
      <c r="D4639" s="211" t="s">
        <v>1255</v>
      </c>
      <c r="E4639" s="211" t="s">
        <v>9763</v>
      </c>
      <c r="F4639" s="211" t="s">
        <v>7453</v>
      </c>
    </row>
    <row r="4640" spans="1:6">
      <c r="A4640" s="211" t="s">
        <v>4025</v>
      </c>
      <c r="B4640" s="211">
        <v>1425</v>
      </c>
      <c r="C4640" s="211">
        <v>1558</v>
      </c>
      <c r="D4640" s="211" t="s">
        <v>1255</v>
      </c>
      <c r="E4640" s="211" t="s">
        <v>10385</v>
      </c>
      <c r="F4640" s="211" t="s">
        <v>7196</v>
      </c>
    </row>
    <row r="4641" spans="1:6">
      <c r="A4641" s="211" t="s">
        <v>4026</v>
      </c>
      <c r="B4641" s="211">
        <v>5137</v>
      </c>
      <c r="C4641" s="211">
        <v>1386</v>
      </c>
      <c r="D4641" s="211" t="s">
        <v>1255</v>
      </c>
      <c r="E4641" s="211" t="s">
        <v>10385</v>
      </c>
      <c r="F4641" s="211" t="s">
        <v>7200</v>
      </c>
    </row>
    <row r="4642" spans="1:6">
      <c r="A4642" s="211" t="s">
        <v>8296</v>
      </c>
      <c r="B4642" s="211">
        <v>712</v>
      </c>
      <c r="C4642" s="211" t="s">
        <v>10385</v>
      </c>
      <c r="D4642" s="211" t="s">
        <v>1255</v>
      </c>
      <c r="E4642" s="211" t="s">
        <v>10385</v>
      </c>
      <c r="F4642" s="211" t="s">
        <v>7177</v>
      </c>
    </row>
    <row r="4643" spans="1:6">
      <c r="A4643" s="211" t="s">
        <v>4027</v>
      </c>
      <c r="B4643" s="211">
        <v>1042</v>
      </c>
      <c r="C4643" s="211">
        <v>1398</v>
      </c>
      <c r="D4643" s="211" t="s">
        <v>1255</v>
      </c>
      <c r="E4643" s="211" t="s">
        <v>10385</v>
      </c>
      <c r="F4643" s="211" t="s">
        <v>7270</v>
      </c>
    </row>
    <row r="4644" spans="1:6">
      <c r="A4644" s="211" t="s">
        <v>4028</v>
      </c>
      <c r="B4644" s="211">
        <v>4026</v>
      </c>
      <c r="C4644" s="211">
        <v>1169</v>
      </c>
      <c r="D4644" s="211" t="s">
        <v>1255</v>
      </c>
      <c r="E4644" s="211" t="s">
        <v>10385</v>
      </c>
      <c r="F4644" s="211" t="s">
        <v>7224</v>
      </c>
    </row>
    <row r="4645" spans="1:6">
      <c r="A4645" s="211" t="s">
        <v>4029</v>
      </c>
      <c r="B4645" s="211">
        <v>4710</v>
      </c>
      <c r="C4645" s="211">
        <v>900</v>
      </c>
      <c r="D4645" s="211" t="s">
        <v>1255</v>
      </c>
      <c r="E4645" s="211" t="s">
        <v>10385</v>
      </c>
      <c r="F4645" s="211" t="s">
        <v>7760</v>
      </c>
    </row>
    <row r="4646" spans="1:6">
      <c r="A4646" s="211" t="s">
        <v>4030</v>
      </c>
      <c r="B4646" s="211">
        <v>1636</v>
      </c>
      <c r="C4646" s="211">
        <v>1094</v>
      </c>
      <c r="D4646" s="211" t="s">
        <v>1255</v>
      </c>
      <c r="E4646" s="211" t="s">
        <v>10385</v>
      </c>
      <c r="F4646" s="211" t="s">
        <v>7229</v>
      </c>
    </row>
    <row r="4647" spans="1:6">
      <c r="A4647" s="211" t="s">
        <v>4031</v>
      </c>
      <c r="B4647" s="211">
        <v>5323</v>
      </c>
      <c r="C4647" s="211">
        <v>853</v>
      </c>
      <c r="D4647" s="211" t="s">
        <v>1117</v>
      </c>
      <c r="E4647" s="211" t="s">
        <v>10385</v>
      </c>
      <c r="F4647" s="211" t="s">
        <v>7398</v>
      </c>
    </row>
    <row r="4648" spans="1:6">
      <c r="A4648" s="211" t="s">
        <v>8297</v>
      </c>
      <c r="B4648" s="211">
        <v>3406</v>
      </c>
      <c r="C4648" s="211" t="s">
        <v>10385</v>
      </c>
      <c r="D4648" s="211" t="s">
        <v>1255</v>
      </c>
      <c r="E4648" s="211" t="s">
        <v>10385</v>
      </c>
      <c r="F4648" s="211" t="s">
        <v>7297</v>
      </c>
    </row>
    <row r="4649" spans="1:6">
      <c r="A4649" s="211" t="s">
        <v>4032</v>
      </c>
      <c r="B4649" s="211">
        <v>2533</v>
      </c>
      <c r="C4649" s="211">
        <v>1277</v>
      </c>
      <c r="D4649" s="211" t="s">
        <v>1255</v>
      </c>
      <c r="E4649" s="211" t="s">
        <v>10385</v>
      </c>
      <c r="F4649" s="211" t="s">
        <v>7297</v>
      </c>
    </row>
    <row r="4650" spans="1:6">
      <c r="A4650" s="211" t="s">
        <v>5145</v>
      </c>
      <c r="B4650" s="211">
        <v>6687</v>
      </c>
      <c r="C4650" s="211">
        <v>1207</v>
      </c>
      <c r="D4650" s="211" t="s">
        <v>1255</v>
      </c>
      <c r="E4650" s="211" t="s">
        <v>10794</v>
      </c>
      <c r="F4650" s="211" t="s">
        <v>7383</v>
      </c>
    </row>
    <row r="4651" spans="1:6">
      <c r="A4651" s="211" t="s">
        <v>4033</v>
      </c>
      <c r="B4651" s="211">
        <v>3038</v>
      </c>
      <c r="C4651" s="211">
        <v>1400</v>
      </c>
      <c r="D4651" s="211" t="s">
        <v>1255</v>
      </c>
      <c r="E4651" s="211" t="s">
        <v>10385</v>
      </c>
      <c r="F4651" s="211" t="s">
        <v>7282</v>
      </c>
    </row>
    <row r="4652" spans="1:6">
      <c r="A4652" s="211" t="s">
        <v>9764</v>
      </c>
      <c r="B4652" s="211">
        <v>8278</v>
      </c>
      <c r="C4652" s="211" t="s">
        <v>10385</v>
      </c>
      <c r="D4652" s="211" t="s">
        <v>1255</v>
      </c>
      <c r="E4652" s="211" t="s">
        <v>10385</v>
      </c>
      <c r="F4652" s="211" t="s">
        <v>7233</v>
      </c>
    </row>
    <row r="4653" spans="1:6">
      <c r="A4653" s="211" t="s">
        <v>4034</v>
      </c>
      <c r="B4653" s="211">
        <v>3845</v>
      </c>
      <c r="C4653" s="211">
        <v>1421</v>
      </c>
      <c r="D4653" s="211" t="s">
        <v>1255</v>
      </c>
      <c r="E4653" s="211" t="s">
        <v>10385</v>
      </c>
      <c r="F4653" s="211" t="s">
        <v>7202</v>
      </c>
    </row>
    <row r="4654" spans="1:6">
      <c r="A4654" s="211" t="s">
        <v>4035</v>
      </c>
      <c r="B4654" s="211">
        <v>2117</v>
      </c>
      <c r="C4654" s="211">
        <v>1583</v>
      </c>
      <c r="D4654" s="211" t="s">
        <v>1255</v>
      </c>
      <c r="E4654" s="211" t="s">
        <v>10385</v>
      </c>
      <c r="F4654" s="211" t="s">
        <v>7199</v>
      </c>
    </row>
    <row r="4655" spans="1:6">
      <c r="A4655" s="211" t="s">
        <v>10385</v>
      </c>
      <c r="B4655" s="211">
        <v>7070</v>
      </c>
      <c r="C4655" s="211" t="s">
        <v>10385</v>
      </c>
      <c r="D4655" s="211" t="s">
        <v>1255</v>
      </c>
      <c r="E4655" s="211" t="s">
        <v>10385</v>
      </c>
      <c r="F4655" s="211" t="s">
        <v>7581</v>
      </c>
    </row>
    <row r="4656" spans="1:6">
      <c r="A4656" s="211" t="s">
        <v>8298</v>
      </c>
      <c r="B4656" s="211">
        <v>5125</v>
      </c>
      <c r="C4656" s="211" t="s">
        <v>10385</v>
      </c>
      <c r="D4656" s="211" t="s">
        <v>1255</v>
      </c>
      <c r="E4656" s="211" t="s">
        <v>10385</v>
      </c>
      <c r="F4656" s="211" t="s">
        <v>7263</v>
      </c>
    </row>
    <row r="4657" spans="1:6">
      <c r="A4657" s="211" t="s">
        <v>8299</v>
      </c>
      <c r="B4657" s="211">
        <v>3173</v>
      </c>
      <c r="C4657" s="211" t="s">
        <v>10385</v>
      </c>
      <c r="D4657" s="211" t="s">
        <v>1255</v>
      </c>
      <c r="E4657" s="211" t="s">
        <v>10385</v>
      </c>
      <c r="F4657" s="211" t="s">
        <v>7356</v>
      </c>
    </row>
    <row r="4658" spans="1:6">
      <c r="A4658" s="211" t="s">
        <v>4036</v>
      </c>
      <c r="B4658" s="211">
        <v>1655</v>
      </c>
      <c r="C4658" s="211">
        <v>1081</v>
      </c>
      <c r="D4658" s="211" t="s">
        <v>1255</v>
      </c>
      <c r="E4658" s="211" t="s">
        <v>10385</v>
      </c>
      <c r="F4658" s="211" t="s">
        <v>7201</v>
      </c>
    </row>
    <row r="4659" spans="1:6">
      <c r="A4659" s="211" t="s">
        <v>4037</v>
      </c>
      <c r="B4659" s="211">
        <v>4994</v>
      </c>
      <c r="C4659" s="211">
        <v>976</v>
      </c>
      <c r="D4659" s="211" t="s">
        <v>1255</v>
      </c>
      <c r="E4659" s="211" t="s">
        <v>10385</v>
      </c>
      <c r="F4659" s="211" t="s">
        <v>7479</v>
      </c>
    </row>
    <row r="4660" spans="1:6">
      <c r="A4660" s="211" t="s">
        <v>9765</v>
      </c>
      <c r="B4660" s="211">
        <v>8239</v>
      </c>
      <c r="C4660" s="211">
        <v>1201</v>
      </c>
      <c r="D4660" s="211" t="s">
        <v>1117</v>
      </c>
      <c r="E4660" s="211" t="s">
        <v>10385</v>
      </c>
      <c r="F4660" s="211" t="s">
        <v>7384</v>
      </c>
    </row>
    <row r="4661" spans="1:6">
      <c r="A4661" s="211" t="s">
        <v>4038</v>
      </c>
      <c r="B4661" s="211">
        <v>4502</v>
      </c>
      <c r="C4661" s="211">
        <v>778</v>
      </c>
      <c r="D4661" s="211" t="s">
        <v>1255</v>
      </c>
      <c r="E4661" s="211" t="s">
        <v>10385</v>
      </c>
      <c r="F4661" s="211" t="s">
        <v>7162</v>
      </c>
    </row>
    <row r="4662" spans="1:6">
      <c r="A4662" s="211" t="s">
        <v>2992</v>
      </c>
      <c r="B4662" s="211">
        <v>1474</v>
      </c>
      <c r="C4662" s="211">
        <v>891</v>
      </c>
      <c r="D4662" s="211" t="s">
        <v>1255</v>
      </c>
      <c r="E4662" s="211" t="s">
        <v>10385</v>
      </c>
      <c r="F4662" s="211" t="s">
        <v>7384</v>
      </c>
    </row>
    <row r="4663" spans="1:6">
      <c r="A4663" s="211" t="s">
        <v>4039</v>
      </c>
      <c r="B4663" s="211">
        <v>5655</v>
      </c>
      <c r="C4663" s="211">
        <v>733</v>
      </c>
      <c r="D4663" s="211" t="s">
        <v>1117</v>
      </c>
      <c r="E4663" s="211" t="s">
        <v>10385</v>
      </c>
      <c r="F4663" s="211" t="s">
        <v>7186</v>
      </c>
    </row>
    <row r="4664" spans="1:6">
      <c r="A4664" s="211" t="s">
        <v>9766</v>
      </c>
      <c r="B4664" s="211">
        <v>8463</v>
      </c>
      <c r="C4664" s="211">
        <v>997</v>
      </c>
      <c r="D4664" s="211" t="s">
        <v>1255</v>
      </c>
      <c r="E4664" s="211" t="s">
        <v>9767</v>
      </c>
      <c r="F4664" s="211" t="s">
        <v>7287</v>
      </c>
    </row>
    <row r="4665" spans="1:6">
      <c r="A4665" s="211" t="s">
        <v>3043</v>
      </c>
      <c r="B4665" s="211">
        <v>1241</v>
      </c>
      <c r="C4665" s="211">
        <v>1303</v>
      </c>
      <c r="D4665" s="211" t="s">
        <v>1255</v>
      </c>
      <c r="E4665" s="211" t="s">
        <v>10385</v>
      </c>
      <c r="F4665" s="211" t="s">
        <v>7264</v>
      </c>
    </row>
    <row r="4666" spans="1:6">
      <c r="A4666" s="211" t="s">
        <v>4040</v>
      </c>
      <c r="B4666" s="211">
        <v>5860</v>
      </c>
      <c r="C4666" s="211">
        <v>2397</v>
      </c>
      <c r="D4666" s="211" t="s">
        <v>1117</v>
      </c>
      <c r="E4666" s="211" t="s">
        <v>10385</v>
      </c>
      <c r="F4666" s="211" t="s">
        <v>7247</v>
      </c>
    </row>
    <row r="4667" spans="1:6">
      <c r="A4667" s="211" t="s">
        <v>4041</v>
      </c>
      <c r="B4667" s="211">
        <v>2351</v>
      </c>
      <c r="C4667" s="211">
        <v>1404</v>
      </c>
      <c r="D4667" s="211" t="s">
        <v>1255</v>
      </c>
      <c r="E4667" s="211" t="s">
        <v>10385</v>
      </c>
      <c r="F4667" s="211" t="s">
        <v>7274</v>
      </c>
    </row>
    <row r="4668" spans="1:6">
      <c r="A4668" s="211" t="s">
        <v>9768</v>
      </c>
      <c r="B4668" s="211">
        <v>8511</v>
      </c>
      <c r="C4668" s="211">
        <v>1123</v>
      </c>
      <c r="D4668" s="211" t="s">
        <v>1255</v>
      </c>
      <c r="E4668" s="211" t="s">
        <v>9769</v>
      </c>
      <c r="F4668" s="211" t="s">
        <v>7165</v>
      </c>
    </row>
    <row r="4669" spans="1:6">
      <c r="A4669" s="211" t="s">
        <v>4042</v>
      </c>
      <c r="B4669" s="211">
        <v>2861</v>
      </c>
      <c r="C4669" s="211">
        <v>1224</v>
      </c>
      <c r="D4669" s="211" t="s">
        <v>1255</v>
      </c>
      <c r="E4669" s="211" t="s">
        <v>10385</v>
      </c>
      <c r="F4669" s="211" t="s">
        <v>7212</v>
      </c>
    </row>
    <row r="4670" spans="1:6">
      <c r="A4670" s="211" t="s">
        <v>6023</v>
      </c>
      <c r="B4670" s="211">
        <v>7273</v>
      </c>
      <c r="C4670" s="211">
        <v>1285</v>
      </c>
      <c r="D4670" s="211" t="s">
        <v>1255</v>
      </c>
      <c r="E4670" s="211" t="s">
        <v>10385</v>
      </c>
      <c r="F4670" s="211" t="s">
        <v>7322</v>
      </c>
    </row>
    <row r="4671" spans="1:6">
      <c r="A4671" s="211" t="s">
        <v>8300</v>
      </c>
      <c r="B4671" s="211">
        <v>5544</v>
      </c>
      <c r="C4671" s="211" t="s">
        <v>10385</v>
      </c>
      <c r="D4671" s="211" t="s">
        <v>1255</v>
      </c>
      <c r="E4671" s="211" t="s">
        <v>10385</v>
      </c>
      <c r="F4671" s="211" t="s">
        <v>7398</v>
      </c>
    </row>
    <row r="4672" spans="1:6">
      <c r="A4672" s="211" t="s">
        <v>4043</v>
      </c>
      <c r="B4672" s="211">
        <v>4958</v>
      </c>
      <c r="C4672" s="211">
        <v>894</v>
      </c>
      <c r="D4672" s="211" t="s">
        <v>1255</v>
      </c>
      <c r="E4672" s="211" t="s">
        <v>10385</v>
      </c>
      <c r="F4672" s="211" t="s">
        <v>7310</v>
      </c>
    </row>
    <row r="4673" spans="1:6">
      <c r="A4673" s="211" t="s">
        <v>4044</v>
      </c>
      <c r="B4673" s="211">
        <v>5726</v>
      </c>
      <c r="C4673" s="211">
        <v>979</v>
      </c>
      <c r="D4673" s="211" t="s">
        <v>1255</v>
      </c>
      <c r="E4673" s="211" t="s">
        <v>10385</v>
      </c>
      <c r="F4673" s="211" t="s">
        <v>7344</v>
      </c>
    </row>
    <row r="4674" spans="1:6">
      <c r="A4674" s="211" t="s">
        <v>8301</v>
      </c>
      <c r="B4674" s="211">
        <v>6</v>
      </c>
      <c r="C4674" s="211" t="s">
        <v>10385</v>
      </c>
      <c r="D4674" s="211" t="s">
        <v>1255</v>
      </c>
      <c r="E4674" s="211" t="s">
        <v>10385</v>
      </c>
      <c r="F4674" s="211" t="s">
        <v>7196</v>
      </c>
    </row>
    <row r="4675" spans="1:6">
      <c r="A4675" s="211" t="s">
        <v>4045</v>
      </c>
      <c r="B4675" s="211">
        <v>4217</v>
      </c>
      <c r="C4675" s="211">
        <v>1152</v>
      </c>
      <c r="D4675" s="211" t="s">
        <v>1255</v>
      </c>
      <c r="E4675" s="211" t="s">
        <v>10385</v>
      </c>
      <c r="F4675" s="211" t="s">
        <v>7235</v>
      </c>
    </row>
    <row r="4676" spans="1:6">
      <c r="A4676" s="211" t="s">
        <v>8302</v>
      </c>
      <c r="B4676" s="211">
        <v>83</v>
      </c>
      <c r="C4676" s="211" t="s">
        <v>10385</v>
      </c>
      <c r="D4676" s="211" t="s">
        <v>1255</v>
      </c>
      <c r="E4676" s="211" t="s">
        <v>10385</v>
      </c>
      <c r="F4676" s="211" t="s">
        <v>7223</v>
      </c>
    </row>
    <row r="4677" spans="1:6">
      <c r="A4677" s="211" t="s">
        <v>10795</v>
      </c>
      <c r="B4677" s="211">
        <v>8678</v>
      </c>
      <c r="C4677" s="211">
        <v>756</v>
      </c>
      <c r="D4677" s="211" t="s">
        <v>1255</v>
      </c>
      <c r="E4677" s="211" t="s">
        <v>9771</v>
      </c>
      <c r="F4677" s="211" t="s">
        <v>9059</v>
      </c>
    </row>
    <row r="4678" spans="1:6">
      <c r="A4678" s="211" t="s">
        <v>9770</v>
      </c>
      <c r="B4678" s="211">
        <v>8361</v>
      </c>
      <c r="C4678" s="211">
        <v>945</v>
      </c>
      <c r="D4678" s="211" t="s">
        <v>1255</v>
      </c>
      <c r="E4678" s="211" t="s">
        <v>9771</v>
      </c>
      <c r="F4678" s="211" t="s">
        <v>9059</v>
      </c>
    </row>
    <row r="4679" spans="1:6">
      <c r="A4679" s="211" t="s">
        <v>4046</v>
      </c>
      <c r="B4679" s="211">
        <v>3439</v>
      </c>
      <c r="C4679" s="211">
        <v>1230</v>
      </c>
      <c r="D4679" s="211" t="s">
        <v>1255</v>
      </c>
      <c r="E4679" s="211" t="s">
        <v>10385</v>
      </c>
      <c r="F4679" s="211" t="s">
        <v>7402</v>
      </c>
    </row>
    <row r="4680" spans="1:6">
      <c r="A4680" s="211" t="s">
        <v>6941</v>
      </c>
      <c r="B4680" s="211">
        <v>7620</v>
      </c>
      <c r="C4680" s="211">
        <v>1638</v>
      </c>
      <c r="D4680" s="211" t="s">
        <v>1255</v>
      </c>
      <c r="E4680" s="211" t="s">
        <v>10385</v>
      </c>
      <c r="F4680" s="211" t="s">
        <v>7375</v>
      </c>
    </row>
    <row r="4681" spans="1:6">
      <c r="A4681" s="211" t="s">
        <v>4047</v>
      </c>
      <c r="B4681" s="211">
        <v>4340</v>
      </c>
      <c r="C4681" s="211">
        <v>1115</v>
      </c>
      <c r="D4681" s="211" t="s">
        <v>1255</v>
      </c>
      <c r="E4681" s="211" t="s">
        <v>10385</v>
      </c>
      <c r="F4681" s="211" t="s">
        <v>7212</v>
      </c>
    </row>
    <row r="4682" spans="1:6">
      <c r="A4682" s="211" t="s">
        <v>6942</v>
      </c>
      <c r="B4682" s="211">
        <v>7807</v>
      </c>
      <c r="C4682" s="211">
        <v>791</v>
      </c>
      <c r="D4682" s="211" t="s">
        <v>1255</v>
      </c>
      <c r="E4682" s="211" t="s">
        <v>10385</v>
      </c>
      <c r="F4682" s="211" t="s">
        <v>7272</v>
      </c>
    </row>
    <row r="4683" spans="1:6">
      <c r="A4683" s="211" t="s">
        <v>3019</v>
      </c>
      <c r="B4683" s="211">
        <v>1846</v>
      </c>
      <c r="C4683" s="211">
        <v>933</v>
      </c>
      <c r="D4683" s="211" t="s">
        <v>1117</v>
      </c>
      <c r="E4683" s="211" t="s">
        <v>10385</v>
      </c>
      <c r="F4683" s="211" t="s">
        <v>7335</v>
      </c>
    </row>
    <row r="4684" spans="1:6">
      <c r="A4684" s="211" t="s">
        <v>4048</v>
      </c>
      <c r="B4684" s="211">
        <v>4503</v>
      </c>
      <c r="C4684" s="211">
        <v>921</v>
      </c>
      <c r="D4684" s="211" t="s">
        <v>1255</v>
      </c>
      <c r="E4684" s="211" t="s">
        <v>10385</v>
      </c>
      <c r="F4684" s="211" t="s">
        <v>7420</v>
      </c>
    </row>
    <row r="4685" spans="1:6">
      <c r="A4685" s="211" t="s">
        <v>4049</v>
      </c>
      <c r="B4685" s="211">
        <v>4043</v>
      </c>
      <c r="C4685" s="211">
        <v>1039</v>
      </c>
      <c r="D4685" s="211" t="s">
        <v>1255</v>
      </c>
      <c r="E4685" s="211" t="s">
        <v>10385</v>
      </c>
      <c r="F4685" s="211" t="s">
        <v>7189</v>
      </c>
    </row>
    <row r="4686" spans="1:6">
      <c r="A4686" s="211" t="s">
        <v>6024</v>
      </c>
      <c r="B4686" s="211">
        <v>7529</v>
      </c>
      <c r="C4686" s="211">
        <v>1271</v>
      </c>
      <c r="D4686" s="211" t="s">
        <v>1117</v>
      </c>
      <c r="E4686" s="211" t="s">
        <v>10385</v>
      </c>
      <c r="F4686" s="211" t="s">
        <v>7224</v>
      </c>
    </row>
    <row r="4687" spans="1:6">
      <c r="A4687" s="211" t="s">
        <v>4050</v>
      </c>
      <c r="B4687" s="211">
        <v>2033</v>
      </c>
      <c r="C4687" s="211">
        <v>1312</v>
      </c>
      <c r="D4687" s="211" t="s">
        <v>1255</v>
      </c>
      <c r="E4687" s="211" t="s">
        <v>10385</v>
      </c>
      <c r="F4687" s="211" t="s">
        <v>7262</v>
      </c>
    </row>
    <row r="4688" spans="1:6">
      <c r="A4688" s="211" t="s">
        <v>8303</v>
      </c>
      <c r="B4688" s="211">
        <v>3184</v>
      </c>
      <c r="C4688" s="211" t="s">
        <v>10385</v>
      </c>
      <c r="D4688" s="211" t="s">
        <v>1255</v>
      </c>
      <c r="E4688" s="211" t="s">
        <v>10385</v>
      </c>
      <c r="F4688" s="211" t="s">
        <v>7322</v>
      </c>
    </row>
    <row r="4689" spans="1:6">
      <c r="A4689" s="211" t="s">
        <v>4051</v>
      </c>
      <c r="B4689" s="211">
        <v>3438</v>
      </c>
      <c r="C4689" s="211">
        <v>1453</v>
      </c>
      <c r="D4689" s="211" t="s">
        <v>1255</v>
      </c>
      <c r="E4689" s="211" t="s">
        <v>10385</v>
      </c>
      <c r="F4689" s="211" t="s">
        <v>7243</v>
      </c>
    </row>
    <row r="4690" spans="1:6">
      <c r="A4690" s="211" t="s">
        <v>4052</v>
      </c>
      <c r="B4690" s="211">
        <v>3920</v>
      </c>
      <c r="C4690" s="211">
        <v>2286</v>
      </c>
      <c r="D4690" s="211" t="s">
        <v>1255</v>
      </c>
      <c r="E4690" s="211" t="s">
        <v>4053</v>
      </c>
      <c r="F4690" s="211" t="s">
        <v>7603</v>
      </c>
    </row>
    <row r="4691" spans="1:6">
      <c r="A4691" s="211" t="s">
        <v>9772</v>
      </c>
      <c r="B4691" s="211">
        <v>8474</v>
      </c>
      <c r="C4691" s="211">
        <v>1008</v>
      </c>
      <c r="D4691" s="211" t="s">
        <v>1255</v>
      </c>
      <c r="E4691" s="211" t="s">
        <v>9773</v>
      </c>
      <c r="F4691" s="211" t="s">
        <v>7356</v>
      </c>
    </row>
    <row r="4692" spans="1:6">
      <c r="A4692" s="211" t="s">
        <v>6025</v>
      </c>
      <c r="B4692" s="211">
        <v>7337</v>
      </c>
      <c r="C4692" s="211">
        <v>747</v>
      </c>
      <c r="D4692" s="211" t="s">
        <v>1255</v>
      </c>
      <c r="E4692" s="211" t="s">
        <v>6026</v>
      </c>
      <c r="F4692" s="211" t="s">
        <v>7375</v>
      </c>
    </row>
    <row r="4693" spans="1:6">
      <c r="A4693" s="211" t="s">
        <v>8304</v>
      </c>
      <c r="B4693" s="211">
        <v>3605</v>
      </c>
      <c r="C4693" s="211" t="s">
        <v>10385</v>
      </c>
      <c r="D4693" s="211" t="s">
        <v>1255</v>
      </c>
      <c r="E4693" s="211" t="s">
        <v>10385</v>
      </c>
      <c r="F4693" s="211" t="s">
        <v>7205</v>
      </c>
    </row>
    <row r="4694" spans="1:6">
      <c r="A4694" s="211" t="s">
        <v>4054</v>
      </c>
      <c r="B4694" s="211">
        <v>3893</v>
      </c>
      <c r="C4694" s="211">
        <v>997</v>
      </c>
      <c r="D4694" s="211" t="s">
        <v>1255</v>
      </c>
      <c r="E4694" s="211" t="s">
        <v>10385</v>
      </c>
      <c r="F4694" s="211" t="s">
        <v>7760</v>
      </c>
    </row>
    <row r="4695" spans="1:6">
      <c r="A4695" s="211" t="s">
        <v>4055</v>
      </c>
      <c r="B4695" s="211">
        <v>4330</v>
      </c>
      <c r="C4695" s="211">
        <v>1699</v>
      </c>
      <c r="D4695" s="211" t="s">
        <v>1255</v>
      </c>
      <c r="E4695" s="211" t="s">
        <v>6027</v>
      </c>
      <c r="F4695" s="211" t="s">
        <v>7277</v>
      </c>
    </row>
    <row r="4696" spans="1:6">
      <c r="A4696" s="211" t="s">
        <v>4056</v>
      </c>
      <c r="B4696" s="211">
        <v>1542</v>
      </c>
      <c r="C4696" s="211">
        <v>896</v>
      </c>
      <c r="D4696" s="211" t="s">
        <v>1255</v>
      </c>
      <c r="E4696" s="211" t="s">
        <v>10385</v>
      </c>
      <c r="F4696" s="211" t="s">
        <v>7233</v>
      </c>
    </row>
    <row r="4697" spans="1:6">
      <c r="A4697" s="211" t="s">
        <v>4057</v>
      </c>
      <c r="B4697" s="211">
        <v>2265</v>
      </c>
      <c r="C4697" s="211">
        <v>1398</v>
      </c>
      <c r="D4697" s="211" t="s">
        <v>1255</v>
      </c>
      <c r="E4697" s="211" t="s">
        <v>10385</v>
      </c>
      <c r="F4697" s="211" t="s">
        <v>7160</v>
      </c>
    </row>
    <row r="4698" spans="1:6">
      <c r="A4698" s="211" t="s">
        <v>4058</v>
      </c>
      <c r="B4698" s="211">
        <v>5027</v>
      </c>
      <c r="C4698" s="211">
        <v>1762</v>
      </c>
      <c r="D4698" s="211" t="s">
        <v>1255</v>
      </c>
      <c r="E4698" s="211" t="s">
        <v>10385</v>
      </c>
      <c r="F4698" s="211" t="s">
        <v>7272</v>
      </c>
    </row>
    <row r="4699" spans="1:6">
      <c r="A4699" s="211" t="s">
        <v>4059</v>
      </c>
      <c r="B4699" s="211">
        <v>5963</v>
      </c>
      <c r="C4699" s="211">
        <v>1603</v>
      </c>
      <c r="D4699" s="211" t="s">
        <v>1255</v>
      </c>
      <c r="E4699" s="211" t="s">
        <v>10385</v>
      </c>
      <c r="F4699" s="211" t="s">
        <v>7471</v>
      </c>
    </row>
    <row r="4700" spans="1:6">
      <c r="A4700" s="211" t="s">
        <v>4060</v>
      </c>
      <c r="B4700" s="211">
        <v>5080</v>
      </c>
      <c r="C4700" s="211">
        <v>1432</v>
      </c>
      <c r="D4700" s="211" t="s">
        <v>1117</v>
      </c>
      <c r="E4700" s="211" t="s">
        <v>10385</v>
      </c>
      <c r="F4700" s="211" t="s">
        <v>7471</v>
      </c>
    </row>
    <row r="4701" spans="1:6">
      <c r="A4701" s="211" t="s">
        <v>9774</v>
      </c>
      <c r="B4701" s="211">
        <v>8468</v>
      </c>
      <c r="C4701" s="211" t="s">
        <v>10385</v>
      </c>
      <c r="D4701" s="211" t="s">
        <v>1255</v>
      </c>
      <c r="E4701" s="211" t="s">
        <v>10796</v>
      </c>
      <c r="F4701" s="211" t="s">
        <v>7382</v>
      </c>
    </row>
    <row r="4702" spans="1:6">
      <c r="A4702" s="211" t="s">
        <v>9775</v>
      </c>
      <c r="B4702" s="211">
        <v>8373</v>
      </c>
      <c r="C4702" s="211">
        <v>1002</v>
      </c>
      <c r="D4702" s="211" t="s">
        <v>1255</v>
      </c>
      <c r="E4702" s="211" t="s">
        <v>9776</v>
      </c>
      <c r="F4702" s="211" t="s">
        <v>7414</v>
      </c>
    </row>
    <row r="4703" spans="1:6">
      <c r="A4703" s="211" t="s">
        <v>4061</v>
      </c>
      <c r="B4703" s="211">
        <v>5006</v>
      </c>
      <c r="C4703" s="211">
        <v>1438</v>
      </c>
      <c r="D4703" s="211" t="s">
        <v>1255</v>
      </c>
      <c r="E4703" s="211" t="s">
        <v>10385</v>
      </c>
      <c r="F4703" s="211" t="s">
        <v>7223</v>
      </c>
    </row>
    <row r="4704" spans="1:6">
      <c r="A4704" s="211" t="s">
        <v>10797</v>
      </c>
      <c r="B4704" s="211">
        <v>8823</v>
      </c>
      <c r="C4704" s="211">
        <v>697</v>
      </c>
      <c r="D4704" s="211" t="s">
        <v>1117</v>
      </c>
      <c r="E4704" s="211" t="s">
        <v>10798</v>
      </c>
      <c r="F4704" s="211" t="s">
        <v>7661</v>
      </c>
    </row>
    <row r="4705" spans="1:6">
      <c r="A4705" s="211" t="s">
        <v>5146</v>
      </c>
      <c r="B4705" s="211">
        <v>6910</v>
      </c>
      <c r="C4705" s="211">
        <v>809</v>
      </c>
      <c r="D4705" s="211" t="s">
        <v>1255</v>
      </c>
      <c r="E4705" s="211" t="s">
        <v>10385</v>
      </c>
      <c r="F4705" s="211" t="s">
        <v>7331</v>
      </c>
    </row>
    <row r="4706" spans="1:6">
      <c r="A4706" s="211" t="s">
        <v>10799</v>
      </c>
      <c r="B4706" s="211">
        <v>8590</v>
      </c>
      <c r="C4706" s="211" t="s">
        <v>10385</v>
      </c>
      <c r="D4706" s="211" t="s">
        <v>1255</v>
      </c>
      <c r="E4706" s="211" t="s">
        <v>10800</v>
      </c>
      <c r="F4706" s="211" t="s">
        <v>7224</v>
      </c>
    </row>
    <row r="4707" spans="1:6">
      <c r="A4707" s="211" t="s">
        <v>4062</v>
      </c>
      <c r="B4707" s="211">
        <v>3367</v>
      </c>
      <c r="C4707" s="211">
        <v>767</v>
      </c>
      <c r="D4707" s="211" t="s">
        <v>1255</v>
      </c>
      <c r="E4707" s="211" t="s">
        <v>10385</v>
      </c>
      <c r="F4707" s="211" t="s">
        <v>7581</v>
      </c>
    </row>
    <row r="4708" spans="1:6">
      <c r="A4708" s="211" t="s">
        <v>8305</v>
      </c>
      <c r="B4708" s="211">
        <v>1391</v>
      </c>
      <c r="C4708" s="211" t="s">
        <v>10385</v>
      </c>
      <c r="D4708" s="211" t="s">
        <v>1255</v>
      </c>
      <c r="E4708" s="211" t="s">
        <v>10385</v>
      </c>
      <c r="F4708" s="211" t="s">
        <v>7267</v>
      </c>
    </row>
    <row r="4709" spans="1:6">
      <c r="A4709" s="211" t="s">
        <v>5147</v>
      </c>
      <c r="B4709" s="211">
        <v>5460</v>
      </c>
      <c r="C4709" s="211">
        <v>927</v>
      </c>
      <c r="D4709" s="211" t="s">
        <v>1255</v>
      </c>
      <c r="E4709" s="211" t="s">
        <v>9777</v>
      </c>
      <c r="F4709" s="211" t="s">
        <v>7310</v>
      </c>
    </row>
    <row r="4710" spans="1:6">
      <c r="A4710" s="211" t="s">
        <v>4063</v>
      </c>
      <c r="B4710" s="211">
        <v>3000</v>
      </c>
      <c r="C4710" s="211">
        <v>1189</v>
      </c>
      <c r="D4710" s="211" t="s">
        <v>1255</v>
      </c>
      <c r="E4710" s="211" t="s">
        <v>10385</v>
      </c>
      <c r="F4710" s="211" t="s">
        <v>8160</v>
      </c>
    </row>
    <row r="4711" spans="1:6">
      <c r="A4711" s="211" t="s">
        <v>8306</v>
      </c>
      <c r="B4711" s="211">
        <v>1686</v>
      </c>
      <c r="C4711" s="211" t="s">
        <v>10385</v>
      </c>
      <c r="D4711" s="211" t="s">
        <v>1255</v>
      </c>
      <c r="E4711" s="211" t="s">
        <v>10385</v>
      </c>
      <c r="F4711" s="211" t="s">
        <v>7459</v>
      </c>
    </row>
    <row r="4712" spans="1:6">
      <c r="A4712" s="211" t="s">
        <v>4064</v>
      </c>
      <c r="B4712" s="211">
        <v>5773</v>
      </c>
      <c r="C4712" s="211">
        <v>1255</v>
      </c>
      <c r="D4712" s="211" t="s">
        <v>1255</v>
      </c>
      <c r="E4712" s="211" t="s">
        <v>10385</v>
      </c>
      <c r="F4712" s="211" t="s">
        <v>7425</v>
      </c>
    </row>
    <row r="4713" spans="1:6">
      <c r="A4713" s="211" t="s">
        <v>8307</v>
      </c>
      <c r="B4713" s="211">
        <v>1942</v>
      </c>
      <c r="C4713" s="211" t="s">
        <v>10385</v>
      </c>
      <c r="D4713" s="211" t="s">
        <v>1255</v>
      </c>
      <c r="E4713" s="211" t="s">
        <v>10385</v>
      </c>
      <c r="F4713" s="211" t="s">
        <v>7419</v>
      </c>
    </row>
    <row r="4714" spans="1:6">
      <c r="A4714" s="211" t="s">
        <v>8308</v>
      </c>
      <c r="B4714" s="211">
        <v>630</v>
      </c>
      <c r="C4714" s="211" t="s">
        <v>10385</v>
      </c>
      <c r="D4714" s="211" t="s">
        <v>1255</v>
      </c>
      <c r="E4714" s="211" t="s">
        <v>10385</v>
      </c>
      <c r="F4714" s="211" t="s">
        <v>7677</v>
      </c>
    </row>
    <row r="4715" spans="1:6">
      <c r="A4715" s="211" t="s">
        <v>9778</v>
      </c>
      <c r="B4715" s="211">
        <v>8246</v>
      </c>
      <c r="C4715" s="211">
        <v>792</v>
      </c>
      <c r="D4715" s="211" t="s">
        <v>1255</v>
      </c>
      <c r="E4715" s="211" t="s">
        <v>10385</v>
      </c>
      <c r="F4715" s="211" t="s">
        <v>7246</v>
      </c>
    </row>
    <row r="4716" spans="1:6">
      <c r="A4716" s="211" t="s">
        <v>4065</v>
      </c>
      <c r="B4716" s="211">
        <v>4847</v>
      </c>
      <c r="C4716" s="211">
        <v>1086</v>
      </c>
      <c r="D4716" s="211" t="s">
        <v>1255</v>
      </c>
      <c r="E4716" s="211" t="s">
        <v>10385</v>
      </c>
      <c r="F4716" s="211" t="s">
        <v>7194</v>
      </c>
    </row>
    <row r="4717" spans="1:6">
      <c r="A4717" s="211" t="s">
        <v>4066</v>
      </c>
      <c r="B4717" s="211">
        <v>2552</v>
      </c>
      <c r="C4717" s="211">
        <v>977</v>
      </c>
      <c r="D4717" s="211" t="s">
        <v>1255</v>
      </c>
      <c r="E4717" s="211" t="s">
        <v>10385</v>
      </c>
      <c r="F4717" s="211" t="s">
        <v>7534</v>
      </c>
    </row>
    <row r="4718" spans="1:6">
      <c r="A4718" s="211" t="s">
        <v>4067</v>
      </c>
      <c r="B4718" s="211">
        <v>1072</v>
      </c>
      <c r="C4718" s="211">
        <v>1222</v>
      </c>
      <c r="D4718" s="211" t="s">
        <v>1255</v>
      </c>
      <c r="E4718" s="211" t="s">
        <v>10385</v>
      </c>
      <c r="F4718" s="211" t="s">
        <v>7212</v>
      </c>
    </row>
    <row r="4719" spans="1:6">
      <c r="A4719" s="211" t="s">
        <v>4068</v>
      </c>
      <c r="B4719" s="211">
        <v>3730</v>
      </c>
      <c r="C4719" s="211">
        <v>1239</v>
      </c>
      <c r="D4719" s="211" t="s">
        <v>1255</v>
      </c>
      <c r="E4719" s="211" t="s">
        <v>10385</v>
      </c>
      <c r="F4719" s="211" t="s">
        <v>7213</v>
      </c>
    </row>
    <row r="4720" spans="1:6">
      <c r="A4720" s="211" t="s">
        <v>8309</v>
      </c>
      <c r="B4720" s="211">
        <v>5193</v>
      </c>
      <c r="C4720" s="211" t="s">
        <v>10385</v>
      </c>
      <c r="D4720" s="211" t="s">
        <v>1255</v>
      </c>
      <c r="E4720" s="211" t="s">
        <v>10385</v>
      </c>
      <c r="F4720" s="211" t="s">
        <v>7189</v>
      </c>
    </row>
    <row r="4721" spans="1:6">
      <c r="A4721" s="211" t="s">
        <v>5148</v>
      </c>
      <c r="B4721" s="211">
        <v>6753</v>
      </c>
      <c r="C4721" s="211">
        <v>997</v>
      </c>
      <c r="D4721" s="211" t="s">
        <v>1255</v>
      </c>
      <c r="E4721" s="211" t="s">
        <v>10385</v>
      </c>
      <c r="F4721" s="211" t="s">
        <v>7257</v>
      </c>
    </row>
    <row r="4722" spans="1:6">
      <c r="A4722" s="211" t="s">
        <v>2907</v>
      </c>
      <c r="B4722" s="211">
        <v>3010</v>
      </c>
      <c r="C4722" s="211">
        <v>1058</v>
      </c>
      <c r="D4722" s="211" t="s">
        <v>1255</v>
      </c>
      <c r="E4722" s="211" t="s">
        <v>10385</v>
      </c>
      <c r="F4722" s="211" t="s">
        <v>7446</v>
      </c>
    </row>
    <row r="4723" spans="1:6">
      <c r="A4723" s="211" t="s">
        <v>4069</v>
      </c>
      <c r="B4723" s="211">
        <v>2375</v>
      </c>
      <c r="C4723" s="211">
        <v>952</v>
      </c>
      <c r="D4723" s="211" t="s">
        <v>1255</v>
      </c>
      <c r="E4723" s="211" t="s">
        <v>10385</v>
      </c>
      <c r="F4723" s="211" t="s">
        <v>7330</v>
      </c>
    </row>
    <row r="4724" spans="1:6">
      <c r="A4724" s="211" t="s">
        <v>4070</v>
      </c>
      <c r="B4724" s="211">
        <v>3751</v>
      </c>
      <c r="C4724" s="211">
        <v>876</v>
      </c>
      <c r="D4724" s="211" t="s">
        <v>1255</v>
      </c>
      <c r="E4724" s="211" t="s">
        <v>10385</v>
      </c>
      <c r="F4724" s="211" t="s">
        <v>7217</v>
      </c>
    </row>
    <row r="4725" spans="1:6">
      <c r="A4725" s="211" t="s">
        <v>4071</v>
      </c>
      <c r="B4725" s="211">
        <v>2130</v>
      </c>
      <c r="C4725" s="211">
        <v>1289</v>
      </c>
      <c r="D4725" s="211" t="s">
        <v>1255</v>
      </c>
      <c r="E4725" s="211" t="s">
        <v>10385</v>
      </c>
      <c r="F4725" s="211" t="s">
        <v>7212</v>
      </c>
    </row>
    <row r="4726" spans="1:6">
      <c r="A4726" s="211" t="s">
        <v>4072</v>
      </c>
      <c r="B4726" s="211">
        <v>989</v>
      </c>
      <c r="C4726" s="211">
        <v>1286</v>
      </c>
      <c r="D4726" s="211" t="s">
        <v>1255</v>
      </c>
      <c r="E4726" s="211" t="s">
        <v>10385</v>
      </c>
      <c r="F4726" s="211" t="s">
        <v>7262</v>
      </c>
    </row>
    <row r="4727" spans="1:6">
      <c r="A4727" s="211" t="s">
        <v>5298</v>
      </c>
      <c r="B4727" s="211">
        <v>814</v>
      </c>
      <c r="C4727" s="211">
        <v>1500</v>
      </c>
      <c r="D4727" s="211" t="s">
        <v>1255</v>
      </c>
      <c r="E4727" s="211" t="s">
        <v>10385</v>
      </c>
      <c r="F4727" s="211" t="s">
        <v>7343</v>
      </c>
    </row>
    <row r="4728" spans="1:6">
      <c r="A4728" s="211" t="s">
        <v>8310</v>
      </c>
      <c r="B4728" s="211">
        <v>60</v>
      </c>
      <c r="C4728" s="211" t="s">
        <v>10385</v>
      </c>
      <c r="D4728" s="211" t="s">
        <v>1255</v>
      </c>
      <c r="E4728" s="211" t="s">
        <v>10385</v>
      </c>
      <c r="F4728" s="211" t="s">
        <v>7261</v>
      </c>
    </row>
    <row r="4729" spans="1:6">
      <c r="A4729" s="211" t="s">
        <v>4073</v>
      </c>
      <c r="B4729" s="211">
        <v>2938</v>
      </c>
      <c r="C4729" s="211">
        <v>848</v>
      </c>
      <c r="D4729" s="211" t="s">
        <v>1255</v>
      </c>
      <c r="E4729" s="211" t="s">
        <v>10385</v>
      </c>
      <c r="F4729" s="211" t="s">
        <v>7444</v>
      </c>
    </row>
    <row r="4730" spans="1:6">
      <c r="A4730" s="211" t="s">
        <v>4074</v>
      </c>
      <c r="B4730" s="211">
        <v>3073</v>
      </c>
      <c r="C4730" s="211">
        <v>917</v>
      </c>
      <c r="D4730" s="211" t="s">
        <v>1255</v>
      </c>
      <c r="E4730" s="211" t="s">
        <v>10385</v>
      </c>
      <c r="F4730" s="211" t="s">
        <v>7538</v>
      </c>
    </row>
    <row r="4731" spans="1:6">
      <c r="A4731" s="211" t="s">
        <v>8311</v>
      </c>
      <c r="B4731" s="211">
        <v>678</v>
      </c>
      <c r="C4731" s="211" t="s">
        <v>10385</v>
      </c>
      <c r="D4731" s="211" t="s">
        <v>1255</v>
      </c>
      <c r="E4731" s="211" t="s">
        <v>10385</v>
      </c>
      <c r="F4731" s="211" t="s">
        <v>7510</v>
      </c>
    </row>
    <row r="4732" spans="1:6">
      <c r="A4732" s="211" t="s">
        <v>9779</v>
      </c>
      <c r="B4732" s="211">
        <v>8285</v>
      </c>
      <c r="C4732" s="211">
        <v>798</v>
      </c>
      <c r="D4732" s="211" t="s">
        <v>1255</v>
      </c>
      <c r="E4732" s="211" t="s">
        <v>10801</v>
      </c>
      <c r="F4732" s="211" t="s">
        <v>7301</v>
      </c>
    </row>
    <row r="4733" spans="1:6">
      <c r="A4733" s="211" t="s">
        <v>4075</v>
      </c>
      <c r="B4733" s="211">
        <v>2068</v>
      </c>
      <c r="C4733" s="211">
        <v>989</v>
      </c>
      <c r="D4733" s="211" t="s">
        <v>1255</v>
      </c>
      <c r="E4733" s="211" t="s">
        <v>10385</v>
      </c>
      <c r="F4733" s="211" t="s">
        <v>7376</v>
      </c>
    </row>
    <row r="4734" spans="1:6">
      <c r="A4734" s="211" t="s">
        <v>4076</v>
      </c>
      <c r="B4734" s="211">
        <v>1197</v>
      </c>
      <c r="C4734" s="211">
        <v>1304</v>
      </c>
      <c r="D4734" s="211" t="s">
        <v>1255</v>
      </c>
      <c r="E4734" s="211" t="s">
        <v>10385</v>
      </c>
      <c r="F4734" s="211" t="s">
        <v>8312</v>
      </c>
    </row>
    <row r="4735" spans="1:6">
      <c r="A4735" s="211" t="s">
        <v>9780</v>
      </c>
      <c r="B4735" s="211">
        <v>8532</v>
      </c>
      <c r="C4735" s="211">
        <v>1016</v>
      </c>
      <c r="D4735" s="211" t="s">
        <v>1255</v>
      </c>
      <c r="E4735" s="211" t="s">
        <v>9781</v>
      </c>
      <c r="F4735" s="211" t="s">
        <v>7255</v>
      </c>
    </row>
    <row r="4736" spans="1:6">
      <c r="A4736" s="211" t="s">
        <v>9782</v>
      </c>
      <c r="B4736" s="211">
        <v>7991</v>
      </c>
      <c r="C4736" s="211">
        <v>1165</v>
      </c>
      <c r="D4736" s="211" t="s">
        <v>1255</v>
      </c>
      <c r="E4736" s="211" t="s">
        <v>10802</v>
      </c>
      <c r="F4736" s="211" t="s">
        <v>7173</v>
      </c>
    </row>
    <row r="4737" spans="1:6">
      <c r="A4737" s="211" t="s">
        <v>4077</v>
      </c>
      <c r="B4737" s="211">
        <v>7187</v>
      </c>
      <c r="C4737" s="211">
        <v>1478</v>
      </c>
      <c r="D4737" s="211" t="s">
        <v>1255</v>
      </c>
      <c r="E4737" s="211" t="s">
        <v>6028</v>
      </c>
      <c r="F4737" s="211" t="s">
        <v>7216</v>
      </c>
    </row>
    <row r="4738" spans="1:6">
      <c r="A4738" s="211" t="s">
        <v>10803</v>
      </c>
      <c r="B4738" s="211">
        <v>8797</v>
      </c>
      <c r="C4738" s="211">
        <v>1852</v>
      </c>
      <c r="D4738" s="211" t="s">
        <v>1255</v>
      </c>
      <c r="E4738" s="211" t="s">
        <v>10804</v>
      </c>
      <c r="F4738" s="211" t="s">
        <v>10565</v>
      </c>
    </row>
    <row r="4739" spans="1:6">
      <c r="A4739" s="211" t="s">
        <v>4078</v>
      </c>
      <c r="B4739" s="211">
        <v>4741</v>
      </c>
      <c r="C4739" s="211">
        <v>1678</v>
      </c>
      <c r="D4739" s="211" t="s">
        <v>1255</v>
      </c>
      <c r="E4739" s="211" t="s">
        <v>10385</v>
      </c>
      <c r="F4739" s="211" t="s">
        <v>7587</v>
      </c>
    </row>
    <row r="4740" spans="1:6">
      <c r="A4740" s="211" t="s">
        <v>4079</v>
      </c>
      <c r="B4740" s="211">
        <v>4149</v>
      </c>
      <c r="C4740" s="211">
        <v>1197</v>
      </c>
      <c r="D4740" s="211" t="s">
        <v>1255</v>
      </c>
      <c r="E4740" s="211" t="s">
        <v>10385</v>
      </c>
      <c r="F4740" s="211" t="s">
        <v>7280</v>
      </c>
    </row>
    <row r="4741" spans="1:6">
      <c r="A4741" s="211" t="s">
        <v>4080</v>
      </c>
      <c r="B4741" s="211">
        <v>2563</v>
      </c>
      <c r="C4741" s="211">
        <v>1018</v>
      </c>
      <c r="D4741" s="211" t="s">
        <v>1255</v>
      </c>
      <c r="E4741" s="211" t="s">
        <v>10385</v>
      </c>
      <c r="F4741" s="211" t="s">
        <v>7212</v>
      </c>
    </row>
    <row r="4742" spans="1:6">
      <c r="A4742" s="211" t="s">
        <v>4081</v>
      </c>
      <c r="B4742" s="211">
        <v>1429</v>
      </c>
      <c r="C4742" s="211">
        <v>1491</v>
      </c>
      <c r="D4742" s="211" t="s">
        <v>1255</v>
      </c>
      <c r="E4742" s="211" t="s">
        <v>10385</v>
      </c>
      <c r="F4742" s="211" t="s">
        <v>7284</v>
      </c>
    </row>
    <row r="4743" spans="1:6">
      <c r="A4743" s="211" t="s">
        <v>4082</v>
      </c>
      <c r="B4743" s="211">
        <v>4702</v>
      </c>
      <c r="C4743" s="211">
        <v>1036</v>
      </c>
      <c r="D4743" s="211" t="s">
        <v>1117</v>
      </c>
      <c r="E4743" s="211" t="s">
        <v>10385</v>
      </c>
      <c r="F4743" s="211" t="s">
        <v>7308</v>
      </c>
    </row>
    <row r="4744" spans="1:6">
      <c r="A4744" s="211" t="s">
        <v>4083</v>
      </c>
      <c r="B4744" s="211">
        <v>835</v>
      </c>
      <c r="C4744" s="211">
        <v>1820</v>
      </c>
      <c r="D4744" s="211" t="s">
        <v>1255</v>
      </c>
      <c r="E4744" s="211" t="s">
        <v>10385</v>
      </c>
      <c r="F4744" s="211" t="s">
        <v>7320</v>
      </c>
    </row>
    <row r="4745" spans="1:6">
      <c r="A4745" s="211" t="s">
        <v>9783</v>
      </c>
      <c r="B4745" s="211">
        <v>8073</v>
      </c>
      <c r="C4745" s="211">
        <v>792</v>
      </c>
      <c r="D4745" s="211" t="s">
        <v>1255</v>
      </c>
      <c r="E4745" s="211" t="s">
        <v>10385</v>
      </c>
      <c r="F4745" s="211" t="s">
        <v>9120</v>
      </c>
    </row>
    <row r="4746" spans="1:6">
      <c r="A4746" s="211" t="s">
        <v>4084</v>
      </c>
      <c r="B4746" s="211">
        <v>5957</v>
      </c>
      <c r="C4746" s="211">
        <v>1042</v>
      </c>
      <c r="D4746" s="211" t="s">
        <v>1255</v>
      </c>
      <c r="E4746" s="211" t="s">
        <v>10805</v>
      </c>
      <c r="F4746" s="211" t="s">
        <v>7171</v>
      </c>
    </row>
    <row r="4747" spans="1:6">
      <c r="A4747" s="211" t="s">
        <v>8313</v>
      </c>
      <c r="B4747" s="211">
        <v>674</v>
      </c>
      <c r="C4747" s="211">
        <v>1694</v>
      </c>
      <c r="D4747" s="211" t="s">
        <v>1255</v>
      </c>
      <c r="E4747" s="211" t="s">
        <v>10385</v>
      </c>
      <c r="F4747" s="211" t="s">
        <v>7269</v>
      </c>
    </row>
    <row r="4748" spans="1:6">
      <c r="A4748" s="211" t="s">
        <v>4085</v>
      </c>
      <c r="B4748" s="211">
        <v>1851</v>
      </c>
      <c r="C4748" s="211">
        <v>1296</v>
      </c>
      <c r="D4748" s="211" t="s">
        <v>1255</v>
      </c>
      <c r="E4748" s="211" t="s">
        <v>10385</v>
      </c>
      <c r="F4748" s="211" t="s">
        <v>7323</v>
      </c>
    </row>
    <row r="4749" spans="1:6">
      <c r="A4749" s="211" t="s">
        <v>4086</v>
      </c>
      <c r="B4749" s="211">
        <v>4669</v>
      </c>
      <c r="C4749" s="211">
        <v>1268</v>
      </c>
      <c r="D4749" s="211" t="s">
        <v>1255</v>
      </c>
      <c r="E4749" s="211" t="s">
        <v>10385</v>
      </c>
      <c r="F4749" s="211" t="s">
        <v>7283</v>
      </c>
    </row>
    <row r="4750" spans="1:6">
      <c r="A4750" s="211" t="s">
        <v>4087</v>
      </c>
      <c r="B4750" s="211">
        <v>4065</v>
      </c>
      <c r="C4750" s="211">
        <v>921</v>
      </c>
      <c r="D4750" s="211" t="s">
        <v>1117</v>
      </c>
      <c r="E4750" s="211" t="s">
        <v>10385</v>
      </c>
      <c r="F4750" s="211" t="s">
        <v>7272</v>
      </c>
    </row>
    <row r="4751" spans="1:6">
      <c r="A4751" s="211" t="s">
        <v>4088</v>
      </c>
      <c r="B4751" s="211">
        <v>5728</v>
      </c>
      <c r="C4751" s="211">
        <v>1009</v>
      </c>
      <c r="D4751" s="211" t="s">
        <v>1255</v>
      </c>
      <c r="E4751" s="211" t="s">
        <v>10385</v>
      </c>
      <c r="F4751" s="211" t="s">
        <v>7344</v>
      </c>
    </row>
    <row r="4752" spans="1:6">
      <c r="A4752" s="211" t="s">
        <v>8314</v>
      </c>
      <c r="B4752" s="211">
        <v>4119</v>
      </c>
      <c r="C4752" s="211">
        <v>1104</v>
      </c>
      <c r="D4752" s="211" t="s">
        <v>1255</v>
      </c>
      <c r="E4752" s="211" t="s">
        <v>10385</v>
      </c>
      <c r="F4752" s="211" t="s">
        <v>7320</v>
      </c>
    </row>
    <row r="4753" spans="1:6">
      <c r="A4753" s="211" t="s">
        <v>4738</v>
      </c>
      <c r="B4753" s="211">
        <v>6440</v>
      </c>
      <c r="C4753" s="211">
        <v>997</v>
      </c>
      <c r="D4753" s="211" t="s">
        <v>1255</v>
      </c>
      <c r="E4753" s="211" t="s">
        <v>10385</v>
      </c>
      <c r="F4753" s="211" t="s">
        <v>9044</v>
      </c>
    </row>
    <row r="4754" spans="1:6">
      <c r="A4754" s="211" t="s">
        <v>4089</v>
      </c>
      <c r="B4754" s="211">
        <v>756</v>
      </c>
      <c r="C4754" s="211">
        <v>2058</v>
      </c>
      <c r="D4754" s="211" t="s">
        <v>1255</v>
      </c>
      <c r="E4754" s="211" t="s">
        <v>10385</v>
      </c>
      <c r="F4754" s="211" t="s">
        <v>7196</v>
      </c>
    </row>
    <row r="4755" spans="1:6">
      <c r="A4755" s="211" t="s">
        <v>4090</v>
      </c>
      <c r="B4755" s="211">
        <v>4159</v>
      </c>
      <c r="C4755" s="211">
        <v>1624</v>
      </c>
      <c r="D4755" s="211" t="s">
        <v>1255</v>
      </c>
      <c r="E4755" s="211" t="s">
        <v>6029</v>
      </c>
      <c r="F4755" s="211" t="s">
        <v>7224</v>
      </c>
    </row>
    <row r="4756" spans="1:6">
      <c r="A4756" s="211" t="s">
        <v>4091</v>
      </c>
      <c r="B4756" s="211">
        <v>5305</v>
      </c>
      <c r="C4756" s="211">
        <v>740</v>
      </c>
      <c r="D4756" s="211" t="s">
        <v>1255</v>
      </c>
      <c r="E4756" s="211" t="s">
        <v>10385</v>
      </c>
      <c r="F4756" s="211" t="s">
        <v>7189</v>
      </c>
    </row>
    <row r="4757" spans="1:6">
      <c r="A4757" s="211" t="s">
        <v>4092</v>
      </c>
      <c r="B4757" s="211">
        <v>4845</v>
      </c>
      <c r="C4757" s="211">
        <v>1363</v>
      </c>
      <c r="D4757" s="211" t="s">
        <v>1255</v>
      </c>
      <c r="E4757" s="211" t="s">
        <v>10385</v>
      </c>
      <c r="F4757" s="211" t="s">
        <v>7282</v>
      </c>
    </row>
    <row r="4758" spans="1:6">
      <c r="A4758" s="211" t="s">
        <v>5149</v>
      </c>
      <c r="B4758" s="211">
        <v>6908</v>
      </c>
      <c r="C4758" s="211">
        <v>1340</v>
      </c>
      <c r="D4758" s="211" t="s">
        <v>1255</v>
      </c>
      <c r="E4758" s="211" t="s">
        <v>10385</v>
      </c>
      <c r="F4758" s="211" t="s">
        <v>7298</v>
      </c>
    </row>
    <row r="4759" spans="1:6">
      <c r="A4759" s="211" t="s">
        <v>8315</v>
      </c>
      <c r="B4759" s="211">
        <v>1779</v>
      </c>
      <c r="C4759" s="211" t="s">
        <v>10385</v>
      </c>
      <c r="D4759" s="211" t="s">
        <v>1255</v>
      </c>
      <c r="E4759" s="211" t="s">
        <v>10385</v>
      </c>
      <c r="F4759" s="211" t="s">
        <v>7249</v>
      </c>
    </row>
    <row r="4760" spans="1:6">
      <c r="A4760" s="211" t="s">
        <v>9784</v>
      </c>
      <c r="B4760" s="211">
        <v>8229</v>
      </c>
      <c r="C4760" s="211">
        <v>1967</v>
      </c>
      <c r="D4760" s="211" t="s">
        <v>1255</v>
      </c>
      <c r="E4760" s="211" t="s">
        <v>10385</v>
      </c>
      <c r="F4760" s="211" t="s">
        <v>7246</v>
      </c>
    </row>
    <row r="4761" spans="1:6">
      <c r="A4761" s="211" t="s">
        <v>8316</v>
      </c>
      <c r="B4761" s="211">
        <v>119</v>
      </c>
      <c r="C4761" s="211" t="s">
        <v>10385</v>
      </c>
      <c r="D4761" s="211" t="s">
        <v>1255</v>
      </c>
      <c r="E4761" s="211" t="s">
        <v>10385</v>
      </c>
      <c r="F4761" s="211" t="s">
        <v>7275</v>
      </c>
    </row>
    <row r="4762" spans="1:6">
      <c r="A4762" s="211" t="s">
        <v>4093</v>
      </c>
      <c r="B4762" s="211">
        <v>3266</v>
      </c>
      <c r="C4762" s="211">
        <v>1769</v>
      </c>
      <c r="D4762" s="211" t="s">
        <v>1255</v>
      </c>
      <c r="E4762" s="211" t="s">
        <v>10385</v>
      </c>
      <c r="F4762" s="211" t="s">
        <v>7199</v>
      </c>
    </row>
    <row r="4763" spans="1:6">
      <c r="A4763" s="211" t="s">
        <v>4094</v>
      </c>
      <c r="B4763" s="211">
        <v>3170</v>
      </c>
      <c r="C4763" s="211">
        <v>1505</v>
      </c>
      <c r="D4763" s="211" t="s">
        <v>1255</v>
      </c>
      <c r="E4763" s="211" t="s">
        <v>10385</v>
      </c>
      <c r="F4763" s="211" t="s">
        <v>7231</v>
      </c>
    </row>
    <row r="4764" spans="1:6">
      <c r="A4764" s="211" t="s">
        <v>4592</v>
      </c>
      <c r="B4764" s="211">
        <v>6301</v>
      </c>
      <c r="C4764" s="211">
        <v>952</v>
      </c>
      <c r="D4764" s="211" t="s">
        <v>1255</v>
      </c>
      <c r="E4764" s="211" t="s">
        <v>3080</v>
      </c>
      <c r="F4764" s="211" t="s">
        <v>7215</v>
      </c>
    </row>
    <row r="4765" spans="1:6">
      <c r="A4765" s="211" t="s">
        <v>4095</v>
      </c>
      <c r="B4765" s="211">
        <v>5786</v>
      </c>
      <c r="C4765" s="211">
        <v>1810</v>
      </c>
      <c r="D4765" s="211" t="s">
        <v>1255</v>
      </c>
      <c r="E4765" s="211" t="s">
        <v>10385</v>
      </c>
      <c r="F4765" s="211" t="s">
        <v>7459</v>
      </c>
    </row>
    <row r="4766" spans="1:6">
      <c r="A4766" s="211" t="s">
        <v>10806</v>
      </c>
      <c r="B4766" s="211">
        <v>8612</v>
      </c>
      <c r="C4766" s="211">
        <v>1230</v>
      </c>
      <c r="D4766" s="211" t="s">
        <v>1255</v>
      </c>
      <c r="E4766" s="211" t="s">
        <v>10807</v>
      </c>
      <c r="F4766" s="211" t="s">
        <v>7200</v>
      </c>
    </row>
    <row r="4767" spans="1:6">
      <c r="A4767" s="211" t="s">
        <v>8317</v>
      </c>
      <c r="B4767" s="211">
        <v>84</v>
      </c>
      <c r="C4767" s="211" t="s">
        <v>10385</v>
      </c>
      <c r="D4767" s="211" t="s">
        <v>1255</v>
      </c>
      <c r="E4767" s="211" t="s">
        <v>10385</v>
      </c>
      <c r="F4767" s="211" t="s">
        <v>7199</v>
      </c>
    </row>
    <row r="4768" spans="1:6">
      <c r="A4768" s="211" t="s">
        <v>4096</v>
      </c>
      <c r="B4768" s="211">
        <v>2703</v>
      </c>
      <c r="C4768" s="211">
        <v>429</v>
      </c>
      <c r="D4768" s="211" t="s">
        <v>1117</v>
      </c>
      <c r="E4768" s="211" t="s">
        <v>10385</v>
      </c>
      <c r="F4768" s="211" t="s">
        <v>7393</v>
      </c>
    </row>
    <row r="4769" spans="1:6">
      <c r="A4769" s="211" t="s">
        <v>4097</v>
      </c>
      <c r="B4769" s="211">
        <v>3269</v>
      </c>
      <c r="C4769" s="211">
        <v>972</v>
      </c>
      <c r="D4769" s="211" t="s">
        <v>1255</v>
      </c>
      <c r="E4769" s="211" t="s">
        <v>10385</v>
      </c>
      <c r="F4769" s="211" t="s">
        <v>7212</v>
      </c>
    </row>
    <row r="4770" spans="1:6">
      <c r="A4770" s="211" t="s">
        <v>10808</v>
      </c>
      <c r="B4770" s="211">
        <v>8625</v>
      </c>
      <c r="C4770" s="211">
        <v>589</v>
      </c>
      <c r="D4770" s="211" t="s">
        <v>1255</v>
      </c>
      <c r="E4770" s="211" t="s">
        <v>10385</v>
      </c>
      <c r="F4770" s="211" t="s">
        <v>9120</v>
      </c>
    </row>
    <row r="4771" spans="1:6">
      <c r="A4771" s="211" t="s">
        <v>9785</v>
      </c>
      <c r="B4771" s="211">
        <v>8564</v>
      </c>
      <c r="C4771" s="211">
        <v>944</v>
      </c>
      <c r="D4771" s="211" t="s">
        <v>1255</v>
      </c>
      <c r="E4771" s="211" t="s">
        <v>9786</v>
      </c>
      <c r="F4771" s="211" t="s">
        <v>7397</v>
      </c>
    </row>
    <row r="4772" spans="1:6">
      <c r="A4772" s="211" t="s">
        <v>4098</v>
      </c>
      <c r="B4772" s="211">
        <v>1756</v>
      </c>
      <c r="C4772" s="211">
        <v>1506</v>
      </c>
      <c r="D4772" s="211" t="s">
        <v>1255</v>
      </c>
      <c r="E4772" s="211" t="s">
        <v>10385</v>
      </c>
      <c r="F4772" s="211" t="s">
        <v>7272</v>
      </c>
    </row>
    <row r="4773" spans="1:6">
      <c r="A4773" s="211" t="s">
        <v>4099</v>
      </c>
      <c r="B4773" s="211">
        <v>3806</v>
      </c>
      <c r="C4773" s="211">
        <v>1414</v>
      </c>
      <c r="D4773" s="211" t="s">
        <v>1255</v>
      </c>
      <c r="E4773" s="211" t="s">
        <v>10385</v>
      </c>
      <c r="F4773" s="211" t="s">
        <v>7201</v>
      </c>
    </row>
    <row r="4774" spans="1:6">
      <c r="A4774" s="211" t="s">
        <v>9787</v>
      </c>
      <c r="B4774" s="211">
        <v>7948</v>
      </c>
      <c r="C4774" s="211">
        <v>1242</v>
      </c>
      <c r="D4774" s="211" t="s">
        <v>1117</v>
      </c>
      <c r="E4774" s="211" t="s">
        <v>9788</v>
      </c>
      <c r="F4774" s="211" t="s">
        <v>7325</v>
      </c>
    </row>
    <row r="4775" spans="1:6">
      <c r="A4775" s="211" t="s">
        <v>4100</v>
      </c>
      <c r="B4775" s="211">
        <v>917</v>
      </c>
      <c r="C4775" s="211">
        <v>1392</v>
      </c>
      <c r="D4775" s="211" t="s">
        <v>1255</v>
      </c>
      <c r="E4775" s="211" t="s">
        <v>10385</v>
      </c>
      <c r="F4775" s="211" t="s">
        <v>7419</v>
      </c>
    </row>
    <row r="4776" spans="1:6">
      <c r="A4776" s="211" t="s">
        <v>4101</v>
      </c>
      <c r="B4776" s="211">
        <v>3276</v>
      </c>
      <c r="C4776" s="211">
        <v>2285</v>
      </c>
      <c r="D4776" s="211" t="s">
        <v>1255</v>
      </c>
      <c r="E4776" s="211" t="s">
        <v>10385</v>
      </c>
      <c r="F4776" s="211" t="s">
        <v>7241</v>
      </c>
    </row>
    <row r="4777" spans="1:6">
      <c r="A4777" s="211" t="s">
        <v>6943</v>
      </c>
      <c r="B4777" s="211">
        <v>7841</v>
      </c>
      <c r="C4777" s="211">
        <v>885</v>
      </c>
      <c r="D4777" s="211" t="s">
        <v>1255</v>
      </c>
      <c r="E4777" s="211" t="s">
        <v>6944</v>
      </c>
      <c r="F4777" s="211" t="s">
        <v>7287</v>
      </c>
    </row>
    <row r="4778" spans="1:6">
      <c r="A4778" s="211" t="s">
        <v>8318</v>
      </c>
      <c r="B4778" s="211">
        <v>4810</v>
      </c>
      <c r="C4778" s="211" t="s">
        <v>10385</v>
      </c>
      <c r="D4778" s="211" t="s">
        <v>1117</v>
      </c>
      <c r="E4778" s="211" t="s">
        <v>10385</v>
      </c>
      <c r="F4778" s="211" t="s">
        <v>7239</v>
      </c>
    </row>
    <row r="4779" spans="1:6">
      <c r="A4779" s="211" t="s">
        <v>8319</v>
      </c>
      <c r="B4779" s="211">
        <v>487</v>
      </c>
      <c r="C4779" s="211" t="s">
        <v>10385</v>
      </c>
      <c r="D4779" s="211" t="s">
        <v>1255</v>
      </c>
      <c r="E4779" s="211" t="s">
        <v>10385</v>
      </c>
      <c r="F4779" s="211" t="s">
        <v>7487</v>
      </c>
    </row>
    <row r="4780" spans="1:6">
      <c r="A4780" s="211" t="s">
        <v>4102</v>
      </c>
      <c r="B4780" s="211">
        <v>3041</v>
      </c>
      <c r="C4780" s="211">
        <v>782</v>
      </c>
      <c r="D4780" s="211" t="s">
        <v>1255</v>
      </c>
      <c r="E4780" s="211" t="s">
        <v>10385</v>
      </c>
      <c r="F4780" s="211" t="s">
        <v>7476</v>
      </c>
    </row>
    <row r="4781" spans="1:6">
      <c r="A4781" s="211" t="s">
        <v>4103</v>
      </c>
      <c r="B4781" s="211">
        <v>3756</v>
      </c>
      <c r="C4781" s="211">
        <v>1660</v>
      </c>
      <c r="D4781" s="211" t="s">
        <v>1255</v>
      </c>
      <c r="E4781" s="211" t="s">
        <v>10385</v>
      </c>
      <c r="F4781" s="211" t="s">
        <v>7262</v>
      </c>
    </row>
    <row r="4782" spans="1:6">
      <c r="A4782" s="211" t="s">
        <v>4104</v>
      </c>
      <c r="B4782" s="211">
        <v>1191</v>
      </c>
      <c r="C4782" s="211">
        <v>1519</v>
      </c>
      <c r="D4782" s="211" t="s">
        <v>1255</v>
      </c>
      <c r="E4782" s="211" t="s">
        <v>10385</v>
      </c>
      <c r="F4782" s="211" t="s">
        <v>7318</v>
      </c>
    </row>
    <row r="4783" spans="1:6">
      <c r="A4783" s="211" t="s">
        <v>4105</v>
      </c>
      <c r="B4783" s="211">
        <v>1190</v>
      </c>
      <c r="C4783" s="211">
        <v>1550</v>
      </c>
      <c r="D4783" s="211" t="s">
        <v>1255</v>
      </c>
      <c r="E4783" s="211" t="s">
        <v>10385</v>
      </c>
      <c r="F4783" s="211" t="s">
        <v>7318</v>
      </c>
    </row>
    <row r="4784" spans="1:6">
      <c r="A4784" s="211" t="s">
        <v>5150</v>
      </c>
      <c r="B4784" s="211">
        <v>6915</v>
      </c>
      <c r="C4784" s="211">
        <v>1134</v>
      </c>
      <c r="D4784" s="211" t="s">
        <v>1255</v>
      </c>
      <c r="E4784" s="211" t="s">
        <v>10385</v>
      </c>
      <c r="F4784" s="211" t="s">
        <v>7205</v>
      </c>
    </row>
    <row r="4785" spans="1:6">
      <c r="A4785" s="211" t="s">
        <v>6031</v>
      </c>
      <c r="B4785" s="211">
        <v>7185</v>
      </c>
      <c r="C4785" s="211">
        <v>845</v>
      </c>
      <c r="D4785" s="211" t="s">
        <v>1255</v>
      </c>
      <c r="E4785" s="211" t="s">
        <v>6032</v>
      </c>
      <c r="F4785" s="211" t="s">
        <v>7264</v>
      </c>
    </row>
    <row r="4786" spans="1:6">
      <c r="A4786" s="211" t="s">
        <v>2919</v>
      </c>
      <c r="B4786" s="211">
        <v>2515</v>
      </c>
      <c r="C4786" s="211">
        <v>1191</v>
      </c>
      <c r="D4786" s="211" t="s">
        <v>1255</v>
      </c>
      <c r="E4786" s="211" t="s">
        <v>10385</v>
      </c>
      <c r="F4786" s="211" t="s">
        <v>7264</v>
      </c>
    </row>
    <row r="4787" spans="1:6">
      <c r="A4787" s="211" t="s">
        <v>6945</v>
      </c>
      <c r="B4787" s="211">
        <v>7805</v>
      </c>
      <c r="C4787" s="211" t="s">
        <v>10385</v>
      </c>
      <c r="D4787" s="211" t="s">
        <v>1255</v>
      </c>
      <c r="E4787" s="211" t="s">
        <v>10385</v>
      </c>
      <c r="F4787" s="211" t="s">
        <v>7173</v>
      </c>
    </row>
    <row r="4788" spans="1:6">
      <c r="A4788" s="211" t="s">
        <v>4106</v>
      </c>
      <c r="B4788" s="211">
        <v>1627</v>
      </c>
      <c r="C4788" s="211">
        <v>954</v>
      </c>
      <c r="D4788" s="211" t="s">
        <v>1255</v>
      </c>
      <c r="E4788" s="211" t="s">
        <v>10385</v>
      </c>
      <c r="F4788" s="211" t="s">
        <v>7946</v>
      </c>
    </row>
    <row r="4789" spans="1:6">
      <c r="A4789" s="211" t="s">
        <v>9789</v>
      </c>
      <c r="B4789" s="211">
        <v>8271</v>
      </c>
      <c r="C4789" s="211">
        <v>1911</v>
      </c>
      <c r="D4789" s="211" t="s">
        <v>1255</v>
      </c>
      <c r="E4789" s="211" t="s">
        <v>9790</v>
      </c>
      <c r="F4789" s="211" t="s">
        <v>7171</v>
      </c>
    </row>
    <row r="4790" spans="1:6">
      <c r="A4790" s="211" t="s">
        <v>8320</v>
      </c>
      <c r="B4790" s="211">
        <v>1744</v>
      </c>
      <c r="C4790" s="211" t="s">
        <v>10385</v>
      </c>
      <c r="D4790" s="211" t="s">
        <v>1255</v>
      </c>
      <c r="E4790" s="211" t="s">
        <v>10385</v>
      </c>
      <c r="F4790" s="211" t="s">
        <v>7283</v>
      </c>
    </row>
    <row r="4791" spans="1:6">
      <c r="A4791" s="211" t="s">
        <v>8321</v>
      </c>
      <c r="B4791" s="211">
        <v>4818</v>
      </c>
      <c r="C4791" s="211" t="s">
        <v>10385</v>
      </c>
      <c r="D4791" s="211" t="s">
        <v>1255</v>
      </c>
      <c r="E4791" s="211" t="s">
        <v>10385</v>
      </c>
      <c r="F4791" s="211" t="s">
        <v>7292</v>
      </c>
    </row>
    <row r="4792" spans="1:6">
      <c r="A4792" s="211" t="s">
        <v>4107</v>
      </c>
      <c r="B4792" s="211">
        <v>3750</v>
      </c>
      <c r="C4792" s="211">
        <v>888</v>
      </c>
      <c r="D4792" s="211" t="s">
        <v>1255</v>
      </c>
      <c r="E4792" s="211" t="s">
        <v>10385</v>
      </c>
      <c r="F4792" s="211" t="s">
        <v>7217</v>
      </c>
    </row>
    <row r="4793" spans="1:6">
      <c r="A4793" s="211" t="s">
        <v>3005</v>
      </c>
      <c r="B4793" s="211">
        <v>1847</v>
      </c>
      <c r="C4793" s="211">
        <v>448</v>
      </c>
      <c r="D4793" s="211" t="s">
        <v>1117</v>
      </c>
      <c r="E4793" s="211" t="s">
        <v>10385</v>
      </c>
      <c r="F4793" s="211" t="s">
        <v>7335</v>
      </c>
    </row>
    <row r="4794" spans="1:6">
      <c r="A4794" s="211" t="s">
        <v>9791</v>
      </c>
      <c r="B4794" s="211">
        <v>8375</v>
      </c>
      <c r="C4794" s="211">
        <v>975</v>
      </c>
      <c r="D4794" s="211" t="s">
        <v>1255</v>
      </c>
      <c r="E4794" s="211" t="s">
        <v>9792</v>
      </c>
      <c r="F4794" s="211" t="s">
        <v>9059</v>
      </c>
    </row>
    <row r="4795" spans="1:6">
      <c r="A4795" s="211" t="s">
        <v>2849</v>
      </c>
      <c r="B4795" s="211">
        <v>4156</v>
      </c>
      <c r="C4795" s="211">
        <v>1075</v>
      </c>
      <c r="D4795" s="211" t="s">
        <v>1255</v>
      </c>
      <c r="E4795" s="211" t="s">
        <v>10385</v>
      </c>
      <c r="F4795" s="211" t="s">
        <v>7319</v>
      </c>
    </row>
    <row r="4796" spans="1:6">
      <c r="A4796" s="211" t="s">
        <v>4108</v>
      </c>
      <c r="B4796" s="211">
        <v>5146</v>
      </c>
      <c r="C4796" s="211">
        <v>1424</v>
      </c>
      <c r="D4796" s="211" t="s">
        <v>1255</v>
      </c>
      <c r="E4796" s="211" t="s">
        <v>10385</v>
      </c>
      <c r="F4796" s="211" t="s">
        <v>7354</v>
      </c>
    </row>
    <row r="4797" spans="1:6">
      <c r="A4797" s="211" t="s">
        <v>4109</v>
      </c>
      <c r="B4797" s="211">
        <v>4242</v>
      </c>
      <c r="C4797" s="211">
        <v>1384</v>
      </c>
      <c r="D4797" s="211" t="s">
        <v>1255</v>
      </c>
      <c r="E4797" s="211" t="s">
        <v>10385</v>
      </c>
      <c r="F4797" s="211" t="s">
        <v>7160</v>
      </c>
    </row>
    <row r="4798" spans="1:6">
      <c r="A4798" s="211" t="s">
        <v>4110</v>
      </c>
      <c r="B4798" s="211">
        <v>1872</v>
      </c>
      <c r="C4798" s="211">
        <v>1096</v>
      </c>
      <c r="D4798" s="211" t="s">
        <v>1255</v>
      </c>
      <c r="E4798" s="211" t="s">
        <v>10385</v>
      </c>
      <c r="F4798" s="211" t="s">
        <v>7230</v>
      </c>
    </row>
    <row r="4799" spans="1:6">
      <c r="A4799" s="211" t="s">
        <v>4111</v>
      </c>
      <c r="B4799" s="211">
        <v>1855</v>
      </c>
      <c r="C4799" s="211">
        <v>1417</v>
      </c>
      <c r="D4799" s="211" t="s">
        <v>1255</v>
      </c>
      <c r="E4799" s="211" t="s">
        <v>10385</v>
      </c>
      <c r="F4799" s="211" t="s">
        <v>7516</v>
      </c>
    </row>
    <row r="4800" spans="1:6">
      <c r="A4800" s="211" t="s">
        <v>4112</v>
      </c>
      <c r="B4800" s="211">
        <v>1659</v>
      </c>
      <c r="C4800" s="211">
        <v>953</v>
      </c>
      <c r="D4800" s="211" t="s">
        <v>1255</v>
      </c>
      <c r="E4800" s="211" t="s">
        <v>10385</v>
      </c>
      <c r="F4800" s="211" t="s">
        <v>7270</v>
      </c>
    </row>
    <row r="4801" spans="1:6">
      <c r="A4801" s="211" t="s">
        <v>4113</v>
      </c>
      <c r="B4801" s="211">
        <v>1987</v>
      </c>
      <c r="C4801" s="211">
        <v>1057</v>
      </c>
      <c r="D4801" s="211" t="s">
        <v>1255</v>
      </c>
      <c r="E4801" s="211" t="s">
        <v>10385</v>
      </c>
      <c r="F4801" s="211" t="s">
        <v>7331</v>
      </c>
    </row>
    <row r="4802" spans="1:6">
      <c r="A4802" s="211" t="s">
        <v>5151</v>
      </c>
      <c r="B4802" s="211">
        <v>6789</v>
      </c>
      <c r="C4802" s="211">
        <v>759</v>
      </c>
      <c r="D4802" s="211" t="s">
        <v>1255</v>
      </c>
      <c r="E4802" s="211" t="s">
        <v>10385</v>
      </c>
      <c r="F4802" s="211" t="s">
        <v>7286</v>
      </c>
    </row>
    <row r="4803" spans="1:6">
      <c r="A4803" s="211" t="s">
        <v>4114</v>
      </c>
      <c r="B4803" s="211">
        <v>2669</v>
      </c>
      <c r="C4803" s="211">
        <v>1045</v>
      </c>
      <c r="D4803" s="211" t="s">
        <v>1255</v>
      </c>
      <c r="E4803" s="211" t="s">
        <v>10385</v>
      </c>
      <c r="F4803" s="211" t="s">
        <v>7243</v>
      </c>
    </row>
    <row r="4804" spans="1:6">
      <c r="A4804" s="211" t="s">
        <v>4760</v>
      </c>
      <c r="B4804" s="211">
        <v>6195</v>
      </c>
      <c r="C4804" s="211">
        <v>2343</v>
      </c>
      <c r="D4804" s="211" t="s">
        <v>1255</v>
      </c>
      <c r="E4804" s="211" t="s">
        <v>10385</v>
      </c>
      <c r="F4804" s="211" t="s">
        <v>7342</v>
      </c>
    </row>
    <row r="4805" spans="1:6">
      <c r="A4805" s="211" t="s">
        <v>4115</v>
      </c>
      <c r="B4805" s="211">
        <v>5909</v>
      </c>
      <c r="C4805" s="211">
        <v>938</v>
      </c>
      <c r="D4805" s="211" t="s">
        <v>1255</v>
      </c>
      <c r="E4805" s="211" t="s">
        <v>10385</v>
      </c>
      <c r="F4805" s="211" t="s">
        <v>7250</v>
      </c>
    </row>
    <row r="4806" spans="1:6">
      <c r="A4806" s="211" t="s">
        <v>4116</v>
      </c>
      <c r="B4806" s="211">
        <v>3215</v>
      </c>
      <c r="C4806" s="211">
        <v>1170</v>
      </c>
      <c r="D4806" s="211" t="s">
        <v>1255</v>
      </c>
      <c r="E4806" s="211" t="s">
        <v>10385</v>
      </c>
      <c r="F4806" s="211" t="s">
        <v>7189</v>
      </c>
    </row>
    <row r="4807" spans="1:6">
      <c r="A4807" s="211" t="s">
        <v>4117</v>
      </c>
      <c r="B4807" s="211">
        <v>397</v>
      </c>
      <c r="C4807" s="211">
        <v>1838</v>
      </c>
      <c r="D4807" s="211" t="s">
        <v>1255</v>
      </c>
      <c r="E4807" s="211" t="s">
        <v>10385</v>
      </c>
      <c r="F4807" s="211" t="s">
        <v>7351</v>
      </c>
    </row>
    <row r="4808" spans="1:6">
      <c r="A4808" s="211" t="s">
        <v>4118</v>
      </c>
      <c r="B4808" s="211">
        <v>1589</v>
      </c>
      <c r="C4808" s="211">
        <v>1621</v>
      </c>
      <c r="D4808" s="211" t="s">
        <v>1255</v>
      </c>
      <c r="E4808" s="211" t="s">
        <v>4119</v>
      </c>
      <c r="F4808" s="211" t="s">
        <v>7356</v>
      </c>
    </row>
    <row r="4809" spans="1:6">
      <c r="A4809" s="211" t="s">
        <v>4120</v>
      </c>
      <c r="B4809" s="211">
        <v>3095</v>
      </c>
      <c r="C4809" s="211">
        <v>1350</v>
      </c>
      <c r="D4809" s="211" t="s">
        <v>1255</v>
      </c>
      <c r="E4809" s="211" t="s">
        <v>10385</v>
      </c>
      <c r="F4809" s="211" t="s">
        <v>7189</v>
      </c>
    </row>
    <row r="4810" spans="1:6">
      <c r="A4810" s="211" t="s">
        <v>8322</v>
      </c>
      <c r="B4810" s="211">
        <v>6635</v>
      </c>
      <c r="C4810" s="211">
        <v>996</v>
      </c>
      <c r="D4810" s="211" t="s">
        <v>1255</v>
      </c>
      <c r="E4810" s="211" t="s">
        <v>10385</v>
      </c>
      <c r="F4810" s="211" t="s">
        <v>7386</v>
      </c>
    </row>
    <row r="4811" spans="1:6">
      <c r="A4811" s="211" t="s">
        <v>8323</v>
      </c>
      <c r="B4811" s="211">
        <v>1123</v>
      </c>
      <c r="C4811" s="211">
        <v>1845</v>
      </c>
      <c r="D4811" s="211" t="s">
        <v>1255</v>
      </c>
      <c r="E4811" s="211" t="s">
        <v>10385</v>
      </c>
      <c r="F4811" s="211" t="s">
        <v>7270</v>
      </c>
    </row>
    <row r="4812" spans="1:6">
      <c r="A4812" s="211" t="s">
        <v>4121</v>
      </c>
      <c r="B4812" s="211">
        <v>1902</v>
      </c>
      <c r="C4812" s="211">
        <v>1535</v>
      </c>
      <c r="D4812" s="211" t="s">
        <v>1255</v>
      </c>
      <c r="E4812" s="211" t="s">
        <v>10385</v>
      </c>
      <c r="F4812" s="211" t="s">
        <v>7415</v>
      </c>
    </row>
    <row r="4813" spans="1:6">
      <c r="A4813" s="211" t="s">
        <v>4122</v>
      </c>
      <c r="B4813" s="211">
        <v>3349</v>
      </c>
      <c r="C4813" s="211">
        <v>928</v>
      </c>
      <c r="D4813" s="211" t="s">
        <v>1255</v>
      </c>
      <c r="E4813" s="211" t="s">
        <v>10385</v>
      </c>
      <c r="F4813" s="211" t="s">
        <v>7303</v>
      </c>
    </row>
    <row r="4814" spans="1:6">
      <c r="A4814" s="211" t="s">
        <v>4123</v>
      </c>
      <c r="B4814" s="211">
        <v>4645</v>
      </c>
      <c r="C4814" s="211">
        <v>1094</v>
      </c>
      <c r="D4814" s="211" t="s">
        <v>1117</v>
      </c>
      <c r="E4814" s="211" t="s">
        <v>10385</v>
      </c>
      <c r="F4814" s="211" t="s">
        <v>7173</v>
      </c>
    </row>
    <row r="4815" spans="1:6">
      <c r="A4815" s="211" t="s">
        <v>4124</v>
      </c>
      <c r="B4815" s="211">
        <v>3354</v>
      </c>
      <c r="C4815" s="211">
        <v>1120</v>
      </c>
      <c r="D4815" s="211" t="s">
        <v>1255</v>
      </c>
      <c r="E4815" s="211" t="s">
        <v>10385</v>
      </c>
      <c r="F4815" s="211" t="s">
        <v>7766</v>
      </c>
    </row>
    <row r="4816" spans="1:6">
      <c r="A4816" s="211" t="s">
        <v>4125</v>
      </c>
      <c r="B4816" s="211">
        <v>3352</v>
      </c>
      <c r="C4816" s="211">
        <v>1073</v>
      </c>
      <c r="D4816" s="211" t="s">
        <v>1255</v>
      </c>
      <c r="E4816" s="211" t="s">
        <v>10385</v>
      </c>
      <c r="F4816" s="211" t="s">
        <v>7766</v>
      </c>
    </row>
    <row r="4817" spans="1:6">
      <c r="A4817" s="211" t="s">
        <v>5152</v>
      </c>
      <c r="B4817" s="211">
        <v>6891</v>
      </c>
      <c r="C4817" s="211">
        <v>1332</v>
      </c>
      <c r="D4817" s="211" t="s">
        <v>1255</v>
      </c>
      <c r="E4817" s="211" t="s">
        <v>10385</v>
      </c>
      <c r="F4817" s="211" t="s">
        <v>7629</v>
      </c>
    </row>
    <row r="4818" spans="1:6">
      <c r="A4818" s="211" t="s">
        <v>4126</v>
      </c>
      <c r="B4818" s="211">
        <v>985</v>
      </c>
      <c r="C4818" s="211">
        <v>862</v>
      </c>
      <c r="D4818" s="211" t="s">
        <v>1255</v>
      </c>
      <c r="E4818" s="211" t="s">
        <v>10385</v>
      </c>
      <c r="F4818" s="211" t="s">
        <v>7692</v>
      </c>
    </row>
    <row r="4819" spans="1:6">
      <c r="A4819" s="211" t="s">
        <v>8324</v>
      </c>
      <c r="B4819" s="211">
        <v>3491</v>
      </c>
      <c r="C4819" s="211" t="s">
        <v>10385</v>
      </c>
      <c r="D4819" s="211" t="s">
        <v>1255</v>
      </c>
      <c r="E4819" s="211" t="s">
        <v>10385</v>
      </c>
      <c r="F4819" s="211" t="s">
        <v>7518</v>
      </c>
    </row>
    <row r="4820" spans="1:6">
      <c r="A4820" s="211" t="s">
        <v>4127</v>
      </c>
      <c r="B4820" s="211">
        <v>4794</v>
      </c>
      <c r="C4820" s="211">
        <v>1611</v>
      </c>
      <c r="D4820" s="211" t="s">
        <v>1255</v>
      </c>
      <c r="E4820" s="211" t="s">
        <v>6033</v>
      </c>
      <c r="F4820" s="211" t="s">
        <v>7232</v>
      </c>
    </row>
    <row r="4821" spans="1:6">
      <c r="A4821" s="211" t="s">
        <v>9793</v>
      </c>
      <c r="B4821" s="211">
        <v>8151</v>
      </c>
      <c r="C4821" s="211">
        <v>1304</v>
      </c>
      <c r="D4821" s="211" t="s">
        <v>1117</v>
      </c>
      <c r="E4821" s="211" t="s">
        <v>9794</v>
      </c>
      <c r="F4821" s="211" t="s">
        <v>7240</v>
      </c>
    </row>
    <row r="4822" spans="1:6">
      <c r="A4822" s="211" t="s">
        <v>4128</v>
      </c>
      <c r="B4822" s="211">
        <v>1701</v>
      </c>
      <c r="C4822" s="211">
        <v>1052</v>
      </c>
      <c r="D4822" s="211" t="s">
        <v>1255</v>
      </c>
      <c r="E4822" s="211" t="s">
        <v>10385</v>
      </c>
      <c r="F4822" s="211" t="s">
        <v>7323</v>
      </c>
    </row>
    <row r="4823" spans="1:6">
      <c r="A4823" s="211" t="s">
        <v>9795</v>
      </c>
      <c r="B4823" s="211">
        <v>8472</v>
      </c>
      <c r="C4823" s="211">
        <v>1008</v>
      </c>
      <c r="D4823" s="211" t="s">
        <v>1117</v>
      </c>
      <c r="E4823" s="211" t="s">
        <v>9796</v>
      </c>
      <c r="F4823" s="211" t="s">
        <v>7196</v>
      </c>
    </row>
    <row r="4824" spans="1:6">
      <c r="A4824" s="211" t="s">
        <v>4129</v>
      </c>
      <c r="B4824" s="211">
        <v>4024</v>
      </c>
      <c r="C4824" s="211">
        <v>698</v>
      </c>
      <c r="D4824" s="211" t="s">
        <v>1117</v>
      </c>
      <c r="E4824" s="211" t="s">
        <v>10385</v>
      </c>
      <c r="F4824" s="211" t="s">
        <v>7224</v>
      </c>
    </row>
    <row r="4825" spans="1:6">
      <c r="A4825" s="211" t="s">
        <v>10809</v>
      </c>
      <c r="B4825" s="211">
        <v>8791</v>
      </c>
      <c r="C4825" s="211">
        <v>1079</v>
      </c>
      <c r="D4825" s="211" t="s">
        <v>1255</v>
      </c>
      <c r="E4825" s="211" t="s">
        <v>10810</v>
      </c>
      <c r="F4825" s="211" t="s">
        <v>7430</v>
      </c>
    </row>
    <row r="4826" spans="1:6">
      <c r="A4826" s="211" t="s">
        <v>4130</v>
      </c>
      <c r="B4826" s="211">
        <v>5553</v>
      </c>
      <c r="C4826" s="211">
        <v>1378</v>
      </c>
      <c r="D4826" s="211" t="s">
        <v>1255</v>
      </c>
      <c r="E4826" s="211" t="s">
        <v>10385</v>
      </c>
      <c r="F4826" s="211" t="s">
        <v>7341</v>
      </c>
    </row>
    <row r="4827" spans="1:6">
      <c r="A4827" s="211" t="s">
        <v>4131</v>
      </c>
      <c r="B4827" s="211">
        <v>1646</v>
      </c>
      <c r="C4827" s="211">
        <v>1505</v>
      </c>
      <c r="D4827" s="211" t="s">
        <v>1255</v>
      </c>
      <c r="E4827" s="211" t="s">
        <v>10385</v>
      </c>
      <c r="F4827" s="211" t="s">
        <v>7189</v>
      </c>
    </row>
    <row r="4828" spans="1:6">
      <c r="A4828" s="211" t="s">
        <v>4593</v>
      </c>
      <c r="B4828" s="211">
        <v>6310</v>
      </c>
      <c r="C4828" s="211">
        <v>1078</v>
      </c>
      <c r="D4828" s="211" t="s">
        <v>1255</v>
      </c>
      <c r="E4828" s="211" t="s">
        <v>9797</v>
      </c>
      <c r="F4828" s="211" t="s">
        <v>7257</v>
      </c>
    </row>
    <row r="4829" spans="1:6">
      <c r="A4829" s="211" t="s">
        <v>4675</v>
      </c>
      <c r="B4829" s="211">
        <v>6396</v>
      </c>
      <c r="C4829" s="211">
        <v>1000</v>
      </c>
      <c r="D4829" s="211" t="s">
        <v>1255</v>
      </c>
      <c r="E4829" s="211" t="s">
        <v>10385</v>
      </c>
      <c r="F4829" s="211" t="s">
        <v>7186</v>
      </c>
    </row>
    <row r="4830" spans="1:6">
      <c r="A4830" s="211" t="s">
        <v>8325</v>
      </c>
      <c r="B4830" s="211">
        <v>419</v>
      </c>
      <c r="C4830" s="211" t="s">
        <v>10385</v>
      </c>
      <c r="D4830" s="211" t="s">
        <v>1255</v>
      </c>
      <c r="E4830" s="211" t="s">
        <v>10385</v>
      </c>
      <c r="F4830" s="211" t="s">
        <v>7351</v>
      </c>
    </row>
    <row r="4831" spans="1:6">
      <c r="A4831" s="211" t="s">
        <v>4132</v>
      </c>
      <c r="B4831" s="211">
        <v>1909</v>
      </c>
      <c r="C4831" s="211">
        <v>1370</v>
      </c>
      <c r="D4831" s="211" t="s">
        <v>1255</v>
      </c>
      <c r="E4831" s="211" t="s">
        <v>10385</v>
      </c>
      <c r="F4831" s="211" t="s">
        <v>7219</v>
      </c>
    </row>
    <row r="4832" spans="1:6">
      <c r="A4832" s="211" t="s">
        <v>5153</v>
      </c>
      <c r="B4832" s="211">
        <v>6826</v>
      </c>
      <c r="C4832" s="211">
        <v>756</v>
      </c>
      <c r="D4832" s="211" t="s">
        <v>1255</v>
      </c>
      <c r="E4832" s="211" t="s">
        <v>10385</v>
      </c>
      <c r="F4832" s="211" t="s">
        <v>7402</v>
      </c>
    </row>
    <row r="4833" spans="1:6">
      <c r="A4833" s="211" t="s">
        <v>8326</v>
      </c>
      <c r="B4833" s="211">
        <v>354</v>
      </c>
      <c r="C4833" s="211" t="s">
        <v>10385</v>
      </c>
      <c r="D4833" s="211" t="s">
        <v>1255</v>
      </c>
      <c r="E4833" s="211" t="s">
        <v>10385</v>
      </c>
      <c r="F4833" s="211" t="s">
        <v>7356</v>
      </c>
    </row>
    <row r="4834" spans="1:6">
      <c r="A4834" s="211" t="s">
        <v>4133</v>
      </c>
      <c r="B4834" s="211">
        <v>1208</v>
      </c>
      <c r="C4834" s="211">
        <v>1377</v>
      </c>
      <c r="D4834" s="211" t="s">
        <v>1255</v>
      </c>
      <c r="E4834" s="211" t="s">
        <v>10385</v>
      </c>
      <c r="F4834" s="211" t="s">
        <v>7717</v>
      </c>
    </row>
    <row r="4835" spans="1:6">
      <c r="A4835" s="211" t="s">
        <v>9798</v>
      </c>
      <c r="B4835" s="211">
        <v>7969</v>
      </c>
      <c r="C4835" s="211">
        <v>983</v>
      </c>
      <c r="D4835" s="211" t="s">
        <v>1255</v>
      </c>
      <c r="E4835" s="211" t="s">
        <v>9799</v>
      </c>
      <c r="F4835" s="211" t="s">
        <v>7581</v>
      </c>
    </row>
    <row r="4836" spans="1:6">
      <c r="A4836" s="211" t="s">
        <v>4134</v>
      </c>
      <c r="B4836" s="211">
        <v>5117</v>
      </c>
      <c r="C4836" s="211">
        <v>864</v>
      </c>
      <c r="D4836" s="211" t="s">
        <v>1255</v>
      </c>
      <c r="E4836" s="211" t="s">
        <v>10385</v>
      </c>
      <c r="F4836" s="211" t="s">
        <v>7312</v>
      </c>
    </row>
    <row r="4837" spans="1:6">
      <c r="A4837" s="211" t="s">
        <v>6034</v>
      </c>
      <c r="B4837" s="211">
        <v>7287</v>
      </c>
      <c r="C4837" s="211">
        <v>1654</v>
      </c>
      <c r="D4837" s="211" t="s">
        <v>1255</v>
      </c>
      <c r="E4837" s="211" t="s">
        <v>9800</v>
      </c>
      <c r="F4837" s="211" t="s">
        <v>7171</v>
      </c>
    </row>
    <row r="4838" spans="1:6">
      <c r="A4838" s="211" t="s">
        <v>4135</v>
      </c>
      <c r="B4838" s="211">
        <v>3543</v>
      </c>
      <c r="C4838" s="211">
        <v>985</v>
      </c>
      <c r="D4838" s="211" t="s">
        <v>1255</v>
      </c>
      <c r="E4838" s="211" t="s">
        <v>10385</v>
      </c>
      <c r="F4838" s="211" t="s">
        <v>7199</v>
      </c>
    </row>
    <row r="4839" spans="1:6">
      <c r="A4839" s="211" t="s">
        <v>4136</v>
      </c>
      <c r="B4839" s="211">
        <v>773</v>
      </c>
      <c r="C4839" s="211">
        <v>1919</v>
      </c>
      <c r="D4839" s="211" t="s">
        <v>1117</v>
      </c>
      <c r="E4839" s="211" t="s">
        <v>10385</v>
      </c>
      <c r="F4839" s="211" t="s">
        <v>7171</v>
      </c>
    </row>
    <row r="4840" spans="1:6">
      <c r="A4840" s="211" t="s">
        <v>4917</v>
      </c>
      <c r="B4840" s="211">
        <v>2583</v>
      </c>
      <c r="C4840" s="211">
        <v>1601</v>
      </c>
      <c r="D4840" s="211" t="s">
        <v>1255</v>
      </c>
      <c r="E4840" s="211" t="s">
        <v>10385</v>
      </c>
      <c r="F4840" s="211" t="s">
        <v>7380</v>
      </c>
    </row>
    <row r="4841" spans="1:6">
      <c r="A4841" s="211" t="s">
        <v>8327</v>
      </c>
      <c r="B4841" s="211">
        <v>129</v>
      </c>
      <c r="C4841" s="211" t="s">
        <v>10385</v>
      </c>
      <c r="D4841" s="211" t="s">
        <v>1255</v>
      </c>
      <c r="E4841" s="211" t="s">
        <v>10385</v>
      </c>
      <c r="F4841" s="211" t="s">
        <v>7483</v>
      </c>
    </row>
    <row r="4842" spans="1:6">
      <c r="A4842" s="211" t="s">
        <v>4137</v>
      </c>
      <c r="B4842" s="211">
        <v>2030</v>
      </c>
      <c r="C4842" s="211">
        <v>774</v>
      </c>
      <c r="D4842" s="211" t="s">
        <v>1255</v>
      </c>
      <c r="E4842" s="211" t="s">
        <v>10385</v>
      </c>
      <c r="F4842" s="211" t="s">
        <v>7382</v>
      </c>
    </row>
    <row r="4843" spans="1:6">
      <c r="A4843" s="211" t="s">
        <v>9801</v>
      </c>
      <c r="B4843" s="211">
        <v>8147</v>
      </c>
      <c r="C4843" s="211">
        <v>1514</v>
      </c>
      <c r="D4843" s="211" t="s">
        <v>1117</v>
      </c>
      <c r="E4843" s="211" t="s">
        <v>9802</v>
      </c>
      <c r="F4843" s="211" t="s">
        <v>7189</v>
      </c>
    </row>
    <row r="4844" spans="1:6">
      <c r="A4844" s="211" t="s">
        <v>4566</v>
      </c>
      <c r="B4844" s="211">
        <v>6470</v>
      </c>
      <c r="C4844" s="211">
        <v>1767</v>
      </c>
      <c r="D4844" s="211" t="s">
        <v>1255</v>
      </c>
      <c r="E4844" s="211" t="s">
        <v>6036</v>
      </c>
      <c r="F4844" s="211" t="s">
        <v>7171</v>
      </c>
    </row>
    <row r="4845" spans="1:6">
      <c r="A4845" s="211" t="s">
        <v>4641</v>
      </c>
      <c r="B4845" s="211">
        <v>6326</v>
      </c>
      <c r="C4845" s="211">
        <v>867</v>
      </c>
      <c r="D4845" s="211" t="s">
        <v>1117</v>
      </c>
      <c r="E4845" s="211" t="s">
        <v>6946</v>
      </c>
      <c r="F4845" s="211" t="s">
        <v>7288</v>
      </c>
    </row>
    <row r="4846" spans="1:6">
      <c r="A4846" s="211" t="s">
        <v>4138</v>
      </c>
      <c r="B4846" s="211">
        <v>5877</v>
      </c>
      <c r="C4846" s="211">
        <v>1037</v>
      </c>
      <c r="D4846" s="211" t="s">
        <v>1117</v>
      </c>
      <c r="E4846" s="211" t="s">
        <v>10385</v>
      </c>
      <c r="F4846" s="211" t="s">
        <v>7398</v>
      </c>
    </row>
    <row r="4847" spans="1:6">
      <c r="A4847" s="211" t="s">
        <v>9803</v>
      </c>
      <c r="B4847" s="211">
        <v>7962</v>
      </c>
      <c r="C4847" s="211">
        <v>1000</v>
      </c>
      <c r="D4847" s="211" t="s">
        <v>1255</v>
      </c>
      <c r="E4847" s="211" t="s">
        <v>9804</v>
      </c>
      <c r="F4847" s="211" t="s">
        <v>7288</v>
      </c>
    </row>
    <row r="4848" spans="1:6">
      <c r="A4848" s="211" t="s">
        <v>4139</v>
      </c>
      <c r="B4848" s="211">
        <v>1509</v>
      </c>
      <c r="C4848" s="211">
        <v>1023</v>
      </c>
      <c r="D4848" s="211" t="s">
        <v>1255</v>
      </c>
      <c r="E4848" s="211" t="s">
        <v>10385</v>
      </c>
      <c r="F4848" s="211" t="s">
        <v>7438</v>
      </c>
    </row>
    <row r="4849" spans="1:6">
      <c r="A4849" s="211" t="s">
        <v>4140</v>
      </c>
      <c r="B4849" s="211">
        <v>3360</v>
      </c>
      <c r="C4849" s="211">
        <v>904</v>
      </c>
      <c r="D4849" s="211" t="s">
        <v>1255</v>
      </c>
      <c r="E4849" s="211" t="s">
        <v>10385</v>
      </c>
      <c r="F4849" s="211" t="s">
        <v>7256</v>
      </c>
    </row>
    <row r="4850" spans="1:6">
      <c r="A4850" s="211" t="s">
        <v>2968</v>
      </c>
      <c r="B4850" s="211">
        <v>1765</v>
      </c>
      <c r="C4850" s="211">
        <v>1964</v>
      </c>
      <c r="D4850" s="211" t="s">
        <v>1255</v>
      </c>
      <c r="E4850" s="211" t="s">
        <v>10385</v>
      </c>
      <c r="F4850" s="211" t="s">
        <v>7380</v>
      </c>
    </row>
    <row r="4851" spans="1:6">
      <c r="A4851" s="211" t="s">
        <v>8328</v>
      </c>
      <c r="B4851" s="211">
        <v>1514</v>
      </c>
      <c r="C4851" s="211" t="s">
        <v>10385</v>
      </c>
      <c r="D4851" s="211" t="s">
        <v>1255</v>
      </c>
      <c r="E4851" s="211" t="s">
        <v>10385</v>
      </c>
      <c r="F4851" s="211" t="s">
        <v>7344</v>
      </c>
    </row>
    <row r="4852" spans="1:6">
      <c r="A4852" s="211" t="s">
        <v>4141</v>
      </c>
      <c r="B4852" s="211">
        <v>2789</v>
      </c>
      <c r="C4852" s="211">
        <v>758</v>
      </c>
      <c r="D4852" s="211" t="s">
        <v>1255</v>
      </c>
      <c r="E4852" s="211" t="s">
        <v>10385</v>
      </c>
      <c r="F4852" s="211" t="s">
        <v>7344</v>
      </c>
    </row>
    <row r="4853" spans="1:6">
      <c r="A4853" s="211" t="s">
        <v>4142</v>
      </c>
      <c r="B4853" s="211">
        <v>764</v>
      </c>
      <c r="C4853" s="211">
        <v>1459</v>
      </c>
      <c r="D4853" s="211" t="s">
        <v>1255</v>
      </c>
      <c r="E4853" s="211" t="s">
        <v>10385</v>
      </c>
      <c r="F4853" s="211" t="s">
        <v>7162</v>
      </c>
    </row>
    <row r="4854" spans="1:6">
      <c r="A4854" s="211" t="s">
        <v>6037</v>
      </c>
      <c r="B4854" s="211">
        <v>7239</v>
      </c>
      <c r="C4854" s="211">
        <v>1299</v>
      </c>
      <c r="D4854" s="211" t="s">
        <v>1255</v>
      </c>
      <c r="E4854" s="211" t="s">
        <v>6038</v>
      </c>
      <c r="F4854" s="211" t="s">
        <v>7536</v>
      </c>
    </row>
    <row r="4855" spans="1:6">
      <c r="A4855" s="211" t="s">
        <v>4143</v>
      </c>
      <c r="B4855" s="211">
        <v>2217</v>
      </c>
      <c r="C4855" s="211">
        <v>1528</v>
      </c>
      <c r="D4855" s="211" t="s">
        <v>1255</v>
      </c>
      <c r="E4855" s="211" t="s">
        <v>10385</v>
      </c>
      <c r="F4855" s="211" t="s">
        <v>7335</v>
      </c>
    </row>
    <row r="4856" spans="1:6">
      <c r="A4856" s="211" t="s">
        <v>8329</v>
      </c>
      <c r="B4856" s="211">
        <v>426</v>
      </c>
      <c r="C4856" s="211" t="s">
        <v>10385</v>
      </c>
      <c r="D4856" s="211" t="s">
        <v>1255</v>
      </c>
      <c r="E4856" s="211" t="s">
        <v>10385</v>
      </c>
      <c r="F4856" s="211" t="s">
        <v>7269</v>
      </c>
    </row>
    <row r="4857" spans="1:6">
      <c r="A4857" s="211" t="s">
        <v>8330</v>
      </c>
      <c r="B4857" s="211">
        <v>1294</v>
      </c>
      <c r="C4857" s="211" t="s">
        <v>10385</v>
      </c>
      <c r="D4857" s="211" t="s">
        <v>1255</v>
      </c>
      <c r="E4857" s="211" t="s">
        <v>10385</v>
      </c>
      <c r="F4857" s="211" t="s">
        <v>7297</v>
      </c>
    </row>
    <row r="4858" spans="1:6">
      <c r="A4858" s="211" t="s">
        <v>8331</v>
      </c>
      <c r="B4858" s="211">
        <v>2714</v>
      </c>
      <c r="C4858" s="211">
        <v>1203</v>
      </c>
      <c r="D4858" s="211" t="s">
        <v>1255</v>
      </c>
      <c r="E4858" s="211" t="s">
        <v>3104</v>
      </c>
      <c r="F4858" s="211" t="s">
        <v>7365</v>
      </c>
    </row>
    <row r="4859" spans="1:6">
      <c r="A4859" s="211" t="s">
        <v>4144</v>
      </c>
      <c r="B4859" s="211">
        <v>823</v>
      </c>
      <c r="C4859" s="211">
        <v>828</v>
      </c>
      <c r="D4859" s="211" t="s">
        <v>1255</v>
      </c>
      <c r="E4859" s="211" t="s">
        <v>10385</v>
      </c>
      <c r="F4859" s="211" t="s">
        <v>7297</v>
      </c>
    </row>
    <row r="4860" spans="1:6">
      <c r="A4860" s="211" t="s">
        <v>8332</v>
      </c>
      <c r="B4860" s="211">
        <v>4893</v>
      </c>
      <c r="C4860" s="211" t="s">
        <v>10385</v>
      </c>
      <c r="D4860" s="211" t="s">
        <v>1255</v>
      </c>
      <c r="E4860" s="211" t="s">
        <v>10385</v>
      </c>
      <c r="F4860" s="211" t="s">
        <v>7246</v>
      </c>
    </row>
    <row r="4861" spans="1:6">
      <c r="A4861" s="211" t="s">
        <v>2913</v>
      </c>
      <c r="B4861" s="211">
        <v>3238</v>
      </c>
      <c r="C4861" s="211">
        <v>1017</v>
      </c>
      <c r="D4861" s="211" t="s">
        <v>1255</v>
      </c>
      <c r="E4861" s="211" t="s">
        <v>10385</v>
      </c>
      <c r="F4861" s="211" t="s">
        <v>7263</v>
      </c>
    </row>
    <row r="4862" spans="1:6">
      <c r="A4862" s="211" t="s">
        <v>4145</v>
      </c>
      <c r="B4862" s="211">
        <v>1621</v>
      </c>
      <c r="C4862" s="211">
        <v>323</v>
      </c>
      <c r="D4862" s="211" t="s">
        <v>1255</v>
      </c>
      <c r="E4862" s="211" t="s">
        <v>10385</v>
      </c>
      <c r="F4862" s="211" t="s">
        <v>7175</v>
      </c>
    </row>
    <row r="4863" spans="1:6">
      <c r="A4863" s="211" t="s">
        <v>4146</v>
      </c>
      <c r="B4863" s="211">
        <v>1104</v>
      </c>
      <c r="C4863" s="211">
        <v>1186</v>
      </c>
      <c r="D4863" s="211" t="s">
        <v>1255</v>
      </c>
      <c r="E4863" s="211" t="s">
        <v>10385</v>
      </c>
      <c r="F4863" s="211" t="s">
        <v>7255</v>
      </c>
    </row>
    <row r="4864" spans="1:6">
      <c r="A4864" s="211" t="s">
        <v>4147</v>
      </c>
      <c r="B4864" s="211">
        <v>5250</v>
      </c>
      <c r="C4864" s="211">
        <v>787</v>
      </c>
      <c r="D4864" s="211" t="s">
        <v>1255</v>
      </c>
      <c r="E4864" s="211" t="s">
        <v>10385</v>
      </c>
      <c r="F4864" s="211" t="s">
        <v>7663</v>
      </c>
    </row>
    <row r="4865" spans="1:6">
      <c r="A4865" s="211" t="s">
        <v>8333</v>
      </c>
      <c r="B4865" s="211">
        <v>871</v>
      </c>
      <c r="C4865" s="211">
        <v>618</v>
      </c>
      <c r="D4865" s="211" t="s">
        <v>1255</v>
      </c>
      <c r="E4865" s="211" t="s">
        <v>10385</v>
      </c>
      <c r="F4865" s="211" t="s">
        <v>7226</v>
      </c>
    </row>
    <row r="4866" spans="1:6">
      <c r="A4866" s="211" t="s">
        <v>4148</v>
      </c>
      <c r="B4866" s="211">
        <v>5341</v>
      </c>
      <c r="C4866" s="211">
        <v>1102</v>
      </c>
      <c r="D4866" s="211" t="s">
        <v>1255</v>
      </c>
      <c r="E4866" s="211" t="s">
        <v>10385</v>
      </c>
      <c r="F4866" s="211" t="s">
        <v>7248</v>
      </c>
    </row>
    <row r="4867" spans="1:6">
      <c r="A4867" s="211" t="s">
        <v>8334</v>
      </c>
      <c r="B4867" s="211">
        <v>6817</v>
      </c>
      <c r="C4867" s="211">
        <v>960</v>
      </c>
      <c r="D4867" s="211" t="s">
        <v>1255</v>
      </c>
      <c r="E4867" s="211" t="s">
        <v>10385</v>
      </c>
      <c r="F4867" s="211" t="s">
        <v>7248</v>
      </c>
    </row>
    <row r="4868" spans="1:6">
      <c r="A4868" s="211" t="s">
        <v>8335</v>
      </c>
      <c r="B4868" s="211">
        <v>3195</v>
      </c>
      <c r="C4868" s="211" t="s">
        <v>10385</v>
      </c>
      <c r="D4868" s="211" t="s">
        <v>1255</v>
      </c>
      <c r="E4868" s="211" t="s">
        <v>10385</v>
      </c>
      <c r="F4868" s="211" t="s">
        <v>7357</v>
      </c>
    </row>
    <row r="4869" spans="1:6">
      <c r="A4869" s="211" t="s">
        <v>8336</v>
      </c>
      <c r="B4869" s="211">
        <v>606</v>
      </c>
      <c r="C4869" s="211">
        <v>978</v>
      </c>
      <c r="D4869" s="211" t="s">
        <v>1255</v>
      </c>
      <c r="E4869" s="211" t="s">
        <v>10385</v>
      </c>
      <c r="F4869" s="211" t="s">
        <v>7272</v>
      </c>
    </row>
    <row r="4870" spans="1:6">
      <c r="A4870" s="211" t="s">
        <v>4149</v>
      </c>
      <c r="B4870" s="211">
        <v>2329</v>
      </c>
      <c r="C4870" s="211">
        <v>1097</v>
      </c>
      <c r="D4870" s="211" t="s">
        <v>1255</v>
      </c>
      <c r="E4870" s="211" t="s">
        <v>10385</v>
      </c>
      <c r="F4870" s="211" t="s">
        <v>7196</v>
      </c>
    </row>
    <row r="4871" spans="1:6">
      <c r="A4871" s="211" t="s">
        <v>4150</v>
      </c>
      <c r="B4871" s="211">
        <v>5157</v>
      </c>
      <c r="C4871" s="211">
        <v>558</v>
      </c>
      <c r="D4871" s="211" t="s">
        <v>1117</v>
      </c>
      <c r="E4871" s="211" t="s">
        <v>10385</v>
      </c>
      <c r="F4871" s="211" t="s">
        <v>7199</v>
      </c>
    </row>
    <row r="4872" spans="1:6">
      <c r="A4872" s="211" t="s">
        <v>4151</v>
      </c>
      <c r="B4872" s="211">
        <v>5488</v>
      </c>
      <c r="C4872" s="211">
        <v>2178</v>
      </c>
      <c r="D4872" s="211" t="s">
        <v>1255</v>
      </c>
      <c r="E4872" s="211" t="s">
        <v>10385</v>
      </c>
      <c r="F4872" s="211" t="s">
        <v>7199</v>
      </c>
    </row>
    <row r="4873" spans="1:6">
      <c r="A4873" s="211" t="s">
        <v>9805</v>
      </c>
      <c r="B4873" s="211">
        <v>8030</v>
      </c>
      <c r="C4873" s="211">
        <v>1041</v>
      </c>
      <c r="D4873" s="211" t="s">
        <v>1255</v>
      </c>
      <c r="E4873" s="211" t="s">
        <v>9806</v>
      </c>
      <c r="F4873" s="211" t="s">
        <v>7343</v>
      </c>
    </row>
    <row r="4874" spans="1:6">
      <c r="A4874" s="211" t="s">
        <v>1612</v>
      </c>
      <c r="B4874" s="211">
        <v>2781</v>
      </c>
      <c r="C4874" s="211">
        <v>1016</v>
      </c>
      <c r="D4874" s="211" t="s">
        <v>1255</v>
      </c>
      <c r="E4874" s="211" t="s">
        <v>10385</v>
      </c>
      <c r="F4874" s="211" t="s">
        <v>7241</v>
      </c>
    </row>
    <row r="4875" spans="1:6">
      <c r="A4875" s="211" t="s">
        <v>1613</v>
      </c>
      <c r="B4875" s="211">
        <v>4738</v>
      </c>
      <c r="C4875" s="211">
        <v>1190</v>
      </c>
      <c r="D4875" s="211" t="s">
        <v>1255</v>
      </c>
      <c r="E4875" s="211" t="s">
        <v>10385</v>
      </c>
      <c r="F4875" s="211" t="s">
        <v>7341</v>
      </c>
    </row>
    <row r="4876" spans="1:6">
      <c r="A4876" s="211" t="s">
        <v>8337</v>
      </c>
      <c r="B4876" s="211">
        <v>2042</v>
      </c>
      <c r="C4876" s="211" t="s">
        <v>10385</v>
      </c>
      <c r="D4876" s="211" t="s">
        <v>1255</v>
      </c>
      <c r="E4876" s="211" t="s">
        <v>10385</v>
      </c>
      <c r="F4876" s="211" t="s">
        <v>7262</v>
      </c>
    </row>
    <row r="4877" spans="1:6">
      <c r="A4877" s="211" t="s">
        <v>4543</v>
      </c>
      <c r="B4877" s="211">
        <v>6658</v>
      </c>
      <c r="C4877" s="211">
        <v>1525</v>
      </c>
      <c r="D4877" s="211" t="s">
        <v>1255</v>
      </c>
      <c r="E4877" s="211" t="s">
        <v>6947</v>
      </c>
      <c r="F4877" s="211" t="s">
        <v>7357</v>
      </c>
    </row>
    <row r="4878" spans="1:6">
      <c r="A4878" s="211" t="s">
        <v>1614</v>
      </c>
      <c r="B4878" s="211">
        <v>1775</v>
      </c>
      <c r="C4878" s="211">
        <v>879</v>
      </c>
      <c r="D4878" s="211" t="s">
        <v>1255</v>
      </c>
      <c r="E4878" s="211" t="s">
        <v>10385</v>
      </c>
      <c r="F4878" s="211" t="s">
        <v>7262</v>
      </c>
    </row>
    <row r="4879" spans="1:6">
      <c r="A4879" s="211" t="s">
        <v>9807</v>
      </c>
      <c r="B4879" s="211">
        <v>8021</v>
      </c>
      <c r="C4879" s="211">
        <v>1200</v>
      </c>
      <c r="D4879" s="211" t="s">
        <v>1255</v>
      </c>
      <c r="E4879" s="211" t="s">
        <v>9808</v>
      </c>
      <c r="F4879" s="211" t="s">
        <v>7375</v>
      </c>
    </row>
    <row r="4880" spans="1:6">
      <c r="A4880" s="211" t="s">
        <v>1615</v>
      </c>
      <c r="B4880" s="211">
        <v>4451</v>
      </c>
      <c r="C4880" s="211">
        <v>1202</v>
      </c>
      <c r="D4880" s="211" t="s">
        <v>1117</v>
      </c>
      <c r="E4880" s="211" t="s">
        <v>9809</v>
      </c>
      <c r="F4880" s="211" t="s">
        <v>7320</v>
      </c>
    </row>
    <row r="4881" spans="1:6">
      <c r="A4881" s="211" t="s">
        <v>1616</v>
      </c>
      <c r="B4881" s="211">
        <v>1299</v>
      </c>
      <c r="C4881" s="211">
        <v>1136</v>
      </c>
      <c r="D4881" s="211" t="s">
        <v>1255</v>
      </c>
      <c r="E4881" s="211" t="s">
        <v>10385</v>
      </c>
      <c r="F4881" s="211" t="s">
        <v>7629</v>
      </c>
    </row>
    <row r="4882" spans="1:6">
      <c r="A4882" s="211" t="s">
        <v>8338</v>
      </c>
      <c r="B4882" s="211">
        <v>2895</v>
      </c>
      <c r="C4882" s="211" t="s">
        <v>10385</v>
      </c>
      <c r="D4882" s="211" t="s">
        <v>1255</v>
      </c>
      <c r="E4882" s="211" t="s">
        <v>10385</v>
      </c>
      <c r="F4882" s="211" t="s">
        <v>7629</v>
      </c>
    </row>
    <row r="4883" spans="1:6">
      <c r="A4883" s="211" t="s">
        <v>1617</v>
      </c>
      <c r="B4883" s="211">
        <v>987</v>
      </c>
      <c r="C4883" s="211">
        <v>730</v>
      </c>
      <c r="D4883" s="211" t="s">
        <v>1255</v>
      </c>
      <c r="E4883" s="211" t="s">
        <v>10385</v>
      </c>
      <c r="F4883" s="211" t="s">
        <v>7510</v>
      </c>
    </row>
    <row r="4884" spans="1:6">
      <c r="A4884" s="211" t="s">
        <v>1618</v>
      </c>
      <c r="B4884" s="211">
        <v>3044</v>
      </c>
      <c r="C4884" s="211">
        <v>957</v>
      </c>
      <c r="D4884" s="211" t="s">
        <v>1255</v>
      </c>
      <c r="E4884" s="211" t="s">
        <v>10385</v>
      </c>
      <c r="F4884" s="211" t="s">
        <v>7476</v>
      </c>
    </row>
    <row r="4885" spans="1:6">
      <c r="A4885" s="211" t="s">
        <v>4616</v>
      </c>
      <c r="B4885" s="211">
        <v>6514</v>
      </c>
      <c r="C4885" s="211">
        <v>1163</v>
      </c>
      <c r="D4885" s="211" t="s">
        <v>1255</v>
      </c>
      <c r="E4885" s="211" t="s">
        <v>10385</v>
      </c>
      <c r="F4885" s="211" t="s">
        <v>7259</v>
      </c>
    </row>
    <row r="4886" spans="1:6">
      <c r="A4886" s="211" t="s">
        <v>1619</v>
      </c>
      <c r="B4886" s="211">
        <v>3983</v>
      </c>
      <c r="C4886" s="211">
        <v>1101</v>
      </c>
      <c r="D4886" s="211" t="s">
        <v>1255</v>
      </c>
      <c r="E4886" s="211" t="s">
        <v>10385</v>
      </c>
      <c r="F4886" s="211" t="s">
        <v>7212</v>
      </c>
    </row>
    <row r="4887" spans="1:6">
      <c r="A4887" s="211" t="s">
        <v>1620</v>
      </c>
      <c r="B4887" s="211">
        <v>5313</v>
      </c>
      <c r="C4887" s="211">
        <v>1265</v>
      </c>
      <c r="D4887" s="211" t="s">
        <v>1255</v>
      </c>
      <c r="E4887" s="211" t="s">
        <v>10385</v>
      </c>
      <c r="F4887" s="211" t="s">
        <v>7373</v>
      </c>
    </row>
    <row r="4888" spans="1:6">
      <c r="A4888" s="211" t="s">
        <v>1621</v>
      </c>
      <c r="B4888" s="211">
        <v>839</v>
      </c>
      <c r="C4888" s="211">
        <v>1545</v>
      </c>
      <c r="D4888" s="211" t="s">
        <v>1255</v>
      </c>
      <c r="E4888" s="211" t="s">
        <v>10385</v>
      </c>
      <c r="F4888" s="211" t="s">
        <v>7270</v>
      </c>
    </row>
    <row r="4889" spans="1:6">
      <c r="A4889" s="211" t="s">
        <v>6039</v>
      </c>
      <c r="B4889" s="211">
        <v>7369</v>
      </c>
      <c r="C4889" s="211">
        <v>1340</v>
      </c>
      <c r="D4889" s="211" t="s">
        <v>1255</v>
      </c>
      <c r="E4889" s="211" t="s">
        <v>10385</v>
      </c>
      <c r="F4889" s="211" t="s">
        <v>7375</v>
      </c>
    </row>
    <row r="4890" spans="1:6">
      <c r="A4890" s="211" t="s">
        <v>1622</v>
      </c>
      <c r="B4890" s="211">
        <v>4538</v>
      </c>
      <c r="C4890" s="211">
        <v>1138</v>
      </c>
      <c r="D4890" s="211" t="s">
        <v>1255</v>
      </c>
      <c r="E4890" s="211" t="s">
        <v>10385</v>
      </c>
      <c r="F4890" s="211" t="s">
        <v>7262</v>
      </c>
    </row>
    <row r="4891" spans="1:6">
      <c r="A4891" s="211" t="s">
        <v>6040</v>
      </c>
      <c r="B4891" s="211">
        <v>7238</v>
      </c>
      <c r="C4891" s="211">
        <v>938</v>
      </c>
      <c r="D4891" s="211" t="s">
        <v>1255</v>
      </c>
      <c r="E4891" s="211" t="s">
        <v>6041</v>
      </c>
      <c r="F4891" s="211" t="s">
        <v>7536</v>
      </c>
    </row>
    <row r="4892" spans="1:6">
      <c r="A4892" s="211" t="s">
        <v>1623</v>
      </c>
      <c r="B4892" s="211">
        <v>5837</v>
      </c>
      <c r="C4892" s="211">
        <v>2218</v>
      </c>
      <c r="D4892" s="211" t="s">
        <v>1255</v>
      </c>
      <c r="E4892" s="211" t="s">
        <v>10385</v>
      </c>
      <c r="F4892" s="211" t="s">
        <v>7186</v>
      </c>
    </row>
    <row r="4893" spans="1:6">
      <c r="A4893" s="211" t="s">
        <v>1624</v>
      </c>
      <c r="B4893" s="211">
        <v>5595</v>
      </c>
      <c r="C4893" s="211">
        <v>1441</v>
      </c>
      <c r="D4893" s="211" t="s">
        <v>1255</v>
      </c>
      <c r="E4893" s="211" t="s">
        <v>10385</v>
      </c>
      <c r="F4893" s="211" t="s">
        <v>7262</v>
      </c>
    </row>
    <row r="4894" spans="1:6">
      <c r="A4894" s="211" t="s">
        <v>1625</v>
      </c>
      <c r="B4894" s="211">
        <v>3770</v>
      </c>
      <c r="C4894" s="211">
        <v>944</v>
      </c>
      <c r="D4894" s="211" t="s">
        <v>1117</v>
      </c>
      <c r="E4894" s="211" t="s">
        <v>10385</v>
      </c>
      <c r="F4894" s="211" t="s">
        <v>7510</v>
      </c>
    </row>
    <row r="4895" spans="1:6">
      <c r="A4895" s="211" t="s">
        <v>5154</v>
      </c>
      <c r="B4895" s="211">
        <v>6625</v>
      </c>
      <c r="C4895" s="211">
        <v>678</v>
      </c>
      <c r="D4895" s="211" t="s">
        <v>1255</v>
      </c>
      <c r="E4895" s="211" t="s">
        <v>10385</v>
      </c>
      <c r="F4895" s="211" t="s">
        <v>7240</v>
      </c>
    </row>
    <row r="4896" spans="1:6">
      <c r="A4896" s="211" t="s">
        <v>4902</v>
      </c>
      <c r="B4896" s="211">
        <v>3460</v>
      </c>
      <c r="C4896" s="211">
        <v>1647</v>
      </c>
      <c r="D4896" s="211" t="s">
        <v>1255</v>
      </c>
      <c r="E4896" s="211" t="s">
        <v>10385</v>
      </c>
      <c r="F4896" s="211" t="s">
        <v>7325</v>
      </c>
    </row>
    <row r="4897" spans="1:6">
      <c r="A4897" s="211" t="s">
        <v>6042</v>
      </c>
      <c r="B4897" s="211">
        <v>7126</v>
      </c>
      <c r="C4897" s="211">
        <v>798</v>
      </c>
      <c r="D4897" s="211" t="s">
        <v>1117</v>
      </c>
      <c r="E4897" s="211" t="s">
        <v>10811</v>
      </c>
      <c r="F4897" s="211" t="s">
        <v>7258</v>
      </c>
    </row>
    <row r="4898" spans="1:6">
      <c r="A4898" s="211" t="s">
        <v>6948</v>
      </c>
      <c r="B4898" s="211">
        <v>7710</v>
      </c>
      <c r="C4898" s="211">
        <v>1812</v>
      </c>
      <c r="D4898" s="211" t="s">
        <v>1255</v>
      </c>
      <c r="E4898" s="211" t="s">
        <v>9810</v>
      </c>
      <c r="F4898" s="211" t="s">
        <v>7415</v>
      </c>
    </row>
    <row r="4899" spans="1:6">
      <c r="A4899" s="211" t="s">
        <v>1626</v>
      </c>
      <c r="B4899" s="211">
        <v>4220</v>
      </c>
      <c r="C4899" s="211">
        <v>901</v>
      </c>
      <c r="D4899" s="211" t="s">
        <v>1255</v>
      </c>
      <c r="E4899" s="211" t="s">
        <v>10385</v>
      </c>
      <c r="F4899" s="211" t="s">
        <v>7403</v>
      </c>
    </row>
    <row r="4900" spans="1:6">
      <c r="A4900" s="211" t="s">
        <v>8339</v>
      </c>
      <c r="B4900" s="211">
        <v>43</v>
      </c>
      <c r="C4900" s="211" t="s">
        <v>10385</v>
      </c>
      <c r="D4900" s="211" t="s">
        <v>1255</v>
      </c>
      <c r="E4900" s="211" t="s">
        <v>10385</v>
      </c>
      <c r="F4900" s="211" t="s">
        <v>7243</v>
      </c>
    </row>
    <row r="4901" spans="1:6">
      <c r="A4901" s="211" t="s">
        <v>1627</v>
      </c>
      <c r="B4901" s="211">
        <v>5123</v>
      </c>
      <c r="C4901" s="211">
        <v>1207</v>
      </c>
      <c r="D4901" s="211" t="s">
        <v>1255</v>
      </c>
      <c r="E4901" s="211" t="s">
        <v>10385</v>
      </c>
      <c r="F4901" s="211" t="s">
        <v>7384</v>
      </c>
    </row>
    <row r="4902" spans="1:6">
      <c r="A4902" s="211" t="s">
        <v>8340</v>
      </c>
      <c r="B4902" s="211">
        <v>2054</v>
      </c>
      <c r="C4902" s="211" t="s">
        <v>10385</v>
      </c>
      <c r="D4902" s="211" t="s">
        <v>1117</v>
      </c>
      <c r="E4902" s="211" t="s">
        <v>10385</v>
      </c>
      <c r="F4902" s="211" t="s">
        <v>7386</v>
      </c>
    </row>
    <row r="4903" spans="1:6">
      <c r="A4903" s="211" t="s">
        <v>8341</v>
      </c>
      <c r="B4903" s="211">
        <v>5105</v>
      </c>
      <c r="C4903" s="211" t="s">
        <v>10385</v>
      </c>
      <c r="D4903" s="211" t="s">
        <v>1255</v>
      </c>
      <c r="E4903" s="211" t="s">
        <v>10385</v>
      </c>
      <c r="F4903" s="211" t="s">
        <v>7455</v>
      </c>
    </row>
    <row r="4904" spans="1:6">
      <c r="A4904" s="211" t="s">
        <v>4642</v>
      </c>
      <c r="B4904" s="211">
        <v>6329</v>
      </c>
      <c r="C4904" s="211">
        <v>1268</v>
      </c>
      <c r="D4904" s="211" t="s">
        <v>1117</v>
      </c>
      <c r="E4904" s="211" t="s">
        <v>6043</v>
      </c>
      <c r="F4904" s="211" t="s">
        <v>7325</v>
      </c>
    </row>
    <row r="4905" spans="1:6">
      <c r="A4905" s="211" t="s">
        <v>5155</v>
      </c>
      <c r="B4905" s="211">
        <v>6952</v>
      </c>
      <c r="C4905" s="211">
        <v>1006</v>
      </c>
      <c r="D4905" s="211" t="s">
        <v>1255</v>
      </c>
      <c r="E4905" s="211" t="s">
        <v>10385</v>
      </c>
      <c r="F4905" s="211" t="s">
        <v>7202</v>
      </c>
    </row>
    <row r="4906" spans="1:6">
      <c r="A4906" s="211" t="s">
        <v>10812</v>
      </c>
      <c r="B4906" s="211">
        <v>8807</v>
      </c>
      <c r="C4906" s="211">
        <v>1765</v>
      </c>
      <c r="D4906" s="211" t="s">
        <v>1255</v>
      </c>
      <c r="E4906" s="211" t="s">
        <v>10813</v>
      </c>
      <c r="F4906" s="211" t="s">
        <v>10341</v>
      </c>
    </row>
    <row r="4907" spans="1:6">
      <c r="A4907" s="211" t="s">
        <v>8342</v>
      </c>
      <c r="B4907" s="211">
        <v>646</v>
      </c>
      <c r="C4907" s="211" t="s">
        <v>10385</v>
      </c>
      <c r="D4907" s="211" t="s">
        <v>1255</v>
      </c>
      <c r="E4907" s="211" t="s">
        <v>10385</v>
      </c>
      <c r="F4907" s="211" t="s">
        <v>7504</v>
      </c>
    </row>
    <row r="4908" spans="1:6">
      <c r="A4908" s="211" t="s">
        <v>4521</v>
      </c>
      <c r="B4908" s="211">
        <v>6549</v>
      </c>
      <c r="C4908" s="211">
        <v>1626</v>
      </c>
      <c r="D4908" s="211" t="s">
        <v>1255</v>
      </c>
      <c r="E4908" s="211" t="s">
        <v>6044</v>
      </c>
      <c r="F4908" s="211" t="s">
        <v>7197</v>
      </c>
    </row>
    <row r="4909" spans="1:6">
      <c r="A4909" s="211" t="s">
        <v>8343</v>
      </c>
      <c r="B4909" s="211">
        <v>5102</v>
      </c>
      <c r="C4909" s="211" t="s">
        <v>10385</v>
      </c>
      <c r="D4909" s="211" t="s">
        <v>1255</v>
      </c>
      <c r="E4909" s="211" t="s">
        <v>10385</v>
      </c>
      <c r="F4909" s="211" t="s">
        <v>7455</v>
      </c>
    </row>
    <row r="4910" spans="1:6">
      <c r="A4910" s="211" t="s">
        <v>1628</v>
      </c>
      <c r="B4910" s="211">
        <v>3847</v>
      </c>
      <c r="C4910" s="211">
        <v>1624</v>
      </c>
      <c r="D4910" s="211" t="s">
        <v>1255</v>
      </c>
      <c r="E4910" s="211" t="s">
        <v>10385</v>
      </c>
      <c r="F4910" s="211" t="s">
        <v>8107</v>
      </c>
    </row>
    <row r="4911" spans="1:6">
      <c r="A4911" s="211" t="s">
        <v>1629</v>
      </c>
      <c r="B4911" s="211">
        <v>5098</v>
      </c>
      <c r="C4911" s="211">
        <v>947</v>
      </c>
      <c r="D4911" s="211" t="s">
        <v>1255</v>
      </c>
      <c r="E4911" s="211" t="s">
        <v>10385</v>
      </c>
      <c r="F4911" s="211" t="s">
        <v>7446</v>
      </c>
    </row>
    <row r="4912" spans="1:6">
      <c r="A4912" s="211" t="s">
        <v>1630</v>
      </c>
      <c r="B4912" s="211">
        <v>1468</v>
      </c>
      <c r="C4912" s="211">
        <v>1502</v>
      </c>
      <c r="D4912" s="211" t="s">
        <v>1255</v>
      </c>
      <c r="E4912" s="211" t="s">
        <v>10385</v>
      </c>
      <c r="F4912" s="211" t="s">
        <v>7246</v>
      </c>
    </row>
    <row r="4913" spans="1:6">
      <c r="A4913" s="211" t="s">
        <v>4812</v>
      </c>
      <c r="B4913" s="211">
        <v>6111</v>
      </c>
      <c r="C4913" s="211">
        <v>1682</v>
      </c>
      <c r="D4913" s="211" t="s">
        <v>1255</v>
      </c>
      <c r="E4913" s="211" t="s">
        <v>10814</v>
      </c>
      <c r="F4913" s="211" t="s">
        <v>7258</v>
      </c>
    </row>
    <row r="4914" spans="1:6">
      <c r="A4914" s="211" t="s">
        <v>1631</v>
      </c>
      <c r="B4914" s="211">
        <v>4593</v>
      </c>
      <c r="C4914" s="211">
        <v>817</v>
      </c>
      <c r="D4914" s="211" t="s">
        <v>1117</v>
      </c>
      <c r="E4914" s="211" t="s">
        <v>6949</v>
      </c>
      <c r="F4914" s="211" t="s">
        <v>7223</v>
      </c>
    </row>
    <row r="4915" spans="1:6">
      <c r="A4915" s="211" t="s">
        <v>5156</v>
      </c>
      <c r="B4915" s="211">
        <v>4594</v>
      </c>
      <c r="C4915" s="211">
        <v>922</v>
      </c>
      <c r="D4915" s="211" t="s">
        <v>1117</v>
      </c>
      <c r="E4915" s="211" t="s">
        <v>9811</v>
      </c>
      <c r="F4915" s="211" t="s">
        <v>7223</v>
      </c>
    </row>
    <row r="4916" spans="1:6">
      <c r="A4916" s="211" t="s">
        <v>1632</v>
      </c>
      <c r="B4916" s="211">
        <v>3202</v>
      </c>
      <c r="C4916" s="211">
        <v>638</v>
      </c>
      <c r="D4916" s="211" t="s">
        <v>1255</v>
      </c>
      <c r="E4916" s="211" t="s">
        <v>10385</v>
      </c>
      <c r="F4916" s="211" t="s">
        <v>7382</v>
      </c>
    </row>
    <row r="4917" spans="1:6">
      <c r="A4917" s="211" t="s">
        <v>9812</v>
      </c>
      <c r="B4917" s="211">
        <v>8291</v>
      </c>
      <c r="C4917" s="211">
        <v>2094</v>
      </c>
      <c r="D4917" s="211" t="s">
        <v>1117</v>
      </c>
      <c r="E4917" s="211" t="s">
        <v>10815</v>
      </c>
      <c r="F4917" s="211" t="s">
        <v>7510</v>
      </c>
    </row>
    <row r="4918" spans="1:6">
      <c r="A4918" s="211" t="s">
        <v>1633</v>
      </c>
      <c r="B4918" s="211">
        <v>5891</v>
      </c>
      <c r="C4918" s="211">
        <v>1654</v>
      </c>
      <c r="D4918" s="211" t="s">
        <v>1255</v>
      </c>
      <c r="E4918" s="211" t="s">
        <v>10385</v>
      </c>
      <c r="F4918" s="211" t="s">
        <v>7377</v>
      </c>
    </row>
    <row r="4919" spans="1:6">
      <c r="A4919" s="211" t="s">
        <v>8344</v>
      </c>
      <c r="B4919" s="211">
        <v>229</v>
      </c>
      <c r="C4919" s="211" t="s">
        <v>10385</v>
      </c>
      <c r="D4919" s="211" t="s">
        <v>1255</v>
      </c>
      <c r="E4919" s="211" t="s">
        <v>10385</v>
      </c>
      <c r="F4919" s="211" t="s">
        <v>7171</v>
      </c>
    </row>
    <row r="4920" spans="1:6">
      <c r="A4920" s="211" t="s">
        <v>1634</v>
      </c>
      <c r="B4920" s="211">
        <v>3446</v>
      </c>
      <c r="C4920" s="211">
        <v>1421</v>
      </c>
      <c r="D4920" s="211" t="s">
        <v>1255</v>
      </c>
      <c r="E4920" s="211" t="s">
        <v>10385</v>
      </c>
      <c r="F4920" s="211" t="s">
        <v>7268</v>
      </c>
    </row>
    <row r="4921" spans="1:6">
      <c r="A4921" s="211" t="s">
        <v>6045</v>
      </c>
      <c r="B4921" s="211">
        <v>7563</v>
      </c>
      <c r="C4921" s="211">
        <v>941</v>
      </c>
      <c r="D4921" s="211" t="s">
        <v>1255</v>
      </c>
      <c r="E4921" s="211" t="s">
        <v>10385</v>
      </c>
      <c r="F4921" s="211" t="s">
        <v>7246</v>
      </c>
    </row>
    <row r="4922" spans="1:6">
      <c r="A4922" s="211" t="s">
        <v>1635</v>
      </c>
      <c r="B4922" s="211">
        <v>3762</v>
      </c>
      <c r="C4922" s="211">
        <v>1317</v>
      </c>
      <c r="D4922" s="211" t="s">
        <v>1255</v>
      </c>
      <c r="E4922" s="211" t="s">
        <v>10385</v>
      </c>
      <c r="F4922" s="211" t="s">
        <v>7526</v>
      </c>
    </row>
    <row r="4923" spans="1:6">
      <c r="A4923" s="211" t="s">
        <v>1636</v>
      </c>
      <c r="B4923" s="211">
        <v>6011</v>
      </c>
      <c r="C4923" s="211">
        <v>1124</v>
      </c>
      <c r="D4923" s="211" t="s">
        <v>1117</v>
      </c>
      <c r="E4923" s="211" t="s">
        <v>10385</v>
      </c>
      <c r="F4923" s="211" t="s">
        <v>7240</v>
      </c>
    </row>
    <row r="4924" spans="1:6">
      <c r="A4924" s="211" t="s">
        <v>1637</v>
      </c>
      <c r="B4924" s="211">
        <v>5084</v>
      </c>
      <c r="C4924" s="211">
        <v>778</v>
      </c>
      <c r="D4924" s="211" t="s">
        <v>1255</v>
      </c>
      <c r="E4924" s="211" t="s">
        <v>10385</v>
      </c>
      <c r="F4924" s="211" t="s">
        <v>7457</v>
      </c>
    </row>
    <row r="4925" spans="1:6">
      <c r="A4925" s="211" t="s">
        <v>8345</v>
      </c>
      <c r="B4925" s="211">
        <v>381</v>
      </c>
      <c r="C4925" s="211" t="s">
        <v>10385</v>
      </c>
      <c r="D4925" s="211" t="s">
        <v>1255</v>
      </c>
      <c r="E4925" s="211" t="s">
        <v>10385</v>
      </c>
      <c r="F4925" s="211" t="s">
        <v>7261</v>
      </c>
    </row>
    <row r="4926" spans="1:6">
      <c r="A4926" s="211" t="s">
        <v>1638</v>
      </c>
      <c r="B4926" s="211">
        <v>825</v>
      </c>
      <c r="C4926" s="211">
        <v>1118</v>
      </c>
      <c r="D4926" s="211" t="s">
        <v>1255</v>
      </c>
      <c r="E4926" s="211" t="s">
        <v>10385</v>
      </c>
      <c r="F4926" s="211" t="s">
        <v>7323</v>
      </c>
    </row>
    <row r="4927" spans="1:6">
      <c r="A4927" s="211" t="s">
        <v>6046</v>
      </c>
      <c r="B4927" s="211">
        <v>7058</v>
      </c>
      <c r="C4927" s="211">
        <v>871</v>
      </c>
      <c r="D4927" s="211" t="s">
        <v>1255</v>
      </c>
      <c r="E4927" s="211" t="s">
        <v>10385</v>
      </c>
      <c r="F4927" s="211" t="s">
        <v>7257</v>
      </c>
    </row>
    <row r="4928" spans="1:6">
      <c r="A4928" s="211" t="s">
        <v>9813</v>
      </c>
      <c r="B4928" s="211">
        <v>8287</v>
      </c>
      <c r="C4928" s="211">
        <v>799</v>
      </c>
      <c r="D4928" s="211" t="s">
        <v>1255</v>
      </c>
      <c r="E4928" s="211" t="s">
        <v>10385</v>
      </c>
      <c r="F4928" s="211" t="s">
        <v>7301</v>
      </c>
    </row>
    <row r="4929" spans="1:6">
      <c r="A4929" s="211" t="s">
        <v>8346</v>
      </c>
      <c r="B4929" s="211">
        <v>1306</v>
      </c>
      <c r="C4929" s="211">
        <v>1483</v>
      </c>
      <c r="D4929" s="211" t="s">
        <v>1117</v>
      </c>
      <c r="E4929" s="211" t="s">
        <v>10385</v>
      </c>
      <c r="F4929" s="211" t="s">
        <v>7510</v>
      </c>
    </row>
    <row r="4930" spans="1:6">
      <c r="A4930" s="211" t="s">
        <v>8347</v>
      </c>
      <c r="B4930" s="211">
        <v>2330</v>
      </c>
      <c r="C4930" s="211" t="s">
        <v>10385</v>
      </c>
      <c r="D4930" s="211" t="s">
        <v>1117</v>
      </c>
      <c r="E4930" s="211" t="s">
        <v>10385</v>
      </c>
      <c r="F4930" s="211" t="s">
        <v>7510</v>
      </c>
    </row>
    <row r="4931" spans="1:6">
      <c r="A4931" s="211" t="s">
        <v>10816</v>
      </c>
      <c r="B4931" s="211">
        <v>8708</v>
      </c>
      <c r="C4931" s="211">
        <v>1554</v>
      </c>
      <c r="D4931" s="211" t="s">
        <v>1255</v>
      </c>
      <c r="E4931" s="211" t="s">
        <v>10817</v>
      </c>
      <c r="F4931" s="211" t="s">
        <v>7192</v>
      </c>
    </row>
    <row r="4932" spans="1:6">
      <c r="A4932" s="211" t="s">
        <v>10818</v>
      </c>
      <c r="B4932" s="211">
        <v>6471</v>
      </c>
      <c r="C4932" s="211">
        <v>1686</v>
      </c>
      <c r="D4932" s="211" t="s">
        <v>1255</v>
      </c>
      <c r="E4932" s="211" t="s">
        <v>6950</v>
      </c>
      <c r="F4932" s="211" t="s">
        <v>7171</v>
      </c>
    </row>
    <row r="4933" spans="1:6">
      <c r="A4933" s="211" t="s">
        <v>9814</v>
      </c>
      <c r="B4933" s="211">
        <v>8301</v>
      </c>
      <c r="C4933" s="211">
        <v>1008</v>
      </c>
      <c r="D4933" s="211" t="s">
        <v>1117</v>
      </c>
      <c r="E4933" s="211" t="s">
        <v>10819</v>
      </c>
      <c r="F4933" s="211" t="s">
        <v>7573</v>
      </c>
    </row>
    <row r="4934" spans="1:6">
      <c r="A4934" s="211" t="s">
        <v>10820</v>
      </c>
      <c r="B4934" s="211">
        <v>7946</v>
      </c>
      <c r="C4934" s="211">
        <v>600</v>
      </c>
      <c r="D4934" s="211" t="s">
        <v>1255</v>
      </c>
      <c r="E4934" s="211" t="s">
        <v>9815</v>
      </c>
      <c r="F4934" s="211" t="s">
        <v>7536</v>
      </c>
    </row>
    <row r="4935" spans="1:6">
      <c r="A4935" s="211" t="s">
        <v>10821</v>
      </c>
      <c r="B4935" s="211">
        <v>8045</v>
      </c>
      <c r="C4935" s="211">
        <v>983</v>
      </c>
      <c r="D4935" s="211" t="s">
        <v>1255</v>
      </c>
      <c r="E4935" s="211" t="s">
        <v>10385</v>
      </c>
      <c r="F4935" s="211" t="s">
        <v>7536</v>
      </c>
    </row>
    <row r="4936" spans="1:6">
      <c r="A4936" s="211" t="s">
        <v>4643</v>
      </c>
      <c r="B4936" s="211">
        <v>6336</v>
      </c>
      <c r="C4936" s="211">
        <v>967</v>
      </c>
      <c r="D4936" s="211" t="s">
        <v>1255</v>
      </c>
      <c r="E4936" s="211" t="s">
        <v>10385</v>
      </c>
      <c r="F4936" s="211" t="s">
        <v>7782</v>
      </c>
    </row>
    <row r="4937" spans="1:6">
      <c r="A4937" s="211" t="s">
        <v>1639</v>
      </c>
      <c r="B4937" s="211">
        <v>3511</v>
      </c>
      <c r="C4937" s="211">
        <v>1285</v>
      </c>
      <c r="D4937" s="211" t="s">
        <v>1255</v>
      </c>
      <c r="E4937" s="211" t="s">
        <v>10385</v>
      </c>
      <c r="F4937" s="211" t="s">
        <v>7246</v>
      </c>
    </row>
    <row r="4938" spans="1:6">
      <c r="A4938" s="211" t="s">
        <v>1640</v>
      </c>
      <c r="B4938" s="211">
        <v>2471</v>
      </c>
      <c r="C4938" s="211">
        <v>1040</v>
      </c>
      <c r="D4938" s="211" t="s">
        <v>1255</v>
      </c>
      <c r="E4938" s="211" t="s">
        <v>10385</v>
      </c>
      <c r="F4938" s="211" t="s">
        <v>10341</v>
      </c>
    </row>
    <row r="4939" spans="1:6">
      <c r="A4939" s="211" t="s">
        <v>8348</v>
      </c>
      <c r="B4939" s="211">
        <v>349</v>
      </c>
      <c r="C4939" s="211" t="s">
        <v>10385</v>
      </c>
      <c r="D4939" s="211" t="s">
        <v>1255</v>
      </c>
      <c r="E4939" s="211" t="s">
        <v>10385</v>
      </c>
      <c r="F4939" s="211" t="s">
        <v>7243</v>
      </c>
    </row>
    <row r="4940" spans="1:6">
      <c r="A4940" s="211" t="s">
        <v>1641</v>
      </c>
      <c r="B4940" s="211">
        <v>4318</v>
      </c>
      <c r="C4940" s="211">
        <v>1754</v>
      </c>
      <c r="D4940" s="211" t="s">
        <v>1255</v>
      </c>
      <c r="E4940" s="211" t="s">
        <v>10385</v>
      </c>
      <c r="F4940" s="211" t="s">
        <v>7382</v>
      </c>
    </row>
    <row r="4941" spans="1:6">
      <c r="A4941" s="211" t="s">
        <v>1642</v>
      </c>
      <c r="B4941" s="211">
        <v>4907</v>
      </c>
      <c r="C4941" s="211">
        <v>781</v>
      </c>
      <c r="D4941" s="211" t="s">
        <v>1117</v>
      </c>
      <c r="E4941" s="211" t="s">
        <v>10385</v>
      </c>
      <c r="F4941" s="211" t="s">
        <v>7343</v>
      </c>
    </row>
    <row r="4942" spans="1:6">
      <c r="A4942" s="211" t="s">
        <v>8349</v>
      </c>
      <c r="B4942" s="211">
        <v>906</v>
      </c>
      <c r="C4942" s="211" t="s">
        <v>10385</v>
      </c>
      <c r="D4942" s="211" t="s">
        <v>1255</v>
      </c>
      <c r="E4942" s="211" t="s">
        <v>10385</v>
      </c>
      <c r="F4942" s="211" t="s">
        <v>7210</v>
      </c>
    </row>
    <row r="4943" spans="1:6">
      <c r="A4943" s="211" t="s">
        <v>9816</v>
      </c>
      <c r="B4943" s="211">
        <v>8005</v>
      </c>
      <c r="C4943" s="211">
        <v>1370</v>
      </c>
      <c r="D4943" s="211" t="s">
        <v>1255</v>
      </c>
      <c r="E4943" s="211" t="s">
        <v>10385</v>
      </c>
      <c r="F4943" s="211" t="s">
        <v>7965</v>
      </c>
    </row>
    <row r="4944" spans="1:6">
      <c r="A4944" s="211" t="s">
        <v>8350</v>
      </c>
      <c r="B4944" s="211">
        <v>5741</v>
      </c>
      <c r="C4944" s="211" t="s">
        <v>10385</v>
      </c>
      <c r="D4944" s="211" t="s">
        <v>1255</v>
      </c>
      <c r="E4944" s="211" t="s">
        <v>10385</v>
      </c>
      <c r="F4944" s="211" t="s">
        <v>7285</v>
      </c>
    </row>
    <row r="4945" spans="1:6">
      <c r="A4945" s="211" t="s">
        <v>8958</v>
      </c>
      <c r="B4945" s="211">
        <v>672</v>
      </c>
      <c r="C4945" s="211" t="s">
        <v>10385</v>
      </c>
      <c r="D4945" s="211" t="s">
        <v>1255</v>
      </c>
      <c r="E4945" s="211" t="s">
        <v>10385</v>
      </c>
      <c r="F4945" s="211" t="s">
        <v>7171</v>
      </c>
    </row>
    <row r="4946" spans="1:6">
      <c r="A4946" s="211" t="s">
        <v>8959</v>
      </c>
      <c r="B4946" s="211">
        <v>71</v>
      </c>
      <c r="C4946" s="211">
        <v>1293</v>
      </c>
      <c r="D4946" s="211" t="s">
        <v>1255</v>
      </c>
      <c r="E4946" s="211" t="s">
        <v>10385</v>
      </c>
      <c r="F4946" s="211" t="s">
        <v>7223</v>
      </c>
    </row>
    <row r="4947" spans="1:6">
      <c r="A4947" s="211" t="s">
        <v>8960</v>
      </c>
      <c r="B4947" s="211">
        <v>2624</v>
      </c>
      <c r="C4947" s="211">
        <v>880</v>
      </c>
      <c r="D4947" s="211" t="s">
        <v>1255</v>
      </c>
      <c r="E4947" s="211" t="s">
        <v>10385</v>
      </c>
      <c r="F4947" s="211" t="s">
        <v>7657</v>
      </c>
    </row>
    <row r="4948" spans="1:6">
      <c r="A4948" s="211" t="s">
        <v>8961</v>
      </c>
      <c r="B4948" s="211">
        <v>6686</v>
      </c>
      <c r="C4948" s="211">
        <v>880</v>
      </c>
      <c r="D4948" s="211" t="s">
        <v>1255</v>
      </c>
      <c r="E4948" s="211" t="s">
        <v>10385</v>
      </c>
      <c r="F4948" s="211" t="s">
        <v>7431</v>
      </c>
    </row>
    <row r="4949" spans="1:6">
      <c r="A4949" s="211" t="s">
        <v>8962</v>
      </c>
      <c r="B4949" s="211">
        <v>5413</v>
      </c>
      <c r="C4949" s="211" t="s">
        <v>10385</v>
      </c>
      <c r="D4949" s="211" t="s">
        <v>1255</v>
      </c>
      <c r="E4949" s="211" t="s">
        <v>10385</v>
      </c>
      <c r="F4949" s="211" t="s">
        <v>7571</v>
      </c>
    </row>
    <row r="4950" spans="1:6">
      <c r="A4950" s="211" t="s">
        <v>8963</v>
      </c>
      <c r="B4950" s="211">
        <v>438</v>
      </c>
      <c r="C4950" s="211" t="s">
        <v>10385</v>
      </c>
      <c r="D4950" s="211" t="s">
        <v>1255</v>
      </c>
      <c r="E4950" s="211" t="s">
        <v>10385</v>
      </c>
      <c r="F4950" s="211" t="s">
        <v>7233</v>
      </c>
    </row>
    <row r="4951" spans="1:6">
      <c r="A4951" s="211" t="s">
        <v>1643</v>
      </c>
      <c r="B4951" s="211">
        <v>3766</v>
      </c>
      <c r="C4951" s="211">
        <v>919</v>
      </c>
      <c r="D4951" s="211" t="s">
        <v>1255</v>
      </c>
      <c r="E4951" s="211" t="s">
        <v>10385</v>
      </c>
      <c r="F4951" s="211" t="s">
        <v>8146</v>
      </c>
    </row>
    <row r="4952" spans="1:6">
      <c r="A4952" s="211" t="s">
        <v>6951</v>
      </c>
      <c r="B4952" s="211">
        <v>7716</v>
      </c>
      <c r="C4952" s="211">
        <v>797</v>
      </c>
      <c r="D4952" s="211" t="s">
        <v>1117</v>
      </c>
      <c r="E4952" s="211" t="s">
        <v>6952</v>
      </c>
      <c r="F4952" s="211" t="s">
        <v>7215</v>
      </c>
    </row>
    <row r="4953" spans="1:6">
      <c r="A4953" s="211" t="s">
        <v>9817</v>
      </c>
      <c r="B4953" s="211">
        <v>7949</v>
      </c>
      <c r="C4953" s="211">
        <v>649</v>
      </c>
      <c r="D4953" s="211" t="s">
        <v>1117</v>
      </c>
      <c r="E4953" s="211" t="s">
        <v>9818</v>
      </c>
      <c r="F4953" s="211" t="s">
        <v>7325</v>
      </c>
    </row>
    <row r="4954" spans="1:6">
      <c r="A4954" s="211" t="s">
        <v>1644</v>
      </c>
      <c r="B4954" s="211">
        <v>2660</v>
      </c>
      <c r="C4954" s="211">
        <v>1198</v>
      </c>
      <c r="D4954" s="211" t="s">
        <v>1117</v>
      </c>
      <c r="E4954" s="211" t="s">
        <v>10385</v>
      </c>
      <c r="F4954" s="211" t="s">
        <v>7342</v>
      </c>
    </row>
    <row r="4955" spans="1:6">
      <c r="A4955" s="211" t="s">
        <v>9819</v>
      </c>
      <c r="B4955" s="211">
        <v>8060</v>
      </c>
      <c r="C4955" s="211">
        <v>787</v>
      </c>
      <c r="D4955" s="211" t="s">
        <v>1255</v>
      </c>
      <c r="E4955" s="211" t="s">
        <v>10385</v>
      </c>
      <c r="F4955" s="211" t="s">
        <v>7536</v>
      </c>
    </row>
    <row r="4956" spans="1:6">
      <c r="A4956" s="211" t="s">
        <v>1645</v>
      </c>
      <c r="B4956" s="211">
        <v>1712</v>
      </c>
      <c r="C4956" s="211">
        <v>904</v>
      </c>
      <c r="D4956" s="211" t="s">
        <v>1117</v>
      </c>
      <c r="E4956" s="211" t="s">
        <v>10385</v>
      </c>
      <c r="F4956" s="211" t="s">
        <v>7213</v>
      </c>
    </row>
    <row r="4957" spans="1:6">
      <c r="A4957" s="211" t="s">
        <v>6047</v>
      </c>
      <c r="B4957" s="211">
        <v>7060</v>
      </c>
      <c r="C4957" s="211">
        <v>942</v>
      </c>
      <c r="D4957" s="211" t="s">
        <v>1255</v>
      </c>
      <c r="E4957" s="211" t="s">
        <v>9821</v>
      </c>
      <c r="F4957" s="211" t="s">
        <v>7257</v>
      </c>
    </row>
    <row r="4958" spans="1:6">
      <c r="A4958" s="211" t="s">
        <v>8351</v>
      </c>
      <c r="B4958" s="211">
        <v>1442</v>
      </c>
      <c r="C4958" s="211" t="s">
        <v>10385</v>
      </c>
      <c r="D4958" s="211" t="s">
        <v>1255</v>
      </c>
      <c r="E4958" s="211" t="s">
        <v>10385</v>
      </c>
      <c r="F4958" s="211" t="s">
        <v>7280</v>
      </c>
    </row>
    <row r="4959" spans="1:6">
      <c r="A4959" s="211" t="s">
        <v>1646</v>
      </c>
      <c r="B4959" s="211">
        <v>1441</v>
      </c>
      <c r="C4959" s="211">
        <v>893</v>
      </c>
      <c r="D4959" s="211" t="s">
        <v>1255</v>
      </c>
      <c r="E4959" s="211" t="s">
        <v>10385</v>
      </c>
      <c r="F4959" s="211" t="s">
        <v>7280</v>
      </c>
    </row>
    <row r="4960" spans="1:6">
      <c r="A4960" s="211" t="s">
        <v>4813</v>
      </c>
      <c r="B4960" s="211">
        <v>6134</v>
      </c>
      <c r="C4960" s="211">
        <v>1477</v>
      </c>
      <c r="D4960" s="211" t="s">
        <v>1255</v>
      </c>
      <c r="E4960" s="211" t="s">
        <v>10385</v>
      </c>
      <c r="F4960" s="211" t="s">
        <v>7258</v>
      </c>
    </row>
    <row r="4961" spans="1:6">
      <c r="A4961" s="211" t="s">
        <v>9822</v>
      </c>
      <c r="B4961" s="211">
        <v>8528</v>
      </c>
      <c r="C4961" s="211">
        <v>953</v>
      </c>
      <c r="D4961" s="211" t="s">
        <v>1255</v>
      </c>
      <c r="E4961" s="211" t="s">
        <v>9823</v>
      </c>
      <c r="F4961" s="211" t="s">
        <v>7299</v>
      </c>
    </row>
    <row r="4962" spans="1:6">
      <c r="A4962" s="211" t="s">
        <v>9824</v>
      </c>
      <c r="B4962" s="211">
        <v>8174</v>
      </c>
      <c r="C4962" s="211">
        <v>985</v>
      </c>
      <c r="D4962" s="211" t="s">
        <v>1255</v>
      </c>
      <c r="E4962" s="211" t="s">
        <v>9825</v>
      </c>
      <c r="F4962" s="211" t="s">
        <v>7192</v>
      </c>
    </row>
    <row r="4963" spans="1:6">
      <c r="A4963" s="211" t="s">
        <v>6048</v>
      </c>
      <c r="B4963" s="211">
        <v>6543</v>
      </c>
      <c r="C4963" s="211">
        <v>2228</v>
      </c>
      <c r="D4963" s="211" t="s">
        <v>1255</v>
      </c>
      <c r="E4963" s="211" t="s">
        <v>6953</v>
      </c>
      <c r="F4963" s="211" t="s">
        <v>7524</v>
      </c>
    </row>
    <row r="4964" spans="1:6">
      <c r="A4964" s="211" t="s">
        <v>1647</v>
      </c>
      <c r="B4964" s="211">
        <v>5271</v>
      </c>
      <c r="C4964" s="211">
        <v>1157</v>
      </c>
      <c r="D4964" s="211" t="s">
        <v>1255</v>
      </c>
      <c r="E4964" s="211" t="s">
        <v>10385</v>
      </c>
      <c r="F4964" s="211" t="s">
        <v>7240</v>
      </c>
    </row>
    <row r="4965" spans="1:6">
      <c r="A4965" s="211" t="s">
        <v>4700</v>
      </c>
      <c r="B4965" s="211">
        <v>6375</v>
      </c>
      <c r="C4965" s="211">
        <v>1341</v>
      </c>
      <c r="D4965" s="211" t="s">
        <v>1255</v>
      </c>
      <c r="E4965" s="211" t="s">
        <v>10385</v>
      </c>
      <c r="F4965" s="211" t="s">
        <v>7263</v>
      </c>
    </row>
    <row r="4966" spans="1:6">
      <c r="A4966" s="211" t="s">
        <v>9826</v>
      </c>
      <c r="B4966" s="211">
        <v>8505</v>
      </c>
      <c r="C4966" s="211">
        <v>1049</v>
      </c>
      <c r="D4966" s="211" t="s">
        <v>1255</v>
      </c>
      <c r="E4966" s="211" t="s">
        <v>10385</v>
      </c>
      <c r="F4966" s="211" t="s">
        <v>7511</v>
      </c>
    </row>
    <row r="4967" spans="1:6">
      <c r="A4967" s="211" t="s">
        <v>1648</v>
      </c>
      <c r="B4967" s="211">
        <v>4062</v>
      </c>
      <c r="C4967" s="211">
        <v>985</v>
      </c>
      <c r="D4967" s="211" t="s">
        <v>1255</v>
      </c>
      <c r="E4967" s="211" t="s">
        <v>10385</v>
      </c>
      <c r="F4967" s="211" t="s">
        <v>8229</v>
      </c>
    </row>
    <row r="4968" spans="1:6">
      <c r="A4968" s="211" t="s">
        <v>1649</v>
      </c>
      <c r="B4968" s="211">
        <v>1572</v>
      </c>
      <c r="C4968" s="211">
        <v>2067</v>
      </c>
      <c r="D4968" s="211" t="s">
        <v>1255</v>
      </c>
      <c r="E4968" s="211" t="s">
        <v>10385</v>
      </c>
      <c r="F4968" s="211" t="s">
        <v>7415</v>
      </c>
    </row>
    <row r="4969" spans="1:6">
      <c r="A4969" s="211" t="s">
        <v>9827</v>
      </c>
      <c r="B4969" s="211">
        <v>8012</v>
      </c>
      <c r="C4969" s="211">
        <v>800</v>
      </c>
      <c r="D4969" s="211" t="s">
        <v>1117</v>
      </c>
      <c r="E4969" s="211" t="s">
        <v>10385</v>
      </c>
      <c r="F4969" s="211" t="s">
        <v>7208</v>
      </c>
    </row>
    <row r="4970" spans="1:6">
      <c r="A4970" s="211" t="s">
        <v>10822</v>
      </c>
      <c r="B4970" s="211">
        <v>8781</v>
      </c>
      <c r="C4970" s="211">
        <v>1456</v>
      </c>
      <c r="D4970" s="211" t="s">
        <v>1255</v>
      </c>
      <c r="E4970" s="211" t="s">
        <v>10823</v>
      </c>
      <c r="F4970" s="211" t="s">
        <v>7383</v>
      </c>
    </row>
    <row r="4971" spans="1:6">
      <c r="A4971" s="211" t="s">
        <v>10824</v>
      </c>
      <c r="B4971" s="211">
        <v>8826</v>
      </c>
      <c r="C4971" s="211">
        <v>600</v>
      </c>
      <c r="D4971" s="211" t="s">
        <v>1255</v>
      </c>
      <c r="E4971" s="211" t="s">
        <v>10825</v>
      </c>
      <c r="F4971" s="211" t="s">
        <v>7285</v>
      </c>
    </row>
    <row r="4972" spans="1:6">
      <c r="A4972" s="211" t="s">
        <v>1650</v>
      </c>
      <c r="B4972" s="211">
        <v>5301</v>
      </c>
      <c r="C4972" s="211">
        <v>964</v>
      </c>
      <c r="D4972" s="211" t="s">
        <v>1255</v>
      </c>
      <c r="E4972" s="211" t="s">
        <v>10385</v>
      </c>
      <c r="F4972" s="211" t="s">
        <v>7349</v>
      </c>
    </row>
    <row r="4973" spans="1:6">
      <c r="A4973" s="211" t="s">
        <v>1651</v>
      </c>
      <c r="B4973" s="211">
        <v>4796</v>
      </c>
      <c r="C4973" s="211">
        <v>883</v>
      </c>
      <c r="D4973" s="211" t="s">
        <v>1255</v>
      </c>
      <c r="E4973" s="211" t="s">
        <v>10385</v>
      </c>
      <c r="F4973" s="211" t="s">
        <v>7239</v>
      </c>
    </row>
    <row r="4974" spans="1:6">
      <c r="A4974" s="211" t="s">
        <v>9828</v>
      </c>
      <c r="B4974" s="211">
        <v>8516</v>
      </c>
      <c r="C4974" s="211">
        <v>950</v>
      </c>
      <c r="D4974" s="211" t="s">
        <v>1255</v>
      </c>
      <c r="E4974" s="211" t="s">
        <v>9829</v>
      </c>
      <c r="F4974" s="211" t="s">
        <v>7308</v>
      </c>
    </row>
    <row r="4975" spans="1:6">
      <c r="A4975" s="211" t="s">
        <v>1652</v>
      </c>
      <c r="B4975" s="211">
        <v>4676</v>
      </c>
      <c r="C4975" s="211">
        <v>1561</v>
      </c>
      <c r="D4975" s="211" t="s">
        <v>1255</v>
      </c>
      <c r="E4975" s="211" t="s">
        <v>1653</v>
      </c>
      <c r="F4975" s="211" t="s">
        <v>7231</v>
      </c>
    </row>
    <row r="4976" spans="1:6">
      <c r="A4976" s="211" t="s">
        <v>6954</v>
      </c>
      <c r="B4976" s="211">
        <v>7818</v>
      </c>
      <c r="C4976" s="211">
        <v>962</v>
      </c>
      <c r="D4976" s="211" t="s">
        <v>1117</v>
      </c>
      <c r="E4976" s="211" t="s">
        <v>6955</v>
      </c>
      <c r="F4976" s="211" t="s">
        <v>7928</v>
      </c>
    </row>
    <row r="4977" spans="1:6">
      <c r="A4977" s="211" t="s">
        <v>3039</v>
      </c>
      <c r="B4977" s="211">
        <v>1435</v>
      </c>
      <c r="C4977" s="211">
        <v>1135</v>
      </c>
      <c r="D4977" s="211" t="s">
        <v>1255</v>
      </c>
      <c r="E4977" s="211" t="s">
        <v>3114</v>
      </c>
      <c r="F4977" s="211" t="s">
        <v>7388</v>
      </c>
    </row>
    <row r="4978" spans="1:6">
      <c r="A4978" s="211" t="s">
        <v>1654</v>
      </c>
      <c r="B4978" s="211">
        <v>467</v>
      </c>
      <c r="C4978" s="211">
        <v>1666</v>
      </c>
      <c r="D4978" s="211" t="s">
        <v>1255</v>
      </c>
      <c r="E4978" s="211" t="s">
        <v>10385</v>
      </c>
      <c r="F4978" s="211" t="s">
        <v>7196</v>
      </c>
    </row>
    <row r="4979" spans="1:6">
      <c r="A4979" s="211" t="s">
        <v>1655</v>
      </c>
      <c r="B4979" s="211">
        <v>2734</v>
      </c>
      <c r="C4979" s="211">
        <v>1104</v>
      </c>
      <c r="D4979" s="211" t="s">
        <v>1117</v>
      </c>
      <c r="E4979" s="211" t="s">
        <v>10385</v>
      </c>
      <c r="F4979" s="211" t="s">
        <v>7356</v>
      </c>
    </row>
    <row r="4980" spans="1:6">
      <c r="A4980" s="211" t="s">
        <v>1656</v>
      </c>
      <c r="B4980" s="211">
        <v>5597</v>
      </c>
      <c r="C4980" s="211">
        <v>1944</v>
      </c>
      <c r="D4980" s="211" t="s">
        <v>1255</v>
      </c>
      <c r="E4980" s="211" t="s">
        <v>10385</v>
      </c>
      <c r="F4980" s="211" t="s">
        <v>7389</v>
      </c>
    </row>
    <row r="4981" spans="1:6">
      <c r="A4981" s="211" t="s">
        <v>1657</v>
      </c>
      <c r="B4981" s="211">
        <v>4750</v>
      </c>
      <c r="C4981" s="211">
        <v>977</v>
      </c>
      <c r="D4981" s="211" t="s">
        <v>1255</v>
      </c>
      <c r="E4981" s="211" t="s">
        <v>10385</v>
      </c>
      <c r="F4981" s="211" t="s">
        <v>7587</v>
      </c>
    </row>
    <row r="4982" spans="1:6">
      <c r="A4982" s="211" t="s">
        <v>1658</v>
      </c>
      <c r="B4982" s="211">
        <v>6017</v>
      </c>
      <c r="C4982" s="211">
        <v>720</v>
      </c>
      <c r="D4982" s="211" t="s">
        <v>1255</v>
      </c>
      <c r="E4982" s="211" t="s">
        <v>10385</v>
      </c>
      <c r="F4982" s="211" t="s">
        <v>7349</v>
      </c>
    </row>
    <row r="4983" spans="1:6">
      <c r="A4983" s="211" t="s">
        <v>8352</v>
      </c>
      <c r="B4983" s="211">
        <v>2549</v>
      </c>
      <c r="C4983" s="211" t="s">
        <v>10385</v>
      </c>
      <c r="D4983" s="211" t="s">
        <v>1255</v>
      </c>
      <c r="E4983" s="211" t="s">
        <v>10385</v>
      </c>
      <c r="F4983" s="211" t="s">
        <v>7513</v>
      </c>
    </row>
    <row r="4984" spans="1:6">
      <c r="A4984" s="211" t="s">
        <v>1659</v>
      </c>
      <c r="B4984" s="211">
        <v>2280</v>
      </c>
      <c r="C4984" s="211">
        <v>942</v>
      </c>
      <c r="D4984" s="211" t="s">
        <v>1117</v>
      </c>
      <c r="E4984" s="211" t="s">
        <v>10385</v>
      </c>
      <c r="F4984" s="211" t="s">
        <v>7255</v>
      </c>
    </row>
    <row r="4985" spans="1:6">
      <c r="A4985" s="211" t="s">
        <v>1660</v>
      </c>
      <c r="B4985" s="211">
        <v>4964</v>
      </c>
      <c r="C4985" s="211">
        <v>1080</v>
      </c>
      <c r="D4985" s="211" t="s">
        <v>1255</v>
      </c>
      <c r="E4985" s="211" t="s">
        <v>10385</v>
      </c>
      <c r="F4985" s="211" t="s">
        <v>7664</v>
      </c>
    </row>
    <row r="4986" spans="1:6">
      <c r="A4986" s="211" t="s">
        <v>8353</v>
      </c>
      <c r="B4986" s="211">
        <v>1399</v>
      </c>
      <c r="C4986" s="211" t="s">
        <v>10385</v>
      </c>
      <c r="D4986" s="211" t="s">
        <v>1255</v>
      </c>
      <c r="E4986" s="211" t="s">
        <v>10385</v>
      </c>
      <c r="F4986" s="211" t="s">
        <v>7175</v>
      </c>
    </row>
    <row r="4987" spans="1:6">
      <c r="A4987" s="211" t="s">
        <v>1661</v>
      </c>
      <c r="B4987" s="211">
        <v>5440</v>
      </c>
      <c r="C4987" s="211">
        <v>1203</v>
      </c>
      <c r="D4987" s="211" t="s">
        <v>1255</v>
      </c>
      <c r="E4987" s="211" t="s">
        <v>10385</v>
      </c>
      <c r="F4987" s="211" t="s">
        <v>7213</v>
      </c>
    </row>
    <row r="4988" spans="1:6">
      <c r="A4988" s="211" t="s">
        <v>1662</v>
      </c>
      <c r="B4988" s="211">
        <v>4752</v>
      </c>
      <c r="C4988" s="211">
        <v>1526</v>
      </c>
      <c r="D4988" s="211" t="s">
        <v>1255</v>
      </c>
      <c r="E4988" s="211" t="s">
        <v>10385</v>
      </c>
      <c r="F4988" s="211" t="s">
        <v>7186</v>
      </c>
    </row>
    <row r="4989" spans="1:6">
      <c r="A4989" s="211" t="s">
        <v>4848</v>
      </c>
      <c r="B4989" s="211">
        <v>6082</v>
      </c>
      <c r="C4989" s="211">
        <v>832</v>
      </c>
      <c r="D4989" s="211" t="s">
        <v>1255</v>
      </c>
      <c r="E4989" s="211" t="s">
        <v>10385</v>
      </c>
      <c r="F4989" s="211" t="s">
        <v>7459</v>
      </c>
    </row>
    <row r="4990" spans="1:6">
      <c r="A4990" s="211" t="s">
        <v>8964</v>
      </c>
      <c r="B4990" s="211">
        <v>3757</v>
      </c>
      <c r="C4990" s="211">
        <v>1486</v>
      </c>
      <c r="D4990" s="211" t="s">
        <v>1255</v>
      </c>
      <c r="E4990" s="211" t="s">
        <v>10385</v>
      </c>
      <c r="F4990" s="211" t="s">
        <v>7262</v>
      </c>
    </row>
    <row r="4991" spans="1:6">
      <c r="A4991" s="211" t="s">
        <v>8965</v>
      </c>
      <c r="B4991" s="211">
        <v>4694</v>
      </c>
      <c r="C4991" s="211" t="s">
        <v>10385</v>
      </c>
      <c r="D4991" s="211" t="s">
        <v>1255</v>
      </c>
      <c r="E4991" s="211" t="s">
        <v>10385</v>
      </c>
      <c r="F4991" s="211" t="s">
        <v>7165</v>
      </c>
    </row>
    <row r="4992" spans="1:6">
      <c r="A4992" s="211" t="s">
        <v>2891</v>
      </c>
      <c r="B4992" s="211">
        <v>3453</v>
      </c>
      <c r="C4992" s="211">
        <v>896</v>
      </c>
      <c r="D4992" s="211" t="s">
        <v>1255</v>
      </c>
      <c r="E4992" s="211" t="s">
        <v>10385</v>
      </c>
      <c r="F4992" s="211" t="s">
        <v>7268</v>
      </c>
    </row>
    <row r="4993" spans="1:6">
      <c r="A4993" s="211" t="s">
        <v>2871</v>
      </c>
      <c r="B4993" s="211">
        <v>3842</v>
      </c>
      <c r="C4993" s="211">
        <v>931</v>
      </c>
      <c r="D4993" s="211" t="s">
        <v>1117</v>
      </c>
      <c r="E4993" s="211" t="s">
        <v>10385</v>
      </c>
      <c r="F4993" s="211" t="s">
        <v>7263</v>
      </c>
    </row>
    <row r="4994" spans="1:6">
      <c r="A4994" s="211" t="s">
        <v>8354</v>
      </c>
      <c r="B4994" s="211">
        <v>4146</v>
      </c>
      <c r="C4994" s="211" t="s">
        <v>10385</v>
      </c>
      <c r="D4994" s="211" t="s">
        <v>1255</v>
      </c>
      <c r="E4994" s="211" t="s">
        <v>10385</v>
      </c>
      <c r="F4994" s="211" t="s">
        <v>7216</v>
      </c>
    </row>
    <row r="4995" spans="1:6">
      <c r="A4995" s="211" t="s">
        <v>9830</v>
      </c>
      <c r="B4995" s="211">
        <v>8000</v>
      </c>
      <c r="C4995" s="211">
        <v>1756</v>
      </c>
      <c r="D4995" s="211" t="s">
        <v>1255</v>
      </c>
      <c r="E4995" s="211" t="s">
        <v>10826</v>
      </c>
      <c r="F4995" s="211" t="s">
        <v>7483</v>
      </c>
    </row>
    <row r="4996" spans="1:6">
      <c r="A4996" s="211" t="s">
        <v>1663</v>
      </c>
      <c r="B4996" s="211">
        <v>5306</v>
      </c>
      <c r="C4996" s="211">
        <v>967</v>
      </c>
      <c r="D4996" s="211" t="s">
        <v>1255</v>
      </c>
      <c r="E4996" s="211" t="s">
        <v>10385</v>
      </c>
      <c r="F4996" s="211" t="s">
        <v>7189</v>
      </c>
    </row>
    <row r="4997" spans="1:6">
      <c r="A4997" s="211" t="s">
        <v>8355</v>
      </c>
      <c r="B4997" s="211">
        <v>248</v>
      </c>
      <c r="C4997" s="211" t="s">
        <v>10385</v>
      </c>
      <c r="D4997" s="211" t="s">
        <v>1255</v>
      </c>
      <c r="E4997" s="211" t="s">
        <v>10385</v>
      </c>
      <c r="F4997" s="211" t="s">
        <v>7196</v>
      </c>
    </row>
    <row r="4998" spans="1:6">
      <c r="A4998" s="211" t="s">
        <v>1664</v>
      </c>
      <c r="B4998" s="211">
        <v>4905</v>
      </c>
      <c r="C4998" s="211">
        <v>1071</v>
      </c>
      <c r="D4998" s="211" t="s">
        <v>1255</v>
      </c>
      <c r="E4998" s="211" t="s">
        <v>10385</v>
      </c>
      <c r="F4998" s="211" t="s">
        <v>7335</v>
      </c>
    </row>
    <row r="4999" spans="1:6">
      <c r="A4999" s="211" t="s">
        <v>8356</v>
      </c>
      <c r="B4999" s="211">
        <v>163</v>
      </c>
      <c r="C4999" s="211" t="s">
        <v>10385</v>
      </c>
      <c r="D4999" s="211" t="s">
        <v>1255</v>
      </c>
      <c r="E4999" s="211" t="s">
        <v>10385</v>
      </c>
      <c r="F4999" s="211" t="s">
        <v>7239</v>
      </c>
    </row>
    <row r="5000" spans="1:6">
      <c r="A5000" s="211" t="s">
        <v>4889</v>
      </c>
      <c r="B5000" s="211">
        <v>7172</v>
      </c>
      <c r="C5000" s="211">
        <v>1636</v>
      </c>
      <c r="D5000" s="211" t="s">
        <v>1255</v>
      </c>
      <c r="E5000" s="211" t="s">
        <v>10827</v>
      </c>
      <c r="F5000" s="211" t="s">
        <v>7384</v>
      </c>
    </row>
    <row r="5001" spans="1:6">
      <c r="A5001" s="211" t="s">
        <v>1665</v>
      </c>
      <c r="B5001" s="211">
        <v>1242</v>
      </c>
      <c r="C5001" s="211">
        <v>1181</v>
      </c>
      <c r="D5001" s="211" t="s">
        <v>1255</v>
      </c>
      <c r="E5001" s="211" t="s">
        <v>10385</v>
      </c>
      <c r="F5001" s="211" t="s">
        <v>7216</v>
      </c>
    </row>
    <row r="5002" spans="1:6">
      <c r="A5002" s="211" t="s">
        <v>1666</v>
      </c>
      <c r="B5002" s="211">
        <v>1122</v>
      </c>
      <c r="C5002" s="211">
        <v>1764</v>
      </c>
      <c r="D5002" s="211" t="s">
        <v>1255</v>
      </c>
      <c r="E5002" s="211" t="s">
        <v>10385</v>
      </c>
      <c r="F5002" s="211" t="s">
        <v>10341</v>
      </c>
    </row>
    <row r="5003" spans="1:6">
      <c r="A5003" s="211" t="s">
        <v>8357</v>
      </c>
      <c r="B5003" s="211">
        <v>1118</v>
      </c>
      <c r="C5003" s="211" t="s">
        <v>10385</v>
      </c>
      <c r="D5003" s="211" t="s">
        <v>1255</v>
      </c>
      <c r="E5003" s="211" t="s">
        <v>10385</v>
      </c>
      <c r="F5003" s="211" t="s">
        <v>10341</v>
      </c>
    </row>
    <row r="5004" spans="1:6">
      <c r="A5004" s="211" t="s">
        <v>1667</v>
      </c>
      <c r="B5004" s="211">
        <v>6010</v>
      </c>
      <c r="C5004" s="211">
        <v>809</v>
      </c>
      <c r="D5004" s="211" t="s">
        <v>1255</v>
      </c>
      <c r="E5004" s="211" t="s">
        <v>10385</v>
      </c>
      <c r="F5004" s="211" t="s">
        <v>7373</v>
      </c>
    </row>
    <row r="5005" spans="1:6">
      <c r="A5005" s="211" t="s">
        <v>1668</v>
      </c>
      <c r="B5005" s="211">
        <v>7132</v>
      </c>
      <c r="C5005" s="211">
        <v>1137</v>
      </c>
      <c r="D5005" s="211" t="s">
        <v>1255</v>
      </c>
      <c r="E5005" s="211" t="s">
        <v>6049</v>
      </c>
      <c r="F5005" s="211" t="s">
        <v>7457</v>
      </c>
    </row>
    <row r="5006" spans="1:6">
      <c r="A5006" s="211" t="s">
        <v>8358</v>
      </c>
      <c r="B5006" s="211">
        <v>5432</v>
      </c>
      <c r="C5006" s="211" t="s">
        <v>10385</v>
      </c>
      <c r="D5006" s="211" t="s">
        <v>1255</v>
      </c>
      <c r="E5006" s="211" t="s">
        <v>10385</v>
      </c>
      <c r="F5006" s="211" t="s">
        <v>7457</v>
      </c>
    </row>
    <row r="5007" spans="1:6">
      <c r="A5007" s="211" t="s">
        <v>6050</v>
      </c>
      <c r="B5007" s="211">
        <v>7451</v>
      </c>
      <c r="C5007" s="211">
        <v>837</v>
      </c>
      <c r="D5007" s="211" t="s">
        <v>1255</v>
      </c>
      <c r="E5007" s="211" t="s">
        <v>10385</v>
      </c>
      <c r="F5007" s="211" t="s">
        <v>7228</v>
      </c>
    </row>
    <row r="5008" spans="1:6">
      <c r="A5008" s="211" t="s">
        <v>1669</v>
      </c>
      <c r="B5008" s="211">
        <v>3703</v>
      </c>
      <c r="C5008" s="211">
        <v>975</v>
      </c>
      <c r="D5008" s="211" t="s">
        <v>1255</v>
      </c>
      <c r="E5008" s="211" t="s">
        <v>10385</v>
      </c>
      <c r="F5008" s="211" t="s">
        <v>7189</v>
      </c>
    </row>
    <row r="5009" spans="1:6">
      <c r="A5009" s="211" t="s">
        <v>8359</v>
      </c>
      <c r="B5009" s="211">
        <v>3624</v>
      </c>
      <c r="C5009" s="211" t="s">
        <v>10385</v>
      </c>
      <c r="D5009" s="211" t="s">
        <v>1255</v>
      </c>
      <c r="E5009" s="211" t="s">
        <v>10385</v>
      </c>
      <c r="F5009" s="211" t="s">
        <v>7657</v>
      </c>
    </row>
    <row r="5010" spans="1:6">
      <c r="A5010" s="211" t="s">
        <v>8360</v>
      </c>
      <c r="B5010" s="211">
        <v>4049</v>
      </c>
      <c r="C5010" s="211" t="s">
        <v>10385</v>
      </c>
      <c r="D5010" s="211" t="s">
        <v>1255</v>
      </c>
      <c r="E5010" s="211" t="s">
        <v>10385</v>
      </c>
      <c r="F5010" s="211" t="s">
        <v>7386</v>
      </c>
    </row>
    <row r="5011" spans="1:6">
      <c r="A5011" s="211" t="s">
        <v>8361</v>
      </c>
      <c r="B5011" s="211">
        <v>2328</v>
      </c>
      <c r="C5011" s="211" t="s">
        <v>10385</v>
      </c>
      <c r="D5011" s="211" t="s">
        <v>1255</v>
      </c>
      <c r="E5011" s="211" t="s">
        <v>10385</v>
      </c>
      <c r="F5011" s="211" t="s">
        <v>7399</v>
      </c>
    </row>
    <row r="5012" spans="1:6">
      <c r="A5012" s="211" t="s">
        <v>8362</v>
      </c>
      <c r="B5012" s="211">
        <v>1897</v>
      </c>
      <c r="C5012" s="211" t="s">
        <v>10385</v>
      </c>
      <c r="D5012" s="211" t="s">
        <v>1255</v>
      </c>
      <c r="E5012" s="211" t="s">
        <v>10385</v>
      </c>
      <c r="F5012" s="211" t="s">
        <v>7438</v>
      </c>
    </row>
    <row r="5013" spans="1:6">
      <c r="A5013" s="211" t="s">
        <v>8363</v>
      </c>
      <c r="B5013" s="211">
        <v>2325</v>
      </c>
      <c r="C5013" s="211" t="s">
        <v>10385</v>
      </c>
      <c r="D5013" s="211" t="s">
        <v>1255</v>
      </c>
      <c r="E5013" s="211" t="s">
        <v>10385</v>
      </c>
      <c r="F5013" s="211" t="s">
        <v>7399</v>
      </c>
    </row>
    <row r="5014" spans="1:6">
      <c r="A5014" s="211" t="s">
        <v>1670</v>
      </c>
      <c r="B5014" s="211">
        <v>5486</v>
      </c>
      <c r="C5014" s="211">
        <v>817</v>
      </c>
      <c r="D5014" s="211" t="s">
        <v>1255</v>
      </c>
      <c r="E5014" s="211" t="s">
        <v>10385</v>
      </c>
      <c r="F5014" s="211" t="s">
        <v>7233</v>
      </c>
    </row>
    <row r="5015" spans="1:6">
      <c r="A5015" s="211" t="s">
        <v>9831</v>
      </c>
      <c r="B5015" s="211">
        <v>7986</v>
      </c>
      <c r="C5015" s="211">
        <v>992</v>
      </c>
      <c r="D5015" s="211" t="s">
        <v>1255</v>
      </c>
      <c r="E5015" s="211" t="s">
        <v>9832</v>
      </c>
      <c r="F5015" s="211" t="s">
        <v>7399</v>
      </c>
    </row>
    <row r="5016" spans="1:6">
      <c r="A5016" s="211" t="s">
        <v>8364</v>
      </c>
      <c r="B5016" s="211">
        <v>278</v>
      </c>
      <c r="C5016" s="211" t="s">
        <v>10385</v>
      </c>
      <c r="D5016" s="211" t="s">
        <v>1255</v>
      </c>
      <c r="E5016" s="211" t="s">
        <v>10385</v>
      </c>
      <c r="F5016" s="211" t="s">
        <v>7270</v>
      </c>
    </row>
    <row r="5017" spans="1:6">
      <c r="A5017" s="211" t="s">
        <v>8365</v>
      </c>
      <c r="B5017" s="211">
        <v>2244</v>
      </c>
      <c r="C5017" s="211" t="s">
        <v>10385</v>
      </c>
      <c r="D5017" s="211" t="s">
        <v>1255</v>
      </c>
      <c r="E5017" s="211" t="s">
        <v>10385</v>
      </c>
      <c r="F5017" s="211" t="s">
        <v>7430</v>
      </c>
    </row>
    <row r="5018" spans="1:6">
      <c r="A5018" s="211" t="s">
        <v>8366</v>
      </c>
      <c r="B5018" s="211">
        <v>1286</v>
      </c>
      <c r="C5018" s="211" t="s">
        <v>10385</v>
      </c>
      <c r="D5018" s="211" t="s">
        <v>1255</v>
      </c>
      <c r="E5018" s="211" t="s">
        <v>10385</v>
      </c>
      <c r="F5018" s="211" t="s">
        <v>7165</v>
      </c>
    </row>
    <row r="5019" spans="1:6">
      <c r="A5019" s="211" t="s">
        <v>8367</v>
      </c>
      <c r="B5019" s="211">
        <v>4124</v>
      </c>
      <c r="C5019" s="211" t="s">
        <v>10385</v>
      </c>
      <c r="D5019" s="211" t="s">
        <v>1255</v>
      </c>
      <c r="E5019" s="211" t="s">
        <v>10385</v>
      </c>
      <c r="F5019" s="211" t="s">
        <v>7284</v>
      </c>
    </row>
    <row r="5020" spans="1:6">
      <c r="A5020" s="211" t="s">
        <v>1671</v>
      </c>
      <c r="B5020" s="211">
        <v>5337</v>
      </c>
      <c r="C5020" s="211">
        <v>833</v>
      </c>
      <c r="D5020" s="211" t="s">
        <v>1255</v>
      </c>
      <c r="E5020" s="211" t="s">
        <v>10385</v>
      </c>
      <c r="F5020" s="211" t="s">
        <v>7490</v>
      </c>
    </row>
    <row r="5021" spans="1:6">
      <c r="A5021" s="211" t="s">
        <v>1672</v>
      </c>
      <c r="B5021" s="211">
        <v>2482</v>
      </c>
      <c r="C5021" s="211">
        <v>1042</v>
      </c>
      <c r="D5021" s="211" t="s">
        <v>1255</v>
      </c>
      <c r="E5021" s="211" t="s">
        <v>10385</v>
      </c>
      <c r="F5021" s="211" t="s">
        <v>7355</v>
      </c>
    </row>
    <row r="5022" spans="1:6">
      <c r="A5022" s="211" t="s">
        <v>1673</v>
      </c>
      <c r="B5022" s="211">
        <v>4982</v>
      </c>
      <c r="C5022" s="211">
        <v>1323</v>
      </c>
      <c r="D5022" s="211" t="s">
        <v>1255</v>
      </c>
      <c r="E5022" s="211" t="s">
        <v>10385</v>
      </c>
      <c r="F5022" s="211" t="s">
        <v>7224</v>
      </c>
    </row>
    <row r="5023" spans="1:6">
      <c r="A5023" s="211" t="s">
        <v>9833</v>
      </c>
      <c r="B5023" s="211">
        <v>7961</v>
      </c>
      <c r="C5023" s="211">
        <v>793</v>
      </c>
      <c r="D5023" s="211" t="s">
        <v>1255</v>
      </c>
      <c r="E5023" s="211" t="s">
        <v>9834</v>
      </c>
      <c r="F5023" s="211" t="s">
        <v>7325</v>
      </c>
    </row>
    <row r="5024" spans="1:6">
      <c r="A5024" s="211" t="s">
        <v>9835</v>
      </c>
      <c r="B5024" s="211">
        <v>8066</v>
      </c>
      <c r="C5024" s="211">
        <v>2017</v>
      </c>
      <c r="D5024" s="211" t="s">
        <v>1255</v>
      </c>
      <c r="E5024" s="211" t="s">
        <v>10828</v>
      </c>
      <c r="F5024" s="211" t="s">
        <v>7306</v>
      </c>
    </row>
    <row r="5025" spans="1:6">
      <c r="A5025" s="211" t="s">
        <v>1674</v>
      </c>
      <c r="B5025" s="211">
        <v>4060</v>
      </c>
      <c r="C5025" s="211">
        <v>1275</v>
      </c>
      <c r="D5025" s="211" t="s">
        <v>1255</v>
      </c>
      <c r="E5025" s="211" t="s">
        <v>10385</v>
      </c>
      <c r="F5025" s="211" t="s">
        <v>8229</v>
      </c>
    </row>
    <row r="5026" spans="1:6">
      <c r="A5026" s="211" t="s">
        <v>4676</v>
      </c>
      <c r="B5026" s="211">
        <v>6395</v>
      </c>
      <c r="C5026" s="211">
        <v>1000</v>
      </c>
      <c r="D5026" s="211" t="s">
        <v>1255</v>
      </c>
      <c r="E5026" s="211" t="s">
        <v>10385</v>
      </c>
      <c r="F5026" s="211" t="s">
        <v>7186</v>
      </c>
    </row>
    <row r="5027" spans="1:6">
      <c r="A5027" s="211" t="s">
        <v>1675</v>
      </c>
      <c r="B5027" s="211">
        <v>1986</v>
      </c>
      <c r="C5027" s="211">
        <v>1447</v>
      </c>
      <c r="D5027" s="211" t="s">
        <v>1255</v>
      </c>
      <c r="E5027" s="211" t="s">
        <v>10385</v>
      </c>
      <c r="F5027" s="211" t="s">
        <v>7331</v>
      </c>
    </row>
    <row r="5028" spans="1:6">
      <c r="A5028" s="211" t="s">
        <v>10829</v>
      </c>
      <c r="B5028" s="211">
        <v>8671</v>
      </c>
      <c r="C5028" s="211">
        <v>356</v>
      </c>
      <c r="D5028" s="211" t="s">
        <v>1255</v>
      </c>
      <c r="E5028" s="211" t="s">
        <v>10830</v>
      </c>
      <c r="F5028" s="211" t="s">
        <v>7377</v>
      </c>
    </row>
    <row r="5029" spans="1:6">
      <c r="A5029" s="211" t="s">
        <v>1676</v>
      </c>
      <c r="B5029" s="211">
        <v>5501</v>
      </c>
      <c r="C5029" s="211">
        <v>803</v>
      </c>
      <c r="D5029" s="211" t="s">
        <v>1117</v>
      </c>
      <c r="E5029" s="211" t="s">
        <v>10385</v>
      </c>
      <c r="F5029" s="211" t="s">
        <v>7272</v>
      </c>
    </row>
    <row r="5030" spans="1:6">
      <c r="A5030" s="211" t="s">
        <v>9836</v>
      </c>
      <c r="B5030" s="211">
        <v>8204</v>
      </c>
      <c r="C5030" s="211">
        <v>985</v>
      </c>
      <c r="D5030" s="211" t="s">
        <v>1255</v>
      </c>
      <c r="E5030" s="211" t="s">
        <v>9837</v>
      </c>
      <c r="F5030" s="211" t="s">
        <v>7561</v>
      </c>
    </row>
    <row r="5031" spans="1:6">
      <c r="A5031" s="211" t="s">
        <v>5157</v>
      </c>
      <c r="B5031" s="211">
        <v>6869</v>
      </c>
      <c r="C5031" s="211">
        <v>919</v>
      </c>
      <c r="D5031" s="211" t="s">
        <v>1255</v>
      </c>
      <c r="E5031" s="211" t="s">
        <v>10385</v>
      </c>
      <c r="F5031" s="211" t="s">
        <v>8210</v>
      </c>
    </row>
    <row r="5032" spans="1:6">
      <c r="A5032" s="211" t="s">
        <v>1677</v>
      </c>
      <c r="B5032" s="211">
        <v>2192</v>
      </c>
      <c r="C5032" s="211">
        <v>1107</v>
      </c>
      <c r="D5032" s="211" t="s">
        <v>1255</v>
      </c>
      <c r="E5032" s="211" t="s">
        <v>10385</v>
      </c>
      <c r="F5032" s="211" t="s">
        <v>7318</v>
      </c>
    </row>
    <row r="5033" spans="1:6">
      <c r="A5033" s="211" t="s">
        <v>6051</v>
      </c>
      <c r="B5033" s="211">
        <v>7339</v>
      </c>
      <c r="C5033" s="211">
        <v>733</v>
      </c>
      <c r="D5033" s="211" t="s">
        <v>1255</v>
      </c>
      <c r="E5033" s="211" t="s">
        <v>10385</v>
      </c>
      <c r="F5033" s="211" t="s">
        <v>7375</v>
      </c>
    </row>
    <row r="5034" spans="1:6">
      <c r="A5034" s="211" t="s">
        <v>1678</v>
      </c>
      <c r="B5034" s="211">
        <v>1512</v>
      </c>
      <c r="C5034" s="211">
        <v>1028</v>
      </c>
      <c r="D5034" s="211" t="s">
        <v>1255</v>
      </c>
      <c r="E5034" s="211" t="s">
        <v>10385</v>
      </c>
      <c r="F5034" s="211" t="s">
        <v>7344</v>
      </c>
    </row>
    <row r="5035" spans="1:6">
      <c r="A5035" s="211" t="s">
        <v>1679</v>
      </c>
      <c r="B5035" s="211">
        <v>1401</v>
      </c>
      <c r="C5035" s="211">
        <v>606</v>
      </c>
      <c r="D5035" s="211" t="s">
        <v>1255</v>
      </c>
      <c r="E5035" s="211" t="s">
        <v>10385</v>
      </c>
      <c r="F5035" s="211" t="s">
        <v>7175</v>
      </c>
    </row>
    <row r="5036" spans="1:6">
      <c r="A5036" s="211" t="s">
        <v>1680</v>
      </c>
      <c r="B5036" s="211">
        <v>3990</v>
      </c>
      <c r="C5036" s="211">
        <v>1293</v>
      </c>
      <c r="D5036" s="211" t="s">
        <v>1255</v>
      </c>
      <c r="E5036" s="211" t="s">
        <v>10385</v>
      </c>
      <c r="F5036" s="211" t="s">
        <v>7235</v>
      </c>
    </row>
    <row r="5037" spans="1:6">
      <c r="A5037" s="211" t="s">
        <v>1681</v>
      </c>
      <c r="B5037" s="211">
        <v>4424</v>
      </c>
      <c r="C5037" s="211">
        <v>1147</v>
      </c>
      <c r="D5037" s="211" t="s">
        <v>1255</v>
      </c>
      <c r="E5037" s="211" t="s">
        <v>10385</v>
      </c>
      <c r="F5037" s="211" t="s">
        <v>9024</v>
      </c>
    </row>
    <row r="5038" spans="1:6">
      <c r="A5038" s="211" t="s">
        <v>1682</v>
      </c>
      <c r="B5038" s="211">
        <v>4707</v>
      </c>
      <c r="C5038" s="211">
        <v>999</v>
      </c>
      <c r="D5038" s="211" t="s">
        <v>1255</v>
      </c>
      <c r="E5038" s="211" t="s">
        <v>10385</v>
      </c>
      <c r="F5038" s="211" t="s">
        <v>7760</v>
      </c>
    </row>
    <row r="5039" spans="1:6">
      <c r="A5039" s="211" t="s">
        <v>4644</v>
      </c>
      <c r="B5039" s="211">
        <v>6358</v>
      </c>
      <c r="C5039" s="211">
        <v>842</v>
      </c>
      <c r="D5039" s="211" t="s">
        <v>1255</v>
      </c>
      <c r="E5039" s="211" t="s">
        <v>10385</v>
      </c>
      <c r="F5039" s="211" t="s">
        <v>7288</v>
      </c>
    </row>
    <row r="5040" spans="1:6">
      <c r="A5040" s="211" t="s">
        <v>8368</v>
      </c>
      <c r="B5040" s="211">
        <v>958</v>
      </c>
      <c r="C5040" s="211" t="s">
        <v>10385</v>
      </c>
      <c r="D5040" s="211" t="s">
        <v>1255</v>
      </c>
      <c r="E5040" s="211" t="s">
        <v>10385</v>
      </c>
      <c r="F5040" s="211" t="s">
        <v>7627</v>
      </c>
    </row>
    <row r="5041" spans="1:6">
      <c r="A5041" s="211" t="s">
        <v>4885</v>
      </c>
      <c r="B5041" s="211">
        <v>5408</v>
      </c>
      <c r="C5041" s="211">
        <v>1021</v>
      </c>
      <c r="D5041" s="211" t="s">
        <v>1255</v>
      </c>
      <c r="E5041" s="211" t="s">
        <v>10385</v>
      </c>
      <c r="F5041" s="211" t="s">
        <v>7325</v>
      </c>
    </row>
    <row r="5042" spans="1:6">
      <c r="A5042" s="211" t="s">
        <v>1683</v>
      </c>
      <c r="B5042" s="211">
        <v>5903</v>
      </c>
      <c r="C5042" s="211">
        <v>1288</v>
      </c>
      <c r="D5042" s="211" t="s">
        <v>1255</v>
      </c>
      <c r="E5042" s="211" t="s">
        <v>10385</v>
      </c>
      <c r="F5042" s="211" t="s">
        <v>7250</v>
      </c>
    </row>
    <row r="5043" spans="1:6">
      <c r="A5043" s="211" t="s">
        <v>1684</v>
      </c>
      <c r="B5043" s="211">
        <v>5531</v>
      </c>
      <c r="C5043" s="211">
        <v>1283</v>
      </c>
      <c r="D5043" s="211" t="s">
        <v>1117</v>
      </c>
      <c r="E5043" s="211" t="s">
        <v>6956</v>
      </c>
      <c r="F5043" s="211" t="s">
        <v>7356</v>
      </c>
    </row>
    <row r="5044" spans="1:6">
      <c r="A5044" s="211" t="s">
        <v>8369</v>
      </c>
      <c r="B5044" s="211">
        <v>172</v>
      </c>
      <c r="C5044" s="211" t="s">
        <v>10385</v>
      </c>
      <c r="D5044" s="211" t="s">
        <v>1255</v>
      </c>
      <c r="E5044" s="211" t="s">
        <v>10385</v>
      </c>
      <c r="F5044" s="211" t="s">
        <v>7356</v>
      </c>
    </row>
    <row r="5045" spans="1:6">
      <c r="A5045" s="211" t="s">
        <v>8370</v>
      </c>
      <c r="B5045" s="211">
        <v>1202</v>
      </c>
      <c r="C5045" s="211" t="s">
        <v>10385</v>
      </c>
      <c r="D5045" s="211" t="s">
        <v>1255</v>
      </c>
      <c r="E5045" s="211" t="s">
        <v>10385</v>
      </c>
      <c r="F5045" s="211" t="s">
        <v>7175</v>
      </c>
    </row>
    <row r="5046" spans="1:6">
      <c r="A5046" s="211" t="s">
        <v>1685</v>
      </c>
      <c r="B5046" s="211">
        <v>5405</v>
      </c>
      <c r="C5046" s="211">
        <v>1065</v>
      </c>
      <c r="D5046" s="211" t="s">
        <v>1255</v>
      </c>
      <c r="E5046" s="211" t="s">
        <v>10385</v>
      </c>
      <c r="F5046" s="211" t="s">
        <v>7742</v>
      </c>
    </row>
    <row r="5047" spans="1:6">
      <c r="A5047" s="211" t="s">
        <v>1686</v>
      </c>
      <c r="B5047" s="211">
        <v>4785</v>
      </c>
      <c r="C5047" s="211">
        <v>1018</v>
      </c>
      <c r="D5047" s="211" t="s">
        <v>1117</v>
      </c>
      <c r="E5047" s="211" t="s">
        <v>10385</v>
      </c>
      <c r="F5047" s="211" t="s">
        <v>7167</v>
      </c>
    </row>
    <row r="5048" spans="1:6">
      <c r="A5048" s="211" t="s">
        <v>8371</v>
      </c>
      <c r="B5048" s="211">
        <v>2195</v>
      </c>
      <c r="C5048" s="211" t="s">
        <v>10385</v>
      </c>
      <c r="D5048" s="211" t="s">
        <v>1255</v>
      </c>
      <c r="E5048" s="211" t="s">
        <v>10385</v>
      </c>
      <c r="F5048" s="211" t="s">
        <v>7797</v>
      </c>
    </row>
    <row r="5049" spans="1:6">
      <c r="A5049" s="211" t="s">
        <v>1687</v>
      </c>
      <c r="B5049" s="211">
        <v>3008</v>
      </c>
      <c r="C5049" s="211">
        <v>881</v>
      </c>
      <c r="D5049" s="211" t="s">
        <v>1117</v>
      </c>
      <c r="E5049" s="211" t="s">
        <v>10385</v>
      </c>
      <c r="F5049" s="211" t="s">
        <v>7192</v>
      </c>
    </row>
    <row r="5050" spans="1:6">
      <c r="A5050" s="211" t="s">
        <v>1688</v>
      </c>
      <c r="B5050" s="211">
        <v>4811</v>
      </c>
      <c r="C5050" s="211">
        <v>714</v>
      </c>
      <c r="D5050" s="211" t="s">
        <v>1117</v>
      </c>
      <c r="E5050" s="211" t="s">
        <v>10385</v>
      </c>
      <c r="F5050" s="211" t="s">
        <v>7239</v>
      </c>
    </row>
    <row r="5051" spans="1:6">
      <c r="A5051" s="211" t="s">
        <v>1689</v>
      </c>
      <c r="B5051" s="211">
        <v>2456</v>
      </c>
      <c r="C5051" s="211">
        <v>992</v>
      </c>
      <c r="D5051" s="211" t="s">
        <v>1255</v>
      </c>
      <c r="E5051" s="211" t="s">
        <v>10385</v>
      </c>
      <c r="F5051" s="211" t="s">
        <v>7286</v>
      </c>
    </row>
    <row r="5052" spans="1:6">
      <c r="A5052" s="211" t="s">
        <v>8372</v>
      </c>
      <c r="B5052" s="211">
        <v>1839</v>
      </c>
      <c r="C5052" s="211" t="s">
        <v>10385</v>
      </c>
      <c r="D5052" s="211" t="s">
        <v>1255</v>
      </c>
      <c r="E5052" s="211" t="s">
        <v>10385</v>
      </c>
      <c r="F5052" s="211" t="s">
        <v>7263</v>
      </c>
    </row>
    <row r="5053" spans="1:6">
      <c r="A5053" s="211" t="s">
        <v>8373</v>
      </c>
      <c r="B5053" s="211">
        <v>4820</v>
      </c>
      <c r="C5053" s="211" t="s">
        <v>10385</v>
      </c>
      <c r="D5053" s="211" t="s">
        <v>1255</v>
      </c>
      <c r="E5053" s="211" t="s">
        <v>10385</v>
      </c>
      <c r="F5053" s="211" t="s">
        <v>7292</v>
      </c>
    </row>
    <row r="5054" spans="1:6">
      <c r="A5054" s="211" t="s">
        <v>4544</v>
      </c>
      <c r="B5054" s="211">
        <v>6662</v>
      </c>
      <c r="C5054" s="211">
        <v>328</v>
      </c>
      <c r="D5054" s="211" t="s">
        <v>1117</v>
      </c>
      <c r="E5054" s="211" t="s">
        <v>10385</v>
      </c>
      <c r="F5054" s="211" t="s">
        <v>7425</v>
      </c>
    </row>
    <row r="5055" spans="1:6">
      <c r="A5055" s="211" t="s">
        <v>5158</v>
      </c>
      <c r="B5055" s="211">
        <v>6802</v>
      </c>
      <c r="C5055" s="211">
        <v>1123</v>
      </c>
      <c r="D5055" s="211" t="s">
        <v>1255</v>
      </c>
      <c r="E5055" s="211" t="s">
        <v>10385</v>
      </c>
      <c r="F5055" s="211" t="s">
        <v>7573</v>
      </c>
    </row>
    <row r="5056" spans="1:6">
      <c r="A5056" s="211" t="s">
        <v>1690</v>
      </c>
      <c r="B5056" s="211">
        <v>2642</v>
      </c>
      <c r="C5056" s="211">
        <v>910</v>
      </c>
      <c r="D5056" s="211" t="s">
        <v>1255</v>
      </c>
      <c r="E5056" s="211" t="s">
        <v>10385</v>
      </c>
      <c r="F5056" s="211" t="s">
        <v>7229</v>
      </c>
    </row>
    <row r="5057" spans="1:6">
      <c r="A5057" s="211" t="s">
        <v>3858</v>
      </c>
      <c r="B5057" s="211">
        <v>3463</v>
      </c>
      <c r="C5057" s="211">
        <v>888</v>
      </c>
      <c r="D5057" s="211" t="s">
        <v>1255</v>
      </c>
      <c r="E5057" s="211" t="s">
        <v>10385</v>
      </c>
      <c r="F5057" s="211" t="s">
        <v>7319</v>
      </c>
    </row>
    <row r="5058" spans="1:6">
      <c r="A5058" s="211" t="s">
        <v>1691</v>
      </c>
      <c r="B5058" s="211">
        <v>7443</v>
      </c>
      <c r="C5058" s="211">
        <v>1299</v>
      </c>
      <c r="D5058" s="211" t="s">
        <v>1255</v>
      </c>
      <c r="E5058" s="211" t="s">
        <v>6052</v>
      </c>
      <c r="F5058" s="211" t="s">
        <v>7232</v>
      </c>
    </row>
    <row r="5059" spans="1:6">
      <c r="A5059" s="211" t="s">
        <v>8374</v>
      </c>
      <c r="B5059" s="211">
        <v>230</v>
      </c>
      <c r="C5059" s="211" t="s">
        <v>10385</v>
      </c>
      <c r="D5059" s="211" t="s">
        <v>1255</v>
      </c>
      <c r="E5059" s="211" t="s">
        <v>10385</v>
      </c>
      <c r="F5059" s="211" t="s">
        <v>7171</v>
      </c>
    </row>
    <row r="5060" spans="1:6">
      <c r="A5060" s="211" t="s">
        <v>1692</v>
      </c>
      <c r="B5060" s="211">
        <v>2142</v>
      </c>
      <c r="C5060" s="211">
        <v>842</v>
      </c>
      <c r="D5060" s="211" t="s">
        <v>1255</v>
      </c>
      <c r="E5060" s="211" t="s">
        <v>10385</v>
      </c>
      <c r="F5060" s="211" t="s">
        <v>7233</v>
      </c>
    </row>
    <row r="5061" spans="1:6">
      <c r="A5061" s="211" t="s">
        <v>9838</v>
      </c>
      <c r="B5061" s="211">
        <v>8261</v>
      </c>
      <c r="C5061" s="211">
        <v>1008</v>
      </c>
      <c r="D5061" s="211" t="s">
        <v>1255</v>
      </c>
      <c r="E5061" s="211" t="s">
        <v>9839</v>
      </c>
      <c r="F5061" s="211" t="s">
        <v>7583</v>
      </c>
    </row>
    <row r="5062" spans="1:6">
      <c r="A5062" s="211" t="s">
        <v>10366</v>
      </c>
      <c r="B5062" s="211">
        <v>992</v>
      </c>
      <c r="C5062" s="211" t="s">
        <v>10385</v>
      </c>
      <c r="D5062" s="211" t="s">
        <v>1255</v>
      </c>
      <c r="E5062" s="211" t="s">
        <v>10385</v>
      </c>
      <c r="F5062" s="211" t="s">
        <v>7162</v>
      </c>
    </row>
    <row r="5063" spans="1:6">
      <c r="A5063" s="211" t="s">
        <v>1693</v>
      </c>
      <c r="B5063" s="211">
        <v>1426</v>
      </c>
      <c r="C5063" s="211">
        <v>1712</v>
      </c>
      <c r="D5063" s="211" t="s">
        <v>1255</v>
      </c>
      <c r="E5063" s="211" t="s">
        <v>10385</v>
      </c>
      <c r="F5063" s="211" t="s">
        <v>7196</v>
      </c>
    </row>
    <row r="5064" spans="1:6">
      <c r="A5064" s="211" t="s">
        <v>1694</v>
      </c>
      <c r="B5064" s="211">
        <v>2200</v>
      </c>
      <c r="C5064" s="211">
        <v>1224</v>
      </c>
      <c r="D5064" s="211" t="s">
        <v>1255</v>
      </c>
      <c r="E5064" s="211" t="s">
        <v>10385</v>
      </c>
      <c r="F5064" s="211" t="s">
        <v>7797</v>
      </c>
    </row>
    <row r="5065" spans="1:6">
      <c r="A5065" s="211" t="s">
        <v>8375</v>
      </c>
      <c r="B5065" s="211">
        <v>5302</v>
      </c>
      <c r="C5065" s="211" t="s">
        <v>10385</v>
      </c>
      <c r="D5065" s="211" t="s">
        <v>1255</v>
      </c>
      <c r="E5065" s="211" t="s">
        <v>10385</v>
      </c>
      <c r="F5065" s="211" t="s">
        <v>7349</v>
      </c>
    </row>
    <row r="5066" spans="1:6">
      <c r="A5066" s="211" t="s">
        <v>8376</v>
      </c>
      <c r="B5066" s="211">
        <v>4626</v>
      </c>
      <c r="C5066" s="211">
        <v>896</v>
      </c>
      <c r="D5066" s="211" t="s">
        <v>1255</v>
      </c>
      <c r="E5066" s="211" t="s">
        <v>6957</v>
      </c>
      <c r="F5066" s="211" t="s">
        <v>7438</v>
      </c>
    </row>
    <row r="5067" spans="1:6">
      <c r="A5067" s="211" t="s">
        <v>1695</v>
      </c>
      <c r="B5067" s="211">
        <v>1737</v>
      </c>
      <c r="C5067" s="211">
        <v>975</v>
      </c>
      <c r="D5067" s="211" t="s">
        <v>1255</v>
      </c>
      <c r="E5067" s="211" t="s">
        <v>10385</v>
      </c>
      <c r="F5067" s="211" t="s">
        <v>7407</v>
      </c>
    </row>
    <row r="5068" spans="1:6">
      <c r="A5068" s="211" t="s">
        <v>1696</v>
      </c>
      <c r="B5068" s="211">
        <v>3929</v>
      </c>
      <c r="C5068" s="211">
        <v>1497</v>
      </c>
      <c r="D5068" s="211" t="s">
        <v>1255</v>
      </c>
      <c r="E5068" s="211" t="s">
        <v>10385</v>
      </c>
      <c r="F5068" s="211" t="s">
        <v>7868</v>
      </c>
    </row>
    <row r="5069" spans="1:6">
      <c r="A5069" s="211" t="s">
        <v>1697</v>
      </c>
      <c r="B5069" s="211">
        <v>2243</v>
      </c>
      <c r="C5069" s="211">
        <v>1336</v>
      </c>
      <c r="D5069" s="211" t="s">
        <v>1255</v>
      </c>
      <c r="E5069" s="211" t="s">
        <v>10385</v>
      </c>
      <c r="F5069" s="211" t="s">
        <v>7430</v>
      </c>
    </row>
    <row r="5070" spans="1:6">
      <c r="A5070" s="211" t="s">
        <v>1698</v>
      </c>
      <c r="B5070" s="211">
        <v>885</v>
      </c>
      <c r="C5070" s="211">
        <v>1377</v>
      </c>
      <c r="D5070" s="211" t="s">
        <v>1255</v>
      </c>
      <c r="E5070" s="211" t="s">
        <v>1699</v>
      </c>
      <c r="F5070" s="211" t="s">
        <v>7162</v>
      </c>
    </row>
    <row r="5071" spans="1:6">
      <c r="A5071" s="211" t="s">
        <v>1700</v>
      </c>
      <c r="B5071" s="211">
        <v>4831</v>
      </c>
      <c r="C5071" s="211">
        <v>987</v>
      </c>
      <c r="D5071" s="211" t="s">
        <v>1255</v>
      </c>
      <c r="E5071" s="211" t="s">
        <v>10385</v>
      </c>
      <c r="F5071" s="211" t="s">
        <v>7268</v>
      </c>
    </row>
    <row r="5072" spans="1:6">
      <c r="A5072" s="211" t="s">
        <v>1701</v>
      </c>
      <c r="B5072" s="211">
        <v>4548</v>
      </c>
      <c r="C5072" s="211">
        <v>993</v>
      </c>
      <c r="D5072" s="211" t="s">
        <v>1255</v>
      </c>
      <c r="E5072" s="211" t="s">
        <v>10385</v>
      </c>
      <c r="F5072" s="211" t="s">
        <v>7526</v>
      </c>
    </row>
    <row r="5073" spans="1:6">
      <c r="A5073" s="211" t="s">
        <v>1702</v>
      </c>
      <c r="B5073" s="211">
        <v>3104</v>
      </c>
      <c r="C5073" s="211">
        <v>1209</v>
      </c>
      <c r="D5073" s="211" t="s">
        <v>1255</v>
      </c>
      <c r="E5073" s="211" t="s">
        <v>10385</v>
      </c>
      <c r="F5073" s="211" t="s">
        <v>7366</v>
      </c>
    </row>
    <row r="5074" spans="1:6">
      <c r="A5074" s="211" t="s">
        <v>1703</v>
      </c>
      <c r="B5074" s="211">
        <v>819</v>
      </c>
      <c r="C5074" s="211">
        <v>1361</v>
      </c>
      <c r="D5074" s="211" t="s">
        <v>1255</v>
      </c>
      <c r="E5074" s="211" t="s">
        <v>10385</v>
      </c>
      <c r="F5074" s="211" t="s">
        <v>7629</v>
      </c>
    </row>
    <row r="5075" spans="1:6">
      <c r="A5075" s="211" t="s">
        <v>8377</v>
      </c>
      <c r="B5075" s="211">
        <v>4166</v>
      </c>
      <c r="C5075" s="211" t="s">
        <v>10385</v>
      </c>
      <c r="D5075" s="211" t="s">
        <v>1255</v>
      </c>
      <c r="E5075" s="211" t="s">
        <v>10385</v>
      </c>
      <c r="F5075" s="211" t="s">
        <v>7243</v>
      </c>
    </row>
    <row r="5076" spans="1:6">
      <c r="A5076" s="211" t="s">
        <v>1704</v>
      </c>
      <c r="B5076" s="211">
        <v>2932</v>
      </c>
      <c r="C5076" s="211">
        <v>1399</v>
      </c>
      <c r="D5076" s="211" t="s">
        <v>1255</v>
      </c>
      <c r="E5076" s="211" t="s">
        <v>10385</v>
      </c>
      <c r="F5076" s="211" t="s">
        <v>7243</v>
      </c>
    </row>
    <row r="5077" spans="1:6">
      <c r="A5077" s="211" t="s">
        <v>1705</v>
      </c>
      <c r="B5077" s="211">
        <v>5284</v>
      </c>
      <c r="C5077" s="211">
        <v>807</v>
      </c>
      <c r="D5077" s="211" t="s">
        <v>1117</v>
      </c>
      <c r="E5077" s="211" t="s">
        <v>10385</v>
      </c>
      <c r="F5077" s="211" t="s">
        <v>7386</v>
      </c>
    </row>
    <row r="5078" spans="1:6">
      <c r="A5078" s="211" t="s">
        <v>9840</v>
      </c>
      <c r="B5078" s="211">
        <v>8438</v>
      </c>
      <c r="C5078" s="211">
        <v>950</v>
      </c>
      <c r="D5078" s="211" t="s">
        <v>1255</v>
      </c>
      <c r="E5078" s="211" t="s">
        <v>9841</v>
      </c>
      <c r="F5078" s="211" t="s">
        <v>9048</v>
      </c>
    </row>
    <row r="5079" spans="1:6">
      <c r="A5079" s="211" t="s">
        <v>1706</v>
      </c>
      <c r="B5079" s="211">
        <v>2848</v>
      </c>
      <c r="C5079" s="211">
        <v>1269</v>
      </c>
      <c r="D5079" s="211" t="s">
        <v>1255</v>
      </c>
      <c r="E5079" s="211" t="s">
        <v>10385</v>
      </c>
      <c r="F5079" s="211" t="s">
        <v>7290</v>
      </c>
    </row>
    <row r="5080" spans="1:6">
      <c r="A5080" s="211" t="s">
        <v>8378</v>
      </c>
      <c r="B5080" s="211">
        <v>1603</v>
      </c>
      <c r="C5080" s="211" t="s">
        <v>10385</v>
      </c>
      <c r="D5080" s="211" t="s">
        <v>1255</v>
      </c>
      <c r="E5080" s="211" t="s">
        <v>10385</v>
      </c>
      <c r="F5080" s="211" t="s">
        <v>7196</v>
      </c>
    </row>
    <row r="5081" spans="1:6">
      <c r="A5081" s="211" t="s">
        <v>8379</v>
      </c>
      <c r="B5081" s="211">
        <v>6262</v>
      </c>
      <c r="C5081" s="211">
        <v>1058</v>
      </c>
      <c r="D5081" s="211" t="s">
        <v>1255</v>
      </c>
      <c r="E5081" s="211" t="s">
        <v>10385</v>
      </c>
      <c r="F5081" s="211" t="s">
        <v>7310</v>
      </c>
    </row>
    <row r="5082" spans="1:6">
      <c r="A5082" s="211" t="s">
        <v>1707</v>
      </c>
      <c r="B5082" s="211">
        <v>2121</v>
      </c>
      <c r="C5082" s="211">
        <v>1215</v>
      </c>
      <c r="D5082" s="211" t="s">
        <v>1255</v>
      </c>
      <c r="E5082" s="211" t="s">
        <v>10385</v>
      </c>
      <c r="F5082" s="211" t="s">
        <v>7171</v>
      </c>
    </row>
    <row r="5083" spans="1:6">
      <c r="A5083" s="211" t="s">
        <v>8380</v>
      </c>
      <c r="B5083" s="211">
        <v>6283</v>
      </c>
      <c r="C5083" s="211" t="s">
        <v>10385</v>
      </c>
      <c r="D5083" s="211" t="s">
        <v>1255</v>
      </c>
      <c r="E5083" s="211" t="s">
        <v>10385</v>
      </c>
      <c r="F5083" s="211" t="s">
        <v>7231</v>
      </c>
    </row>
    <row r="5084" spans="1:6">
      <c r="A5084" s="211" t="s">
        <v>8381</v>
      </c>
      <c r="B5084" s="211">
        <v>6037</v>
      </c>
      <c r="C5084" s="211" t="s">
        <v>10385</v>
      </c>
      <c r="D5084" s="211" t="s">
        <v>1255</v>
      </c>
      <c r="E5084" s="211" t="s">
        <v>10385</v>
      </c>
      <c r="F5084" s="211" t="s">
        <v>7231</v>
      </c>
    </row>
    <row r="5085" spans="1:6">
      <c r="A5085" s="211" t="s">
        <v>6958</v>
      </c>
      <c r="B5085" s="211">
        <v>7745</v>
      </c>
      <c r="C5085" s="211">
        <v>1735</v>
      </c>
      <c r="D5085" s="211" t="s">
        <v>1255</v>
      </c>
      <c r="E5085" s="211" t="s">
        <v>6959</v>
      </c>
      <c r="F5085" s="211" t="s">
        <v>7344</v>
      </c>
    </row>
    <row r="5086" spans="1:6">
      <c r="A5086" s="211" t="s">
        <v>4832</v>
      </c>
      <c r="B5086" s="211">
        <v>6097</v>
      </c>
      <c r="C5086" s="211">
        <v>795</v>
      </c>
      <c r="D5086" s="211" t="s">
        <v>1255</v>
      </c>
      <c r="E5086" s="211" t="s">
        <v>10385</v>
      </c>
      <c r="F5086" s="211" t="s">
        <v>7457</v>
      </c>
    </row>
    <row r="5087" spans="1:6">
      <c r="A5087" s="211" t="s">
        <v>1708</v>
      </c>
      <c r="B5087" s="211">
        <v>1878</v>
      </c>
      <c r="C5087" s="211">
        <v>782</v>
      </c>
      <c r="D5087" s="211" t="s">
        <v>1255</v>
      </c>
      <c r="E5087" s="211" t="s">
        <v>10385</v>
      </c>
      <c r="F5087" s="211" t="s">
        <v>7327</v>
      </c>
    </row>
    <row r="5088" spans="1:6">
      <c r="A5088" s="211" t="s">
        <v>1709</v>
      </c>
      <c r="B5088" s="211">
        <v>4576</v>
      </c>
      <c r="C5088" s="211">
        <v>1254</v>
      </c>
      <c r="D5088" s="211" t="s">
        <v>1117</v>
      </c>
      <c r="E5088" s="211" t="s">
        <v>10385</v>
      </c>
      <c r="F5088" s="211" t="s">
        <v>7334</v>
      </c>
    </row>
    <row r="5089" spans="1:6">
      <c r="A5089" s="211" t="s">
        <v>1710</v>
      </c>
      <c r="B5089" s="211">
        <v>541</v>
      </c>
      <c r="C5089" s="211">
        <v>2625</v>
      </c>
      <c r="D5089" s="211" t="s">
        <v>1255</v>
      </c>
      <c r="E5089" s="211" t="s">
        <v>10385</v>
      </c>
      <c r="F5089" s="211" t="s">
        <v>7267</v>
      </c>
    </row>
    <row r="5090" spans="1:6">
      <c r="A5090" s="211" t="s">
        <v>8382</v>
      </c>
      <c r="B5090" s="211">
        <v>966</v>
      </c>
      <c r="C5090" s="211" t="s">
        <v>10385</v>
      </c>
      <c r="D5090" s="211" t="s">
        <v>1255</v>
      </c>
      <c r="E5090" s="211" t="s">
        <v>10385</v>
      </c>
      <c r="F5090" s="211" t="s">
        <v>7384</v>
      </c>
    </row>
    <row r="5091" spans="1:6">
      <c r="A5091" s="211" t="s">
        <v>1711</v>
      </c>
      <c r="B5091" s="211">
        <v>748</v>
      </c>
      <c r="C5091" s="211">
        <v>1475</v>
      </c>
      <c r="D5091" s="211" t="s">
        <v>1255</v>
      </c>
      <c r="E5091" s="211" t="s">
        <v>10385</v>
      </c>
      <c r="F5091" s="211" t="s">
        <v>7283</v>
      </c>
    </row>
    <row r="5092" spans="1:6">
      <c r="A5092" s="211" t="s">
        <v>9842</v>
      </c>
      <c r="B5092" s="211">
        <v>8521</v>
      </c>
      <c r="C5092" s="211">
        <v>992</v>
      </c>
      <c r="D5092" s="211" t="s">
        <v>1255</v>
      </c>
      <c r="E5092" s="211" t="s">
        <v>10385</v>
      </c>
      <c r="F5092" s="211" t="s">
        <v>9048</v>
      </c>
    </row>
    <row r="5093" spans="1:6">
      <c r="A5093" s="211" t="s">
        <v>4886</v>
      </c>
      <c r="B5093" s="211">
        <v>5412</v>
      </c>
      <c r="C5093" s="211">
        <v>715</v>
      </c>
      <c r="D5093" s="211" t="s">
        <v>1255</v>
      </c>
      <c r="E5093" s="211" t="s">
        <v>10385</v>
      </c>
      <c r="F5093" s="211" t="s">
        <v>7571</v>
      </c>
    </row>
    <row r="5094" spans="1:6">
      <c r="A5094" s="211" t="s">
        <v>6053</v>
      </c>
      <c r="B5094" s="211">
        <v>7508</v>
      </c>
      <c r="C5094" s="211">
        <v>1044</v>
      </c>
      <c r="D5094" s="211" t="s">
        <v>1255</v>
      </c>
      <c r="E5094" s="211" t="s">
        <v>6054</v>
      </c>
      <c r="F5094" s="211" t="s">
        <v>7646</v>
      </c>
    </row>
    <row r="5095" spans="1:6">
      <c r="A5095" s="211" t="s">
        <v>10831</v>
      </c>
      <c r="B5095" s="211">
        <v>8655</v>
      </c>
      <c r="C5095" s="211">
        <v>1173</v>
      </c>
      <c r="D5095" s="211" t="s">
        <v>1255</v>
      </c>
      <c r="E5095" s="211" t="s">
        <v>10832</v>
      </c>
      <c r="F5095" s="211" t="s">
        <v>7255</v>
      </c>
    </row>
    <row r="5096" spans="1:6">
      <c r="A5096" s="211" t="s">
        <v>8383</v>
      </c>
      <c r="B5096" s="211">
        <v>590</v>
      </c>
      <c r="C5096" s="211" t="s">
        <v>10385</v>
      </c>
      <c r="D5096" s="211" t="s">
        <v>1255</v>
      </c>
      <c r="E5096" s="211" t="s">
        <v>10385</v>
      </c>
      <c r="F5096" s="211" t="s">
        <v>7210</v>
      </c>
    </row>
    <row r="5097" spans="1:6">
      <c r="A5097" s="211" t="s">
        <v>8384</v>
      </c>
      <c r="B5097" s="211">
        <v>2512</v>
      </c>
      <c r="C5097" s="211" t="s">
        <v>10385</v>
      </c>
      <c r="D5097" s="211" t="s">
        <v>1255</v>
      </c>
      <c r="E5097" s="211" t="s">
        <v>10385</v>
      </c>
      <c r="F5097" s="211" t="s">
        <v>7335</v>
      </c>
    </row>
    <row r="5098" spans="1:6">
      <c r="A5098" s="211" t="s">
        <v>1712</v>
      </c>
      <c r="B5098" s="211">
        <v>4216</v>
      </c>
      <c r="C5098" s="211">
        <v>931</v>
      </c>
      <c r="D5098" s="211" t="s">
        <v>1255</v>
      </c>
      <c r="E5098" s="211" t="s">
        <v>10385</v>
      </c>
      <c r="F5098" s="211" t="s">
        <v>7235</v>
      </c>
    </row>
    <row r="5099" spans="1:6">
      <c r="A5099" s="211" t="s">
        <v>1713</v>
      </c>
      <c r="B5099" s="211">
        <v>3700</v>
      </c>
      <c r="C5099" s="211">
        <v>1070</v>
      </c>
      <c r="D5099" s="211" t="s">
        <v>1255</v>
      </c>
      <c r="E5099" s="211" t="s">
        <v>10385</v>
      </c>
      <c r="F5099" s="211" t="s">
        <v>7184</v>
      </c>
    </row>
    <row r="5100" spans="1:6">
      <c r="A5100" s="211" t="s">
        <v>4594</v>
      </c>
      <c r="B5100" s="211">
        <v>6291</v>
      </c>
      <c r="C5100" s="211">
        <v>1794</v>
      </c>
      <c r="D5100" s="211" t="s">
        <v>1255</v>
      </c>
      <c r="E5100" s="211" t="s">
        <v>6960</v>
      </c>
      <c r="F5100" s="211" t="s">
        <v>7581</v>
      </c>
    </row>
    <row r="5101" spans="1:6">
      <c r="A5101" s="211" t="s">
        <v>5334</v>
      </c>
      <c r="B5101" s="211">
        <v>6835</v>
      </c>
      <c r="C5101" s="211">
        <v>1486</v>
      </c>
      <c r="D5101" s="211" t="s">
        <v>1255</v>
      </c>
      <c r="E5101" s="211" t="s">
        <v>10385</v>
      </c>
      <c r="F5101" s="211" t="s">
        <v>8385</v>
      </c>
    </row>
    <row r="5102" spans="1:6">
      <c r="A5102" s="211" t="s">
        <v>5335</v>
      </c>
      <c r="B5102" s="211">
        <v>6838</v>
      </c>
      <c r="C5102" s="211">
        <v>1268</v>
      </c>
      <c r="D5102" s="211" t="s">
        <v>1255</v>
      </c>
      <c r="E5102" s="211" t="s">
        <v>10385</v>
      </c>
      <c r="F5102" s="211" t="s">
        <v>8385</v>
      </c>
    </row>
    <row r="5103" spans="1:6">
      <c r="A5103" s="211" t="s">
        <v>9843</v>
      </c>
      <c r="B5103" s="211">
        <v>8075</v>
      </c>
      <c r="C5103" s="211" t="s">
        <v>10385</v>
      </c>
      <c r="D5103" s="211" t="s">
        <v>1255</v>
      </c>
      <c r="E5103" s="211" t="s">
        <v>10833</v>
      </c>
      <c r="F5103" s="211" t="s">
        <v>8210</v>
      </c>
    </row>
    <row r="5104" spans="1:6">
      <c r="A5104" s="211" t="s">
        <v>1714</v>
      </c>
      <c r="B5104" s="211">
        <v>4584</v>
      </c>
      <c r="C5104" s="211">
        <v>834</v>
      </c>
      <c r="D5104" s="211" t="s">
        <v>1255</v>
      </c>
      <c r="E5104" s="211" t="s">
        <v>10385</v>
      </c>
      <c r="F5104" s="211" t="s">
        <v>7479</v>
      </c>
    </row>
    <row r="5105" spans="1:6">
      <c r="A5105" s="211" t="s">
        <v>1715</v>
      </c>
      <c r="B5105" s="211">
        <v>3521</v>
      </c>
      <c r="C5105" s="211">
        <v>1944</v>
      </c>
      <c r="D5105" s="211" t="s">
        <v>1255</v>
      </c>
      <c r="E5105" s="211" t="s">
        <v>10385</v>
      </c>
      <c r="F5105" s="211" t="s">
        <v>7295</v>
      </c>
    </row>
    <row r="5106" spans="1:6">
      <c r="A5106" s="211" t="s">
        <v>1716</v>
      </c>
      <c r="B5106" s="211">
        <v>1528</v>
      </c>
      <c r="C5106" s="211">
        <v>919</v>
      </c>
      <c r="D5106" s="211" t="s">
        <v>1255</v>
      </c>
      <c r="E5106" s="211" t="s">
        <v>10385</v>
      </c>
      <c r="F5106" s="211" t="s">
        <v>7419</v>
      </c>
    </row>
    <row r="5107" spans="1:6">
      <c r="A5107" s="211" t="s">
        <v>4785</v>
      </c>
      <c r="B5107" s="211">
        <v>6166</v>
      </c>
      <c r="C5107" s="211">
        <v>884</v>
      </c>
      <c r="D5107" s="211" t="s">
        <v>1255</v>
      </c>
      <c r="E5107" s="211" t="s">
        <v>6055</v>
      </c>
      <c r="F5107" s="211" t="s">
        <v>7659</v>
      </c>
    </row>
    <row r="5108" spans="1:6">
      <c r="A5108" s="211" t="s">
        <v>5336</v>
      </c>
      <c r="B5108" s="211">
        <v>6833</v>
      </c>
      <c r="C5108" s="211">
        <v>1086</v>
      </c>
      <c r="D5108" s="211" t="s">
        <v>1255</v>
      </c>
      <c r="E5108" s="211" t="s">
        <v>10385</v>
      </c>
      <c r="F5108" s="211" t="s">
        <v>7511</v>
      </c>
    </row>
    <row r="5109" spans="1:6">
      <c r="A5109" s="211" t="s">
        <v>8386</v>
      </c>
      <c r="B5109" s="211">
        <v>577</v>
      </c>
      <c r="C5109" s="211" t="s">
        <v>10385</v>
      </c>
      <c r="D5109" s="211" t="s">
        <v>1255</v>
      </c>
      <c r="E5109" s="211" t="s">
        <v>10385</v>
      </c>
      <c r="F5109" s="211" t="s">
        <v>7356</v>
      </c>
    </row>
    <row r="5110" spans="1:6">
      <c r="A5110" s="211" t="s">
        <v>5337</v>
      </c>
      <c r="B5110" s="211">
        <v>6282</v>
      </c>
      <c r="C5110" s="211">
        <v>1636</v>
      </c>
      <c r="D5110" s="211" t="s">
        <v>1255</v>
      </c>
      <c r="E5110" s="211" t="s">
        <v>10385</v>
      </c>
      <c r="F5110" s="211" t="s">
        <v>7356</v>
      </c>
    </row>
    <row r="5111" spans="1:6">
      <c r="A5111" s="211" t="s">
        <v>1717</v>
      </c>
      <c r="B5111" s="211">
        <v>2070</v>
      </c>
      <c r="C5111" s="211">
        <v>866</v>
      </c>
      <c r="D5111" s="211" t="s">
        <v>1255</v>
      </c>
      <c r="E5111" s="211" t="s">
        <v>10385</v>
      </c>
      <c r="F5111" s="211" t="s">
        <v>7757</v>
      </c>
    </row>
    <row r="5112" spans="1:6">
      <c r="A5112" s="211" t="s">
        <v>3020</v>
      </c>
      <c r="B5112" s="211">
        <v>964</v>
      </c>
      <c r="C5112" s="211">
        <v>1619</v>
      </c>
      <c r="D5112" s="211" t="s">
        <v>1255</v>
      </c>
      <c r="E5112" s="211" t="s">
        <v>10385</v>
      </c>
      <c r="F5112" s="211" t="s">
        <v>7384</v>
      </c>
    </row>
    <row r="5113" spans="1:6">
      <c r="A5113" s="211" t="s">
        <v>1718</v>
      </c>
      <c r="B5113" s="211">
        <v>3666</v>
      </c>
      <c r="C5113" s="211">
        <v>826</v>
      </c>
      <c r="D5113" s="211" t="s">
        <v>1255</v>
      </c>
      <c r="E5113" s="211" t="s">
        <v>10385</v>
      </c>
      <c r="F5113" s="211" t="s">
        <v>7861</v>
      </c>
    </row>
    <row r="5114" spans="1:6">
      <c r="A5114" s="211" t="s">
        <v>1719</v>
      </c>
      <c r="B5114" s="211">
        <v>5996</v>
      </c>
      <c r="C5114" s="211">
        <v>1776</v>
      </c>
      <c r="D5114" s="211" t="s">
        <v>1255</v>
      </c>
      <c r="E5114" s="211" t="s">
        <v>10385</v>
      </c>
      <c r="F5114" s="211" t="s">
        <v>7454</v>
      </c>
    </row>
    <row r="5115" spans="1:6">
      <c r="A5115" s="211" t="s">
        <v>8387</v>
      </c>
      <c r="B5115" s="211">
        <v>6974</v>
      </c>
      <c r="C5115" s="211">
        <v>847</v>
      </c>
      <c r="D5115" s="211" t="s">
        <v>1255</v>
      </c>
      <c r="E5115" s="211" t="s">
        <v>10385</v>
      </c>
      <c r="F5115" s="211" t="s">
        <v>7349</v>
      </c>
    </row>
    <row r="5116" spans="1:6">
      <c r="A5116" s="211" t="s">
        <v>9844</v>
      </c>
      <c r="B5116" s="211">
        <v>8002</v>
      </c>
      <c r="C5116" s="211">
        <v>1000</v>
      </c>
      <c r="D5116" s="211" t="s">
        <v>1255</v>
      </c>
      <c r="E5116" s="211" t="s">
        <v>10834</v>
      </c>
      <c r="F5116" s="211" t="s">
        <v>7483</v>
      </c>
    </row>
    <row r="5117" spans="1:6">
      <c r="A5117" s="211" t="s">
        <v>4701</v>
      </c>
      <c r="B5117" s="211">
        <v>5236</v>
      </c>
      <c r="C5117" s="211">
        <v>1797</v>
      </c>
      <c r="D5117" s="211" t="s">
        <v>1255</v>
      </c>
      <c r="E5117" s="211" t="s">
        <v>10385</v>
      </c>
      <c r="F5117" s="211" t="s">
        <v>7384</v>
      </c>
    </row>
    <row r="5118" spans="1:6">
      <c r="A5118" s="211" t="s">
        <v>3021</v>
      </c>
      <c r="B5118" s="211">
        <v>1459</v>
      </c>
      <c r="C5118" s="211">
        <v>1259</v>
      </c>
      <c r="D5118" s="211" t="s">
        <v>1255</v>
      </c>
      <c r="E5118" s="211" t="s">
        <v>3112</v>
      </c>
      <c r="F5118" s="211" t="s">
        <v>7263</v>
      </c>
    </row>
    <row r="5119" spans="1:6">
      <c r="A5119" s="211" t="s">
        <v>4645</v>
      </c>
      <c r="B5119" s="211">
        <v>6338</v>
      </c>
      <c r="C5119" s="211">
        <v>1294</v>
      </c>
      <c r="D5119" s="211" t="s">
        <v>1255</v>
      </c>
      <c r="E5119" s="211" t="s">
        <v>10385</v>
      </c>
      <c r="F5119" s="211" t="s">
        <v>7288</v>
      </c>
    </row>
    <row r="5120" spans="1:6">
      <c r="A5120" s="211" t="s">
        <v>8388</v>
      </c>
      <c r="B5120" s="211">
        <v>4931</v>
      </c>
      <c r="C5120" s="211" t="s">
        <v>10385</v>
      </c>
      <c r="D5120" s="211" t="s">
        <v>1117</v>
      </c>
      <c r="E5120" s="211" t="s">
        <v>10385</v>
      </c>
      <c r="F5120" s="211" t="s">
        <v>7380</v>
      </c>
    </row>
    <row r="5121" spans="1:6">
      <c r="A5121" s="211" t="s">
        <v>9845</v>
      </c>
      <c r="B5121" s="211">
        <v>8467</v>
      </c>
      <c r="C5121" s="211" t="s">
        <v>10385</v>
      </c>
      <c r="D5121" s="211" t="s">
        <v>1255</v>
      </c>
      <c r="E5121" s="211" t="s">
        <v>9846</v>
      </c>
      <c r="F5121" s="211" t="s">
        <v>7382</v>
      </c>
    </row>
    <row r="5122" spans="1:6">
      <c r="A5122" s="211" t="s">
        <v>6056</v>
      </c>
      <c r="B5122" s="211">
        <v>7580</v>
      </c>
      <c r="C5122" s="211">
        <v>1286</v>
      </c>
      <c r="D5122" s="211" t="s">
        <v>1255</v>
      </c>
      <c r="E5122" s="211" t="s">
        <v>9847</v>
      </c>
      <c r="F5122" s="211" t="s">
        <v>7325</v>
      </c>
    </row>
    <row r="5123" spans="1:6">
      <c r="A5123" s="211" t="s">
        <v>1720</v>
      </c>
      <c r="B5123" s="211">
        <v>2446</v>
      </c>
      <c r="C5123" s="211">
        <v>1456</v>
      </c>
      <c r="D5123" s="211" t="s">
        <v>1255</v>
      </c>
      <c r="E5123" s="211" t="s">
        <v>10385</v>
      </c>
      <c r="F5123" s="211" t="s">
        <v>7208</v>
      </c>
    </row>
    <row r="5124" spans="1:6">
      <c r="A5124" s="211" t="s">
        <v>6057</v>
      </c>
      <c r="B5124" s="211">
        <v>7399</v>
      </c>
      <c r="C5124" s="211">
        <v>1037</v>
      </c>
      <c r="D5124" s="211" t="s">
        <v>1255</v>
      </c>
      <c r="E5124" s="211" t="s">
        <v>6058</v>
      </c>
      <c r="F5124" s="211" t="s">
        <v>7334</v>
      </c>
    </row>
    <row r="5125" spans="1:6">
      <c r="A5125" s="211" t="s">
        <v>1721</v>
      </c>
      <c r="B5125" s="211">
        <v>5644</v>
      </c>
      <c r="C5125" s="211">
        <v>882</v>
      </c>
      <c r="D5125" s="211" t="s">
        <v>1255</v>
      </c>
      <c r="E5125" s="211" t="s">
        <v>10385</v>
      </c>
      <c r="F5125" s="211" t="s">
        <v>7238</v>
      </c>
    </row>
    <row r="5126" spans="1:6">
      <c r="A5126" s="211" t="s">
        <v>1722</v>
      </c>
      <c r="B5126" s="211">
        <v>5449</v>
      </c>
      <c r="C5126" s="211">
        <v>1380</v>
      </c>
      <c r="D5126" s="211" t="s">
        <v>1255</v>
      </c>
      <c r="E5126" s="211" t="s">
        <v>10385</v>
      </c>
      <c r="F5126" s="211" t="s">
        <v>7310</v>
      </c>
    </row>
    <row r="5127" spans="1:6">
      <c r="A5127" s="211" t="s">
        <v>1723</v>
      </c>
      <c r="B5127" s="211">
        <v>4550</v>
      </c>
      <c r="C5127" s="211">
        <v>813</v>
      </c>
      <c r="D5127" s="211" t="s">
        <v>1117</v>
      </c>
      <c r="E5127" s="211" t="s">
        <v>10385</v>
      </c>
      <c r="F5127" s="211" t="s">
        <v>7526</v>
      </c>
    </row>
    <row r="5128" spans="1:6">
      <c r="A5128" s="211" t="s">
        <v>1724</v>
      </c>
      <c r="B5128" s="211">
        <v>1288</v>
      </c>
      <c r="C5128" s="211">
        <v>1733</v>
      </c>
      <c r="D5128" s="211" t="s">
        <v>1255</v>
      </c>
      <c r="E5128" s="211" t="s">
        <v>10385</v>
      </c>
      <c r="F5128" s="211" t="s">
        <v>7284</v>
      </c>
    </row>
    <row r="5129" spans="1:6">
      <c r="A5129" s="211" t="s">
        <v>5159</v>
      </c>
      <c r="B5129" s="211">
        <v>5746</v>
      </c>
      <c r="C5129" s="211">
        <v>1325</v>
      </c>
      <c r="D5129" s="211" t="s">
        <v>1117</v>
      </c>
      <c r="E5129" s="211" t="s">
        <v>10385</v>
      </c>
      <c r="F5129" s="211" t="s">
        <v>7327</v>
      </c>
    </row>
    <row r="5130" spans="1:6">
      <c r="A5130" s="211" t="s">
        <v>1725</v>
      </c>
      <c r="B5130" s="211">
        <v>2767</v>
      </c>
      <c r="C5130" s="211">
        <v>1104</v>
      </c>
      <c r="D5130" s="211" t="s">
        <v>1255</v>
      </c>
      <c r="E5130" s="211" t="s">
        <v>10385</v>
      </c>
      <c r="F5130" s="211" t="s">
        <v>7231</v>
      </c>
    </row>
    <row r="5131" spans="1:6">
      <c r="A5131" s="211" t="s">
        <v>1726</v>
      </c>
      <c r="B5131" s="211">
        <v>4867</v>
      </c>
      <c r="C5131" s="211">
        <v>1119</v>
      </c>
      <c r="D5131" s="211" t="s">
        <v>1255</v>
      </c>
      <c r="E5131" s="211" t="s">
        <v>10385</v>
      </c>
      <c r="F5131" s="211" t="s">
        <v>7189</v>
      </c>
    </row>
    <row r="5132" spans="1:6">
      <c r="A5132" s="211" t="s">
        <v>4677</v>
      </c>
      <c r="B5132" s="211">
        <v>6419</v>
      </c>
      <c r="C5132" s="211">
        <v>1069</v>
      </c>
      <c r="D5132" s="211" t="s">
        <v>1117</v>
      </c>
      <c r="E5132" s="211" t="s">
        <v>6059</v>
      </c>
      <c r="F5132" s="211" t="s">
        <v>7241</v>
      </c>
    </row>
    <row r="5133" spans="1:6">
      <c r="A5133" s="211" t="s">
        <v>2861</v>
      </c>
      <c r="B5133" s="211">
        <v>3967</v>
      </c>
      <c r="C5133" s="211">
        <v>596</v>
      </c>
      <c r="D5133" s="211" t="s">
        <v>1255</v>
      </c>
      <c r="E5133" s="211" t="s">
        <v>10385</v>
      </c>
      <c r="F5133" s="211" t="s">
        <v>7380</v>
      </c>
    </row>
    <row r="5134" spans="1:6">
      <c r="A5134" s="211" t="s">
        <v>8389</v>
      </c>
      <c r="B5134" s="211">
        <v>38</v>
      </c>
      <c r="C5134" s="211" t="s">
        <v>10385</v>
      </c>
      <c r="D5134" s="211" t="s">
        <v>1255</v>
      </c>
      <c r="E5134" s="211" t="s">
        <v>10385</v>
      </c>
      <c r="F5134" s="211" t="s">
        <v>7199</v>
      </c>
    </row>
    <row r="5135" spans="1:6">
      <c r="A5135" s="211" t="s">
        <v>1727</v>
      </c>
      <c r="B5135" s="211">
        <v>2637</v>
      </c>
      <c r="C5135" s="211">
        <v>1160</v>
      </c>
      <c r="D5135" s="211" t="s">
        <v>1255</v>
      </c>
      <c r="E5135" s="211" t="s">
        <v>10385</v>
      </c>
      <c r="F5135" s="211" t="s">
        <v>7430</v>
      </c>
    </row>
    <row r="5136" spans="1:6">
      <c r="A5136" s="211" t="s">
        <v>1728</v>
      </c>
      <c r="B5136" s="211">
        <v>820</v>
      </c>
      <c r="C5136" s="211">
        <v>1500</v>
      </c>
      <c r="D5136" s="211" t="s">
        <v>1255</v>
      </c>
      <c r="E5136" s="211" t="s">
        <v>10385</v>
      </c>
      <c r="F5136" s="211" t="s">
        <v>7629</v>
      </c>
    </row>
    <row r="5137" spans="1:6">
      <c r="A5137" s="211" t="s">
        <v>1729</v>
      </c>
      <c r="B5137" s="211">
        <v>1018</v>
      </c>
      <c r="C5137" s="211">
        <v>1171</v>
      </c>
      <c r="D5137" s="211" t="s">
        <v>1255</v>
      </c>
      <c r="E5137" s="211" t="s">
        <v>10385</v>
      </c>
      <c r="F5137" s="211" t="s">
        <v>7233</v>
      </c>
    </row>
    <row r="5138" spans="1:6">
      <c r="A5138" s="211" t="s">
        <v>9848</v>
      </c>
      <c r="B5138" s="211">
        <v>8115</v>
      </c>
      <c r="C5138" s="211">
        <v>2055</v>
      </c>
      <c r="D5138" s="211" t="s">
        <v>1117</v>
      </c>
      <c r="E5138" s="211" t="s">
        <v>9849</v>
      </c>
      <c r="F5138" s="211" t="s">
        <v>7167</v>
      </c>
    </row>
    <row r="5139" spans="1:6">
      <c r="A5139" s="211" t="s">
        <v>1730</v>
      </c>
      <c r="B5139" s="211">
        <v>1879</v>
      </c>
      <c r="C5139" s="211">
        <v>1722</v>
      </c>
      <c r="D5139" s="211" t="s">
        <v>1255</v>
      </c>
      <c r="E5139" s="211" t="s">
        <v>10385</v>
      </c>
      <c r="F5139" s="211" t="s">
        <v>7327</v>
      </c>
    </row>
    <row r="5140" spans="1:6">
      <c r="A5140" s="211" t="s">
        <v>1731</v>
      </c>
      <c r="B5140" s="211">
        <v>4897</v>
      </c>
      <c r="C5140" s="211">
        <v>1423</v>
      </c>
      <c r="D5140" s="211" t="s">
        <v>1255</v>
      </c>
      <c r="E5140" s="211" t="s">
        <v>6060</v>
      </c>
      <c r="F5140" s="211" t="s">
        <v>7335</v>
      </c>
    </row>
    <row r="5141" spans="1:6">
      <c r="A5141" s="211" t="s">
        <v>1732</v>
      </c>
      <c r="B5141" s="211">
        <v>2922</v>
      </c>
      <c r="C5141" s="211">
        <v>1113</v>
      </c>
      <c r="D5141" s="211" t="s">
        <v>1255</v>
      </c>
      <c r="E5141" s="211" t="s">
        <v>10385</v>
      </c>
      <c r="F5141" s="211" t="s">
        <v>7308</v>
      </c>
    </row>
    <row r="5142" spans="1:6">
      <c r="A5142" s="211" t="s">
        <v>8390</v>
      </c>
      <c r="B5142" s="211">
        <v>4212</v>
      </c>
      <c r="C5142" s="211" t="s">
        <v>10385</v>
      </c>
      <c r="D5142" s="211" t="s">
        <v>1117</v>
      </c>
      <c r="E5142" s="211" t="s">
        <v>10385</v>
      </c>
      <c r="F5142" s="211" t="s">
        <v>7316</v>
      </c>
    </row>
    <row r="5143" spans="1:6">
      <c r="A5143" s="211" t="s">
        <v>8391</v>
      </c>
      <c r="B5143" s="211">
        <v>4590</v>
      </c>
      <c r="C5143" s="211" t="s">
        <v>10385</v>
      </c>
      <c r="D5143" s="211" t="s">
        <v>1255</v>
      </c>
      <c r="E5143" s="211" t="s">
        <v>10385</v>
      </c>
      <c r="F5143" s="211" t="s">
        <v>7861</v>
      </c>
    </row>
    <row r="5144" spans="1:6">
      <c r="A5144" s="211" t="s">
        <v>8392</v>
      </c>
      <c r="B5144" s="211">
        <v>1284</v>
      </c>
      <c r="C5144" s="211" t="s">
        <v>10385</v>
      </c>
      <c r="D5144" s="211" t="s">
        <v>1255</v>
      </c>
      <c r="E5144" s="211" t="s">
        <v>10385</v>
      </c>
      <c r="F5144" s="211" t="s">
        <v>7165</v>
      </c>
    </row>
    <row r="5145" spans="1:6">
      <c r="A5145" s="211" t="s">
        <v>6061</v>
      </c>
      <c r="B5145" s="211">
        <v>6468</v>
      </c>
      <c r="C5145" s="211">
        <v>810</v>
      </c>
      <c r="D5145" s="211" t="s">
        <v>1255</v>
      </c>
      <c r="E5145" s="211" t="s">
        <v>6062</v>
      </c>
      <c r="F5145" s="211" t="s">
        <v>7277</v>
      </c>
    </row>
    <row r="5146" spans="1:6">
      <c r="A5146" s="211" t="s">
        <v>8393</v>
      </c>
      <c r="B5146" s="211">
        <v>142</v>
      </c>
      <c r="C5146" s="211" t="s">
        <v>10385</v>
      </c>
      <c r="D5146" s="211" t="s">
        <v>1255</v>
      </c>
      <c r="E5146" s="211" t="s">
        <v>10385</v>
      </c>
      <c r="F5146" s="211" t="s">
        <v>7284</v>
      </c>
    </row>
    <row r="5147" spans="1:6">
      <c r="A5147" s="211" t="s">
        <v>10835</v>
      </c>
      <c r="B5147" s="211">
        <v>8652</v>
      </c>
      <c r="C5147" s="211">
        <v>1374</v>
      </c>
      <c r="D5147" s="211" t="s">
        <v>1117</v>
      </c>
      <c r="E5147" s="211" t="s">
        <v>10836</v>
      </c>
      <c r="F5147" s="211" t="s">
        <v>7365</v>
      </c>
    </row>
    <row r="5148" spans="1:6">
      <c r="A5148" s="211" t="s">
        <v>1733</v>
      </c>
      <c r="B5148" s="211">
        <v>2483</v>
      </c>
      <c r="C5148" s="211">
        <v>1064</v>
      </c>
      <c r="D5148" s="211" t="s">
        <v>1255</v>
      </c>
      <c r="E5148" s="211" t="s">
        <v>10385</v>
      </c>
      <c r="F5148" s="211" t="s">
        <v>7355</v>
      </c>
    </row>
    <row r="5149" spans="1:6">
      <c r="A5149" s="211" t="s">
        <v>1734</v>
      </c>
      <c r="B5149" s="211">
        <v>1310</v>
      </c>
      <c r="C5149" s="211">
        <v>1482</v>
      </c>
      <c r="D5149" s="211" t="s">
        <v>1255</v>
      </c>
      <c r="E5149" s="211" t="s">
        <v>10385</v>
      </c>
      <c r="F5149" s="211" t="s">
        <v>7237</v>
      </c>
    </row>
    <row r="5150" spans="1:6">
      <c r="A5150" s="211" t="s">
        <v>1735</v>
      </c>
      <c r="B5150" s="211">
        <v>1639</v>
      </c>
      <c r="C5150" s="211">
        <v>2085</v>
      </c>
      <c r="D5150" s="211" t="s">
        <v>1255</v>
      </c>
      <c r="E5150" s="211" t="s">
        <v>10385</v>
      </c>
      <c r="F5150" s="211" t="s">
        <v>7386</v>
      </c>
    </row>
    <row r="5151" spans="1:6">
      <c r="A5151" s="211" t="s">
        <v>1736</v>
      </c>
      <c r="B5151" s="211">
        <v>3351</v>
      </c>
      <c r="C5151" s="211">
        <v>1220</v>
      </c>
      <c r="D5151" s="211" t="s">
        <v>1255</v>
      </c>
      <c r="E5151" s="211" t="s">
        <v>10385</v>
      </c>
      <c r="F5151" s="211" t="s">
        <v>7766</v>
      </c>
    </row>
    <row r="5152" spans="1:6">
      <c r="A5152" s="211" t="s">
        <v>1737</v>
      </c>
      <c r="B5152" s="211">
        <v>3784</v>
      </c>
      <c r="C5152" s="211">
        <v>994</v>
      </c>
      <c r="D5152" s="211" t="s">
        <v>1255</v>
      </c>
      <c r="E5152" s="211" t="s">
        <v>10385</v>
      </c>
      <c r="F5152" s="211" t="s">
        <v>7342</v>
      </c>
    </row>
    <row r="5153" spans="1:6">
      <c r="A5153" s="211" t="s">
        <v>2872</v>
      </c>
      <c r="B5153" s="211">
        <v>3850</v>
      </c>
      <c r="C5153" s="211">
        <v>1182</v>
      </c>
      <c r="D5153" s="211" t="s">
        <v>1117</v>
      </c>
      <c r="E5153" s="211" t="s">
        <v>10385</v>
      </c>
      <c r="F5153" s="211" t="s">
        <v>7384</v>
      </c>
    </row>
    <row r="5154" spans="1:6">
      <c r="A5154" s="211" t="s">
        <v>8394</v>
      </c>
      <c r="B5154" s="211">
        <v>1153</v>
      </c>
      <c r="C5154" s="211">
        <v>1753</v>
      </c>
      <c r="D5154" s="211" t="s">
        <v>1255</v>
      </c>
      <c r="E5154" s="211" t="s">
        <v>10385</v>
      </c>
      <c r="F5154" s="211" t="s">
        <v>7274</v>
      </c>
    </row>
    <row r="5155" spans="1:6">
      <c r="A5155" s="211" t="s">
        <v>1738</v>
      </c>
      <c r="B5155" s="211">
        <v>4846</v>
      </c>
      <c r="C5155" s="211">
        <v>1376</v>
      </c>
      <c r="D5155" s="211" t="s">
        <v>1255</v>
      </c>
      <c r="E5155" s="211" t="s">
        <v>10385</v>
      </c>
      <c r="F5155" s="211" t="s">
        <v>7194</v>
      </c>
    </row>
    <row r="5156" spans="1:6">
      <c r="A5156" s="211" t="s">
        <v>1739</v>
      </c>
      <c r="B5156" s="211">
        <v>1146</v>
      </c>
      <c r="C5156" s="211">
        <v>1852</v>
      </c>
      <c r="D5156" s="211" t="s">
        <v>1255</v>
      </c>
      <c r="E5156" s="211" t="s">
        <v>10385</v>
      </c>
      <c r="F5156" s="211" t="s">
        <v>7383</v>
      </c>
    </row>
    <row r="5157" spans="1:6">
      <c r="A5157" s="211" t="s">
        <v>1740</v>
      </c>
      <c r="B5157" s="211">
        <v>1625</v>
      </c>
      <c r="C5157" s="211">
        <v>405</v>
      </c>
      <c r="D5157" s="211" t="s">
        <v>1255</v>
      </c>
      <c r="E5157" s="211" t="s">
        <v>10385</v>
      </c>
      <c r="F5157" s="211" t="s">
        <v>7657</v>
      </c>
    </row>
    <row r="5158" spans="1:6">
      <c r="A5158" s="211" t="s">
        <v>1741</v>
      </c>
      <c r="B5158" s="211">
        <v>3147</v>
      </c>
      <c r="C5158" s="211">
        <v>758</v>
      </c>
      <c r="D5158" s="211" t="s">
        <v>1255</v>
      </c>
      <c r="E5158" s="211" t="s">
        <v>10385</v>
      </c>
      <c r="F5158" s="211" t="s">
        <v>7216</v>
      </c>
    </row>
    <row r="5159" spans="1:6">
      <c r="A5159" s="211" t="s">
        <v>5160</v>
      </c>
      <c r="B5159" s="211">
        <v>6903</v>
      </c>
      <c r="C5159" s="211">
        <v>641</v>
      </c>
      <c r="D5159" s="211" t="s">
        <v>1117</v>
      </c>
      <c r="E5159" s="211" t="s">
        <v>10385</v>
      </c>
      <c r="F5159" s="211" t="s">
        <v>7383</v>
      </c>
    </row>
    <row r="5160" spans="1:6">
      <c r="A5160" s="211" t="s">
        <v>1742</v>
      </c>
      <c r="B5160" s="211">
        <v>5681</v>
      </c>
      <c r="C5160" s="211">
        <v>1093</v>
      </c>
      <c r="D5160" s="211" t="s">
        <v>1255</v>
      </c>
      <c r="E5160" s="211" t="s">
        <v>10385</v>
      </c>
      <c r="F5160" s="211" t="s">
        <v>7282</v>
      </c>
    </row>
    <row r="5161" spans="1:6">
      <c r="A5161" s="211" t="s">
        <v>4739</v>
      </c>
      <c r="B5161" s="211">
        <v>6441</v>
      </c>
      <c r="C5161" s="211">
        <v>942</v>
      </c>
      <c r="D5161" s="211" t="s">
        <v>1255</v>
      </c>
      <c r="E5161" s="211" t="s">
        <v>10385</v>
      </c>
      <c r="F5161" s="211" t="s">
        <v>7380</v>
      </c>
    </row>
    <row r="5162" spans="1:6">
      <c r="A5162" s="211" t="s">
        <v>10837</v>
      </c>
      <c r="B5162" s="211">
        <v>8821</v>
      </c>
      <c r="C5162" s="211">
        <v>1201</v>
      </c>
      <c r="D5162" s="211" t="s">
        <v>1255</v>
      </c>
      <c r="E5162" s="211" t="s">
        <v>10838</v>
      </c>
      <c r="F5162" s="211" t="s">
        <v>7661</v>
      </c>
    </row>
    <row r="5163" spans="1:6">
      <c r="A5163" s="211" t="s">
        <v>9850</v>
      </c>
      <c r="B5163" s="211">
        <v>8091</v>
      </c>
      <c r="C5163" s="211">
        <v>1522</v>
      </c>
      <c r="D5163" s="211" t="s">
        <v>1255</v>
      </c>
      <c r="E5163" s="211" t="s">
        <v>10839</v>
      </c>
      <c r="F5163" s="211" t="s">
        <v>7316</v>
      </c>
    </row>
    <row r="5164" spans="1:6">
      <c r="A5164" s="211" t="s">
        <v>8966</v>
      </c>
      <c r="B5164" s="211">
        <v>3931</v>
      </c>
      <c r="C5164" s="211">
        <v>1195</v>
      </c>
      <c r="D5164" s="211" t="s">
        <v>1255</v>
      </c>
      <c r="E5164" s="211" t="s">
        <v>10385</v>
      </c>
      <c r="F5164" s="211" t="s">
        <v>7868</v>
      </c>
    </row>
    <row r="5165" spans="1:6">
      <c r="A5165" s="211" t="s">
        <v>8967</v>
      </c>
      <c r="B5165" s="211">
        <v>5771</v>
      </c>
      <c r="C5165" s="211">
        <v>1195</v>
      </c>
      <c r="D5165" s="211" t="s">
        <v>1255</v>
      </c>
      <c r="E5165" s="211" t="s">
        <v>10385</v>
      </c>
      <c r="F5165" s="211" t="s">
        <v>7425</v>
      </c>
    </row>
    <row r="5166" spans="1:6">
      <c r="A5166" s="211" t="s">
        <v>8395</v>
      </c>
      <c r="B5166" s="211">
        <v>2248</v>
      </c>
      <c r="C5166" s="211" t="s">
        <v>10385</v>
      </c>
      <c r="D5166" s="211" t="s">
        <v>1255</v>
      </c>
      <c r="E5166" s="211" t="s">
        <v>10385</v>
      </c>
      <c r="F5166" s="211" t="s">
        <v>7536</v>
      </c>
    </row>
    <row r="5167" spans="1:6">
      <c r="A5167" s="211" t="s">
        <v>9851</v>
      </c>
      <c r="B5167" s="211">
        <v>7919</v>
      </c>
      <c r="C5167" s="211">
        <v>998</v>
      </c>
      <c r="D5167" s="211" t="s">
        <v>1255</v>
      </c>
      <c r="E5167" s="211" t="s">
        <v>9852</v>
      </c>
      <c r="F5167" s="211" t="s">
        <v>7223</v>
      </c>
    </row>
    <row r="5168" spans="1:6">
      <c r="A5168" s="211" t="s">
        <v>1743</v>
      </c>
      <c r="B5168" s="211">
        <v>2759</v>
      </c>
      <c r="C5168" s="211">
        <v>943</v>
      </c>
      <c r="D5168" s="211" t="s">
        <v>1255</v>
      </c>
      <c r="E5168" s="211" t="s">
        <v>10385</v>
      </c>
      <c r="F5168" s="211" t="s">
        <v>7162</v>
      </c>
    </row>
    <row r="5169" spans="1:6">
      <c r="A5169" s="211" t="s">
        <v>5338</v>
      </c>
      <c r="B5169" s="211">
        <v>6839</v>
      </c>
      <c r="C5169" s="211">
        <v>1752</v>
      </c>
      <c r="D5169" s="211" t="s">
        <v>1255</v>
      </c>
      <c r="E5169" s="211" t="s">
        <v>10385</v>
      </c>
      <c r="F5169" s="211" t="s">
        <v>7507</v>
      </c>
    </row>
    <row r="5170" spans="1:6">
      <c r="A5170" s="211" t="s">
        <v>1744</v>
      </c>
      <c r="B5170" s="211">
        <v>5824</v>
      </c>
      <c r="C5170" s="211">
        <v>877</v>
      </c>
      <c r="D5170" s="211" t="s">
        <v>1117</v>
      </c>
      <c r="E5170" s="211" t="s">
        <v>10385</v>
      </c>
      <c r="F5170" s="211" t="s">
        <v>7160</v>
      </c>
    </row>
    <row r="5171" spans="1:6">
      <c r="A5171" s="211" t="s">
        <v>8396</v>
      </c>
      <c r="B5171" s="211">
        <v>997</v>
      </c>
      <c r="C5171" s="211" t="s">
        <v>10385</v>
      </c>
      <c r="D5171" s="211" t="s">
        <v>1255</v>
      </c>
      <c r="E5171" s="211" t="s">
        <v>10385</v>
      </c>
      <c r="F5171" s="211" t="s">
        <v>7356</v>
      </c>
    </row>
    <row r="5172" spans="1:6">
      <c r="A5172" s="211" t="s">
        <v>1745</v>
      </c>
      <c r="B5172" s="211">
        <v>1415</v>
      </c>
      <c r="C5172" s="211">
        <v>913</v>
      </c>
      <c r="D5172" s="211" t="s">
        <v>1255</v>
      </c>
      <c r="E5172" s="211" t="s">
        <v>10385</v>
      </c>
      <c r="F5172" s="211" t="s">
        <v>7233</v>
      </c>
    </row>
    <row r="5173" spans="1:6">
      <c r="A5173" s="211" t="s">
        <v>1746</v>
      </c>
      <c r="B5173" s="211">
        <v>3982</v>
      </c>
      <c r="C5173" s="211">
        <v>1203</v>
      </c>
      <c r="D5173" s="211" t="s">
        <v>1255</v>
      </c>
      <c r="E5173" s="211" t="s">
        <v>10385</v>
      </c>
      <c r="F5173" s="211" t="s">
        <v>7212</v>
      </c>
    </row>
    <row r="5174" spans="1:6">
      <c r="A5174" s="211" t="s">
        <v>1747</v>
      </c>
      <c r="B5174" s="211">
        <v>5876</v>
      </c>
      <c r="C5174" s="211">
        <v>1050</v>
      </c>
      <c r="D5174" s="211" t="s">
        <v>1117</v>
      </c>
      <c r="E5174" s="211" t="s">
        <v>10385</v>
      </c>
      <c r="F5174" s="211" t="s">
        <v>7224</v>
      </c>
    </row>
    <row r="5175" spans="1:6">
      <c r="A5175" s="211" t="s">
        <v>1748</v>
      </c>
      <c r="B5175" s="211">
        <v>5403</v>
      </c>
      <c r="C5175" s="211">
        <v>1314</v>
      </c>
      <c r="D5175" s="211" t="s">
        <v>1255</v>
      </c>
      <c r="E5175" s="211" t="s">
        <v>10385</v>
      </c>
      <c r="F5175" s="211" t="s">
        <v>7742</v>
      </c>
    </row>
    <row r="5176" spans="1:6">
      <c r="A5176" s="211" t="s">
        <v>1749</v>
      </c>
      <c r="B5176" s="211">
        <v>1296</v>
      </c>
      <c r="C5176" s="211">
        <v>899</v>
      </c>
      <c r="D5176" s="211" t="s">
        <v>1255</v>
      </c>
      <c r="E5176" s="211" t="s">
        <v>10385</v>
      </c>
      <c r="F5176" s="211" t="s">
        <v>7629</v>
      </c>
    </row>
    <row r="5177" spans="1:6">
      <c r="A5177" s="211" t="s">
        <v>6063</v>
      </c>
      <c r="B5177" s="211">
        <v>7516</v>
      </c>
      <c r="C5177" s="211">
        <v>1434</v>
      </c>
      <c r="D5177" s="211" t="s">
        <v>1255</v>
      </c>
      <c r="E5177" s="211" t="s">
        <v>9853</v>
      </c>
      <c r="F5177" s="211" t="s">
        <v>7402</v>
      </c>
    </row>
    <row r="5178" spans="1:6">
      <c r="A5178" s="211" t="s">
        <v>1750</v>
      </c>
      <c r="B5178" s="211">
        <v>7720</v>
      </c>
      <c r="C5178" s="211">
        <v>932</v>
      </c>
      <c r="D5178" s="211" t="s">
        <v>1255</v>
      </c>
      <c r="E5178" s="211" t="s">
        <v>6961</v>
      </c>
      <c r="F5178" s="211" t="s">
        <v>7431</v>
      </c>
    </row>
    <row r="5179" spans="1:6">
      <c r="A5179" s="211" t="s">
        <v>1751</v>
      </c>
      <c r="B5179" s="211">
        <v>5712</v>
      </c>
      <c r="C5179" s="211">
        <v>954</v>
      </c>
      <c r="D5179" s="211" t="s">
        <v>1255</v>
      </c>
      <c r="E5179" s="211" t="s">
        <v>10385</v>
      </c>
      <c r="F5179" s="211" t="s">
        <v>7330</v>
      </c>
    </row>
    <row r="5180" spans="1:6">
      <c r="A5180" s="211" t="s">
        <v>3064</v>
      </c>
      <c r="B5180" s="211">
        <v>6265</v>
      </c>
      <c r="C5180" s="211">
        <v>807</v>
      </c>
      <c r="D5180" s="211" t="s">
        <v>1255</v>
      </c>
      <c r="E5180" s="211" t="s">
        <v>10385</v>
      </c>
      <c r="F5180" s="211" t="s">
        <v>7310</v>
      </c>
    </row>
    <row r="5181" spans="1:6">
      <c r="A5181" s="211" t="s">
        <v>1752</v>
      </c>
      <c r="B5181" s="211">
        <v>2310</v>
      </c>
      <c r="C5181" s="211">
        <v>1057</v>
      </c>
      <c r="D5181" s="211" t="s">
        <v>1255</v>
      </c>
      <c r="E5181" s="211" t="s">
        <v>10385</v>
      </c>
      <c r="F5181" s="211" t="s">
        <v>7351</v>
      </c>
    </row>
    <row r="5182" spans="1:6">
      <c r="A5182" s="211" t="s">
        <v>4761</v>
      </c>
      <c r="B5182" s="211">
        <v>6200</v>
      </c>
      <c r="C5182" s="211">
        <v>1090</v>
      </c>
      <c r="D5182" s="211" t="s">
        <v>1255</v>
      </c>
      <c r="E5182" s="211" t="s">
        <v>10385</v>
      </c>
      <c r="F5182" s="211" t="s">
        <v>7282</v>
      </c>
    </row>
    <row r="5183" spans="1:6">
      <c r="A5183" s="211" t="s">
        <v>6064</v>
      </c>
      <c r="B5183" s="211">
        <v>7295</v>
      </c>
      <c r="C5183" s="211">
        <v>831</v>
      </c>
      <c r="D5183" s="211" t="s">
        <v>1255</v>
      </c>
      <c r="E5183" s="211" t="s">
        <v>6065</v>
      </c>
      <c r="F5183" s="211" t="s">
        <v>7444</v>
      </c>
    </row>
    <row r="5184" spans="1:6">
      <c r="A5184" s="211" t="s">
        <v>1753</v>
      </c>
      <c r="B5184" s="211">
        <v>1086</v>
      </c>
      <c r="C5184" s="211">
        <v>921</v>
      </c>
      <c r="D5184" s="211" t="s">
        <v>1255</v>
      </c>
      <c r="E5184" s="211" t="s">
        <v>10385</v>
      </c>
      <c r="F5184" s="211" t="s">
        <v>7323</v>
      </c>
    </row>
    <row r="5185" spans="1:6">
      <c r="A5185" s="211" t="s">
        <v>8397</v>
      </c>
      <c r="B5185" s="211">
        <v>2219</v>
      </c>
      <c r="C5185" s="211" t="s">
        <v>10385</v>
      </c>
      <c r="D5185" s="211" t="s">
        <v>1255</v>
      </c>
      <c r="E5185" s="211" t="s">
        <v>10385</v>
      </c>
      <c r="F5185" s="211" t="s">
        <v>7263</v>
      </c>
    </row>
    <row r="5186" spans="1:6">
      <c r="A5186" s="211" t="s">
        <v>8398</v>
      </c>
      <c r="B5186" s="211">
        <v>179</v>
      </c>
      <c r="C5186" s="211" t="s">
        <v>10385</v>
      </c>
      <c r="D5186" s="211" t="s">
        <v>1255</v>
      </c>
      <c r="E5186" s="211" t="s">
        <v>10385</v>
      </c>
      <c r="F5186" s="211" t="s">
        <v>7199</v>
      </c>
    </row>
    <row r="5187" spans="1:6">
      <c r="A5187" s="211" t="s">
        <v>1754</v>
      </c>
      <c r="B5187" s="211">
        <v>4429</v>
      </c>
      <c r="C5187" s="211">
        <v>1074</v>
      </c>
      <c r="D5187" s="211" t="s">
        <v>1255</v>
      </c>
      <c r="E5187" s="211" t="s">
        <v>10385</v>
      </c>
      <c r="F5187" s="211" t="s">
        <v>9024</v>
      </c>
    </row>
    <row r="5188" spans="1:6">
      <c r="A5188" s="211" t="s">
        <v>8399</v>
      </c>
      <c r="B5188" s="211">
        <v>105</v>
      </c>
      <c r="C5188" s="211" t="s">
        <v>10385</v>
      </c>
      <c r="D5188" s="211" t="s">
        <v>1255</v>
      </c>
      <c r="E5188" s="211" t="s">
        <v>10385</v>
      </c>
      <c r="F5188" s="211" t="s">
        <v>7318</v>
      </c>
    </row>
    <row r="5189" spans="1:6">
      <c r="A5189" s="211" t="s">
        <v>1755</v>
      </c>
      <c r="B5189" s="211">
        <v>5782</v>
      </c>
      <c r="C5189" s="211">
        <v>929</v>
      </c>
      <c r="D5189" s="211" t="s">
        <v>1255</v>
      </c>
      <c r="E5189" s="211" t="s">
        <v>10385</v>
      </c>
      <c r="F5189" s="211" t="s">
        <v>7615</v>
      </c>
    </row>
    <row r="5190" spans="1:6">
      <c r="A5190" s="211" t="s">
        <v>10840</v>
      </c>
      <c r="B5190" s="211">
        <v>8623</v>
      </c>
      <c r="C5190" s="211">
        <v>254</v>
      </c>
      <c r="D5190" s="211" t="s">
        <v>1255</v>
      </c>
      <c r="E5190" s="211" t="s">
        <v>10385</v>
      </c>
      <c r="F5190" s="211" t="s">
        <v>9120</v>
      </c>
    </row>
    <row r="5191" spans="1:6">
      <c r="A5191" s="211" t="s">
        <v>1756</v>
      </c>
      <c r="B5191" s="211">
        <v>3843</v>
      </c>
      <c r="C5191" s="211">
        <v>1542</v>
      </c>
      <c r="D5191" s="211" t="s">
        <v>1255</v>
      </c>
      <c r="E5191" s="211" t="s">
        <v>10385</v>
      </c>
      <c r="F5191" s="211" t="s">
        <v>7202</v>
      </c>
    </row>
    <row r="5192" spans="1:6">
      <c r="A5192" s="211" t="s">
        <v>1757</v>
      </c>
      <c r="B5192" s="211">
        <v>4041</v>
      </c>
      <c r="C5192" s="211">
        <v>1087</v>
      </c>
      <c r="D5192" s="211" t="s">
        <v>1255</v>
      </c>
      <c r="E5192" s="211" t="s">
        <v>10385</v>
      </c>
      <c r="F5192" s="211" t="s">
        <v>7444</v>
      </c>
    </row>
    <row r="5193" spans="1:6">
      <c r="A5193" s="211" t="s">
        <v>8400</v>
      </c>
      <c r="B5193" s="211">
        <v>7885</v>
      </c>
      <c r="C5193" s="211">
        <v>1001</v>
      </c>
      <c r="D5193" s="211" t="s">
        <v>1255</v>
      </c>
      <c r="E5193" s="211" t="s">
        <v>9854</v>
      </c>
      <c r="F5193" s="211" t="s">
        <v>7205</v>
      </c>
    </row>
    <row r="5194" spans="1:6">
      <c r="A5194" s="211" t="s">
        <v>1758</v>
      </c>
      <c r="B5194" s="211">
        <v>4721</v>
      </c>
      <c r="C5194" s="211">
        <v>1156</v>
      </c>
      <c r="D5194" s="211" t="s">
        <v>1117</v>
      </c>
      <c r="E5194" s="211" t="s">
        <v>6962</v>
      </c>
      <c r="F5194" s="211" t="s">
        <v>7284</v>
      </c>
    </row>
    <row r="5195" spans="1:6">
      <c r="A5195" s="211" t="s">
        <v>0</v>
      </c>
      <c r="B5195" s="211">
        <v>5423</v>
      </c>
      <c r="C5195" s="211">
        <v>1219</v>
      </c>
      <c r="D5195" s="211" t="s">
        <v>1255</v>
      </c>
      <c r="E5195" s="211" t="s">
        <v>10385</v>
      </c>
      <c r="F5195" s="211" t="s">
        <v>7457</v>
      </c>
    </row>
    <row r="5196" spans="1:6">
      <c r="A5196" s="211" t="s">
        <v>1</v>
      </c>
      <c r="B5196" s="211">
        <v>3981</v>
      </c>
      <c r="C5196" s="211">
        <v>1035</v>
      </c>
      <c r="D5196" s="211" t="s">
        <v>1255</v>
      </c>
      <c r="E5196" s="211" t="s">
        <v>10385</v>
      </c>
      <c r="F5196" s="211" t="s">
        <v>7199</v>
      </c>
    </row>
    <row r="5197" spans="1:6">
      <c r="A5197" s="211" t="s">
        <v>2</v>
      </c>
      <c r="B5197" s="211">
        <v>5955</v>
      </c>
      <c r="C5197" s="211">
        <v>1013</v>
      </c>
      <c r="D5197" s="211" t="s">
        <v>1255</v>
      </c>
      <c r="E5197" s="211" t="s">
        <v>10385</v>
      </c>
      <c r="F5197" s="211" t="s">
        <v>7200</v>
      </c>
    </row>
    <row r="5198" spans="1:6">
      <c r="A5198" s="211" t="s">
        <v>8401</v>
      </c>
      <c r="B5198" s="211">
        <v>1530</v>
      </c>
      <c r="C5198" s="211" t="s">
        <v>10385</v>
      </c>
      <c r="D5198" s="211" t="s">
        <v>1255</v>
      </c>
      <c r="E5198" s="211" t="s">
        <v>10385</v>
      </c>
      <c r="F5198" s="211" t="s">
        <v>7233</v>
      </c>
    </row>
    <row r="5199" spans="1:6">
      <c r="A5199" s="211" t="s">
        <v>6963</v>
      </c>
      <c r="B5199" s="211">
        <v>7671</v>
      </c>
      <c r="C5199" s="211">
        <v>697</v>
      </c>
      <c r="D5199" s="211" t="s">
        <v>1117</v>
      </c>
      <c r="E5199" s="211" t="s">
        <v>10385</v>
      </c>
      <c r="F5199" s="211" t="s">
        <v>7242</v>
      </c>
    </row>
    <row r="5200" spans="1:6">
      <c r="A5200" s="211" t="s">
        <v>3036</v>
      </c>
      <c r="B5200" s="211">
        <v>1419</v>
      </c>
      <c r="C5200" s="211">
        <v>1255</v>
      </c>
      <c r="D5200" s="211" t="s">
        <v>1117</v>
      </c>
      <c r="E5200" s="211" t="s">
        <v>9855</v>
      </c>
      <c r="F5200" s="211" t="s">
        <v>7171</v>
      </c>
    </row>
    <row r="5201" spans="1:6">
      <c r="A5201" s="211" t="s">
        <v>6066</v>
      </c>
      <c r="B5201" s="211">
        <v>7255</v>
      </c>
      <c r="C5201" s="211">
        <v>839</v>
      </c>
      <c r="D5201" s="211" t="s">
        <v>1255</v>
      </c>
      <c r="E5201" s="211" t="s">
        <v>6964</v>
      </c>
      <c r="F5201" s="211" t="s">
        <v>7458</v>
      </c>
    </row>
    <row r="5202" spans="1:6">
      <c r="A5202" s="211" t="s">
        <v>4646</v>
      </c>
      <c r="B5202" s="211">
        <v>6362</v>
      </c>
      <c r="C5202" s="211">
        <v>1108</v>
      </c>
      <c r="D5202" s="211" t="s">
        <v>1255</v>
      </c>
      <c r="E5202" s="211" t="s">
        <v>10385</v>
      </c>
      <c r="F5202" s="211" t="s">
        <v>7325</v>
      </c>
    </row>
    <row r="5203" spans="1:6">
      <c r="A5203" s="211" t="s">
        <v>3</v>
      </c>
      <c r="B5203" s="211">
        <v>561</v>
      </c>
      <c r="C5203" s="211">
        <v>1063</v>
      </c>
      <c r="D5203" s="211" t="s">
        <v>1255</v>
      </c>
      <c r="E5203" s="211" t="s">
        <v>10385</v>
      </c>
      <c r="F5203" s="211" t="s">
        <v>7262</v>
      </c>
    </row>
    <row r="5204" spans="1:6">
      <c r="A5204" s="211" t="s">
        <v>5161</v>
      </c>
      <c r="B5204" s="211">
        <v>6788</v>
      </c>
      <c r="C5204" s="211">
        <v>1484</v>
      </c>
      <c r="D5204" s="211" t="s">
        <v>1255</v>
      </c>
      <c r="E5204" s="211" t="s">
        <v>10385</v>
      </c>
      <c r="F5204" s="211" t="s">
        <v>7286</v>
      </c>
    </row>
    <row r="5205" spans="1:6">
      <c r="A5205" s="211" t="s">
        <v>8402</v>
      </c>
      <c r="B5205" s="211">
        <v>726</v>
      </c>
      <c r="C5205" s="211" t="s">
        <v>10385</v>
      </c>
      <c r="D5205" s="211" t="s">
        <v>1255</v>
      </c>
      <c r="E5205" s="211" t="s">
        <v>10385</v>
      </c>
      <c r="F5205" s="211" t="s">
        <v>8090</v>
      </c>
    </row>
    <row r="5206" spans="1:6">
      <c r="A5206" s="211" t="s">
        <v>4</v>
      </c>
      <c r="B5206" s="211">
        <v>4844</v>
      </c>
      <c r="C5206" s="211">
        <v>1181</v>
      </c>
      <c r="D5206" s="211" t="s">
        <v>1255</v>
      </c>
      <c r="E5206" s="211" t="s">
        <v>10385</v>
      </c>
      <c r="F5206" s="211" t="s">
        <v>7282</v>
      </c>
    </row>
    <row r="5207" spans="1:6">
      <c r="A5207" s="211" t="s">
        <v>5</v>
      </c>
      <c r="B5207" s="211">
        <v>219</v>
      </c>
      <c r="C5207" s="211">
        <v>1624</v>
      </c>
      <c r="D5207" s="211" t="s">
        <v>1255</v>
      </c>
      <c r="E5207" s="211" t="s">
        <v>10385</v>
      </c>
      <c r="F5207" s="211" t="s">
        <v>7199</v>
      </c>
    </row>
    <row r="5208" spans="1:6">
      <c r="A5208" s="211" t="s">
        <v>6</v>
      </c>
      <c r="B5208" s="211">
        <v>3277</v>
      </c>
      <c r="C5208" s="211">
        <v>701</v>
      </c>
      <c r="D5208" s="211" t="s">
        <v>1255</v>
      </c>
      <c r="E5208" s="211" t="s">
        <v>10385</v>
      </c>
      <c r="F5208" s="211" t="s">
        <v>7241</v>
      </c>
    </row>
    <row r="5209" spans="1:6">
      <c r="A5209" s="211" t="s">
        <v>7</v>
      </c>
      <c r="B5209" s="211">
        <v>1726</v>
      </c>
      <c r="C5209" s="211">
        <v>999</v>
      </c>
      <c r="D5209" s="211" t="s">
        <v>1255</v>
      </c>
      <c r="E5209" s="211" t="s">
        <v>10385</v>
      </c>
      <c r="F5209" s="211" t="s">
        <v>7459</v>
      </c>
    </row>
    <row r="5210" spans="1:6">
      <c r="A5210" s="211" t="s">
        <v>8</v>
      </c>
      <c r="B5210" s="211">
        <v>1543</v>
      </c>
      <c r="C5210" s="211">
        <v>690</v>
      </c>
      <c r="D5210" s="211" t="s">
        <v>1255</v>
      </c>
      <c r="E5210" s="211" t="s">
        <v>10385</v>
      </c>
      <c r="F5210" s="211" t="s">
        <v>7233</v>
      </c>
    </row>
    <row r="5211" spans="1:6">
      <c r="A5211" s="211" t="s">
        <v>6067</v>
      </c>
      <c r="B5211" s="211">
        <v>7251</v>
      </c>
      <c r="C5211" s="211">
        <v>2141</v>
      </c>
      <c r="D5211" s="211" t="s">
        <v>1255</v>
      </c>
      <c r="E5211" s="211" t="s">
        <v>9856</v>
      </c>
      <c r="F5211" s="211" t="s">
        <v>7458</v>
      </c>
    </row>
    <row r="5212" spans="1:6">
      <c r="A5212" s="211" t="s">
        <v>9</v>
      </c>
      <c r="B5212" s="211">
        <v>4968</v>
      </c>
      <c r="C5212" s="211">
        <v>1311</v>
      </c>
      <c r="D5212" s="211" t="s">
        <v>1255</v>
      </c>
      <c r="E5212" s="211" t="s">
        <v>10385</v>
      </c>
      <c r="F5212" s="211" t="s">
        <v>7197</v>
      </c>
    </row>
    <row r="5213" spans="1:6">
      <c r="A5213" s="211" t="s">
        <v>6965</v>
      </c>
      <c r="B5213" s="211">
        <v>7660</v>
      </c>
      <c r="C5213" s="211">
        <v>1028</v>
      </c>
      <c r="D5213" s="211" t="s">
        <v>1255</v>
      </c>
      <c r="E5213" s="211" t="s">
        <v>9857</v>
      </c>
      <c r="F5213" s="211" t="s">
        <v>7292</v>
      </c>
    </row>
    <row r="5214" spans="1:6">
      <c r="A5214" s="211" t="s">
        <v>10</v>
      </c>
      <c r="B5214" s="211">
        <v>225</v>
      </c>
      <c r="C5214" s="211">
        <v>1882</v>
      </c>
      <c r="D5214" s="211" t="s">
        <v>1255</v>
      </c>
      <c r="E5214" s="211" t="s">
        <v>10385</v>
      </c>
      <c r="F5214" s="211" t="s">
        <v>7171</v>
      </c>
    </row>
    <row r="5215" spans="1:6">
      <c r="A5215" s="211" t="s">
        <v>8403</v>
      </c>
      <c r="B5215" s="211">
        <v>5887</v>
      </c>
      <c r="C5215" s="211" t="s">
        <v>10385</v>
      </c>
      <c r="D5215" s="211" t="s">
        <v>1255</v>
      </c>
      <c r="E5215" s="211" t="s">
        <v>10385</v>
      </c>
      <c r="F5215" s="211" t="s">
        <v>7223</v>
      </c>
    </row>
    <row r="5216" spans="1:6">
      <c r="A5216" s="211" t="s">
        <v>4545</v>
      </c>
      <c r="B5216" s="211">
        <v>6650</v>
      </c>
      <c r="C5216" s="211">
        <v>824</v>
      </c>
      <c r="D5216" s="211" t="s">
        <v>1255</v>
      </c>
      <c r="E5216" s="211" t="s">
        <v>10385</v>
      </c>
      <c r="F5216" s="211" t="s">
        <v>7661</v>
      </c>
    </row>
    <row r="5217" spans="1:6">
      <c r="A5217" s="211" t="s">
        <v>6966</v>
      </c>
      <c r="B5217" s="211">
        <v>7676</v>
      </c>
      <c r="C5217" s="211">
        <v>895</v>
      </c>
      <c r="D5217" s="211" t="s">
        <v>1255</v>
      </c>
      <c r="E5217" s="211" t="s">
        <v>10385</v>
      </c>
      <c r="F5217" s="211" t="s">
        <v>9024</v>
      </c>
    </row>
    <row r="5218" spans="1:6">
      <c r="A5218" s="211" t="s">
        <v>11</v>
      </c>
      <c r="B5218" s="211">
        <v>4294</v>
      </c>
      <c r="C5218" s="211">
        <v>1080</v>
      </c>
      <c r="D5218" s="211" t="s">
        <v>1255</v>
      </c>
      <c r="E5218" s="211" t="s">
        <v>10385</v>
      </c>
      <c r="F5218" s="211" t="s">
        <v>7471</v>
      </c>
    </row>
    <row r="5219" spans="1:6">
      <c r="A5219" s="211" t="s">
        <v>9858</v>
      </c>
      <c r="B5219" s="211">
        <v>8211</v>
      </c>
      <c r="C5219" s="211">
        <v>1082</v>
      </c>
      <c r="D5219" s="211" t="s">
        <v>1255</v>
      </c>
      <c r="E5219" s="211" t="s">
        <v>10385</v>
      </c>
      <c r="F5219" s="211" t="s">
        <v>7471</v>
      </c>
    </row>
    <row r="5220" spans="1:6">
      <c r="A5220" s="211" t="s">
        <v>12</v>
      </c>
      <c r="B5220" s="211">
        <v>2239</v>
      </c>
      <c r="C5220" s="211">
        <v>786</v>
      </c>
      <c r="D5220" s="211" t="s">
        <v>1255</v>
      </c>
      <c r="E5220" s="211" t="s">
        <v>10385</v>
      </c>
      <c r="F5220" s="211" t="s">
        <v>7175</v>
      </c>
    </row>
    <row r="5221" spans="1:6">
      <c r="A5221" s="211" t="s">
        <v>13</v>
      </c>
      <c r="B5221" s="211">
        <v>2752</v>
      </c>
      <c r="C5221" s="211">
        <v>1174</v>
      </c>
      <c r="D5221" s="211" t="s">
        <v>1255</v>
      </c>
      <c r="E5221" s="211" t="s">
        <v>10385</v>
      </c>
      <c r="F5221" s="211" t="s">
        <v>7257</v>
      </c>
    </row>
    <row r="5222" spans="1:6">
      <c r="A5222" s="211" t="s">
        <v>14</v>
      </c>
      <c r="B5222" s="211">
        <v>3599</v>
      </c>
      <c r="C5222" s="211">
        <v>865</v>
      </c>
      <c r="D5222" s="211" t="s">
        <v>1255</v>
      </c>
      <c r="E5222" s="211" t="s">
        <v>10385</v>
      </c>
      <c r="F5222" s="211" t="s">
        <v>7284</v>
      </c>
    </row>
    <row r="5223" spans="1:6">
      <c r="A5223" s="211" t="s">
        <v>6068</v>
      </c>
      <c r="B5223" s="211">
        <v>7574</v>
      </c>
      <c r="C5223" s="211">
        <v>552</v>
      </c>
      <c r="D5223" s="211" t="s">
        <v>1117</v>
      </c>
      <c r="E5223" s="211" t="s">
        <v>10385</v>
      </c>
      <c r="F5223" s="211" t="s">
        <v>7318</v>
      </c>
    </row>
    <row r="5224" spans="1:6">
      <c r="A5224" s="211" t="s">
        <v>15</v>
      </c>
      <c r="B5224" s="211">
        <v>5455</v>
      </c>
      <c r="C5224" s="211">
        <v>1284</v>
      </c>
      <c r="D5224" s="211" t="s">
        <v>1255</v>
      </c>
      <c r="E5224" s="211" t="s">
        <v>10385</v>
      </c>
      <c r="F5224" s="211" t="s">
        <v>7242</v>
      </c>
    </row>
    <row r="5225" spans="1:6">
      <c r="A5225" s="211" t="s">
        <v>16</v>
      </c>
      <c r="B5225" s="211">
        <v>3823</v>
      </c>
      <c r="C5225" s="211">
        <v>933</v>
      </c>
      <c r="D5225" s="211" t="s">
        <v>1255</v>
      </c>
      <c r="E5225" s="211" t="s">
        <v>10385</v>
      </c>
      <c r="F5225" s="211" t="s">
        <v>7471</v>
      </c>
    </row>
    <row r="5226" spans="1:6">
      <c r="A5226" s="211" t="s">
        <v>17</v>
      </c>
      <c r="B5226" s="211">
        <v>1935</v>
      </c>
      <c r="C5226" s="211">
        <v>1392</v>
      </c>
      <c r="D5226" s="211" t="s">
        <v>1255</v>
      </c>
      <c r="E5226" s="211" t="s">
        <v>10385</v>
      </c>
      <c r="F5226" s="211" t="s">
        <v>7283</v>
      </c>
    </row>
    <row r="5227" spans="1:6">
      <c r="A5227" s="211" t="s">
        <v>5299</v>
      </c>
      <c r="B5227" s="211">
        <v>1275</v>
      </c>
      <c r="C5227" s="211">
        <v>877</v>
      </c>
      <c r="D5227" s="211" t="s">
        <v>1255</v>
      </c>
      <c r="E5227" s="211" t="s">
        <v>10385</v>
      </c>
      <c r="F5227" s="211" t="s">
        <v>7192</v>
      </c>
    </row>
    <row r="5228" spans="1:6">
      <c r="A5228" s="211" t="s">
        <v>8404</v>
      </c>
      <c r="B5228" s="211">
        <v>545</v>
      </c>
      <c r="C5228" s="211" t="s">
        <v>10385</v>
      </c>
      <c r="D5228" s="211" t="s">
        <v>1255</v>
      </c>
      <c r="E5228" s="211" t="s">
        <v>10385</v>
      </c>
      <c r="F5228" s="211" t="s">
        <v>7255</v>
      </c>
    </row>
    <row r="5229" spans="1:6">
      <c r="A5229" s="211" t="s">
        <v>4647</v>
      </c>
      <c r="B5229" s="211">
        <v>6348</v>
      </c>
      <c r="C5229" s="211">
        <v>1698</v>
      </c>
      <c r="D5229" s="211" t="s">
        <v>1255</v>
      </c>
      <c r="E5229" s="211" t="s">
        <v>9859</v>
      </c>
      <c r="F5229" s="211" t="s">
        <v>7325</v>
      </c>
    </row>
    <row r="5230" spans="1:6">
      <c r="A5230" s="211" t="s">
        <v>8405</v>
      </c>
      <c r="B5230" s="211">
        <v>3053</v>
      </c>
      <c r="C5230" s="211">
        <v>823</v>
      </c>
      <c r="D5230" s="211" t="s">
        <v>1117</v>
      </c>
      <c r="E5230" s="211" t="s">
        <v>10385</v>
      </c>
      <c r="F5230" s="211" t="s">
        <v>7342</v>
      </c>
    </row>
    <row r="5231" spans="1:6">
      <c r="A5231" s="211" t="s">
        <v>18</v>
      </c>
      <c r="B5231" s="211">
        <v>3905</v>
      </c>
      <c r="C5231" s="211">
        <v>1875</v>
      </c>
      <c r="D5231" s="211" t="s">
        <v>1255</v>
      </c>
      <c r="E5231" s="211" t="s">
        <v>10385</v>
      </c>
      <c r="F5231" s="211" t="s">
        <v>7736</v>
      </c>
    </row>
    <row r="5232" spans="1:6">
      <c r="A5232" s="211" t="s">
        <v>8406</v>
      </c>
      <c r="B5232" s="211">
        <v>147</v>
      </c>
      <c r="C5232" s="211" t="s">
        <v>10385</v>
      </c>
      <c r="D5232" s="211" t="s">
        <v>1255</v>
      </c>
      <c r="E5232" s="211" t="s">
        <v>10385</v>
      </c>
      <c r="F5232" s="211" t="s">
        <v>7207</v>
      </c>
    </row>
    <row r="5233" spans="1:6">
      <c r="A5233" s="211" t="s">
        <v>19</v>
      </c>
      <c r="B5233" s="211">
        <v>5333</v>
      </c>
      <c r="C5233" s="211">
        <v>1874</v>
      </c>
      <c r="D5233" s="211" t="s">
        <v>1255</v>
      </c>
      <c r="E5233" s="211" t="s">
        <v>10385</v>
      </c>
      <c r="F5233" s="211" t="s">
        <v>7224</v>
      </c>
    </row>
    <row r="5234" spans="1:6">
      <c r="A5234" s="211" t="s">
        <v>20</v>
      </c>
      <c r="B5234" s="211">
        <v>5115</v>
      </c>
      <c r="C5234" s="211">
        <v>1102</v>
      </c>
      <c r="D5234" s="211" t="s">
        <v>1117</v>
      </c>
      <c r="E5234" s="211" t="s">
        <v>10385</v>
      </c>
      <c r="F5234" s="211" t="s">
        <v>7459</v>
      </c>
    </row>
    <row r="5235" spans="1:6">
      <c r="A5235" s="211" t="s">
        <v>5162</v>
      </c>
      <c r="B5235" s="211">
        <v>6907</v>
      </c>
      <c r="C5235" s="211">
        <v>1164</v>
      </c>
      <c r="D5235" s="211" t="s">
        <v>1255</v>
      </c>
      <c r="E5235" s="211" t="s">
        <v>10385</v>
      </c>
      <c r="F5235" s="211" t="s">
        <v>7298</v>
      </c>
    </row>
    <row r="5236" spans="1:6">
      <c r="A5236" s="211" t="s">
        <v>5163</v>
      </c>
      <c r="B5236" s="211">
        <v>6954</v>
      </c>
      <c r="C5236" s="211">
        <v>1381</v>
      </c>
      <c r="D5236" s="211" t="s">
        <v>1255</v>
      </c>
      <c r="E5236" s="211" t="s">
        <v>6069</v>
      </c>
      <c r="F5236" s="211" t="s">
        <v>7283</v>
      </c>
    </row>
    <row r="5237" spans="1:6">
      <c r="A5237" s="211" t="s">
        <v>5164</v>
      </c>
      <c r="B5237" s="211">
        <v>5594</v>
      </c>
      <c r="C5237" s="211" t="s">
        <v>10385</v>
      </c>
      <c r="D5237" s="211" t="s">
        <v>1255</v>
      </c>
      <c r="E5237" s="211" t="s">
        <v>10385</v>
      </c>
      <c r="F5237" s="211" t="s">
        <v>7262</v>
      </c>
    </row>
    <row r="5238" spans="1:6">
      <c r="A5238" s="211" t="s">
        <v>9860</v>
      </c>
      <c r="B5238" s="211">
        <v>8312</v>
      </c>
      <c r="C5238" s="211">
        <v>2341</v>
      </c>
      <c r="D5238" s="211" t="s">
        <v>1255</v>
      </c>
      <c r="E5238" s="211" t="s">
        <v>9861</v>
      </c>
      <c r="F5238" s="211" t="s">
        <v>7247</v>
      </c>
    </row>
    <row r="5239" spans="1:6">
      <c r="A5239" s="211" t="s">
        <v>8407</v>
      </c>
      <c r="B5239" s="211">
        <v>535</v>
      </c>
      <c r="C5239" s="211" t="s">
        <v>10385</v>
      </c>
      <c r="D5239" s="211" t="s">
        <v>1255</v>
      </c>
      <c r="E5239" s="211" t="s">
        <v>10385</v>
      </c>
      <c r="F5239" s="211" t="s">
        <v>7171</v>
      </c>
    </row>
    <row r="5240" spans="1:6">
      <c r="A5240" s="211" t="s">
        <v>21</v>
      </c>
      <c r="B5240" s="211">
        <v>5468</v>
      </c>
      <c r="C5240" s="211">
        <v>1399</v>
      </c>
      <c r="D5240" s="211" t="s">
        <v>1117</v>
      </c>
      <c r="E5240" s="211" t="s">
        <v>10385</v>
      </c>
      <c r="F5240" s="211" t="s">
        <v>7295</v>
      </c>
    </row>
    <row r="5241" spans="1:6">
      <c r="A5241" s="211" t="s">
        <v>9862</v>
      </c>
      <c r="B5241" s="211">
        <v>8096</v>
      </c>
      <c r="C5241" s="211" t="s">
        <v>10385</v>
      </c>
      <c r="D5241" s="211" t="s">
        <v>1255</v>
      </c>
      <c r="E5241" s="211" t="s">
        <v>10385</v>
      </c>
      <c r="F5241" s="211" t="s">
        <v>7298</v>
      </c>
    </row>
    <row r="5242" spans="1:6">
      <c r="A5242" s="211" t="s">
        <v>22</v>
      </c>
      <c r="B5242" s="211">
        <v>1540</v>
      </c>
      <c r="C5242" s="211">
        <v>1423</v>
      </c>
      <c r="D5242" s="211" t="s">
        <v>1255</v>
      </c>
      <c r="E5242" s="211" t="s">
        <v>10385</v>
      </c>
      <c r="F5242" s="211" t="s">
        <v>7171</v>
      </c>
    </row>
    <row r="5243" spans="1:6">
      <c r="A5243" s="211" t="s">
        <v>5165</v>
      </c>
      <c r="B5243" s="211">
        <v>6685</v>
      </c>
      <c r="C5243" s="211">
        <v>766</v>
      </c>
      <c r="D5243" s="211" t="s">
        <v>1255</v>
      </c>
      <c r="E5243" s="211" t="s">
        <v>10385</v>
      </c>
      <c r="F5243" s="211" t="s">
        <v>7431</v>
      </c>
    </row>
    <row r="5244" spans="1:6">
      <c r="A5244" s="211" t="s">
        <v>23</v>
      </c>
      <c r="B5244" s="211">
        <v>2724</v>
      </c>
      <c r="C5244" s="211">
        <v>2339</v>
      </c>
      <c r="D5244" s="211" t="s">
        <v>1117</v>
      </c>
      <c r="E5244" s="211" t="s">
        <v>10385</v>
      </c>
      <c r="F5244" s="211" t="s">
        <v>7267</v>
      </c>
    </row>
    <row r="5245" spans="1:6">
      <c r="A5245" s="211" t="s">
        <v>10841</v>
      </c>
      <c r="B5245" s="211">
        <v>8631</v>
      </c>
      <c r="C5245" s="211">
        <v>928</v>
      </c>
      <c r="D5245" s="211" t="s">
        <v>1255</v>
      </c>
      <c r="E5245" s="211" t="s">
        <v>10842</v>
      </c>
      <c r="F5245" s="211" t="s">
        <v>10474</v>
      </c>
    </row>
    <row r="5246" spans="1:6">
      <c r="A5246" s="211" t="s">
        <v>24</v>
      </c>
      <c r="B5246" s="211">
        <v>1045</v>
      </c>
      <c r="C5246" s="211">
        <v>1642</v>
      </c>
      <c r="D5246" s="211" t="s">
        <v>1255</v>
      </c>
      <c r="E5246" s="211" t="s">
        <v>10385</v>
      </c>
      <c r="F5246" s="211" t="s">
        <v>7232</v>
      </c>
    </row>
    <row r="5247" spans="1:6">
      <c r="A5247" s="211" t="s">
        <v>9863</v>
      </c>
      <c r="B5247" s="211">
        <v>8025</v>
      </c>
      <c r="C5247" s="211">
        <v>984</v>
      </c>
      <c r="D5247" s="211" t="s">
        <v>1255</v>
      </c>
      <c r="E5247" s="211" t="s">
        <v>10385</v>
      </c>
      <c r="F5247" s="211" t="s">
        <v>7518</v>
      </c>
    </row>
    <row r="5248" spans="1:6">
      <c r="A5248" s="211" t="s">
        <v>25</v>
      </c>
      <c r="B5248" s="211">
        <v>4163</v>
      </c>
      <c r="C5248" s="211">
        <v>1602</v>
      </c>
      <c r="D5248" s="211" t="s">
        <v>1255</v>
      </c>
      <c r="E5248" s="211" t="s">
        <v>10385</v>
      </c>
      <c r="F5248" s="211" t="s">
        <v>7224</v>
      </c>
    </row>
    <row r="5249" spans="1:6">
      <c r="A5249" s="211" t="s">
        <v>26</v>
      </c>
      <c r="B5249" s="211">
        <v>461</v>
      </c>
      <c r="C5249" s="211">
        <v>1797</v>
      </c>
      <c r="D5249" s="211" t="s">
        <v>1255</v>
      </c>
      <c r="E5249" s="211" t="s">
        <v>10385</v>
      </c>
      <c r="F5249" s="211" t="s">
        <v>7196</v>
      </c>
    </row>
    <row r="5250" spans="1:6">
      <c r="A5250" s="211" t="s">
        <v>27</v>
      </c>
      <c r="B5250" s="211">
        <v>3286</v>
      </c>
      <c r="C5250" s="211">
        <v>1176</v>
      </c>
      <c r="D5250" s="211" t="s">
        <v>1255</v>
      </c>
      <c r="E5250" s="211" t="s">
        <v>10385</v>
      </c>
      <c r="F5250" s="211" t="s">
        <v>7290</v>
      </c>
    </row>
    <row r="5251" spans="1:6">
      <c r="A5251" s="211" t="s">
        <v>8408</v>
      </c>
      <c r="B5251" s="211">
        <v>598</v>
      </c>
      <c r="C5251" s="211" t="s">
        <v>10385</v>
      </c>
      <c r="D5251" s="211" t="s">
        <v>1255</v>
      </c>
      <c r="E5251" s="211" t="s">
        <v>10385</v>
      </c>
      <c r="F5251" s="211" t="s">
        <v>7306</v>
      </c>
    </row>
    <row r="5252" spans="1:6">
      <c r="A5252" s="211" t="s">
        <v>28</v>
      </c>
      <c r="B5252" s="211">
        <v>3180</v>
      </c>
      <c r="C5252" s="211">
        <v>873</v>
      </c>
      <c r="D5252" s="211" t="s">
        <v>1255</v>
      </c>
      <c r="E5252" s="211" t="s">
        <v>10385</v>
      </c>
      <c r="F5252" s="211" t="s">
        <v>7874</v>
      </c>
    </row>
    <row r="5253" spans="1:6">
      <c r="A5253" s="211" t="s">
        <v>29</v>
      </c>
      <c r="B5253" s="211">
        <v>3576</v>
      </c>
      <c r="C5253" s="211">
        <v>1082</v>
      </c>
      <c r="D5253" s="211" t="s">
        <v>1117</v>
      </c>
      <c r="E5253" s="211" t="s">
        <v>10385</v>
      </c>
      <c r="F5253" s="211" t="s">
        <v>7249</v>
      </c>
    </row>
    <row r="5254" spans="1:6">
      <c r="A5254" s="211" t="s">
        <v>6070</v>
      </c>
      <c r="B5254" s="211">
        <v>7504</v>
      </c>
      <c r="C5254" s="211">
        <v>759</v>
      </c>
      <c r="D5254" s="211" t="s">
        <v>1117</v>
      </c>
      <c r="E5254" s="211" t="s">
        <v>6071</v>
      </c>
      <c r="F5254" s="211" t="s">
        <v>7435</v>
      </c>
    </row>
    <row r="5255" spans="1:6">
      <c r="A5255" s="211" t="s">
        <v>6072</v>
      </c>
      <c r="B5255" s="211">
        <v>7071</v>
      </c>
      <c r="C5255" s="211">
        <v>1812</v>
      </c>
      <c r="D5255" s="211" t="s">
        <v>1117</v>
      </c>
      <c r="E5255" s="211" t="s">
        <v>6967</v>
      </c>
      <c r="F5255" s="211" t="s">
        <v>7453</v>
      </c>
    </row>
    <row r="5256" spans="1:6">
      <c r="A5256" s="211" t="s">
        <v>9864</v>
      </c>
      <c r="B5256" s="211">
        <v>8486</v>
      </c>
      <c r="C5256" s="211">
        <v>1352</v>
      </c>
      <c r="D5256" s="211" t="s">
        <v>1255</v>
      </c>
      <c r="E5256" s="211" t="s">
        <v>10385</v>
      </c>
      <c r="F5256" s="211" t="s">
        <v>7321</v>
      </c>
    </row>
    <row r="5257" spans="1:6">
      <c r="A5257" s="211" t="s">
        <v>8409</v>
      </c>
      <c r="B5257" s="211">
        <v>257</v>
      </c>
      <c r="C5257" s="211" t="s">
        <v>10385</v>
      </c>
      <c r="D5257" s="211" t="s">
        <v>1255</v>
      </c>
      <c r="E5257" s="211" t="s">
        <v>10385</v>
      </c>
      <c r="F5257" s="211" t="s">
        <v>7307</v>
      </c>
    </row>
    <row r="5258" spans="1:6">
      <c r="A5258" s="211" t="s">
        <v>6968</v>
      </c>
      <c r="B5258" s="211">
        <v>7775</v>
      </c>
      <c r="C5258" s="211">
        <v>833</v>
      </c>
      <c r="D5258" s="211" t="s">
        <v>1255</v>
      </c>
      <c r="E5258" s="211" t="s">
        <v>9865</v>
      </c>
      <c r="F5258" s="211" t="s">
        <v>7414</v>
      </c>
    </row>
    <row r="5259" spans="1:6">
      <c r="A5259" s="211" t="s">
        <v>8410</v>
      </c>
      <c r="B5259" s="211">
        <v>5372</v>
      </c>
      <c r="C5259" s="211" t="s">
        <v>10385</v>
      </c>
      <c r="D5259" s="211" t="s">
        <v>1255</v>
      </c>
      <c r="E5259" s="211" t="s">
        <v>10385</v>
      </c>
      <c r="F5259" s="211" t="s">
        <v>7444</v>
      </c>
    </row>
    <row r="5260" spans="1:6">
      <c r="A5260" s="211" t="s">
        <v>4859</v>
      </c>
      <c r="B5260" s="211">
        <v>5954</v>
      </c>
      <c r="C5260" s="211">
        <v>1311</v>
      </c>
      <c r="D5260" s="211" t="s">
        <v>1255</v>
      </c>
      <c r="E5260" s="211" t="s">
        <v>10385</v>
      </c>
      <c r="F5260" s="211" t="s">
        <v>7200</v>
      </c>
    </row>
    <row r="5261" spans="1:6">
      <c r="A5261" s="211" t="s">
        <v>6969</v>
      </c>
      <c r="B5261" s="211">
        <v>7882</v>
      </c>
      <c r="C5261" s="211">
        <v>919</v>
      </c>
      <c r="D5261" s="211" t="s">
        <v>1255</v>
      </c>
      <c r="E5261" s="211" t="s">
        <v>10385</v>
      </c>
      <c r="F5261" s="211" t="s">
        <v>9048</v>
      </c>
    </row>
    <row r="5262" spans="1:6">
      <c r="A5262" s="211" t="s">
        <v>8411</v>
      </c>
      <c r="B5262" s="211">
        <v>4387</v>
      </c>
      <c r="C5262" s="211">
        <v>1715</v>
      </c>
      <c r="D5262" s="211" t="s">
        <v>1255</v>
      </c>
      <c r="E5262" s="211" t="s">
        <v>3116</v>
      </c>
      <c r="F5262" s="211" t="s">
        <v>7247</v>
      </c>
    </row>
    <row r="5263" spans="1:6">
      <c r="A5263" s="211" t="s">
        <v>30</v>
      </c>
      <c r="B5263" s="211">
        <v>2564</v>
      </c>
      <c r="C5263" s="211">
        <v>984</v>
      </c>
      <c r="D5263" s="211" t="s">
        <v>1255</v>
      </c>
      <c r="E5263" s="211" t="s">
        <v>10385</v>
      </c>
      <c r="F5263" s="211" t="s">
        <v>7212</v>
      </c>
    </row>
    <row r="5264" spans="1:6">
      <c r="A5264" s="211" t="s">
        <v>31</v>
      </c>
      <c r="B5264" s="211">
        <v>3879</v>
      </c>
      <c r="C5264" s="211">
        <v>1849</v>
      </c>
      <c r="D5264" s="211" t="s">
        <v>1255</v>
      </c>
      <c r="E5264" s="211" t="s">
        <v>10385</v>
      </c>
      <c r="F5264" s="211" t="s">
        <v>7427</v>
      </c>
    </row>
    <row r="5265" spans="1:6">
      <c r="A5265" s="211" t="s">
        <v>32</v>
      </c>
      <c r="B5265" s="211">
        <v>4597</v>
      </c>
      <c r="C5265" s="211">
        <v>1693</v>
      </c>
      <c r="D5265" s="211" t="s">
        <v>1255</v>
      </c>
      <c r="E5265" s="211" t="s">
        <v>10385</v>
      </c>
      <c r="F5265" s="211" t="s">
        <v>7224</v>
      </c>
    </row>
    <row r="5266" spans="1:6">
      <c r="A5266" s="211" t="s">
        <v>6073</v>
      </c>
      <c r="B5266" s="211">
        <v>7606</v>
      </c>
      <c r="C5266" s="211">
        <v>1603</v>
      </c>
      <c r="D5266" s="211" t="s">
        <v>1255</v>
      </c>
      <c r="E5266" s="211" t="s">
        <v>9866</v>
      </c>
      <c r="F5266" s="211" t="s">
        <v>7239</v>
      </c>
    </row>
    <row r="5267" spans="1:6">
      <c r="A5267" s="211" t="s">
        <v>6074</v>
      </c>
      <c r="B5267" s="211">
        <v>7316</v>
      </c>
      <c r="C5267" s="211">
        <v>2231</v>
      </c>
      <c r="D5267" s="211" t="s">
        <v>1255</v>
      </c>
      <c r="E5267" s="211" t="s">
        <v>9867</v>
      </c>
      <c r="F5267" s="211" t="s">
        <v>7287</v>
      </c>
    </row>
    <row r="5268" spans="1:6">
      <c r="A5268" s="211" t="s">
        <v>8412</v>
      </c>
      <c r="B5268" s="211">
        <v>954</v>
      </c>
      <c r="C5268" s="211" t="s">
        <v>10385</v>
      </c>
      <c r="D5268" s="211" t="s">
        <v>1255</v>
      </c>
      <c r="E5268" s="211" t="s">
        <v>10385</v>
      </c>
      <c r="F5268" s="211" t="s">
        <v>7692</v>
      </c>
    </row>
    <row r="5269" spans="1:6">
      <c r="A5269" s="211" t="s">
        <v>6075</v>
      </c>
      <c r="B5269" s="211">
        <v>7464</v>
      </c>
      <c r="C5269" s="211">
        <v>663</v>
      </c>
      <c r="D5269" s="211" t="s">
        <v>1255</v>
      </c>
      <c r="E5269" s="211" t="s">
        <v>10843</v>
      </c>
      <c r="F5269" s="211" t="s">
        <v>7427</v>
      </c>
    </row>
    <row r="5270" spans="1:6">
      <c r="A5270" s="211" t="s">
        <v>8413</v>
      </c>
      <c r="B5270" s="211">
        <v>498</v>
      </c>
      <c r="C5270" s="211">
        <v>1381</v>
      </c>
      <c r="D5270" s="211" t="s">
        <v>1255</v>
      </c>
      <c r="E5270" s="211" t="s">
        <v>10385</v>
      </c>
      <c r="F5270" s="211" t="s">
        <v>7223</v>
      </c>
    </row>
    <row r="5271" spans="1:6">
      <c r="A5271" s="211" t="s">
        <v>5387</v>
      </c>
      <c r="B5271" s="211">
        <v>4374</v>
      </c>
      <c r="C5271" s="211">
        <v>865</v>
      </c>
      <c r="D5271" s="211" t="s">
        <v>1117</v>
      </c>
      <c r="E5271" s="211" t="s">
        <v>10385</v>
      </c>
      <c r="F5271" s="211" t="s">
        <v>7364</v>
      </c>
    </row>
    <row r="5272" spans="1:6">
      <c r="A5272" s="211" t="s">
        <v>8414</v>
      </c>
      <c r="B5272" s="211">
        <v>76</v>
      </c>
      <c r="C5272" s="211" t="s">
        <v>10385</v>
      </c>
      <c r="D5272" s="211" t="s">
        <v>1255</v>
      </c>
      <c r="E5272" s="211" t="s">
        <v>10385</v>
      </c>
      <c r="F5272" s="211" t="s">
        <v>7223</v>
      </c>
    </row>
    <row r="5273" spans="1:6">
      <c r="A5273" s="211" t="s">
        <v>8415</v>
      </c>
      <c r="B5273" s="211">
        <v>1534</v>
      </c>
      <c r="C5273" s="211" t="s">
        <v>10385</v>
      </c>
      <c r="D5273" s="211" t="s">
        <v>1255</v>
      </c>
      <c r="E5273" s="211" t="s">
        <v>10385</v>
      </c>
      <c r="F5273" s="211" t="s">
        <v>7212</v>
      </c>
    </row>
    <row r="5274" spans="1:6">
      <c r="A5274" s="211" t="s">
        <v>4546</v>
      </c>
      <c r="B5274" s="211">
        <v>5757</v>
      </c>
      <c r="C5274" s="211">
        <v>1024</v>
      </c>
      <c r="D5274" s="211" t="s">
        <v>1255</v>
      </c>
      <c r="E5274" s="211" t="s">
        <v>10385</v>
      </c>
      <c r="F5274" s="211" t="s">
        <v>7285</v>
      </c>
    </row>
    <row r="5275" spans="1:6">
      <c r="A5275" s="211" t="s">
        <v>4863</v>
      </c>
      <c r="B5275" s="211">
        <v>5402</v>
      </c>
      <c r="C5275" s="211">
        <v>1142</v>
      </c>
      <c r="D5275" s="211" t="s">
        <v>1255</v>
      </c>
      <c r="E5275" s="211" t="s">
        <v>10385</v>
      </c>
      <c r="F5275" s="211" t="s">
        <v>7742</v>
      </c>
    </row>
    <row r="5276" spans="1:6">
      <c r="A5276" s="211" t="s">
        <v>33</v>
      </c>
      <c r="B5276" s="211">
        <v>1595</v>
      </c>
      <c r="C5276" s="211">
        <v>1253</v>
      </c>
      <c r="D5276" s="211" t="s">
        <v>1255</v>
      </c>
      <c r="E5276" s="211" t="s">
        <v>10385</v>
      </c>
      <c r="F5276" s="211" t="s">
        <v>7162</v>
      </c>
    </row>
    <row r="5277" spans="1:6">
      <c r="A5277" s="211" t="s">
        <v>6970</v>
      </c>
      <c r="B5277" s="211">
        <v>7793</v>
      </c>
      <c r="C5277" s="211">
        <v>1319</v>
      </c>
      <c r="D5277" s="211" t="s">
        <v>1255</v>
      </c>
      <c r="E5277" s="211" t="s">
        <v>10385</v>
      </c>
      <c r="F5277" s="211" t="s">
        <v>7233</v>
      </c>
    </row>
    <row r="5278" spans="1:6">
      <c r="A5278" s="211" t="s">
        <v>34</v>
      </c>
      <c r="B5278" s="211">
        <v>2680</v>
      </c>
      <c r="C5278" s="211">
        <v>812</v>
      </c>
      <c r="D5278" s="211" t="s">
        <v>1117</v>
      </c>
      <c r="E5278" s="211" t="s">
        <v>10385</v>
      </c>
      <c r="F5278" s="211" t="s">
        <v>7402</v>
      </c>
    </row>
    <row r="5279" spans="1:6">
      <c r="A5279" s="211" t="s">
        <v>35</v>
      </c>
      <c r="B5279" s="211">
        <v>3688</v>
      </c>
      <c r="C5279" s="211">
        <v>1427</v>
      </c>
      <c r="D5279" s="211" t="s">
        <v>1255</v>
      </c>
      <c r="E5279" s="211" t="s">
        <v>6971</v>
      </c>
      <c r="F5279" s="211" t="s">
        <v>7223</v>
      </c>
    </row>
    <row r="5280" spans="1:6">
      <c r="A5280" s="211" t="s">
        <v>36</v>
      </c>
      <c r="B5280" s="211">
        <v>3156</v>
      </c>
      <c r="C5280" s="211">
        <v>1903</v>
      </c>
      <c r="D5280" s="211" t="s">
        <v>1117</v>
      </c>
      <c r="E5280" s="211" t="s">
        <v>10385</v>
      </c>
      <c r="F5280" s="211" t="s">
        <v>7267</v>
      </c>
    </row>
    <row r="5281" spans="1:6">
      <c r="A5281" s="211" t="s">
        <v>9868</v>
      </c>
      <c r="B5281" s="211">
        <v>8549</v>
      </c>
      <c r="C5281" s="211">
        <v>795</v>
      </c>
      <c r="D5281" s="211" t="s">
        <v>1117</v>
      </c>
      <c r="E5281" s="211" t="s">
        <v>10385</v>
      </c>
      <c r="F5281" s="211" t="s">
        <v>7258</v>
      </c>
    </row>
    <row r="5282" spans="1:6">
      <c r="A5282" s="211" t="s">
        <v>37</v>
      </c>
      <c r="B5282" s="211">
        <v>1585</v>
      </c>
      <c r="C5282" s="211">
        <v>865</v>
      </c>
      <c r="D5282" s="211" t="s">
        <v>1255</v>
      </c>
      <c r="E5282" s="211" t="s">
        <v>10385</v>
      </c>
      <c r="F5282" s="211" t="s">
        <v>7581</v>
      </c>
    </row>
    <row r="5283" spans="1:6">
      <c r="A5283" s="211" t="s">
        <v>38</v>
      </c>
      <c r="B5283" s="211">
        <v>5855</v>
      </c>
      <c r="C5283" s="211">
        <v>1441</v>
      </c>
      <c r="D5283" s="211" t="s">
        <v>1117</v>
      </c>
      <c r="E5283" s="211" t="s">
        <v>10385</v>
      </c>
      <c r="F5283" s="211" t="s">
        <v>7938</v>
      </c>
    </row>
    <row r="5284" spans="1:6">
      <c r="A5284" s="211" t="s">
        <v>39</v>
      </c>
      <c r="B5284" s="211">
        <v>2776</v>
      </c>
      <c r="C5284" s="211">
        <v>943</v>
      </c>
      <c r="D5284" s="211" t="s">
        <v>1255</v>
      </c>
      <c r="E5284" s="211" t="s">
        <v>10385</v>
      </c>
      <c r="F5284" s="211" t="s">
        <v>7275</v>
      </c>
    </row>
    <row r="5285" spans="1:6">
      <c r="A5285" s="211" t="s">
        <v>40</v>
      </c>
      <c r="B5285" s="211">
        <v>1311</v>
      </c>
      <c r="C5285" s="211">
        <v>771</v>
      </c>
      <c r="D5285" s="211" t="s">
        <v>1255</v>
      </c>
      <c r="E5285" s="211" t="s">
        <v>10385</v>
      </c>
      <c r="F5285" s="211" t="s">
        <v>7237</v>
      </c>
    </row>
    <row r="5286" spans="1:6">
      <c r="A5286" s="211" t="s">
        <v>6972</v>
      </c>
      <c r="B5286" s="211">
        <v>7648</v>
      </c>
      <c r="C5286" s="211">
        <v>955</v>
      </c>
      <c r="D5286" s="211" t="s">
        <v>1255</v>
      </c>
      <c r="E5286" s="211" t="s">
        <v>6973</v>
      </c>
      <c r="F5286" s="211" t="s">
        <v>7418</v>
      </c>
    </row>
    <row r="5287" spans="1:6">
      <c r="A5287" s="211" t="s">
        <v>9869</v>
      </c>
      <c r="B5287" s="211">
        <v>8537</v>
      </c>
      <c r="C5287" s="211" t="s">
        <v>10385</v>
      </c>
      <c r="D5287" s="211" t="s">
        <v>1255</v>
      </c>
      <c r="E5287" s="211" t="s">
        <v>9870</v>
      </c>
      <c r="F5287" s="211" t="s">
        <v>7255</v>
      </c>
    </row>
    <row r="5288" spans="1:6">
      <c r="A5288" s="211" t="s">
        <v>9871</v>
      </c>
      <c r="B5288" s="211">
        <v>8197</v>
      </c>
      <c r="C5288" s="211">
        <v>980</v>
      </c>
      <c r="D5288" s="211" t="s">
        <v>1255</v>
      </c>
      <c r="E5288" s="211" t="s">
        <v>9872</v>
      </c>
      <c r="F5288" s="211" t="s">
        <v>7217</v>
      </c>
    </row>
    <row r="5289" spans="1:6">
      <c r="A5289" s="211" t="s">
        <v>41</v>
      </c>
      <c r="B5289" s="211">
        <v>2613</v>
      </c>
      <c r="C5289" s="211">
        <v>894</v>
      </c>
      <c r="D5289" s="211" t="s">
        <v>1255</v>
      </c>
      <c r="E5289" s="211" t="s">
        <v>10385</v>
      </c>
      <c r="F5289" s="211" t="s">
        <v>7229</v>
      </c>
    </row>
    <row r="5290" spans="1:6">
      <c r="A5290" s="211" t="s">
        <v>8416</v>
      </c>
      <c r="B5290" s="211">
        <v>1404</v>
      </c>
      <c r="C5290" s="211" t="s">
        <v>10385</v>
      </c>
      <c r="D5290" s="211" t="s">
        <v>1255</v>
      </c>
      <c r="E5290" s="211" t="s">
        <v>10385</v>
      </c>
      <c r="F5290" s="211" t="s">
        <v>7657</v>
      </c>
    </row>
    <row r="5291" spans="1:6">
      <c r="A5291" s="211" t="s">
        <v>42</v>
      </c>
      <c r="B5291" s="211">
        <v>3619</v>
      </c>
      <c r="C5291" s="211">
        <v>794</v>
      </c>
      <c r="D5291" s="211" t="s">
        <v>1255</v>
      </c>
      <c r="E5291" s="211" t="s">
        <v>10385</v>
      </c>
      <c r="F5291" s="211" t="s">
        <v>7207</v>
      </c>
    </row>
    <row r="5292" spans="1:6">
      <c r="A5292" s="211" t="s">
        <v>8417</v>
      </c>
      <c r="B5292" s="211">
        <v>15</v>
      </c>
      <c r="C5292" s="211" t="s">
        <v>10385</v>
      </c>
      <c r="D5292" s="211" t="s">
        <v>1255</v>
      </c>
      <c r="E5292" s="211" t="s">
        <v>10385</v>
      </c>
      <c r="F5292" s="211" t="s">
        <v>7231</v>
      </c>
    </row>
    <row r="5293" spans="1:6">
      <c r="A5293" s="211" t="s">
        <v>10367</v>
      </c>
      <c r="B5293" s="211">
        <v>1147</v>
      </c>
      <c r="C5293" s="211" t="s">
        <v>10385</v>
      </c>
      <c r="D5293" s="211" t="s">
        <v>1255</v>
      </c>
      <c r="E5293" s="211" t="s">
        <v>10385</v>
      </c>
      <c r="F5293" s="211" t="s">
        <v>7383</v>
      </c>
    </row>
    <row r="5294" spans="1:6">
      <c r="A5294" s="211" t="s">
        <v>43</v>
      </c>
      <c r="B5294" s="211">
        <v>847</v>
      </c>
      <c r="C5294" s="211">
        <v>1551</v>
      </c>
      <c r="D5294" s="211" t="s">
        <v>1255</v>
      </c>
      <c r="E5294" s="211" t="s">
        <v>10385</v>
      </c>
      <c r="F5294" s="211" t="s">
        <v>9024</v>
      </c>
    </row>
    <row r="5295" spans="1:6">
      <c r="A5295" s="211" t="s">
        <v>9873</v>
      </c>
      <c r="B5295" s="211">
        <v>8304</v>
      </c>
      <c r="C5295" s="211">
        <v>992</v>
      </c>
      <c r="D5295" s="211" t="s">
        <v>1117</v>
      </c>
      <c r="E5295" s="211" t="s">
        <v>10844</v>
      </c>
      <c r="F5295" s="211" t="s">
        <v>7573</v>
      </c>
    </row>
    <row r="5296" spans="1:6">
      <c r="A5296" s="211" t="s">
        <v>6076</v>
      </c>
      <c r="B5296" s="211">
        <v>7091</v>
      </c>
      <c r="C5296" s="211">
        <v>1190</v>
      </c>
      <c r="D5296" s="211" t="s">
        <v>1117</v>
      </c>
      <c r="E5296" s="211" t="s">
        <v>6974</v>
      </c>
      <c r="F5296" s="211" t="s">
        <v>9044</v>
      </c>
    </row>
    <row r="5297" spans="1:6">
      <c r="A5297" s="211" t="s">
        <v>8418</v>
      </c>
      <c r="B5297" s="211">
        <v>2949</v>
      </c>
      <c r="C5297" s="211" t="s">
        <v>10385</v>
      </c>
      <c r="D5297" s="211" t="s">
        <v>1117</v>
      </c>
      <c r="E5297" s="211" t="s">
        <v>10385</v>
      </c>
      <c r="F5297" s="211" t="s">
        <v>7402</v>
      </c>
    </row>
    <row r="5298" spans="1:6">
      <c r="A5298" s="211" t="s">
        <v>44</v>
      </c>
      <c r="B5298" s="211">
        <v>2678</v>
      </c>
      <c r="C5298" s="211">
        <v>744</v>
      </c>
      <c r="D5298" s="211" t="s">
        <v>1117</v>
      </c>
      <c r="E5298" s="211" t="s">
        <v>10385</v>
      </c>
      <c r="F5298" s="211" t="s">
        <v>7402</v>
      </c>
    </row>
    <row r="5299" spans="1:6">
      <c r="A5299" s="211" t="s">
        <v>45</v>
      </c>
      <c r="B5299" s="211">
        <v>6031</v>
      </c>
      <c r="C5299" s="211">
        <v>964</v>
      </c>
      <c r="D5299" s="211" t="s">
        <v>1255</v>
      </c>
      <c r="E5299" s="211" t="s">
        <v>10385</v>
      </c>
      <c r="F5299" s="211" t="s">
        <v>7298</v>
      </c>
    </row>
    <row r="5300" spans="1:6">
      <c r="A5300" s="211" t="s">
        <v>6077</v>
      </c>
      <c r="B5300" s="211">
        <v>7290</v>
      </c>
      <c r="C5300" s="211">
        <v>1031</v>
      </c>
      <c r="D5300" s="211" t="s">
        <v>1255</v>
      </c>
      <c r="E5300" s="211" t="s">
        <v>6975</v>
      </c>
      <c r="F5300" s="211" t="s">
        <v>7490</v>
      </c>
    </row>
    <row r="5301" spans="1:6">
      <c r="A5301" s="211" t="s">
        <v>6078</v>
      </c>
      <c r="B5301" s="211">
        <v>7465</v>
      </c>
      <c r="C5301" s="211">
        <v>905</v>
      </c>
      <c r="D5301" s="211" t="s">
        <v>1255</v>
      </c>
      <c r="E5301" s="211" t="s">
        <v>10385</v>
      </c>
      <c r="F5301" s="211" t="s">
        <v>7354</v>
      </c>
    </row>
    <row r="5302" spans="1:6">
      <c r="A5302" s="211" t="s">
        <v>46</v>
      </c>
      <c r="B5302" s="211">
        <v>1380</v>
      </c>
      <c r="C5302" s="211">
        <v>888</v>
      </c>
      <c r="D5302" s="211" t="s">
        <v>1255</v>
      </c>
      <c r="E5302" s="211" t="s">
        <v>10385</v>
      </c>
      <c r="F5302" s="211" t="s">
        <v>7438</v>
      </c>
    </row>
    <row r="5303" spans="1:6">
      <c r="A5303" s="211" t="s">
        <v>6079</v>
      </c>
      <c r="B5303" s="211">
        <v>7554</v>
      </c>
      <c r="C5303" s="211">
        <v>894</v>
      </c>
      <c r="D5303" s="211" t="s">
        <v>1255</v>
      </c>
      <c r="E5303" s="211" t="s">
        <v>9874</v>
      </c>
      <c r="F5303" s="211" t="s">
        <v>7656</v>
      </c>
    </row>
    <row r="5304" spans="1:6">
      <c r="A5304" s="211" t="s">
        <v>2978</v>
      </c>
      <c r="B5304" s="211">
        <v>2259</v>
      </c>
      <c r="C5304" s="211">
        <v>1069</v>
      </c>
      <c r="D5304" s="211" t="s">
        <v>1255</v>
      </c>
      <c r="E5304" s="211" t="s">
        <v>10385</v>
      </c>
      <c r="F5304" s="211" t="s">
        <v>7322</v>
      </c>
    </row>
    <row r="5305" spans="1:6">
      <c r="A5305" s="211" t="s">
        <v>9875</v>
      </c>
      <c r="B5305" s="211">
        <v>8003</v>
      </c>
      <c r="C5305" s="211">
        <v>981</v>
      </c>
      <c r="D5305" s="211" t="s">
        <v>1255</v>
      </c>
      <c r="E5305" s="211" t="s">
        <v>10845</v>
      </c>
      <c r="F5305" s="211" t="s">
        <v>7483</v>
      </c>
    </row>
    <row r="5306" spans="1:6">
      <c r="A5306" s="211" t="s">
        <v>6080</v>
      </c>
      <c r="B5306" s="211">
        <v>7093</v>
      </c>
      <c r="C5306" s="211">
        <v>918</v>
      </c>
      <c r="D5306" s="211" t="s">
        <v>1255</v>
      </c>
      <c r="E5306" s="211" t="s">
        <v>6081</v>
      </c>
      <c r="F5306" s="211" t="s">
        <v>9044</v>
      </c>
    </row>
    <row r="5307" spans="1:6">
      <c r="A5307" s="211" t="s">
        <v>8419</v>
      </c>
      <c r="B5307" s="211">
        <v>534</v>
      </c>
      <c r="C5307" s="211" t="s">
        <v>10385</v>
      </c>
      <c r="D5307" s="211" t="s">
        <v>1255</v>
      </c>
      <c r="E5307" s="211" t="s">
        <v>10385</v>
      </c>
      <c r="F5307" s="211" t="s">
        <v>7171</v>
      </c>
    </row>
    <row r="5308" spans="1:6">
      <c r="A5308" s="211" t="s">
        <v>9876</v>
      </c>
      <c r="B5308" s="211">
        <v>8320</v>
      </c>
      <c r="C5308" s="211">
        <v>993</v>
      </c>
      <c r="D5308" s="211" t="s">
        <v>1255</v>
      </c>
      <c r="E5308" s="211" t="s">
        <v>9877</v>
      </c>
      <c r="F5308" s="211" t="s">
        <v>9222</v>
      </c>
    </row>
    <row r="5309" spans="1:6">
      <c r="A5309" s="211" t="s">
        <v>9878</v>
      </c>
      <c r="B5309" s="211">
        <v>8401</v>
      </c>
      <c r="C5309" s="211">
        <v>1224</v>
      </c>
      <c r="D5309" s="211" t="s">
        <v>1255</v>
      </c>
      <c r="E5309" s="211" t="s">
        <v>9879</v>
      </c>
      <c r="F5309" s="211" t="s">
        <v>9213</v>
      </c>
    </row>
    <row r="5310" spans="1:6">
      <c r="A5310" s="211" t="s">
        <v>47</v>
      </c>
      <c r="B5310" s="211">
        <v>4475</v>
      </c>
      <c r="C5310" s="211">
        <v>1292</v>
      </c>
      <c r="D5310" s="211" t="s">
        <v>1255</v>
      </c>
      <c r="E5310" s="211" t="s">
        <v>10385</v>
      </c>
      <c r="F5310" s="211" t="s">
        <v>7382</v>
      </c>
    </row>
    <row r="5311" spans="1:6">
      <c r="A5311" s="211" t="s">
        <v>48</v>
      </c>
      <c r="B5311" s="211">
        <v>2331</v>
      </c>
      <c r="C5311" s="211">
        <v>2038</v>
      </c>
      <c r="D5311" s="211" t="s">
        <v>1117</v>
      </c>
      <c r="E5311" s="211" t="s">
        <v>10385</v>
      </c>
      <c r="F5311" s="211" t="s">
        <v>7262</v>
      </c>
    </row>
    <row r="5312" spans="1:6">
      <c r="A5312" s="211" t="s">
        <v>8420</v>
      </c>
      <c r="B5312" s="211">
        <v>3292</v>
      </c>
      <c r="C5312" s="211" t="s">
        <v>10385</v>
      </c>
      <c r="D5312" s="211" t="s">
        <v>1255</v>
      </c>
      <c r="E5312" s="211" t="s">
        <v>10385</v>
      </c>
      <c r="F5312" s="211" t="s">
        <v>8146</v>
      </c>
    </row>
    <row r="5313" spans="1:6">
      <c r="A5313" s="211" t="s">
        <v>49</v>
      </c>
      <c r="B5313" s="211">
        <v>3991</v>
      </c>
      <c r="C5313" s="211">
        <v>1042</v>
      </c>
      <c r="D5313" s="211" t="s">
        <v>1255</v>
      </c>
      <c r="E5313" s="211" t="s">
        <v>10385</v>
      </c>
      <c r="F5313" s="211" t="s">
        <v>7235</v>
      </c>
    </row>
    <row r="5314" spans="1:6">
      <c r="A5314" s="211" t="s">
        <v>9880</v>
      </c>
      <c r="B5314" s="211">
        <v>8534</v>
      </c>
      <c r="C5314" s="211">
        <v>815</v>
      </c>
      <c r="D5314" s="211" t="s">
        <v>1255</v>
      </c>
      <c r="E5314" s="211" t="s">
        <v>9881</v>
      </c>
      <c r="F5314" s="211" t="s">
        <v>7255</v>
      </c>
    </row>
    <row r="5315" spans="1:6">
      <c r="A5315" s="211" t="s">
        <v>2929</v>
      </c>
      <c r="B5315" s="211">
        <v>2588</v>
      </c>
      <c r="C5315" s="211">
        <v>972</v>
      </c>
      <c r="D5315" s="211" t="s">
        <v>1255</v>
      </c>
      <c r="E5315" s="211" t="s">
        <v>10385</v>
      </c>
      <c r="F5315" s="211" t="s">
        <v>7446</v>
      </c>
    </row>
    <row r="5316" spans="1:6">
      <c r="A5316" s="211" t="s">
        <v>50</v>
      </c>
      <c r="B5316" s="211">
        <v>5086</v>
      </c>
      <c r="C5316" s="211">
        <v>1267</v>
      </c>
      <c r="D5316" s="211" t="s">
        <v>1255</v>
      </c>
      <c r="E5316" s="211" t="s">
        <v>10385</v>
      </c>
      <c r="F5316" s="211" t="s">
        <v>7457</v>
      </c>
    </row>
    <row r="5317" spans="1:6">
      <c r="A5317" s="211" t="s">
        <v>6976</v>
      </c>
      <c r="B5317" s="211">
        <v>7656</v>
      </c>
      <c r="C5317" s="211">
        <v>1149</v>
      </c>
      <c r="D5317" s="211" t="s">
        <v>1255</v>
      </c>
      <c r="E5317" s="211" t="s">
        <v>10385</v>
      </c>
      <c r="F5317" s="211" t="s">
        <v>7418</v>
      </c>
    </row>
    <row r="5318" spans="1:6">
      <c r="A5318" s="211" t="s">
        <v>8421</v>
      </c>
      <c r="B5318" s="211">
        <v>1644</v>
      </c>
      <c r="C5318" s="211" t="s">
        <v>10385</v>
      </c>
      <c r="D5318" s="211" t="s">
        <v>1255</v>
      </c>
      <c r="E5318" s="211" t="s">
        <v>10385</v>
      </c>
      <c r="F5318" s="211" t="s">
        <v>7189</v>
      </c>
    </row>
    <row r="5319" spans="1:6">
      <c r="A5319" s="211" t="s">
        <v>51</v>
      </c>
      <c r="B5319" s="211">
        <v>5194</v>
      </c>
      <c r="C5319" s="211">
        <v>1134</v>
      </c>
      <c r="D5319" s="211" t="s">
        <v>1255</v>
      </c>
      <c r="E5319" s="211" t="s">
        <v>10385</v>
      </c>
      <c r="F5319" s="211" t="s">
        <v>7189</v>
      </c>
    </row>
    <row r="5320" spans="1:6">
      <c r="A5320" s="211" t="s">
        <v>52</v>
      </c>
      <c r="B5320" s="211">
        <v>4917</v>
      </c>
      <c r="C5320" s="211">
        <v>1015</v>
      </c>
      <c r="D5320" s="211" t="s">
        <v>1255</v>
      </c>
      <c r="E5320" s="211" t="s">
        <v>10385</v>
      </c>
      <c r="F5320" s="211" t="s">
        <v>7162</v>
      </c>
    </row>
    <row r="5321" spans="1:6">
      <c r="A5321" s="211" t="s">
        <v>8422</v>
      </c>
      <c r="B5321" s="211">
        <v>123</v>
      </c>
      <c r="C5321" s="211" t="s">
        <v>10385</v>
      </c>
      <c r="D5321" s="211" t="s">
        <v>1255</v>
      </c>
      <c r="E5321" s="211" t="s">
        <v>10385</v>
      </c>
      <c r="F5321" s="211" t="s">
        <v>7483</v>
      </c>
    </row>
    <row r="5322" spans="1:6">
      <c r="A5322" s="211" t="s">
        <v>8422</v>
      </c>
      <c r="B5322" s="211">
        <v>127</v>
      </c>
      <c r="C5322" s="211" t="s">
        <v>10385</v>
      </c>
      <c r="D5322" s="211" t="s">
        <v>1255</v>
      </c>
      <c r="E5322" s="211" t="s">
        <v>10385</v>
      </c>
      <c r="F5322" s="211" t="s">
        <v>7343</v>
      </c>
    </row>
    <row r="5323" spans="1:6">
      <c r="A5323" s="211" t="s">
        <v>8422</v>
      </c>
      <c r="B5323" s="211">
        <v>175</v>
      </c>
      <c r="C5323" s="211" t="s">
        <v>10385</v>
      </c>
      <c r="D5323" s="211" t="s">
        <v>1255</v>
      </c>
      <c r="E5323" s="211" t="s">
        <v>10385</v>
      </c>
      <c r="F5323" s="211" t="s">
        <v>7261</v>
      </c>
    </row>
    <row r="5324" spans="1:6">
      <c r="A5324" s="211" t="s">
        <v>8422</v>
      </c>
      <c r="B5324" s="211">
        <v>238</v>
      </c>
      <c r="C5324" s="211" t="s">
        <v>10385</v>
      </c>
      <c r="D5324" s="211" t="s">
        <v>1255</v>
      </c>
      <c r="E5324" s="211" t="s">
        <v>10385</v>
      </c>
      <c r="F5324" s="211" t="s">
        <v>7199</v>
      </c>
    </row>
    <row r="5325" spans="1:6">
      <c r="A5325" s="211" t="s">
        <v>8422</v>
      </c>
      <c r="B5325" s="211">
        <v>393</v>
      </c>
      <c r="C5325" s="211" t="s">
        <v>10385</v>
      </c>
      <c r="D5325" s="211" t="s">
        <v>1255</v>
      </c>
      <c r="E5325" s="211" t="s">
        <v>10385</v>
      </c>
      <c r="F5325" s="211" t="s">
        <v>7326</v>
      </c>
    </row>
    <row r="5326" spans="1:6">
      <c r="A5326" s="211" t="s">
        <v>8422</v>
      </c>
      <c r="B5326" s="211">
        <v>411</v>
      </c>
      <c r="C5326" s="211" t="s">
        <v>10385</v>
      </c>
      <c r="D5326" s="211" t="s">
        <v>1255</v>
      </c>
      <c r="E5326" s="211" t="s">
        <v>10385</v>
      </c>
      <c r="F5326" s="211" t="s">
        <v>7219</v>
      </c>
    </row>
    <row r="5327" spans="1:6">
      <c r="A5327" s="211" t="s">
        <v>8422</v>
      </c>
      <c r="B5327" s="211">
        <v>422</v>
      </c>
      <c r="C5327" s="211" t="s">
        <v>10385</v>
      </c>
      <c r="D5327" s="211" t="s">
        <v>1255</v>
      </c>
      <c r="E5327" s="211" t="s">
        <v>10385</v>
      </c>
      <c r="F5327" s="211" t="s">
        <v>7356</v>
      </c>
    </row>
    <row r="5328" spans="1:6">
      <c r="A5328" s="211" t="s">
        <v>8422</v>
      </c>
      <c r="B5328" s="211">
        <v>424</v>
      </c>
      <c r="C5328" s="211" t="s">
        <v>10385</v>
      </c>
      <c r="D5328" s="211" t="s">
        <v>1255</v>
      </c>
      <c r="E5328" s="211" t="s">
        <v>10385</v>
      </c>
      <c r="F5328" s="211" t="s">
        <v>7171</v>
      </c>
    </row>
    <row r="5329" spans="1:6">
      <c r="A5329" s="211" t="s">
        <v>8422</v>
      </c>
      <c r="B5329" s="211">
        <v>444</v>
      </c>
      <c r="C5329" s="211" t="s">
        <v>10385</v>
      </c>
      <c r="D5329" s="211" t="s">
        <v>1255</v>
      </c>
      <c r="E5329" s="211" t="s">
        <v>10385</v>
      </c>
      <c r="F5329" s="211" t="s">
        <v>7342</v>
      </c>
    </row>
    <row r="5330" spans="1:6">
      <c r="A5330" s="211" t="s">
        <v>8422</v>
      </c>
      <c r="B5330" s="211">
        <v>449</v>
      </c>
      <c r="C5330" s="211" t="s">
        <v>10385</v>
      </c>
      <c r="D5330" s="211" t="s">
        <v>1255</v>
      </c>
      <c r="E5330" s="211" t="s">
        <v>10385</v>
      </c>
      <c r="F5330" s="211" t="s">
        <v>7226</v>
      </c>
    </row>
    <row r="5331" spans="1:6">
      <c r="A5331" s="211" t="s">
        <v>8422</v>
      </c>
      <c r="B5331" s="211">
        <v>591</v>
      </c>
      <c r="C5331" s="211" t="s">
        <v>10385</v>
      </c>
      <c r="D5331" s="211" t="s">
        <v>1255</v>
      </c>
      <c r="E5331" s="211" t="s">
        <v>10385</v>
      </c>
      <c r="F5331" s="211" t="s">
        <v>7210</v>
      </c>
    </row>
    <row r="5332" spans="1:6">
      <c r="A5332" s="211" t="s">
        <v>8422</v>
      </c>
      <c r="B5332" s="211">
        <v>600</v>
      </c>
      <c r="C5332" s="211" t="s">
        <v>10385</v>
      </c>
      <c r="D5332" s="211" t="s">
        <v>1255</v>
      </c>
      <c r="E5332" s="211" t="s">
        <v>10385</v>
      </c>
      <c r="F5332" s="211" t="s">
        <v>7239</v>
      </c>
    </row>
    <row r="5333" spans="1:6">
      <c r="A5333" s="211" t="s">
        <v>8422</v>
      </c>
      <c r="B5333" s="211">
        <v>632</v>
      </c>
      <c r="C5333" s="211" t="s">
        <v>10385</v>
      </c>
      <c r="D5333" s="211" t="s">
        <v>1255</v>
      </c>
      <c r="E5333" s="211" t="s">
        <v>10385</v>
      </c>
      <c r="F5333" s="211" t="s">
        <v>7677</v>
      </c>
    </row>
    <row r="5334" spans="1:6">
      <c r="A5334" s="211" t="s">
        <v>8422</v>
      </c>
      <c r="B5334" s="211">
        <v>656</v>
      </c>
      <c r="C5334" s="211" t="s">
        <v>10385</v>
      </c>
      <c r="D5334" s="211" t="s">
        <v>1255</v>
      </c>
      <c r="E5334" s="211" t="s">
        <v>10385</v>
      </c>
      <c r="F5334" s="211" t="s">
        <v>7486</v>
      </c>
    </row>
    <row r="5335" spans="1:6">
      <c r="A5335" s="211" t="s">
        <v>8422</v>
      </c>
      <c r="B5335" s="211">
        <v>688</v>
      </c>
      <c r="C5335" s="211" t="s">
        <v>10385</v>
      </c>
      <c r="D5335" s="211" t="s">
        <v>1255</v>
      </c>
      <c r="E5335" s="211" t="s">
        <v>10385</v>
      </c>
      <c r="F5335" s="211" t="s">
        <v>7262</v>
      </c>
    </row>
    <row r="5336" spans="1:6">
      <c r="A5336" s="211" t="s">
        <v>8422</v>
      </c>
      <c r="B5336" s="211">
        <v>694</v>
      </c>
      <c r="C5336" s="211" t="s">
        <v>10385</v>
      </c>
      <c r="D5336" s="211" t="s">
        <v>1255</v>
      </c>
      <c r="E5336" s="211" t="s">
        <v>10385</v>
      </c>
      <c r="F5336" s="211" t="s">
        <v>7510</v>
      </c>
    </row>
    <row r="5337" spans="1:6">
      <c r="A5337" s="211" t="s">
        <v>8422</v>
      </c>
      <c r="B5337" s="211">
        <v>723</v>
      </c>
      <c r="C5337" s="211" t="s">
        <v>10385</v>
      </c>
      <c r="D5337" s="211" t="s">
        <v>1255</v>
      </c>
      <c r="E5337" s="211" t="s">
        <v>10385</v>
      </c>
      <c r="F5337" s="211" t="s">
        <v>7285</v>
      </c>
    </row>
    <row r="5338" spans="1:6">
      <c r="A5338" s="211" t="s">
        <v>8422</v>
      </c>
      <c r="B5338" s="211">
        <v>727</v>
      </c>
      <c r="C5338" s="211" t="s">
        <v>10385</v>
      </c>
      <c r="D5338" s="211" t="s">
        <v>1255</v>
      </c>
      <c r="E5338" s="211" t="s">
        <v>10385</v>
      </c>
      <c r="F5338" s="211" t="s">
        <v>8090</v>
      </c>
    </row>
    <row r="5339" spans="1:6">
      <c r="A5339" s="211" t="s">
        <v>8422</v>
      </c>
      <c r="B5339" s="211">
        <v>752</v>
      </c>
      <c r="C5339" s="211" t="s">
        <v>10385</v>
      </c>
      <c r="D5339" s="211" t="s">
        <v>1255</v>
      </c>
      <c r="E5339" s="211" t="s">
        <v>10385</v>
      </c>
      <c r="F5339" s="211" t="s">
        <v>7318</v>
      </c>
    </row>
    <row r="5340" spans="1:6">
      <c r="A5340" s="211" t="s">
        <v>8422</v>
      </c>
      <c r="B5340" s="211">
        <v>777</v>
      </c>
      <c r="C5340" s="211" t="s">
        <v>10385</v>
      </c>
      <c r="D5340" s="211" t="s">
        <v>1255</v>
      </c>
      <c r="E5340" s="211" t="s">
        <v>10385</v>
      </c>
      <c r="F5340" s="211" t="s">
        <v>7323</v>
      </c>
    </row>
    <row r="5341" spans="1:6">
      <c r="A5341" s="211" t="s">
        <v>8423</v>
      </c>
      <c r="B5341" s="211">
        <v>834</v>
      </c>
      <c r="C5341" s="211" t="s">
        <v>10385</v>
      </c>
      <c r="D5341" s="211" t="s">
        <v>1255</v>
      </c>
      <c r="E5341" s="211" t="s">
        <v>10385</v>
      </c>
      <c r="F5341" s="211" t="s">
        <v>7283</v>
      </c>
    </row>
    <row r="5342" spans="1:6">
      <c r="A5342" s="211" t="s">
        <v>8422</v>
      </c>
      <c r="B5342" s="211">
        <v>880</v>
      </c>
      <c r="C5342" s="211" t="s">
        <v>10385</v>
      </c>
      <c r="D5342" s="211" t="s">
        <v>1255</v>
      </c>
      <c r="E5342" s="211" t="s">
        <v>10385</v>
      </c>
      <c r="F5342" s="211" t="s">
        <v>7204</v>
      </c>
    </row>
    <row r="5343" spans="1:6">
      <c r="A5343" s="211" t="s">
        <v>8422</v>
      </c>
      <c r="B5343" s="211">
        <v>890</v>
      </c>
      <c r="C5343" s="211" t="s">
        <v>10385</v>
      </c>
      <c r="D5343" s="211" t="s">
        <v>1255</v>
      </c>
      <c r="E5343" s="211" t="s">
        <v>10385</v>
      </c>
      <c r="F5343" s="211" t="s">
        <v>7169</v>
      </c>
    </row>
    <row r="5344" spans="1:6">
      <c r="A5344" s="211" t="s">
        <v>8422</v>
      </c>
      <c r="B5344" s="211">
        <v>975</v>
      </c>
      <c r="C5344" s="211" t="s">
        <v>10385</v>
      </c>
      <c r="D5344" s="211" t="s">
        <v>1255</v>
      </c>
      <c r="E5344" s="211" t="s">
        <v>10385</v>
      </c>
      <c r="F5344" s="211" t="s">
        <v>7264</v>
      </c>
    </row>
    <row r="5345" spans="1:6">
      <c r="A5345" s="211" t="s">
        <v>8422</v>
      </c>
      <c r="B5345" s="211">
        <v>978</v>
      </c>
      <c r="C5345" s="211" t="s">
        <v>10385</v>
      </c>
      <c r="D5345" s="211" t="s">
        <v>1255</v>
      </c>
      <c r="E5345" s="211" t="s">
        <v>10385</v>
      </c>
      <c r="F5345" s="211" t="s">
        <v>7717</v>
      </c>
    </row>
    <row r="5346" spans="1:6">
      <c r="A5346" s="211" t="s">
        <v>8422</v>
      </c>
      <c r="B5346" s="211">
        <v>979</v>
      </c>
      <c r="C5346" s="211" t="s">
        <v>10385</v>
      </c>
      <c r="D5346" s="211" t="s">
        <v>1255</v>
      </c>
      <c r="E5346" s="211" t="s">
        <v>10385</v>
      </c>
      <c r="F5346" s="211" t="s">
        <v>7263</v>
      </c>
    </row>
    <row r="5347" spans="1:6">
      <c r="A5347" s="211" t="s">
        <v>8422</v>
      </c>
      <c r="B5347" s="211">
        <v>1019</v>
      </c>
      <c r="C5347" s="211" t="s">
        <v>10385</v>
      </c>
      <c r="D5347" s="211" t="s">
        <v>1255</v>
      </c>
      <c r="E5347" s="211" t="s">
        <v>10385</v>
      </c>
      <c r="F5347" s="211" t="s">
        <v>7233</v>
      </c>
    </row>
    <row r="5348" spans="1:6">
      <c r="A5348" s="211" t="s">
        <v>8422</v>
      </c>
      <c r="B5348" s="211">
        <v>1199</v>
      </c>
      <c r="C5348" s="211" t="s">
        <v>10385</v>
      </c>
      <c r="D5348" s="211" t="s">
        <v>1255</v>
      </c>
      <c r="E5348" s="211" t="s">
        <v>10385</v>
      </c>
      <c r="F5348" s="211" t="s">
        <v>8312</v>
      </c>
    </row>
    <row r="5349" spans="1:6">
      <c r="A5349" s="211" t="s">
        <v>8422</v>
      </c>
      <c r="B5349" s="211">
        <v>1412</v>
      </c>
      <c r="C5349" s="211" t="s">
        <v>10385</v>
      </c>
      <c r="D5349" s="211" t="s">
        <v>1255</v>
      </c>
      <c r="E5349" s="211" t="s">
        <v>10385</v>
      </c>
      <c r="F5349" s="211" t="s">
        <v>7175</v>
      </c>
    </row>
    <row r="5350" spans="1:6">
      <c r="A5350" s="211" t="s">
        <v>8422</v>
      </c>
      <c r="B5350" s="211">
        <v>1438</v>
      </c>
      <c r="C5350" s="211" t="s">
        <v>10385</v>
      </c>
      <c r="D5350" s="211" t="s">
        <v>1255</v>
      </c>
      <c r="E5350" s="211" t="s">
        <v>10385</v>
      </c>
      <c r="F5350" s="211" t="s">
        <v>7216</v>
      </c>
    </row>
    <row r="5351" spans="1:6">
      <c r="A5351" s="211" t="s">
        <v>8424</v>
      </c>
      <c r="B5351" s="211">
        <v>1561</v>
      </c>
      <c r="C5351" s="211" t="s">
        <v>10385</v>
      </c>
      <c r="D5351" s="211" t="s">
        <v>1255</v>
      </c>
      <c r="E5351" s="211" t="s">
        <v>10385</v>
      </c>
      <c r="F5351" s="211" t="s">
        <v>7248</v>
      </c>
    </row>
    <row r="5352" spans="1:6">
      <c r="A5352" s="211" t="s">
        <v>8422</v>
      </c>
      <c r="B5352" s="211">
        <v>1638</v>
      </c>
      <c r="C5352" s="211" t="s">
        <v>10385</v>
      </c>
      <c r="D5352" s="211" t="s">
        <v>1255</v>
      </c>
      <c r="E5352" s="211" t="s">
        <v>10385</v>
      </c>
      <c r="F5352" s="211" t="s">
        <v>7229</v>
      </c>
    </row>
    <row r="5353" spans="1:6">
      <c r="A5353" s="211" t="s">
        <v>8422</v>
      </c>
      <c r="B5353" s="211">
        <v>1723</v>
      </c>
      <c r="C5353" s="211" t="s">
        <v>10385</v>
      </c>
      <c r="D5353" s="211" t="s">
        <v>1255</v>
      </c>
      <c r="E5353" s="211" t="s">
        <v>10385</v>
      </c>
      <c r="F5353" s="211" t="s">
        <v>8058</v>
      </c>
    </row>
    <row r="5354" spans="1:6">
      <c r="A5354" s="211" t="s">
        <v>8422</v>
      </c>
      <c r="B5354" s="211">
        <v>1764</v>
      </c>
      <c r="C5354" s="211" t="s">
        <v>10385</v>
      </c>
      <c r="D5354" s="211" t="s">
        <v>1255</v>
      </c>
      <c r="E5354" s="211" t="s">
        <v>10385</v>
      </c>
      <c r="F5354" s="211" t="s">
        <v>7254</v>
      </c>
    </row>
    <row r="5355" spans="1:6">
      <c r="A5355" s="211" t="s">
        <v>8422</v>
      </c>
      <c r="B5355" s="211">
        <v>1973</v>
      </c>
      <c r="C5355" s="211" t="s">
        <v>10385</v>
      </c>
      <c r="D5355" s="211" t="s">
        <v>1255</v>
      </c>
      <c r="E5355" s="211" t="s">
        <v>10385</v>
      </c>
      <c r="F5355" s="211" t="s">
        <v>7477</v>
      </c>
    </row>
    <row r="5356" spans="1:6">
      <c r="A5356" s="211" t="s">
        <v>8422</v>
      </c>
      <c r="B5356" s="211">
        <v>2411</v>
      </c>
      <c r="C5356" s="211" t="s">
        <v>10385</v>
      </c>
      <c r="D5356" s="211" t="s">
        <v>1255</v>
      </c>
      <c r="E5356" s="211" t="s">
        <v>10385</v>
      </c>
      <c r="F5356" s="211" t="s">
        <v>7965</v>
      </c>
    </row>
    <row r="5357" spans="1:6">
      <c r="A5357" s="211" t="s">
        <v>8422</v>
      </c>
      <c r="B5357" s="211">
        <v>2415</v>
      </c>
      <c r="C5357" s="211" t="s">
        <v>10385</v>
      </c>
      <c r="D5357" s="211" t="s">
        <v>1255</v>
      </c>
      <c r="E5357" s="211" t="s">
        <v>10385</v>
      </c>
      <c r="F5357" s="211" t="s">
        <v>7438</v>
      </c>
    </row>
    <row r="5358" spans="1:6">
      <c r="A5358" s="211" t="s">
        <v>8422</v>
      </c>
      <c r="B5358" s="211">
        <v>2419</v>
      </c>
      <c r="C5358" s="211" t="s">
        <v>10385</v>
      </c>
      <c r="D5358" s="211" t="s">
        <v>1255</v>
      </c>
      <c r="E5358" s="211" t="s">
        <v>10385</v>
      </c>
      <c r="F5358" s="211" t="s">
        <v>7167</v>
      </c>
    </row>
    <row r="5359" spans="1:6">
      <c r="A5359" s="211" t="s">
        <v>8422</v>
      </c>
      <c r="B5359" s="211">
        <v>2608</v>
      </c>
      <c r="C5359" s="211" t="s">
        <v>10385</v>
      </c>
      <c r="D5359" s="211" t="s">
        <v>1255</v>
      </c>
      <c r="E5359" s="211" t="s">
        <v>10385</v>
      </c>
      <c r="F5359" s="211" t="s">
        <v>7208</v>
      </c>
    </row>
    <row r="5360" spans="1:6">
      <c r="A5360" s="211" t="s">
        <v>8422</v>
      </c>
      <c r="B5360" s="211">
        <v>2833</v>
      </c>
      <c r="C5360" s="211" t="s">
        <v>10385</v>
      </c>
      <c r="D5360" s="211" t="s">
        <v>1255</v>
      </c>
      <c r="E5360" s="211" t="s">
        <v>10385</v>
      </c>
      <c r="F5360" s="211" t="s">
        <v>7275</v>
      </c>
    </row>
    <row r="5361" spans="1:6">
      <c r="A5361" s="211" t="s">
        <v>8422</v>
      </c>
      <c r="B5361" s="211">
        <v>2864</v>
      </c>
      <c r="C5361" s="211" t="s">
        <v>10385</v>
      </c>
      <c r="D5361" s="211" t="s">
        <v>1255</v>
      </c>
      <c r="E5361" s="211" t="s">
        <v>10385</v>
      </c>
      <c r="F5361" s="211" t="s">
        <v>7290</v>
      </c>
    </row>
    <row r="5362" spans="1:6">
      <c r="A5362" s="211" t="s">
        <v>8422</v>
      </c>
      <c r="B5362" s="211">
        <v>2927</v>
      </c>
      <c r="C5362" s="211" t="s">
        <v>10385</v>
      </c>
      <c r="D5362" s="211" t="s">
        <v>1255</v>
      </c>
      <c r="E5362" s="211" t="s">
        <v>10385</v>
      </c>
      <c r="F5362" s="211" t="s">
        <v>7629</v>
      </c>
    </row>
    <row r="5363" spans="1:6">
      <c r="A5363" s="211" t="s">
        <v>8422</v>
      </c>
      <c r="B5363" s="211">
        <v>2968</v>
      </c>
      <c r="C5363" s="211" t="s">
        <v>10385</v>
      </c>
      <c r="D5363" s="211" t="s">
        <v>1255</v>
      </c>
      <c r="E5363" s="211" t="s">
        <v>10385</v>
      </c>
      <c r="F5363" s="211" t="s">
        <v>7284</v>
      </c>
    </row>
    <row r="5364" spans="1:6">
      <c r="A5364" s="211" t="s">
        <v>8424</v>
      </c>
      <c r="B5364" s="211">
        <v>3064</v>
      </c>
      <c r="C5364" s="211" t="s">
        <v>10385</v>
      </c>
      <c r="D5364" s="211" t="s">
        <v>1255</v>
      </c>
      <c r="E5364" s="211" t="s">
        <v>10385</v>
      </c>
      <c r="F5364" s="211" t="s">
        <v>7203</v>
      </c>
    </row>
    <row r="5365" spans="1:6">
      <c r="A5365" s="211" t="s">
        <v>8422</v>
      </c>
      <c r="B5365" s="211">
        <v>3085</v>
      </c>
      <c r="C5365" s="211" t="s">
        <v>10385</v>
      </c>
      <c r="D5365" s="211" t="s">
        <v>1117</v>
      </c>
      <c r="E5365" s="211" t="s">
        <v>10385</v>
      </c>
      <c r="F5365" s="211" t="s">
        <v>7192</v>
      </c>
    </row>
    <row r="5366" spans="1:6">
      <c r="A5366" s="211" t="s">
        <v>8422</v>
      </c>
      <c r="B5366" s="211">
        <v>3191</v>
      </c>
      <c r="C5366" s="211" t="s">
        <v>10385</v>
      </c>
      <c r="D5366" s="211" t="s">
        <v>1255</v>
      </c>
      <c r="E5366" s="211" t="s">
        <v>10385</v>
      </c>
      <c r="F5366" s="211" t="s">
        <v>7425</v>
      </c>
    </row>
    <row r="5367" spans="1:6">
      <c r="A5367" s="211" t="s">
        <v>8422</v>
      </c>
      <c r="B5367" s="211">
        <v>3218</v>
      </c>
      <c r="C5367" s="211" t="s">
        <v>10385</v>
      </c>
      <c r="D5367" s="211" t="s">
        <v>1117</v>
      </c>
      <c r="E5367" s="211" t="s">
        <v>10385</v>
      </c>
      <c r="F5367" s="211" t="s">
        <v>7386</v>
      </c>
    </row>
    <row r="5368" spans="1:6">
      <c r="A5368" s="211" t="s">
        <v>8424</v>
      </c>
      <c r="B5368" s="211">
        <v>3307</v>
      </c>
      <c r="C5368" s="211" t="s">
        <v>10385</v>
      </c>
      <c r="D5368" s="211" t="s">
        <v>1255</v>
      </c>
      <c r="E5368" s="211" t="s">
        <v>10385</v>
      </c>
      <c r="F5368" s="211" t="s">
        <v>7366</v>
      </c>
    </row>
    <row r="5369" spans="1:6">
      <c r="A5369" s="211" t="s">
        <v>8424</v>
      </c>
      <c r="B5369" s="211">
        <v>3313</v>
      </c>
      <c r="C5369" s="211" t="s">
        <v>10385</v>
      </c>
      <c r="D5369" s="211" t="s">
        <v>1255</v>
      </c>
      <c r="E5369" s="211" t="s">
        <v>10385</v>
      </c>
      <c r="F5369" s="211" t="s">
        <v>7427</v>
      </c>
    </row>
    <row r="5370" spans="1:6">
      <c r="A5370" s="211" t="s">
        <v>8424</v>
      </c>
      <c r="B5370" s="211">
        <v>3315</v>
      </c>
      <c r="C5370" s="211" t="s">
        <v>10385</v>
      </c>
      <c r="D5370" s="211" t="s">
        <v>1255</v>
      </c>
      <c r="E5370" s="211" t="s">
        <v>10385</v>
      </c>
      <c r="F5370" s="211" t="s">
        <v>7213</v>
      </c>
    </row>
    <row r="5371" spans="1:6">
      <c r="A5371" s="211" t="s">
        <v>8422</v>
      </c>
      <c r="B5371" s="211">
        <v>3363</v>
      </c>
      <c r="C5371" s="211" t="s">
        <v>10385</v>
      </c>
      <c r="D5371" s="211" t="s">
        <v>1255</v>
      </c>
      <c r="E5371" s="211" t="s">
        <v>10385</v>
      </c>
      <c r="F5371" s="211" t="s">
        <v>7256</v>
      </c>
    </row>
    <row r="5372" spans="1:6">
      <c r="A5372" s="211" t="s">
        <v>8422</v>
      </c>
      <c r="B5372" s="211">
        <v>3364</v>
      </c>
      <c r="C5372" s="211" t="s">
        <v>10385</v>
      </c>
      <c r="D5372" s="211" t="s">
        <v>1255</v>
      </c>
      <c r="E5372" s="211" t="s">
        <v>10385</v>
      </c>
      <c r="F5372" s="211" t="s">
        <v>7303</v>
      </c>
    </row>
    <row r="5373" spans="1:6">
      <c r="A5373" s="211" t="s">
        <v>8422</v>
      </c>
      <c r="B5373" s="211">
        <v>3365</v>
      </c>
      <c r="C5373" s="211" t="s">
        <v>10385</v>
      </c>
      <c r="D5373" s="211" t="s">
        <v>1255</v>
      </c>
      <c r="E5373" s="211" t="s">
        <v>10385</v>
      </c>
      <c r="F5373" s="211" t="s">
        <v>7267</v>
      </c>
    </row>
    <row r="5374" spans="1:6">
      <c r="A5374" s="211" t="s">
        <v>8422</v>
      </c>
      <c r="B5374" s="211">
        <v>3366</v>
      </c>
      <c r="C5374" s="211" t="s">
        <v>10385</v>
      </c>
      <c r="D5374" s="211" t="s">
        <v>1255</v>
      </c>
      <c r="E5374" s="211" t="s">
        <v>10385</v>
      </c>
      <c r="F5374" s="211" t="s">
        <v>7365</v>
      </c>
    </row>
    <row r="5375" spans="1:6">
      <c r="A5375" s="211" t="s">
        <v>8422</v>
      </c>
      <c r="B5375" s="211">
        <v>3677</v>
      </c>
      <c r="C5375" s="211" t="s">
        <v>10385</v>
      </c>
      <c r="D5375" s="211" t="s">
        <v>1117</v>
      </c>
      <c r="E5375" s="211" t="s">
        <v>10385</v>
      </c>
      <c r="F5375" s="211" t="s">
        <v>7224</v>
      </c>
    </row>
    <row r="5376" spans="1:6">
      <c r="A5376" s="211" t="s">
        <v>8422</v>
      </c>
      <c r="B5376" s="211">
        <v>3680</v>
      </c>
      <c r="C5376" s="211" t="s">
        <v>10385</v>
      </c>
      <c r="D5376" s="211" t="s">
        <v>1255</v>
      </c>
      <c r="E5376" s="211" t="s">
        <v>10385</v>
      </c>
      <c r="F5376" s="211" t="s">
        <v>7224</v>
      </c>
    </row>
    <row r="5377" spans="1:6">
      <c r="A5377" s="211" t="s">
        <v>8422</v>
      </c>
      <c r="B5377" s="211">
        <v>3818</v>
      </c>
      <c r="C5377" s="211" t="s">
        <v>10385</v>
      </c>
      <c r="D5377" s="211" t="s">
        <v>1255</v>
      </c>
      <c r="E5377" s="211" t="s">
        <v>10385</v>
      </c>
      <c r="F5377" s="211" t="s">
        <v>7320</v>
      </c>
    </row>
    <row r="5378" spans="1:6">
      <c r="A5378" s="211" t="s">
        <v>8422</v>
      </c>
      <c r="B5378" s="211">
        <v>3855</v>
      </c>
      <c r="C5378" s="211" t="s">
        <v>10385</v>
      </c>
      <c r="D5378" s="211" t="s">
        <v>1255</v>
      </c>
      <c r="E5378" s="211" t="s">
        <v>10385</v>
      </c>
      <c r="F5378" s="211" t="s">
        <v>7246</v>
      </c>
    </row>
    <row r="5379" spans="1:6">
      <c r="A5379" s="211" t="s">
        <v>8424</v>
      </c>
      <c r="B5379" s="211">
        <v>3972</v>
      </c>
      <c r="C5379" s="211" t="s">
        <v>10385</v>
      </c>
      <c r="D5379" s="211" t="s">
        <v>1255</v>
      </c>
      <c r="E5379" s="211" t="s">
        <v>10385</v>
      </c>
      <c r="F5379" s="211" t="s">
        <v>7237</v>
      </c>
    </row>
    <row r="5380" spans="1:6">
      <c r="A5380" s="211" t="s">
        <v>8422</v>
      </c>
      <c r="B5380" s="211">
        <v>4063</v>
      </c>
      <c r="C5380" s="211" t="s">
        <v>10385</v>
      </c>
      <c r="D5380" s="211" t="s">
        <v>1255</v>
      </c>
      <c r="E5380" s="211" t="s">
        <v>10385</v>
      </c>
      <c r="F5380" s="211" t="s">
        <v>7581</v>
      </c>
    </row>
    <row r="5381" spans="1:6">
      <c r="A5381" s="211" t="s">
        <v>8422</v>
      </c>
      <c r="B5381" s="211">
        <v>4098</v>
      </c>
      <c r="C5381" s="211" t="s">
        <v>10385</v>
      </c>
      <c r="D5381" s="211" t="s">
        <v>1255</v>
      </c>
      <c r="E5381" s="211" t="s">
        <v>10385</v>
      </c>
      <c r="F5381" s="211" t="s">
        <v>7453</v>
      </c>
    </row>
    <row r="5382" spans="1:6">
      <c r="A5382" s="211" t="s">
        <v>8422</v>
      </c>
      <c r="B5382" s="211">
        <v>4259</v>
      </c>
      <c r="C5382" s="211" t="s">
        <v>10385</v>
      </c>
      <c r="D5382" s="211" t="s">
        <v>1255</v>
      </c>
      <c r="E5382" s="211" t="s">
        <v>10385</v>
      </c>
      <c r="F5382" s="211" t="s">
        <v>7593</v>
      </c>
    </row>
    <row r="5383" spans="1:6">
      <c r="A5383" s="211" t="s">
        <v>8422</v>
      </c>
      <c r="B5383" s="211">
        <v>4378</v>
      </c>
      <c r="C5383" s="211" t="s">
        <v>10385</v>
      </c>
      <c r="D5383" s="211" t="s">
        <v>1255</v>
      </c>
      <c r="E5383" s="211" t="s">
        <v>10385</v>
      </c>
      <c r="F5383" s="211" t="s">
        <v>7369</v>
      </c>
    </row>
    <row r="5384" spans="1:6">
      <c r="A5384" s="211" t="s">
        <v>8422</v>
      </c>
      <c r="B5384" s="211">
        <v>4440</v>
      </c>
      <c r="C5384" s="211" t="s">
        <v>10385</v>
      </c>
      <c r="D5384" s="211" t="s">
        <v>1255</v>
      </c>
      <c r="E5384" s="211" t="s">
        <v>10385</v>
      </c>
      <c r="F5384" s="211" t="s">
        <v>7333</v>
      </c>
    </row>
    <row r="5385" spans="1:6">
      <c r="A5385" s="211" t="s">
        <v>8425</v>
      </c>
      <c r="B5385" s="211">
        <v>4885</v>
      </c>
      <c r="C5385" s="211" t="s">
        <v>10385</v>
      </c>
      <c r="D5385" s="211" t="s">
        <v>1255</v>
      </c>
      <c r="E5385" s="211" t="s">
        <v>10385</v>
      </c>
      <c r="F5385" s="211" t="s">
        <v>7615</v>
      </c>
    </row>
    <row r="5386" spans="1:6">
      <c r="A5386" s="211" t="s">
        <v>8422</v>
      </c>
      <c r="B5386" s="211">
        <v>5345</v>
      </c>
      <c r="C5386" s="211" t="s">
        <v>10385</v>
      </c>
      <c r="D5386" s="211" t="s">
        <v>1255</v>
      </c>
      <c r="E5386" s="211" t="s">
        <v>10385</v>
      </c>
      <c r="F5386" s="211" t="s">
        <v>7479</v>
      </c>
    </row>
    <row r="5387" spans="1:6">
      <c r="A5387" s="211" t="s">
        <v>8424</v>
      </c>
      <c r="B5387" s="211">
        <v>6060</v>
      </c>
      <c r="C5387" s="211" t="s">
        <v>10385</v>
      </c>
      <c r="D5387" s="211" t="s">
        <v>1255</v>
      </c>
      <c r="E5387" s="211" t="s">
        <v>10385</v>
      </c>
      <c r="F5387" s="211" t="s">
        <v>7322</v>
      </c>
    </row>
    <row r="5388" spans="1:6">
      <c r="A5388" s="211" t="s">
        <v>53</v>
      </c>
      <c r="B5388" s="211">
        <v>4916</v>
      </c>
      <c r="C5388" s="211">
        <v>1021</v>
      </c>
      <c r="D5388" s="211" t="s">
        <v>1255</v>
      </c>
      <c r="E5388" s="211" t="s">
        <v>10385</v>
      </c>
      <c r="F5388" s="211" t="s">
        <v>7162</v>
      </c>
    </row>
    <row r="5389" spans="1:6">
      <c r="A5389" s="211" t="s">
        <v>8968</v>
      </c>
      <c r="B5389" s="211">
        <v>5534</v>
      </c>
      <c r="C5389" s="211" t="s">
        <v>10385</v>
      </c>
      <c r="D5389" s="211" t="s">
        <v>1117</v>
      </c>
      <c r="E5389" s="211" t="s">
        <v>10385</v>
      </c>
      <c r="F5389" s="211" t="s">
        <v>7398</v>
      </c>
    </row>
    <row r="5390" spans="1:6">
      <c r="A5390" s="211" t="s">
        <v>8969</v>
      </c>
      <c r="B5390" s="211">
        <v>4040</v>
      </c>
      <c r="C5390" s="211" t="s">
        <v>10385</v>
      </c>
      <c r="D5390" s="211" t="s">
        <v>1255</v>
      </c>
      <c r="E5390" s="211" t="s">
        <v>10385</v>
      </c>
      <c r="F5390" s="211" t="s">
        <v>7243</v>
      </c>
    </row>
    <row r="5391" spans="1:6">
      <c r="A5391" s="211" t="s">
        <v>8970</v>
      </c>
      <c r="B5391" s="211">
        <v>5007</v>
      </c>
      <c r="C5391" s="211" t="s">
        <v>10385</v>
      </c>
      <c r="D5391" s="211" t="s">
        <v>1117</v>
      </c>
      <c r="E5391" s="211" t="s">
        <v>10385</v>
      </c>
      <c r="F5391" s="211" t="s">
        <v>7223</v>
      </c>
    </row>
    <row r="5392" spans="1:6">
      <c r="A5392" s="211" t="s">
        <v>8971</v>
      </c>
      <c r="B5392" s="211">
        <v>2255</v>
      </c>
      <c r="C5392" s="211" t="s">
        <v>10385</v>
      </c>
      <c r="D5392" s="211" t="s">
        <v>1255</v>
      </c>
      <c r="E5392" s="211" t="s">
        <v>10385</v>
      </c>
      <c r="F5392" s="211" t="s">
        <v>7657</v>
      </c>
    </row>
    <row r="5393" spans="1:6">
      <c r="A5393" s="211" t="s">
        <v>8972</v>
      </c>
      <c r="B5393" s="211">
        <v>4658</v>
      </c>
      <c r="C5393" s="211" t="s">
        <v>10385</v>
      </c>
      <c r="D5393" s="211" t="s">
        <v>1255</v>
      </c>
      <c r="E5393" s="211" t="s">
        <v>10385</v>
      </c>
      <c r="F5393" s="211" t="s">
        <v>7221</v>
      </c>
    </row>
    <row r="5394" spans="1:6">
      <c r="A5394" s="211" t="s">
        <v>8973</v>
      </c>
      <c r="B5394" s="211">
        <v>5025</v>
      </c>
      <c r="C5394" s="211" t="s">
        <v>10385</v>
      </c>
      <c r="D5394" s="211" t="s">
        <v>1255</v>
      </c>
      <c r="E5394" s="211" t="s">
        <v>10385</v>
      </c>
      <c r="F5394" s="211" t="s">
        <v>7205</v>
      </c>
    </row>
    <row r="5395" spans="1:6">
      <c r="A5395" s="211" t="s">
        <v>8974</v>
      </c>
      <c r="B5395" s="211">
        <v>2639</v>
      </c>
      <c r="C5395" s="211" t="s">
        <v>10385</v>
      </c>
      <c r="D5395" s="211" t="s">
        <v>1255</v>
      </c>
      <c r="E5395" s="211" t="s">
        <v>10385</v>
      </c>
      <c r="F5395" s="211" t="s">
        <v>7322</v>
      </c>
    </row>
    <row r="5396" spans="1:6">
      <c r="A5396" s="211" t="s">
        <v>8975</v>
      </c>
      <c r="B5396" s="211">
        <v>5327</v>
      </c>
      <c r="C5396" s="211" t="s">
        <v>10385</v>
      </c>
      <c r="D5396" s="211" t="s">
        <v>1117</v>
      </c>
      <c r="E5396" s="211" t="s">
        <v>10385</v>
      </c>
      <c r="F5396" s="211" t="s">
        <v>7402</v>
      </c>
    </row>
    <row r="5397" spans="1:6">
      <c r="A5397" s="211" t="s">
        <v>8976</v>
      </c>
      <c r="B5397" s="211">
        <v>4981</v>
      </c>
      <c r="C5397" s="211" t="s">
        <v>10385</v>
      </c>
      <c r="D5397" s="211" t="s">
        <v>1255</v>
      </c>
      <c r="E5397" s="211" t="s">
        <v>10385</v>
      </c>
      <c r="F5397" s="211" t="s">
        <v>7469</v>
      </c>
    </row>
    <row r="5398" spans="1:6">
      <c r="A5398" s="211" t="s">
        <v>8426</v>
      </c>
      <c r="B5398" s="211">
        <v>509</v>
      </c>
      <c r="C5398" s="211" t="s">
        <v>10385</v>
      </c>
      <c r="D5398" s="211" t="s">
        <v>1255</v>
      </c>
      <c r="E5398" s="211" t="s">
        <v>10385</v>
      </c>
      <c r="F5398" s="211" t="s">
        <v>7337</v>
      </c>
    </row>
    <row r="5399" spans="1:6">
      <c r="A5399" s="211" t="s">
        <v>54</v>
      </c>
      <c r="B5399" s="211">
        <v>5473</v>
      </c>
      <c r="C5399" s="211">
        <v>1538</v>
      </c>
      <c r="D5399" s="211" t="s">
        <v>1255</v>
      </c>
      <c r="E5399" s="211" t="s">
        <v>10385</v>
      </c>
      <c r="F5399" s="211" t="s">
        <v>7212</v>
      </c>
    </row>
    <row r="5400" spans="1:6">
      <c r="A5400" s="211" t="s">
        <v>2942</v>
      </c>
      <c r="B5400" s="211">
        <v>220</v>
      </c>
      <c r="C5400" s="211">
        <v>1855</v>
      </c>
      <c r="D5400" s="211" t="s">
        <v>1255</v>
      </c>
      <c r="E5400" s="211" t="s">
        <v>9882</v>
      </c>
      <c r="F5400" s="211" t="s">
        <v>7199</v>
      </c>
    </row>
    <row r="5401" spans="1:6">
      <c r="A5401" s="211" t="s">
        <v>55</v>
      </c>
      <c r="B5401" s="211">
        <v>3882</v>
      </c>
      <c r="C5401" s="211">
        <v>826</v>
      </c>
      <c r="D5401" s="211" t="s">
        <v>1255</v>
      </c>
      <c r="E5401" s="211" t="s">
        <v>10385</v>
      </c>
      <c r="F5401" s="211" t="s">
        <v>7427</v>
      </c>
    </row>
    <row r="5402" spans="1:6">
      <c r="A5402" s="211" t="s">
        <v>8427</v>
      </c>
      <c r="B5402" s="211">
        <v>4250</v>
      </c>
      <c r="C5402" s="211" t="s">
        <v>10385</v>
      </c>
      <c r="D5402" s="211" t="s">
        <v>1255</v>
      </c>
      <c r="E5402" s="211" t="s">
        <v>10385</v>
      </c>
      <c r="F5402" s="211" t="s">
        <v>7365</v>
      </c>
    </row>
    <row r="5403" spans="1:6">
      <c r="A5403" s="211" t="s">
        <v>56</v>
      </c>
      <c r="B5403" s="211">
        <v>5153</v>
      </c>
      <c r="C5403" s="211">
        <v>1197</v>
      </c>
      <c r="D5403" s="211" t="s">
        <v>1255</v>
      </c>
      <c r="E5403" s="211" t="s">
        <v>10385</v>
      </c>
      <c r="F5403" s="211" t="s">
        <v>7200</v>
      </c>
    </row>
    <row r="5404" spans="1:6">
      <c r="A5404" s="211" t="s">
        <v>57</v>
      </c>
      <c r="B5404" s="211">
        <v>4957</v>
      </c>
      <c r="C5404" s="211">
        <v>1805</v>
      </c>
      <c r="D5404" s="211" t="s">
        <v>1255</v>
      </c>
      <c r="E5404" s="211" t="s">
        <v>9883</v>
      </c>
      <c r="F5404" s="211" t="s">
        <v>7247</v>
      </c>
    </row>
    <row r="5405" spans="1:6">
      <c r="A5405" s="211" t="s">
        <v>8428</v>
      </c>
      <c r="B5405" s="211">
        <v>1094</v>
      </c>
      <c r="C5405" s="211" t="s">
        <v>10385</v>
      </c>
      <c r="D5405" s="211" t="s">
        <v>1255</v>
      </c>
      <c r="E5405" s="211" t="s">
        <v>10385</v>
      </c>
      <c r="F5405" s="211" t="s">
        <v>7788</v>
      </c>
    </row>
    <row r="5406" spans="1:6">
      <c r="A5406" s="211" t="s">
        <v>58</v>
      </c>
      <c r="B5406" s="211">
        <v>5240</v>
      </c>
      <c r="C5406" s="211">
        <v>1423</v>
      </c>
      <c r="D5406" s="211" t="s">
        <v>1255</v>
      </c>
      <c r="E5406" s="211" t="s">
        <v>10385</v>
      </c>
      <c r="F5406" s="211" t="s">
        <v>7263</v>
      </c>
    </row>
    <row r="5407" spans="1:6">
      <c r="A5407" s="211" t="s">
        <v>59</v>
      </c>
      <c r="B5407" s="211">
        <v>5245</v>
      </c>
      <c r="C5407" s="211">
        <v>978</v>
      </c>
      <c r="D5407" s="211" t="s">
        <v>1255</v>
      </c>
      <c r="E5407" s="211" t="s">
        <v>10385</v>
      </c>
      <c r="F5407" s="211" t="s">
        <v>7430</v>
      </c>
    </row>
    <row r="5408" spans="1:6">
      <c r="A5408" s="211" t="s">
        <v>6082</v>
      </c>
      <c r="B5408" s="211">
        <v>7350</v>
      </c>
      <c r="C5408" s="211">
        <v>2047</v>
      </c>
      <c r="D5408" s="211" t="s">
        <v>1255</v>
      </c>
      <c r="E5408" s="211" t="s">
        <v>6977</v>
      </c>
      <c r="F5408" s="211" t="s">
        <v>7411</v>
      </c>
    </row>
    <row r="5409" spans="1:6">
      <c r="A5409" s="211" t="s">
        <v>8429</v>
      </c>
      <c r="B5409" s="211">
        <v>2061</v>
      </c>
      <c r="C5409" s="211" t="s">
        <v>10385</v>
      </c>
      <c r="D5409" s="211" t="s">
        <v>1255</v>
      </c>
      <c r="E5409" s="211" t="s">
        <v>10385</v>
      </c>
      <c r="F5409" s="211" t="s">
        <v>7386</v>
      </c>
    </row>
    <row r="5410" spans="1:6">
      <c r="A5410" s="211" t="s">
        <v>60</v>
      </c>
      <c r="B5410" s="211">
        <v>358</v>
      </c>
      <c r="C5410" s="211">
        <v>718</v>
      </c>
      <c r="D5410" s="211" t="s">
        <v>1255</v>
      </c>
      <c r="E5410" s="211" t="s">
        <v>10385</v>
      </c>
      <c r="F5410" s="211" t="s">
        <v>7261</v>
      </c>
    </row>
    <row r="5411" spans="1:6">
      <c r="A5411" s="211" t="s">
        <v>61</v>
      </c>
      <c r="B5411" s="211">
        <v>3971</v>
      </c>
      <c r="C5411" s="211">
        <v>851</v>
      </c>
      <c r="D5411" s="211" t="s">
        <v>1255</v>
      </c>
      <c r="E5411" s="211" t="s">
        <v>10385</v>
      </c>
      <c r="F5411" s="211" t="s">
        <v>7237</v>
      </c>
    </row>
    <row r="5412" spans="1:6">
      <c r="A5412" s="211" t="s">
        <v>62</v>
      </c>
      <c r="B5412" s="211">
        <v>5829</v>
      </c>
      <c r="C5412" s="211">
        <v>815</v>
      </c>
      <c r="D5412" s="211" t="s">
        <v>1255</v>
      </c>
      <c r="E5412" s="211" t="s">
        <v>10385</v>
      </c>
      <c r="F5412" s="211" t="s">
        <v>7331</v>
      </c>
    </row>
    <row r="5413" spans="1:6">
      <c r="A5413" s="211" t="s">
        <v>8430</v>
      </c>
      <c r="B5413" s="211">
        <v>5184</v>
      </c>
      <c r="C5413" s="211" t="s">
        <v>10385</v>
      </c>
      <c r="D5413" s="211" t="s">
        <v>1117</v>
      </c>
      <c r="E5413" s="211" t="s">
        <v>10385</v>
      </c>
      <c r="F5413" s="211" t="s">
        <v>7331</v>
      </c>
    </row>
    <row r="5414" spans="1:6">
      <c r="A5414" s="211" t="s">
        <v>63</v>
      </c>
      <c r="B5414" s="211">
        <v>4491</v>
      </c>
      <c r="C5414" s="211">
        <v>1191</v>
      </c>
      <c r="D5414" s="211" t="s">
        <v>1255</v>
      </c>
      <c r="E5414" s="211" t="s">
        <v>10385</v>
      </c>
      <c r="F5414" s="211" t="s">
        <v>7453</v>
      </c>
    </row>
    <row r="5415" spans="1:6">
      <c r="A5415" s="211" t="s">
        <v>5166</v>
      </c>
      <c r="B5415" s="211">
        <v>6823</v>
      </c>
      <c r="C5415" s="211">
        <v>1016</v>
      </c>
      <c r="D5415" s="211" t="s">
        <v>1255</v>
      </c>
      <c r="E5415" s="211" t="s">
        <v>10385</v>
      </c>
      <c r="F5415" s="211" t="s">
        <v>7402</v>
      </c>
    </row>
    <row r="5416" spans="1:6">
      <c r="A5416" s="211" t="s">
        <v>5167</v>
      </c>
      <c r="B5416" s="211">
        <v>6912</v>
      </c>
      <c r="C5416" s="211">
        <v>971</v>
      </c>
      <c r="D5416" s="211" t="s">
        <v>1255</v>
      </c>
      <c r="E5416" s="211" t="s">
        <v>10385</v>
      </c>
      <c r="F5416" s="211" t="s">
        <v>7376</v>
      </c>
    </row>
    <row r="5417" spans="1:6">
      <c r="A5417" s="211" t="s">
        <v>3000</v>
      </c>
      <c r="B5417" s="211">
        <v>677</v>
      </c>
      <c r="C5417" s="211">
        <v>1634</v>
      </c>
      <c r="D5417" s="211" t="s">
        <v>1255</v>
      </c>
      <c r="E5417" s="211" t="s">
        <v>9884</v>
      </c>
      <c r="F5417" s="211" t="s">
        <v>7199</v>
      </c>
    </row>
    <row r="5418" spans="1:6">
      <c r="A5418" s="211" t="s">
        <v>64</v>
      </c>
      <c r="B5418" s="211">
        <v>266</v>
      </c>
      <c r="C5418" s="211">
        <v>1725</v>
      </c>
      <c r="D5418" s="211" t="s">
        <v>1255</v>
      </c>
      <c r="E5418" s="211" t="s">
        <v>10385</v>
      </c>
      <c r="F5418" s="211" t="s">
        <v>7242</v>
      </c>
    </row>
    <row r="5419" spans="1:6">
      <c r="A5419" s="211" t="s">
        <v>8977</v>
      </c>
      <c r="B5419" s="211">
        <v>634</v>
      </c>
      <c r="C5419" s="211">
        <v>900</v>
      </c>
      <c r="D5419" s="211" t="s">
        <v>1117</v>
      </c>
      <c r="E5419" s="211" t="s">
        <v>10385</v>
      </c>
      <c r="F5419" s="211" t="s">
        <v>7425</v>
      </c>
    </row>
    <row r="5420" spans="1:6">
      <c r="A5420" s="211" t="s">
        <v>8978</v>
      </c>
      <c r="B5420" s="211">
        <v>6663</v>
      </c>
      <c r="C5420" s="211">
        <v>900</v>
      </c>
      <c r="D5420" s="211" t="s">
        <v>1117</v>
      </c>
      <c r="E5420" s="211" t="s">
        <v>10385</v>
      </c>
      <c r="F5420" s="211" t="s">
        <v>7357</v>
      </c>
    </row>
    <row r="5421" spans="1:6">
      <c r="A5421" s="211" t="s">
        <v>65</v>
      </c>
      <c r="B5421" s="211">
        <v>3249</v>
      </c>
      <c r="C5421" s="211">
        <v>1501</v>
      </c>
      <c r="D5421" s="211" t="s">
        <v>1255</v>
      </c>
      <c r="E5421" s="211" t="s">
        <v>10385</v>
      </c>
      <c r="F5421" s="211" t="s">
        <v>7210</v>
      </c>
    </row>
    <row r="5422" spans="1:6">
      <c r="A5422" s="211" t="s">
        <v>8431</v>
      </c>
      <c r="B5422" s="211">
        <v>1111</v>
      </c>
      <c r="C5422" s="211" t="s">
        <v>10385</v>
      </c>
      <c r="D5422" s="211" t="s">
        <v>1255</v>
      </c>
      <c r="E5422" s="211" t="s">
        <v>10385</v>
      </c>
      <c r="F5422" s="211" t="s">
        <v>7239</v>
      </c>
    </row>
    <row r="5423" spans="1:6">
      <c r="A5423" s="211" t="s">
        <v>66</v>
      </c>
      <c r="B5423" s="211">
        <v>2044</v>
      </c>
      <c r="C5423" s="211">
        <v>896</v>
      </c>
      <c r="D5423" s="211" t="s">
        <v>1255</v>
      </c>
      <c r="E5423" s="211" t="s">
        <v>10385</v>
      </c>
      <c r="F5423" s="211" t="s">
        <v>7703</v>
      </c>
    </row>
    <row r="5424" spans="1:6">
      <c r="A5424" s="211" t="s">
        <v>67</v>
      </c>
      <c r="B5424" s="211">
        <v>1645</v>
      </c>
      <c r="C5424" s="211">
        <v>1791</v>
      </c>
      <c r="D5424" s="211" t="s">
        <v>1255</v>
      </c>
      <c r="E5424" s="211" t="s">
        <v>10385</v>
      </c>
      <c r="F5424" s="211" t="s">
        <v>7189</v>
      </c>
    </row>
    <row r="5425" spans="1:6">
      <c r="A5425" s="211" t="s">
        <v>4567</v>
      </c>
      <c r="B5425" s="211">
        <v>6463</v>
      </c>
      <c r="C5425" s="211">
        <v>1323</v>
      </c>
      <c r="D5425" s="211" t="s">
        <v>1255</v>
      </c>
      <c r="E5425" s="211" t="s">
        <v>6083</v>
      </c>
      <c r="F5425" s="211" t="s">
        <v>7199</v>
      </c>
    </row>
    <row r="5426" spans="1:6">
      <c r="A5426" s="211" t="s">
        <v>68</v>
      </c>
      <c r="B5426" s="211">
        <v>4472</v>
      </c>
      <c r="C5426" s="211">
        <v>617</v>
      </c>
      <c r="D5426" s="211" t="s">
        <v>1255</v>
      </c>
      <c r="E5426" s="211" t="s">
        <v>69</v>
      </c>
      <c r="F5426" s="211" t="s">
        <v>7425</v>
      </c>
    </row>
    <row r="5427" spans="1:6">
      <c r="A5427" s="211" t="s">
        <v>4814</v>
      </c>
      <c r="B5427" s="211">
        <v>6131</v>
      </c>
      <c r="C5427" s="211">
        <v>667</v>
      </c>
      <c r="D5427" s="211" t="s">
        <v>1117</v>
      </c>
      <c r="E5427" s="211" t="s">
        <v>10385</v>
      </c>
      <c r="F5427" s="211" t="s">
        <v>7267</v>
      </c>
    </row>
    <row r="5428" spans="1:6">
      <c r="A5428" s="211" t="s">
        <v>70</v>
      </c>
      <c r="B5428" s="211">
        <v>1861</v>
      </c>
      <c r="C5428" s="211">
        <v>680</v>
      </c>
      <c r="D5428" s="211" t="s">
        <v>1255</v>
      </c>
      <c r="E5428" s="211" t="s">
        <v>10385</v>
      </c>
      <c r="F5428" s="211" t="s">
        <v>7323</v>
      </c>
    </row>
    <row r="5429" spans="1:6">
      <c r="A5429" s="211" t="s">
        <v>9885</v>
      </c>
      <c r="B5429" s="211">
        <v>8456</v>
      </c>
      <c r="C5429" s="211" t="s">
        <v>10385</v>
      </c>
      <c r="D5429" s="211" t="s">
        <v>1255</v>
      </c>
      <c r="E5429" s="211" t="s">
        <v>9886</v>
      </c>
      <c r="F5429" s="211" t="s">
        <v>7425</v>
      </c>
    </row>
    <row r="5430" spans="1:6">
      <c r="A5430" s="211" t="s">
        <v>6978</v>
      </c>
      <c r="B5430" s="211">
        <v>7759</v>
      </c>
      <c r="C5430" s="211">
        <v>800</v>
      </c>
      <c r="D5430" s="211" t="s">
        <v>1255</v>
      </c>
      <c r="E5430" s="211" t="s">
        <v>6979</v>
      </c>
      <c r="F5430" s="211" t="s">
        <v>7217</v>
      </c>
    </row>
    <row r="5431" spans="1:6">
      <c r="A5431" s="211" t="s">
        <v>10846</v>
      </c>
      <c r="B5431" s="211">
        <v>8743</v>
      </c>
      <c r="C5431" s="211">
        <v>900</v>
      </c>
      <c r="D5431" s="211" t="s">
        <v>1117</v>
      </c>
      <c r="E5431" s="211" t="s">
        <v>10847</v>
      </c>
      <c r="F5431" s="211" t="s">
        <v>7438</v>
      </c>
    </row>
    <row r="5432" spans="1:6">
      <c r="A5432" s="211" t="s">
        <v>5339</v>
      </c>
      <c r="B5432" s="211">
        <v>6712</v>
      </c>
      <c r="C5432" s="211">
        <v>1042</v>
      </c>
      <c r="D5432" s="211" t="s">
        <v>1255</v>
      </c>
      <c r="E5432" s="211" t="s">
        <v>10385</v>
      </c>
      <c r="F5432" s="211" t="s">
        <v>8066</v>
      </c>
    </row>
    <row r="5433" spans="1:6">
      <c r="A5433" s="211" t="s">
        <v>8432</v>
      </c>
      <c r="B5433" s="211">
        <v>195</v>
      </c>
      <c r="C5433" s="211" t="s">
        <v>10385</v>
      </c>
      <c r="D5433" s="211" t="s">
        <v>1255</v>
      </c>
      <c r="E5433" s="211" t="s">
        <v>10385</v>
      </c>
      <c r="F5433" s="211" t="s">
        <v>7173</v>
      </c>
    </row>
    <row r="5434" spans="1:6">
      <c r="A5434" s="211" t="s">
        <v>71</v>
      </c>
      <c r="B5434" s="211">
        <v>3368</v>
      </c>
      <c r="C5434" s="211">
        <v>1741</v>
      </c>
      <c r="D5434" s="211" t="s">
        <v>1255</v>
      </c>
      <c r="E5434" s="211" t="s">
        <v>10385</v>
      </c>
      <c r="F5434" s="211" t="s">
        <v>7162</v>
      </c>
    </row>
    <row r="5435" spans="1:6">
      <c r="A5435" s="211" t="s">
        <v>72</v>
      </c>
      <c r="B5435" s="211">
        <v>5861</v>
      </c>
      <c r="C5435" s="211">
        <v>1611</v>
      </c>
      <c r="D5435" s="211" t="s">
        <v>1255</v>
      </c>
      <c r="E5435" s="211" t="s">
        <v>10385</v>
      </c>
      <c r="F5435" s="211" t="s">
        <v>7310</v>
      </c>
    </row>
    <row r="5436" spans="1:6">
      <c r="A5436" s="211" t="s">
        <v>73</v>
      </c>
      <c r="B5436" s="211">
        <v>5022</v>
      </c>
      <c r="C5436" s="211">
        <v>1428</v>
      </c>
      <c r="D5436" s="211" t="s">
        <v>1255</v>
      </c>
      <c r="E5436" s="211" t="s">
        <v>10385</v>
      </c>
      <c r="F5436" s="211" t="s">
        <v>7205</v>
      </c>
    </row>
    <row r="5437" spans="1:6">
      <c r="A5437" s="211" t="s">
        <v>74</v>
      </c>
      <c r="B5437" s="211">
        <v>1862</v>
      </c>
      <c r="C5437" s="211">
        <v>1033</v>
      </c>
      <c r="D5437" s="211" t="s">
        <v>1255</v>
      </c>
      <c r="E5437" s="211" t="s">
        <v>10385</v>
      </c>
      <c r="F5437" s="211" t="s">
        <v>7213</v>
      </c>
    </row>
    <row r="5438" spans="1:6">
      <c r="A5438" s="211" t="s">
        <v>75</v>
      </c>
      <c r="B5438" s="211">
        <v>3475</v>
      </c>
      <c r="C5438" s="211">
        <v>1155</v>
      </c>
      <c r="D5438" s="211" t="s">
        <v>1255</v>
      </c>
      <c r="E5438" s="211" t="s">
        <v>10385</v>
      </c>
      <c r="F5438" s="211" t="s">
        <v>7316</v>
      </c>
    </row>
    <row r="5439" spans="1:6">
      <c r="A5439" s="211" t="s">
        <v>9887</v>
      </c>
      <c r="B5439" s="211">
        <v>7892</v>
      </c>
      <c r="C5439" s="211">
        <v>1327</v>
      </c>
      <c r="D5439" s="211" t="s">
        <v>1255</v>
      </c>
      <c r="E5439" s="211" t="s">
        <v>9888</v>
      </c>
      <c r="F5439" s="211" t="s">
        <v>7224</v>
      </c>
    </row>
    <row r="5440" spans="1:6">
      <c r="A5440" s="211" t="s">
        <v>6084</v>
      </c>
      <c r="B5440" s="211">
        <v>7174</v>
      </c>
      <c r="C5440" s="211">
        <v>1494</v>
      </c>
      <c r="D5440" s="211" t="s">
        <v>1255</v>
      </c>
      <c r="E5440" s="211" t="s">
        <v>9889</v>
      </c>
      <c r="F5440" s="211" t="s">
        <v>7384</v>
      </c>
    </row>
    <row r="5441" spans="1:6">
      <c r="A5441" s="211" t="s">
        <v>4762</v>
      </c>
      <c r="B5441" s="211">
        <v>6199</v>
      </c>
      <c r="C5441" s="211">
        <v>1142</v>
      </c>
      <c r="D5441" s="211" t="s">
        <v>1255</v>
      </c>
      <c r="E5441" s="211" t="s">
        <v>10385</v>
      </c>
      <c r="F5441" s="211" t="s">
        <v>7282</v>
      </c>
    </row>
    <row r="5442" spans="1:6">
      <c r="A5442" s="211" t="s">
        <v>76</v>
      </c>
      <c r="B5442" s="211">
        <v>2989</v>
      </c>
      <c r="C5442" s="211">
        <v>866</v>
      </c>
      <c r="D5442" s="211" t="s">
        <v>1255</v>
      </c>
      <c r="E5442" s="211" t="s">
        <v>10385</v>
      </c>
      <c r="F5442" s="211" t="s">
        <v>7286</v>
      </c>
    </row>
    <row r="5443" spans="1:6">
      <c r="A5443" s="211" t="s">
        <v>6085</v>
      </c>
      <c r="B5443" s="211">
        <v>7152</v>
      </c>
      <c r="C5443" s="211">
        <v>1711</v>
      </c>
      <c r="D5443" s="211" t="s">
        <v>1255</v>
      </c>
      <c r="E5443" s="211" t="s">
        <v>6086</v>
      </c>
      <c r="F5443" s="211" t="s">
        <v>7173</v>
      </c>
    </row>
    <row r="5444" spans="1:6">
      <c r="A5444" s="211" t="s">
        <v>8433</v>
      </c>
      <c r="B5444" s="211">
        <v>251</v>
      </c>
      <c r="C5444" s="211" t="s">
        <v>10385</v>
      </c>
      <c r="D5444" s="211" t="s">
        <v>1255</v>
      </c>
      <c r="E5444" s="211" t="s">
        <v>10385</v>
      </c>
      <c r="F5444" s="211" t="s">
        <v>7196</v>
      </c>
    </row>
    <row r="5445" spans="1:6">
      <c r="A5445" s="211" t="s">
        <v>6087</v>
      </c>
      <c r="B5445" s="211">
        <v>7517</v>
      </c>
      <c r="C5445" s="211">
        <v>1175</v>
      </c>
      <c r="D5445" s="211" t="s">
        <v>1255</v>
      </c>
      <c r="E5445" s="211" t="s">
        <v>6980</v>
      </c>
      <c r="F5445" s="211" t="s">
        <v>7223</v>
      </c>
    </row>
    <row r="5446" spans="1:6">
      <c r="A5446" s="211" t="s">
        <v>77</v>
      </c>
      <c r="B5446" s="211">
        <v>4042</v>
      </c>
      <c r="C5446" s="211">
        <v>897</v>
      </c>
      <c r="D5446" s="211" t="s">
        <v>1117</v>
      </c>
      <c r="E5446" s="211" t="s">
        <v>10385</v>
      </c>
      <c r="F5446" s="211" t="s">
        <v>7189</v>
      </c>
    </row>
    <row r="5447" spans="1:6">
      <c r="A5447" s="211" t="s">
        <v>6981</v>
      </c>
      <c r="B5447" s="211">
        <v>7707</v>
      </c>
      <c r="C5447" s="211">
        <v>921</v>
      </c>
      <c r="D5447" s="211" t="s">
        <v>1255</v>
      </c>
      <c r="E5447" s="211" t="s">
        <v>10385</v>
      </c>
      <c r="F5447" s="211" t="s">
        <v>7268</v>
      </c>
    </row>
    <row r="5448" spans="1:6">
      <c r="A5448" s="211" t="s">
        <v>78</v>
      </c>
      <c r="B5448" s="211">
        <v>3873</v>
      </c>
      <c r="C5448" s="211">
        <v>1296</v>
      </c>
      <c r="D5448" s="211" t="s">
        <v>1255</v>
      </c>
      <c r="E5448" s="211" t="s">
        <v>10385</v>
      </c>
      <c r="F5448" s="211" t="s">
        <v>7705</v>
      </c>
    </row>
    <row r="5449" spans="1:6">
      <c r="A5449" s="211" t="s">
        <v>79</v>
      </c>
      <c r="B5449" s="211">
        <v>1892</v>
      </c>
      <c r="C5449" s="211">
        <v>793</v>
      </c>
      <c r="D5449" s="211" t="s">
        <v>1255</v>
      </c>
      <c r="E5449" s="211" t="s">
        <v>10385</v>
      </c>
      <c r="F5449" s="211" t="s">
        <v>7438</v>
      </c>
    </row>
    <row r="5450" spans="1:6">
      <c r="A5450" s="211" t="s">
        <v>80</v>
      </c>
      <c r="B5450" s="211">
        <v>2489</v>
      </c>
      <c r="C5450" s="211">
        <v>840</v>
      </c>
      <c r="D5450" s="211" t="s">
        <v>1255</v>
      </c>
      <c r="E5450" s="211" t="s">
        <v>10385</v>
      </c>
      <c r="F5450" s="211" t="s">
        <v>7355</v>
      </c>
    </row>
    <row r="5451" spans="1:6">
      <c r="A5451" s="211" t="s">
        <v>81</v>
      </c>
      <c r="B5451" s="211">
        <v>3318</v>
      </c>
      <c r="C5451" s="211">
        <v>1124</v>
      </c>
      <c r="D5451" s="211" t="s">
        <v>1255</v>
      </c>
      <c r="E5451" s="211" t="s">
        <v>10385</v>
      </c>
      <c r="F5451" s="211" t="s">
        <v>7195</v>
      </c>
    </row>
    <row r="5452" spans="1:6">
      <c r="A5452" s="211" t="s">
        <v>82</v>
      </c>
      <c r="B5452" s="211">
        <v>2433</v>
      </c>
      <c r="C5452" s="211">
        <v>1116</v>
      </c>
      <c r="D5452" s="211" t="s">
        <v>1255</v>
      </c>
      <c r="E5452" s="211" t="s">
        <v>10385</v>
      </c>
      <c r="F5452" s="211" t="s">
        <v>7788</v>
      </c>
    </row>
    <row r="5453" spans="1:6">
      <c r="A5453" s="211" t="s">
        <v>83</v>
      </c>
      <c r="B5453" s="211">
        <v>4285</v>
      </c>
      <c r="C5453" s="211">
        <v>1380</v>
      </c>
      <c r="D5453" s="211" t="s">
        <v>1255</v>
      </c>
      <c r="E5453" s="211" t="s">
        <v>10385</v>
      </c>
      <c r="F5453" s="211" t="s">
        <v>7217</v>
      </c>
    </row>
    <row r="5454" spans="1:6">
      <c r="A5454" s="211" t="s">
        <v>8434</v>
      </c>
      <c r="B5454" s="211">
        <v>1677</v>
      </c>
      <c r="C5454" s="211" t="s">
        <v>10385</v>
      </c>
      <c r="D5454" s="211" t="s">
        <v>1255</v>
      </c>
      <c r="E5454" s="211" t="s">
        <v>10385</v>
      </c>
      <c r="F5454" s="211" t="s">
        <v>7265</v>
      </c>
    </row>
    <row r="5455" spans="1:6">
      <c r="A5455" s="211" t="s">
        <v>6088</v>
      </c>
      <c r="B5455" s="211">
        <v>7612</v>
      </c>
      <c r="C5455" s="211">
        <v>1818</v>
      </c>
      <c r="D5455" s="211" t="s">
        <v>1117</v>
      </c>
      <c r="E5455" s="211" t="s">
        <v>6089</v>
      </c>
      <c r="F5455" s="211" t="s">
        <v>7282</v>
      </c>
    </row>
    <row r="5456" spans="1:6">
      <c r="A5456" s="211" t="s">
        <v>8435</v>
      </c>
      <c r="B5456" s="211">
        <v>428</v>
      </c>
      <c r="C5456" s="211" t="s">
        <v>10385</v>
      </c>
      <c r="D5456" s="211" t="s">
        <v>1255</v>
      </c>
      <c r="E5456" s="211" t="s">
        <v>10385</v>
      </c>
      <c r="F5456" s="211" t="s">
        <v>7269</v>
      </c>
    </row>
    <row r="5457" spans="1:6">
      <c r="A5457" s="211" t="s">
        <v>8436</v>
      </c>
      <c r="B5457" s="211">
        <v>2619</v>
      </c>
      <c r="C5457" s="211" t="s">
        <v>10385</v>
      </c>
      <c r="D5457" s="211" t="s">
        <v>1255</v>
      </c>
      <c r="E5457" s="211" t="s">
        <v>10385</v>
      </c>
      <c r="F5457" s="211" t="s">
        <v>7160</v>
      </c>
    </row>
    <row r="5458" spans="1:6">
      <c r="A5458" s="211" t="s">
        <v>84</v>
      </c>
      <c r="B5458" s="211">
        <v>2251</v>
      </c>
      <c r="C5458" s="211">
        <v>1533</v>
      </c>
      <c r="D5458" s="211" t="s">
        <v>1255</v>
      </c>
      <c r="E5458" s="211" t="s">
        <v>10385</v>
      </c>
      <c r="F5458" s="211" t="s">
        <v>7160</v>
      </c>
    </row>
    <row r="5459" spans="1:6">
      <c r="A5459" s="211" t="s">
        <v>6982</v>
      </c>
      <c r="B5459" s="211">
        <v>7725</v>
      </c>
      <c r="C5459" s="211">
        <v>774</v>
      </c>
      <c r="D5459" s="211" t="s">
        <v>1117</v>
      </c>
      <c r="E5459" s="211" t="s">
        <v>6983</v>
      </c>
      <c r="F5459" s="211" t="s">
        <v>7532</v>
      </c>
    </row>
    <row r="5460" spans="1:6">
      <c r="A5460" s="211" t="s">
        <v>5168</v>
      </c>
      <c r="B5460" s="211">
        <v>6815</v>
      </c>
      <c r="C5460" s="211">
        <v>1202</v>
      </c>
      <c r="D5460" s="211" t="s">
        <v>1255</v>
      </c>
      <c r="E5460" s="211" t="s">
        <v>6984</v>
      </c>
      <c r="F5460" s="211" t="s">
        <v>7490</v>
      </c>
    </row>
    <row r="5461" spans="1:6">
      <c r="A5461" s="211" t="s">
        <v>9890</v>
      </c>
      <c r="B5461" s="211">
        <v>8524</v>
      </c>
      <c r="C5461" s="211">
        <v>1000</v>
      </c>
      <c r="D5461" s="211" t="s">
        <v>1255</v>
      </c>
      <c r="E5461" s="211" t="s">
        <v>9891</v>
      </c>
      <c r="F5461" s="211" t="s">
        <v>7299</v>
      </c>
    </row>
    <row r="5462" spans="1:6">
      <c r="A5462" s="211" t="s">
        <v>85</v>
      </c>
      <c r="B5462" s="211">
        <v>2141</v>
      </c>
      <c r="C5462" s="211">
        <v>1014</v>
      </c>
      <c r="D5462" s="211" t="s">
        <v>1255</v>
      </c>
      <c r="E5462" s="211" t="s">
        <v>10385</v>
      </c>
      <c r="F5462" s="211" t="s">
        <v>7199</v>
      </c>
    </row>
    <row r="5463" spans="1:6">
      <c r="A5463" s="211" t="s">
        <v>6090</v>
      </c>
      <c r="B5463" s="211">
        <v>7140</v>
      </c>
      <c r="C5463" s="211">
        <v>900</v>
      </c>
      <c r="D5463" s="211" t="s">
        <v>1255</v>
      </c>
      <c r="E5463" s="211" t="s">
        <v>6091</v>
      </c>
      <c r="F5463" s="211" t="s">
        <v>7213</v>
      </c>
    </row>
    <row r="5464" spans="1:6">
      <c r="A5464" s="211" t="s">
        <v>9892</v>
      </c>
      <c r="B5464" s="211">
        <v>8310</v>
      </c>
      <c r="C5464" s="211">
        <v>2290</v>
      </c>
      <c r="D5464" s="211" t="s">
        <v>1255</v>
      </c>
      <c r="E5464" s="211" t="s">
        <v>9893</v>
      </c>
      <c r="F5464" s="211" t="s">
        <v>7247</v>
      </c>
    </row>
    <row r="5465" spans="1:6">
      <c r="A5465" s="211" t="s">
        <v>6985</v>
      </c>
      <c r="B5465" s="211">
        <v>7847</v>
      </c>
      <c r="C5465" s="211">
        <v>686</v>
      </c>
      <c r="D5465" s="211" t="s">
        <v>1255</v>
      </c>
      <c r="E5465" s="211" t="s">
        <v>10385</v>
      </c>
      <c r="F5465" s="211" t="s">
        <v>7327</v>
      </c>
    </row>
    <row r="5466" spans="1:6">
      <c r="A5466" s="211" t="s">
        <v>86</v>
      </c>
      <c r="B5466" s="211">
        <v>1523</v>
      </c>
      <c r="C5466" s="211">
        <v>2044</v>
      </c>
      <c r="D5466" s="211" t="s">
        <v>1255</v>
      </c>
      <c r="E5466" s="211" t="s">
        <v>10385</v>
      </c>
      <c r="F5466" s="211" t="s">
        <v>7267</v>
      </c>
    </row>
    <row r="5467" spans="1:6">
      <c r="A5467" s="211" t="s">
        <v>87</v>
      </c>
      <c r="B5467" s="211">
        <v>4184</v>
      </c>
      <c r="C5467" s="211">
        <v>1035</v>
      </c>
      <c r="D5467" s="211" t="s">
        <v>1255</v>
      </c>
      <c r="E5467" s="211" t="s">
        <v>10385</v>
      </c>
      <c r="F5467" s="211" t="s">
        <v>7223</v>
      </c>
    </row>
    <row r="5468" spans="1:6">
      <c r="A5468" s="211" t="s">
        <v>8437</v>
      </c>
      <c r="B5468" s="211">
        <v>4843</v>
      </c>
      <c r="C5468" s="211" t="s">
        <v>10385</v>
      </c>
      <c r="D5468" s="211" t="s">
        <v>1255</v>
      </c>
      <c r="E5468" s="211" t="s">
        <v>10385</v>
      </c>
      <c r="F5468" s="211" t="s">
        <v>7282</v>
      </c>
    </row>
    <row r="5469" spans="1:6">
      <c r="A5469" s="211" t="s">
        <v>8438</v>
      </c>
      <c r="B5469" s="211">
        <v>5119</v>
      </c>
      <c r="C5469" s="211" t="s">
        <v>10385</v>
      </c>
      <c r="D5469" s="211" t="s">
        <v>1255</v>
      </c>
      <c r="E5469" s="211" t="s">
        <v>10385</v>
      </c>
      <c r="F5469" s="211" t="s">
        <v>7225</v>
      </c>
    </row>
    <row r="5470" spans="1:6">
      <c r="A5470" s="211" t="s">
        <v>88</v>
      </c>
      <c r="B5470" s="211">
        <v>4420</v>
      </c>
      <c r="C5470" s="211">
        <v>1319</v>
      </c>
      <c r="D5470" s="211" t="s">
        <v>1255</v>
      </c>
      <c r="E5470" s="211" t="s">
        <v>10385</v>
      </c>
      <c r="F5470" s="211" t="s">
        <v>7225</v>
      </c>
    </row>
    <row r="5471" spans="1:6">
      <c r="A5471" s="211" t="s">
        <v>89</v>
      </c>
      <c r="B5471" s="211">
        <v>1728</v>
      </c>
      <c r="C5471" s="211">
        <v>1063</v>
      </c>
      <c r="D5471" s="211" t="s">
        <v>1255</v>
      </c>
      <c r="E5471" s="211" t="s">
        <v>10385</v>
      </c>
      <c r="F5471" s="211" t="s">
        <v>7459</v>
      </c>
    </row>
    <row r="5472" spans="1:6">
      <c r="A5472" s="211" t="s">
        <v>90</v>
      </c>
      <c r="B5472" s="211">
        <v>3160</v>
      </c>
      <c r="C5472" s="211">
        <v>1300</v>
      </c>
      <c r="D5472" s="211" t="s">
        <v>1255</v>
      </c>
      <c r="E5472" s="211" t="s">
        <v>10385</v>
      </c>
      <c r="F5472" s="211" t="s">
        <v>7267</v>
      </c>
    </row>
    <row r="5473" spans="1:6">
      <c r="A5473" s="211" t="s">
        <v>10368</v>
      </c>
      <c r="B5473" s="211">
        <v>1228</v>
      </c>
      <c r="C5473" s="211" t="s">
        <v>10385</v>
      </c>
      <c r="D5473" s="211" t="s">
        <v>1255</v>
      </c>
      <c r="E5473" s="211" t="s">
        <v>10385</v>
      </c>
      <c r="F5473" s="211" t="s">
        <v>7231</v>
      </c>
    </row>
    <row r="5474" spans="1:6">
      <c r="A5474" s="211" t="s">
        <v>91</v>
      </c>
      <c r="B5474" s="211">
        <v>2062</v>
      </c>
      <c r="C5474" s="211">
        <v>1151</v>
      </c>
      <c r="D5474" s="211" t="s">
        <v>1255</v>
      </c>
      <c r="E5474" s="211" t="s">
        <v>10385</v>
      </c>
      <c r="F5474" s="211" t="s">
        <v>7249</v>
      </c>
    </row>
    <row r="5475" spans="1:6">
      <c r="A5475" s="211" t="s">
        <v>6092</v>
      </c>
      <c r="B5475" s="211">
        <v>7565</v>
      </c>
      <c r="C5475" s="211">
        <v>1094</v>
      </c>
      <c r="D5475" s="211" t="s">
        <v>1255</v>
      </c>
      <c r="E5475" s="211" t="s">
        <v>10385</v>
      </c>
      <c r="F5475" s="211" t="s">
        <v>7283</v>
      </c>
    </row>
    <row r="5476" spans="1:6">
      <c r="A5476" s="211" t="s">
        <v>92</v>
      </c>
      <c r="B5476" s="211">
        <v>841</v>
      </c>
      <c r="C5476" s="211">
        <v>1496</v>
      </c>
      <c r="D5476" s="211" t="s">
        <v>1255</v>
      </c>
      <c r="E5476" s="211" t="s">
        <v>10385</v>
      </c>
      <c r="F5476" s="211" t="s">
        <v>7242</v>
      </c>
    </row>
    <row r="5477" spans="1:6">
      <c r="A5477" s="211" t="s">
        <v>2859</v>
      </c>
      <c r="B5477" s="211">
        <v>3206</v>
      </c>
      <c r="C5477" s="211">
        <v>1197</v>
      </c>
      <c r="D5477" s="211" t="s">
        <v>1255</v>
      </c>
      <c r="E5477" s="211" t="s">
        <v>10385</v>
      </c>
      <c r="F5477" s="211" t="s">
        <v>7386</v>
      </c>
    </row>
    <row r="5478" spans="1:6">
      <c r="A5478" s="211" t="s">
        <v>8439</v>
      </c>
      <c r="B5478" s="211">
        <v>4876</v>
      </c>
      <c r="C5478" s="211" t="s">
        <v>10385</v>
      </c>
      <c r="D5478" s="211" t="s">
        <v>1255</v>
      </c>
      <c r="E5478" s="211" t="s">
        <v>10385</v>
      </c>
      <c r="F5478" s="211" t="s">
        <v>7240</v>
      </c>
    </row>
    <row r="5479" spans="1:6">
      <c r="A5479" s="211" t="s">
        <v>93</v>
      </c>
      <c r="B5479" s="211">
        <v>5897</v>
      </c>
      <c r="C5479" s="211">
        <v>836</v>
      </c>
      <c r="D5479" s="211" t="s">
        <v>1255</v>
      </c>
      <c r="E5479" s="211" t="s">
        <v>10385</v>
      </c>
      <c r="F5479" s="211" t="s">
        <v>7508</v>
      </c>
    </row>
    <row r="5480" spans="1:6">
      <c r="A5480" s="211" t="s">
        <v>9894</v>
      </c>
      <c r="B5480" s="211">
        <v>8227</v>
      </c>
      <c r="C5480" s="211">
        <v>1984</v>
      </c>
      <c r="D5480" s="211" t="s">
        <v>1255</v>
      </c>
      <c r="E5480" s="211" t="s">
        <v>10385</v>
      </c>
      <c r="F5480" s="211" t="s">
        <v>7263</v>
      </c>
    </row>
    <row r="5481" spans="1:6">
      <c r="A5481" s="211" t="s">
        <v>94</v>
      </c>
      <c r="B5481" s="211">
        <v>5612</v>
      </c>
      <c r="C5481" s="211">
        <v>1360</v>
      </c>
      <c r="D5481" s="211" t="s">
        <v>1255</v>
      </c>
      <c r="E5481" s="211" t="s">
        <v>10385</v>
      </c>
      <c r="F5481" s="211" t="s">
        <v>9044</v>
      </c>
    </row>
    <row r="5482" spans="1:6">
      <c r="A5482" s="211" t="s">
        <v>95</v>
      </c>
      <c r="B5482" s="211">
        <v>3559</v>
      </c>
      <c r="C5482" s="211">
        <v>1179</v>
      </c>
      <c r="D5482" s="211" t="s">
        <v>1255</v>
      </c>
      <c r="E5482" s="211" t="s">
        <v>10385</v>
      </c>
      <c r="F5482" s="211" t="s">
        <v>7173</v>
      </c>
    </row>
    <row r="5483" spans="1:6">
      <c r="A5483" s="211" t="s">
        <v>10848</v>
      </c>
      <c r="B5483" s="211">
        <v>8851</v>
      </c>
      <c r="C5483" s="211">
        <v>987</v>
      </c>
      <c r="D5483" s="211" t="s">
        <v>1117</v>
      </c>
      <c r="E5483" s="211" t="s">
        <v>10849</v>
      </c>
      <c r="F5483" s="211" t="s">
        <v>9048</v>
      </c>
    </row>
    <row r="5484" spans="1:6">
      <c r="A5484" s="211" t="s">
        <v>10850</v>
      </c>
      <c r="B5484" s="211">
        <v>8813</v>
      </c>
      <c r="C5484" s="211">
        <v>735</v>
      </c>
      <c r="D5484" s="211" t="s">
        <v>1255</v>
      </c>
      <c r="E5484" s="211" t="s">
        <v>10851</v>
      </c>
      <c r="F5484" s="211" t="s">
        <v>7524</v>
      </c>
    </row>
    <row r="5485" spans="1:6">
      <c r="A5485" s="211" t="s">
        <v>8440</v>
      </c>
      <c r="B5485" s="211">
        <v>48</v>
      </c>
      <c r="C5485" s="211" t="s">
        <v>10385</v>
      </c>
      <c r="D5485" s="211" t="s">
        <v>1255</v>
      </c>
      <c r="E5485" s="211" t="s">
        <v>10385</v>
      </c>
      <c r="F5485" s="211" t="s">
        <v>7243</v>
      </c>
    </row>
    <row r="5486" spans="1:6">
      <c r="A5486" s="211" t="s">
        <v>96</v>
      </c>
      <c r="B5486" s="211">
        <v>4747</v>
      </c>
      <c r="C5486" s="211">
        <v>1018</v>
      </c>
      <c r="D5486" s="211" t="s">
        <v>1255</v>
      </c>
      <c r="E5486" s="211" t="s">
        <v>10385</v>
      </c>
      <c r="F5486" s="211" t="s">
        <v>7587</v>
      </c>
    </row>
    <row r="5487" spans="1:6">
      <c r="A5487" s="211" t="s">
        <v>6986</v>
      </c>
      <c r="B5487" s="211">
        <v>7703</v>
      </c>
      <c r="C5487" s="211">
        <v>782</v>
      </c>
      <c r="D5487" s="211" t="s">
        <v>1255</v>
      </c>
      <c r="E5487" s="211" t="s">
        <v>6987</v>
      </c>
      <c r="F5487" s="211" t="s">
        <v>7288</v>
      </c>
    </row>
    <row r="5488" spans="1:6">
      <c r="A5488" s="211" t="s">
        <v>97</v>
      </c>
      <c r="B5488" s="211">
        <v>2711</v>
      </c>
      <c r="C5488" s="211">
        <v>1787</v>
      </c>
      <c r="D5488" s="211" t="s">
        <v>1255</v>
      </c>
      <c r="E5488" s="211" t="s">
        <v>10385</v>
      </c>
      <c r="F5488" s="211" t="s">
        <v>7365</v>
      </c>
    </row>
    <row r="5489" spans="1:6">
      <c r="A5489" s="211" t="s">
        <v>8441</v>
      </c>
      <c r="B5489" s="211">
        <v>81</v>
      </c>
      <c r="C5489" s="211" t="s">
        <v>10385</v>
      </c>
      <c r="D5489" s="211" t="s">
        <v>1255</v>
      </c>
      <c r="E5489" s="211" t="s">
        <v>10385</v>
      </c>
      <c r="F5489" s="211" t="s">
        <v>7221</v>
      </c>
    </row>
    <row r="5490" spans="1:6">
      <c r="A5490" s="211" t="s">
        <v>6093</v>
      </c>
      <c r="B5490" s="211">
        <v>7578</v>
      </c>
      <c r="C5490" s="211">
        <v>1227</v>
      </c>
      <c r="D5490" s="211" t="s">
        <v>1255</v>
      </c>
      <c r="E5490" s="211" t="s">
        <v>10385</v>
      </c>
      <c r="F5490" s="211" t="s">
        <v>7837</v>
      </c>
    </row>
    <row r="5491" spans="1:6">
      <c r="A5491" s="211" t="s">
        <v>8442</v>
      </c>
      <c r="B5491" s="211">
        <v>625</v>
      </c>
      <c r="C5491" s="211" t="s">
        <v>10385</v>
      </c>
      <c r="D5491" s="211" t="s">
        <v>1255</v>
      </c>
      <c r="E5491" s="211" t="s">
        <v>10385</v>
      </c>
      <c r="F5491" s="211" t="s">
        <v>8052</v>
      </c>
    </row>
    <row r="5492" spans="1:6">
      <c r="A5492" s="211" t="s">
        <v>8443</v>
      </c>
      <c r="B5492" s="211">
        <v>2049</v>
      </c>
      <c r="C5492" s="211" t="s">
        <v>10385</v>
      </c>
      <c r="D5492" s="211" t="s">
        <v>1255</v>
      </c>
      <c r="E5492" s="211" t="s">
        <v>10385</v>
      </c>
      <c r="F5492" s="211" t="s">
        <v>7327</v>
      </c>
    </row>
    <row r="5493" spans="1:6">
      <c r="A5493" s="211" t="s">
        <v>6094</v>
      </c>
      <c r="B5493" s="211">
        <v>7377</v>
      </c>
      <c r="C5493" s="211">
        <v>865</v>
      </c>
      <c r="D5493" s="211" t="s">
        <v>1255</v>
      </c>
      <c r="E5493" s="211" t="s">
        <v>10385</v>
      </c>
      <c r="F5493" s="211" t="s">
        <v>7556</v>
      </c>
    </row>
    <row r="5494" spans="1:6">
      <c r="A5494" s="211" t="s">
        <v>98</v>
      </c>
      <c r="B5494" s="211">
        <v>5239</v>
      </c>
      <c r="C5494" s="211">
        <v>968</v>
      </c>
      <c r="D5494" s="211" t="s">
        <v>1255</v>
      </c>
      <c r="E5494" s="211" t="s">
        <v>10385</v>
      </c>
      <c r="F5494" s="211" t="s">
        <v>7760</v>
      </c>
    </row>
    <row r="5495" spans="1:6">
      <c r="A5495" s="211" t="s">
        <v>99</v>
      </c>
      <c r="B5495" s="211">
        <v>4967</v>
      </c>
      <c r="C5495" s="211">
        <v>1948</v>
      </c>
      <c r="D5495" s="211" t="s">
        <v>1255</v>
      </c>
      <c r="E5495" s="211" t="s">
        <v>10385</v>
      </c>
      <c r="F5495" s="211" t="s">
        <v>7197</v>
      </c>
    </row>
    <row r="5496" spans="1:6">
      <c r="A5496" s="211" t="s">
        <v>100</v>
      </c>
      <c r="B5496" s="211">
        <v>5654</v>
      </c>
      <c r="C5496" s="211">
        <v>719</v>
      </c>
      <c r="D5496" s="211" t="s">
        <v>1117</v>
      </c>
      <c r="E5496" s="211" t="s">
        <v>10385</v>
      </c>
      <c r="F5496" s="211" t="s">
        <v>7186</v>
      </c>
    </row>
    <row r="5497" spans="1:6">
      <c r="A5497" s="211" t="s">
        <v>101</v>
      </c>
      <c r="B5497" s="211">
        <v>1611</v>
      </c>
      <c r="C5497" s="211">
        <v>815</v>
      </c>
      <c r="D5497" s="211" t="s">
        <v>1255</v>
      </c>
      <c r="E5497" s="211" t="s">
        <v>10385</v>
      </c>
      <c r="F5497" s="211" t="s">
        <v>7581</v>
      </c>
    </row>
    <row r="5498" spans="1:6">
      <c r="A5498" s="211" t="s">
        <v>5169</v>
      </c>
      <c r="B5498" s="211">
        <v>6995</v>
      </c>
      <c r="C5498" s="211">
        <v>733</v>
      </c>
      <c r="D5498" s="211" t="s">
        <v>1255</v>
      </c>
      <c r="E5498" s="211" t="s">
        <v>10385</v>
      </c>
      <c r="F5498" s="211" t="s">
        <v>7240</v>
      </c>
    </row>
    <row r="5499" spans="1:6">
      <c r="A5499" s="211" t="s">
        <v>102</v>
      </c>
      <c r="B5499" s="211">
        <v>2943</v>
      </c>
      <c r="C5499" s="211">
        <v>1246</v>
      </c>
      <c r="D5499" s="211" t="s">
        <v>1117</v>
      </c>
      <c r="E5499" s="211" t="s">
        <v>10385</v>
      </c>
      <c r="F5499" s="211" t="s">
        <v>7177</v>
      </c>
    </row>
    <row r="5500" spans="1:6">
      <c r="A5500" s="211" t="s">
        <v>1821</v>
      </c>
      <c r="B5500" s="211">
        <v>6028</v>
      </c>
      <c r="C5500" s="211">
        <v>979</v>
      </c>
      <c r="D5500" s="211" t="s">
        <v>1117</v>
      </c>
      <c r="E5500" s="211" t="s">
        <v>10385</v>
      </c>
      <c r="F5500" s="211" t="s">
        <v>7272</v>
      </c>
    </row>
    <row r="5501" spans="1:6">
      <c r="A5501" s="211" t="s">
        <v>6095</v>
      </c>
      <c r="B5501" s="211">
        <v>7366</v>
      </c>
      <c r="C5501" s="211">
        <v>1197</v>
      </c>
      <c r="D5501" s="211" t="s">
        <v>1255</v>
      </c>
      <c r="E5501" s="211" t="s">
        <v>6096</v>
      </c>
      <c r="F5501" s="211" t="s">
        <v>7375</v>
      </c>
    </row>
    <row r="5502" spans="1:6">
      <c r="A5502" s="211" t="s">
        <v>9895</v>
      </c>
      <c r="B5502" s="211">
        <v>7907</v>
      </c>
      <c r="C5502" s="211">
        <v>1474</v>
      </c>
      <c r="D5502" s="211" t="s">
        <v>1255</v>
      </c>
      <c r="E5502" s="211" t="s">
        <v>9896</v>
      </c>
      <c r="F5502" s="211" t="s">
        <v>7243</v>
      </c>
    </row>
    <row r="5503" spans="1:6">
      <c r="A5503" s="211" t="s">
        <v>1822</v>
      </c>
      <c r="B5503" s="211">
        <v>4222</v>
      </c>
      <c r="C5503" s="211">
        <v>757</v>
      </c>
      <c r="D5503" s="211" t="s">
        <v>1117</v>
      </c>
      <c r="E5503" s="211" t="s">
        <v>10385</v>
      </c>
      <c r="F5503" s="211" t="s">
        <v>7331</v>
      </c>
    </row>
    <row r="5504" spans="1:6">
      <c r="A5504" s="211" t="s">
        <v>4849</v>
      </c>
      <c r="B5504" s="211">
        <v>6077</v>
      </c>
      <c r="C5504" s="211">
        <v>858</v>
      </c>
      <c r="D5504" s="211" t="s">
        <v>1255</v>
      </c>
      <c r="E5504" s="211" t="s">
        <v>10385</v>
      </c>
      <c r="F5504" s="211" t="s">
        <v>7250</v>
      </c>
    </row>
    <row r="5505" spans="1:6">
      <c r="A5505" s="211" t="s">
        <v>8979</v>
      </c>
      <c r="B5505" s="211">
        <v>2904</v>
      </c>
      <c r="C5505" s="211">
        <v>1699</v>
      </c>
      <c r="D5505" s="211" t="s">
        <v>1255</v>
      </c>
      <c r="E5505" s="211" t="s">
        <v>10385</v>
      </c>
      <c r="F5505" s="211" t="s">
        <v>7207</v>
      </c>
    </row>
    <row r="5506" spans="1:6">
      <c r="A5506" s="211" t="s">
        <v>8980</v>
      </c>
      <c r="B5506" s="211">
        <v>5783</v>
      </c>
      <c r="C5506" s="211" t="s">
        <v>10385</v>
      </c>
      <c r="D5506" s="211" t="s">
        <v>1255</v>
      </c>
      <c r="E5506" s="211" t="s">
        <v>10385</v>
      </c>
      <c r="F5506" s="211" t="s">
        <v>7165</v>
      </c>
    </row>
    <row r="5507" spans="1:6">
      <c r="A5507" s="211" t="s">
        <v>8444</v>
      </c>
      <c r="B5507" s="211">
        <v>6976</v>
      </c>
      <c r="C5507" s="211">
        <v>787</v>
      </c>
      <c r="D5507" s="211" t="s">
        <v>1255</v>
      </c>
      <c r="E5507" s="211" t="s">
        <v>10385</v>
      </c>
      <c r="F5507" s="211" t="s">
        <v>7349</v>
      </c>
    </row>
    <row r="5508" spans="1:6">
      <c r="A5508" s="211" t="s">
        <v>9897</v>
      </c>
      <c r="B5508" s="211">
        <v>8140</v>
      </c>
      <c r="C5508" s="211">
        <v>1300</v>
      </c>
      <c r="D5508" s="211" t="s">
        <v>1117</v>
      </c>
      <c r="E5508" s="211" t="s">
        <v>9898</v>
      </c>
      <c r="F5508" s="211" t="s">
        <v>7167</v>
      </c>
    </row>
    <row r="5509" spans="1:6">
      <c r="A5509" s="211" t="s">
        <v>1823</v>
      </c>
      <c r="B5509" s="211">
        <v>3303</v>
      </c>
      <c r="C5509" s="211">
        <v>1266</v>
      </c>
      <c r="D5509" s="211" t="s">
        <v>1255</v>
      </c>
      <c r="E5509" s="211" t="s">
        <v>10385</v>
      </c>
      <c r="F5509" s="211" t="s">
        <v>7334</v>
      </c>
    </row>
    <row r="5510" spans="1:6">
      <c r="A5510" s="211" t="s">
        <v>8445</v>
      </c>
      <c r="B5510" s="211">
        <v>1135</v>
      </c>
      <c r="C5510" s="211">
        <v>1811</v>
      </c>
      <c r="D5510" s="211" t="s">
        <v>1117</v>
      </c>
      <c r="E5510" s="211" t="s">
        <v>10385</v>
      </c>
      <c r="F5510" s="211" t="s">
        <v>7306</v>
      </c>
    </row>
    <row r="5511" spans="1:6">
      <c r="A5511" s="211" t="s">
        <v>1824</v>
      </c>
      <c r="B5511" s="211">
        <v>2023</v>
      </c>
      <c r="C5511" s="211">
        <v>1421</v>
      </c>
      <c r="D5511" s="211" t="s">
        <v>1255</v>
      </c>
      <c r="E5511" s="211" t="s">
        <v>10385</v>
      </c>
      <c r="F5511" s="211" t="s">
        <v>7327</v>
      </c>
    </row>
    <row r="5512" spans="1:6">
      <c r="A5512" s="211" t="s">
        <v>6097</v>
      </c>
      <c r="B5512" s="211">
        <v>7476</v>
      </c>
      <c r="C5512" s="211">
        <v>1849</v>
      </c>
      <c r="D5512" s="211" t="s">
        <v>1255</v>
      </c>
      <c r="E5512" s="211" t="s">
        <v>9899</v>
      </c>
      <c r="F5512" s="211" t="s">
        <v>7510</v>
      </c>
    </row>
    <row r="5513" spans="1:6">
      <c r="A5513" s="211" t="s">
        <v>8446</v>
      </c>
      <c r="B5513" s="211">
        <v>152</v>
      </c>
      <c r="C5513" s="211" t="s">
        <v>10385</v>
      </c>
      <c r="D5513" s="211" t="s">
        <v>1255</v>
      </c>
      <c r="E5513" s="211" t="s">
        <v>10385</v>
      </c>
      <c r="F5513" s="211" t="s">
        <v>7306</v>
      </c>
    </row>
    <row r="5514" spans="1:6">
      <c r="A5514" s="211" t="s">
        <v>1825</v>
      </c>
      <c r="B5514" s="211">
        <v>4716</v>
      </c>
      <c r="C5514" s="211">
        <v>846</v>
      </c>
      <c r="D5514" s="211" t="s">
        <v>1255</v>
      </c>
      <c r="E5514" s="211" t="s">
        <v>10385</v>
      </c>
      <c r="F5514" s="211" t="s">
        <v>7318</v>
      </c>
    </row>
    <row r="5515" spans="1:6">
      <c r="A5515" s="211" t="s">
        <v>4702</v>
      </c>
      <c r="B5515" s="211">
        <v>6377</v>
      </c>
      <c r="C5515" s="211">
        <v>1501</v>
      </c>
      <c r="D5515" s="211" t="s">
        <v>1255</v>
      </c>
      <c r="E5515" s="211" t="s">
        <v>10385</v>
      </c>
      <c r="F5515" s="211" t="s">
        <v>7202</v>
      </c>
    </row>
    <row r="5516" spans="1:6">
      <c r="A5516" s="211" t="s">
        <v>1826</v>
      </c>
      <c r="B5516" s="211">
        <v>5720</v>
      </c>
      <c r="C5516" s="211">
        <v>876</v>
      </c>
      <c r="D5516" s="211" t="s">
        <v>1117</v>
      </c>
      <c r="E5516" s="211" t="s">
        <v>10385</v>
      </c>
      <c r="F5516" s="211" t="s">
        <v>7275</v>
      </c>
    </row>
    <row r="5517" spans="1:6">
      <c r="A5517" s="211" t="s">
        <v>6098</v>
      </c>
      <c r="B5517" s="211">
        <v>7064</v>
      </c>
      <c r="C5517" s="211">
        <v>904</v>
      </c>
      <c r="D5517" s="211" t="s">
        <v>1117</v>
      </c>
      <c r="E5517" s="211" t="s">
        <v>10385</v>
      </c>
      <c r="F5517" s="211" t="s">
        <v>7231</v>
      </c>
    </row>
    <row r="5518" spans="1:6">
      <c r="A5518" s="211" t="s">
        <v>1827</v>
      </c>
      <c r="B5518" s="211">
        <v>4547</v>
      </c>
      <c r="C5518" s="211">
        <v>884</v>
      </c>
      <c r="D5518" s="211" t="s">
        <v>1255</v>
      </c>
      <c r="E5518" s="211" t="s">
        <v>10385</v>
      </c>
      <c r="F5518" s="211" t="s">
        <v>7526</v>
      </c>
    </row>
    <row r="5519" spans="1:6">
      <c r="A5519" s="211" t="s">
        <v>8447</v>
      </c>
      <c r="B5519" s="211">
        <v>3913</v>
      </c>
      <c r="C5519" s="211" t="s">
        <v>10385</v>
      </c>
      <c r="D5519" s="211" t="s">
        <v>1255</v>
      </c>
      <c r="E5519" s="211" t="s">
        <v>10385</v>
      </c>
      <c r="F5519" s="211" t="s">
        <v>7356</v>
      </c>
    </row>
    <row r="5520" spans="1:6">
      <c r="A5520" s="211" t="s">
        <v>1828</v>
      </c>
      <c r="B5520" s="211">
        <v>3508</v>
      </c>
      <c r="C5520" s="211">
        <v>1453</v>
      </c>
      <c r="D5520" s="211" t="s">
        <v>1255</v>
      </c>
      <c r="E5520" s="211" t="s">
        <v>10385</v>
      </c>
      <c r="F5520" s="211" t="s">
        <v>7384</v>
      </c>
    </row>
    <row r="5521" spans="1:6">
      <c r="A5521" s="211" t="s">
        <v>3065</v>
      </c>
      <c r="B5521" s="211">
        <v>6269</v>
      </c>
      <c r="C5521" s="211">
        <v>938</v>
      </c>
      <c r="D5521" s="211" t="s">
        <v>1117</v>
      </c>
      <c r="E5521" s="211" t="s">
        <v>10385</v>
      </c>
      <c r="F5521" s="211" t="s">
        <v>9024</v>
      </c>
    </row>
    <row r="5522" spans="1:6">
      <c r="A5522" s="211" t="s">
        <v>5170</v>
      </c>
      <c r="B5522" s="211">
        <v>3738</v>
      </c>
      <c r="C5522" s="211">
        <v>1938</v>
      </c>
      <c r="D5522" s="211" t="s">
        <v>1255</v>
      </c>
      <c r="E5522" s="211" t="s">
        <v>10385</v>
      </c>
      <c r="F5522" s="211" t="s">
        <v>7471</v>
      </c>
    </row>
    <row r="5523" spans="1:6">
      <c r="A5523" s="211" t="s">
        <v>10852</v>
      </c>
      <c r="B5523" s="211">
        <v>8626</v>
      </c>
      <c r="C5523" s="211">
        <v>1186</v>
      </c>
      <c r="D5523" s="211" t="s">
        <v>1255</v>
      </c>
      <c r="E5523" s="211" t="s">
        <v>10853</v>
      </c>
      <c r="F5523" s="211" t="s">
        <v>10474</v>
      </c>
    </row>
    <row r="5524" spans="1:6">
      <c r="A5524" s="211" t="s">
        <v>1829</v>
      </c>
      <c r="B5524" s="211">
        <v>1112</v>
      </c>
      <c r="C5524" s="211">
        <v>1228</v>
      </c>
      <c r="D5524" s="211" t="s">
        <v>1255</v>
      </c>
      <c r="E5524" s="211" t="s">
        <v>10385</v>
      </c>
      <c r="F5524" s="211" t="s">
        <v>9024</v>
      </c>
    </row>
    <row r="5525" spans="1:6">
      <c r="A5525" s="211" t="s">
        <v>1830</v>
      </c>
      <c r="B5525" s="211">
        <v>5442</v>
      </c>
      <c r="C5525" s="211">
        <v>862</v>
      </c>
      <c r="D5525" s="211" t="s">
        <v>1255</v>
      </c>
      <c r="E5525" s="211" t="s">
        <v>10385</v>
      </c>
      <c r="F5525" s="211" t="s">
        <v>7217</v>
      </c>
    </row>
    <row r="5526" spans="1:6">
      <c r="A5526" s="211" t="s">
        <v>8448</v>
      </c>
      <c r="B5526" s="211">
        <v>1117</v>
      </c>
      <c r="C5526" s="211" t="s">
        <v>10385</v>
      </c>
      <c r="D5526" s="211" t="s">
        <v>1255</v>
      </c>
      <c r="E5526" s="211" t="s">
        <v>10385</v>
      </c>
      <c r="F5526" s="211" t="s">
        <v>9024</v>
      </c>
    </row>
    <row r="5527" spans="1:6">
      <c r="A5527" s="211" t="s">
        <v>9900</v>
      </c>
      <c r="B5527" s="211">
        <v>7898</v>
      </c>
      <c r="C5527" s="211">
        <v>1383</v>
      </c>
      <c r="D5527" s="211" t="s">
        <v>1255</v>
      </c>
      <c r="E5527" s="211" t="s">
        <v>9901</v>
      </c>
      <c r="F5527" s="211" t="s">
        <v>7402</v>
      </c>
    </row>
    <row r="5528" spans="1:6">
      <c r="A5528" s="211" t="s">
        <v>5171</v>
      </c>
      <c r="B5528" s="211">
        <v>6862</v>
      </c>
      <c r="C5528" s="211">
        <v>1067</v>
      </c>
      <c r="D5528" s="211" t="s">
        <v>1255</v>
      </c>
      <c r="E5528" s="211" t="s">
        <v>6099</v>
      </c>
      <c r="F5528" s="211" t="s">
        <v>8210</v>
      </c>
    </row>
    <row r="5529" spans="1:6">
      <c r="A5529" s="211" t="s">
        <v>1831</v>
      </c>
      <c r="B5529" s="211">
        <v>4275</v>
      </c>
      <c r="C5529" s="211">
        <v>1491</v>
      </c>
      <c r="D5529" s="211" t="s">
        <v>1255</v>
      </c>
      <c r="E5529" s="211" t="s">
        <v>6988</v>
      </c>
      <c r="F5529" s="211" t="s">
        <v>7217</v>
      </c>
    </row>
    <row r="5530" spans="1:6">
      <c r="A5530" s="211" t="s">
        <v>2930</v>
      </c>
      <c r="B5530" s="211">
        <v>3086</v>
      </c>
      <c r="C5530" s="211">
        <v>1640</v>
      </c>
      <c r="D5530" s="211" t="s">
        <v>1117</v>
      </c>
      <c r="E5530" s="211" t="s">
        <v>10385</v>
      </c>
      <c r="F5530" s="211" t="s">
        <v>7386</v>
      </c>
    </row>
    <row r="5531" spans="1:6">
      <c r="A5531" s="211" t="s">
        <v>1832</v>
      </c>
      <c r="B5531" s="211">
        <v>3225</v>
      </c>
      <c r="C5531" s="211">
        <v>1524</v>
      </c>
      <c r="D5531" s="211" t="s">
        <v>1255</v>
      </c>
      <c r="E5531" s="211" t="s">
        <v>10385</v>
      </c>
      <c r="F5531" s="211" t="s">
        <v>7160</v>
      </c>
    </row>
    <row r="5532" spans="1:6">
      <c r="A5532" s="211" t="s">
        <v>1833</v>
      </c>
      <c r="B5532" s="211">
        <v>3634</v>
      </c>
      <c r="C5532" s="211">
        <v>1553</v>
      </c>
      <c r="D5532" s="211" t="s">
        <v>1255</v>
      </c>
      <c r="E5532" s="211" t="s">
        <v>6989</v>
      </c>
      <c r="F5532" s="211" t="s">
        <v>7262</v>
      </c>
    </row>
    <row r="5533" spans="1:6">
      <c r="A5533" s="211" t="s">
        <v>4648</v>
      </c>
      <c r="B5533" s="211">
        <v>5415</v>
      </c>
      <c r="C5533" s="211">
        <v>573</v>
      </c>
      <c r="D5533" s="211" t="s">
        <v>1255</v>
      </c>
      <c r="E5533" s="211" t="s">
        <v>10385</v>
      </c>
      <c r="F5533" s="211" t="s">
        <v>7571</v>
      </c>
    </row>
    <row r="5534" spans="1:6">
      <c r="A5534" s="211" t="s">
        <v>6100</v>
      </c>
      <c r="B5534" s="211">
        <v>7525</v>
      </c>
      <c r="C5534" s="211">
        <v>862</v>
      </c>
      <c r="D5534" s="211" t="s">
        <v>1255</v>
      </c>
      <c r="E5534" s="211" t="s">
        <v>10385</v>
      </c>
      <c r="F5534" s="211" t="s">
        <v>7223</v>
      </c>
    </row>
    <row r="5535" spans="1:6">
      <c r="A5535" s="211" t="s">
        <v>1834</v>
      </c>
      <c r="B5535" s="211">
        <v>3192</v>
      </c>
      <c r="C5535" s="211">
        <v>338</v>
      </c>
      <c r="D5535" s="211" t="s">
        <v>1117</v>
      </c>
      <c r="E5535" s="211" t="s">
        <v>10385</v>
      </c>
      <c r="F5535" s="211" t="s">
        <v>7393</v>
      </c>
    </row>
    <row r="5536" spans="1:6">
      <c r="A5536" s="211" t="s">
        <v>8449</v>
      </c>
      <c r="B5536" s="211">
        <v>730</v>
      </c>
      <c r="C5536" s="211" t="s">
        <v>10385</v>
      </c>
      <c r="D5536" s="211" t="s">
        <v>1255</v>
      </c>
      <c r="E5536" s="211" t="s">
        <v>10385</v>
      </c>
      <c r="F5536" s="211" t="s">
        <v>7219</v>
      </c>
    </row>
    <row r="5537" spans="1:6">
      <c r="A5537" s="211" t="s">
        <v>8450</v>
      </c>
      <c r="B5537" s="211">
        <v>5177</v>
      </c>
      <c r="C5537" s="211" t="s">
        <v>10385</v>
      </c>
      <c r="D5537" s="211" t="s">
        <v>1255</v>
      </c>
      <c r="E5537" s="211" t="s">
        <v>10385</v>
      </c>
      <c r="F5537" s="211" t="s">
        <v>7322</v>
      </c>
    </row>
    <row r="5538" spans="1:6">
      <c r="A5538" s="211" t="s">
        <v>1835</v>
      </c>
      <c r="B5538" s="211">
        <v>2129</v>
      </c>
      <c r="C5538" s="211">
        <v>1544</v>
      </c>
      <c r="D5538" s="211" t="s">
        <v>1255</v>
      </c>
      <c r="E5538" s="211" t="s">
        <v>1836</v>
      </c>
      <c r="F5538" s="211" t="s">
        <v>7212</v>
      </c>
    </row>
    <row r="5539" spans="1:6">
      <c r="A5539" s="211" t="s">
        <v>1837</v>
      </c>
      <c r="B5539" s="211">
        <v>5424</v>
      </c>
      <c r="C5539" s="211">
        <v>1454</v>
      </c>
      <c r="D5539" s="211" t="s">
        <v>1255</v>
      </c>
      <c r="E5539" s="211" t="s">
        <v>6101</v>
      </c>
      <c r="F5539" s="211" t="s">
        <v>7323</v>
      </c>
    </row>
    <row r="5540" spans="1:6">
      <c r="A5540" s="211" t="s">
        <v>8451</v>
      </c>
      <c r="B5540" s="211">
        <v>5480</v>
      </c>
      <c r="C5540" s="211">
        <v>1634</v>
      </c>
      <c r="D5540" s="211" t="s">
        <v>1255</v>
      </c>
      <c r="E5540" s="211" t="s">
        <v>10385</v>
      </c>
      <c r="F5540" s="211" t="s">
        <v>7212</v>
      </c>
    </row>
    <row r="5541" spans="1:6">
      <c r="A5541" s="211" t="s">
        <v>1838</v>
      </c>
      <c r="B5541" s="211">
        <v>4825</v>
      </c>
      <c r="C5541" s="211">
        <v>1314</v>
      </c>
      <c r="D5541" s="211" t="s">
        <v>1255</v>
      </c>
      <c r="E5541" s="211" t="s">
        <v>10385</v>
      </c>
      <c r="F5541" s="211" t="s">
        <v>10391</v>
      </c>
    </row>
    <row r="5542" spans="1:6">
      <c r="A5542" s="211" t="s">
        <v>4716</v>
      </c>
      <c r="B5542" s="211">
        <v>6223</v>
      </c>
      <c r="C5542" s="211">
        <v>822</v>
      </c>
      <c r="D5542" s="211" t="s">
        <v>1255</v>
      </c>
      <c r="E5542" s="211" t="s">
        <v>6990</v>
      </c>
      <c r="F5542" s="211" t="s">
        <v>7328</v>
      </c>
    </row>
    <row r="5543" spans="1:6">
      <c r="A5543" s="211" t="s">
        <v>1839</v>
      </c>
      <c r="B5543" s="211">
        <v>2799</v>
      </c>
      <c r="C5543" s="211">
        <v>871</v>
      </c>
      <c r="D5543" s="211" t="s">
        <v>1117</v>
      </c>
      <c r="E5543" s="211" t="s">
        <v>10385</v>
      </c>
      <c r="F5543" s="211" t="s">
        <v>7167</v>
      </c>
    </row>
    <row r="5544" spans="1:6">
      <c r="A5544" s="211" t="s">
        <v>1840</v>
      </c>
      <c r="B5544" s="211">
        <v>1039</v>
      </c>
      <c r="C5544" s="211">
        <v>1106</v>
      </c>
      <c r="D5544" s="211" t="s">
        <v>1255</v>
      </c>
      <c r="E5544" s="211" t="s">
        <v>10385</v>
      </c>
      <c r="F5544" s="211" t="s">
        <v>9024</v>
      </c>
    </row>
    <row r="5545" spans="1:6">
      <c r="A5545" s="211" t="s">
        <v>1841</v>
      </c>
      <c r="B5545" s="211">
        <v>1930</v>
      </c>
      <c r="C5545" s="211">
        <v>1335</v>
      </c>
      <c r="D5545" s="211" t="s">
        <v>1255</v>
      </c>
      <c r="E5545" s="211" t="s">
        <v>10385</v>
      </c>
      <c r="F5545" s="211" t="s">
        <v>7797</v>
      </c>
    </row>
    <row r="5546" spans="1:6">
      <c r="A5546" s="211" t="s">
        <v>4717</v>
      </c>
      <c r="B5546" s="211">
        <v>6216</v>
      </c>
      <c r="C5546" s="211">
        <v>714</v>
      </c>
      <c r="D5546" s="211" t="s">
        <v>1117</v>
      </c>
      <c r="E5546" s="211" t="s">
        <v>10385</v>
      </c>
      <c r="F5546" s="211" t="s">
        <v>7402</v>
      </c>
    </row>
    <row r="5547" spans="1:6">
      <c r="A5547" s="211" t="s">
        <v>1842</v>
      </c>
      <c r="B5547" s="211">
        <v>1336</v>
      </c>
      <c r="C5547" s="211">
        <v>675</v>
      </c>
      <c r="D5547" s="211" t="s">
        <v>1255</v>
      </c>
      <c r="E5547" s="211" t="s">
        <v>10385</v>
      </c>
      <c r="F5547" s="211" t="s">
        <v>7210</v>
      </c>
    </row>
    <row r="5548" spans="1:6">
      <c r="A5548" s="211" t="s">
        <v>1843</v>
      </c>
      <c r="B5548" s="211">
        <v>1518</v>
      </c>
      <c r="C5548" s="211">
        <v>788</v>
      </c>
      <c r="D5548" s="211" t="s">
        <v>1255</v>
      </c>
      <c r="E5548" s="211" t="s">
        <v>10385</v>
      </c>
      <c r="F5548" s="211" t="s">
        <v>7275</v>
      </c>
    </row>
    <row r="5549" spans="1:6">
      <c r="A5549" s="211" t="s">
        <v>1844</v>
      </c>
      <c r="B5549" s="211">
        <v>939</v>
      </c>
      <c r="C5549" s="211">
        <v>1606</v>
      </c>
      <c r="D5549" s="211" t="s">
        <v>1255</v>
      </c>
      <c r="E5549" s="211" t="s">
        <v>10385</v>
      </c>
      <c r="F5549" s="211" t="s">
        <v>7692</v>
      </c>
    </row>
    <row r="5550" spans="1:6">
      <c r="A5550" s="211" t="s">
        <v>1845</v>
      </c>
      <c r="B5550" s="211">
        <v>1359</v>
      </c>
      <c r="C5550" s="211">
        <v>1500</v>
      </c>
      <c r="D5550" s="211" t="s">
        <v>1255</v>
      </c>
      <c r="E5550" s="211" t="s">
        <v>10385</v>
      </c>
      <c r="F5550" s="211" t="s">
        <v>7177</v>
      </c>
    </row>
    <row r="5551" spans="1:6">
      <c r="A5551" s="211" t="s">
        <v>1846</v>
      </c>
      <c r="B5551" s="211">
        <v>4689</v>
      </c>
      <c r="C5551" s="211">
        <v>1864</v>
      </c>
      <c r="D5551" s="211" t="s">
        <v>1117</v>
      </c>
      <c r="E5551" s="211" t="s">
        <v>10385</v>
      </c>
      <c r="F5551" s="211" t="s">
        <v>7284</v>
      </c>
    </row>
    <row r="5552" spans="1:6">
      <c r="A5552" s="211" t="s">
        <v>8452</v>
      </c>
      <c r="B5552" s="211">
        <v>1760</v>
      </c>
      <c r="C5552" s="211" t="s">
        <v>10385</v>
      </c>
      <c r="D5552" s="211" t="s">
        <v>1255</v>
      </c>
      <c r="E5552" s="211" t="s">
        <v>10385</v>
      </c>
      <c r="F5552" s="211" t="s">
        <v>7284</v>
      </c>
    </row>
    <row r="5553" spans="1:6">
      <c r="A5553" s="211" t="s">
        <v>10854</v>
      </c>
      <c r="B5553" s="211">
        <v>8680</v>
      </c>
      <c r="C5553" s="211">
        <v>571</v>
      </c>
      <c r="D5553" s="211" t="s">
        <v>1117</v>
      </c>
      <c r="E5553" s="211" t="s">
        <v>10855</v>
      </c>
      <c r="F5553" s="211" t="s">
        <v>7414</v>
      </c>
    </row>
    <row r="5554" spans="1:6">
      <c r="A5554" s="211" t="s">
        <v>1847</v>
      </c>
      <c r="B5554" s="211">
        <v>3102</v>
      </c>
      <c r="C5554" s="211">
        <v>1068</v>
      </c>
      <c r="D5554" s="211" t="s">
        <v>1255</v>
      </c>
      <c r="E5554" s="211" t="s">
        <v>10385</v>
      </c>
      <c r="F5554" s="211" t="s">
        <v>7427</v>
      </c>
    </row>
    <row r="5555" spans="1:6">
      <c r="A5555" s="211" t="s">
        <v>10856</v>
      </c>
      <c r="B5555" s="211">
        <v>8686</v>
      </c>
      <c r="C5555" s="211">
        <v>990</v>
      </c>
      <c r="D5555" s="211" t="s">
        <v>1255</v>
      </c>
      <c r="E5555" s="211" t="s">
        <v>10857</v>
      </c>
      <c r="F5555" s="211" t="s">
        <v>7414</v>
      </c>
    </row>
    <row r="5556" spans="1:6">
      <c r="A5556" s="211" t="s">
        <v>6102</v>
      </c>
      <c r="B5556" s="211">
        <v>7371</v>
      </c>
      <c r="C5556" s="211">
        <v>646</v>
      </c>
      <c r="D5556" s="211" t="s">
        <v>1255</v>
      </c>
      <c r="E5556" s="211" t="s">
        <v>10385</v>
      </c>
      <c r="F5556" s="211" t="s">
        <v>7518</v>
      </c>
    </row>
    <row r="5557" spans="1:6">
      <c r="A5557" s="211" t="s">
        <v>1848</v>
      </c>
      <c r="B5557" s="211">
        <v>3598</v>
      </c>
      <c r="C5557" s="211">
        <v>803</v>
      </c>
      <c r="D5557" s="211" t="s">
        <v>1255</v>
      </c>
      <c r="E5557" s="211" t="s">
        <v>10385</v>
      </c>
      <c r="F5557" s="211" t="s">
        <v>7297</v>
      </c>
    </row>
    <row r="5558" spans="1:6">
      <c r="A5558" s="211" t="s">
        <v>6103</v>
      </c>
      <c r="B5558" s="211">
        <v>7370</v>
      </c>
      <c r="C5558" s="211">
        <v>1133</v>
      </c>
      <c r="D5558" s="211" t="s">
        <v>1255</v>
      </c>
      <c r="E5558" s="211" t="s">
        <v>9902</v>
      </c>
      <c r="F5558" s="211" t="s">
        <v>7518</v>
      </c>
    </row>
    <row r="5559" spans="1:6">
      <c r="A5559" s="211" t="s">
        <v>1849</v>
      </c>
      <c r="B5559" s="211">
        <v>589</v>
      </c>
      <c r="C5559" s="211">
        <v>1599</v>
      </c>
      <c r="D5559" s="211" t="s">
        <v>1255</v>
      </c>
      <c r="E5559" s="211" t="s">
        <v>10385</v>
      </c>
      <c r="F5559" s="211" t="s">
        <v>7210</v>
      </c>
    </row>
    <row r="5560" spans="1:6">
      <c r="A5560" s="211" t="s">
        <v>1850</v>
      </c>
      <c r="B5560" s="211">
        <v>5167</v>
      </c>
      <c r="C5560" s="211">
        <v>951</v>
      </c>
      <c r="D5560" s="211" t="s">
        <v>1255</v>
      </c>
      <c r="E5560" s="211" t="s">
        <v>10385</v>
      </c>
      <c r="F5560" s="211" t="s">
        <v>7233</v>
      </c>
    </row>
    <row r="5561" spans="1:6">
      <c r="A5561" s="211" t="s">
        <v>8454</v>
      </c>
      <c r="B5561" s="211">
        <v>156</v>
      </c>
      <c r="C5561" s="211" t="s">
        <v>10385</v>
      </c>
      <c r="D5561" s="211" t="s">
        <v>1255</v>
      </c>
      <c r="E5561" s="211" t="s">
        <v>10385</v>
      </c>
      <c r="F5561" s="211" t="s">
        <v>7239</v>
      </c>
    </row>
    <row r="5562" spans="1:6">
      <c r="A5562" s="211" t="s">
        <v>8455</v>
      </c>
      <c r="B5562" s="211">
        <v>1172</v>
      </c>
      <c r="C5562" s="211" t="s">
        <v>10385</v>
      </c>
      <c r="D5562" s="211" t="s">
        <v>1255</v>
      </c>
      <c r="E5562" s="211" t="s">
        <v>10385</v>
      </c>
      <c r="F5562" s="211" t="s">
        <v>7243</v>
      </c>
    </row>
    <row r="5563" spans="1:6">
      <c r="A5563" s="211" t="s">
        <v>8453</v>
      </c>
      <c r="B5563" s="211">
        <v>1990</v>
      </c>
      <c r="C5563" s="211" t="s">
        <v>10385</v>
      </c>
      <c r="D5563" s="211" t="s">
        <v>1255</v>
      </c>
      <c r="E5563" s="211" t="s">
        <v>10385</v>
      </c>
      <c r="F5563" s="211" t="s">
        <v>7229</v>
      </c>
    </row>
    <row r="5564" spans="1:6">
      <c r="A5564" s="211" t="s">
        <v>1851</v>
      </c>
      <c r="B5564" s="211">
        <v>4496</v>
      </c>
      <c r="C5564" s="211">
        <v>1155</v>
      </c>
      <c r="D5564" s="211" t="s">
        <v>1255</v>
      </c>
      <c r="E5564" s="211" t="s">
        <v>10385</v>
      </c>
      <c r="F5564" s="211" t="s">
        <v>7231</v>
      </c>
    </row>
    <row r="5565" spans="1:6">
      <c r="A5565" s="211" t="s">
        <v>2892</v>
      </c>
      <c r="B5565" s="211">
        <v>3449</v>
      </c>
      <c r="C5565" s="211">
        <v>895</v>
      </c>
      <c r="D5565" s="211" t="s">
        <v>1255</v>
      </c>
      <c r="E5565" s="211" t="s">
        <v>10385</v>
      </c>
      <c r="F5565" s="211" t="s">
        <v>7268</v>
      </c>
    </row>
    <row r="5566" spans="1:6">
      <c r="A5566" s="211" t="s">
        <v>4850</v>
      </c>
      <c r="B5566" s="211">
        <v>6076</v>
      </c>
      <c r="C5566" s="211">
        <v>1072</v>
      </c>
      <c r="D5566" s="211" t="s">
        <v>1255</v>
      </c>
      <c r="E5566" s="211" t="s">
        <v>10385</v>
      </c>
      <c r="F5566" s="211" t="s">
        <v>7250</v>
      </c>
    </row>
    <row r="5567" spans="1:6">
      <c r="A5567" s="211" t="s">
        <v>6104</v>
      </c>
      <c r="B5567" s="211">
        <v>7156</v>
      </c>
      <c r="C5567" s="211">
        <v>1363</v>
      </c>
      <c r="D5567" s="211" t="s">
        <v>1255</v>
      </c>
      <c r="E5567" s="211" t="s">
        <v>9903</v>
      </c>
      <c r="F5567" s="211" t="s">
        <v>7344</v>
      </c>
    </row>
    <row r="5568" spans="1:6">
      <c r="A5568" s="211" t="s">
        <v>1852</v>
      </c>
      <c r="B5568" s="211">
        <v>4793</v>
      </c>
      <c r="C5568" s="211">
        <v>1327</v>
      </c>
      <c r="D5568" s="211" t="s">
        <v>1255</v>
      </c>
      <c r="E5568" s="211" t="s">
        <v>10385</v>
      </c>
      <c r="F5568" s="211" t="s">
        <v>7232</v>
      </c>
    </row>
    <row r="5569" spans="1:6">
      <c r="A5569" s="211" t="s">
        <v>8456</v>
      </c>
      <c r="B5569" s="211">
        <v>732</v>
      </c>
      <c r="C5569" s="211" t="s">
        <v>10385</v>
      </c>
      <c r="D5569" s="211" t="s">
        <v>1255</v>
      </c>
      <c r="E5569" s="211" t="s">
        <v>10385</v>
      </c>
      <c r="F5569" s="211" t="s">
        <v>7219</v>
      </c>
    </row>
    <row r="5570" spans="1:6">
      <c r="A5570" s="211" t="s">
        <v>8457</v>
      </c>
      <c r="B5570" s="211">
        <v>1794</v>
      </c>
      <c r="C5570" s="211">
        <v>1529</v>
      </c>
      <c r="D5570" s="211" t="s">
        <v>1255</v>
      </c>
      <c r="E5570" s="211" t="s">
        <v>10385</v>
      </c>
      <c r="F5570" s="211" t="s">
        <v>7433</v>
      </c>
    </row>
    <row r="5571" spans="1:6">
      <c r="A5571" s="211" t="s">
        <v>8458</v>
      </c>
      <c r="B5571" s="211">
        <v>421</v>
      </c>
      <c r="C5571" s="211" t="s">
        <v>10385</v>
      </c>
      <c r="D5571" s="211" t="s">
        <v>1255</v>
      </c>
      <c r="E5571" s="211" t="s">
        <v>10385</v>
      </c>
      <c r="F5571" s="211" t="s">
        <v>7356</v>
      </c>
    </row>
    <row r="5572" spans="1:6">
      <c r="A5572" s="211" t="s">
        <v>6105</v>
      </c>
      <c r="B5572" s="211">
        <v>7559</v>
      </c>
      <c r="C5572" s="211">
        <v>1214</v>
      </c>
      <c r="D5572" s="211" t="s">
        <v>1255</v>
      </c>
      <c r="E5572" s="211" t="s">
        <v>9904</v>
      </c>
      <c r="F5572" s="211" t="s">
        <v>7318</v>
      </c>
    </row>
    <row r="5573" spans="1:6">
      <c r="A5573" s="211" t="s">
        <v>8459</v>
      </c>
      <c r="B5573" s="211">
        <v>484</v>
      </c>
      <c r="C5573" s="211" t="s">
        <v>10385</v>
      </c>
      <c r="D5573" s="211" t="s">
        <v>1255</v>
      </c>
      <c r="E5573" s="211" t="s">
        <v>10385</v>
      </c>
      <c r="F5573" s="211" t="s">
        <v>7306</v>
      </c>
    </row>
    <row r="5574" spans="1:6">
      <c r="A5574" s="211" t="s">
        <v>1853</v>
      </c>
      <c r="B5574" s="211">
        <v>3830</v>
      </c>
      <c r="C5574" s="211">
        <v>1554</v>
      </c>
      <c r="D5574" s="211" t="s">
        <v>1255</v>
      </c>
      <c r="E5574" s="211" t="s">
        <v>10385</v>
      </c>
      <c r="F5574" s="211" t="s">
        <v>7232</v>
      </c>
    </row>
    <row r="5575" spans="1:6">
      <c r="A5575" s="211" t="s">
        <v>6106</v>
      </c>
      <c r="B5575" s="211">
        <v>7571</v>
      </c>
      <c r="C5575" s="211">
        <v>580</v>
      </c>
      <c r="D5575" s="211" t="s">
        <v>1117</v>
      </c>
      <c r="E5575" s="211" t="s">
        <v>10385</v>
      </c>
      <c r="F5575" s="211" t="s">
        <v>7384</v>
      </c>
    </row>
    <row r="5576" spans="1:6">
      <c r="A5576" s="211" t="s">
        <v>1854</v>
      </c>
      <c r="B5576" s="211">
        <v>7569</v>
      </c>
      <c r="C5576" s="211">
        <v>780</v>
      </c>
      <c r="D5576" s="211" t="s">
        <v>1117</v>
      </c>
      <c r="E5576" s="211" t="s">
        <v>10385</v>
      </c>
      <c r="F5576" s="211" t="s">
        <v>7246</v>
      </c>
    </row>
    <row r="5577" spans="1:6">
      <c r="A5577" s="211" t="s">
        <v>1855</v>
      </c>
      <c r="B5577" s="211">
        <v>4303</v>
      </c>
      <c r="C5577" s="211">
        <v>1162</v>
      </c>
      <c r="D5577" s="211" t="s">
        <v>1117</v>
      </c>
      <c r="E5577" s="211" t="s">
        <v>10385</v>
      </c>
      <c r="F5577" s="211" t="s">
        <v>7263</v>
      </c>
    </row>
    <row r="5578" spans="1:6">
      <c r="A5578" s="211" t="s">
        <v>8460</v>
      </c>
      <c r="B5578" s="211">
        <v>1174</v>
      </c>
      <c r="C5578" s="211" t="s">
        <v>10385</v>
      </c>
      <c r="D5578" s="211" t="s">
        <v>1255</v>
      </c>
      <c r="E5578" s="211" t="s">
        <v>10385</v>
      </c>
      <c r="F5578" s="211" t="s">
        <v>7203</v>
      </c>
    </row>
    <row r="5579" spans="1:6">
      <c r="A5579" s="211" t="s">
        <v>9905</v>
      </c>
      <c r="B5579" s="211">
        <v>8473</v>
      </c>
      <c r="C5579" s="211">
        <v>992</v>
      </c>
      <c r="D5579" s="211" t="s">
        <v>1255</v>
      </c>
      <c r="E5579" s="211" t="s">
        <v>9906</v>
      </c>
      <c r="F5579" s="211" t="s">
        <v>7356</v>
      </c>
    </row>
    <row r="5580" spans="1:6">
      <c r="A5580" s="211" t="s">
        <v>9907</v>
      </c>
      <c r="B5580" s="211">
        <v>8429</v>
      </c>
      <c r="C5580" s="211">
        <v>1963</v>
      </c>
      <c r="D5580" s="211" t="s">
        <v>1255</v>
      </c>
      <c r="E5580" s="211" t="s">
        <v>9908</v>
      </c>
      <c r="F5580" s="211" t="s">
        <v>7272</v>
      </c>
    </row>
    <row r="5581" spans="1:6">
      <c r="A5581" s="211" t="s">
        <v>5172</v>
      </c>
      <c r="B5581" s="211">
        <v>6951</v>
      </c>
      <c r="C5581" s="211">
        <v>781</v>
      </c>
      <c r="D5581" s="211" t="s">
        <v>1255</v>
      </c>
      <c r="E5581" s="211" t="s">
        <v>10385</v>
      </c>
      <c r="F5581" s="211" t="s">
        <v>7246</v>
      </c>
    </row>
    <row r="5582" spans="1:6">
      <c r="A5582" s="211" t="s">
        <v>6107</v>
      </c>
      <c r="B5582" s="211">
        <v>7374</v>
      </c>
      <c r="C5582" s="211">
        <v>1522</v>
      </c>
      <c r="D5582" s="211" t="s">
        <v>1255</v>
      </c>
      <c r="E5582" s="211" t="s">
        <v>6108</v>
      </c>
      <c r="F5582" s="211" t="s">
        <v>7241</v>
      </c>
    </row>
    <row r="5583" spans="1:6">
      <c r="A5583" s="211" t="s">
        <v>1856</v>
      </c>
      <c r="B5583" s="211">
        <v>3213</v>
      </c>
      <c r="C5583" s="211">
        <v>899</v>
      </c>
      <c r="D5583" s="211" t="s">
        <v>1117</v>
      </c>
      <c r="E5583" s="211" t="s">
        <v>10385</v>
      </c>
      <c r="F5583" s="211" t="s">
        <v>7189</v>
      </c>
    </row>
    <row r="5584" spans="1:6">
      <c r="A5584" s="211" t="s">
        <v>6109</v>
      </c>
      <c r="B5584" s="211">
        <v>7480</v>
      </c>
      <c r="C5584" s="211">
        <v>1529</v>
      </c>
      <c r="D5584" s="211" t="s">
        <v>1255</v>
      </c>
      <c r="E5584" s="211" t="s">
        <v>10385</v>
      </c>
      <c r="F5584" s="211" t="s">
        <v>7262</v>
      </c>
    </row>
    <row r="5585" spans="1:6">
      <c r="A5585" s="211" t="s">
        <v>6110</v>
      </c>
      <c r="B5585" s="211">
        <v>7285</v>
      </c>
      <c r="C5585" s="211">
        <v>896</v>
      </c>
      <c r="D5585" s="211" t="s">
        <v>1255</v>
      </c>
      <c r="E5585" s="211" t="s">
        <v>10385</v>
      </c>
      <c r="F5585" s="211" t="s">
        <v>7212</v>
      </c>
    </row>
    <row r="5586" spans="1:6">
      <c r="A5586" s="211" t="s">
        <v>1857</v>
      </c>
      <c r="B5586" s="211">
        <v>5832</v>
      </c>
      <c r="C5586" s="211">
        <v>1868</v>
      </c>
      <c r="D5586" s="211" t="s">
        <v>1255</v>
      </c>
      <c r="E5586" s="211" t="s">
        <v>10385</v>
      </c>
      <c r="F5586" s="211" t="s">
        <v>7581</v>
      </c>
    </row>
    <row r="5587" spans="1:6">
      <c r="A5587" s="211" t="s">
        <v>6111</v>
      </c>
      <c r="B5587" s="211">
        <v>7022</v>
      </c>
      <c r="C5587" s="211">
        <v>2570</v>
      </c>
      <c r="D5587" s="211" t="s">
        <v>1255</v>
      </c>
      <c r="E5587" s="211" t="s">
        <v>6112</v>
      </c>
      <c r="F5587" s="211" t="s">
        <v>7247</v>
      </c>
    </row>
    <row r="5588" spans="1:6">
      <c r="A5588" s="211" t="s">
        <v>1858</v>
      </c>
      <c r="B5588" s="211">
        <v>2473</v>
      </c>
      <c r="C5588" s="211">
        <v>1928</v>
      </c>
      <c r="D5588" s="211" t="s">
        <v>1255</v>
      </c>
      <c r="E5588" s="211" t="s">
        <v>9909</v>
      </c>
      <c r="F5588" s="211" t="s">
        <v>7342</v>
      </c>
    </row>
    <row r="5589" spans="1:6">
      <c r="A5589" s="211" t="s">
        <v>1859</v>
      </c>
      <c r="B5589" s="211">
        <v>2028</v>
      </c>
      <c r="C5589" s="211">
        <v>1765</v>
      </c>
      <c r="D5589" s="211" t="s">
        <v>1255</v>
      </c>
      <c r="E5589" s="211" t="s">
        <v>10385</v>
      </c>
      <c r="F5589" s="211" t="s">
        <v>7382</v>
      </c>
    </row>
    <row r="5590" spans="1:6">
      <c r="A5590" s="211" t="s">
        <v>6113</v>
      </c>
      <c r="B5590" s="211">
        <v>7453</v>
      </c>
      <c r="C5590" s="211">
        <v>909</v>
      </c>
      <c r="D5590" s="211" t="s">
        <v>1255</v>
      </c>
      <c r="E5590" s="211" t="s">
        <v>6114</v>
      </c>
      <c r="F5590" s="211" t="s">
        <v>10424</v>
      </c>
    </row>
    <row r="5591" spans="1:6">
      <c r="A5591" s="211" t="s">
        <v>1860</v>
      </c>
      <c r="B5591" s="211">
        <v>4251</v>
      </c>
      <c r="C5591" s="211">
        <v>2170</v>
      </c>
      <c r="D5591" s="211" t="s">
        <v>1255</v>
      </c>
      <c r="E5591" s="211" t="s">
        <v>10385</v>
      </c>
      <c r="F5591" s="211" t="s">
        <v>7365</v>
      </c>
    </row>
    <row r="5592" spans="1:6">
      <c r="A5592" s="211" t="s">
        <v>8461</v>
      </c>
      <c r="B5592" s="211">
        <v>574</v>
      </c>
      <c r="C5592" s="211" t="s">
        <v>10385</v>
      </c>
      <c r="D5592" s="211" t="s">
        <v>1255</v>
      </c>
      <c r="E5592" s="211" t="s">
        <v>10385</v>
      </c>
      <c r="F5592" s="211" t="s">
        <v>7196</v>
      </c>
    </row>
    <row r="5593" spans="1:6">
      <c r="A5593" s="211" t="s">
        <v>1861</v>
      </c>
      <c r="B5593" s="211">
        <v>4768</v>
      </c>
      <c r="C5593" s="211">
        <v>2024</v>
      </c>
      <c r="D5593" s="211" t="s">
        <v>1255</v>
      </c>
      <c r="E5593" s="211" t="s">
        <v>10385</v>
      </c>
      <c r="F5593" s="211" t="s">
        <v>7518</v>
      </c>
    </row>
    <row r="5594" spans="1:6">
      <c r="A5594" s="211" t="s">
        <v>1862</v>
      </c>
      <c r="B5594" s="211">
        <v>3787</v>
      </c>
      <c r="C5594" s="211">
        <v>1608</v>
      </c>
      <c r="D5594" s="211" t="s">
        <v>1255</v>
      </c>
      <c r="E5594" s="211" t="s">
        <v>10385</v>
      </c>
      <c r="F5594" s="211" t="s">
        <v>7282</v>
      </c>
    </row>
    <row r="5595" spans="1:6">
      <c r="A5595" s="211" t="s">
        <v>5173</v>
      </c>
      <c r="B5595" s="211">
        <v>6871</v>
      </c>
      <c r="C5595" s="211">
        <v>1186</v>
      </c>
      <c r="D5595" s="211" t="s">
        <v>1255</v>
      </c>
      <c r="E5595" s="211" t="s">
        <v>9910</v>
      </c>
      <c r="F5595" s="211" t="s">
        <v>7292</v>
      </c>
    </row>
    <row r="5596" spans="1:6">
      <c r="A5596" s="211" t="s">
        <v>1863</v>
      </c>
      <c r="B5596" s="211">
        <v>2916</v>
      </c>
      <c r="C5596" s="211">
        <v>1851</v>
      </c>
      <c r="D5596" s="211" t="s">
        <v>1255</v>
      </c>
      <c r="E5596" s="211" t="s">
        <v>10385</v>
      </c>
      <c r="F5596" s="211" t="s">
        <v>7308</v>
      </c>
    </row>
    <row r="5597" spans="1:6">
      <c r="A5597" s="211" t="s">
        <v>4678</v>
      </c>
      <c r="B5597" s="211">
        <v>6431</v>
      </c>
      <c r="C5597" s="211">
        <v>1066</v>
      </c>
      <c r="D5597" s="211" t="s">
        <v>1255</v>
      </c>
      <c r="E5597" s="211" t="s">
        <v>9911</v>
      </c>
      <c r="F5597" s="211" t="s">
        <v>7587</v>
      </c>
    </row>
    <row r="5598" spans="1:6">
      <c r="A5598" s="211" t="s">
        <v>1864</v>
      </c>
      <c r="B5598" s="211">
        <v>1075</v>
      </c>
      <c r="C5598" s="211">
        <v>1942</v>
      </c>
      <c r="D5598" s="211" t="s">
        <v>1255</v>
      </c>
      <c r="E5598" s="211" t="s">
        <v>10385</v>
      </c>
      <c r="F5598" s="211" t="s">
        <v>7306</v>
      </c>
    </row>
    <row r="5599" spans="1:6">
      <c r="A5599" s="211" t="s">
        <v>8462</v>
      </c>
      <c r="B5599" s="211">
        <v>1684</v>
      </c>
      <c r="C5599" s="211" t="s">
        <v>10385</v>
      </c>
      <c r="D5599" s="211" t="s">
        <v>1255</v>
      </c>
      <c r="E5599" s="211" t="s">
        <v>10385</v>
      </c>
      <c r="F5599" s="211" t="s">
        <v>7459</v>
      </c>
    </row>
    <row r="5600" spans="1:6">
      <c r="A5600" s="211" t="s">
        <v>1865</v>
      </c>
      <c r="B5600" s="211">
        <v>1676</v>
      </c>
      <c r="C5600" s="211">
        <v>1413</v>
      </c>
      <c r="D5600" s="211" t="s">
        <v>1255</v>
      </c>
      <c r="E5600" s="211" t="s">
        <v>10385</v>
      </c>
      <c r="F5600" s="211" t="s">
        <v>7265</v>
      </c>
    </row>
    <row r="5601" spans="1:6">
      <c r="A5601" s="211" t="s">
        <v>4763</v>
      </c>
      <c r="B5601" s="211">
        <v>6203</v>
      </c>
      <c r="C5601" s="211">
        <v>1067</v>
      </c>
      <c r="D5601" s="211" t="s">
        <v>1255</v>
      </c>
      <c r="E5601" s="211" t="s">
        <v>6115</v>
      </c>
      <c r="F5601" s="211" t="s">
        <v>7433</v>
      </c>
    </row>
    <row r="5602" spans="1:6">
      <c r="A5602" s="211" t="s">
        <v>1866</v>
      </c>
      <c r="B5602" s="211">
        <v>3245</v>
      </c>
      <c r="C5602" s="211">
        <v>925</v>
      </c>
      <c r="D5602" s="211" t="s">
        <v>1117</v>
      </c>
      <c r="E5602" s="211" t="s">
        <v>10385</v>
      </c>
      <c r="F5602" s="211" t="s">
        <v>7239</v>
      </c>
    </row>
    <row r="5603" spans="1:6">
      <c r="A5603" s="211" t="s">
        <v>9912</v>
      </c>
      <c r="B5603" s="211">
        <v>7994</v>
      </c>
      <c r="C5603" s="211">
        <v>1195</v>
      </c>
      <c r="D5603" s="211" t="s">
        <v>1255</v>
      </c>
      <c r="E5603" s="211" t="s">
        <v>10385</v>
      </c>
      <c r="F5603" s="211" t="s">
        <v>7275</v>
      </c>
    </row>
    <row r="5604" spans="1:6">
      <c r="A5604" s="211" t="s">
        <v>1867</v>
      </c>
      <c r="B5604" s="211">
        <v>1961</v>
      </c>
      <c r="C5604" s="211">
        <v>1095</v>
      </c>
      <c r="D5604" s="211" t="s">
        <v>1255</v>
      </c>
      <c r="E5604" s="211" t="s">
        <v>10385</v>
      </c>
      <c r="F5604" s="211" t="s">
        <v>7248</v>
      </c>
    </row>
    <row r="5605" spans="1:6">
      <c r="A5605" s="211" t="s">
        <v>4500</v>
      </c>
      <c r="B5605" s="211">
        <v>6585</v>
      </c>
      <c r="C5605" s="211">
        <v>1311</v>
      </c>
      <c r="D5605" s="211" t="s">
        <v>1255</v>
      </c>
      <c r="E5605" s="211" t="s">
        <v>9913</v>
      </c>
      <c r="F5605" s="211" t="s">
        <v>7240</v>
      </c>
    </row>
    <row r="5606" spans="1:6">
      <c r="A5606" s="211" t="s">
        <v>8463</v>
      </c>
      <c r="B5606" s="211">
        <v>5161</v>
      </c>
      <c r="C5606" s="211" t="s">
        <v>10385</v>
      </c>
      <c r="D5606" s="211" t="s">
        <v>1255</v>
      </c>
      <c r="E5606" s="211" t="s">
        <v>10385</v>
      </c>
      <c r="F5606" s="211" t="s">
        <v>7223</v>
      </c>
    </row>
    <row r="5607" spans="1:6">
      <c r="A5607" s="211" t="s">
        <v>4703</v>
      </c>
      <c r="B5607" s="211">
        <v>6378</v>
      </c>
      <c r="C5607" s="211">
        <v>1066</v>
      </c>
      <c r="D5607" s="211" t="s">
        <v>1255</v>
      </c>
      <c r="E5607" s="211" t="s">
        <v>10385</v>
      </c>
      <c r="F5607" s="211" t="s">
        <v>7202</v>
      </c>
    </row>
    <row r="5608" spans="1:6">
      <c r="A5608" s="211" t="s">
        <v>6116</v>
      </c>
      <c r="B5608" s="211">
        <v>7460</v>
      </c>
      <c r="C5608" s="211">
        <v>757</v>
      </c>
      <c r="D5608" s="211" t="s">
        <v>1255</v>
      </c>
      <c r="E5608" s="211" t="s">
        <v>9914</v>
      </c>
      <c r="F5608" s="211" t="s">
        <v>7789</v>
      </c>
    </row>
    <row r="5609" spans="1:6">
      <c r="A5609" s="211" t="s">
        <v>1868</v>
      </c>
      <c r="B5609" s="211">
        <v>5738</v>
      </c>
      <c r="C5609" s="211">
        <v>1222</v>
      </c>
      <c r="D5609" s="211" t="s">
        <v>1255</v>
      </c>
      <c r="E5609" s="211" t="s">
        <v>10385</v>
      </c>
      <c r="F5609" s="211" t="s">
        <v>7357</v>
      </c>
    </row>
    <row r="5610" spans="1:6">
      <c r="A5610" s="211" t="s">
        <v>1869</v>
      </c>
      <c r="B5610" s="211">
        <v>5931</v>
      </c>
      <c r="C5610" s="211">
        <v>1252</v>
      </c>
      <c r="D5610" s="211" t="s">
        <v>1255</v>
      </c>
      <c r="E5610" s="211" t="s">
        <v>10385</v>
      </c>
      <c r="F5610" s="211" t="s">
        <v>7335</v>
      </c>
    </row>
    <row r="5611" spans="1:6">
      <c r="A5611" s="211" t="s">
        <v>10858</v>
      </c>
      <c r="B5611" s="211">
        <v>8845</v>
      </c>
      <c r="C5611" s="211" t="s">
        <v>10385</v>
      </c>
      <c r="D5611" s="211" t="s">
        <v>1255</v>
      </c>
      <c r="E5611" s="211" t="s">
        <v>10859</v>
      </c>
      <c r="F5611" s="211" t="s">
        <v>7257</v>
      </c>
    </row>
    <row r="5612" spans="1:6">
      <c r="A5612" s="211" t="s">
        <v>6992</v>
      </c>
      <c r="B5612" s="211">
        <v>7842</v>
      </c>
      <c r="C5612" s="211">
        <v>962</v>
      </c>
      <c r="D5612" s="211" t="s">
        <v>1255</v>
      </c>
      <c r="E5612" s="211" t="s">
        <v>10385</v>
      </c>
      <c r="F5612" s="211" t="s">
        <v>7285</v>
      </c>
    </row>
    <row r="5613" spans="1:6">
      <c r="A5613" s="211" t="s">
        <v>8464</v>
      </c>
      <c r="B5613" s="211">
        <v>6672</v>
      </c>
      <c r="C5613" s="211">
        <v>330</v>
      </c>
      <c r="D5613" s="211" t="s">
        <v>1117</v>
      </c>
      <c r="E5613" s="211" t="s">
        <v>3073</v>
      </c>
      <c r="F5613" s="211" t="s">
        <v>7285</v>
      </c>
    </row>
    <row r="5614" spans="1:6">
      <c r="A5614" s="211" t="s">
        <v>1870</v>
      </c>
      <c r="B5614" s="211">
        <v>2744</v>
      </c>
      <c r="C5614" s="211">
        <v>1116</v>
      </c>
      <c r="D5614" s="211" t="s">
        <v>1255</v>
      </c>
      <c r="E5614" s="211" t="s">
        <v>10385</v>
      </c>
      <c r="F5614" s="211" t="s">
        <v>7219</v>
      </c>
    </row>
    <row r="5615" spans="1:6">
      <c r="A5615" s="211" t="s">
        <v>1871</v>
      </c>
      <c r="B5615" s="211">
        <v>2584</v>
      </c>
      <c r="C5615" s="211">
        <v>875</v>
      </c>
      <c r="D5615" s="211" t="s">
        <v>1255</v>
      </c>
      <c r="E5615" s="211" t="s">
        <v>10385</v>
      </c>
      <c r="F5615" s="211" t="s">
        <v>7692</v>
      </c>
    </row>
    <row r="5616" spans="1:6">
      <c r="A5616" s="211" t="s">
        <v>4815</v>
      </c>
      <c r="B5616" s="211">
        <v>6150</v>
      </c>
      <c r="C5616" s="211">
        <v>1146</v>
      </c>
      <c r="D5616" s="211" t="s">
        <v>1255</v>
      </c>
      <c r="E5616" s="211" t="s">
        <v>10385</v>
      </c>
      <c r="F5616" s="211" t="s">
        <v>7267</v>
      </c>
    </row>
    <row r="5617" spans="1:6">
      <c r="A5617" s="211" t="s">
        <v>8465</v>
      </c>
      <c r="B5617" s="211">
        <v>664</v>
      </c>
      <c r="C5617" s="211" t="s">
        <v>10385</v>
      </c>
      <c r="D5617" s="211" t="s">
        <v>1255</v>
      </c>
      <c r="E5617" s="211" t="s">
        <v>10385</v>
      </c>
      <c r="F5617" s="211" t="s">
        <v>7162</v>
      </c>
    </row>
    <row r="5618" spans="1:6">
      <c r="A5618" s="211" t="s">
        <v>1872</v>
      </c>
      <c r="B5618" s="211">
        <v>2565</v>
      </c>
      <c r="C5618" s="211">
        <v>1616</v>
      </c>
      <c r="D5618" s="211" t="s">
        <v>1255</v>
      </c>
      <c r="E5618" s="211" t="s">
        <v>10385</v>
      </c>
      <c r="F5618" s="211" t="s">
        <v>7290</v>
      </c>
    </row>
    <row r="5619" spans="1:6">
      <c r="A5619" s="211" t="s">
        <v>6993</v>
      </c>
      <c r="B5619" s="211">
        <v>7879</v>
      </c>
      <c r="C5619" s="211">
        <v>804</v>
      </c>
      <c r="D5619" s="211" t="s">
        <v>1255</v>
      </c>
      <c r="E5619" s="211" t="s">
        <v>9915</v>
      </c>
      <c r="F5619" s="211" t="s">
        <v>9048</v>
      </c>
    </row>
    <row r="5620" spans="1:6">
      <c r="A5620" s="211" t="s">
        <v>1873</v>
      </c>
      <c r="B5620" s="211">
        <v>2377</v>
      </c>
      <c r="C5620" s="211">
        <v>688</v>
      </c>
      <c r="D5620" s="211" t="s">
        <v>1117</v>
      </c>
      <c r="E5620" s="211" t="s">
        <v>10385</v>
      </c>
      <c r="F5620" s="211" t="s">
        <v>7213</v>
      </c>
    </row>
    <row r="5621" spans="1:6">
      <c r="A5621" s="211" t="s">
        <v>6117</v>
      </c>
      <c r="B5621" s="211">
        <v>7241</v>
      </c>
      <c r="C5621" s="211">
        <v>1001</v>
      </c>
      <c r="D5621" s="211" t="s">
        <v>1255</v>
      </c>
      <c r="E5621" s="211" t="s">
        <v>10385</v>
      </c>
      <c r="F5621" s="211" t="s">
        <v>7431</v>
      </c>
    </row>
    <row r="5622" spans="1:6">
      <c r="A5622" s="211" t="s">
        <v>4568</v>
      </c>
      <c r="B5622" s="211">
        <v>6480</v>
      </c>
      <c r="C5622" s="211">
        <v>738</v>
      </c>
      <c r="D5622" s="211" t="s">
        <v>1255</v>
      </c>
      <c r="E5622" s="211" t="s">
        <v>10385</v>
      </c>
      <c r="F5622" s="211" t="s">
        <v>7724</v>
      </c>
    </row>
    <row r="5623" spans="1:6">
      <c r="A5623" s="211" t="s">
        <v>1874</v>
      </c>
      <c r="B5623" s="211">
        <v>3301</v>
      </c>
      <c r="C5623" s="211">
        <v>1071</v>
      </c>
      <c r="D5623" s="211" t="s">
        <v>1255</v>
      </c>
      <c r="E5623" s="211" t="s">
        <v>10385</v>
      </c>
      <c r="F5623" s="211" t="s">
        <v>7283</v>
      </c>
    </row>
    <row r="5624" spans="1:6">
      <c r="A5624" s="211" t="s">
        <v>1875</v>
      </c>
      <c r="B5624" s="211">
        <v>445</v>
      </c>
      <c r="C5624" s="211">
        <v>1612</v>
      </c>
      <c r="D5624" s="211" t="s">
        <v>1255</v>
      </c>
      <c r="E5624" s="211" t="s">
        <v>10385</v>
      </c>
      <c r="F5624" s="211" t="s">
        <v>7239</v>
      </c>
    </row>
    <row r="5625" spans="1:6">
      <c r="A5625" s="211" t="s">
        <v>10860</v>
      </c>
      <c r="B5625" s="211">
        <v>8764</v>
      </c>
      <c r="C5625" s="211">
        <v>1103</v>
      </c>
      <c r="D5625" s="211" t="s">
        <v>1255</v>
      </c>
      <c r="E5625" s="211" t="s">
        <v>10861</v>
      </c>
      <c r="F5625" s="211" t="s">
        <v>7457</v>
      </c>
    </row>
    <row r="5626" spans="1:6">
      <c r="A5626" s="211" t="s">
        <v>9916</v>
      </c>
      <c r="B5626" s="211">
        <v>8402</v>
      </c>
      <c r="C5626" s="211">
        <v>1000</v>
      </c>
      <c r="D5626" s="211" t="s">
        <v>1255</v>
      </c>
      <c r="E5626" s="211" t="s">
        <v>9917</v>
      </c>
      <c r="F5626" s="211" t="s">
        <v>9213</v>
      </c>
    </row>
    <row r="5627" spans="1:6">
      <c r="A5627" s="211" t="s">
        <v>9918</v>
      </c>
      <c r="B5627" s="211">
        <v>8036</v>
      </c>
      <c r="C5627" s="211">
        <v>1032</v>
      </c>
      <c r="D5627" s="211" t="s">
        <v>1255</v>
      </c>
      <c r="E5627" s="211" t="s">
        <v>10385</v>
      </c>
      <c r="F5627" s="211" t="s">
        <v>7238</v>
      </c>
    </row>
    <row r="5628" spans="1:6">
      <c r="A5628" s="211" t="s">
        <v>1876</v>
      </c>
      <c r="B5628" s="211">
        <v>1367</v>
      </c>
      <c r="C5628" s="211">
        <v>924</v>
      </c>
      <c r="D5628" s="211" t="s">
        <v>1255</v>
      </c>
      <c r="E5628" s="211" t="s">
        <v>10385</v>
      </c>
      <c r="F5628" s="211" t="s">
        <v>7286</v>
      </c>
    </row>
    <row r="5629" spans="1:6">
      <c r="A5629" s="211" t="s">
        <v>10862</v>
      </c>
      <c r="B5629" s="211">
        <v>8801</v>
      </c>
      <c r="C5629" s="211" t="s">
        <v>10385</v>
      </c>
      <c r="D5629" s="211" t="s">
        <v>1255</v>
      </c>
      <c r="E5629" s="211" t="s">
        <v>10385</v>
      </c>
      <c r="F5629" s="211" t="s">
        <v>7238</v>
      </c>
    </row>
    <row r="5630" spans="1:6">
      <c r="A5630" s="211" t="s">
        <v>1877</v>
      </c>
      <c r="B5630" s="211">
        <v>3067</v>
      </c>
      <c r="C5630" s="211">
        <v>1397</v>
      </c>
      <c r="D5630" s="211" t="s">
        <v>1255</v>
      </c>
      <c r="E5630" s="211" t="s">
        <v>10385</v>
      </c>
      <c r="F5630" s="211" t="s">
        <v>7337</v>
      </c>
    </row>
    <row r="5631" spans="1:6">
      <c r="A5631" s="211" t="s">
        <v>1878</v>
      </c>
      <c r="B5631" s="211">
        <v>5170</v>
      </c>
      <c r="C5631" s="211">
        <v>1405</v>
      </c>
      <c r="D5631" s="211" t="s">
        <v>1255</v>
      </c>
      <c r="E5631" s="211" t="s">
        <v>9919</v>
      </c>
      <c r="F5631" s="211" t="s">
        <v>7373</v>
      </c>
    </row>
    <row r="5632" spans="1:6">
      <c r="A5632" s="211" t="s">
        <v>1879</v>
      </c>
      <c r="B5632" s="211">
        <v>4495</v>
      </c>
      <c r="C5632" s="211">
        <v>917</v>
      </c>
      <c r="D5632" s="211" t="s">
        <v>1255</v>
      </c>
      <c r="E5632" s="211" t="s">
        <v>10385</v>
      </c>
      <c r="F5632" s="211" t="s">
        <v>7453</v>
      </c>
    </row>
    <row r="5633" spans="1:6">
      <c r="A5633" s="211" t="s">
        <v>8466</v>
      </c>
      <c r="B5633" s="211">
        <v>1490</v>
      </c>
      <c r="C5633" s="211" t="s">
        <v>10385</v>
      </c>
      <c r="D5633" s="211" t="s">
        <v>1255</v>
      </c>
      <c r="E5633" s="211" t="s">
        <v>10385</v>
      </c>
      <c r="F5633" s="211" t="s">
        <v>7335</v>
      </c>
    </row>
    <row r="5634" spans="1:6">
      <c r="A5634" s="211" t="s">
        <v>8467</v>
      </c>
      <c r="B5634" s="211">
        <v>1489</v>
      </c>
      <c r="C5634" s="211" t="s">
        <v>10385</v>
      </c>
      <c r="D5634" s="211" t="s">
        <v>1255</v>
      </c>
      <c r="E5634" s="211" t="s">
        <v>10385</v>
      </c>
      <c r="F5634" s="211" t="s">
        <v>7335</v>
      </c>
    </row>
    <row r="5635" spans="1:6">
      <c r="A5635" s="211" t="s">
        <v>6994</v>
      </c>
      <c r="B5635" s="211">
        <v>7624</v>
      </c>
      <c r="C5635" s="211">
        <v>987</v>
      </c>
      <c r="D5635" s="211" t="s">
        <v>1255</v>
      </c>
      <c r="E5635" s="211" t="s">
        <v>10385</v>
      </c>
      <c r="F5635" s="211" t="s">
        <v>7258</v>
      </c>
    </row>
    <row r="5636" spans="1:6">
      <c r="A5636" s="211" t="s">
        <v>2881</v>
      </c>
      <c r="B5636" s="211">
        <v>1240</v>
      </c>
      <c r="C5636" s="211">
        <v>1964</v>
      </c>
      <c r="D5636" s="211" t="s">
        <v>1255</v>
      </c>
      <c r="E5636" s="211" t="s">
        <v>10385</v>
      </c>
      <c r="F5636" s="211" t="s">
        <v>7384</v>
      </c>
    </row>
    <row r="5637" spans="1:6">
      <c r="A5637" s="211" t="s">
        <v>8468</v>
      </c>
      <c r="B5637" s="211">
        <v>1506</v>
      </c>
      <c r="C5637" s="211" t="s">
        <v>10385</v>
      </c>
      <c r="D5637" s="211" t="s">
        <v>1255</v>
      </c>
      <c r="E5637" s="211" t="s">
        <v>10385</v>
      </c>
      <c r="F5637" s="211" t="s">
        <v>7344</v>
      </c>
    </row>
    <row r="5638" spans="1:6">
      <c r="A5638" s="211" t="s">
        <v>4764</v>
      </c>
      <c r="B5638" s="211">
        <v>6182</v>
      </c>
      <c r="C5638" s="211">
        <v>1993</v>
      </c>
      <c r="D5638" s="211" t="s">
        <v>1255</v>
      </c>
      <c r="E5638" s="211" t="s">
        <v>6118</v>
      </c>
      <c r="F5638" s="211" t="s">
        <v>7306</v>
      </c>
    </row>
    <row r="5639" spans="1:6">
      <c r="A5639" s="211" t="s">
        <v>1880</v>
      </c>
      <c r="B5639" s="211">
        <v>1054</v>
      </c>
      <c r="C5639" s="211">
        <v>927</v>
      </c>
      <c r="D5639" s="211" t="s">
        <v>1255</v>
      </c>
      <c r="E5639" s="211" t="s">
        <v>10385</v>
      </c>
      <c r="F5639" s="211" t="s">
        <v>7376</v>
      </c>
    </row>
    <row r="5640" spans="1:6">
      <c r="A5640" s="211" t="s">
        <v>10863</v>
      </c>
      <c r="B5640" s="211">
        <v>8586</v>
      </c>
      <c r="C5640" s="211">
        <v>1006</v>
      </c>
      <c r="D5640" s="211" t="s">
        <v>1255</v>
      </c>
      <c r="E5640" s="211" t="s">
        <v>10385</v>
      </c>
      <c r="F5640" s="211" t="s">
        <v>7224</v>
      </c>
    </row>
    <row r="5641" spans="1:6">
      <c r="A5641" s="211" t="s">
        <v>1881</v>
      </c>
      <c r="B5641" s="211">
        <v>2021</v>
      </c>
      <c r="C5641" s="211">
        <v>1468</v>
      </c>
      <c r="D5641" s="211" t="s">
        <v>1255</v>
      </c>
      <c r="E5641" s="211" t="s">
        <v>10385</v>
      </c>
      <c r="F5641" s="211" t="s">
        <v>7286</v>
      </c>
    </row>
    <row r="5642" spans="1:6">
      <c r="A5642" s="211" t="s">
        <v>1882</v>
      </c>
      <c r="B5642" s="211">
        <v>539</v>
      </c>
      <c r="C5642" s="211">
        <v>2333</v>
      </c>
      <c r="D5642" s="211" t="s">
        <v>1117</v>
      </c>
      <c r="E5642" s="211" t="s">
        <v>10385</v>
      </c>
      <c r="F5642" s="211" t="s">
        <v>7267</v>
      </c>
    </row>
    <row r="5643" spans="1:6">
      <c r="A5643" s="211" t="s">
        <v>5174</v>
      </c>
      <c r="B5643" s="211">
        <v>6720</v>
      </c>
      <c r="C5643" s="211">
        <v>1111</v>
      </c>
      <c r="D5643" s="211" t="s">
        <v>1255</v>
      </c>
      <c r="E5643" s="211" t="s">
        <v>10385</v>
      </c>
      <c r="F5643" s="211" t="s">
        <v>7283</v>
      </c>
    </row>
    <row r="5644" spans="1:6">
      <c r="A5644" s="211" t="s">
        <v>8469</v>
      </c>
      <c r="B5644" s="211">
        <v>1536</v>
      </c>
      <c r="C5644" s="211" t="s">
        <v>10385</v>
      </c>
      <c r="D5644" s="211" t="s">
        <v>1255</v>
      </c>
      <c r="E5644" s="211" t="s">
        <v>10385</v>
      </c>
      <c r="F5644" s="211" t="s">
        <v>7199</v>
      </c>
    </row>
    <row r="5645" spans="1:6">
      <c r="A5645" s="211" t="s">
        <v>9920</v>
      </c>
      <c r="B5645" s="211">
        <v>8340</v>
      </c>
      <c r="C5645" s="211">
        <v>1191</v>
      </c>
      <c r="D5645" s="211" t="s">
        <v>1255</v>
      </c>
      <c r="E5645" s="211" t="s">
        <v>9921</v>
      </c>
      <c r="F5645" s="211" t="s">
        <v>7247</v>
      </c>
    </row>
    <row r="5646" spans="1:6">
      <c r="A5646" s="211" t="s">
        <v>6995</v>
      </c>
      <c r="B5646" s="211">
        <v>7783</v>
      </c>
      <c r="C5646" s="211">
        <v>998</v>
      </c>
      <c r="D5646" s="211" t="s">
        <v>1255</v>
      </c>
      <c r="E5646" s="211" t="s">
        <v>6996</v>
      </c>
      <c r="F5646" s="211" t="s">
        <v>7301</v>
      </c>
    </row>
    <row r="5647" spans="1:6">
      <c r="A5647" s="211" t="s">
        <v>6997</v>
      </c>
      <c r="B5647" s="211">
        <v>7638</v>
      </c>
      <c r="C5647" s="211">
        <v>2000</v>
      </c>
      <c r="D5647" s="211" t="s">
        <v>1255</v>
      </c>
      <c r="E5647" s="211" t="s">
        <v>10385</v>
      </c>
      <c r="F5647" s="211" t="s">
        <v>7427</v>
      </c>
    </row>
    <row r="5648" spans="1:6">
      <c r="A5648" s="211" t="s">
        <v>4786</v>
      </c>
      <c r="B5648" s="211">
        <v>6161</v>
      </c>
      <c r="C5648" s="211">
        <v>1265</v>
      </c>
      <c r="D5648" s="211" t="s">
        <v>1255</v>
      </c>
      <c r="E5648" s="211" t="s">
        <v>6998</v>
      </c>
      <c r="F5648" s="211" t="s">
        <v>7438</v>
      </c>
    </row>
    <row r="5649" spans="1:6">
      <c r="A5649" s="211" t="s">
        <v>3859</v>
      </c>
      <c r="B5649" s="211">
        <v>3060</v>
      </c>
      <c r="C5649" s="211">
        <v>1203</v>
      </c>
      <c r="D5649" s="211" t="s">
        <v>1255</v>
      </c>
      <c r="E5649" s="211" t="s">
        <v>10385</v>
      </c>
      <c r="F5649" s="211" t="s">
        <v>7213</v>
      </c>
    </row>
    <row r="5650" spans="1:6">
      <c r="A5650" s="211" t="s">
        <v>5388</v>
      </c>
      <c r="B5650" s="211">
        <v>3976</v>
      </c>
      <c r="C5650" s="211">
        <v>997</v>
      </c>
      <c r="D5650" s="211" t="s">
        <v>1255</v>
      </c>
      <c r="E5650" s="211" t="s">
        <v>10385</v>
      </c>
      <c r="F5650" s="211" t="s">
        <v>7438</v>
      </c>
    </row>
    <row r="5651" spans="1:6">
      <c r="A5651" s="211" t="s">
        <v>8470</v>
      </c>
      <c r="B5651" s="211">
        <v>392</v>
      </c>
      <c r="C5651" s="211" t="s">
        <v>10385</v>
      </c>
      <c r="D5651" s="211" t="s">
        <v>1255</v>
      </c>
      <c r="E5651" s="211" t="s">
        <v>10385</v>
      </c>
      <c r="F5651" s="211" t="s">
        <v>7326</v>
      </c>
    </row>
    <row r="5652" spans="1:6">
      <c r="A5652" s="211" t="s">
        <v>1883</v>
      </c>
      <c r="B5652" s="211">
        <v>3002</v>
      </c>
      <c r="C5652" s="211">
        <v>927</v>
      </c>
      <c r="D5652" s="211" t="s">
        <v>1255</v>
      </c>
      <c r="E5652" s="211" t="s">
        <v>10385</v>
      </c>
      <c r="F5652" s="211" t="s">
        <v>8160</v>
      </c>
    </row>
    <row r="5653" spans="1:6">
      <c r="A5653" s="211" t="s">
        <v>1884</v>
      </c>
      <c r="B5653" s="211">
        <v>3987</v>
      </c>
      <c r="C5653" s="211">
        <v>1116</v>
      </c>
      <c r="D5653" s="211" t="s">
        <v>1255</v>
      </c>
      <c r="E5653" s="211" t="s">
        <v>10385</v>
      </c>
      <c r="F5653" s="211" t="s">
        <v>7235</v>
      </c>
    </row>
    <row r="5654" spans="1:6">
      <c r="A5654" s="211" t="s">
        <v>1885</v>
      </c>
      <c r="B5654" s="211">
        <v>3282</v>
      </c>
      <c r="C5654" s="211">
        <v>849</v>
      </c>
      <c r="D5654" s="211" t="s">
        <v>1117</v>
      </c>
      <c r="E5654" s="211" t="s">
        <v>10385</v>
      </c>
      <c r="F5654" s="211" t="s">
        <v>7438</v>
      </c>
    </row>
    <row r="5655" spans="1:6">
      <c r="A5655" s="211" t="s">
        <v>1886</v>
      </c>
      <c r="B5655" s="211">
        <v>4298</v>
      </c>
      <c r="C5655" s="211">
        <v>1207</v>
      </c>
      <c r="D5655" s="211" t="s">
        <v>1255</v>
      </c>
      <c r="E5655" s="211" t="s">
        <v>6999</v>
      </c>
      <c r="F5655" s="211" t="s">
        <v>7217</v>
      </c>
    </row>
    <row r="5656" spans="1:6">
      <c r="A5656" s="211" t="s">
        <v>8471</v>
      </c>
      <c r="B5656" s="211">
        <v>2</v>
      </c>
      <c r="C5656" s="211" t="s">
        <v>10385</v>
      </c>
      <c r="D5656" s="211" t="s">
        <v>1255</v>
      </c>
      <c r="E5656" s="211" t="s">
        <v>10385</v>
      </c>
      <c r="F5656" s="211" t="s">
        <v>7261</v>
      </c>
    </row>
    <row r="5657" spans="1:6">
      <c r="A5657" s="211" t="s">
        <v>4740</v>
      </c>
      <c r="B5657" s="211">
        <v>6455</v>
      </c>
      <c r="C5657" s="211">
        <v>1202</v>
      </c>
      <c r="D5657" s="211" t="s">
        <v>1255</v>
      </c>
      <c r="E5657" s="211" t="s">
        <v>10385</v>
      </c>
      <c r="F5657" s="211" t="s">
        <v>7454</v>
      </c>
    </row>
    <row r="5658" spans="1:6">
      <c r="A5658" s="211" t="s">
        <v>2954</v>
      </c>
      <c r="B5658" s="211">
        <v>2269</v>
      </c>
      <c r="C5658" s="211">
        <v>1236</v>
      </c>
      <c r="D5658" s="211" t="s">
        <v>1117</v>
      </c>
      <c r="E5658" s="211" t="s">
        <v>10385</v>
      </c>
      <c r="F5658" s="211" t="s">
        <v>7322</v>
      </c>
    </row>
    <row r="5659" spans="1:6">
      <c r="A5659" s="211" t="s">
        <v>1887</v>
      </c>
      <c r="B5659" s="211">
        <v>5999</v>
      </c>
      <c r="C5659" s="211">
        <v>1247</v>
      </c>
      <c r="D5659" s="211" t="s">
        <v>1255</v>
      </c>
      <c r="E5659" s="211" t="s">
        <v>10385</v>
      </c>
      <c r="F5659" s="211" t="s">
        <v>7386</v>
      </c>
    </row>
    <row r="5660" spans="1:6">
      <c r="A5660" s="211" t="s">
        <v>10864</v>
      </c>
      <c r="B5660" s="211">
        <v>8594</v>
      </c>
      <c r="C5660" s="211">
        <v>448</v>
      </c>
      <c r="D5660" s="211" t="s">
        <v>1255</v>
      </c>
      <c r="E5660" s="211" t="s">
        <v>10385</v>
      </c>
      <c r="F5660" s="211" t="s">
        <v>7246</v>
      </c>
    </row>
    <row r="5661" spans="1:6">
      <c r="A5661" s="211" t="s">
        <v>1888</v>
      </c>
      <c r="B5661" s="211">
        <v>2947</v>
      </c>
      <c r="C5661" s="211">
        <v>994</v>
      </c>
      <c r="D5661" s="211" t="s">
        <v>1117</v>
      </c>
      <c r="E5661" s="211" t="s">
        <v>10385</v>
      </c>
      <c r="F5661" s="211" t="s">
        <v>7177</v>
      </c>
    </row>
    <row r="5662" spans="1:6">
      <c r="A5662" s="211" t="s">
        <v>9922</v>
      </c>
      <c r="B5662" s="211">
        <v>8403</v>
      </c>
      <c r="C5662" s="211">
        <v>1367</v>
      </c>
      <c r="D5662" s="211" t="s">
        <v>1255</v>
      </c>
      <c r="E5662" s="211" t="s">
        <v>10385</v>
      </c>
      <c r="F5662" s="211" t="s">
        <v>9213</v>
      </c>
    </row>
    <row r="5663" spans="1:6">
      <c r="A5663" s="211" t="s">
        <v>1889</v>
      </c>
      <c r="B5663" s="211">
        <v>900</v>
      </c>
      <c r="C5663" s="211">
        <v>1605</v>
      </c>
      <c r="D5663" s="211" t="s">
        <v>1255</v>
      </c>
      <c r="E5663" s="211" t="s">
        <v>10385</v>
      </c>
      <c r="F5663" s="211" t="s">
        <v>7356</v>
      </c>
    </row>
    <row r="5664" spans="1:6">
      <c r="A5664" s="211" t="s">
        <v>8472</v>
      </c>
      <c r="B5664" s="211">
        <v>2234</v>
      </c>
      <c r="C5664" s="211" t="s">
        <v>10385</v>
      </c>
      <c r="D5664" s="211" t="s">
        <v>1255</v>
      </c>
      <c r="E5664" s="211" t="s">
        <v>10385</v>
      </c>
      <c r="F5664" s="211" t="s">
        <v>7383</v>
      </c>
    </row>
    <row r="5665" spans="1:6">
      <c r="A5665" s="211" t="s">
        <v>1890</v>
      </c>
      <c r="B5665" s="211">
        <v>2886</v>
      </c>
      <c r="C5665" s="211">
        <v>990</v>
      </c>
      <c r="D5665" s="211" t="s">
        <v>1255</v>
      </c>
      <c r="E5665" s="211" t="s">
        <v>10385</v>
      </c>
      <c r="F5665" s="211" t="s">
        <v>7331</v>
      </c>
    </row>
    <row r="5666" spans="1:6">
      <c r="A5666" s="211" t="s">
        <v>1891</v>
      </c>
      <c r="B5666" s="211">
        <v>1810</v>
      </c>
      <c r="C5666" s="211">
        <v>868</v>
      </c>
      <c r="D5666" s="211" t="s">
        <v>1255</v>
      </c>
      <c r="E5666" s="211" t="s">
        <v>10385</v>
      </c>
      <c r="F5666" s="211" t="s">
        <v>7757</v>
      </c>
    </row>
    <row r="5667" spans="1:6">
      <c r="A5667" s="211" t="s">
        <v>4908</v>
      </c>
      <c r="B5667" s="211">
        <v>2706</v>
      </c>
      <c r="C5667" s="211">
        <v>1886</v>
      </c>
      <c r="D5667" s="211" t="s">
        <v>1255</v>
      </c>
      <c r="E5667" s="211" t="s">
        <v>10385</v>
      </c>
      <c r="F5667" s="211" t="s">
        <v>7285</v>
      </c>
    </row>
    <row r="5668" spans="1:6">
      <c r="A5668" s="211" t="s">
        <v>1892</v>
      </c>
      <c r="B5668" s="211">
        <v>2887</v>
      </c>
      <c r="C5668" s="211">
        <v>1574</v>
      </c>
      <c r="D5668" s="211" t="s">
        <v>1255</v>
      </c>
      <c r="E5668" s="211" t="s">
        <v>10385</v>
      </c>
      <c r="F5668" s="211" t="s">
        <v>7383</v>
      </c>
    </row>
    <row r="5669" spans="1:6">
      <c r="A5669" s="211" t="s">
        <v>10865</v>
      </c>
      <c r="B5669" s="211">
        <v>8650</v>
      </c>
      <c r="C5669" s="211">
        <v>1724</v>
      </c>
      <c r="D5669" s="211" t="s">
        <v>1117</v>
      </c>
      <c r="E5669" s="211" t="s">
        <v>10866</v>
      </c>
      <c r="F5669" s="211" t="s">
        <v>7365</v>
      </c>
    </row>
    <row r="5670" spans="1:6">
      <c r="A5670" s="211" t="s">
        <v>8473</v>
      </c>
      <c r="B5670" s="211">
        <v>33</v>
      </c>
      <c r="C5670" s="211" t="s">
        <v>10385</v>
      </c>
      <c r="D5670" s="211" t="s">
        <v>1255</v>
      </c>
      <c r="E5670" s="211" t="s">
        <v>10385</v>
      </c>
      <c r="F5670" s="211" t="s">
        <v>7199</v>
      </c>
    </row>
    <row r="5671" spans="1:6">
      <c r="A5671" s="211" t="s">
        <v>1893</v>
      </c>
      <c r="B5671" s="211">
        <v>3902</v>
      </c>
      <c r="C5671" s="211">
        <v>1342</v>
      </c>
      <c r="D5671" s="211" t="s">
        <v>1255</v>
      </c>
      <c r="E5671" s="211" t="s">
        <v>5175</v>
      </c>
      <c r="F5671" s="211" t="s">
        <v>7736</v>
      </c>
    </row>
    <row r="5672" spans="1:6">
      <c r="A5672" s="211" t="s">
        <v>4718</v>
      </c>
      <c r="B5672" s="211">
        <v>5352</v>
      </c>
      <c r="C5672" s="211">
        <v>975</v>
      </c>
      <c r="D5672" s="211" t="s">
        <v>1255</v>
      </c>
      <c r="E5672" s="211" t="s">
        <v>10385</v>
      </c>
      <c r="F5672" s="211" t="s">
        <v>7248</v>
      </c>
    </row>
    <row r="5673" spans="1:6">
      <c r="A5673" s="211" t="s">
        <v>9923</v>
      </c>
      <c r="B5673" s="211">
        <v>8024</v>
      </c>
      <c r="C5673" s="211">
        <v>1161</v>
      </c>
      <c r="D5673" s="211" t="s">
        <v>1255</v>
      </c>
      <c r="E5673" s="211" t="s">
        <v>10385</v>
      </c>
      <c r="F5673" s="211" t="s">
        <v>7518</v>
      </c>
    </row>
    <row r="5674" spans="1:6">
      <c r="A5674" s="211" t="s">
        <v>9924</v>
      </c>
      <c r="B5674" s="211">
        <v>8070</v>
      </c>
      <c r="C5674" s="211">
        <v>1009</v>
      </c>
      <c r="D5674" s="211" t="s">
        <v>1255</v>
      </c>
      <c r="E5674" s="211" t="s">
        <v>10385</v>
      </c>
      <c r="F5674" s="211" t="s">
        <v>9120</v>
      </c>
    </row>
    <row r="5675" spans="1:6">
      <c r="A5675" s="211" t="s">
        <v>1894</v>
      </c>
      <c r="B5675" s="211">
        <v>1837</v>
      </c>
      <c r="C5675" s="211">
        <v>1290</v>
      </c>
      <c r="D5675" s="211" t="s">
        <v>1255</v>
      </c>
      <c r="E5675" s="211" t="s">
        <v>10385</v>
      </c>
      <c r="F5675" s="211" t="s">
        <v>7225</v>
      </c>
    </row>
    <row r="5676" spans="1:6">
      <c r="A5676" s="211" t="s">
        <v>1895</v>
      </c>
      <c r="B5676" s="211">
        <v>4096</v>
      </c>
      <c r="C5676" s="211">
        <v>756</v>
      </c>
      <c r="D5676" s="211" t="s">
        <v>1255</v>
      </c>
      <c r="E5676" s="211" t="s">
        <v>10385</v>
      </c>
      <c r="F5676" s="211" t="s">
        <v>7203</v>
      </c>
    </row>
    <row r="5677" spans="1:6">
      <c r="A5677" s="211" t="s">
        <v>1896</v>
      </c>
      <c r="B5677" s="211">
        <v>3749</v>
      </c>
      <c r="C5677" s="211">
        <v>847</v>
      </c>
      <c r="D5677" s="211" t="s">
        <v>1255</v>
      </c>
      <c r="E5677" s="211" t="s">
        <v>10385</v>
      </c>
      <c r="F5677" s="211" t="s">
        <v>7217</v>
      </c>
    </row>
    <row r="5678" spans="1:6">
      <c r="A5678" s="211" t="s">
        <v>1897</v>
      </c>
      <c r="B5678" s="211">
        <v>1772</v>
      </c>
      <c r="C5678" s="211">
        <v>1016</v>
      </c>
      <c r="D5678" s="211" t="s">
        <v>1255</v>
      </c>
      <c r="E5678" s="211" t="s">
        <v>10385</v>
      </c>
      <c r="F5678" s="211" t="s">
        <v>7380</v>
      </c>
    </row>
    <row r="5679" spans="1:6">
      <c r="A5679" s="211" t="s">
        <v>1898</v>
      </c>
      <c r="B5679" s="211">
        <v>2940</v>
      </c>
      <c r="C5679" s="211">
        <v>974</v>
      </c>
      <c r="D5679" s="211" t="s">
        <v>1255</v>
      </c>
      <c r="E5679" s="211" t="s">
        <v>10385</v>
      </c>
      <c r="F5679" s="211" t="s">
        <v>7444</v>
      </c>
    </row>
    <row r="5680" spans="1:6">
      <c r="A5680" s="211" t="s">
        <v>10867</v>
      </c>
      <c r="B5680" s="211">
        <v>8720</v>
      </c>
      <c r="C5680" s="211">
        <v>1081</v>
      </c>
      <c r="D5680" s="211" t="s">
        <v>1255</v>
      </c>
      <c r="E5680" s="211" t="s">
        <v>10868</v>
      </c>
      <c r="F5680" s="211" t="s">
        <v>7325</v>
      </c>
    </row>
    <row r="5681" spans="1:6">
      <c r="A5681" s="211" t="s">
        <v>8474</v>
      </c>
      <c r="B5681" s="211">
        <v>87</v>
      </c>
      <c r="C5681" s="211" t="s">
        <v>10385</v>
      </c>
      <c r="D5681" s="211" t="s">
        <v>1255</v>
      </c>
      <c r="E5681" s="211" t="s">
        <v>10385</v>
      </c>
      <c r="F5681" s="211" t="s">
        <v>7243</v>
      </c>
    </row>
    <row r="5682" spans="1:6">
      <c r="A5682" s="211" t="s">
        <v>1899</v>
      </c>
      <c r="B5682" s="211">
        <v>5713</v>
      </c>
      <c r="C5682" s="211">
        <v>1289</v>
      </c>
      <c r="D5682" s="211" t="s">
        <v>1255</v>
      </c>
      <c r="E5682" s="211" t="s">
        <v>7000</v>
      </c>
      <c r="F5682" s="211" t="s">
        <v>7438</v>
      </c>
    </row>
    <row r="5683" spans="1:6">
      <c r="A5683" s="211" t="s">
        <v>4547</v>
      </c>
      <c r="B5683" s="211">
        <v>6577</v>
      </c>
      <c r="C5683" s="211">
        <v>926</v>
      </c>
      <c r="D5683" s="211" t="s">
        <v>1255</v>
      </c>
      <c r="E5683" s="211" t="s">
        <v>10385</v>
      </c>
      <c r="F5683" s="211" t="s">
        <v>7287</v>
      </c>
    </row>
    <row r="5684" spans="1:6">
      <c r="A5684" s="211" t="s">
        <v>4569</v>
      </c>
      <c r="B5684" s="211">
        <v>6478</v>
      </c>
      <c r="C5684" s="211">
        <v>977</v>
      </c>
      <c r="D5684" s="211" t="s">
        <v>1255</v>
      </c>
      <c r="E5684" s="211" t="s">
        <v>10385</v>
      </c>
      <c r="F5684" s="211" t="s">
        <v>7724</v>
      </c>
    </row>
    <row r="5685" spans="1:6">
      <c r="A5685" s="211" t="s">
        <v>1900</v>
      </c>
      <c r="B5685" s="211">
        <v>1626</v>
      </c>
      <c r="C5685" s="211">
        <v>998</v>
      </c>
      <c r="D5685" s="211" t="s">
        <v>1255</v>
      </c>
      <c r="E5685" s="211" t="s">
        <v>10385</v>
      </c>
      <c r="F5685" s="211" t="s">
        <v>7657</v>
      </c>
    </row>
    <row r="5686" spans="1:6">
      <c r="A5686" s="211" t="s">
        <v>1901</v>
      </c>
      <c r="B5686" s="211">
        <v>2554</v>
      </c>
      <c r="C5686" s="211">
        <v>916</v>
      </c>
      <c r="D5686" s="211" t="s">
        <v>1255</v>
      </c>
      <c r="E5686" s="211" t="s">
        <v>10385</v>
      </c>
      <c r="F5686" s="211" t="s">
        <v>7534</v>
      </c>
    </row>
    <row r="5687" spans="1:6">
      <c r="A5687" s="211" t="s">
        <v>8475</v>
      </c>
      <c r="B5687" s="211">
        <v>2084</v>
      </c>
      <c r="C5687" s="211" t="s">
        <v>10385</v>
      </c>
      <c r="D5687" s="211" t="s">
        <v>1255</v>
      </c>
      <c r="E5687" s="211" t="s">
        <v>10385</v>
      </c>
      <c r="F5687" s="211" t="s">
        <v>7261</v>
      </c>
    </row>
    <row r="5688" spans="1:6">
      <c r="A5688" s="211" t="s">
        <v>6119</v>
      </c>
      <c r="B5688" s="211">
        <v>7265</v>
      </c>
      <c r="C5688" s="211">
        <v>711</v>
      </c>
      <c r="D5688" s="211" t="s">
        <v>1117</v>
      </c>
      <c r="E5688" s="211" t="s">
        <v>9925</v>
      </c>
      <c r="F5688" s="211" t="s">
        <v>7322</v>
      </c>
    </row>
    <row r="5689" spans="1:6">
      <c r="A5689" s="211" t="s">
        <v>1902</v>
      </c>
      <c r="B5689" s="211">
        <v>1713</v>
      </c>
      <c r="C5689" s="211">
        <v>547</v>
      </c>
      <c r="D5689" s="211" t="s">
        <v>1117</v>
      </c>
      <c r="E5689" s="211" t="s">
        <v>10385</v>
      </c>
      <c r="F5689" s="211" t="s">
        <v>7213</v>
      </c>
    </row>
    <row r="5690" spans="1:6">
      <c r="A5690" s="211" t="s">
        <v>10869</v>
      </c>
      <c r="B5690" s="211">
        <v>8648</v>
      </c>
      <c r="C5690" s="211">
        <v>801</v>
      </c>
      <c r="D5690" s="211" t="s">
        <v>1117</v>
      </c>
      <c r="E5690" s="211" t="s">
        <v>10870</v>
      </c>
      <c r="F5690" s="211" t="s">
        <v>7310</v>
      </c>
    </row>
    <row r="5691" spans="1:6">
      <c r="A5691" s="211" t="s">
        <v>10871</v>
      </c>
      <c r="B5691" s="211">
        <v>8738</v>
      </c>
      <c r="C5691" s="211">
        <v>1353</v>
      </c>
      <c r="D5691" s="211" t="s">
        <v>1255</v>
      </c>
      <c r="E5691" s="211" t="s">
        <v>10872</v>
      </c>
      <c r="F5691" s="211" t="s">
        <v>7208</v>
      </c>
    </row>
    <row r="5692" spans="1:6">
      <c r="A5692" s="211" t="s">
        <v>5176</v>
      </c>
      <c r="B5692" s="211">
        <v>6243</v>
      </c>
      <c r="C5692" s="211">
        <v>1138</v>
      </c>
      <c r="D5692" s="211" t="s">
        <v>1255</v>
      </c>
      <c r="E5692" s="211" t="s">
        <v>10385</v>
      </c>
      <c r="F5692" s="211" t="s">
        <v>7402</v>
      </c>
    </row>
    <row r="5693" spans="1:6">
      <c r="A5693" s="211" t="s">
        <v>1903</v>
      </c>
      <c r="B5693" s="211">
        <v>5060</v>
      </c>
      <c r="C5693" s="211">
        <v>1884</v>
      </c>
      <c r="D5693" s="211" t="s">
        <v>1255</v>
      </c>
      <c r="E5693" s="211" t="s">
        <v>10385</v>
      </c>
      <c r="F5693" s="211" t="s">
        <v>7283</v>
      </c>
    </row>
    <row r="5694" spans="1:6">
      <c r="A5694" s="211" t="s">
        <v>9926</v>
      </c>
      <c r="B5694" s="211">
        <v>8218</v>
      </c>
      <c r="C5694" s="211">
        <v>1185</v>
      </c>
      <c r="D5694" s="211" t="s">
        <v>1255</v>
      </c>
      <c r="E5694" s="211" t="s">
        <v>9927</v>
      </c>
      <c r="F5694" s="211" t="s">
        <v>7373</v>
      </c>
    </row>
    <row r="5695" spans="1:6">
      <c r="A5695" s="211" t="s">
        <v>1904</v>
      </c>
      <c r="B5695" s="211">
        <v>4329</v>
      </c>
      <c r="C5695" s="211">
        <v>1535</v>
      </c>
      <c r="D5695" s="211" t="s">
        <v>1255</v>
      </c>
      <c r="E5695" s="211" t="s">
        <v>10385</v>
      </c>
      <c r="F5695" s="211" t="s">
        <v>7295</v>
      </c>
    </row>
    <row r="5696" spans="1:6">
      <c r="A5696" s="211" t="s">
        <v>4570</v>
      </c>
      <c r="B5696" s="211">
        <v>6482</v>
      </c>
      <c r="C5696" s="211">
        <v>1370</v>
      </c>
      <c r="D5696" s="211" t="s">
        <v>1255</v>
      </c>
      <c r="E5696" s="211" t="s">
        <v>10873</v>
      </c>
      <c r="F5696" s="211" t="s">
        <v>7233</v>
      </c>
    </row>
    <row r="5697" spans="1:6">
      <c r="A5697" s="211" t="s">
        <v>1905</v>
      </c>
      <c r="B5697" s="211">
        <v>5469</v>
      </c>
      <c r="C5697" s="211">
        <v>1272</v>
      </c>
      <c r="D5697" s="211" t="s">
        <v>1117</v>
      </c>
      <c r="E5697" s="211" t="s">
        <v>10385</v>
      </c>
      <c r="F5697" s="211" t="s">
        <v>7295</v>
      </c>
    </row>
    <row r="5698" spans="1:6">
      <c r="A5698" s="211" t="s">
        <v>4571</v>
      </c>
      <c r="B5698" s="211">
        <v>6464</v>
      </c>
      <c r="C5698" s="211">
        <v>2201</v>
      </c>
      <c r="D5698" s="211" t="s">
        <v>1255</v>
      </c>
      <c r="E5698" s="211" t="s">
        <v>10385</v>
      </c>
      <c r="F5698" s="211" t="s">
        <v>7295</v>
      </c>
    </row>
    <row r="5699" spans="1:6">
      <c r="A5699" s="211" t="s">
        <v>8476</v>
      </c>
      <c r="B5699" s="211">
        <v>617</v>
      </c>
      <c r="C5699" s="211" t="s">
        <v>10385</v>
      </c>
      <c r="D5699" s="211" t="s">
        <v>1255</v>
      </c>
      <c r="E5699" s="211" t="s">
        <v>10385</v>
      </c>
      <c r="F5699" s="211" t="s">
        <v>7466</v>
      </c>
    </row>
    <row r="5700" spans="1:6">
      <c r="A5700" s="211" t="s">
        <v>1906</v>
      </c>
      <c r="B5700" s="211">
        <v>2118</v>
      </c>
      <c r="C5700" s="211">
        <v>1050</v>
      </c>
      <c r="D5700" s="211" t="s">
        <v>1255</v>
      </c>
      <c r="E5700" s="211" t="s">
        <v>10385</v>
      </c>
      <c r="F5700" s="211" t="s">
        <v>7171</v>
      </c>
    </row>
    <row r="5701" spans="1:6">
      <c r="A5701" s="211" t="s">
        <v>1907</v>
      </c>
      <c r="B5701" s="211">
        <v>2440</v>
      </c>
      <c r="C5701" s="211">
        <v>1161</v>
      </c>
      <c r="D5701" s="211" t="s">
        <v>1255</v>
      </c>
      <c r="E5701" s="211" t="s">
        <v>10385</v>
      </c>
      <c r="F5701" s="211" t="s">
        <v>7344</v>
      </c>
    </row>
    <row r="5702" spans="1:6">
      <c r="A5702" s="211" t="s">
        <v>5389</v>
      </c>
      <c r="B5702" s="211">
        <v>3753</v>
      </c>
      <c r="C5702" s="211">
        <v>1228</v>
      </c>
      <c r="D5702" s="211" t="s">
        <v>1255</v>
      </c>
      <c r="E5702" s="211" t="s">
        <v>6120</v>
      </c>
      <c r="F5702" s="211" t="s">
        <v>7217</v>
      </c>
    </row>
    <row r="5703" spans="1:6">
      <c r="A5703" s="211" t="s">
        <v>10874</v>
      </c>
      <c r="B5703" s="211">
        <v>8763</v>
      </c>
      <c r="C5703" s="211">
        <v>1600</v>
      </c>
      <c r="D5703" s="211" t="s">
        <v>1255</v>
      </c>
      <c r="E5703" s="211" t="s">
        <v>10875</v>
      </c>
      <c r="F5703" s="211" t="s">
        <v>7561</v>
      </c>
    </row>
    <row r="5704" spans="1:6">
      <c r="A5704" s="211" t="s">
        <v>1908</v>
      </c>
      <c r="B5704" s="211">
        <v>1354</v>
      </c>
      <c r="C5704" s="211">
        <v>2385</v>
      </c>
      <c r="D5704" s="211" t="s">
        <v>1255</v>
      </c>
      <c r="E5704" s="211" t="s">
        <v>10385</v>
      </c>
      <c r="F5704" s="211" t="s">
        <v>7267</v>
      </c>
    </row>
    <row r="5705" spans="1:6">
      <c r="A5705" s="211" t="s">
        <v>1909</v>
      </c>
      <c r="B5705" s="211">
        <v>2216</v>
      </c>
      <c r="C5705" s="211">
        <v>741</v>
      </c>
      <c r="D5705" s="211" t="s">
        <v>1255</v>
      </c>
      <c r="E5705" s="211" t="s">
        <v>10385</v>
      </c>
      <c r="F5705" s="211" t="s">
        <v>7230</v>
      </c>
    </row>
    <row r="5706" spans="1:6">
      <c r="A5706" s="211" t="s">
        <v>3022</v>
      </c>
      <c r="B5706" s="211">
        <v>1448</v>
      </c>
      <c r="C5706" s="211">
        <v>765</v>
      </c>
      <c r="D5706" s="211" t="s">
        <v>1255</v>
      </c>
      <c r="E5706" s="211" t="s">
        <v>10385</v>
      </c>
      <c r="F5706" s="211" t="s">
        <v>7225</v>
      </c>
    </row>
    <row r="5707" spans="1:6">
      <c r="A5707" s="211" t="s">
        <v>8477</v>
      </c>
      <c r="B5707" s="211">
        <v>5420</v>
      </c>
      <c r="C5707" s="211" t="s">
        <v>10385</v>
      </c>
      <c r="D5707" s="211" t="s">
        <v>1255</v>
      </c>
      <c r="E5707" s="211" t="s">
        <v>10385</v>
      </c>
      <c r="F5707" s="211" t="s">
        <v>7213</v>
      </c>
    </row>
    <row r="5708" spans="1:6">
      <c r="A5708" s="211" t="s">
        <v>5177</v>
      </c>
      <c r="B5708" s="211">
        <v>6762</v>
      </c>
      <c r="C5708" s="211">
        <v>811</v>
      </c>
      <c r="D5708" s="211" t="s">
        <v>1117</v>
      </c>
      <c r="E5708" s="211" t="s">
        <v>10385</v>
      </c>
      <c r="F5708" s="211" t="s">
        <v>7571</v>
      </c>
    </row>
    <row r="5709" spans="1:6">
      <c r="A5709" s="211" t="s">
        <v>3006</v>
      </c>
      <c r="B5709" s="211">
        <v>1007</v>
      </c>
      <c r="C5709" s="211">
        <v>1104</v>
      </c>
      <c r="D5709" s="211" t="s">
        <v>1255</v>
      </c>
      <c r="E5709" s="211" t="s">
        <v>10385</v>
      </c>
      <c r="F5709" s="211" t="s">
        <v>7335</v>
      </c>
    </row>
    <row r="5710" spans="1:6">
      <c r="A5710" s="211" t="s">
        <v>5178</v>
      </c>
      <c r="B5710" s="211">
        <v>6785</v>
      </c>
      <c r="C5710" s="211">
        <v>1662</v>
      </c>
      <c r="D5710" s="211" t="s">
        <v>1255</v>
      </c>
      <c r="E5710" s="211" t="s">
        <v>10876</v>
      </c>
      <c r="F5710" s="211" t="s">
        <v>7212</v>
      </c>
    </row>
    <row r="5711" spans="1:6">
      <c r="A5711" s="211" t="s">
        <v>980</v>
      </c>
      <c r="B5711" s="211">
        <v>5687</v>
      </c>
      <c r="C5711" s="211">
        <v>1169</v>
      </c>
      <c r="D5711" s="211" t="s">
        <v>1255</v>
      </c>
      <c r="E5711" s="211" t="s">
        <v>10877</v>
      </c>
      <c r="F5711" s="211" t="s">
        <v>7646</v>
      </c>
    </row>
    <row r="5712" spans="1:6">
      <c r="A5712" s="211" t="s">
        <v>10878</v>
      </c>
      <c r="B5712" s="211">
        <v>8746</v>
      </c>
      <c r="C5712" s="211">
        <v>384</v>
      </c>
      <c r="D5712" s="211" t="s">
        <v>1255</v>
      </c>
      <c r="E5712" s="211" t="s">
        <v>10879</v>
      </c>
      <c r="F5712" s="211" t="s">
        <v>7965</v>
      </c>
    </row>
    <row r="5713" spans="1:6">
      <c r="A5713" s="211" t="s">
        <v>8478</v>
      </c>
      <c r="B5713" s="211">
        <v>1393</v>
      </c>
      <c r="C5713" s="211" t="s">
        <v>10385</v>
      </c>
      <c r="D5713" s="211" t="s">
        <v>1255</v>
      </c>
      <c r="E5713" s="211" t="s">
        <v>10385</v>
      </c>
      <c r="F5713" s="211" t="s">
        <v>7299</v>
      </c>
    </row>
    <row r="5714" spans="1:6">
      <c r="A5714" s="211" t="s">
        <v>981</v>
      </c>
      <c r="B5714" s="211">
        <v>1400</v>
      </c>
      <c r="C5714" s="211">
        <v>710</v>
      </c>
      <c r="D5714" s="211" t="s">
        <v>1255</v>
      </c>
      <c r="E5714" s="211" t="s">
        <v>10385</v>
      </c>
      <c r="F5714" s="211" t="s">
        <v>7175</v>
      </c>
    </row>
    <row r="5715" spans="1:6">
      <c r="A5715" s="211" t="s">
        <v>8479</v>
      </c>
      <c r="B5715" s="211">
        <v>905</v>
      </c>
      <c r="C5715" s="211" t="s">
        <v>10385</v>
      </c>
      <c r="D5715" s="211" t="s">
        <v>1255</v>
      </c>
      <c r="E5715" s="211" t="s">
        <v>10385</v>
      </c>
      <c r="F5715" s="211" t="s">
        <v>7239</v>
      </c>
    </row>
    <row r="5716" spans="1:6">
      <c r="A5716" s="211" t="s">
        <v>982</v>
      </c>
      <c r="B5716" s="211">
        <v>5853</v>
      </c>
      <c r="C5716" s="211">
        <v>2580</v>
      </c>
      <c r="D5716" s="211" t="s">
        <v>1255</v>
      </c>
      <c r="E5716" s="211" t="s">
        <v>10369</v>
      </c>
      <c r="F5716" s="211" t="s">
        <v>7247</v>
      </c>
    </row>
    <row r="5717" spans="1:6">
      <c r="A5717" s="211" t="s">
        <v>983</v>
      </c>
      <c r="B5717" s="211">
        <v>2753</v>
      </c>
      <c r="C5717" s="211">
        <v>1371</v>
      </c>
      <c r="D5717" s="211" t="s">
        <v>1255</v>
      </c>
      <c r="E5717" s="211" t="s">
        <v>10385</v>
      </c>
      <c r="F5717" s="211" t="s">
        <v>7399</v>
      </c>
    </row>
    <row r="5718" spans="1:6">
      <c r="A5718" s="211" t="s">
        <v>984</v>
      </c>
      <c r="B5718" s="211">
        <v>2045</v>
      </c>
      <c r="C5718" s="211">
        <v>729</v>
      </c>
      <c r="D5718" s="211" t="s">
        <v>1117</v>
      </c>
      <c r="E5718" s="211" t="s">
        <v>10385</v>
      </c>
      <c r="F5718" s="211" t="s">
        <v>7703</v>
      </c>
    </row>
    <row r="5719" spans="1:6">
      <c r="A5719" s="211" t="s">
        <v>10880</v>
      </c>
      <c r="B5719" s="211">
        <v>8722</v>
      </c>
      <c r="C5719" s="211">
        <v>995</v>
      </c>
      <c r="D5719" s="211" t="s">
        <v>1255</v>
      </c>
      <c r="E5719" s="211" t="s">
        <v>10881</v>
      </c>
      <c r="F5719" s="211" t="s">
        <v>7268</v>
      </c>
    </row>
    <row r="5720" spans="1:6">
      <c r="A5720" s="211" t="s">
        <v>985</v>
      </c>
      <c r="B5720" s="211">
        <v>2638</v>
      </c>
      <c r="C5720" s="211">
        <v>1265</v>
      </c>
      <c r="D5720" s="211" t="s">
        <v>1255</v>
      </c>
      <c r="E5720" s="211" t="s">
        <v>10385</v>
      </c>
      <c r="F5720" s="211" t="s">
        <v>7430</v>
      </c>
    </row>
    <row r="5721" spans="1:6">
      <c r="A5721" s="211" t="s">
        <v>9928</v>
      </c>
      <c r="B5721" s="211">
        <v>8105</v>
      </c>
      <c r="C5721" s="211">
        <v>1000</v>
      </c>
      <c r="D5721" s="211" t="s">
        <v>1255</v>
      </c>
      <c r="E5721" s="211" t="s">
        <v>9929</v>
      </c>
      <c r="F5721" s="211" t="s">
        <v>9056</v>
      </c>
    </row>
    <row r="5722" spans="1:6">
      <c r="A5722" s="211" t="s">
        <v>4595</v>
      </c>
      <c r="B5722" s="211">
        <v>6312</v>
      </c>
      <c r="C5722" s="211">
        <v>1325</v>
      </c>
      <c r="D5722" s="211" t="s">
        <v>1255</v>
      </c>
      <c r="E5722" s="211" t="s">
        <v>10385</v>
      </c>
      <c r="F5722" s="211" t="s">
        <v>7257</v>
      </c>
    </row>
    <row r="5723" spans="1:6">
      <c r="A5723" s="211" t="s">
        <v>8480</v>
      </c>
      <c r="B5723" s="211">
        <v>5251</v>
      </c>
      <c r="C5723" s="211" t="s">
        <v>10385</v>
      </c>
      <c r="D5723" s="211" t="s">
        <v>1255</v>
      </c>
      <c r="E5723" s="211" t="s">
        <v>10385</v>
      </c>
      <c r="F5723" s="211" t="s">
        <v>7663</v>
      </c>
    </row>
    <row r="5724" spans="1:6">
      <c r="A5724" s="211" t="s">
        <v>986</v>
      </c>
      <c r="B5724" s="211">
        <v>4899</v>
      </c>
      <c r="C5724" s="211">
        <v>1141</v>
      </c>
      <c r="D5724" s="211" t="s">
        <v>1255</v>
      </c>
      <c r="E5724" s="211" t="s">
        <v>10385</v>
      </c>
      <c r="F5724" s="211" t="s">
        <v>7335</v>
      </c>
    </row>
    <row r="5725" spans="1:6">
      <c r="A5725" s="211" t="s">
        <v>8481</v>
      </c>
      <c r="B5725" s="211">
        <v>4182</v>
      </c>
      <c r="C5725" s="211" t="s">
        <v>10385</v>
      </c>
      <c r="D5725" s="211" t="s">
        <v>1255</v>
      </c>
      <c r="E5725" s="211" t="s">
        <v>10385</v>
      </c>
      <c r="F5725" s="211" t="s">
        <v>7223</v>
      </c>
    </row>
    <row r="5726" spans="1:6">
      <c r="A5726" s="211" t="s">
        <v>987</v>
      </c>
      <c r="B5726" s="211">
        <v>4569</v>
      </c>
      <c r="C5726" s="211">
        <v>876</v>
      </c>
      <c r="D5726" s="211" t="s">
        <v>1255</v>
      </c>
      <c r="E5726" s="211" t="s">
        <v>10385</v>
      </c>
      <c r="F5726" s="211" t="s">
        <v>7286</v>
      </c>
    </row>
    <row r="5727" spans="1:6">
      <c r="A5727" s="211" t="s">
        <v>4572</v>
      </c>
      <c r="B5727" s="211">
        <v>6477</v>
      </c>
      <c r="C5727" s="211">
        <v>824</v>
      </c>
      <c r="D5727" s="211" t="s">
        <v>1255</v>
      </c>
      <c r="E5727" s="211" t="s">
        <v>10385</v>
      </c>
      <c r="F5727" s="211" t="s">
        <v>7724</v>
      </c>
    </row>
    <row r="5728" spans="1:6">
      <c r="A5728" s="211" t="s">
        <v>988</v>
      </c>
      <c r="B5728" s="211">
        <v>3467</v>
      </c>
      <c r="C5728" s="211">
        <v>1267</v>
      </c>
      <c r="D5728" s="211" t="s">
        <v>1255</v>
      </c>
      <c r="E5728" s="211" t="s">
        <v>6121</v>
      </c>
      <c r="F5728" s="211" t="s">
        <v>7403</v>
      </c>
    </row>
    <row r="5729" spans="1:6">
      <c r="A5729" s="211" t="s">
        <v>9930</v>
      </c>
      <c r="B5729" s="211">
        <v>8321</v>
      </c>
      <c r="C5729" s="211">
        <v>1115</v>
      </c>
      <c r="D5729" s="211" t="s">
        <v>1255</v>
      </c>
      <c r="E5729" s="211" t="s">
        <v>9931</v>
      </c>
      <c r="F5729" s="211" t="s">
        <v>9222</v>
      </c>
    </row>
    <row r="5730" spans="1:6">
      <c r="A5730" s="211" t="s">
        <v>989</v>
      </c>
      <c r="B5730" s="211">
        <v>4759</v>
      </c>
      <c r="C5730" s="211">
        <v>991</v>
      </c>
      <c r="D5730" s="211" t="s">
        <v>1255</v>
      </c>
      <c r="E5730" s="211" t="s">
        <v>10385</v>
      </c>
      <c r="F5730" s="211" t="s">
        <v>7343</v>
      </c>
    </row>
    <row r="5731" spans="1:6">
      <c r="A5731" s="211" t="s">
        <v>8482</v>
      </c>
      <c r="B5731" s="211">
        <v>1177</v>
      </c>
      <c r="C5731" s="211" t="s">
        <v>10385</v>
      </c>
      <c r="D5731" s="211" t="s">
        <v>1255</v>
      </c>
      <c r="E5731" s="211" t="s">
        <v>10385</v>
      </c>
      <c r="F5731" s="211" t="s">
        <v>7203</v>
      </c>
    </row>
    <row r="5732" spans="1:6">
      <c r="A5732" s="211" t="s">
        <v>990</v>
      </c>
      <c r="B5732" s="211">
        <v>2641</v>
      </c>
      <c r="C5732" s="211">
        <v>1280</v>
      </c>
      <c r="D5732" s="211" t="s">
        <v>1255</v>
      </c>
      <c r="E5732" s="211" t="s">
        <v>10385</v>
      </c>
      <c r="F5732" s="211" t="s">
        <v>7160</v>
      </c>
    </row>
    <row r="5733" spans="1:6">
      <c r="A5733" s="211" t="s">
        <v>5340</v>
      </c>
      <c r="B5733" s="211">
        <v>6318</v>
      </c>
      <c r="C5733" s="211">
        <v>779</v>
      </c>
      <c r="D5733" s="211" t="s">
        <v>1117</v>
      </c>
      <c r="E5733" s="211" t="s">
        <v>10882</v>
      </c>
      <c r="F5733" s="211" t="s">
        <v>7231</v>
      </c>
    </row>
    <row r="5734" spans="1:6">
      <c r="A5734" s="211" t="s">
        <v>6122</v>
      </c>
      <c r="B5734" s="211">
        <v>7509</v>
      </c>
      <c r="C5734" s="211">
        <v>1092</v>
      </c>
      <c r="D5734" s="211" t="s">
        <v>1255</v>
      </c>
      <c r="E5734" s="211" t="s">
        <v>6123</v>
      </c>
      <c r="F5734" s="211" t="s">
        <v>7646</v>
      </c>
    </row>
    <row r="5735" spans="1:6">
      <c r="A5735" s="211" t="s">
        <v>991</v>
      </c>
      <c r="B5735" s="211">
        <v>4558</v>
      </c>
      <c r="C5735" s="211">
        <v>1344</v>
      </c>
      <c r="D5735" s="211" t="s">
        <v>1255</v>
      </c>
      <c r="E5735" s="211" t="s">
        <v>10385</v>
      </c>
      <c r="F5735" s="211" t="s">
        <v>7304</v>
      </c>
    </row>
    <row r="5736" spans="1:6">
      <c r="A5736" s="211" t="s">
        <v>992</v>
      </c>
      <c r="B5736" s="211">
        <v>4914</v>
      </c>
      <c r="C5736" s="211">
        <v>998</v>
      </c>
      <c r="D5736" s="211" t="s">
        <v>1117</v>
      </c>
      <c r="E5736" s="211" t="s">
        <v>10385</v>
      </c>
      <c r="F5736" s="211" t="s">
        <v>7219</v>
      </c>
    </row>
    <row r="5737" spans="1:6">
      <c r="A5737" s="211" t="s">
        <v>6124</v>
      </c>
      <c r="B5737" s="211">
        <v>7098</v>
      </c>
      <c r="C5737" s="211">
        <v>860</v>
      </c>
      <c r="D5737" s="211" t="s">
        <v>1255</v>
      </c>
      <c r="E5737" s="211" t="s">
        <v>6125</v>
      </c>
      <c r="F5737" s="211" t="s">
        <v>7321</v>
      </c>
    </row>
    <row r="5738" spans="1:6">
      <c r="A5738" s="211" t="s">
        <v>6126</v>
      </c>
      <c r="B5738" s="211">
        <v>7461</v>
      </c>
      <c r="C5738" s="211">
        <v>848</v>
      </c>
      <c r="D5738" s="211" t="s">
        <v>1117</v>
      </c>
      <c r="E5738" s="211" t="s">
        <v>9932</v>
      </c>
      <c r="F5738" s="211" t="s">
        <v>7789</v>
      </c>
    </row>
    <row r="5739" spans="1:6">
      <c r="A5739" s="211" t="s">
        <v>993</v>
      </c>
      <c r="B5739" s="211">
        <v>4371</v>
      </c>
      <c r="C5739" s="211">
        <v>1238</v>
      </c>
      <c r="D5739" s="211" t="s">
        <v>1255</v>
      </c>
      <c r="E5739" s="211" t="s">
        <v>10385</v>
      </c>
      <c r="F5739" s="211" t="s">
        <v>7364</v>
      </c>
    </row>
    <row r="5740" spans="1:6">
      <c r="A5740" s="211" t="s">
        <v>994</v>
      </c>
      <c r="B5740" s="211">
        <v>2684</v>
      </c>
      <c r="C5740" s="211">
        <v>936</v>
      </c>
      <c r="D5740" s="211" t="s">
        <v>1255</v>
      </c>
      <c r="E5740" s="211" t="s">
        <v>10385</v>
      </c>
      <c r="F5740" s="211" t="s">
        <v>7207</v>
      </c>
    </row>
    <row r="5741" spans="1:6">
      <c r="A5741" s="211" t="s">
        <v>4649</v>
      </c>
      <c r="B5741" s="211">
        <v>6063</v>
      </c>
      <c r="C5741" s="211">
        <v>807</v>
      </c>
      <c r="D5741" s="211" t="s">
        <v>1255</v>
      </c>
      <c r="E5741" s="211" t="s">
        <v>10385</v>
      </c>
      <c r="F5741" s="211" t="s">
        <v>7325</v>
      </c>
    </row>
    <row r="5742" spans="1:6">
      <c r="A5742" s="211" t="s">
        <v>995</v>
      </c>
      <c r="B5742" s="211">
        <v>5466</v>
      </c>
      <c r="C5742" s="211">
        <v>832</v>
      </c>
      <c r="D5742" s="211" t="s">
        <v>1255</v>
      </c>
      <c r="E5742" s="211" t="s">
        <v>10385</v>
      </c>
      <c r="F5742" s="211" t="s">
        <v>7233</v>
      </c>
    </row>
    <row r="5743" spans="1:6">
      <c r="A5743" s="211" t="s">
        <v>996</v>
      </c>
      <c r="B5743" s="211">
        <v>3274</v>
      </c>
      <c r="C5743" s="211">
        <v>1430</v>
      </c>
      <c r="D5743" s="211" t="s">
        <v>1255</v>
      </c>
      <c r="E5743" s="211" t="s">
        <v>10385</v>
      </c>
      <c r="F5743" s="211" t="s">
        <v>7208</v>
      </c>
    </row>
    <row r="5744" spans="1:6">
      <c r="A5744" s="211" t="s">
        <v>8483</v>
      </c>
      <c r="B5744" s="211">
        <v>4604</v>
      </c>
      <c r="C5744" s="211" t="s">
        <v>10385</v>
      </c>
      <c r="D5744" s="211" t="s">
        <v>1255</v>
      </c>
      <c r="E5744" s="211" t="s">
        <v>10385</v>
      </c>
      <c r="F5744" s="211" t="s">
        <v>7173</v>
      </c>
    </row>
    <row r="5745" spans="1:6">
      <c r="A5745" s="211" t="s">
        <v>8484</v>
      </c>
      <c r="B5745" s="211">
        <v>1087</v>
      </c>
      <c r="C5745" s="211" t="s">
        <v>10385</v>
      </c>
      <c r="D5745" s="211" t="s">
        <v>1255</v>
      </c>
      <c r="E5745" s="211" t="s">
        <v>10385</v>
      </c>
      <c r="F5745" s="211" t="s">
        <v>7173</v>
      </c>
    </row>
    <row r="5746" spans="1:6">
      <c r="A5746" s="211" t="s">
        <v>5179</v>
      </c>
      <c r="B5746" s="211">
        <v>6898</v>
      </c>
      <c r="C5746" s="211">
        <v>1123</v>
      </c>
      <c r="D5746" s="211" t="s">
        <v>1255</v>
      </c>
      <c r="E5746" s="211" t="s">
        <v>10883</v>
      </c>
      <c r="F5746" s="211" t="s">
        <v>7205</v>
      </c>
    </row>
    <row r="5747" spans="1:6">
      <c r="A5747" s="211" t="s">
        <v>997</v>
      </c>
      <c r="B5747" s="211">
        <v>2882</v>
      </c>
      <c r="C5747" s="211">
        <v>1031</v>
      </c>
      <c r="D5747" s="211" t="s">
        <v>1255</v>
      </c>
      <c r="E5747" s="211" t="s">
        <v>10385</v>
      </c>
      <c r="F5747" s="211" t="s">
        <v>7430</v>
      </c>
    </row>
    <row r="5748" spans="1:6">
      <c r="A5748" s="211" t="s">
        <v>9933</v>
      </c>
      <c r="B5748" s="211">
        <v>8274</v>
      </c>
      <c r="C5748" s="211">
        <v>2267</v>
      </c>
      <c r="D5748" s="211" t="s">
        <v>1255</v>
      </c>
      <c r="E5748" s="211" t="s">
        <v>9934</v>
      </c>
      <c r="F5748" s="211" t="s">
        <v>7200</v>
      </c>
    </row>
    <row r="5749" spans="1:6">
      <c r="A5749" s="211" t="s">
        <v>8485</v>
      </c>
      <c r="B5749" s="211">
        <v>3488</v>
      </c>
      <c r="C5749" s="211" t="s">
        <v>10385</v>
      </c>
      <c r="D5749" s="211" t="s">
        <v>1255</v>
      </c>
      <c r="E5749" s="211" t="s">
        <v>10385</v>
      </c>
      <c r="F5749" s="211" t="s">
        <v>7518</v>
      </c>
    </row>
    <row r="5750" spans="1:6">
      <c r="A5750" s="211" t="s">
        <v>7001</v>
      </c>
      <c r="B5750" s="211">
        <v>7693</v>
      </c>
      <c r="C5750" s="211">
        <v>1021</v>
      </c>
      <c r="D5750" s="211" t="s">
        <v>1255</v>
      </c>
      <c r="E5750" s="211" t="s">
        <v>7002</v>
      </c>
      <c r="F5750" s="211" t="s">
        <v>7380</v>
      </c>
    </row>
    <row r="5751" spans="1:6">
      <c r="A5751" s="211" t="s">
        <v>2865</v>
      </c>
      <c r="B5751" s="211">
        <v>3835</v>
      </c>
      <c r="C5751" s="211">
        <v>1075</v>
      </c>
      <c r="D5751" s="211" t="s">
        <v>1255</v>
      </c>
      <c r="E5751" s="211" t="s">
        <v>10385</v>
      </c>
      <c r="F5751" s="211" t="s">
        <v>7510</v>
      </c>
    </row>
    <row r="5752" spans="1:6">
      <c r="A5752" s="211" t="s">
        <v>998</v>
      </c>
      <c r="B5752" s="211">
        <v>4100</v>
      </c>
      <c r="C5752" s="211">
        <v>866</v>
      </c>
      <c r="D5752" s="211" t="s">
        <v>1255</v>
      </c>
      <c r="E5752" s="211" t="s">
        <v>10385</v>
      </c>
      <c r="F5752" s="211" t="s">
        <v>7219</v>
      </c>
    </row>
    <row r="5753" spans="1:6">
      <c r="A5753" s="211" t="s">
        <v>999</v>
      </c>
      <c r="B5753" s="211">
        <v>4839</v>
      </c>
      <c r="C5753" s="211">
        <v>1597</v>
      </c>
      <c r="D5753" s="211" t="s">
        <v>1255</v>
      </c>
      <c r="E5753" s="211" t="s">
        <v>10385</v>
      </c>
      <c r="F5753" s="211" t="s">
        <v>7373</v>
      </c>
    </row>
    <row r="5754" spans="1:6">
      <c r="A5754" s="211" t="s">
        <v>1000</v>
      </c>
      <c r="B5754" s="211">
        <v>2015</v>
      </c>
      <c r="C5754" s="211">
        <v>1149</v>
      </c>
      <c r="D5754" s="211" t="s">
        <v>1255</v>
      </c>
      <c r="E5754" s="211" t="s">
        <v>10385</v>
      </c>
      <c r="F5754" s="211" t="s">
        <v>7242</v>
      </c>
    </row>
    <row r="5755" spans="1:6">
      <c r="A5755" s="211" t="s">
        <v>1001</v>
      </c>
      <c r="B5755" s="211">
        <v>4623</v>
      </c>
      <c r="C5755" s="211">
        <v>1124</v>
      </c>
      <c r="D5755" s="211" t="s">
        <v>1255</v>
      </c>
      <c r="E5755" s="211" t="s">
        <v>7003</v>
      </c>
      <c r="F5755" s="211" t="s">
        <v>7438</v>
      </c>
    </row>
    <row r="5756" spans="1:6">
      <c r="A5756" s="211" t="s">
        <v>6127</v>
      </c>
      <c r="B5756" s="211">
        <v>7601</v>
      </c>
      <c r="C5756" s="211">
        <v>1190</v>
      </c>
      <c r="D5756" s="211" t="s">
        <v>1255</v>
      </c>
      <c r="E5756" s="211" t="s">
        <v>7004</v>
      </c>
      <c r="F5756" s="211" t="s">
        <v>7414</v>
      </c>
    </row>
    <row r="5757" spans="1:6">
      <c r="A5757" s="211" t="s">
        <v>1002</v>
      </c>
      <c r="B5757" s="211">
        <v>1055</v>
      </c>
      <c r="C5757" s="211">
        <v>1323</v>
      </c>
      <c r="D5757" s="211" t="s">
        <v>1255</v>
      </c>
      <c r="E5757" s="211" t="s">
        <v>10385</v>
      </c>
      <c r="F5757" s="211" t="s">
        <v>7376</v>
      </c>
    </row>
    <row r="5758" spans="1:6">
      <c r="A5758" s="211" t="s">
        <v>1003</v>
      </c>
      <c r="B5758" s="211">
        <v>3870</v>
      </c>
      <c r="C5758" s="211">
        <v>941</v>
      </c>
      <c r="D5758" s="211" t="s">
        <v>1255</v>
      </c>
      <c r="E5758" s="211" t="s">
        <v>10385</v>
      </c>
      <c r="F5758" s="211" t="s">
        <v>7257</v>
      </c>
    </row>
    <row r="5759" spans="1:6">
      <c r="A5759" s="211" t="s">
        <v>1004</v>
      </c>
      <c r="B5759" s="211">
        <v>5704</v>
      </c>
      <c r="C5759" s="211">
        <v>1518</v>
      </c>
      <c r="D5759" s="211" t="s">
        <v>1255</v>
      </c>
      <c r="E5759" s="211" t="s">
        <v>6128</v>
      </c>
      <c r="F5759" s="211" t="s">
        <v>7429</v>
      </c>
    </row>
    <row r="5760" spans="1:6">
      <c r="A5760" s="211" t="s">
        <v>1005</v>
      </c>
      <c r="B5760" s="211">
        <v>2305</v>
      </c>
      <c r="C5760" s="211">
        <v>1088</v>
      </c>
      <c r="D5760" s="211" t="s">
        <v>1255</v>
      </c>
      <c r="E5760" s="211" t="s">
        <v>10385</v>
      </c>
      <c r="F5760" s="211" t="s">
        <v>7257</v>
      </c>
    </row>
    <row r="5761" spans="1:6">
      <c r="A5761" s="211" t="s">
        <v>1006</v>
      </c>
      <c r="B5761" s="211">
        <v>1826</v>
      </c>
      <c r="C5761" s="211">
        <v>905</v>
      </c>
      <c r="D5761" s="211" t="s">
        <v>1255</v>
      </c>
      <c r="E5761" s="211" t="s">
        <v>10385</v>
      </c>
      <c r="F5761" s="211" t="s">
        <v>7297</v>
      </c>
    </row>
    <row r="5762" spans="1:6">
      <c r="A5762" s="211" t="s">
        <v>1007</v>
      </c>
      <c r="B5762" s="211">
        <v>2189</v>
      </c>
      <c r="C5762" s="211">
        <v>939</v>
      </c>
      <c r="D5762" s="211" t="s">
        <v>1255</v>
      </c>
      <c r="E5762" s="211" t="s">
        <v>10385</v>
      </c>
      <c r="F5762" s="211" t="s">
        <v>7189</v>
      </c>
    </row>
    <row r="5763" spans="1:6">
      <c r="A5763" s="211" t="s">
        <v>8486</v>
      </c>
      <c r="B5763" s="211">
        <v>58</v>
      </c>
      <c r="C5763" s="211" t="s">
        <v>10385</v>
      </c>
      <c r="D5763" s="211" t="s">
        <v>1255</v>
      </c>
      <c r="E5763" s="211" t="s">
        <v>10385</v>
      </c>
      <c r="F5763" s="211" t="s">
        <v>7261</v>
      </c>
    </row>
    <row r="5764" spans="1:6">
      <c r="A5764" s="211" t="s">
        <v>5180</v>
      </c>
      <c r="B5764" s="211">
        <v>6777</v>
      </c>
      <c r="C5764" s="211">
        <v>1052</v>
      </c>
      <c r="D5764" s="211" t="s">
        <v>1255</v>
      </c>
      <c r="E5764" s="211" t="s">
        <v>10385</v>
      </c>
      <c r="F5764" s="211" t="s">
        <v>7392</v>
      </c>
    </row>
    <row r="5765" spans="1:6">
      <c r="A5765" s="211" t="s">
        <v>1008</v>
      </c>
      <c r="B5765" s="211">
        <v>5447</v>
      </c>
      <c r="C5765" s="211">
        <v>1826</v>
      </c>
      <c r="D5765" s="211" t="s">
        <v>1255</v>
      </c>
      <c r="E5765" s="211" t="s">
        <v>10385</v>
      </c>
      <c r="F5765" s="211" t="s">
        <v>7242</v>
      </c>
    </row>
    <row r="5766" spans="1:6">
      <c r="A5766" s="211" t="s">
        <v>8487</v>
      </c>
      <c r="B5766" s="211">
        <v>569</v>
      </c>
      <c r="C5766" s="211" t="s">
        <v>10385</v>
      </c>
      <c r="D5766" s="211" t="s">
        <v>1255</v>
      </c>
      <c r="E5766" s="211" t="s">
        <v>10385</v>
      </c>
      <c r="F5766" s="211" t="s">
        <v>7226</v>
      </c>
    </row>
    <row r="5767" spans="1:6">
      <c r="A5767" s="211" t="s">
        <v>8488</v>
      </c>
      <c r="B5767" s="211">
        <v>5835</v>
      </c>
      <c r="C5767" s="211" t="s">
        <v>10385</v>
      </c>
      <c r="D5767" s="211" t="s">
        <v>1255</v>
      </c>
      <c r="E5767" s="211" t="s">
        <v>10385</v>
      </c>
      <c r="F5767" s="211" t="s">
        <v>7196</v>
      </c>
    </row>
    <row r="5768" spans="1:6">
      <c r="A5768" s="211" t="s">
        <v>1009</v>
      </c>
      <c r="B5768" s="211">
        <v>5899</v>
      </c>
      <c r="C5768" s="211">
        <v>1916</v>
      </c>
      <c r="D5768" s="211" t="s">
        <v>1117</v>
      </c>
      <c r="E5768" s="211" t="s">
        <v>10385</v>
      </c>
      <c r="F5768" s="211" t="s">
        <v>7267</v>
      </c>
    </row>
    <row r="5769" spans="1:6">
      <c r="A5769" s="211" t="s">
        <v>1010</v>
      </c>
      <c r="B5769" s="211">
        <v>5722</v>
      </c>
      <c r="C5769" s="211">
        <v>1108</v>
      </c>
      <c r="D5769" s="211" t="s">
        <v>1255</v>
      </c>
      <c r="E5769" s="211" t="s">
        <v>7005</v>
      </c>
      <c r="F5769" s="211" t="s">
        <v>7344</v>
      </c>
    </row>
    <row r="5770" spans="1:6">
      <c r="A5770" s="211" t="s">
        <v>3023</v>
      </c>
      <c r="B5770" s="211">
        <v>1473</v>
      </c>
      <c r="C5770" s="211">
        <v>1353</v>
      </c>
      <c r="D5770" s="211" t="s">
        <v>1255</v>
      </c>
      <c r="E5770" s="211" t="s">
        <v>10385</v>
      </c>
      <c r="F5770" s="211" t="s">
        <v>7384</v>
      </c>
    </row>
    <row r="5771" spans="1:6">
      <c r="A5771" s="211" t="s">
        <v>1011</v>
      </c>
      <c r="B5771" s="211">
        <v>3204</v>
      </c>
      <c r="C5771" s="211">
        <v>1394</v>
      </c>
      <c r="D5771" s="211" t="s">
        <v>1255</v>
      </c>
      <c r="E5771" s="211" t="s">
        <v>10385</v>
      </c>
      <c r="F5771" s="211" t="s">
        <v>7581</v>
      </c>
    </row>
    <row r="5772" spans="1:6">
      <c r="A5772" s="211" t="s">
        <v>1012</v>
      </c>
      <c r="B5772" s="211">
        <v>844</v>
      </c>
      <c r="C5772" s="211">
        <v>1099</v>
      </c>
      <c r="D5772" s="211" t="s">
        <v>1255</v>
      </c>
      <c r="E5772" s="211" t="s">
        <v>10385</v>
      </c>
      <c r="F5772" s="211" t="s">
        <v>7242</v>
      </c>
    </row>
    <row r="5773" spans="1:6">
      <c r="A5773" s="211" t="s">
        <v>1013</v>
      </c>
      <c r="B5773" s="211">
        <v>2298</v>
      </c>
      <c r="C5773" s="211">
        <v>1483</v>
      </c>
      <c r="D5773" s="211" t="s">
        <v>1255</v>
      </c>
      <c r="E5773" s="211" t="s">
        <v>9935</v>
      </c>
      <c r="F5773" s="211" t="s">
        <v>7231</v>
      </c>
    </row>
    <row r="5774" spans="1:6">
      <c r="A5774" s="211" t="s">
        <v>9936</v>
      </c>
      <c r="B5774" s="211">
        <v>7904</v>
      </c>
      <c r="C5774" s="211">
        <v>1555</v>
      </c>
      <c r="D5774" s="211" t="s">
        <v>1255</v>
      </c>
      <c r="E5774" s="211" t="s">
        <v>9937</v>
      </c>
      <c r="F5774" s="211" t="s">
        <v>9469</v>
      </c>
    </row>
    <row r="5775" spans="1:6">
      <c r="A5775" s="211" t="s">
        <v>1014</v>
      </c>
      <c r="B5775" s="211">
        <v>5918</v>
      </c>
      <c r="C5775" s="211">
        <v>1298</v>
      </c>
      <c r="D5775" s="211" t="s">
        <v>1255</v>
      </c>
      <c r="E5775" s="211" t="s">
        <v>10385</v>
      </c>
      <c r="F5775" s="211" t="s">
        <v>7425</v>
      </c>
    </row>
    <row r="5776" spans="1:6">
      <c r="A5776" s="211" t="s">
        <v>1015</v>
      </c>
      <c r="B5776" s="211">
        <v>4642</v>
      </c>
      <c r="C5776" s="211">
        <v>1139</v>
      </c>
      <c r="D5776" s="211" t="s">
        <v>1255</v>
      </c>
      <c r="E5776" s="211" t="s">
        <v>10385</v>
      </c>
      <c r="F5776" s="211" t="s">
        <v>7173</v>
      </c>
    </row>
    <row r="5777" spans="1:6">
      <c r="A5777" s="211" t="s">
        <v>1016</v>
      </c>
      <c r="B5777" s="211">
        <v>3722</v>
      </c>
      <c r="C5777" s="211">
        <v>826</v>
      </c>
      <c r="D5777" s="211" t="s">
        <v>1255</v>
      </c>
      <c r="E5777" s="211" t="s">
        <v>10385</v>
      </c>
      <c r="F5777" s="211" t="s">
        <v>7192</v>
      </c>
    </row>
    <row r="5778" spans="1:6">
      <c r="A5778" s="211" t="s">
        <v>1017</v>
      </c>
      <c r="B5778" s="211">
        <v>2017</v>
      </c>
      <c r="C5778" s="211">
        <v>835</v>
      </c>
      <c r="D5778" s="211" t="s">
        <v>1255</v>
      </c>
      <c r="E5778" s="211" t="s">
        <v>10385</v>
      </c>
      <c r="F5778" s="211" t="s">
        <v>7270</v>
      </c>
    </row>
    <row r="5779" spans="1:6">
      <c r="A5779" s="211" t="s">
        <v>1018</v>
      </c>
      <c r="B5779" s="211">
        <v>1707</v>
      </c>
      <c r="C5779" s="211">
        <v>1095</v>
      </c>
      <c r="D5779" s="211" t="s">
        <v>1255</v>
      </c>
      <c r="E5779" s="211" t="s">
        <v>10385</v>
      </c>
      <c r="F5779" s="211" t="s">
        <v>7516</v>
      </c>
    </row>
    <row r="5780" spans="1:6">
      <c r="A5780" s="211" t="s">
        <v>8489</v>
      </c>
      <c r="B5780" s="211">
        <v>6582</v>
      </c>
      <c r="C5780" s="211">
        <v>1894</v>
      </c>
      <c r="D5780" s="211" t="s">
        <v>1255</v>
      </c>
      <c r="E5780" s="211" t="s">
        <v>7006</v>
      </c>
      <c r="F5780" s="211" t="s">
        <v>7386</v>
      </c>
    </row>
    <row r="5781" spans="1:6">
      <c r="A5781" s="211" t="s">
        <v>1019</v>
      </c>
      <c r="B5781" s="211">
        <v>1325</v>
      </c>
      <c r="C5781" s="211">
        <v>1894</v>
      </c>
      <c r="D5781" s="211" t="s">
        <v>1255</v>
      </c>
      <c r="E5781" s="211" t="s">
        <v>7006</v>
      </c>
      <c r="F5781" s="211" t="s">
        <v>7237</v>
      </c>
    </row>
    <row r="5782" spans="1:6">
      <c r="A5782" s="211" t="s">
        <v>1020</v>
      </c>
      <c r="B5782" s="211">
        <v>2593</v>
      </c>
      <c r="C5782" s="211">
        <v>600</v>
      </c>
      <c r="D5782" s="211" t="s">
        <v>1117</v>
      </c>
      <c r="E5782" s="211" t="s">
        <v>10385</v>
      </c>
      <c r="F5782" s="211" t="s">
        <v>7189</v>
      </c>
    </row>
    <row r="5783" spans="1:6">
      <c r="A5783" s="211" t="s">
        <v>1021</v>
      </c>
      <c r="B5783" s="211">
        <v>5083</v>
      </c>
      <c r="C5783" s="211">
        <v>944</v>
      </c>
      <c r="D5783" s="211" t="s">
        <v>1255</v>
      </c>
      <c r="E5783" s="211" t="s">
        <v>10385</v>
      </c>
      <c r="F5783" s="211" t="s">
        <v>7457</v>
      </c>
    </row>
    <row r="5784" spans="1:6">
      <c r="A5784" s="211" t="s">
        <v>8490</v>
      </c>
      <c r="B5784" s="211">
        <v>6977</v>
      </c>
      <c r="C5784" s="211">
        <v>1477</v>
      </c>
      <c r="D5784" s="211" t="s">
        <v>1255</v>
      </c>
      <c r="E5784" s="211" t="s">
        <v>10385</v>
      </c>
      <c r="F5784" s="211" t="s">
        <v>7240</v>
      </c>
    </row>
    <row r="5785" spans="1:6">
      <c r="A5785" s="211" t="s">
        <v>1022</v>
      </c>
      <c r="B5785" s="211">
        <v>1549</v>
      </c>
      <c r="C5785" s="211">
        <v>906</v>
      </c>
      <c r="D5785" s="211" t="s">
        <v>1255</v>
      </c>
      <c r="E5785" s="211" t="s">
        <v>10385</v>
      </c>
      <c r="F5785" s="211" t="s">
        <v>7422</v>
      </c>
    </row>
    <row r="5786" spans="1:6">
      <c r="A5786" s="211" t="s">
        <v>1023</v>
      </c>
      <c r="B5786" s="211">
        <v>1198</v>
      </c>
      <c r="C5786" s="211">
        <v>1286</v>
      </c>
      <c r="D5786" s="211" t="s">
        <v>1255</v>
      </c>
      <c r="E5786" s="211" t="s">
        <v>10385</v>
      </c>
      <c r="F5786" s="211" t="s">
        <v>8312</v>
      </c>
    </row>
    <row r="5787" spans="1:6">
      <c r="A5787" s="211" t="s">
        <v>1024</v>
      </c>
      <c r="B5787" s="211">
        <v>1258</v>
      </c>
      <c r="C5787" s="211">
        <v>1629</v>
      </c>
      <c r="D5787" s="211" t="s">
        <v>1255</v>
      </c>
      <c r="E5787" s="211" t="s">
        <v>10385</v>
      </c>
      <c r="F5787" s="211" t="s">
        <v>7356</v>
      </c>
    </row>
    <row r="5788" spans="1:6">
      <c r="A5788" s="211" t="s">
        <v>3007</v>
      </c>
      <c r="B5788" s="211">
        <v>1921</v>
      </c>
      <c r="C5788" s="211">
        <v>1248</v>
      </c>
      <c r="D5788" s="211" t="s">
        <v>1255</v>
      </c>
      <c r="E5788" s="211" t="s">
        <v>10385</v>
      </c>
      <c r="F5788" s="211" t="s">
        <v>7384</v>
      </c>
    </row>
    <row r="5789" spans="1:6">
      <c r="A5789" s="211" t="s">
        <v>1025</v>
      </c>
      <c r="B5789" s="211">
        <v>6013</v>
      </c>
      <c r="C5789" s="211">
        <v>715</v>
      </c>
      <c r="D5789" s="211" t="s">
        <v>1117</v>
      </c>
      <c r="E5789" s="211" t="s">
        <v>10385</v>
      </c>
      <c r="F5789" s="211" t="s">
        <v>7192</v>
      </c>
    </row>
    <row r="5790" spans="1:6">
      <c r="A5790" s="211" t="s">
        <v>1026</v>
      </c>
      <c r="B5790" s="211">
        <v>1618</v>
      </c>
      <c r="C5790" s="211">
        <v>876</v>
      </c>
      <c r="D5790" s="211" t="s">
        <v>1255</v>
      </c>
      <c r="E5790" s="211" t="s">
        <v>10385</v>
      </c>
      <c r="F5790" s="211" t="s">
        <v>7512</v>
      </c>
    </row>
    <row r="5791" spans="1:6">
      <c r="A5791" s="211" t="s">
        <v>1027</v>
      </c>
      <c r="B5791" s="211">
        <v>4084</v>
      </c>
      <c r="C5791" s="211">
        <v>893</v>
      </c>
      <c r="D5791" s="211" t="s">
        <v>1255</v>
      </c>
      <c r="E5791" s="211" t="s">
        <v>10385</v>
      </c>
      <c r="F5791" s="211" t="s">
        <v>7195</v>
      </c>
    </row>
    <row r="5792" spans="1:6">
      <c r="A5792" s="211" t="s">
        <v>5181</v>
      </c>
      <c r="B5792" s="211">
        <v>6876</v>
      </c>
      <c r="C5792" s="211">
        <v>874</v>
      </c>
      <c r="D5792" s="211" t="s">
        <v>1255</v>
      </c>
      <c r="E5792" s="211" t="s">
        <v>5997</v>
      </c>
      <c r="F5792" s="211" t="s">
        <v>10424</v>
      </c>
    </row>
    <row r="5793" spans="1:6">
      <c r="A5793" s="211" t="s">
        <v>5182</v>
      </c>
      <c r="B5793" s="211">
        <v>6341</v>
      </c>
      <c r="C5793" s="211">
        <v>1198</v>
      </c>
      <c r="D5793" s="211" t="s">
        <v>1255</v>
      </c>
      <c r="E5793" s="211" t="s">
        <v>10385</v>
      </c>
      <c r="F5793" s="211" t="s">
        <v>7288</v>
      </c>
    </row>
    <row r="5794" spans="1:6">
      <c r="A5794" s="211" t="s">
        <v>5390</v>
      </c>
      <c r="B5794" s="211">
        <v>6101</v>
      </c>
      <c r="C5794" s="211">
        <v>1137</v>
      </c>
      <c r="D5794" s="211" t="s">
        <v>1255</v>
      </c>
      <c r="E5794" s="211" t="s">
        <v>10385</v>
      </c>
      <c r="F5794" s="211" t="s">
        <v>7213</v>
      </c>
    </row>
    <row r="5795" spans="1:6">
      <c r="A5795" s="211" t="s">
        <v>1028</v>
      </c>
      <c r="B5795" s="211">
        <v>5438</v>
      </c>
      <c r="C5795" s="211">
        <v>806</v>
      </c>
      <c r="D5795" s="211" t="s">
        <v>1255</v>
      </c>
      <c r="E5795" s="211" t="s">
        <v>10385</v>
      </c>
      <c r="F5795" s="211" t="s">
        <v>7213</v>
      </c>
    </row>
    <row r="5796" spans="1:6">
      <c r="A5796" s="211" t="s">
        <v>6129</v>
      </c>
      <c r="B5796" s="211">
        <v>7116</v>
      </c>
      <c r="C5796" s="211">
        <v>1555</v>
      </c>
      <c r="D5796" s="211" t="s">
        <v>1255</v>
      </c>
      <c r="E5796" s="211" t="s">
        <v>10884</v>
      </c>
      <c r="F5796" s="211" t="s">
        <v>7377</v>
      </c>
    </row>
    <row r="5797" spans="1:6">
      <c r="A5797" s="211" t="s">
        <v>8491</v>
      </c>
      <c r="B5797" s="211">
        <v>1148</v>
      </c>
      <c r="C5797" s="211" t="s">
        <v>10385</v>
      </c>
      <c r="D5797" s="211" t="s">
        <v>1255</v>
      </c>
      <c r="E5797" s="211" t="s">
        <v>10385</v>
      </c>
      <c r="F5797" s="211" t="s">
        <v>7383</v>
      </c>
    </row>
    <row r="5798" spans="1:6">
      <c r="A5798" s="211" t="s">
        <v>8492</v>
      </c>
      <c r="B5798" s="211">
        <v>2421</v>
      </c>
      <c r="C5798" s="211" t="s">
        <v>10385</v>
      </c>
      <c r="D5798" s="211" t="s">
        <v>1117</v>
      </c>
      <c r="E5798" s="211" t="s">
        <v>10385</v>
      </c>
      <c r="F5798" s="211" t="s">
        <v>7173</v>
      </c>
    </row>
    <row r="5799" spans="1:6">
      <c r="A5799" s="211" t="s">
        <v>8493</v>
      </c>
      <c r="B5799" s="211">
        <v>2252</v>
      </c>
      <c r="C5799" s="211" t="s">
        <v>10385</v>
      </c>
      <c r="D5799" s="211" t="s">
        <v>1255</v>
      </c>
      <c r="E5799" s="211" t="s">
        <v>10385</v>
      </c>
      <c r="F5799" s="211" t="s">
        <v>7160</v>
      </c>
    </row>
    <row r="5800" spans="1:6">
      <c r="A5800" s="211" t="s">
        <v>1029</v>
      </c>
      <c r="B5800" s="211">
        <v>2114</v>
      </c>
      <c r="C5800" s="211">
        <v>783</v>
      </c>
      <c r="D5800" s="211" t="s">
        <v>1255</v>
      </c>
      <c r="E5800" s="211" t="s">
        <v>10385</v>
      </c>
      <c r="F5800" s="211" t="s">
        <v>7162</v>
      </c>
    </row>
    <row r="5801" spans="1:6">
      <c r="A5801" s="211" t="s">
        <v>1030</v>
      </c>
      <c r="B5801" s="211">
        <v>2917</v>
      </c>
      <c r="C5801" s="211">
        <v>1287</v>
      </c>
      <c r="D5801" s="211" t="s">
        <v>1255</v>
      </c>
      <c r="E5801" s="211" t="s">
        <v>10385</v>
      </c>
      <c r="F5801" s="211" t="s">
        <v>7308</v>
      </c>
    </row>
    <row r="5802" spans="1:6">
      <c r="A5802" s="211" t="s">
        <v>1031</v>
      </c>
      <c r="B5802" s="211">
        <v>2279</v>
      </c>
      <c r="C5802" s="211">
        <v>953</v>
      </c>
      <c r="D5802" s="211" t="s">
        <v>1117</v>
      </c>
      <c r="E5802" s="211" t="s">
        <v>10385</v>
      </c>
      <c r="F5802" s="211" t="s">
        <v>7255</v>
      </c>
    </row>
    <row r="5803" spans="1:6">
      <c r="A5803" s="211" t="s">
        <v>1032</v>
      </c>
      <c r="B5803" s="211">
        <v>5106</v>
      </c>
      <c r="C5803" s="211">
        <v>1890</v>
      </c>
      <c r="D5803" s="211" t="s">
        <v>1255</v>
      </c>
      <c r="E5803" s="211" t="s">
        <v>10385</v>
      </c>
      <c r="F5803" s="211" t="s">
        <v>7235</v>
      </c>
    </row>
    <row r="5804" spans="1:6">
      <c r="A5804" s="211" t="s">
        <v>1033</v>
      </c>
      <c r="B5804" s="211">
        <v>2085</v>
      </c>
      <c r="C5804" s="211">
        <v>882</v>
      </c>
      <c r="D5804" s="211" t="s">
        <v>1255</v>
      </c>
      <c r="E5804" s="211" t="s">
        <v>10385</v>
      </c>
      <c r="F5804" s="211" t="s">
        <v>7415</v>
      </c>
    </row>
    <row r="5805" spans="1:6">
      <c r="A5805" s="211" t="s">
        <v>8494</v>
      </c>
      <c r="B5805" s="211">
        <v>953</v>
      </c>
      <c r="C5805" s="211" t="s">
        <v>10385</v>
      </c>
      <c r="D5805" s="211" t="s">
        <v>1255</v>
      </c>
      <c r="E5805" s="211" t="s">
        <v>10385</v>
      </c>
      <c r="F5805" s="211" t="s">
        <v>7692</v>
      </c>
    </row>
    <row r="5806" spans="1:6">
      <c r="A5806" s="211" t="s">
        <v>7007</v>
      </c>
      <c r="B5806" s="211">
        <v>7687</v>
      </c>
      <c r="C5806" s="211">
        <v>712</v>
      </c>
      <c r="D5806" s="211" t="s">
        <v>1255</v>
      </c>
      <c r="E5806" s="211" t="s">
        <v>10385</v>
      </c>
      <c r="F5806" s="211" t="s">
        <v>7656</v>
      </c>
    </row>
    <row r="5807" spans="1:6">
      <c r="A5807" s="211" t="s">
        <v>6130</v>
      </c>
      <c r="B5807" s="211">
        <v>7555</v>
      </c>
      <c r="C5807" s="211">
        <v>726</v>
      </c>
      <c r="D5807" s="211" t="s">
        <v>1255</v>
      </c>
      <c r="E5807" s="211" t="s">
        <v>10385</v>
      </c>
      <c r="F5807" s="211" t="s">
        <v>7656</v>
      </c>
    </row>
    <row r="5808" spans="1:6">
      <c r="A5808" s="211" t="s">
        <v>4765</v>
      </c>
      <c r="B5808" s="211">
        <v>6188</v>
      </c>
      <c r="C5808" s="211">
        <v>854</v>
      </c>
      <c r="D5808" s="211" t="s">
        <v>1255</v>
      </c>
      <c r="E5808" s="211" t="s">
        <v>10385</v>
      </c>
      <c r="F5808" s="211" t="s">
        <v>7228</v>
      </c>
    </row>
    <row r="5809" spans="1:6">
      <c r="A5809" s="211" t="s">
        <v>5183</v>
      </c>
      <c r="B5809" s="211">
        <v>6931</v>
      </c>
      <c r="C5809" s="211">
        <v>1177</v>
      </c>
      <c r="D5809" s="211" t="s">
        <v>1117</v>
      </c>
      <c r="E5809" s="211" t="s">
        <v>10385</v>
      </c>
      <c r="F5809" s="211" t="s">
        <v>7167</v>
      </c>
    </row>
    <row r="5810" spans="1:6">
      <c r="A5810" s="211" t="s">
        <v>6131</v>
      </c>
      <c r="B5810" s="211">
        <v>7107</v>
      </c>
      <c r="C5810" s="211">
        <v>1448</v>
      </c>
      <c r="D5810" s="211" t="s">
        <v>1255</v>
      </c>
      <c r="E5810" s="211" t="s">
        <v>9938</v>
      </c>
      <c r="F5810" s="211" t="s">
        <v>7501</v>
      </c>
    </row>
    <row r="5811" spans="1:6">
      <c r="A5811" s="211" t="s">
        <v>8495</v>
      </c>
      <c r="B5811" s="211">
        <v>620</v>
      </c>
      <c r="C5811" s="211" t="s">
        <v>10385</v>
      </c>
      <c r="D5811" s="211" t="s">
        <v>1255</v>
      </c>
      <c r="E5811" s="211" t="s">
        <v>10385</v>
      </c>
      <c r="F5811" s="211" t="s">
        <v>7466</v>
      </c>
    </row>
    <row r="5812" spans="1:6">
      <c r="A5812" s="211" t="s">
        <v>1034</v>
      </c>
      <c r="B5812" s="211">
        <v>334</v>
      </c>
      <c r="C5812" s="211">
        <v>1873</v>
      </c>
      <c r="D5812" s="211" t="s">
        <v>1255</v>
      </c>
      <c r="E5812" s="211" t="s">
        <v>10385</v>
      </c>
      <c r="F5812" s="211" t="s">
        <v>7210</v>
      </c>
    </row>
    <row r="5813" spans="1:6">
      <c r="A5813" s="211" t="s">
        <v>1035</v>
      </c>
      <c r="B5813" s="211">
        <v>2353</v>
      </c>
      <c r="C5813" s="211">
        <v>1519</v>
      </c>
      <c r="D5813" s="211" t="s">
        <v>1255</v>
      </c>
      <c r="E5813" s="211" t="s">
        <v>10385</v>
      </c>
      <c r="F5813" s="211" t="s">
        <v>7177</v>
      </c>
    </row>
    <row r="5814" spans="1:6">
      <c r="A5814" s="211" t="s">
        <v>9939</v>
      </c>
      <c r="B5814" s="211">
        <v>8350</v>
      </c>
      <c r="C5814" s="211">
        <v>843</v>
      </c>
      <c r="D5814" s="211" t="s">
        <v>1255</v>
      </c>
      <c r="E5814" s="211" t="s">
        <v>9940</v>
      </c>
      <c r="F5814" s="211" t="s">
        <v>7310</v>
      </c>
    </row>
    <row r="5815" spans="1:6">
      <c r="A5815" s="211" t="s">
        <v>4704</v>
      </c>
      <c r="B5815" s="211">
        <v>6384</v>
      </c>
      <c r="C5815" s="211">
        <v>1535</v>
      </c>
      <c r="D5815" s="211" t="s">
        <v>1255</v>
      </c>
      <c r="E5815" s="211" t="s">
        <v>6132</v>
      </c>
      <c r="F5815" s="211" t="s">
        <v>7384</v>
      </c>
    </row>
    <row r="5816" spans="1:6">
      <c r="A5816" s="211" t="s">
        <v>1036</v>
      </c>
      <c r="B5816" s="211">
        <v>5676</v>
      </c>
      <c r="C5816" s="211">
        <v>2362</v>
      </c>
      <c r="D5816" s="211" t="s">
        <v>1255</v>
      </c>
      <c r="E5816" s="211" t="s">
        <v>6133</v>
      </c>
      <c r="F5816" s="211" t="s">
        <v>7306</v>
      </c>
    </row>
    <row r="5817" spans="1:6">
      <c r="A5817" s="211" t="s">
        <v>9941</v>
      </c>
      <c r="B5817" s="211">
        <v>8353</v>
      </c>
      <c r="C5817" s="211">
        <v>2168</v>
      </c>
      <c r="D5817" s="211" t="s">
        <v>1255</v>
      </c>
      <c r="E5817" s="211" t="s">
        <v>9942</v>
      </c>
      <c r="F5817" s="211" t="s">
        <v>7342</v>
      </c>
    </row>
    <row r="5818" spans="1:6">
      <c r="A5818" s="211" t="s">
        <v>2931</v>
      </c>
      <c r="B5818" s="211">
        <v>3019</v>
      </c>
      <c r="C5818" s="211">
        <v>707</v>
      </c>
      <c r="D5818" s="211" t="s">
        <v>1255</v>
      </c>
      <c r="E5818" s="211" t="s">
        <v>10385</v>
      </c>
      <c r="F5818" s="211" t="s">
        <v>7386</v>
      </c>
    </row>
    <row r="5819" spans="1:6">
      <c r="A5819" s="211" t="s">
        <v>10885</v>
      </c>
      <c r="B5819" s="211">
        <v>8577</v>
      </c>
      <c r="C5819" s="211">
        <v>994</v>
      </c>
      <c r="D5819" s="211" t="s">
        <v>1255</v>
      </c>
      <c r="E5819" s="211" t="s">
        <v>10886</v>
      </c>
      <c r="F5819" s="211" t="s">
        <v>7396</v>
      </c>
    </row>
    <row r="5820" spans="1:6">
      <c r="A5820" s="211" t="s">
        <v>10887</v>
      </c>
      <c r="B5820" s="211">
        <v>8596</v>
      </c>
      <c r="C5820" s="211">
        <v>687</v>
      </c>
      <c r="D5820" s="211" t="s">
        <v>1117</v>
      </c>
      <c r="E5820" s="211" t="s">
        <v>10888</v>
      </c>
      <c r="F5820" s="211" t="s">
        <v>7384</v>
      </c>
    </row>
    <row r="5821" spans="1:6">
      <c r="A5821" s="211" t="s">
        <v>1037</v>
      </c>
      <c r="B5821" s="211">
        <v>2399</v>
      </c>
      <c r="C5821" s="211">
        <v>1121</v>
      </c>
      <c r="D5821" s="211" t="s">
        <v>1255</v>
      </c>
      <c r="E5821" s="211" t="s">
        <v>1038</v>
      </c>
      <c r="F5821" s="211" t="s">
        <v>7165</v>
      </c>
    </row>
    <row r="5822" spans="1:6">
      <c r="A5822" s="211" t="s">
        <v>1039</v>
      </c>
      <c r="B5822" s="211">
        <v>4939</v>
      </c>
      <c r="C5822" s="211">
        <v>921</v>
      </c>
      <c r="D5822" s="211" t="s">
        <v>1255</v>
      </c>
      <c r="E5822" s="211" t="s">
        <v>10385</v>
      </c>
      <c r="F5822" s="211" t="s">
        <v>7389</v>
      </c>
    </row>
    <row r="5823" spans="1:6">
      <c r="A5823" s="211" t="s">
        <v>4853</v>
      </c>
      <c r="B5823" s="211">
        <v>5139</v>
      </c>
      <c r="C5823" s="211">
        <v>911</v>
      </c>
      <c r="D5823" s="211" t="s">
        <v>1255</v>
      </c>
      <c r="E5823" s="211" t="s">
        <v>10385</v>
      </c>
      <c r="F5823" s="211" t="s">
        <v>7325</v>
      </c>
    </row>
    <row r="5824" spans="1:6">
      <c r="A5824" s="211" t="s">
        <v>1040</v>
      </c>
      <c r="B5824" s="211">
        <v>5683</v>
      </c>
      <c r="C5824" s="211">
        <v>1915</v>
      </c>
      <c r="D5824" s="211" t="s">
        <v>1255</v>
      </c>
      <c r="E5824" s="211" t="s">
        <v>10385</v>
      </c>
      <c r="F5824" s="211" t="s">
        <v>7292</v>
      </c>
    </row>
    <row r="5825" spans="1:6">
      <c r="A5825" s="211" t="s">
        <v>8496</v>
      </c>
      <c r="B5825" s="211">
        <v>524</v>
      </c>
      <c r="C5825" s="211" t="s">
        <v>10385</v>
      </c>
      <c r="D5825" s="211" t="s">
        <v>1255</v>
      </c>
      <c r="E5825" s="211" t="s">
        <v>10385</v>
      </c>
      <c r="F5825" s="211" t="s">
        <v>7265</v>
      </c>
    </row>
    <row r="5826" spans="1:6">
      <c r="A5826" s="211" t="s">
        <v>1041</v>
      </c>
      <c r="B5826" s="211">
        <v>4577</v>
      </c>
      <c r="C5826" s="211">
        <v>934</v>
      </c>
      <c r="D5826" s="211" t="s">
        <v>1117</v>
      </c>
      <c r="E5826" s="211" t="s">
        <v>10385</v>
      </c>
      <c r="F5826" s="211" t="s">
        <v>7334</v>
      </c>
    </row>
    <row r="5827" spans="1:6">
      <c r="A5827" s="211" t="s">
        <v>8981</v>
      </c>
      <c r="B5827" s="211">
        <v>661</v>
      </c>
      <c r="C5827" s="211">
        <v>1680</v>
      </c>
      <c r="D5827" s="211" t="s">
        <v>1255</v>
      </c>
      <c r="E5827" s="211" t="s">
        <v>10385</v>
      </c>
      <c r="F5827" s="211" t="s">
        <v>7162</v>
      </c>
    </row>
    <row r="5828" spans="1:6">
      <c r="A5828" s="211" t="s">
        <v>8982</v>
      </c>
      <c r="B5828" s="211">
        <v>1268</v>
      </c>
      <c r="C5828" s="211" t="s">
        <v>10385</v>
      </c>
      <c r="D5828" s="211" t="s">
        <v>1255</v>
      </c>
      <c r="E5828" s="211" t="s">
        <v>10385</v>
      </c>
      <c r="F5828" s="211" t="s">
        <v>7240</v>
      </c>
    </row>
    <row r="5829" spans="1:6">
      <c r="A5829" s="211" t="s">
        <v>1042</v>
      </c>
      <c r="B5829" s="211">
        <v>2981</v>
      </c>
      <c r="C5829" s="211">
        <v>1154</v>
      </c>
      <c r="D5829" s="211" t="s">
        <v>1255</v>
      </c>
      <c r="E5829" s="211" t="s">
        <v>10385</v>
      </c>
      <c r="F5829" s="211" t="s">
        <v>7286</v>
      </c>
    </row>
    <row r="5830" spans="1:6">
      <c r="A5830" s="211" t="s">
        <v>1043</v>
      </c>
      <c r="B5830" s="211">
        <v>4411</v>
      </c>
      <c r="C5830" s="211">
        <v>1031</v>
      </c>
      <c r="D5830" s="211" t="s">
        <v>1255</v>
      </c>
      <c r="E5830" s="211" t="s">
        <v>10385</v>
      </c>
      <c r="F5830" s="211" t="s">
        <v>7233</v>
      </c>
    </row>
    <row r="5831" spans="1:6">
      <c r="A5831" s="211" t="s">
        <v>4679</v>
      </c>
      <c r="B5831" s="211">
        <v>6410</v>
      </c>
      <c r="C5831" s="211">
        <v>1043</v>
      </c>
      <c r="D5831" s="211" t="s">
        <v>1255</v>
      </c>
      <c r="E5831" s="211" t="s">
        <v>10385</v>
      </c>
      <c r="F5831" s="211" t="s">
        <v>7518</v>
      </c>
    </row>
    <row r="5832" spans="1:6">
      <c r="A5832" s="211" t="s">
        <v>9943</v>
      </c>
      <c r="B5832" s="211">
        <v>8413</v>
      </c>
      <c r="C5832" s="211">
        <v>1077</v>
      </c>
      <c r="D5832" s="211" t="s">
        <v>1255</v>
      </c>
      <c r="E5832" s="211" t="s">
        <v>10385</v>
      </c>
      <c r="F5832" s="211" t="s">
        <v>7334</v>
      </c>
    </row>
    <row r="5833" spans="1:6">
      <c r="A5833" s="211" t="s">
        <v>9944</v>
      </c>
      <c r="B5833" s="211">
        <v>8406</v>
      </c>
      <c r="C5833" s="211">
        <v>980</v>
      </c>
      <c r="D5833" s="211" t="s">
        <v>1255</v>
      </c>
      <c r="E5833" s="211" t="s">
        <v>10385</v>
      </c>
      <c r="F5833" s="211" t="s">
        <v>9213</v>
      </c>
    </row>
    <row r="5834" spans="1:6">
      <c r="A5834" s="211" t="s">
        <v>1044</v>
      </c>
      <c r="B5834" s="211">
        <v>4946</v>
      </c>
      <c r="C5834" s="211">
        <v>945</v>
      </c>
      <c r="D5834" s="211" t="s">
        <v>1255</v>
      </c>
      <c r="E5834" s="211" t="s">
        <v>10385</v>
      </c>
      <c r="F5834" s="211" t="s">
        <v>7377</v>
      </c>
    </row>
    <row r="5835" spans="1:6">
      <c r="A5835" s="211" t="s">
        <v>1045</v>
      </c>
      <c r="B5835" s="211">
        <v>4746</v>
      </c>
      <c r="C5835" s="211">
        <v>1108</v>
      </c>
      <c r="D5835" s="211" t="s">
        <v>1255</v>
      </c>
      <c r="E5835" s="211" t="s">
        <v>10385</v>
      </c>
      <c r="F5835" s="211" t="s">
        <v>7587</v>
      </c>
    </row>
    <row r="5836" spans="1:6">
      <c r="A5836" s="211" t="s">
        <v>1046</v>
      </c>
      <c r="B5836" s="211">
        <v>716</v>
      </c>
      <c r="C5836" s="211">
        <v>1163</v>
      </c>
      <c r="D5836" s="211" t="s">
        <v>1255</v>
      </c>
      <c r="E5836" s="211" t="s">
        <v>10385</v>
      </c>
      <c r="F5836" s="211" t="s">
        <v>7402</v>
      </c>
    </row>
    <row r="5837" spans="1:6">
      <c r="A5837" s="211" t="s">
        <v>5184</v>
      </c>
      <c r="B5837" s="211">
        <v>6769</v>
      </c>
      <c r="C5837" s="211">
        <v>1505</v>
      </c>
      <c r="D5837" s="211" t="s">
        <v>1255</v>
      </c>
      <c r="E5837" s="211" t="s">
        <v>10385</v>
      </c>
      <c r="F5837" s="211" t="s">
        <v>7171</v>
      </c>
    </row>
    <row r="5838" spans="1:6">
      <c r="A5838" s="211" t="s">
        <v>1047</v>
      </c>
      <c r="B5838" s="211">
        <v>2445</v>
      </c>
      <c r="C5838" s="211">
        <v>1176</v>
      </c>
      <c r="D5838" s="211" t="s">
        <v>1255</v>
      </c>
      <c r="E5838" s="211" t="s">
        <v>10385</v>
      </c>
      <c r="F5838" s="211" t="s">
        <v>7208</v>
      </c>
    </row>
    <row r="5839" spans="1:6">
      <c r="A5839" s="211" t="s">
        <v>6134</v>
      </c>
      <c r="B5839" s="211">
        <v>7298</v>
      </c>
      <c r="C5839" s="211">
        <v>480</v>
      </c>
      <c r="D5839" s="211" t="s">
        <v>1117</v>
      </c>
      <c r="E5839" s="211" t="s">
        <v>10385</v>
      </c>
      <c r="F5839" s="211" t="s">
        <v>8271</v>
      </c>
    </row>
    <row r="5840" spans="1:6">
      <c r="A5840" s="211" t="s">
        <v>5185</v>
      </c>
      <c r="B5840" s="211">
        <v>6747</v>
      </c>
      <c r="C5840" s="211">
        <v>1236</v>
      </c>
      <c r="D5840" s="211" t="s">
        <v>1255</v>
      </c>
      <c r="E5840" s="211" t="s">
        <v>10889</v>
      </c>
      <c r="F5840" s="211" t="s">
        <v>7377</v>
      </c>
    </row>
    <row r="5841" spans="1:6">
      <c r="A5841" s="211" t="s">
        <v>4719</v>
      </c>
      <c r="B5841" s="211">
        <v>6224</v>
      </c>
      <c r="C5841" s="211">
        <v>1510</v>
      </c>
      <c r="D5841" s="211" t="s">
        <v>1255</v>
      </c>
      <c r="E5841" s="211" t="s">
        <v>10385</v>
      </c>
      <c r="F5841" s="211" t="s">
        <v>7224</v>
      </c>
    </row>
    <row r="5842" spans="1:6">
      <c r="A5842" s="211" t="s">
        <v>8497</v>
      </c>
      <c r="B5842" s="211">
        <v>1439</v>
      </c>
      <c r="C5842" s="211" t="s">
        <v>10385</v>
      </c>
      <c r="D5842" s="211" t="s">
        <v>1255</v>
      </c>
      <c r="E5842" s="211" t="s">
        <v>10385</v>
      </c>
      <c r="F5842" s="211" t="s">
        <v>7280</v>
      </c>
    </row>
    <row r="5843" spans="1:6">
      <c r="A5843" s="211" t="s">
        <v>1048</v>
      </c>
      <c r="B5843" s="211">
        <v>5451</v>
      </c>
      <c r="C5843" s="211">
        <v>1407</v>
      </c>
      <c r="D5843" s="211" t="s">
        <v>1255</v>
      </c>
      <c r="E5843" s="211" t="s">
        <v>10385</v>
      </c>
      <c r="F5843" s="211" t="s">
        <v>7938</v>
      </c>
    </row>
    <row r="5844" spans="1:6">
      <c r="A5844" s="211" t="s">
        <v>1049</v>
      </c>
      <c r="B5844" s="211">
        <v>4614</v>
      </c>
      <c r="C5844" s="211">
        <v>1566</v>
      </c>
      <c r="D5844" s="211" t="s">
        <v>1255</v>
      </c>
      <c r="E5844" s="211" t="s">
        <v>10385</v>
      </c>
      <c r="F5844" s="211" t="s">
        <v>7346</v>
      </c>
    </row>
    <row r="5845" spans="1:6">
      <c r="A5845" s="211" t="s">
        <v>10890</v>
      </c>
      <c r="B5845" s="211">
        <v>8789</v>
      </c>
      <c r="C5845" s="211">
        <v>1127</v>
      </c>
      <c r="D5845" s="211" t="s">
        <v>1255</v>
      </c>
      <c r="E5845" s="211" t="s">
        <v>10891</v>
      </c>
      <c r="F5845" s="211" t="s">
        <v>7430</v>
      </c>
    </row>
    <row r="5846" spans="1:6">
      <c r="A5846" s="211" t="s">
        <v>9945</v>
      </c>
      <c r="B5846" s="211">
        <v>8057</v>
      </c>
      <c r="C5846" s="211">
        <v>803</v>
      </c>
      <c r="D5846" s="211" t="s">
        <v>1255</v>
      </c>
      <c r="E5846" s="211" t="s">
        <v>9946</v>
      </c>
      <c r="F5846" s="211" t="s">
        <v>7430</v>
      </c>
    </row>
    <row r="5847" spans="1:6">
      <c r="A5847" s="211" t="s">
        <v>8498</v>
      </c>
      <c r="B5847" s="211">
        <v>5404</v>
      </c>
      <c r="C5847" s="211" t="s">
        <v>10385</v>
      </c>
      <c r="D5847" s="211" t="s">
        <v>1255</v>
      </c>
      <c r="E5847" s="211" t="s">
        <v>10385</v>
      </c>
      <c r="F5847" s="211" t="s">
        <v>7742</v>
      </c>
    </row>
    <row r="5848" spans="1:6">
      <c r="A5848" s="211" t="s">
        <v>1050</v>
      </c>
      <c r="B5848" s="211">
        <v>3558</v>
      </c>
      <c r="C5848" s="211">
        <v>1366</v>
      </c>
      <c r="D5848" s="211" t="s">
        <v>1255</v>
      </c>
      <c r="E5848" s="211" t="s">
        <v>10385</v>
      </c>
      <c r="F5848" s="211" t="s">
        <v>7173</v>
      </c>
    </row>
    <row r="5849" spans="1:6">
      <c r="A5849" s="211" t="s">
        <v>7008</v>
      </c>
      <c r="B5849" s="211">
        <v>7887</v>
      </c>
      <c r="C5849" s="211">
        <v>922</v>
      </c>
      <c r="D5849" s="211" t="s">
        <v>1255</v>
      </c>
      <c r="E5849" s="211" t="s">
        <v>10385</v>
      </c>
      <c r="F5849" s="211" t="s">
        <v>7341</v>
      </c>
    </row>
    <row r="5850" spans="1:6">
      <c r="A5850" s="211" t="s">
        <v>7009</v>
      </c>
      <c r="B5850" s="211">
        <v>7772</v>
      </c>
      <c r="C5850" s="211">
        <v>942</v>
      </c>
      <c r="D5850" s="211" t="s">
        <v>1255</v>
      </c>
      <c r="E5850" s="211" t="s">
        <v>9947</v>
      </c>
      <c r="F5850" s="211" t="s">
        <v>7202</v>
      </c>
    </row>
    <row r="5851" spans="1:6">
      <c r="A5851" s="211" t="s">
        <v>1051</v>
      </c>
      <c r="B5851" s="211">
        <v>2051</v>
      </c>
      <c r="C5851" s="211">
        <v>1250</v>
      </c>
      <c r="D5851" s="211" t="s">
        <v>1117</v>
      </c>
      <c r="E5851" s="211" t="s">
        <v>10385</v>
      </c>
      <c r="F5851" s="211" t="s">
        <v>7386</v>
      </c>
    </row>
    <row r="5852" spans="1:6">
      <c r="A5852" s="211" t="s">
        <v>1052</v>
      </c>
      <c r="B5852" s="211">
        <v>3980</v>
      </c>
      <c r="C5852" s="211">
        <v>841</v>
      </c>
      <c r="D5852" s="211" t="s">
        <v>1255</v>
      </c>
      <c r="E5852" s="211" t="s">
        <v>10385</v>
      </c>
      <c r="F5852" s="211" t="s">
        <v>7199</v>
      </c>
    </row>
    <row r="5853" spans="1:6">
      <c r="A5853" s="211" t="s">
        <v>4650</v>
      </c>
      <c r="B5853" s="211">
        <v>6349</v>
      </c>
      <c r="C5853" s="211">
        <v>1235</v>
      </c>
      <c r="D5853" s="211" t="s">
        <v>1255</v>
      </c>
      <c r="E5853" s="211" t="s">
        <v>10385</v>
      </c>
      <c r="F5853" s="211" t="s">
        <v>7325</v>
      </c>
    </row>
    <row r="5854" spans="1:6">
      <c r="A5854" s="211" t="s">
        <v>8499</v>
      </c>
      <c r="B5854" s="211">
        <v>21</v>
      </c>
      <c r="C5854" s="211" t="s">
        <v>10385</v>
      </c>
      <c r="D5854" s="211" t="s">
        <v>1255</v>
      </c>
      <c r="E5854" s="211" t="s">
        <v>10385</v>
      </c>
      <c r="F5854" s="211" t="s">
        <v>7196</v>
      </c>
    </row>
    <row r="5855" spans="1:6">
      <c r="A5855" s="211" t="s">
        <v>5186</v>
      </c>
      <c r="B5855" s="211">
        <v>6106</v>
      </c>
      <c r="C5855" s="211">
        <v>888</v>
      </c>
      <c r="D5855" s="211" t="s">
        <v>1255</v>
      </c>
      <c r="E5855" s="211" t="s">
        <v>10385</v>
      </c>
      <c r="F5855" s="211" t="s">
        <v>7217</v>
      </c>
    </row>
    <row r="5856" spans="1:6">
      <c r="A5856" s="211" t="s">
        <v>6135</v>
      </c>
      <c r="B5856" s="211">
        <v>7324</v>
      </c>
      <c r="C5856" s="211">
        <v>995</v>
      </c>
      <c r="D5856" s="211" t="s">
        <v>1255</v>
      </c>
      <c r="E5856" s="211" t="s">
        <v>10385</v>
      </c>
      <c r="F5856" s="211" t="s">
        <v>7661</v>
      </c>
    </row>
    <row r="5857" spans="1:6">
      <c r="A5857" s="211" t="s">
        <v>1053</v>
      </c>
      <c r="B5857" s="211">
        <v>2454</v>
      </c>
      <c r="C5857" s="211">
        <v>1224</v>
      </c>
      <c r="D5857" s="211" t="s">
        <v>1255</v>
      </c>
      <c r="E5857" s="211" t="s">
        <v>10385</v>
      </c>
      <c r="F5857" s="211" t="s">
        <v>9024</v>
      </c>
    </row>
    <row r="5858" spans="1:6">
      <c r="A5858" s="211" t="s">
        <v>4894</v>
      </c>
      <c r="B5858" s="211">
        <v>2235</v>
      </c>
      <c r="C5858" s="211">
        <v>1678</v>
      </c>
      <c r="D5858" s="211" t="s">
        <v>1255</v>
      </c>
      <c r="E5858" s="211" t="s">
        <v>10385</v>
      </c>
      <c r="F5858" s="211" t="s">
        <v>7322</v>
      </c>
    </row>
    <row r="5859" spans="1:6">
      <c r="A5859" s="211" t="s">
        <v>1054</v>
      </c>
      <c r="B5859" s="211">
        <v>3200</v>
      </c>
      <c r="C5859" s="211">
        <v>1362</v>
      </c>
      <c r="D5859" s="211" t="s">
        <v>1255</v>
      </c>
      <c r="E5859" s="211" t="s">
        <v>10385</v>
      </c>
      <c r="F5859" s="211" t="s">
        <v>7327</v>
      </c>
    </row>
    <row r="5860" spans="1:6">
      <c r="A5860" s="211" t="s">
        <v>1055</v>
      </c>
      <c r="B5860" s="211">
        <v>2985</v>
      </c>
      <c r="C5860" s="211">
        <v>1365</v>
      </c>
      <c r="D5860" s="211" t="s">
        <v>1255</v>
      </c>
      <c r="E5860" s="211" t="s">
        <v>10385</v>
      </c>
      <c r="F5860" s="211" t="s">
        <v>7307</v>
      </c>
    </row>
    <row r="5861" spans="1:6">
      <c r="A5861" s="211" t="s">
        <v>6136</v>
      </c>
      <c r="B5861" s="211">
        <v>7035</v>
      </c>
      <c r="C5861" s="211">
        <v>1297</v>
      </c>
      <c r="D5861" s="211" t="s">
        <v>1255</v>
      </c>
      <c r="E5861" s="211" t="s">
        <v>9948</v>
      </c>
      <c r="F5861" s="211" t="s">
        <v>7310</v>
      </c>
    </row>
    <row r="5862" spans="1:6">
      <c r="A5862" s="211" t="s">
        <v>7010</v>
      </c>
      <c r="B5862" s="211">
        <v>7694</v>
      </c>
      <c r="C5862" s="211">
        <v>1424</v>
      </c>
      <c r="D5862" s="211" t="s">
        <v>1117</v>
      </c>
      <c r="E5862" s="211" t="s">
        <v>10892</v>
      </c>
      <c r="F5862" s="211" t="s">
        <v>9044</v>
      </c>
    </row>
    <row r="5863" spans="1:6">
      <c r="A5863" s="211" t="s">
        <v>1056</v>
      </c>
      <c r="B5863" s="211">
        <v>2047</v>
      </c>
      <c r="C5863" s="211">
        <v>1476</v>
      </c>
      <c r="D5863" s="211" t="s">
        <v>1255</v>
      </c>
      <c r="E5863" s="211" t="s">
        <v>10385</v>
      </c>
      <c r="F5863" s="211" t="s">
        <v>7327</v>
      </c>
    </row>
    <row r="5864" spans="1:6">
      <c r="A5864" s="211" t="s">
        <v>8500</v>
      </c>
      <c r="B5864" s="211">
        <v>5045</v>
      </c>
      <c r="C5864" s="211" t="s">
        <v>10385</v>
      </c>
      <c r="D5864" s="211" t="s">
        <v>1255</v>
      </c>
      <c r="E5864" s="211" t="s">
        <v>10385</v>
      </c>
      <c r="F5864" s="211" t="s">
        <v>7382</v>
      </c>
    </row>
    <row r="5865" spans="1:6">
      <c r="A5865" s="211" t="s">
        <v>1057</v>
      </c>
      <c r="B5865" s="211">
        <v>4302</v>
      </c>
      <c r="C5865" s="211">
        <v>833</v>
      </c>
      <c r="D5865" s="211" t="s">
        <v>1255</v>
      </c>
      <c r="E5865" s="211" t="s">
        <v>10385</v>
      </c>
      <c r="F5865" s="211" t="s">
        <v>7263</v>
      </c>
    </row>
    <row r="5866" spans="1:6">
      <c r="A5866" s="211" t="s">
        <v>6137</v>
      </c>
      <c r="B5866" s="211">
        <v>7419</v>
      </c>
      <c r="C5866" s="211">
        <v>1657</v>
      </c>
      <c r="D5866" s="211" t="s">
        <v>1255</v>
      </c>
      <c r="E5866" s="211" t="s">
        <v>9949</v>
      </c>
      <c r="F5866" s="211" t="s">
        <v>7357</v>
      </c>
    </row>
    <row r="5867" spans="1:6">
      <c r="A5867" s="211" t="s">
        <v>1058</v>
      </c>
      <c r="B5867" s="211">
        <v>5809</v>
      </c>
      <c r="C5867" s="211">
        <v>708</v>
      </c>
      <c r="D5867" s="211" t="s">
        <v>1255</v>
      </c>
      <c r="E5867" s="211" t="s">
        <v>10385</v>
      </c>
      <c r="F5867" s="211" t="s">
        <v>7257</v>
      </c>
    </row>
    <row r="5868" spans="1:6">
      <c r="A5868" s="211" t="s">
        <v>6138</v>
      </c>
      <c r="B5868" s="211">
        <v>7505</v>
      </c>
      <c r="C5868" s="211">
        <v>1138</v>
      </c>
      <c r="D5868" s="211" t="s">
        <v>1255</v>
      </c>
      <c r="E5868" s="211" t="s">
        <v>6139</v>
      </c>
      <c r="F5868" s="211" t="s">
        <v>7284</v>
      </c>
    </row>
    <row r="5869" spans="1:6">
      <c r="A5869" s="211" t="s">
        <v>1059</v>
      </c>
      <c r="B5869" s="211">
        <v>5540</v>
      </c>
      <c r="C5869" s="211">
        <v>1333</v>
      </c>
      <c r="D5869" s="211" t="s">
        <v>1255</v>
      </c>
      <c r="E5869" s="211" t="s">
        <v>10385</v>
      </c>
      <c r="F5869" s="211" t="s">
        <v>7479</v>
      </c>
    </row>
    <row r="5870" spans="1:6">
      <c r="A5870" s="211" t="s">
        <v>10893</v>
      </c>
      <c r="B5870" s="211">
        <v>8636</v>
      </c>
      <c r="C5870" s="211">
        <v>1179</v>
      </c>
      <c r="D5870" s="211" t="s">
        <v>1255</v>
      </c>
      <c r="E5870" s="211" t="s">
        <v>10385</v>
      </c>
      <c r="F5870" s="211" t="s">
        <v>7284</v>
      </c>
    </row>
    <row r="5871" spans="1:6">
      <c r="A5871" s="211" t="s">
        <v>1060</v>
      </c>
      <c r="B5871" s="211">
        <v>5076</v>
      </c>
      <c r="C5871" s="211">
        <v>1209</v>
      </c>
      <c r="D5871" s="211" t="s">
        <v>1255</v>
      </c>
      <c r="E5871" s="211" t="s">
        <v>10385</v>
      </c>
      <c r="F5871" s="211" t="s">
        <v>7203</v>
      </c>
    </row>
    <row r="5872" spans="1:6">
      <c r="A5872" s="211" t="s">
        <v>6140</v>
      </c>
      <c r="B5872" s="211">
        <v>7326</v>
      </c>
      <c r="C5872" s="211">
        <v>607</v>
      </c>
      <c r="D5872" s="211" t="s">
        <v>1117</v>
      </c>
      <c r="E5872" s="211" t="s">
        <v>10385</v>
      </c>
      <c r="F5872" s="211" t="s">
        <v>7285</v>
      </c>
    </row>
    <row r="5873" spans="1:6">
      <c r="A5873" s="211" t="s">
        <v>10894</v>
      </c>
      <c r="B5873" s="211">
        <v>8649</v>
      </c>
      <c r="C5873" s="211">
        <v>2502</v>
      </c>
      <c r="D5873" s="211" t="s">
        <v>1255</v>
      </c>
      <c r="E5873" s="211" t="s">
        <v>6632</v>
      </c>
      <c r="F5873" s="211" t="s">
        <v>7267</v>
      </c>
    </row>
    <row r="5874" spans="1:6">
      <c r="A5874" s="211" t="s">
        <v>8501</v>
      </c>
      <c r="B5874" s="211">
        <v>5350</v>
      </c>
      <c r="C5874" s="211" t="s">
        <v>10385</v>
      </c>
      <c r="D5874" s="211" t="s">
        <v>1255</v>
      </c>
      <c r="E5874" s="211" t="s">
        <v>10385</v>
      </c>
      <c r="F5874" s="211" t="s">
        <v>7248</v>
      </c>
    </row>
    <row r="5875" spans="1:6">
      <c r="A5875" s="211" t="s">
        <v>9950</v>
      </c>
      <c r="B5875" s="211">
        <v>8076</v>
      </c>
      <c r="C5875" s="211">
        <v>1008</v>
      </c>
      <c r="D5875" s="211" t="s">
        <v>1255</v>
      </c>
      <c r="E5875" s="211" t="s">
        <v>10385</v>
      </c>
      <c r="F5875" s="211" t="s">
        <v>7284</v>
      </c>
    </row>
    <row r="5876" spans="1:6">
      <c r="A5876" s="211" t="s">
        <v>1061</v>
      </c>
      <c r="B5876" s="211">
        <v>4481</v>
      </c>
      <c r="C5876" s="211">
        <v>1383</v>
      </c>
      <c r="D5876" s="211" t="s">
        <v>1255</v>
      </c>
      <c r="E5876" s="211" t="s">
        <v>1062</v>
      </c>
      <c r="F5876" s="211" t="s">
        <v>7356</v>
      </c>
    </row>
    <row r="5877" spans="1:6">
      <c r="A5877" s="211" t="s">
        <v>1063</v>
      </c>
      <c r="B5877" s="211">
        <v>3193</v>
      </c>
      <c r="C5877" s="211">
        <v>904</v>
      </c>
      <c r="D5877" s="211" t="s">
        <v>1255</v>
      </c>
      <c r="E5877" s="211" t="s">
        <v>10385</v>
      </c>
      <c r="F5877" s="211" t="s">
        <v>7425</v>
      </c>
    </row>
    <row r="5878" spans="1:6">
      <c r="A5878" s="211" t="s">
        <v>1064</v>
      </c>
      <c r="B5878" s="211">
        <v>4401</v>
      </c>
      <c r="C5878" s="211">
        <v>1687</v>
      </c>
      <c r="D5878" s="211" t="s">
        <v>1255</v>
      </c>
      <c r="E5878" s="211" t="s">
        <v>6035</v>
      </c>
      <c r="F5878" s="211" t="s">
        <v>7233</v>
      </c>
    </row>
    <row r="5879" spans="1:6">
      <c r="A5879" s="211" t="s">
        <v>8502</v>
      </c>
      <c r="B5879" s="211">
        <v>3665</v>
      </c>
      <c r="C5879" s="211" t="s">
        <v>10385</v>
      </c>
      <c r="D5879" s="211" t="s">
        <v>1255</v>
      </c>
      <c r="E5879" s="211" t="s">
        <v>10385</v>
      </c>
      <c r="F5879" s="211" t="s">
        <v>7861</v>
      </c>
    </row>
    <row r="5880" spans="1:6">
      <c r="A5880" s="211" t="s">
        <v>10895</v>
      </c>
      <c r="B5880" s="211">
        <v>8798</v>
      </c>
      <c r="C5880" s="211">
        <v>1023</v>
      </c>
      <c r="D5880" s="211" t="s">
        <v>1117</v>
      </c>
      <c r="E5880" s="211" t="s">
        <v>10896</v>
      </c>
      <c r="F5880" s="211" t="s">
        <v>10565</v>
      </c>
    </row>
    <row r="5881" spans="1:6">
      <c r="A5881" s="211" t="s">
        <v>1065</v>
      </c>
      <c r="B5881" s="211">
        <v>3022</v>
      </c>
      <c r="C5881" s="211">
        <v>1772</v>
      </c>
      <c r="D5881" s="211" t="s">
        <v>1255</v>
      </c>
      <c r="E5881" s="211" t="s">
        <v>1066</v>
      </c>
      <c r="F5881" s="211" t="s">
        <v>7162</v>
      </c>
    </row>
    <row r="5882" spans="1:6">
      <c r="A5882" s="211" t="s">
        <v>1067</v>
      </c>
      <c r="B5882" s="211">
        <v>3026</v>
      </c>
      <c r="C5882" s="211">
        <v>990</v>
      </c>
      <c r="D5882" s="211" t="s">
        <v>1255</v>
      </c>
      <c r="E5882" s="211" t="s">
        <v>10385</v>
      </c>
      <c r="F5882" s="211" t="s">
        <v>7219</v>
      </c>
    </row>
    <row r="5883" spans="1:6">
      <c r="A5883" s="211" t="s">
        <v>1068</v>
      </c>
      <c r="B5883" s="211">
        <v>2311</v>
      </c>
      <c r="C5883" s="211">
        <v>896</v>
      </c>
      <c r="D5883" s="211" t="s">
        <v>1255</v>
      </c>
      <c r="E5883" s="211" t="s">
        <v>10385</v>
      </c>
      <c r="F5883" s="211" t="s">
        <v>7351</v>
      </c>
    </row>
    <row r="5884" spans="1:6">
      <c r="A5884" s="211" t="s">
        <v>1069</v>
      </c>
      <c r="B5884" s="211">
        <v>3399</v>
      </c>
      <c r="C5884" s="211">
        <v>1308</v>
      </c>
      <c r="D5884" s="211" t="s">
        <v>1255</v>
      </c>
      <c r="E5884" s="211" t="s">
        <v>10385</v>
      </c>
      <c r="F5884" s="211" t="s">
        <v>7272</v>
      </c>
    </row>
    <row r="5885" spans="1:6">
      <c r="A5885" s="211" t="s">
        <v>6141</v>
      </c>
      <c r="B5885" s="211">
        <v>7567</v>
      </c>
      <c r="C5885" s="211">
        <v>999</v>
      </c>
      <c r="D5885" s="211" t="s">
        <v>1255</v>
      </c>
      <c r="E5885" s="211" t="s">
        <v>10385</v>
      </c>
      <c r="F5885" s="211" t="s">
        <v>7384</v>
      </c>
    </row>
    <row r="5886" spans="1:6">
      <c r="A5886" s="211" t="s">
        <v>8983</v>
      </c>
      <c r="B5886" s="211">
        <v>2402</v>
      </c>
      <c r="C5886" s="211" t="s">
        <v>10385</v>
      </c>
      <c r="D5886" s="211" t="s">
        <v>1255</v>
      </c>
      <c r="E5886" s="211" t="s">
        <v>10385</v>
      </c>
      <c r="F5886" s="211" t="s">
        <v>7272</v>
      </c>
    </row>
    <row r="5887" spans="1:6">
      <c r="A5887" s="211" t="s">
        <v>8984</v>
      </c>
      <c r="B5887" s="211">
        <v>52</v>
      </c>
      <c r="C5887" s="211">
        <v>1588</v>
      </c>
      <c r="D5887" s="211" t="s">
        <v>1255</v>
      </c>
      <c r="E5887" s="211" t="s">
        <v>1070</v>
      </c>
      <c r="F5887" s="211" t="s">
        <v>7219</v>
      </c>
    </row>
    <row r="5888" spans="1:6">
      <c r="A5888" s="211" t="s">
        <v>8503</v>
      </c>
      <c r="B5888" s="211">
        <v>536</v>
      </c>
      <c r="C5888" s="211" t="s">
        <v>10385</v>
      </c>
      <c r="D5888" s="211" t="s">
        <v>1255</v>
      </c>
      <c r="E5888" s="211" t="s">
        <v>10385</v>
      </c>
      <c r="F5888" s="211" t="s">
        <v>7171</v>
      </c>
    </row>
    <row r="5889" spans="1:6">
      <c r="A5889" s="211" t="s">
        <v>4596</v>
      </c>
      <c r="B5889" s="211">
        <v>6317</v>
      </c>
      <c r="C5889" s="211">
        <v>797</v>
      </c>
      <c r="D5889" s="211" t="s">
        <v>1117</v>
      </c>
      <c r="E5889" s="211" t="s">
        <v>9951</v>
      </c>
      <c r="F5889" s="211" t="s">
        <v>7231</v>
      </c>
    </row>
    <row r="5890" spans="1:6">
      <c r="A5890" s="211" t="s">
        <v>1071</v>
      </c>
      <c r="B5890" s="211">
        <v>3965</v>
      </c>
      <c r="C5890" s="211">
        <v>850</v>
      </c>
      <c r="D5890" s="211" t="s">
        <v>1117</v>
      </c>
      <c r="E5890" s="211" t="s">
        <v>10385</v>
      </c>
      <c r="F5890" s="211" t="s">
        <v>7239</v>
      </c>
    </row>
    <row r="5891" spans="1:6">
      <c r="A5891" s="211" t="s">
        <v>8504</v>
      </c>
      <c r="B5891" s="211">
        <v>602</v>
      </c>
      <c r="C5891" s="211" t="s">
        <v>10385</v>
      </c>
      <c r="D5891" s="211" t="s">
        <v>1255</v>
      </c>
      <c r="E5891" s="211" t="s">
        <v>10385</v>
      </c>
      <c r="F5891" s="211" t="s">
        <v>7239</v>
      </c>
    </row>
    <row r="5892" spans="1:6">
      <c r="A5892" s="211" t="s">
        <v>8505</v>
      </c>
      <c r="B5892" s="211">
        <v>1563</v>
      </c>
      <c r="C5892" s="211" t="s">
        <v>10385</v>
      </c>
      <c r="D5892" s="211" t="s">
        <v>1255</v>
      </c>
      <c r="E5892" s="211" t="s">
        <v>10385</v>
      </c>
      <c r="F5892" s="211" t="s">
        <v>7274</v>
      </c>
    </row>
    <row r="5893" spans="1:6">
      <c r="A5893" s="211" t="s">
        <v>8506</v>
      </c>
      <c r="B5893" s="211">
        <v>3109</v>
      </c>
      <c r="C5893" s="211" t="s">
        <v>10385</v>
      </c>
      <c r="D5893" s="211" t="s">
        <v>1255</v>
      </c>
      <c r="E5893" s="211" t="s">
        <v>10385</v>
      </c>
      <c r="F5893" s="211" t="s">
        <v>7459</v>
      </c>
    </row>
    <row r="5894" spans="1:6">
      <c r="A5894" s="211" t="s">
        <v>1072</v>
      </c>
      <c r="B5894" s="211">
        <v>3418</v>
      </c>
      <c r="C5894" s="211">
        <v>1249</v>
      </c>
      <c r="D5894" s="211" t="s">
        <v>1255</v>
      </c>
      <c r="E5894" s="211" t="s">
        <v>10385</v>
      </c>
      <c r="F5894" s="211" t="s">
        <v>7308</v>
      </c>
    </row>
    <row r="5895" spans="1:6">
      <c r="A5895" s="211" t="s">
        <v>8985</v>
      </c>
      <c r="B5895" s="211">
        <v>2668</v>
      </c>
      <c r="C5895" s="211">
        <v>1356</v>
      </c>
      <c r="D5895" s="211" t="s">
        <v>1255</v>
      </c>
      <c r="E5895" s="211" t="s">
        <v>10385</v>
      </c>
      <c r="F5895" s="211" t="s">
        <v>7177</v>
      </c>
    </row>
    <row r="5896" spans="1:6">
      <c r="A5896" s="211" t="s">
        <v>8986</v>
      </c>
      <c r="B5896" s="211">
        <v>3802</v>
      </c>
      <c r="C5896" s="211" t="s">
        <v>10385</v>
      </c>
      <c r="D5896" s="211" t="s">
        <v>1255</v>
      </c>
      <c r="E5896" s="211" t="s">
        <v>10385</v>
      </c>
      <c r="F5896" s="211" t="s">
        <v>7307</v>
      </c>
    </row>
    <row r="5897" spans="1:6">
      <c r="A5897" s="211" t="s">
        <v>7011</v>
      </c>
      <c r="B5897" s="211">
        <v>7816</v>
      </c>
      <c r="C5897" s="211">
        <v>1116</v>
      </c>
      <c r="D5897" s="211" t="s">
        <v>1255</v>
      </c>
      <c r="E5897" s="211" t="s">
        <v>10897</v>
      </c>
      <c r="F5897" s="211" t="s">
        <v>7928</v>
      </c>
    </row>
    <row r="5898" spans="1:6">
      <c r="A5898" s="211" t="s">
        <v>1073</v>
      </c>
      <c r="B5898" s="211">
        <v>3745</v>
      </c>
      <c r="C5898" s="211">
        <v>835</v>
      </c>
      <c r="D5898" s="211" t="s">
        <v>1255</v>
      </c>
      <c r="E5898" s="211" t="s">
        <v>10385</v>
      </c>
      <c r="F5898" s="211" t="s">
        <v>7217</v>
      </c>
    </row>
    <row r="5899" spans="1:6">
      <c r="A5899" s="211" t="s">
        <v>1074</v>
      </c>
      <c r="B5899" s="211">
        <v>1099</v>
      </c>
      <c r="C5899" s="211">
        <v>1601</v>
      </c>
      <c r="D5899" s="211" t="s">
        <v>1255</v>
      </c>
      <c r="E5899" s="211" t="s">
        <v>10385</v>
      </c>
      <c r="F5899" s="211" t="s">
        <v>7267</v>
      </c>
    </row>
    <row r="5900" spans="1:6">
      <c r="A5900" s="211" t="s">
        <v>4816</v>
      </c>
      <c r="B5900" s="211">
        <v>6122</v>
      </c>
      <c r="C5900" s="211">
        <v>1367</v>
      </c>
      <c r="D5900" s="211" t="s">
        <v>1255</v>
      </c>
      <c r="E5900" s="211" t="s">
        <v>9952</v>
      </c>
      <c r="F5900" s="211" t="s">
        <v>7299</v>
      </c>
    </row>
    <row r="5901" spans="1:6">
      <c r="A5901" s="211" t="s">
        <v>1075</v>
      </c>
      <c r="B5901" s="211">
        <v>1874</v>
      </c>
      <c r="C5901" s="211">
        <v>1167</v>
      </c>
      <c r="D5901" s="211" t="s">
        <v>1255</v>
      </c>
      <c r="E5901" s="211" t="s">
        <v>10385</v>
      </c>
      <c r="F5901" s="211" t="s">
        <v>7230</v>
      </c>
    </row>
    <row r="5902" spans="1:6">
      <c r="A5902" s="211" t="s">
        <v>1076</v>
      </c>
      <c r="B5902" s="211">
        <v>1413</v>
      </c>
      <c r="C5902" s="211">
        <v>1632</v>
      </c>
      <c r="D5902" s="211" t="s">
        <v>1255</v>
      </c>
      <c r="E5902" s="211" t="s">
        <v>10385</v>
      </c>
      <c r="F5902" s="211" t="s">
        <v>7199</v>
      </c>
    </row>
    <row r="5903" spans="1:6">
      <c r="A5903" s="211" t="s">
        <v>8507</v>
      </c>
      <c r="B5903" s="211">
        <v>1206</v>
      </c>
      <c r="C5903" s="211" t="s">
        <v>10385</v>
      </c>
      <c r="D5903" s="211" t="s">
        <v>1255</v>
      </c>
      <c r="E5903" s="211" t="s">
        <v>10385</v>
      </c>
      <c r="F5903" s="211" t="s">
        <v>7657</v>
      </c>
    </row>
    <row r="5904" spans="1:6">
      <c r="A5904" s="211" t="s">
        <v>9953</v>
      </c>
      <c r="B5904" s="211">
        <v>8376</v>
      </c>
      <c r="C5904" s="211">
        <v>975</v>
      </c>
      <c r="D5904" s="211" t="s">
        <v>1255</v>
      </c>
      <c r="E5904" s="211" t="s">
        <v>9954</v>
      </c>
      <c r="F5904" s="211" t="s">
        <v>9059</v>
      </c>
    </row>
    <row r="5905" spans="1:6">
      <c r="A5905" s="211" t="s">
        <v>1077</v>
      </c>
      <c r="B5905" s="211">
        <v>5169</v>
      </c>
      <c r="C5905" s="211">
        <v>1005</v>
      </c>
      <c r="D5905" s="211" t="s">
        <v>1255</v>
      </c>
      <c r="E5905" s="211" t="s">
        <v>10385</v>
      </c>
      <c r="F5905" s="211" t="s">
        <v>7171</v>
      </c>
    </row>
    <row r="5906" spans="1:6">
      <c r="A5906" s="211" t="s">
        <v>1078</v>
      </c>
      <c r="B5906" s="211">
        <v>4470</v>
      </c>
      <c r="C5906" s="211">
        <v>358</v>
      </c>
      <c r="D5906" s="211" t="s">
        <v>1255</v>
      </c>
      <c r="E5906" s="211" t="s">
        <v>10385</v>
      </c>
      <c r="F5906" s="211" t="s">
        <v>7425</v>
      </c>
    </row>
    <row r="5907" spans="1:6">
      <c r="A5907" s="211" t="s">
        <v>9955</v>
      </c>
      <c r="B5907" s="211">
        <v>8494</v>
      </c>
      <c r="C5907" s="211">
        <v>981</v>
      </c>
      <c r="D5907" s="211" t="s">
        <v>1255</v>
      </c>
      <c r="E5907" s="211" t="s">
        <v>10385</v>
      </c>
      <c r="F5907" s="211" t="s">
        <v>7511</v>
      </c>
    </row>
    <row r="5908" spans="1:6">
      <c r="A5908" s="211" t="s">
        <v>8508</v>
      </c>
      <c r="B5908" s="211">
        <v>2761</v>
      </c>
      <c r="C5908" s="211" t="s">
        <v>10385</v>
      </c>
      <c r="D5908" s="211" t="s">
        <v>1255</v>
      </c>
      <c r="E5908" s="211" t="s">
        <v>10385</v>
      </c>
      <c r="F5908" s="211" t="s">
        <v>7162</v>
      </c>
    </row>
    <row r="5909" spans="1:6">
      <c r="A5909" s="211" t="s">
        <v>1079</v>
      </c>
      <c r="B5909" s="211">
        <v>3174</v>
      </c>
      <c r="C5909" s="211">
        <v>887</v>
      </c>
      <c r="D5909" s="211" t="s">
        <v>1255</v>
      </c>
      <c r="E5909" s="211" t="s">
        <v>10385</v>
      </c>
      <c r="F5909" s="211" t="s">
        <v>7356</v>
      </c>
    </row>
    <row r="5910" spans="1:6">
      <c r="A5910" s="211" t="s">
        <v>8509</v>
      </c>
      <c r="B5910" s="211">
        <v>2506</v>
      </c>
      <c r="C5910" s="211" t="s">
        <v>10385</v>
      </c>
      <c r="D5910" s="211" t="s">
        <v>1255</v>
      </c>
      <c r="E5910" s="211" t="s">
        <v>10385</v>
      </c>
      <c r="F5910" s="211" t="s">
        <v>7203</v>
      </c>
    </row>
    <row r="5911" spans="1:6">
      <c r="A5911" s="211" t="s">
        <v>8510</v>
      </c>
      <c r="B5911" s="211">
        <v>1467</v>
      </c>
      <c r="C5911" s="211">
        <v>1696</v>
      </c>
      <c r="D5911" s="211" t="s">
        <v>1255</v>
      </c>
      <c r="E5911" s="211" t="s">
        <v>10385</v>
      </c>
      <c r="F5911" s="211" t="s">
        <v>7384</v>
      </c>
    </row>
    <row r="5912" spans="1:6">
      <c r="A5912" s="211" t="s">
        <v>8511</v>
      </c>
      <c r="B5912" s="211">
        <v>236</v>
      </c>
      <c r="C5912" s="211" t="s">
        <v>10385</v>
      </c>
      <c r="D5912" s="211" t="s">
        <v>1255</v>
      </c>
      <c r="E5912" s="211" t="s">
        <v>10385</v>
      </c>
      <c r="F5912" s="211" t="s">
        <v>7199</v>
      </c>
    </row>
    <row r="5913" spans="1:6">
      <c r="A5913" s="211" t="s">
        <v>1080</v>
      </c>
      <c r="B5913" s="211">
        <v>3944</v>
      </c>
      <c r="C5913" s="211">
        <v>1294</v>
      </c>
      <c r="D5913" s="211" t="s">
        <v>1255</v>
      </c>
      <c r="E5913" s="211" t="s">
        <v>10385</v>
      </c>
      <c r="F5913" s="211" t="s">
        <v>7365</v>
      </c>
    </row>
    <row r="5914" spans="1:6">
      <c r="A5914" s="211" t="s">
        <v>8512</v>
      </c>
      <c r="B5914" s="211">
        <v>239</v>
      </c>
      <c r="C5914" s="211" t="s">
        <v>10385</v>
      </c>
      <c r="D5914" s="211" t="s">
        <v>1255</v>
      </c>
      <c r="E5914" s="211" t="s">
        <v>10385</v>
      </c>
      <c r="F5914" s="211" t="s">
        <v>7171</v>
      </c>
    </row>
    <row r="5915" spans="1:6">
      <c r="A5915" s="211" t="s">
        <v>6142</v>
      </c>
      <c r="B5915" s="211">
        <v>7146</v>
      </c>
      <c r="C5915" s="211">
        <v>968</v>
      </c>
      <c r="D5915" s="211" t="s">
        <v>1255</v>
      </c>
      <c r="E5915" s="211" t="s">
        <v>6143</v>
      </c>
      <c r="F5915" s="211" t="s">
        <v>7521</v>
      </c>
    </row>
    <row r="5916" spans="1:6">
      <c r="A5916" s="211" t="s">
        <v>1081</v>
      </c>
      <c r="B5916" s="211">
        <v>1999</v>
      </c>
      <c r="C5916" s="211">
        <v>832</v>
      </c>
      <c r="D5916" s="211" t="s">
        <v>1255</v>
      </c>
      <c r="E5916" s="211" t="s">
        <v>10385</v>
      </c>
      <c r="F5916" s="211" t="s">
        <v>7331</v>
      </c>
    </row>
    <row r="5917" spans="1:6">
      <c r="A5917" s="211" t="s">
        <v>8513</v>
      </c>
      <c r="B5917" s="211">
        <v>5542</v>
      </c>
      <c r="C5917" s="211" t="s">
        <v>10385</v>
      </c>
      <c r="D5917" s="211" t="s">
        <v>1255</v>
      </c>
      <c r="E5917" s="211" t="s">
        <v>10385</v>
      </c>
      <c r="F5917" s="211" t="s">
        <v>7223</v>
      </c>
    </row>
    <row r="5918" spans="1:6">
      <c r="A5918" s="211" t="s">
        <v>1082</v>
      </c>
      <c r="B5918" s="211">
        <v>67</v>
      </c>
      <c r="C5918" s="211">
        <v>1380</v>
      </c>
      <c r="D5918" s="211" t="s">
        <v>1255</v>
      </c>
      <c r="E5918" s="211" t="s">
        <v>10385</v>
      </c>
      <c r="F5918" s="211" t="s">
        <v>7402</v>
      </c>
    </row>
    <row r="5919" spans="1:6">
      <c r="A5919" s="211" t="s">
        <v>4833</v>
      </c>
      <c r="B5919" s="211">
        <v>6094</v>
      </c>
      <c r="C5919" s="211">
        <v>897</v>
      </c>
      <c r="D5919" s="211" t="s">
        <v>1255</v>
      </c>
      <c r="E5919" s="211" t="s">
        <v>10385</v>
      </c>
      <c r="F5919" s="211" t="s">
        <v>7323</v>
      </c>
    </row>
    <row r="5920" spans="1:6">
      <c r="A5920" s="211" t="s">
        <v>4597</v>
      </c>
      <c r="B5920" s="211">
        <v>6307</v>
      </c>
      <c r="C5920" s="211">
        <v>1162</v>
      </c>
      <c r="D5920" s="211" t="s">
        <v>1255</v>
      </c>
      <c r="E5920" s="211" t="s">
        <v>9956</v>
      </c>
      <c r="F5920" s="211" t="s">
        <v>7257</v>
      </c>
    </row>
    <row r="5921" spans="1:6">
      <c r="A5921" s="211" t="s">
        <v>1083</v>
      </c>
      <c r="B5921" s="211">
        <v>2005</v>
      </c>
      <c r="C5921" s="211">
        <v>856</v>
      </c>
      <c r="D5921" s="211" t="s">
        <v>1255</v>
      </c>
      <c r="E5921" s="211" t="s">
        <v>10385</v>
      </c>
      <c r="F5921" s="211" t="s">
        <v>7965</v>
      </c>
    </row>
    <row r="5922" spans="1:6">
      <c r="A5922" s="211" t="s">
        <v>5187</v>
      </c>
      <c r="B5922" s="211">
        <v>6775</v>
      </c>
      <c r="C5922" s="211">
        <v>1794</v>
      </c>
      <c r="D5922" s="211" t="s">
        <v>1255</v>
      </c>
      <c r="E5922" s="211" t="s">
        <v>10898</v>
      </c>
      <c r="F5922" s="211" t="s">
        <v>7212</v>
      </c>
    </row>
    <row r="5923" spans="1:6">
      <c r="A5923" s="211" t="s">
        <v>4874</v>
      </c>
      <c r="B5923" s="211">
        <v>2335</v>
      </c>
      <c r="C5923" s="211">
        <v>1774</v>
      </c>
      <c r="D5923" s="211" t="s">
        <v>1255</v>
      </c>
      <c r="E5923" s="211" t="s">
        <v>10385</v>
      </c>
      <c r="F5923" s="211" t="s">
        <v>7510</v>
      </c>
    </row>
    <row r="5924" spans="1:6">
      <c r="A5924" s="211" t="s">
        <v>8514</v>
      </c>
      <c r="B5924" s="211">
        <v>222</v>
      </c>
      <c r="C5924" s="211" t="s">
        <v>10385</v>
      </c>
      <c r="D5924" s="211" t="s">
        <v>1255</v>
      </c>
      <c r="E5924" s="211" t="s">
        <v>10385</v>
      </c>
      <c r="F5924" s="211" t="s">
        <v>7171</v>
      </c>
    </row>
    <row r="5925" spans="1:6">
      <c r="A5925" s="211" t="s">
        <v>1084</v>
      </c>
      <c r="B5925" s="211">
        <v>1025</v>
      </c>
      <c r="C5925" s="211">
        <v>1328</v>
      </c>
      <c r="D5925" s="211" t="s">
        <v>1255</v>
      </c>
      <c r="E5925" s="211" t="s">
        <v>10385</v>
      </c>
      <c r="F5925" s="211" t="s">
        <v>7243</v>
      </c>
    </row>
    <row r="5926" spans="1:6">
      <c r="A5926" s="211" t="s">
        <v>7012</v>
      </c>
      <c r="B5926" s="211">
        <v>7814</v>
      </c>
      <c r="C5926" s="211">
        <v>720</v>
      </c>
      <c r="D5926" s="211" t="s">
        <v>1255</v>
      </c>
      <c r="E5926" s="211" t="s">
        <v>9957</v>
      </c>
      <c r="F5926" s="211" t="s">
        <v>7189</v>
      </c>
    </row>
    <row r="5927" spans="1:6">
      <c r="A5927" s="211" t="s">
        <v>1085</v>
      </c>
      <c r="B5927" s="211">
        <v>2332</v>
      </c>
      <c r="C5927" s="211">
        <v>2080</v>
      </c>
      <c r="D5927" s="211" t="s">
        <v>1255</v>
      </c>
      <c r="E5927" s="211" t="s">
        <v>10385</v>
      </c>
      <c r="F5927" s="211" t="s">
        <v>7262</v>
      </c>
    </row>
    <row r="5928" spans="1:6">
      <c r="A5928" s="211" t="s">
        <v>8515</v>
      </c>
      <c r="B5928" s="211">
        <v>4127</v>
      </c>
      <c r="C5928" s="211" t="s">
        <v>10385</v>
      </c>
      <c r="D5928" s="211" t="s">
        <v>1255</v>
      </c>
      <c r="E5928" s="211" t="s">
        <v>10385</v>
      </c>
      <c r="F5928" s="211" t="s">
        <v>7646</v>
      </c>
    </row>
    <row r="5929" spans="1:6">
      <c r="A5929" s="211" t="s">
        <v>6144</v>
      </c>
      <c r="B5929" s="211">
        <v>7589</v>
      </c>
      <c r="C5929" s="211">
        <v>997</v>
      </c>
      <c r="D5929" s="211" t="s">
        <v>1255</v>
      </c>
      <c r="E5929" s="211" t="s">
        <v>7013</v>
      </c>
      <c r="F5929" s="211" t="s">
        <v>7288</v>
      </c>
    </row>
    <row r="5930" spans="1:6">
      <c r="A5930" s="211" t="s">
        <v>1086</v>
      </c>
      <c r="B5930" s="211">
        <v>2211</v>
      </c>
      <c r="C5930" s="211">
        <v>1253</v>
      </c>
      <c r="D5930" s="211" t="s">
        <v>1255</v>
      </c>
      <c r="E5930" s="211" t="s">
        <v>10385</v>
      </c>
      <c r="F5930" s="211" t="s">
        <v>7225</v>
      </c>
    </row>
    <row r="5931" spans="1:6">
      <c r="A5931" s="211" t="s">
        <v>7014</v>
      </c>
      <c r="B5931" s="211">
        <v>7774</v>
      </c>
      <c r="C5931" s="211">
        <v>878</v>
      </c>
      <c r="D5931" s="211" t="s">
        <v>1255</v>
      </c>
      <c r="E5931" s="211" t="s">
        <v>7015</v>
      </c>
      <c r="F5931" s="211" t="s">
        <v>7414</v>
      </c>
    </row>
    <row r="5932" spans="1:6">
      <c r="A5932" s="211" t="s">
        <v>9958</v>
      </c>
      <c r="B5932" s="211">
        <v>8322</v>
      </c>
      <c r="C5932" s="211">
        <v>896</v>
      </c>
      <c r="D5932" s="211" t="s">
        <v>1255</v>
      </c>
      <c r="E5932" s="211" t="s">
        <v>9959</v>
      </c>
      <c r="F5932" s="211" t="s">
        <v>9222</v>
      </c>
    </row>
    <row r="5933" spans="1:6">
      <c r="A5933" s="211" t="s">
        <v>8516</v>
      </c>
      <c r="B5933" s="211">
        <v>5867</v>
      </c>
      <c r="C5933" s="211" t="s">
        <v>10385</v>
      </c>
      <c r="D5933" s="211" t="s">
        <v>1255</v>
      </c>
      <c r="E5933" s="211" t="s">
        <v>10385</v>
      </c>
      <c r="F5933" s="211" t="s">
        <v>7248</v>
      </c>
    </row>
    <row r="5934" spans="1:6">
      <c r="A5934" s="211" t="s">
        <v>1087</v>
      </c>
      <c r="B5934" s="211">
        <v>2612</v>
      </c>
      <c r="C5934" s="211">
        <v>1074</v>
      </c>
      <c r="D5934" s="211" t="s">
        <v>1255</v>
      </c>
      <c r="E5934" s="211" t="s">
        <v>10385</v>
      </c>
      <c r="F5934" s="211" t="s">
        <v>7229</v>
      </c>
    </row>
    <row r="5935" spans="1:6">
      <c r="A5935" s="211" t="s">
        <v>8517</v>
      </c>
      <c r="B5935" s="211">
        <v>3111</v>
      </c>
      <c r="C5935" s="211" t="s">
        <v>10385</v>
      </c>
      <c r="D5935" s="211" t="s">
        <v>1255</v>
      </c>
      <c r="E5935" s="211" t="s">
        <v>10385</v>
      </c>
      <c r="F5935" s="211" t="s">
        <v>7366</v>
      </c>
    </row>
    <row r="5936" spans="1:6">
      <c r="A5936" s="211" t="s">
        <v>1088</v>
      </c>
      <c r="B5936" s="211">
        <v>407</v>
      </c>
      <c r="C5936" s="211">
        <v>1250</v>
      </c>
      <c r="D5936" s="211" t="s">
        <v>1255</v>
      </c>
      <c r="E5936" s="211" t="s">
        <v>10385</v>
      </c>
      <c r="F5936" s="211" t="s">
        <v>7169</v>
      </c>
    </row>
    <row r="5937" spans="1:6">
      <c r="A5937" s="211" t="s">
        <v>1089</v>
      </c>
      <c r="B5937" s="211">
        <v>3244</v>
      </c>
      <c r="C5937" s="211">
        <v>1136</v>
      </c>
      <c r="D5937" s="211" t="s">
        <v>1117</v>
      </c>
      <c r="E5937" s="211" t="s">
        <v>10385</v>
      </c>
      <c r="F5937" s="211" t="s">
        <v>7262</v>
      </c>
    </row>
    <row r="5938" spans="1:6">
      <c r="A5938" s="211" t="s">
        <v>6145</v>
      </c>
      <c r="B5938" s="211">
        <v>7327</v>
      </c>
      <c r="C5938" s="211">
        <v>567</v>
      </c>
      <c r="D5938" s="211" t="s">
        <v>1117</v>
      </c>
      <c r="E5938" s="211" t="s">
        <v>10385</v>
      </c>
      <c r="F5938" s="211" t="s">
        <v>7285</v>
      </c>
    </row>
    <row r="5939" spans="1:6">
      <c r="A5939" s="211" t="s">
        <v>8518</v>
      </c>
      <c r="B5939" s="211">
        <v>516</v>
      </c>
      <c r="C5939" s="211" t="s">
        <v>10385</v>
      </c>
      <c r="D5939" s="211" t="s">
        <v>1255</v>
      </c>
      <c r="E5939" s="211" t="s">
        <v>10385</v>
      </c>
      <c r="F5939" s="211" t="s">
        <v>7165</v>
      </c>
    </row>
    <row r="5940" spans="1:6">
      <c r="A5940" s="211" t="s">
        <v>8519</v>
      </c>
      <c r="B5940" s="211">
        <v>369</v>
      </c>
      <c r="C5940" s="211" t="s">
        <v>10385</v>
      </c>
      <c r="D5940" s="211" t="s">
        <v>1255</v>
      </c>
      <c r="E5940" s="211" t="s">
        <v>10385</v>
      </c>
      <c r="F5940" s="211" t="s">
        <v>7275</v>
      </c>
    </row>
    <row r="5941" spans="1:6">
      <c r="A5941" s="211" t="s">
        <v>8520</v>
      </c>
      <c r="B5941" s="211">
        <v>2120</v>
      </c>
      <c r="C5941" s="211" t="s">
        <v>10385</v>
      </c>
      <c r="D5941" s="211" t="s">
        <v>1255</v>
      </c>
      <c r="E5941" s="211" t="s">
        <v>10385</v>
      </c>
      <c r="F5941" s="211" t="s">
        <v>7171</v>
      </c>
    </row>
    <row r="5942" spans="1:6">
      <c r="A5942" s="211" t="s">
        <v>10899</v>
      </c>
      <c r="B5942" s="211">
        <v>8843</v>
      </c>
      <c r="C5942" s="211">
        <v>982</v>
      </c>
      <c r="D5942" s="211" t="s">
        <v>1255</v>
      </c>
      <c r="E5942" s="211" t="s">
        <v>10900</v>
      </c>
      <c r="F5942" s="211" t="s">
        <v>7399</v>
      </c>
    </row>
    <row r="5943" spans="1:6">
      <c r="A5943" s="211" t="s">
        <v>1090</v>
      </c>
      <c r="B5943" s="211">
        <v>3243</v>
      </c>
      <c r="C5943" s="211">
        <v>1089</v>
      </c>
      <c r="D5943" s="211" t="s">
        <v>1117</v>
      </c>
      <c r="E5943" s="211" t="s">
        <v>10385</v>
      </c>
      <c r="F5943" s="211" t="s">
        <v>7262</v>
      </c>
    </row>
    <row r="5944" spans="1:6">
      <c r="A5944" s="211" t="s">
        <v>1091</v>
      </c>
      <c r="B5944" s="211">
        <v>2929</v>
      </c>
      <c r="C5944" s="211">
        <v>1263</v>
      </c>
      <c r="D5944" s="211" t="s">
        <v>1255</v>
      </c>
      <c r="E5944" s="211" t="s">
        <v>10385</v>
      </c>
      <c r="F5944" s="211" t="s">
        <v>7243</v>
      </c>
    </row>
    <row r="5945" spans="1:6">
      <c r="A5945" s="211" t="s">
        <v>1092</v>
      </c>
      <c r="B5945" s="211">
        <v>4153</v>
      </c>
      <c r="C5945" s="211">
        <v>1288</v>
      </c>
      <c r="D5945" s="211" t="s">
        <v>1117</v>
      </c>
      <c r="E5945" s="211" t="s">
        <v>10385</v>
      </c>
      <c r="F5945" s="211" t="s">
        <v>7334</v>
      </c>
    </row>
    <row r="5946" spans="1:6">
      <c r="A5946" s="211" t="s">
        <v>1093</v>
      </c>
      <c r="B5946" s="211">
        <v>2102</v>
      </c>
      <c r="C5946" s="211">
        <v>1380</v>
      </c>
      <c r="D5946" s="211" t="s">
        <v>1255</v>
      </c>
      <c r="E5946" s="211" t="s">
        <v>9960</v>
      </c>
      <c r="F5946" s="211" t="s">
        <v>7356</v>
      </c>
    </row>
    <row r="5947" spans="1:6">
      <c r="A5947" s="211" t="s">
        <v>1094</v>
      </c>
      <c r="B5947" s="211">
        <v>1132</v>
      </c>
      <c r="C5947" s="211">
        <v>1888</v>
      </c>
      <c r="D5947" s="211" t="s">
        <v>1255</v>
      </c>
      <c r="E5947" s="211" t="s">
        <v>10385</v>
      </c>
      <c r="F5947" s="211" t="s">
        <v>7306</v>
      </c>
    </row>
    <row r="5948" spans="1:6">
      <c r="A5948" s="211" t="s">
        <v>9961</v>
      </c>
      <c r="B5948" s="211">
        <v>7939</v>
      </c>
      <c r="C5948" s="211">
        <v>799</v>
      </c>
      <c r="D5948" s="211" t="s">
        <v>1255</v>
      </c>
      <c r="E5948" s="211" t="s">
        <v>9962</v>
      </c>
      <c r="F5948" s="211" t="s">
        <v>7228</v>
      </c>
    </row>
    <row r="5949" spans="1:6">
      <c r="A5949" s="211" t="s">
        <v>3024</v>
      </c>
      <c r="B5949" s="211">
        <v>1003</v>
      </c>
      <c r="C5949" s="211">
        <v>1196</v>
      </c>
      <c r="D5949" s="211" t="s">
        <v>1255</v>
      </c>
      <c r="E5949" s="211" t="s">
        <v>3113</v>
      </c>
      <c r="F5949" s="211" t="s">
        <v>7263</v>
      </c>
    </row>
    <row r="5950" spans="1:6">
      <c r="A5950" s="211" t="s">
        <v>6146</v>
      </c>
      <c r="B5950" s="211">
        <v>7198</v>
      </c>
      <c r="C5950" s="211">
        <v>1041</v>
      </c>
      <c r="D5950" s="211" t="s">
        <v>1255</v>
      </c>
      <c r="E5950" s="211" t="s">
        <v>6147</v>
      </c>
      <c r="F5950" s="211" t="s">
        <v>7864</v>
      </c>
    </row>
    <row r="5951" spans="1:6">
      <c r="A5951" s="211" t="s">
        <v>7016</v>
      </c>
      <c r="B5951" s="211">
        <v>7627</v>
      </c>
      <c r="C5951" s="211">
        <v>1197</v>
      </c>
      <c r="D5951" s="211" t="s">
        <v>1255</v>
      </c>
      <c r="E5951" s="211" t="s">
        <v>10385</v>
      </c>
      <c r="F5951" s="211" t="s">
        <v>7277</v>
      </c>
    </row>
    <row r="5952" spans="1:6">
      <c r="A5952" s="211" t="s">
        <v>2945</v>
      </c>
      <c r="B5952" s="211">
        <v>1650</v>
      </c>
      <c r="C5952" s="211">
        <v>2022</v>
      </c>
      <c r="D5952" s="211" t="s">
        <v>1255</v>
      </c>
      <c r="E5952" s="211" t="s">
        <v>3106</v>
      </c>
      <c r="F5952" s="211" t="s">
        <v>7320</v>
      </c>
    </row>
    <row r="5953" spans="1:6">
      <c r="A5953" s="211" t="s">
        <v>7017</v>
      </c>
      <c r="B5953" s="211">
        <v>7662</v>
      </c>
      <c r="C5953" s="211">
        <v>1232</v>
      </c>
      <c r="D5953" s="211" t="s">
        <v>1255</v>
      </c>
      <c r="E5953" s="211" t="s">
        <v>7018</v>
      </c>
      <c r="F5953" s="211" t="s">
        <v>7228</v>
      </c>
    </row>
    <row r="5954" spans="1:6">
      <c r="A5954" s="211" t="s">
        <v>1095</v>
      </c>
      <c r="B5954" s="211">
        <v>4487</v>
      </c>
      <c r="C5954" s="211">
        <v>1032</v>
      </c>
      <c r="D5954" s="211" t="s">
        <v>1255</v>
      </c>
      <c r="E5954" s="211" t="s">
        <v>10385</v>
      </c>
      <c r="F5954" s="211" t="s">
        <v>7257</v>
      </c>
    </row>
    <row r="5955" spans="1:6">
      <c r="A5955" s="211" t="s">
        <v>4651</v>
      </c>
      <c r="B5955" s="211">
        <v>6344</v>
      </c>
      <c r="C5955" s="211">
        <v>732</v>
      </c>
      <c r="D5955" s="211" t="s">
        <v>1255</v>
      </c>
      <c r="E5955" s="211" t="s">
        <v>10385</v>
      </c>
      <c r="F5955" s="211" t="s">
        <v>7837</v>
      </c>
    </row>
    <row r="5956" spans="1:6">
      <c r="A5956" s="211" t="s">
        <v>1096</v>
      </c>
      <c r="B5956" s="211">
        <v>5351</v>
      </c>
      <c r="C5956" s="211">
        <v>838</v>
      </c>
      <c r="D5956" s="211" t="s">
        <v>1255</v>
      </c>
      <c r="E5956" s="211" t="s">
        <v>10385</v>
      </c>
      <c r="F5956" s="211" t="s">
        <v>7248</v>
      </c>
    </row>
    <row r="5957" spans="1:6">
      <c r="A5957" s="211" t="s">
        <v>1097</v>
      </c>
      <c r="B5957" s="211">
        <v>5332</v>
      </c>
      <c r="C5957" s="211">
        <v>1660</v>
      </c>
      <c r="D5957" s="211" t="s">
        <v>1255</v>
      </c>
      <c r="E5957" s="211" t="s">
        <v>10385</v>
      </c>
      <c r="F5957" s="211" t="s">
        <v>7223</v>
      </c>
    </row>
    <row r="5958" spans="1:6">
      <c r="A5958" s="211" t="s">
        <v>1098</v>
      </c>
      <c r="B5958" s="211">
        <v>3796</v>
      </c>
      <c r="C5958" s="211">
        <v>896</v>
      </c>
      <c r="D5958" s="211" t="s">
        <v>1117</v>
      </c>
      <c r="E5958" s="211" t="s">
        <v>10385</v>
      </c>
      <c r="F5958" s="211" t="s">
        <v>7334</v>
      </c>
    </row>
    <row r="5959" spans="1:6">
      <c r="A5959" s="211" t="s">
        <v>6148</v>
      </c>
      <c r="B5959" s="211">
        <v>7150</v>
      </c>
      <c r="C5959" s="211">
        <v>1464</v>
      </c>
      <c r="D5959" s="211" t="s">
        <v>1255</v>
      </c>
      <c r="E5959" s="211" t="s">
        <v>6149</v>
      </c>
      <c r="F5959" s="211" t="s">
        <v>7173</v>
      </c>
    </row>
    <row r="5960" spans="1:6">
      <c r="A5960" s="211" t="s">
        <v>9963</v>
      </c>
      <c r="B5960" s="211">
        <v>7916</v>
      </c>
      <c r="C5960" s="211">
        <v>1000</v>
      </c>
      <c r="D5960" s="211" t="s">
        <v>1255</v>
      </c>
      <c r="E5960" s="211" t="s">
        <v>9964</v>
      </c>
      <c r="F5960" s="211" t="s">
        <v>7223</v>
      </c>
    </row>
    <row r="5961" spans="1:6">
      <c r="A5961" s="211" t="s">
        <v>8521</v>
      </c>
      <c r="B5961" s="211">
        <v>45</v>
      </c>
      <c r="C5961" s="211" t="s">
        <v>10385</v>
      </c>
      <c r="D5961" s="211" t="s">
        <v>1255</v>
      </c>
      <c r="E5961" s="211" t="s">
        <v>10385</v>
      </c>
      <c r="F5961" s="211" t="s">
        <v>7243</v>
      </c>
    </row>
    <row r="5962" spans="1:6">
      <c r="A5962" s="211" t="s">
        <v>1099</v>
      </c>
      <c r="B5962" s="211">
        <v>4306</v>
      </c>
      <c r="C5962" s="211">
        <v>1019</v>
      </c>
      <c r="D5962" s="211" t="s">
        <v>1255</v>
      </c>
      <c r="E5962" s="211" t="s">
        <v>1100</v>
      </c>
      <c r="F5962" s="211" t="s">
        <v>7312</v>
      </c>
    </row>
    <row r="5963" spans="1:6">
      <c r="A5963" s="211" t="s">
        <v>1101</v>
      </c>
      <c r="B5963" s="211">
        <v>1720</v>
      </c>
      <c r="C5963" s="211">
        <v>897</v>
      </c>
      <c r="D5963" s="211" t="s">
        <v>1255</v>
      </c>
      <c r="E5963" s="211" t="s">
        <v>10385</v>
      </c>
      <c r="F5963" s="211" t="s">
        <v>8058</v>
      </c>
    </row>
    <row r="5964" spans="1:6">
      <c r="A5964" s="211" t="s">
        <v>8522</v>
      </c>
      <c r="B5964" s="211">
        <v>1958</v>
      </c>
      <c r="C5964" s="211" t="s">
        <v>10385</v>
      </c>
      <c r="D5964" s="211" t="s">
        <v>1255</v>
      </c>
      <c r="E5964" s="211" t="s">
        <v>10385</v>
      </c>
      <c r="F5964" s="211" t="s">
        <v>8058</v>
      </c>
    </row>
    <row r="5965" spans="1:6">
      <c r="A5965" s="211" t="s">
        <v>1102</v>
      </c>
      <c r="B5965" s="211">
        <v>1136</v>
      </c>
      <c r="C5965" s="211">
        <v>901</v>
      </c>
      <c r="D5965" s="211" t="s">
        <v>1255</v>
      </c>
      <c r="E5965" s="211" t="s">
        <v>10385</v>
      </c>
      <c r="F5965" s="211" t="s">
        <v>7306</v>
      </c>
    </row>
    <row r="5966" spans="1:6">
      <c r="A5966" s="211" t="s">
        <v>7019</v>
      </c>
      <c r="B5966" s="211">
        <v>7646</v>
      </c>
      <c r="C5966" s="211">
        <v>637</v>
      </c>
      <c r="D5966" s="211" t="s">
        <v>1255</v>
      </c>
      <c r="E5966" s="211" t="s">
        <v>9965</v>
      </c>
      <c r="F5966" s="211" t="s">
        <v>7396</v>
      </c>
    </row>
    <row r="5967" spans="1:6">
      <c r="A5967" s="211" t="s">
        <v>1103</v>
      </c>
      <c r="B5967" s="211">
        <v>5772</v>
      </c>
      <c r="C5967" s="211">
        <v>1174</v>
      </c>
      <c r="D5967" s="211" t="s">
        <v>1255</v>
      </c>
      <c r="E5967" s="211" t="s">
        <v>10385</v>
      </c>
      <c r="F5967" s="211" t="s">
        <v>7425</v>
      </c>
    </row>
    <row r="5968" spans="1:6">
      <c r="A5968" s="211" t="s">
        <v>4501</v>
      </c>
      <c r="B5968" s="211">
        <v>6600</v>
      </c>
      <c r="C5968" s="211">
        <v>907</v>
      </c>
      <c r="D5968" s="211" t="s">
        <v>1255</v>
      </c>
      <c r="E5968" s="211" t="s">
        <v>10385</v>
      </c>
      <c r="F5968" s="211" t="s">
        <v>7192</v>
      </c>
    </row>
    <row r="5969" spans="1:6">
      <c r="A5969" s="211" t="s">
        <v>1104</v>
      </c>
      <c r="B5969" s="211">
        <v>1052</v>
      </c>
      <c r="C5969" s="211">
        <v>1161</v>
      </c>
      <c r="D5969" s="211" t="s">
        <v>1255</v>
      </c>
      <c r="E5969" s="211" t="s">
        <v>10385</v>
      </c>
      <c r="F5969" s="211" t="s">
        <v>7376</v>
      </c>
    </row>
    <row r="5970" spans="1:6">
      <c r="A5970" s="211" t="s">
        <v>6150</v>
      </c>
      <c r="B5970" s="211">
        <v>7518</v>
      </c>
      <c r="C5970" s="211">
        <v>760</v>
      </c>
      <c r="D5970" s="211" t="s">
        <v>1117</v>
      </c>
      <c r="E5970" s="211" t="s">
        <v>10385</v>
      </c>
      <c r="F5970" s="211" t="s">
        <v>7223</v>
      </c>
    </row>
    <row r="5971" spans="1:6">
      <c r="A5971" s="211" t="s">
        <v>1105</v>
      </c>
      <c r="B5971" s="211">
        <v>4027</v>
      </c>
      <c r="C5971" s="211">
        <v>1160</v>
      </c>
      <c r="D5971" s="211" t="s">
        <v>1255</v>
      </c>
      <c r="E5971" s="211" t="s">
        <v>10385</v>
      </c>
      <c r="F5971" s="211" t="s">
        <v>7224</v>
      </c>
    </row>
    <row r="5972" spans="1:6">
      <c r="A5972" s="211" t="s">
        <v>1106</v>
      </c>
      <c r="B5972" s="211">
        <v>2290</v>
      </c>
      <c r="C5972" s="211">
        <v>1841</v>
      </c>
      <c r="D5972" s="211" t="s">
        <v>1255</v>
      </c>
      <c r="E5972" s="211" t="s">
        <v>1107</v>
      </c>
      <c r="F5972" s="211" t="s">
        <v>7267</v>
      </c>
    </row>
    <row r="5973" spans="1:6">
      <c r="A5973" s="211" t="s">
        <v>6151</v>
      </c>
      <c r="B5973" s="211">
        <v>6078</v>
      </c>
      <c r="C5973" s="211">
        <v>951</v>
      </c>
      <c r="D5973" s="211" t="s">
        <v>1255</v>
      </c>
      <c r="E5973" s="211" t="s">
        <v>10385</v>
      </c>
      <c r="F5973" s="211" t="s">
        <v>7354</v>
      </c>
    </row>
    <row r="5974" spans="1:6">
      <c r="A5974" s="211" t="s">
        <v>1108</v>
      </c>
      <c r="B5974" s="211">
        <v>4583</v>
      </c>
      <c r="C5974" s="211">
        <v>826</v>
      </c>
      <c r="D5974" s="211" t="s">
        <v>1255</v>
      </c>
      <c r="E5974" s="211" t="s">
        <v>10385</v>
      </c>
      <c r="F5974" s="211" t="s">
        <v>7479</v>
      </c>
    </row>
    <row r="5975" spans="1:6">
      <c r="A5975" s="211" t="s">
        <v>8523</v>
      </c>
      <c r="B5975" s="211">
        <v>303</v>
      </c>
      <c r="C5975" s="211" t="s">
        <v>10385</v>
      </c>
      <c r="D5975" s="211" t="s">
        <v>1255</v>
      </c>
      <c r="E5975" s="211" t="s">
        <v>10385</v>
      </c>
      <c r="F5975" s="211" t="s">
        <v>7221</v>
      </c>
    </row>
    <row r="5976" spans="1:6">
      <c r="A5976" s="211" t="s">
        <v>8524</v>
      </c>
      <c r="B5976" s="211">
        <v>77</v>
      </c>
      <c r="C5976" s="211" t="s">
        <v>10385</v>
      </c>
      <c r="D5976" s="211" t="s">
        <v>1255</v>
      </c>
      <c r="E5976" s="211" t="s">
        <v>10385</v>
      </c>
      <c r="F5976" s="211" t="s">
        <v>7221</v>
      </c>
    </row>
    <row r="5977" spans="1:6">
      <c r="A5977" s="211" t="s">
        <v>1109</v>
      </c>
      <c r="B5977" s="211">
        <v>2860</v>
      </c>
      <c r="C5977" s="211">
        <v>640</v>
      </c>
      <c r="D5977" s="211" t="s">
        <v>1117</v>
      </c>
      <c r="E5977" s="211" t="s">
        <v>10385</v>
      </c>
      <c r="F5977" s="211" t="s">
        <v>7212</v>
      </c>
    </row>
    <row r="5978" spans="1:6">
      <c r="A5978" s="211" t="s">
        <v>1110</v>
      </c>
      <c r="B5978" s="211">
        <v>5481</v>
      </c>
      <c r="C5978" s="211">
        <v>1231</v>
      </c>
      <c r="D5978" s="211" t="s">
        <v>1255</v>
      </c>
      <c r="E5978" s="211" t="s">
        <v>10385</v>
      </c>
      <c r="F5978" s="211" t="s">
        <v>7460</v>
      </c>
    </row>
    <row r="5979" spans="1:6">
      <c r="A5979" s="211" t="s">
        <v>1111</v>
      </c>
      <c r="B5979" s="211">
        <v>1219</v>
      </c>
      <c r="C5979" s="211">
        <v>1413</v>
      </c>
      <c r="D5979" s="211" t="s">
        <v>1255</v>
      </c>
      <c r="E5979" s="211" t="s">
        <v>10385</v>
      </c>
      <c r="F5979" s="211" t="s">
        <v>7231</v>
      </c>
    </row>
    <row r="5980" spans="1:6">
      <c r="A5980" s="211" t="s">
        <v>1938</v>
      </c>
      <c r="B5980" s="211">
        <v>4312</v>
      </c>
      <c r="C5980" s="211">
        <v>1227</v>
      </c>
      <c r="D5980" s="211" t="s">
        <v>1255</v>
      </c>
      <c r="E5980" s="211" t="s">
        <v>10385</v>
      </c>
      <c r="F5980" s="211" t="s">
        <v>7246</v>
      </c>
    </row>
    <row r="5981" spans="1:6">
      <c r="A5981" s="211" t="s">
        <v>1939</v>
      </c>
      <c r="B5981" s="211">
        <v>2392</v>
      </c>
      <c r="C5981" s="211">
        <v>1489</v>
      </c>
      <c r="D5981" s="211" t="s">
        <v>1255</v>
      </c>
      <c r="E5981" s="211" t="s">
        <v>10385</v>
      </c>
      <c r="F5981" s="211" t="s">
        <v>7327</v>
      </c>
    </row>
    <row r="5982" spans="1:6">
      <c r="A5982" s="211" t="s">
        <v>9966</v>
      </c>
      <c r="B5982" s="211">
        <v>8254</v>
      </c>
      <c r="C5982" s="211">
        <v>1120</v>
      </c>
      <c r="D5982" s="211" t="s">
        <v>1255</v>
      </c>
      <c r="E5982" s="211" t="s">
        <v>10385</v>
      </c>
      <c r="F5982" s="211" t="s">
        <v>7263</v>
      </c>
    </row>
    <row r="5983" spans="1:6">
      <c r="A5983" s="211" t="s">
        <v>8525</v>
      </c>
      <c r="B5983" s="211">
        <v>8</v>
      </c>
      <c r="C5983" s="211" t="s">
        <v>10385</v>
      </c>
      <c r="D5983" s="211" t="s">
        <v>1255</v>
      </c>
      <c r="E5983" s="211" t="s">
        <v>10385</v>
      </c>
      <c r="F5983" s="211" t="s">
        <v>7196</v>
      </c>
    </row>
    <row r="5984" spans="1:6">
      <c r="A5984" s="211" t="s">
        <v>10901</v>
      </c>
      <c r="B5984" s="211">
        <v>8856</v>
      </c>
      <c r="C5984" s="211">
        <v>991</v>
      </c>
      <c r="D5984" s="211" t="s">
        <v>1255</v>
      </c>
      <c r="E5984" s="211" t="s">
        <v>10902</v>
      </c>
      <c r="F5984" s="211" t="s">
        <v>7205</v>
      </c>
    </row>
    <row r="5985" spans="1:6">
      <c r="A5985" s="211" t="s">
        <v>1940</v>
      </c>
      <c r="B5985" s="211">
        <v>1169</v>
      </c>
      <c r="C5985" s="211">
        <v>1364</v>
      </c>
      <c r="D5985" s="211" t="s">
        <v>1255</v>
      </c>
      <c r="E5985" s="211" t="s">
        <v>10385</v>
      </c>
      <c r="F5985" s="211" t="s">
        <v>7243</v>
      </c>
    </row>
    <row r="5986" spans="1:6">
      <c r="A5986" s="211" t="s">
        <v>1941</v>
      </c>
      <c r="B5986" s="211">
        <v>3049</v>
      </c>
      <c r="C5986" s="211">
        <v>1379</v>
      </c>
      <c r="D5986" s="211" t="s">
        <v>1255</v>
      </c>
      <c r="E5986" s="211" t="s">
        <v>10385</v>
      </c>
      <c r="F5986" s="211" t="s">
        <v>7239</v>
      </c>
    </row>
    <row r="5987" spans="1:6">
      <c r="A5987" s="211" t="s">
        <v>4680</v>
      </c>
      <c r="B5987" s="211">
        <v>6425</v>
      </c>
      <c r="C5987" s="211">
        <v>868</v>
      </c>
      <c r="D5987" s="211" t="s">
        <v>1117</v>
      </c>
      <c r="E5987" s="211" t="s">
        <v>9967</v>
      </c>
      <c r="F5987" s="211" t="s">
        <v>7238</v>
      </c>
    </row>
    <row r="5988" spans="1:6">
      <c r="A5988" s="211" t="s">
        <v>1942</v>
      </c>
      <c r="B5988" s="211">
        <v>4778</v>
      </c>
      <c r="C5988" s="211">
        <v>813</v>
      </c>
      <c r="D5988" s="211" t="s">
        <v>1255</v>
      </c>
      <c r="E5988" s="211" t="s">
        <v>10385</v>
      </c>
      <c r="F5988" s="211" t="s">
        <v>7167</v>
      </c>
    </row>
    <row r="5989" spans="1:6">
      <c r="A5989" s="211" t="s">
        <v>1943</v>
      </c>
      <c r="B5989" s="211">
        <v>747</v>
      </c>
      <c r="C5989" s="211">
        <v>1435</v>
      </c>
      <c r="D5989" s="211" t="s">
        <v>1255</v>
      </c>
      <c r="E5989" s="211" t="s">
        <v>10385</v>
      </c>
      <c r="F5989" s="211" t="s">
        <v>7283</v>
      </c>
    </row>
    <row r="5990" spans="1:6">
      <c r="A5990" s="211" t="s">
        <v>6152</v>
      </c>
      <c r="B5990" s="211">
        <v>7080</v>
      </c>
      <c r="C5990" s="211">
        <v>1633</v>
      </c>
      <c r="D5990" s="211" t="s">
        <v>1255</v>
      </c>
      <c r="E5990" s="211" t="s">
        <v>7020</v>
      </c>
      <c r="F5990" s="211" t="s">
        <v>7356</v>
      </c>
    </row>
    <row r="5991" spans="1:6">
      <c r="A5991" s="211" t="s">
        <v>1944</v>
      </c>
      <c r="B5991" s="211">
        <v>3358</v>
      </c>
      <c r="C5991" s="211">
        <v>938</v>
      </c>
      <c r="D5991" s="211" t="s">
        <v>1255</v>
      </c>
      <c r="E5991" s="211" t="s">
        <v>10385</v>
      </c>
      <c r="F5991" s="211" t="s">
        <v>7267</v>
      </c>
    </row>
    <row r="5992" spans="1:6">
      <c r="A5992" s="211" t="s">
        <v>8526</v>
      </c>
      <c r="B5992" s="211">
        <v>88</v>
      </c>
      <c r="C5992" s="211" t="s">
        <v>10385</v>
      </c>
      <c r="D5992" s="211" t="s">
        <v>1255</v>
      </c>
      <c r="E5992" s="211" t="s">
        <v>10385</v>
      </c>
      <c r="F5992" s="211" t="s">
        <v>7223</v>
      </c>
    </row>
    <row r="5993" spans="1:6">
      <c r="A5993" s="211" t="s">
        <v>1945</v>
      </c>
      <c r="B5993" s="211">
        <v>1329</v>
      </c>
      <c r="C5993" s="211">
        <v>1784</v>
      </c>
      <c r="D5993" s="211" t="s">
        <v>1117</v>
      </c>
      <c r="E5993" s="211" t="s">
        <v>10385</v>
      </c>
      <c r="F5993" s="211" t="s">
        <v>7510</v>
      </c>
    </row>
    <row r="5994" spans="1:6">
      <c r="A5994" s="211" t="s">
        <v>1946</v>
      </c>
      <c r="B5994" s="211">
        <v>5427</v>
      </c>
      <c r="C5994" s="211">
        <v>912</v>
      </c>
      <c r="D5994" s="211" t="s">
        <v>1255</v>
      </c>
      <c r="E5994" s="211" t="s">
        <v>10385</v>
      </c>
      <c r="F5994" s="211" t="s">
        <v>7323</v>
      </c>
    </row>
    <row r="5995" spans="1:6">
      <c r="A5995" s="211" t="s">
        <v>5188</v>
      </c>
      <c r="B5995" s="211">
        <v>5543</v>
      </c>
      <c r="C5995" s="211">
        <v>1296</v>
      </c>
      <c r="D5995" s="211" t="s">
        <v>1255</v>
      </c>
      <c r="E5995" s="211" t="s">
        <v>7021</v>
      </c>
      <c r="F5995" s="211" t="s">
        <v>7224</v>
      </c>
    </row>
    <row r="5996" spans="1:6">
      <c r="A5996" s="211" t="s">
        <v>8527</v>
      </c>
      <c r="B5996" s="211">
        <v>227</v>
      </c>
      <c r="C5996" s="211" t="s">
        <v>10385</v>
      </c>
      <c r="D5996" s="211" t="s">
        <v>1255</v>
      </c>
      <c r="E5996" s="211" t="s">
        <v>10385</v>
      </c>
      <c r="F5996" s="211" t="s">
        <v>7171</v>
      </c>
    </row>
    <row r="5997" spans="1:6">
      <c r="A5997" s="211" t="s">
        <v>5189</v>
      </c>
      <c r="B5997" s="211">
        <v>6729</v>
      </c>
      <c r="C5997" s="211">
        <v>1058</v>
      </c>
      <c r="D5997" s="211" t="s">
        <v>1255</v>
      </c>
      <c r="E5997" s="211" t="s">
        <v>10385</v>
      </c>
      <c r="F5997" s="211" t="s">
        <v>7299</v>
      </c>
    </row>
    <row r="5998" spans="1:6">
      <c r="A5998" s="211" t="s">
        <v>5190</v>
      </c>
      <c r="B5998" s="211">
        <v>6760</v>
      </c>
      <c r="C5998" s="211">
        <v>1613</v>
      </c>
      <c r="D5998" s="211" t="s">
        <v>1255</v>
      </c>
      <c r="E5998" s="211" t="s">
        <v>6153</v>
      </c>
      <c r="F5998" s="211" t="s">
        <v>9024</v>
      </c>
    </row>
    <row r="5999" spans="1:6">
      <c r="A5999" s="211" t="s">
        <v>1947</v>
      </c>
      <c r="B5999" s="211">
        <v>5840</v>
      </c>
      <c r="C5999" s="211">
        <v>1236</v>
      </c>
      <c r="D5999" s="211" t="s">
        <v>1255</v>
      </c>
      <c r="E5999" s="211" t="s">
        <v>10385</v>
      </c>
      <c r="F5999" s="211" t="s">
        <v>7343</v>
      </c>
    </row>
    <row r="6000" spans="1:6">
      <c r="A6000" s="211" t="s">
        <v>1948</v>
      </c>
      <c r="B6000" s="211">
        <v>5031</v>
      </c>
      <c r="C6000" s="211">
        <v>1490</v>
      </c>
      <c r="D6000" s="211" t="s">
        <v>1255</v>
      </c>
      <c r="E6000" s="211" t="s">
        <v>10385</v>
      </c>
      <c r="F6000" s="211" t="s">
        <v>7249</v>
      </c>
    </row>
    <row r="6001" spans="1:6">
      <c r="A6001" s="211" t="s">
        <v>1949</v>
      </c>
      <c r="B6001" s="211">
        <v>5331</v>
      </c>
      <c r="C6001" s="211">
        <v>976</v>
      </c>
      <c r="D6001" s="211" t="s">
        <v>1255</v>
      </c>
      <c r="E6001" s="211" t="s">
        <v>10385</v>
      </c>
      <c r="F6001" s="211" t="s">
        <v>7396</v>
      </c>
    </row>
    <row r="6002" spans="1:6">
      <c r="A6002" s="211" t="s">
        <v>1950</v>
      </c>
      <c r="B6002" s="211">
        <v>1714</v>
      </c>
      <c r="C6002" s="211">
        <v>696</v>
      </c>
      <c r="D6002" s="211" t="s">
        <v>1117</v>
      </c>
      <c r="E6002" s="211" t="s">
        <v>10385</v>
      </c>
      <c r="F6002" s="211" t="s">
        <v>7323</v>
      </c>
    </row>
    <row r="6003" spans="1:6">
      <c r="A6003" s="211" t="s">
        <v>9968</v>
      </c>
      <c r="B6003" s="211">
        <v>8004</v>
      </c>
      <c r="C6003" s="211">
        <v>992</v>
      </c>
      <c r="D6003" s="211" t="s">
        <v>1255</v>
      </c>
      <c r="E6003" s="211" t="s">
        <v>10903</v>
      </c>
      <c r="F6003" s="211" t="s">
        <v>7483</v>
      </c>
    </row>
    <row r="6004" spans="1:6">
      <c r="A6004" s="211" t="s">
        <v>1951</v>
      </c>
      <c r="B6004" s="211">
        <v>4375</v>
      </c>
      <c r="C6004" s="211">
        <v>810</v>
      </c>
      <c r="D6004" s="211" t="s">
        <v>1255</v>
      </c>
      <c r="E6004" s="211" t="s">
        <v>10385</v>
      </c>
      <c r="F6004" s="211" t="s">
        <v>7369</v>
      </c>
    </row>
    <row r="6005" spans="1:6">
      <c r="A6005" s="211" t="s">
        <v>8528</v>
      </c>
      <c r="B6005" s="211">
        <v>588</v>
      </c>
      <c r="C6005" s="211" t="s">
        <v>10385</v>
      </c>
      <c r="D6005" s="211" t="s">
        <v>1255</v>
      </c>
      <c r="E6005" s="211" t="s">
        <v>10385</v>
      </c>
      <c r="F6005" s="211" t="s">
        <v>7239</v>
      </c>
    </row>
    <row r="6006" spans="1:6">
      <c r="A6006" s="211" t="s">
        <v>6154</v>
      </c>
      <c r="B6006" s="211">
        <v>7175</v>
      </c>
      <c r="C6006" s="211">
        <v>1244</v>
      </c>
      <c r="D6006" s="211" t="s">
        <v>1255</v>
      </c>
      <c r="E6006" s="211" t="s">
        <v>6155</v>
      </c>
      <c r="F6006" s="211" t="s">
        <v>7384</v>
      </c>
    </row>
    <row r="6007" spans="1:6">
      <c r="A6007" s="211" t="s">
        <v>8529</v>
      </c>
      <c r="B6007" s="211">
        <v>1323</v>
      </c>
      <c r="C6007" s="211" t="s">
        <v>10385</v>
      </c>
      <c r="D6007" s="211" t="s">
        <v>1255</v>
      </c>
      <c r="E6007" s="211" t="s">
        <v>10385</v>
      </c>
      <c r="F6007" s="211" t="s">
        <v>7203</v>
      </c>
    </row>
    <row r="6008" spans="1:6">
      <c r="A6008" s="211" t="s">
        <v>8530</v>
      </c>
      <c r="B6008" s="211">
        <v>2410</v>
      </c>
      <c r="C6008" s="211" t="s">
        <v>10385</v>
      </c>
      <c r="D6008" s="211" t="s">
        <v>1255</v>
      </c>
      <c r="E6008" s="211" t="s">
        <v>10385</v>
      </c>
      <c r="F6008" s="211" t="s">
        <v>7965</v>
      </c>
    </row>
    <row r="6009" spans="1:6">
      <c r="A6009" s="211" t="s">
        <v>1952</v>
      </c>
      <c r="B6009" s="211">
        <v>3402</v>
      </c>
      <c r="C6009" s="211">
        <v>1324</v>
      </c>
      <c r="D6009" s="211" t="s">
        <v>1255</v>
      </c>
      <c r="E6009" s="211" t="s">
        <v>10385</v>
      </c>
      <c r="F6009" s="211" t="s">
        <v>7646</v>
      </c>
    </row>
    <row r="6010" spans="1:6">
      <c r="A6010" s="211" t="s">
        <v>5341</v>
      </c>
      <c r="B6010" s="211">
        <v>6285</v>
      </c>
      <c r="C6010" s="211">
        <v>1607</v>
      </c>
      <c r="D6010" s="211" t="s">
        <v>1255</v>
      </c>
      <c r="E6010" s="211" t="s">
        <v>7022</v>
      </c>
      <c r="F6010" s="211" t="s">
        <v>7231</v>
      </c>
    </row>
    <row r="6011" spans="1:6">
      <c r="A6011" s="211" t="s">
        <v>1953</v>
      </c>
      <c r="B6011" s="211">
        <v>1948</v>
      </c>
      <c r="C6011" s="211">
        <v>1468</v>
      </c>
      <c r="D6011" s="211" t="s">
        <v>1255</v>
      </c>
      <c r="E6011" s="211" t="s">
        <v>10385</v>
      </c>
      <c r="F6011" s="211" t="s">
        <v>7285</v>
      </c>
    </row>
    <row r="6012" spans="1:6">
      <c r="A6012" s="211" t="s">
        <v>1954</v>
      </c>
      <c r="B6012" s="211">
        <v>2531</v>
      </c>
      <c r="C6012" s="211">
        <v>1645</v>
      </c>
      <c r="D6012" s="211" t="s">
        <v>1255</v>
      </c>
      <c r="E6012" s="211" t="s">
        <v>9969</v>
      </c>
      <c r="F6012" s="211" t="s">
        <v>7284</v>
      </c>
    </row>
    <row r="6013" spans="1:6">
      <c r="A6013" s="211" t="s">
        <v>8531</v>
      </c>
      <c r="B6013" s="211">
        <v>999</v>
      </c>
      <c r="C6013" s="211" t="s">
        <v>10385</v>
      </c>
      <c r="D6013" s="211" t="s">
        <v>1255</v>
      </c>
      <c r="E6013" s="211" t="s">
        <v>10385</v>
      </c>
      <c r="F6013" s="211" t="s">
        <v>7257</v>
      </c>
    </row>
    <row r="6014" spans="1:6">
      <c r="A6014" s="211" t="s">
        <v>1955</v>
      </c>
      <c r="B6014" s="211">
        <v>1264</v>
      </c>
      <c r="C6014" s="211">
        <v>799</v>
      </c>
      <c r="D6014" s="211" t="s">
        <v>1255</v>
      </c>
      <c r="E6014" s="211" t="s">
        <v>10385</v>
      </c>
      <c r="F6014" s="211" t="s">
        <v>7261</v>
      </c>
    </row>
    <row r="6015" spans="1:6">
      <c r="A6015" s="211" t="s">
        <v>8532</v>
      </c>
      <c r="B6015" s="211">
        <v>1000</v>
      </c>
      <c r="C6015" s="211" t="s">
        <v>10385</v>
      </c>
      <c r="D6015" s="211" t="s">
        <v>1255</v>
      </c>
      <c r="E6015" s="211" t="s">
        <v>10385</v>
      </c>
      <c r="F6015" s="211" t="s">
        <v>7257</v>
      </c>
    </row>
    <row r="6016" spans="1:6">
      <c r="A6016" s="211" t="s">
        <v>9970</v>
      </c>
      <c r="B6016" s="211">
        <v>8053</v>
      </c>
      <c r="C6016" s="211">
        <v>442</v>
      </c>
      <c r="D6016" s="211" t="s">
        <v>1255</v>
      </c>
      <c r="E6016" s="211" t="s">
        <v>10904</v>
      </c>
      <c r="F6016" s="211" t="s">
        <v>7458</v>
      </c>
    </row>
    <row r="6017" spans="1:6">
      <c r="A6017" s="211" t="s">
        <v>10905</v>
      </c>
      <c r="B6017" s="211">
        <v>8711</v>
      </c>
      <c r="C6017" s="211">
        <v>361</v>
      </c>
      <c r="D6017" s="211" t="s">
        <v>1117</v>
      </c>
      <c r="E6017" s="211" t="s">
        <v>10906</v>
      </c>
      <c r="F6017" s="211" t="s">
        <v>7386</v>
      </c>
    </row>
    <row r="6018" spans="1:6">
      <c r="A6018" s="211" t="s">
        <v>1956</v>
      </c>
      <c r="B6018" s="211">
        <v>5325</v>
      </c>
      <c r="C6018" s="211">
        <v>850</v>
      </c>
      <c r="D6018" s="211" t="s">
        <v>1117</v>
      </c>
      <c r="E6018" s="211" t="s">
        <v>10385</v>
      </c>
      <c r="F6018" s="211" t="s">
        <v>7398</v>
      </c>
    </row>
    <row r="6019" spans="1:6">
      <c r="A6019" s="211" t="s">
        <v>8533</v>
      </c>
      <c r="B6019" s="211">
        <v>2851</v>
      </c>
      <c r="C6019" s="211" t="s">
        <v>10385</v>
      </c>
      <c r="D6019" s="211" t="s">
        <v>1255</v>
      </c>
      <c r="E6019" s="211" t="s">
        <v>10385</v>
      </c>
      <c r="F6019" s="211" t="s">
        <v>7290</v>
      </c>
    </row>
    <row r="6020" spans="1:6">
      <c r="A6020" s="211" t="s">
        <v>8987</v>
      </c>
      <c r="B6020" s="211">
        <v>5675</v>
      </c>
      <c r="C6020" s="211" t="s">
        <v>10385</v>
      </c>
      <c r="D6020" s="211" t="s">
        <v>1255</v>
      </c>
      <c r="E6020" s="211" t="s">
        <v>10385</v>
      </c>
      <c r="F6020" s="211" t="s">
        <v>7239</v>
      </c>
    </row>
    <row r="6021" spans="1:6">
      <c r="A6021" s="211" t="s">
        <v>8988</v>
      </c>
      <c r="B6021" s="211">
        <v>2914</v>
      </c>
      <c r="C6021" s="211">
        <v>1444</v>
      </c>
      <c r="D6021" s="211" t="s">
        <v>1255</v>
      </c>
      <c r="E6021" s="211" t="s">
        <v>10385</v>
      </c>
      <c r="F6021" s="211" t="s">
        <v>7165</v>
      </c>
    </row>
    <row r="6022" spans="1:6">
      <c r="A6022" s="211" t="s">
        <v>9971</v>
      </c>
      <c r="B6022" s="211">
        <v>8123</v>
      </c>
      <c r="C6022" s="211">
        <v>1014</v>
      </c>
      <c r="D6022" s="211" t="s">
        <v>1255</v>
      </c>
      <c r="E6022" s="211" t="s">
        <v>10385</v>
      </c>
      <c r="F6022" s="211" t="s">
        <v>7556</v>
      </c>
    </row>
    <row r="6023" spans="1:6">
      <c r="A6023" s="211" t="s">
        <v>10907</v>
      </c>
      <c r="B6023" s="211">
        <v>8692</v>
      </c>
      <c r="C6023" s="211">
        <v>1096</v>
      </c>
      <c r="D6023" s="211" t="s">
        <v>1255</v>
      </c>
      <c r="E6023" s="211" t="s">
        <v>10908</v>
      </c>
      <c r="F6023" s="211" t="s">
        <v>7556</v>
      </c>
    </row>
    <row r="6024" spans="1:6">
      <c r="A6024" s="211" t="s">
        <v>6156</v>
      </c>
      <c r="B6024" s="211">
        <v>7155</v>
      </c>
      <c r="C6024" s="211">
        <v>1332</v>
      </c>
      <c r="D6024" s="211" t="s">
        <v>1255</v>
      </c>
      <c r="E6024" s="211" t="s">
        <v>7023</v>
      </c>
      <c r="F6024" s="211" t="s">
        <v>7344</v>
      </c>
    </row>
    <row r="6025" spans="1:6">
      <c r="A6025" s="211" t="s">
        <v>1957</v>
      </c>
      <c r="B6025" s="211">
        <v>945</v>
      </c>
      <c r="C6025" s="211">
        <v>1815</v>
      </c>
      <c r="D6025" s="211" t="s">
        <v>1255</v>
      </c>
      <c r="E6025" s="211" t="s">
        <v>10385</v>
      </c>
      <c r="F6025" s="211" t="s">
        <v>7510</v>
      </c>
    </row>
    <row r="6026" spans="1:6">
      <c r="A6026" s="211" t="s">
        <v>1958</v>
      </c>
      <c r="B6026" s="211">
        <v>1672</v>
      </c>
      <c r="C6026" s="211">
        <v>1504</v>
      </c>
      <c r="D6026" s="211" t="s">
        <v>1255</v>
      </c>
      <c r="E6026" s="211" t="s">
        <v>10385</v>
      </c>
      <c r="F6026" s="211" t="s">
        <v>7201</v>
      </c>
    </row>
    <row r="6027" spans="1:6">
      <c r="A6027" s="211" t="s">
        <v>1959</v>
      </c>
      <c r="B6027" s="211">
        <v>787</v>
      </c>
      <c r="C6027" s="211">
        <v>1820</v>
      </c>
      <c r="D6027" s="211" t="s">
        <v>1255</v>
      </c>
      <c r="E6027" s="211" t="s">
        <v>10385</v>
      </c>
      <c r="F6027" s="211" t="s">
        <v>7232</v>
      </c>
    </row>
    <row r="6028" spans="1:6">
      <c r="A6028" s="211" t="s">
        <v>8534</v>
      </c>
      <c r="B6028" s="211">
        <v>757</v>
      </c>
      <c r="C6028" s="211" t="s">
        <v>10385</v>
      </c>
      <c r="D6028" s="211" t="s">
        <v>1255</v>
      </c>
      <c r="E6028" s="211" t="s">
        <v>10385</v>
      </c>
      <c r="F6028" s="211" t="s">
        <v>7162</v>
      </c>
    </row>
    <row r="6029" spans="1:6">
      <c r="A6029" s="211" t="s">
        <v>10909</v>
      </c>
      <c r="B6029" s="211">
        <v>8751</v>
      </c>
      <c r="C6029" s="211" t="s">
        <v>10385</v>
      </c>
      <c r="D6029" s="211" t="s">
        <v>1255</v>
      </c>
      <c r="E6029" s="211" t="s">
        <v>10910</v>
      </c>
      <c r="F6029" s="211" t="s">
        <v>7173</v>
      </c>
    </row>
    <row r="6030" spans="1:6">
      <c r="A6030" s="211" t="s">
        <v>6157</v>
      </c>
      <c r="B6030" s="211">
        <v>7248</v>
      </c>
      <c r="C6030" s="211">
        <v>886</v>
      </c>
      <c r="D6030" s="211" t="s">
        <v>1255</v>
      </c>
      <c r="E6030" s="211" t="s">
        <v>6158</v>
      </c>
      <c r="F6030" s="211" t="s">
        <v>7397</v>
      </c>
    </row>
    <row r="6031" spans="1:6">
      <c r="A6031" s="211" t="s">
        <v>8989</v>
      </c>
      <c r="B6031" s="211">
        <v>4535</v>
      </c>
      <c r="C6031" s="211">
        <v>1275</v>
      </c>
      <c r="D6031" s="211" t="s">
        <v>1117</v>
      </c>
      <c r="E6031" s="211" t="s">
        <v>9972</v>
      </c>
      <c r="F6031" s="211" t="s">
        <v>7510</v>
      </c>
    </row>
    <row r="6032" spans="1:6">
      <c r="A6032" s="211" t="s">
        <v>1960</v>
      </c>
      <c r="B6032" s="211">
        <v>3048</v>
      </c>
      <c r="C6032" s="211">
        <v>925</v>
      </c>
      <c r="D6032" s="211" t="s">
        <v>1255</v>
      </c>
      <c r="E6032" s="211" t="s">
        <v>10385</v>
      </c>
      <c r="F6032" s="211" t="s">
        <v>7194</v>
      </c>
    </row>
    <row r="6033" spans="1:6">
      <c r="A6033" s="211" t="s">
        <v>1961</v>
      </c>
      <c r="B6033" s="211">
        <v>1037</v>
      </c>
      <c r="C6033" s="211">
        <v>1854</v>
      </c>
      <c r="D6033" s="211" t="s">
        <v>1255</v>
      </c>
      <c r="E6033" s="211" t="s">
        <v>10385</v>
      </c>
      <c r="F6033" s="211" t="s">
        <v>7223</v>
      </c>
    </row>
    <row r="6034" spans="1:6">
      <c r="A6034" s="211" t="s">
        <v>1962</v>
      </c>
      <c r="B6034" s="211">
        <v>959</v>
      </c>
      <c r="C6034" s="211">
        <v>1216</v>
      </c>
      <c r="D6034" s="211" t="s">
        <v>1255</v>
      </c>
      <c r="E6034" s="211" t="s">
        <v>10385</v>
      </c>
      <c r="F6034" s="211" t="s">
        <v>7627</v>
      </c>
    </row>
    <row r="6035" spans="1:6">
      <c r="A6035" s="211" t="s">
        <v>6159</v>
      </c>
      <c r="B6035" s="211">
        <v>7219</v>
      </c>
      <c r="C6035" s="211">
        <v>942</v>
      </c>
      <c r="D6035" s="211" t="s">
        <v>1255</v>
      </c>
      <c r="E6035" s="211" t="s">
        <v>10385</v>
      </c>
      <c r="F6035" s="211" t="s">
        <v>7341</v>
      </c>
    </row>
    <row r="6036" spans="1:6">
      <c r="A6036" s="211" t="s">
        <v>1963</v>
      </c>
      <c r="B6036" s="211">
        <v>1501</v>
      </c>
      <c r="C6036" s="211">
        <v>1296</v>
      </c>
      <c r="D6036" s="211" t="s">
        <v>1255</v>
      </c>
      <c r="E6036" s="211" t="s">
        <v>10385</v>
      </c>
      <c r="F6036" s="211" t="s">
        <v>7208</v>
      </c>
    </row>
    <row r="6037" spans="1:6">
      <c r="A6037" s="211" t="s">
        <v>7024</v>
      </c>
      <c r="B6037" s="211">
        <v>7697</v>
      </c>
      <c r="C6037" s="211">
        <v>1100</v>
      </c>
      <c r="D6037" s="211" t="s">
        <v>1255</v>
      </c>
      <c r="E6037" s="211" t="s">
        <v>9973</v>
      </c>
      <c r="F6037" s="211" t="s">
        <v>7511</v>
      </c>
    </row>
    <row r="6038" spans="1:6">
      <c r="A6038" s="211" t="s">
        <v>1964</v>
      </c>
      <c r="B6038" s="211">
        <v>4279</v>
      </c>
      <c r="C6038" s="211">
        <v>1005</v>
      </c>
      <c r="D6038" s="211" t="s">
        <v>1255</v>
      </c>
      <c r="E6038" s="211" t="s">
        <v>10385</v>
      </c>
      <c r="F6038" s="211" t="s">
        <v>7655</v>
      </c>
    </row>
    <row r="6039" spans="1:6">
      <c r="A6039" s="211" t="s">
        <v>1965</v>
      </c>
      <c r="B6039" s="211">
        <v>1981</v>
      </c>
      <c r="C6039" s="211">
        <v>1115</v>
      </c>
      <c r="D6039" s="211" t="s">
        <v>1255</v>
      </c>
      <c r="E6039" s="211" t="s">
        <v>10385</v>
      </c>
      <c r="F6039" s="211" t="s">
        <v>7229</v>
      </c>
    </row>
    <row r="6040" spans="1:6">
      <c r="A6040" s="211" t="s">
        <v>1966</v>
      </c>
      <c r="B6040" s="211">
        <v>2959</v>
      </c>
      <c r="C6040" s="211">
        <v>1114</v>
      </c>
      <c r="D6040" s="211" t="s">
        <v>1117</v>
      </c>
      <c r="E6040" s="211" t="s">
        <v>10385</v>
      </c>
      <c r="F6040" s="211" t="s">
        <v>7308</v>
      </c>
    </row>
    <row r="6041" spans="1:6">
      <c r="A6041" s="211" t="s">
        <v>1967</v>
      </c>
      <c r="B6041" s="211">
        <v>1678</v>
      </c>
      <c r="C6041" s="211">
        <v>1067</v>
      </c>
      <c r="D6041" s="211" t="s">
        <v>1255</v>
      </c>
      <c r="E6041" s="211" t="s">
        <v>10385</v>
      </c>
      <c r="F6041" s="211" t="s">
        <v>7257</v>
      </c>
    </row>
    <row r="6042" spans="1:6">
      <c r="A6042" s="211" t="s">
        <v>1968</v>
      </c>
      <c r="B6042" s="211">
        <v>1734</v>
      </c>
      <c r="C6042" s="211">
        <v>1898</v>
      </c>
      <c r="D6042" s="211" t="s">
        <v>1255</v>
      </c>
      <c r="E6042" s="211" t="s">
        <v>10385</v>
      </c>
      <c r="F6042" s="211" t="s">
        <v>7283</v>
      </c>
    </row>
    <row r="6043" spans="1:6">
      <c r="A6043" s="211" t="s">
        <v>2904</v>
      </c>
      <c r="B6043" s="211">
        <v>2866</v>
      </c>
      <c r="C6043" s="211">
        <v>992</v>
      </c>
      <c r="D6043" s="211" t="s">
        <v>1117</v>
      </c>
      <c r="E6043" s="211" t="s">
        <v>10385</v>
      </c>
      <c r="F6043" s="211" t="s">
        <v>7322</v>
      </c>
    </row>
    <row r="6044" spans="1:6">
      <c r="A6044" s="211" t="s">
        <v>1969</v>
      </c>
      <c r="B6044" s="211">
        <v>3550</v>
      </c>
      <c r="C6044" s="211">
        <v>870</v>
      </c>
      <c r="D6044" s="211" t="s">
        <v>1117</v>
      </c>
      <c r="E6044" s="211" t="s">
        <v>10385</v>
      </c>
      <c r="F6044" s="211" t="s">
        <v>7344</v>
      </c>
    </row>
    <row r="6045" spans="1:6">
      <c r="A6045" s="211" t="s">
        <v>1970</v>
      </c>
      <c r="B6045" s="211">
        <v>451</v>
      </c>
      <c r="C6045" s="211">
        <v>1610</v>
      </c>
      <c r="D6045" s="211" t="s">
        <v>1255</v>
      </c>
      <c r="E6045" s="211" t="s">
        <v>10385</v>
      </c>
      <c r="F6045" s="211" t="s">
        <v>7210</v>
      </c>
    </row>
    <row r="6046" spans="1:6">
      <c r="A6046" s="211" t="s">
        <v>1971</v>
      </c>
      <c r="B6046" s="211">
        <v>1903</v>
      </c>
      <c r="C6046" s="211">
        <v>1668</v>
      </c>
      <c r="D6046" s="211" t="s">
        <v>1255</v>
      </c>
      <c r="E6046" s="211" t="s">
        <v>10385</v>
      </c>
      <c r="F6046" s="211" t="s">
        <v>7231</v>
      </c>
    </row>
    <row r="6047" spans="1:6">
      <c r="A6047" s="211" t="s">
        <v>2974</v>
      </c>
      <c r="B6047" s="211">
        <v>2171</v>
      </c>
      <c r="C6047" s="211">
        <v>754</v>
      </c>
      <c r="D6047" s="211" t="s">
        <v>1255</v>
      </c>
      <c r="E6047" s="211" t="s">
        <v>10385</v>
      </c>
      <c r="F6047" s="211" t="s">
        <v>7386</v>
      </c>
    </row>
    <row r="6048" spans="1:6">
      <c r="A6048" s="211" t="s">
        <v>9974</v>
      </c>
      <c r="B6048" s="211">
        <v>8103</v>
      </c>
      <c r="C6048" s="211">
        <v>999</v>
      </c>
      <c r="D6048" s="211" t="s">
        <v>1255</v>
      </c>
      <c r="E6048" s="211" t="s">
        <v>9975</v>
      </c>
      <c r="F6048" s="211" t="s">
        <v>9056</v>
      </c>
    </row>
    <row r="6049" spans="1:6">
      <c r="A6049" s="211" t="s">
        <v>6160</v>
      </c>
      <c r="B6049" s="211">
        <v>7127</v>
      </c>
      <c r="C6049" s="211">
        <v>1234</v>
      </c>
      <c r="D6049" s="211" t="s">
        <v>1255</v>
      </c>
      <c r="E6049" s="211" t="s">
        <v>10385</v>
      </c>
      <c r="F6049" s="211" t="s">
        <v>7258</v>
      </c>
    </row>
    <row r="6050" spans="1:6">
      <c r="A6050" s="211" t="s">
        <v>7025</v>
      </c>
      <c r="B6050" s="211">
        <v>7623</v>
      </c>
      <c r="C6050" s="211">
        <v>1199</v>
      </c>
      <c r="D6050" s="211" t="s">
        <v>1255</v>
      </c>
      <c r="E6050" s="211" t="s">
        <v>10911</v>
      </c>
      <c r="F6050" s="211" t="s">
        <v>7258</v>
      </c>
    </row>
    <row r="6051" spans="1:6">
      <c r="A6051" s="211" t="s">
        <v>1972</v>
      </c>
      <c r="B6051" s="211">
        <v>4160</v>
      </c>
      <c r="C6051" s="211">
        <v>1741</v>
      </c>
      <c r="D6051" s="211" t="s">
        <v>1255</v>
      </c>
      <c r="E6051" s="211" t="s">
        <v>10385</v>
      </c>
      <c r="F6051" s="211" t="s">
        <v>7224</v>
      </c>
    </row>
    <row r="6052" spans="1:6">
      <c r="A6052" s="211" t="s">
        <v>9976</v>
      </c>
      <c r="B6052" s="211">
        <v>7967</v>
      </c>
      <c r="C6052" s="211" t="s">
        <v>10385</v>
      </c>
      <c r="D6052" s="211" t="s">
        <v>1255</v>
      </c>
      <c r="E6052" s="211" t="s">
        <v>9977</v>
      </c>
      <c r="F6052" s="211" t="s">
        <v>7231</v>
      </c>
    </row>
    <row r="6053" spans="1:6">
      <c r="A6053" s="211" t="s">
        <v>1973</v>
      </c>
      <c r="B6053" s="211">
        <v>1377</v>
      </c>
      <c r="C6053" s="211">
        <v>1100</v>
      </c>
      <c r="D6053" s="211" t="s">
        <v>1255</v>
      </c>
      <c r="E6053" s="211" t="s">
        <v>10385</v>
      </c>
      <c r="F6053" s="211" t="s">
        <v>7394</v>
      </c>
    </row>
    <row r="6054" spans="1:6">
      <c r="A6054" s="211" t="s">
        <v>1974</v>
      </c>
      <c r="B6054" s="211">
        <v>6973</v>
      </c>
      <c r="C6054" s="211">
        <v>1187</v>
      </c>
      <c r="D6054" s="211" t="s">
        <v>1255</v>
      </c>
      <c r="E6054" s="211" t="s">
        <v>10912</v>
      </c>
      <c r="F6054" s="211" t="s">
        <v>7283</v>
      </c>
    </row>
    <row r="6055" spans="1:6">
      <c r="A6055" s="211" t="s">
        <v>5191</v>
      </c>
      <c r="B6055" s="211">
        <v>7018</v>
      </c>
      <c r="C6055" s="211" t="s">
        <v>10385</v>
      </c>
      <c r="D6055" s="211" t="s">
        <v>1117</v>
      </c>
      <c r="E6055" s="211" t="s">
        <v>10385</v>
      </c>
      <c r="F6055" s="211" t="s">
        <v>7318</v>
      </c>
    </row>
    <row r="6056" spans="1:6">
      <c r="A6056" s="211" t="s">
        <v>8535</v>
      </c>
      <c r="B6056" s="211">
        <v>7437</v>
      </c>
      <c r="C6056" s="211">
        <v>1805</v>
      </c>
      <c r="D6056" s="211" t="s">
        <v>1255</v>
      </c>
      <c r="E6056" s="211" t="s">
        <v>9978</v>
      </c>
      <c r="F6056" s="211" t="s">
        <v>7308</v>
      </c>
    </row>
    <row r="6057" spans="1:6">
      <c r="A6057" s="211" t="s">
        <v>8536</v>
      </c>
      <c r="B6057" s="211">
        <v>3028</v>
      </c>
      <c r="C6057" s="211" t="s">
        <v>10385</v>
      </c>
      <c r="D6057" s="211" t="s">
        <v>1255</v>
      </c>
      <c r="E6057" s="211" t="s">
        <v>10385</v>
      </c>
      <c r="F6057" s="211" t="s">
        <v>7342</v>
      </c>
    </row>
    <row r="6058" spans="1:6">
      <c r="A6058" s="211" t="s">
        <v>1975</v>
      </c>
      <c r="B6058" s="211">
        <v>2431</v>
      </c>
      <c r="C6058" s="211">
        <v>919</v>
      </c>
      <c r="D6058" s="211" t="s">
        <v>1117</v>
      </c>
      <c r="E6058" s="211" t="s">
        <v>10385</v>
      </c>
      <c r="F6058" s="211" t="s">
        <v>7208</v>
      </c>
    </row>
    <row r="6059" spans="1:6">
      <c r="A6059" s="211" t="s">
        <v>1976</v>
      </c>
      <c r="B6059" s="211">
        <v>1789</v>
      </c>
      <c r="C6059" s="211">
        <v>2042</v>
      </c>
      <c r="D6059" s="211" t="s">
        <v>1255</v>
      </c>
      <c r="E6059" s="211" t="s">
        <v>10385</v>
      </c>
      <c r="F6059" s="211" t="s">
        <v>7342</v>
      </c>
    </row>
    <row r="6060" spans="1:6">
      <c r="A6060" s="211" t="s">
        <v>8537</v>
      </c>
      <c r="B6060" s="211">
        <v>3325</v>
      </c>
      <c r="C6060" s="211" t="s">
        <v>10385</v>
      </c>
      <c r="D6060" s="211" t="s">
        <v>1255</v>
      </c>
      <c r="E6060" s="211" t="s">
        <v>10385</v>
      </c>
      <c r="F6060" s="211" t="s">
        <v>7237</v>
      </c>
    </row>
    <row r="6061" spans="1:6">
      <c r="A6061" s="211" t="s">
        <v>10913</v>
      </c>
      <c r="B6061" s="211">
        <v>8700</v>
      </c>
      <c r="C6061" s="211">
        <v>1362</v>
      </c>
      <c r="D6061" s="211" t="s">
        <v>1255</v>
      </c>
      <c r="E6061" s="211" t="s">
        <v>10914</v>
      </c>
      <c r="F6061" s="211" t="s">
        <v>7446</v>
      </c>
    </row>
    <row r="6062" spans="1:6">
      <c r="A6062" s="211" t="s">
        <v>10915</v>
      </c>
      <c r="B6062" s="211">
        <v>8820</v>
      </c>
      <c r="C6062" s="211">
        <v>1018</v>
      </c>
      <c r="D6062" s="211" t="s">
        <v>1255</v>
      </c>
      <c r="E6062" s="211" t="s">
        <v>10916</v>
      </c>
      <c r="F6062" s="211" t="s">
        <v>7304</v>
      </c>
    </row>
    <row r="6063" spans="1:6">
      <c r="A6063" s="211" t="s">
        <v>8538</v>
      </c>
      <c r="B6063" s="211">
        <v>4244</v>
      </c>
      <c r="C6063" s="211" t="s">
        <v>10385</v>
      </c>
      <c r="D6063" s="211" t="s">
        <v>1117</v>
      </c>
      <c r="E6063" s="211" t="s">
        <v>10385</v>
      </c>
      <c r="F6063" s="211" t="s">
        <v>7593</v>
      </c>
    </row>
    <row r="6064" spans="1:6">
      <c r="A6064" s="211" t="s">
        <v>1977</v>
      </c>
      <c r="B6064" s="211">
        <v>3234</v>
      </c>
      <c r="C6064" s="211">
        <v>834</v>
      </c>
      <c r="D6064" s="211" t="s">
        <v>1255</v>
      </c>
      <c r="E6064" s="211" t="s">
        <v>10385</v>
      </c>
      <c r="F6064" s="211" t="s">
        <v>7629</v>
      </c>
    </row>
    <row r="6065" spans="1:6">
      <c r="A6065" s="211" t="s">
        <v>2937</v>
      </c>
      <c r="B6065" s="211">
        <v>1008</v>
      </c>
      <c r="C6065" s="211">
        <v>1606</v>
      </c>
      <c r="D6065" s="211" t="s">
        <v>1255</v>
      </c>
      <c r="E6065" s="211" t="s">
        <v>10385</v>
      </c>
      <c r="F6065" s="211" t="s">
        <v>7384</v>
      </c>
    </row>
    <row r="6066" spans="1:6">
      <c r="A6066" s="211" t="s">
        <v>1978</v>
      </c>
      <c r="B6066" s="211">
        <v>5230</v>
      </c>
      <c r="C6066" s="211">
        <v>1409</v>
      </c>
      <c r="D6066" s="211" t="s">
        <v>1255</v>
      </c>
      <c r="E6066" s="211" t="s">
        <v>9979</v>
      </c>
      <c r="F6066" s="211" t="s">
        <v>7283</v>
      </c>
    </row>
    <row r="6067" spans="1:6">
      <c r="A6067" s="211" t="s">
        <v>5342</v>
      </c>
      <c r="B6067" s="211">
        <v>6695</v>
      </c>
      <c r="C6067" s="211">
        <v>873</v>
      </c>
      <c r="D6067" s="211" t="s">
        <v>1255</v>
      </c>
      <c r="E6067" s="211" t="s">
        <v>10385</v>
      </c>
      <c r="F6067" s="211" t="s">
        <v>7536</v>
      </c>
    </row>
    <row r="6068" spans="1:6">
      <c r="A6068" s="211" t="s">
        <v>8539</v>
      </c>
      <c r="B6068" s="211">
        <v>1248</v>
      </c>
      <c r="C6068" s="211" t="s">
        <v>10385</v>
      </c>
      <c r="D6068" s="211" t="s">
        <v>1255</v>
      </c>
      <c r="E6068" s="211" t="s">
        <v>10385</v>
      </c>
      <c r="F6068" s="211" t="s">
        <v>7257</v>
      </c>
    </row>
    <row r="6069" spans="1:6">
      <c r="A6069" s="211" t="s">
        <v>9980</v>
      </c>
      <c r="B6069" s="211">
        <v>8099</v>
      </c>
      <c r="C6069" s="211">
        <v>1720</v>
      </c>
      <c r="D6069" s="211" t="s">
        <v>1255</v>
      </c>
      <c r="E6069" s="211" t="s">
        <v>9981</v>
      </c>
      <c r="F6069" s="211" t="s">
        <v>9056</v>
      </c>
    </row>
    <row r="6070" spans="1:6">
      <c r="A6070" s="211" t="s">
        <v>4617</v>
      </c>
      <c r="B6070" s="211">
        <v>6537</v>
      </c>
      <c r="C6070" s="211">
        <v>538</v>
      </c>
      <c r="D6070" s="211" t="s">
        <v>1117</v>
      </c>
      <c r="E6070" s="211" t="s">
        <v>9982</v>
      </c>
      <c r="F6070" s="211" t="s">
        <v>7272</v>
      </c>
    </row>
    <row r="6071" spans="1:6">
      <c r="A6071" s="211" t="s">
        <v>1979</v>
      </c>
      <c r="B6071" s="211">
        <v>650</v>
      </c>
      <c r="C6071" s="211">
        <v>1381</v>
      </c>
      <c r="D6071" s="211" t="s">
        <v>1255</v>
      </c>
      <c r="E6071" s="211" t="s">
        <v>10385</v>
      </c>
      <c r="F6071" s="211" t="s">
        <v>7283</v>
      </c>
    </row>
    <row r="6072" spans="1:6">
      <c r="A6072" s="211" t="s">
        <v>5192</v>
      </c>
      <c r="B6072" s="211">
        <v>6252</v>
      </c>
      <c r="C6072" s="211">
        <v>987</v>
      </c>
      <c r="D6072" s="211" t="s">
        <v>1255</v>
      </c>
      <c r="E6072" s="211" t="s">
        <v>10385</v>
      </c>
      <c r="F6072" s="211" t="s">
        <v>7224</v>
      </c>
    </row>
    <row r="6073" spans="1:6">
      <c r="A6073" s="211" t="s">
        <v>1980</v>
      </c>
      <c r="B6073" s="211">
        <v>4670</v>
      </c>
      <c r="C6073" s="211">
        <v>1134</v>
      </c>
      <c r="D6073" s="211" t="s">
        <v>1255</v>
      </c>
      <c r="E6073" s="211" t="s">
        <v>10385</v>
      </c>
      <c r="F6073" s="211" t="s">
        <v>7283</v>
      </c>
    </row>
    <row r="6074" spans="1:6">
      <c r="A6074" s="211" t="s">
        <v>1981</v>
      </c>
      <c r="B6074" s="211">
        <v>1508</v>
      </c>
      <c r="C6074" s="211">
        <v>877</v>
      </c>
      <c r="D6074" s="211" t="s">
        <v>1255</v>
      </c>
      <c r="E6074" s="211" t="s">
        <v>10385</v>
      </c>
      <c r="F6074" s="211" t="s">
        <v>7438</v>
      </c>
    </row>
    <row r="6075" spans="1:6">
      <c r="A6075" s="211" t="s">
        <v>1982</v>
      </c>
      <c r="B6075" s="211">
        <v>2572</v>
      </c>
      <c r="C6075" s="211">
        <v>1388</v>
      </c>
      <c r="D6075" s="211" t="s">
        <v>1255</v>
      </c>
      <c r="E6075" s="211" t="s">
        <v>10385</v>
      </c>
      <c r="F6075" s="211" t="s">
        <v>7290</v>
      </c>
    </row>
    <row r="6076" spans="1:6">
      <c r="A6076" s="211" t="s">
        <v>5193</v>
      </c>
      <c r="B6076" s="211">
        <v>6700</v>
      </c>
      <c r="C6076" s="211">
        <v>1002</v>
      </c>
      <c r="D6076" s="211" t="s">
        <v>1255</v>
      </c>
      <c r="E6076" s="211" t="s">
        <v>6161</v>
      </c>
      <c r="F6076" s="211" t="s">
        <v>7235</v>
      </c>
    </row>
    <row r="6077" spans="1:6">
      <c r="A6077" s="211" t="s">
        <v>7026</v>
      </c>
      <c r="B6077" s="211">
        <v>7712</v>
      </c>
      <c r="C6077" s="211">
        <v>983</v>
      </c>
      <c r="D6077" s="211" t="s">
        <v>1255</v>
      </c>
      <c r="E6077" s="211" t="s">
        <v>7027</v>
      </c>
      <c r="F6077" s="211" t="s">
        <v>7215</v>
      </c>
    </row>
    <row r="6078" spans="1:6">
      <c r="A6078" s="211" t="s">
        <v>8540</v>
      </c>
      <c r="B6078" s="211">
        <v>183</v>
      </c>
      <c r="C6078" s="211" t="s">
        <v>10385</v>
      </c>
      <c r="D6078" s="211" t="s">
        <v>1255</v>
      </c>
      <c r="E6078" s="211" t="s">
        <v>10385</v>
      </c>
      <c r="F6078" s="211" t="s">
        <v>7173</v>
      </c>
    </row>
    <row r="6079" spans="1:6">
      <c r="A6079" s="211" t="s">
        <v>6162</v>
      </c>
      <c r="B6079" s="211">
        <v>7165</v>
      </c>
      <c r="C6079" s="211">
        <v>1210</v>
      </c>
      <c r="D6079" s="211" t="s">
        <v>1255</v>
      </c>
      <c r="E6079" s="211" t="s">
        <v>9983</v>
      </c>
      <c r="F6079" s="211" t="s">
        <v>7318</v>
      </c>
    </row>
    <row r="6080" spans="1:6">
      <c r="A6080" s="211" t="s">
        <v>1983</v>
      </c>
      <c r="B6080" s="211">
        <v>2780</v>
      </c>
      <c r="C6080" s="211">
        <v>793</v>
      </c>
      <c r="D6080" s="211" t="s">
        <v>1117</v>
      </c>
      <c r="E6080" s="211" t="s">
        <v>10385</v>
      </c>
      <c r="F6080" s="211" t="s">
        <v>7275</v>
      </c>
    </row>
    <row r="6081" spans="1:6">
      <c r="A6081" s="211" t="s">
        <v>5391</v>
      </c>
      <c r="B6081" s="211">
        <v>181</v>
      </c>
      <c r="C6081" s="211">
        <v>1662</v>
      </c>
      <c r="D6081" s="211" t="s">
        <v>1255</v>
      </c>
      <c r="E6081" s="211" t="s">
        <v>10385</v>
      </c>
      <c r="F6081" s="211" t="s">
        <v>7199</v>
      </c>
    </row>
    <row r="6082" spans="1:6">
      <c r="A6082" s="211" t="s">
        <v>5392</v>
      </c>
      <c r="B6082" s="211">
        <v>2735</v>
      </c>
      <c r="C6082" s="211">
        <v>739</v>
      </c>
      <c r="D6082" s="211" t="s">
        <v>1117</v>
      </c>
      <c r="E6082" s="211" t="s">
        <v>3103</v>
      </c>
      <c r="F6082" s="211" t="s">
        <v>7356</v>
      </c>
    </row>
    <row r="6083" spans="1:6">
      <c r="A6083" s="211" t="s">
        <v>1984</v>
      </c>
      <c r="B6083" s="211">
        <v>2934</v>
      </c>
      <c r="C6083" s="211">
        <v>1401</v>
      </c>
      <c r="D6083" s="211" t="s">
        <v>1255</v>
      </c>
      <c r="E6083" s="211" t="s">
        <v>10385</v>
      </c>
      <c r="F6083" s="211" t="s">
        <v>7177</v>
      </c>
    </row>
    <row r="6084" spans="1:6">
      <c r="A6084" s="211" t="s">
        <v>1985</v>
      </c>
      <c r="B6084" s="211">
        <v>4671</v>
      </c>
      <c r="C6084" s="211">
        <v>2005</v>
      </c>
      <c r="D6084" s="211" t="s">
        <v>1255</v>
      </c>
      <c r="E6084" s="211" t="s">
        <v>10385</v>
      </c>
      <c r="F6084" s="211" t="s">
        <v>7318</v>
      </c>
    </row>
    <row r="6085" spans="1:6">
      <c r="A6085" s="211" t="s">
        <v>1986</v>
      </c>
      <c r="B6085" s="211">
        <v>5389</v>
      </c>
      <c r="C6085" s="211">
        <v>1258</v>
      </c>
      <c r="D6085" s="211" t="s">
        <v>1255</v>
      </c>
      <c r="E6085" s="211" t="s">
        <v>10385</v>
      </c>
      <c r="F6085" s="211" t="s">
        <v>7304</v>
      </c>
    </row>
    <row r="6086" spans="1:6">
      <c r="A6086" s="211" t="s">
        <v>1987</v>
      </c>
      <c r="B6086" s="211">
        <v>2876</v>
      </c>
      <c r="C6086" s="211">
        <v>1246</v>
      </c>
      <c r="D6086" s="211" t="s">
        <v>1255</v>
      </c>
      <c r="E6086" s="211" t="s">
        <v>10385</v>
      </c>
      <c r="F6086" s="211" t="s">
        <v>7316</v>
      </c>
    </row>
    <row r="6087" spans="1:6">
      <c r="A6087" s="211" t="s">
        <v>1988</v>
      </c>
      <c r="B6087" s="211">
        <v>1423</v>
      </c>
      <c r="C6087" s="211">
        <v>2157</v>
      </c>
      <c r="D6087" s="211" t="s">
        <v>1255</v>
      </c>
      <c r="E6087" s="211" t="s">
        <v>10385</v>
      </c>
      <c r="F6087" s="211" t="s">
        <v>7196</v>
      </c>
    </row>
    <row r="6088" spans="1:6">
      <c r="A6088" s="211" t="s">
        <v>1989</v>
      </c>
      <c r="B6088" s="211">
        <v>1687</v>
      </c>
      <c r="C6088" s="211">
        <v>1524</v>
      </c>
      <c r="D6088" s="211" t="s">
        <v>1255</v>
      </c>
      <c r="E6088" s="211" t="s">
        <v>10385</v>
      </c>
      <c r="F6088" s="211" t="s">
        <v>7459</v>
      </c>
    </row>
    <row r="6089" spans="1:6">
      <c r="A6089" s="211" t="s">
        <v>1990</v>
      </c>
      <c r="B6089" s="211">
        <v>4506</v>
      </c>
      <c r="C6089" s="211">
        <v>1074</v>
      </c>
      <c r="D6089" s="211" t="s">
        <v>1255</v>
      </c>
      <c r="E6089" s="211" t="s">
        <v>10385</v>
      </c>
      <c r="F6089" s="211" t="s">
        <v>7196</v>
      </c>
    </row>
    <row r="6090" spans="1:6">
      <c r="A6090" s="211" t="s">
        <v>1991</v>
      </c>
      <c r="B6090" s="211">
        <v>4415</v>
      </c>
      <c r="C6090" s="211">
        <v>1104</v>
      </c>
      <c r="D6090" s="211" t="s">
        <v>1117</v>
      </c>
      <c r="E6090" s="211" t="s">
        <v>10385</v>
      </c>
      <c r="F6090" s="211" t="s">
        <v>7384</v>
      </c>
    </row>
    <row r="6091" spans="1:6">
      <c r="A6091" s="211" t="s">
        <v>6163</v>
      </c>
      <c r="B6091" s="211">
        <v>7492</v>
      </c>
      <c r="C6091" s="211">
        <v>876</v>
      </c>
      <c r="D6091" s="211" t="s">
        <v>1255</v>
      </c>
      <c r="E6091" s="211" t="s">
        <v>6164</v>
      </c>
      <c r="F6091" s="211" t="s">
        <v>7433</v>
      </c>
    </row>
    <row r="6092" spans="1:6">
      <c r="A6092" s="211" t="s">
        <v>2984</v>
      </c>
      <c r="B6092" s="211">
        <v>1237</v>
      </c>
      <c r="C6092" s="211">
        <v>1163</v>
      </c>
      <c r="D6092" s="211" t="s">
        <v>1255</v>
      </c>
      <c r="E6092" s="211" t="s">
        <v>10385</v>
      </c>
      <c r="F6092" s="211" t="s">
        <v>7264</v>
      </c>
    </row>
    <row r="6093" spans="1:6">
      <c r="A6093" s="211" t="s">
        <v>8541</v>
      </c>
      <c r="B6093" s="211">
        <v>122</v>
      </c>
      <c r="C6093" s="211" t="s">
        <v>10385</v>
      </c>
      <c r="D6093" s="211" t="s">
        <v>1255</v>
      </c>
      <c r="E6093" s="211" t="s">
        <v>10385</v>
      </c>
      <c r="F6093" s="211" t="s">
        <v>7483</v>
      </c>
    </row>
    <row r="6094" spans="1:6">
      <c r="A6094" s="211" t="s">
        <v>8542</v>
      </c>
      <c r="B6094" s="211">
        <v>3470</v>
      </c>
      <c r="C6094" s="211" t="s">
        <v>10385</v>
      </c>
      <c r="D6094" s="211" t="s">
        <v>1255</v>
      </c>
      <c r="E6094" s="211" t="s">
        <v>10385</v>
      </c>
      <c r="F6094" s="211" t="s">
        <v>7403</v>
      </c>
    </row>
    <row r="6095" spans="1:6">
      <c r="A6095" s="211" t="s">
        <v>5194</v>
      </c>
      <c r="B6095" s="211">
        <v>6972</v>
      </c>
      <c r="C6095" s="211">
        <v>1096</v>
      </c>
      <c r="D6095" s="211" t="s">
        <v>1255</v>
      </c>
      <c r="E6095" s="211" t="s">
        <v>10385</v>
      </c>
      <c r="F6095" s="211" t="s">
        <v>7384</v>
      </c>
    </row>
    <row r="6096" spans="1:6">
      <c r="A6096" s="211" t="s">
        <v>1992</v>
      </c>
      <c r="B6096" s="211">
        <v>5695</v>
      </c>
      <c r="C6096" s="211">
        <v>778</v>
      </c>
      <c r="D6096" s="211" t="s">
        <v>1255</v>
      </c>
      <c r="E6096" s="211" t="s">
        <v>10385</v>
      </c>
      <c r="F6096" s="211" t="s">
        <v>7667</v>
      </c>
    </row>
    <row r="6097" spans="1:6">
      <c r="A6097" s="211" t="s">
        <v>8543</v>
      </c>
      <c r="B6097" s="211">
        <v>1614</v>
      </c>
      <c r="C6097" s="211" t="s">
        <v>10385</v>
      </c>
      <c r="D6097" s="211" t="s">
        <v>1255</v>
      </c>
      <c r="E6097" s="211" t="s">
        <v>10385</v>
      </c>
      <c r="F6097" s="211" t="s">
        <v>7257</v>
      </c>
    </row>
    <row r="6098" spans="1:6">
      <c r="A6098" s="211" t="s">
        <v>1993</v>
      </c>
      <c r="B6098" s="211">
        <v>1599</v>
      </c>
      <c r="C6098" s="211">
        <v>896</v>
      </c>
      <c r="D6098" s="211" t="s">
        <v>1255</v>
      </c>
      <c r="E6098" s="211" t="s">
        <v>10385</v>
      </c>
      <c r="F6098" s="211" t="s">
        <v>7265</v>
      </c>
    </row>
    <row r="6099" spans="1:6">
      <c r="A6099" s="211" t="s">
        <v>2985</v>
      </c>
      <c r="B6099" s="211">
        <v>2088</v>
      </c>
      <c r="C6099" s="211">
        <v>755</v>
      </c>
      <c r="D6099" s="211" t="s">
        <v>1117</v>
      </c>
      <c r="E6099" s="211" t="s">
        <v>10385</v>
      </c>
      <c r="F6099" s="211" t="s">
        <v>7263</v>
      </c>
    </row>
    <row r="6100" spans="1:6">
      <c r="A6100" s="211" t="s">
        <v>9984</v>
      </c>
      <c r="B6100" s="211">
        <v>7965</v>
      </c>
      <c r="C6100" s="211">
        <v>1684</v>
      </c>
      <c r="D6100" s="211" t="s">
        <v>1255</v>
      </c>
      <c r="E6100" s="211" t="s">
        <v>9985</v>
      </c>
      <c r="F6100" s="211" t="s">
        <v>7231</v>
      </c>
    </row>
    <row r="6101" spans="1:6">
      <c r="A6101" s="211" t="s">
        <v>8544</v>
      </c>
      <c r="B6101" s="211">
        <v>5357</v>
      </c>
      <c r="C6101" s="211" t="s">
        <v>10385</v>
      </c>
      <c r="D6101" s="211" t="s">
        <v>1255</v>
      </c>
      <c r="E6101" s="211" t="s">
        <v>10385</v>
      </c>
      <c r="F6101" s="211" t="s">
        <v>7398</v>
      </c>
    </row>
    <row r="6102" spans="1:6">
      <c r="A6102" s="211" t="s">
        <v>1994</v>
      </c>
      <c r="B6102" s="211">
        <v>4391</v>
      </c>
      <c r="C6102" s="211">
        <v>1227</v>
      </c>
      <c r="D6102" s="211" t="s">
        <v>1255</v>
      </c>
      <c r="E6102" s="211" t="s">
        <v>10385</v>
      </c>
      <c r="F6102" s="211" t="s">
        <v>7310</v>
      </c>
    </row>
    <row r="6103" spans="1:6">
      <c r="A6103" s="211" t="s">
        <v>10917</v>
      </c>
      <c r="B6103" s="211">
        <v>8666</v>
      </c>
      <c r="C6103" s="211">
        <v>1852</v>
      </c>
      <c r="D6103" s="211" t="s">
        <v>1117</v>
      </c>
      <c r="E6103" s="211" t="s">
        <v>6632</v>
      </c>
      <c r="F6103" s="211" t="s">
        <v>7267</v>
      </c>
    </row>
    <row r="6104" spans="1:6">
      <c r="A6104" s="211" t="s">
        <v>2895</v>
      </c>
      <c r="B6104" s="211">
        <v>2707</v>
      </c>
      <c r="C6104" s="211">
        <v>1453</v>
      </c>
      <c r="D6104" s="211" t="s">
        <v>1255</v>
      </c>
      <c r="E6104" s="211" t="s">
        <v>10385</v>
      </c>
      <c r="F6104" s="211" t="s">
        <v>7285</v>
      </c>
    </row>
    <row r="6105" spans="1:6">
      <c r="A6105" s="211" t="s">
        <v>1995</v>
      </c>
      <c r="B6105" s="211">
        <v>821</v>
      </c>
      <c r="C6105" s="211">
        <v>1237</v>
      </c>
      <c r="D6105" s="211" t="s">
        <v>1255</v>
      </c>
      <c r="E6105" s="211" t="s">
        <v>10385</v>
      </c>
      <c r="F6105" s="211" t="s">
        <v>7629</v>
      </c>
    </row>
    <row r="6106" spans="1:6">
      <c r="A6106" s="211" t="s">
        <v>1996</v>
      </c>
      <c r="B6106" s="211">
        <v>3006</v>
      </c>
      <c r="C6106" s="211">
        <v>880</v>
      </c>
      <c r="D6106" s="211" t="s">
        <v>1117</v>
      </c>
      <c r="E6106" s="211" t="s">
        <v>10385</v>
      </c>
      <c r="F6106" s="211" t="s">
        <v>7192</v>
      </c>
    </row>
    <row r="6107" spans="1:6">
      <c r="A6107" s="211" t="s">
        <v>1997</v>
      </c>
      <c r="B6107" s="211">
        <v>3844</v>
      </c>
      <c r="C6107" s="211">
        <v>1916</v>
      </c>
      <c r="D6107" s="211" t="s">
        <v>1117</v>
      </c>
      <c r="E6107" s="211" t="s">
        <v>10385</v>
      </c>
      <c r="F6107" s="211" t="s">
        <v>7202</v>
      </c>
    </row>
    <row r="6108" spans="1:6">
      <c r="A6108" s="211" t="s">
        <v>2979</v>
      </c>
      <c r="B6108" s="211">
        <v>2260</v>
      </c>
      <c r="C6108" s="211">
        <v>1403</v>
      </c>
      <c r="D6108" s="211" t="s">
        <v>1255</v>
      </c>
      <c r="E6108" s="211" t="s">
        <v>10385</v>
      </c>
      <c r="F6108" s="211" t="s">
        <v>7430</v>
      </c>
    </row>
    <row r="6109" spans="1:6">
      <c r="A6109" s="211" t="s">
        <v>1998</v>
      </c>
      <c r="B6109" s="211">
        <v>2617</v>
      </c>
      <c r="C6109" s="211">
        <v>1377</v>
      </c>
      <c r="D6109" s="211" t="s">
        <v>1255</v>
      </c>
      <c r="E6109" s="211" t="s">
        <v>10385</v>
      </c>
      <c r="F6109" s="211" t="s">
        <v>7430</v>
      </c>
    </row>
    <row r="6110" spans="1:6">
      <c r="A6110" s="211" t="s">
        <v>1999</v>
      </c>
      <c r="B6110" s="211">
        <v>504</v>
      </c>
      <c r="C6110" s="211">
        <v>1422</v>
      </c>
      <c r="D6110" s="211" t="s">
        <v>1255</v>
      </c>
      <c r="E6110" s="211" t="s">
        <v>10385</v>
      </c>
      <c r="F6110" s="211" t="s">
        <v>7318</v>
      </c>
    </row>
    <row r="6111" spans="1:6">
      <c r="A6111" s="211" t="s">
        <v>4681</v>
      </c>
      <c r="B6111" s="211">
        <v>6409</v>
      </c>
      <c r="C6111" s="211">
        <v>843</v>
      </c>
      <c r="D6111" s="211" t="s">
        <v>1255</v>
      </c>
      <c r="E6111" s="211" t="s">
        <v>10385</v>
      </c>
      <c r="F6111" s="211" t="s">
        <v>7518</v>
      </c>
    </row>
    <row r="6112" spans="1:6">
      <c r="A6112" s="211" t="s">
        <v>6165</v>
      </c>
      <c r="B6112" s="211">
        <v>7209</v>
      </c>
      <c r="C6112" s="211">
        <v>1776</v>
      </c>
      <c r="D6112" s="211" t="s">
        <v>1255</v>
      </c>
      <c r="E6112" s="211" t="s">
        <v>10385</v>
      </c>
      <c r="F6112" s="211" t="s">
        <v>7272</v>
      </c>
    </row>
    <row r="6113" spans="1:6">
      <c r="A6113" s="211" t="s">
        <v>2000</v>
      </c>
      <c r="B6113" s="211">
        <v>1895</v>
      </c>
      <c r="C6113" s="211">
        <v>1019</v>
      </c>
      <c r="D6113" s="211" t="s">
        <v>1255</v>
      </c>
      <c r="E6113" s="211" t="s">
        <v>10385</v>
      </c>
      <c r="F6113" s="211" t="s">
        <v>7343</v>
      </c>
    </row>
    <row r="6114" spans="1:6">
      <c r="A6114" s="211" t="s">
        <v>2001</v>
      </c>
      <c r="B6114" s="211">
        <v>168</v>
      </c>
      <c r="C6114" s="211">
        <v>1434</v>
      </c>
      <c r="D6114" s="211" t="s">
        <v>1255</v>
      </c>
      <c r="E6114" s="211" t="s">
        <v>10385</v>
      </c>
      <c r="F6114" s="211" t="s">
        <v>7196</v>
      </c>
    </row>
    <row r="6115" spans="1:6">
      <c r="A6115" s="211" t="s">
        <v>6166</v>
      </c>
      <c r="B6115" s="211">
        <v>7498</v>
      </c>
      <c r="C6115" s="211">
        <v>919</v>
      </c>
      <c r="D6115" s="211" t="s">
        <v>1255</v>
      </c>
      <c r="E6115" s="211" t="s">
        <v>6167</v>
      </c>
      <c r="F6115" s="211" t="s">
        <v>7435</v>
      </c>
    </row>
    <row r="6116" spans="1:6">
      <c r="A6116" s="211" t="s">
        <v>5195</v>
      </c>
      <c r="B6116" s="211">
        <v>4972</v>
      </c>
      <c r="C6116" s="211">
        <v>1430</v>
      </c>
      <c r="D6116" s="211" t="s">
        <v>1255</v>
      </c>
      <c r="E6116" s="211" t="s">
        <v>10385</v>
      </c>
      <c r="F6116" s="211" t="s">
        <v>7242</v>
      </c>
    </row>
    <row r="6117" spans="1:6">
      <c r="A6117" s="211" t="s">
        <v>5196</v>
      </c>
      <c r="B6117" s="211">
        <v>2621</v>
      </c>
      <c r="C6117" s="211">
        <v>1619</v>
      </c>
      <c r="D6117" s="211" t="s">
        <v>1255</v>
      </c>
      <c r="E6117" s="211" t="s">
        <v>10385</v>
      </c>
      <c r="F6117" s="211" t="s">
        <v>7867</v>
      </c>
    </row>
    <row r="6118" spans="1:6">
      <c r="A6118" s="211" t="s">
        <v>9986</v>
      </c>
      <c r="B6118" s="211">
        <v>8023</v>
      </c>
      <c r="C6118" s="211">
        <v>1398</v>
      </c>
      <c r="D6118" s="211" t="s">
        <v>1255</v>
      </c>
      <c r="E6118" s="211" t="s">
        <v>10385</v>
      </c>
      <c r="F6118" s="211" t="s">
        <v>7518</v>
      </c>
    </row>
    <row r="6119" spans="1:6">
      <c r="A6119" s="211" t="s">
        <v>8990</v>
      </c>
      <c r="B6119" s="211">
        <v>2819</v>
      </c>
      <c r="C6119" s="211">
        <v>1565</v>
      </c>
      <c r="D6119" s="211" t="s">
        <v>1255</v>
      </c>
      <c r="E6119" s="211" t="s">
        <v>10385</v>
      </c>
      <c r="F6119" s="211" t="s">
        <v>7510</v>
      </c>
    </row>
    <row r="6120" spans="1:6">
      <c r="A6120" s="211" t="s">
        <v>8991</v>
      </c>
      <c r="B6120" s="211">
        <v>6623</v>
      </c>
      <c r="C6120" s="211" t="s">
        <v>10385</v>
      </c>
      <c r="D6120" s="211" t="s">
        <v>1255</v>
      </c>
      <c r="E6120" s="211" t="s">
        <v>10385</v>
      </c>
      <c r="F6120" s="211" t="s">
        <v>7240</v>
      </c>
    </row>
    <row r="6121" spans="1:6">
      <c r="A6121" s="211" t="s">
        <v>2002</v>
      </c>
      <c r="B6121" s="211">
        <v>3645</v>
      </c>
      <c r="C6121" s="211">
        <v>768</v>
      </c>
      <c r="D6121" s="211" t="s">
        <v>1117</v>
      </c>
      <c r="E6121" s="211" t="s">
        <v>10385</v>
      </c>
      <c r="F6121" s="211" t="s">
        <v>7192</v>
      </c>
    </row>
    <row r="6122" spans="1:6">
      <c r="A6122" s="211" t="s">
        <v>2003</v>
      </c>
      <c r="B6122" s="211">
        <v>3069</v>
      </c>
      <c r="C6122" s="211">
        <v>976</v>
      </c>
      <c r="D6122" s="211" t="s">
        <v>1255</v>
      </c>
      <c r="E6122" s="211" t="s">
        <v>10385</v>
      </c>
      <c r="F6122" s="211" t="s">
        <v>7337</v>
      </c>
    </row>
    <row r="6123" spans="1:6">
      <c r="A6123" s="211" t="s">
        <v>8545</v>
      </c>
      <c r="B6123" s="211">
        <v>118</v>
      </c>
      <c r="C6123" s="211" t="s">
        <v>10385</v>
      </c>
      <c r="D6123" s="211" t="s">
        <v>1255</v>
      </c>
      <c r="E6123" s="211" t="s">
        <v>10385</v>
      </c>
      <c r="F6123" s="211" t="s">
        <v>7275</v>
      </c>
    </row>
    <row r="6124" spans="1:6">
      <c r="A6124" s="211" t="s">
        <v>2004</v>
      </c>
      <c r="B6124" s="211">
        <v>5528</v>
      </c>
      <c r="C6124" s="211">
        <v>1636</v>
      </c>
      <c r="D6124" s="211" t="s">
        <v>1255</v>
      </c>
      <c r="E6124" s="211" t="s">
        <v>7028</v>
      </c>
      <c r="F6124" s="211" t="s">
        <v>7356</v>
      </c>
    </row>
    <row r="6125" spans="1:6">
      <c r="A6125" s="211" t="s">
        <v>2005</v>
      </c>
      <c r="B6125" s="211">
        <v>4684</v>
      </c>
      <c r="C6125" s="211">
        <v>2093</v>
      </c>
      <c r="D6125" s="211" t="s">
        <v>1117</v>
      </c>
      <c r="E6125" s="211" t="s">
        <v>10385</v>
      </c>
      <c r="F6125" s="211" t="s">
        <v>7272</v>
      </c>
    </row>
    <row r="6126" spans="1:6">
      <c r="A6126" s="211" t="s">
        <v>5343</v>
      </c>
      <c r="B6126" s="211">
        <v>6682</v>
      </c>
      <c r="C6126" s="211">
        <v>975</v>
      </c>
      <c r="D6126" s="211" t="s">
        <v>1255</v>
      </c>
      <c r="E6126" s="211" t="s">
        <v>10385</v>
      </c>
      <c r="F6126" s="211" t="s">
        <v>7431</v>
      </c>
    </row>
    <row r="6127" spans="1:6">
      <c r="A6127" s="211" t="s">
        <v>8546</v>
      </c>
      <c r="B6127" s="211">
        <v>7768</v>
      </c>
      <c r="C6127" s="211" t="s">
        <v>10385</v>
      </c>
      <c r="D6127" s="211" t="s">
        <v>1255</v>
      </c>
      <c r="E6127" s="211" t="s">
        <v>10385</v>
      </c>
      <c r="F6127" s="211" t="s">
        <v>7581</v>
      </c>
    </row>
    <row r="6128" spans="1:6">
      <c r="A6128" s="211" t="s">
        <v>8547</v>
      </c>
      <c r="B6128" s="211">
        <v>1360</v>
      </c>
      <c r="C6128" s="211">
        <v>919</v>
      </c>
      <c r="D6128" s="211" t="s">
        <v>1255</v>
      </c>
      <c r="E6128" s="211" t="s">
        <v>10385</v>
      </c>
      <c r="F6128" s="211" t="s">
        <v>7274</v>
      </c>
    </row>
    <row r="6129" spans="1:6">
      <c r="A6129" s="211" t="s">
        <v>8548</v>
      </c>
      <c r="B6129" s="211">
        <v>3333</v>
      </c>
      <c r="C6129" s="211" t="s">
        <v>10385</v>
      </c>
      <c r="D6129" s="211" t="s">
        <v>1255</v>
      </c>
      <c r="E6129" s="211" t="s">
        <v>10385</v>
      </c>
      <c r="F6129" s="211" t="s">
        <v>7603</v>
      </c>
    </row>
    <row r="6130" spans="1:6">
      <c r="A6130" s="211" t="s">
        <v>2006</v>
      </c>
      <c r="B6130" s="211">
        <v>1662</v>
      </c>
      <c r="C6130" s="211">
        <v>1346</v>
      </c>
      <c r="D6130" s="211" t="s">
        <v>1255</v>
      </c>
      <c r="E6130" s="211" t="s">
        <v>10385</v>
      </c>
      <c r="F6130" s="211" t="s">
        <v>10341</v>
      </c>
    </row>
    <row r="6131" spans="1:6">
      <c r="A6131" s="211" t="s">
        <v>5197</v>
      </c>
      <c r="B6131" s="211">
        <v>6809</v>
      </c>
      <c r="C6131" s="211">
        <v>1098</v>
      </c>
      <c r="D6131" s="211" t="s">
        <v>1255</v>
      </c>
      <c r="E6131" s="211" t="s">
        <v>6168</v>
      </c>
      <c r="F6131" s="211" t="s">
        <v>7197</v>
      </c>
    </row>
    <row r="6132" spans="1:6">
      <c r="A6132" s="211" t="s">
        <v>2007</v>
      </c>
      <c r="B6132" s="211">
        <v>3145</v>
      </c>
      <c r="C6132" s="211">
        <v>993</v>
      </c>
      <c r="D6132" s="211" t="s">
        <v>1255</v>
      </c>
      <c r="E6132" s="211" t="s">
        <v>10385</v>
      </c>
      <c r="F6132" s="211" t="s">
        <v>7216</v>
      </c>
    </row>
    <row r="6133" spans="1:6">
      <c r="A6133" s="211" t="s">
        <v>2008</v>
      </c>
      <c r="B6133" s="211">
        <v>5024</v>
      </c>
      <c r="C6133" s="211">
        <v>954</v>
      </c>
      <c r="D6133" s="211" t="s">
        <v>1117</v>
      </c>
      <c r="E6133" s="211" t="s">
        <v>10385</v>
      </c>
      <c r="F6133" s="211" t="s">
        <v>7615</v>
      </c>
    </row>
    <row r="6134" spans="1:6">
      <c r="A6134" s="211" t="s">
        <v>2009</v>
      </c>
      <c r="B6134" s="211">
        <v>1955</v>
      </c>
      <c r="C6134" s="211">
        <v>1512</v>
      </c>
      <c r="D6134" s="211" t="s">
        <v>1255</v>
      </c>
      <c r="E6134" s="211" t="s">
        <v>10385</v>
      </c>
      <c r="F6134" s="211" t="s">
        <v>7250</v>
      </c>
    </row>
    <row r="6135" spans="1:6">
      <c r="A6135" s="211" t="s">
        <v>9987</v>
      </c>
      <c r="B6135" s="211">
        <v>8006</v>
      </c>
      <c r="C6135" s="211">
        <v>981</v>
      </c>
      <c r="D6135" s="211" t="s">
        <v>1255</v>
      </c>
      <c r="E6135" s="211" t="s">
        <v>10918</v>
      </c>
      <c r="F6135" s="211" t="s">
        <v>7965</v>
      </c>
    </row>
    <row r="6136" spans="1:6">
      <c r="A6136" s="211" t="s">
        <v>9988</v>
      </c>
      <c r="B6136" s="211">
        <v>8323</v>
      </c>
      <c r="C6136" s="211">
        <v>1363</v>
      </c>
      <c r="D6136" s="211" t="s">
        <v>1255</v>
      </c>
      <c r="E6136" s="211" t="s">
        <v>9989</v>
      </c>
      <c r="F6136" s="211" t="s">
        <v>9222</v>
      </c>
    </row>
    <row r="6137" spans="1:6">
      <c r="A6137" s="211" t="s">
        <v>10919</v>
      </c>
      <c r="B6137" s="211">
        <v>8804</v>
      </c>
      <c r="C6137" s="211">
        <v>1452</v>
      </c>
      <c r="D6137" s="211" t="s">
        <v>1117</v>
      </c>
      <c r="E6137" s="211" t="s">
        <v>10920</v>
      </c>
      <c r="F6137" s="211" t="s">
        <v>7307</v>
      </c>
    </row>
    <row r="6138" spans="1:6">
      <c r="A6138" s="211" t="s">
        <v>2010</v>
      </c>
      <c r="B6138" s="211">
        <v>2742</v>
      </c>
      <c r="C6138" s="211">
        <v>1305</v>
      </c>
      <c r="D6138" s="211" t="s">
        <v>1255</v>
      </c>
      <c r="E6138" s="211" t="s">
        <v>10385</v>
      </c>
      <c r="F6138" s="211" t="s">
        <v>7196</v>
      </c>
    </row>
    <row r="6139" spans="1:6">
      <c r="A6139" s="211" t="s">
        <v>8549</v>
      </c>
      <c r="B6139" s="211">
        <v>555</v>
      </c>
      <c r="C6139" s="211" t="s">
        <v>10385</v>
      </c>
      <c r="D6139" s="211" t="s">
        <v>1255</v>
      </c>
      <c r="E6139" s="211" t="s">
        <v>10385</v>
      </c>
      <c r="F6139" s="211" t="s">
        <v>7510</v>
      </c>
    </row>
    <row r="6140" spans="1:6">
      <c r="A6140" s="211" t="s">
        <v>8550</v>
      </c>
      <c r="B6140" s="211">
        <v>1056</v>
      </c>
      <c r="C6140" s="211" t="s">
        <v>10385</v>
      </c>
      <c r="D6140" s="211" t="s">
        <v>1255</v>
      </c>
      <c r="E6140" s="211" t="s">
        <v>10385</v>
      </c>
      <c r="F6140" s="211" t="s">
        <v>7376</v>
      </c>
    </row>
    <row r="6141" spans="1:6">
      <c r="A6141" s="211" t="s">
        <v>2011</v>
      </c>
      <c r="B6141" s="211">
        <v>5975</v>
      </c>
      <c r="C6141" s="211">
        <v>982</v>
      </c>
      <c r="D6141" s="211" t="s">
        <v>1255</v>
      </c>
      <c r="E6141" s="211" t="s">
        <v>10385</v>
      </c>
      <c r="F6141" s="211" t="s">
        <v>7330</v>
      </c>
    </row>
    <row r="6142" spans="1:6">
      <c r="A6142" s="211" t="s">
        <v>2012</v>
      </c>
      <c r="B6142" s="211">
        <v>2664</v>
      </c>
      <c r="C6142" s="211">
        <v>887</v>
      </c>
      <c r="D6142" s="211" t="s">
        <v>1255</v>
      </c>
      <c r="E6142" s="211" t="s">
        <v>10385</v>
      </c>
      <c r="F6142" s="211" t="s">
        <v>7320</v>
      </c>
    </row>
    <row r="6143" spans="1:6">
      <c r="A6143" s="211" t="s">
        <v>2013</v>
      </c>
      <c r="B6143" s="211">
        <v>3408</v>
      </c>
      <c r="C6143" s="211">
        <v>875</v>
      </c>
      <c r="D6143" s="211" t="s">
        <v>1255</v>
      </c>
      <c r="E6143" s="211" t="s">
        <v>10385</v>
      </c>
      <c r="F6143" s="211" t="s">
        <v>7297</v>
      </c>
    </row>
    <row r="6144" spans="1:6">
      <c r="A6144" s="211" t="s">
        <v>2014</v>
      </c>
      <c r="B6144" s="211">
        <v>5960</v>
      </c>
      <c r="C6144" s="211">
        <v>899</v>
      </c>
      <c r="D6144" s="211" t="s">
        <v>1255</v>
      </c>
      <c r="E6144" s="211" t="s">
        <v>10385</v>
      </c>
      <c r="F6144" s="211" t="s">
        <v>7233</v>
      </c>
    </row>
    <row r="6145" spans="1:6">
      <c r="A6145" s="211" t="s">
        <v>8992</v>
      </c>
      <c r="B6145" s="211">
        <v>3959</v>
      </c>
      <c r="C6145" s="211" t="s">
        <v>10385</v>
      </c>
      <c r="D6145" s="211" t="s">
        <v>1255</v>
      </c>
      <c r="E6145" s="211" t="s">
        <v>10385</v>
      </c>
      <c r="F6145" s="211" t="s">
        <v>7292</v>
      </c>
    </row>
    <row r="6146" spans="1:6">
      <c r="A6146" s="211" t="s">
        <v>8993</v>
      </c>
      <c r="B6146" s="211">
        <v>2748</v>
      </c>
      <c r="C6146" s="211">
        <v>1031</v>
      </c>
      <c r="D6146" s="211" t="s">
        <v>1255</v>
      </c>
      <c r="E6146" s="211" t="s">
        <v>10385</v>
      </c>
      <c r="F6146" s="211" t="s">
        <v>7257</v>
      </c>
    </row>
    <row r="6147" spans="1:6">
      <c r="A6147" s="211" t="s">
        <v>2015</v>
      </c>
      <c r="B6147" s="211">
        <v>4245</v>
      </c>
      <c r="C6147" s="211">
        <v>865</v>
      </c>
      <c r="D6147" s="211" t="s">
        <v>1117</v>
      </c>
      <c r="E6147" s="211" t="s">
        <v>10385</v>
      </c>
      <c r="F6147" s="211" t="s">
        <v>7593</v>
      </c>
    </row>
    <row r="6148" spans="1:6">
      <c r="A6148" s="211" t="s">
        <v>5198</v>
      </c>
      <c r="B6148" s="211">
        <v>6737</v>
      </c>
      <c r="C6148" s="211">
        <v>975</v>
      </c>
      <c r="D6148" s="211" t="s">
        <v>1255</v>
      </c>
      <c r="E6148" s="211" t="s">
        <v>10385</v>
      </c>
      <c r="F6148" s="211" t="s">
        <v>7258</v>
      </c>
    </row>
    <row r="6149" spans="1:6">
      <c r="A6149" s="211" t="s">
        <v>5199</v>
      </c>
      <c r="B6149" s="211">
        <v>6759</v>
      </c>
      <c r="C6149" s="211">
        <v>1102</v>
      </c>
      <c r="D6149" s="211" t="s">
        <v>1255</v>
      </c>
      <c r="E6149" s="211" t="s">
        <v>6169</v>
      </c>
      <c r="F6149" s="211" t="s">
        <v>7310</v>
      </c>
    </row>
    <row r="6150" spans="1:6">
      <c r="A6150" s="211" t="s">
        <v>2016</v>
      </c>
      <c r="B6150" s="211">
        <v>4728</v>
      </c>
      <c r="C6150" s="211">
        <v>955</v>
      </c>
      <c r="D6150" s="211" t="s">
        <v>1255</v>
      </c>
      <c r="E6150" s="211" t="s">
        <v>10385</v>
      </c>
      <c r="F6150" s="211" t="s">
        <v>7259</v>
      </c>
    </row>
    <row r="6151" spans="1:6">
      <c r="A6151" s="211" t="s">
        <v>8551</v>
      </c>
      <c r="B6151" s="211">
        <v>488</v>
      </c>
      <c r="C6151" s="211" t="s">
        <v>10385</v>
      </c>
      <c r="D6151" s="211" t="s">
        <v>1255</v>
      </c>
      <c r="E6151" s="211" t="s">
        <v>10385</v>
      </c>
      <c r="F6151" s="211" t="s">
        <v>7487</v>
      </c>
    </row>
    <row r="6152" spans="1:6">
      <c r="A6152" s="211" t="s">
        <v>7029</v>
      </c>
      <c r="B6152" s="211">
        <v>6365</v>
      </c>
      <c r="C6152" s="211">
        <v>1614</v>
      </c>
      <c r="D6152" s="211" t="s">
        <v>1255</v>
      </c>
      <c r="E6152" s="211" t="s">
        <v>6170</v>
      </c>
      <c r="F6152" s="211" t="s">
        <v>7384</v>
      </c>
    </row>
    <row r="6153" spans="1:6">
      <c r="A6153" s="211" t="s">
        <v>2017</v>
      </c>
      <c r="B6153" s="211">
        <v>1334</v>
      </c>
      <c r="C6153" s="211">
        <v>1207</v>
      </c>
      <c r="D6153" s="211" t="s">
        <v>1255</v>
      </c>
      <c r="E6153" s="211" t="s">
        <v>10385</v>
      </c>
      <c r="F6153" s="211" t="s">
        <v>7210</v>
      </c>
    </row>
    <row r="6154" spans="1:6">
      <c r="A6154" s="211" t="s">
        <v>8552</v>
      </c>
      <c r="B6154" s="211">
        <v>2477</v>
      </c>
      <c r="C6154" s="211" t="s">
        <v>10385</v>
      </c>
      <c r="D6154" s="211" t="s">
        <v>1255</v>
      </c>
      <c r="E6154" s="211" t="s">
        <v>10385</v>
      </c>
      <c r="F6154" s="211" t="s">
        <v>7210</v>
      </c>
    </row>
    <row r="6155" spans="1:6">
      <c r="A6155" s="211" t="s">
        <v>2018</v>
      </c>
      <c r="B6155" s="211">
        <v>3393</v>
      </c>
      <c r="C6155" s="211">
        <v>1184</v>
      </c>
      <c r="D6155" s="211" t="s">
        <v>1255</v>
      </c>
      <c r="E6155" s="211" t="s">
        <v>10385</v>
      </c>
      <c r="F6155" s="211" t="s">
        <v>7196</v>
      </c>
    </row>
    <row r="6156" spans="1:6">
      <c r="A6156" s="211" t="s">
        <v>4871</v>
      </c>
      <c r="B6156" s="211">
        <v>2766</v>
      </c>
      <c r="C6156" s="211">
        <v>1550</v>
      </c>
      <c r="D6156" s="211" t="s">
        <v>1255</v>
      </c>
      <c r="E6156" s="211" t="s">
        <v>3088</v>
      </c>
      <c r="F6156" s="211" t="s">
        <v>7231</v>
      </c>
    </row>
    <row r="6157" spans="1:6">
      <c r="A6157" s="211" t="s">
        <v>3045</v>
      </c>
      <c r="B6157" s="211">
        <v>813</v>
      </c>
      <c r="C6157" s="211">
        <v>1198</v>
      </c>
      <c r="D6157" s="211" t="s">
        <v>1255</v>
      </c>
      <c r="E6157" s="211" t="s">
        <v>10385</v>
      </c>
      <c r="F6157" s="211" t="s">
        <v>7275</v>
      </c>
    </row>
    <row r="6158" spans="1:6">
      <c r="A6158" s="211" t="s">
        <v>8553</v>
      </c>
      <c r="B6158" s="211">
        <v>102</v>
      </c>
      <c r="C6158" s="211" t="s">
        <v>10385</v>
      </c>
      <c r="D6158" s="211" t="s">
        <v>1255</v>
      </c>
      <c r="E6158" s="211" t="s">
        <v>10385</v>
      </c>
      <c r="F6158" s="211" t="s">
        <v>7337</v>
      </c>
    </row>
    <row r="6159" spans="1:6">
      <c r="A6159" s="211" t="s">
        <v>2019</v>
      </c>
      <c r="B6159" s="211">
        <v>4922</v>
      </c>
      <c r="C6159" s="211">
        <v>1230</v>
      </c>
      <c r="D6159" s="211" t="s">
        <v>1255</v>
      </c>
      <c r="E6159" s="211" t="s">
        <v>7030</v>
      </c>
      <c r="F6159" s="211" t="s">
        <v>7453</v>
      </c>
    </row>
    <row r="6160" spans="1:6">
      <c r="A6160" s="211" t="s">
        <v>6171</v>
      </c>
      <c r="B6160" s="211">
        <v>7446</v>
      </c>
      <c r="C6160" s="211">
        <v>1052</v>
      </c>
      <c r="D6160" s="211" t="s">
        <v>1255</v>
      </c>
      <c r="E6160" s="211" t="s">
        <v>10385</v>
      </c>
      <c r="F6160" s="211" t="s">
        <v>7228</v>
      </c>
    </row>
    <row r="6161" spans="1:6">
      <c r="A6161" s="211" t="s">
        <v>8554</v>
      </c>
      <c r="B6161" s="211">
        <v>276</v>
      </c>
      <c r="C6161" s="211" t="s">
        <v>10385</v>
      </c>
      <c r="D6161" s="211" t="s">
        <v>1255</v>
      </c>
      <c r="E6161" s="211" t="s">
        <v>10385</v>
      </c>
      <c r="F6161" s="211" t="s">
        <v>7270</v>
      </c>
    </row>
    <row r="6162" spans="1:6">
      <c r="A6162" s="211" t="s">
        <v>2020</v>
      </c>
      <c r="B6162" s="211">
        <v>4678</v>
      </c>
      <c r="C6162" s="211">
        <v>890</v>
      </c>
      <c r="D6162" s="211" t="s">
        <v>1255</v>
      </c>
      <c r="E6162" s="211" t="s">
        <v>10385</v>
      </c>
      <c r="F6162" s="211" t="s">
        <v>7453</v>
      </c>
    </row>
    <row r="6163" spans="1:6">
      <c r="A6163" s="211" t="s">
        <v>8555</v>
      </c>
      <c r="B6163" s="211">
        <v>9</v>
      </c>
      <c r="C6163" s="211" t="s">
        <v>10385</v>
      </c>
      <c r="D6163" s="211" t="s">
        <v>1255</v>
      </c>
      <c r="E6163" s="211" t="s">
        <v>10385</v>
      </c>
      <c r="F6163" s="211" t="s">
        <v>7356</v>
      </c>
    </row>
    <row r="6164" spans="1:6">
      <c r="A6164" s="211" t="s">
        <v>4887</v>
      </c>
      <c r="B6164" s="211">
        <v>5406</v>
      </c>
      <c r="C6164" s="211">
        <v>349</v>
      </c>
      <c r="D6164" s="211" t="s">
        <v>1117</v>
      </c>
      <c r="E6164" s="211" t="s">
        <v>10385</v>
      </c>
      <c r="F6164" s="211" t="s">
        <v>7742</v>
      </c>
    </row>
    <row r="6165" spans="1:6">
      <c r="A6165" s="211" t="s">
        <v>8556</v>
      </c>
      <c r="B6165" s="211">
        <v>720</v>
      </c>
      <c r="C6165" s="211" t="s">
        <v>10385</v>
      </c>
      <c r="D6165" s="211" t="s">
        <v>1255</v>
      </c>
      <c r="E6165" s="211" t="s">
        <v>10385</v>
      </c>
      <c r="F6165" s="211" t="s">
        <v>7382</v>
      </c>
    </row>
    <row r="6166" spans="1:6">
      <c r="A6166" s="211" t="s">
        <v>10921</v>
      </c>
      <c r="B6166" s="211">
        <v>8718</v>
      </c>
      <c r="C6166" s="211">
        <v>1229</v>
      </c>
      <c r="D6166" s="211" t="s">
        <v>1255</v>
      </c>
      <c r="E6166" s="211" t="s">
        <v>10922</v>
      </c>
      <c r="F6166" s="211" t="s">
        <v>7325</v>
      </c>
    </row>
    <row r="6167" spans="1:6">
      <c r="A6167" s="211" t="s">
        <v>2021</v>
      </c>
      <c r="B6167" s="211">
        <v>5940</v>
      </c>
      <c r="C6167" s="211">
        <v>873</v>
      </c>
      <c r="D6167" s="211" t="s">
        <v>1255</v>
      </c>
      <c r="E6167" s="211" t="s">
        <v>10385</v>
      </c>
      <c r="F6167" s="211" t="s">
        <v>7335</v>
      </c>
    </row>
    <row r="6168" spans="1:6">
      <c r="A6168" s="211" t="s">
        <v>10370</v>
      </c>
      <c r="B6168" s="211">
        <v>1257</v>
      </c>
      <c r="C6168" s="211" t="s">
        <v>10385</v>
      </c>
      <c r="D6168" s="211" t="s">
        <v>1255</v>
      </c>
      <c r="E6168" s="211" t="s">
        <v>10385</v>
      </c>
      <c r="F6168" s="211" t="s">
        <v>7356</v>
      </c>
    </row>
    <row r="6169" spans="1:6">
      <c r="A6169" s="211" t="s">
        <v>3031</v>
      </c>
      <c r="B6169" s="211">
        <v>1476</v>
      </c>
      <c r="C6169" s="211">
        <v>1092</v>
      </c>
      <c r="D6169" s="211" t="s">
        <v>1255</v>
      </c>
      <c r="E6169" s="211" t="s">
        <v>10385</v>
      </c>
      <c r="F6169" s="211" t="s">
        <v>7384</v>
      </c>
    </row>
    <row r="6170" spans="1:6">
      <c r="A6170" s="211" t="s">
        <v>6172</v>
      </c>
      <c r="B6170" s="211">
        <v>7105</v>
      </c>
      <c r="C6170" s="211">
        <v>1952</v>
      </c>
      <c r="D6170" s="211" t="s">
        <v>1255</v>
      </c>
      <c r="E6170" s="211" t="s">
        <v>10385</v>
      </c>
      <c r="F6170" s="211" t="s">
        <v>7299</v>
      </c>
    </row>
    <row r="6171" spans="1:6">
      <c r="A6171" s="211" t="s">
        <v>2022</v>
      </c>
      <c r="B6171" s="211">
        <v>3400</v>
      </c>
      <c r="C6171" s="211">
        <v>1250</v>
      </c>
      <c r="D6171" s="211" t="s">
        <v>1255</v>
      </c>
      <c r="E6171" s="211" t="s">
        <v>6173</v>
      </c>
      <c r="F6171" s="211" t="s">
        <v>7646</v>
      </c>
    </row>
    <row r="6172" spans="1:6">
      <c r="A6172" s="211" t="s">
        <v>2873</v>
      </c>
      <c r="B6172" s="211">
        <v>3854</v>
      </c>
      <c r="C6172" s="211">
        <v>795</v>
      </c>
      <c r="D6172" s="211" t="s">
        <v>1117</v>
      </c>
      <c r="E6172" s="211" t="s">
        <v>10385</v>
      </c>
      <c r="F6172" s="211" t="s">
        <v>7263</v>
      </c>
    </row>
    <row r="6173" spans="1:6">
      <c r="A6173" s="211" t="s">
        <v>2023</v>
      </c>
      <c r="B6173" s="211">
        <v>3895</v>
      </c>
      <c r="C6173" s="211">
        <v>1163</v>
      </c>
      <c r="D6173" s="211" t="s">
        <v>1255</v>
      </c>
      <c r="E6173" s="211" t="s">
        <v>10385</v>
      </c>
      <c r="F6173" s="211" t="s">
        <v>7760</v>
      </c>
    </row>
    <row r="6174" spans="1:6">
      <c r="A6174" s="211" t="s">
        <v>2024</v>
      </c>
      <c r="B6174" s="211">
        <v>3177</v>
      </c>
      <c r="C6174" s="211">
        <v>977</v>
      </c>
      <c r="D6174" s="211" t="s">
        <v>1255</v>
      </c>
      <c r="E6174" s="211" t="s">
        <v>10385</v>
      </c>
      <c r="F6174" s="211" t="s">
        <v>7874</v>
      </c>
    </row>
    <row r="6175" spans="1:6">
      <c r="A6175" s="211" t="s">
        <v>8557</v>
      </c>
      <c r="B6175" s="211">
        <v>4136</v>
      </c>
      <c r="C6175" s="211" t="s">
        <v>10385</v>
      </c>
      <c r="D6175" s="211" t="s">
        <v>1255</v>
      </c>
      <c r="E6175" s="211" t="s">
        <v>10385</v>
      </c>
      <c r="F6175" s="211" t="s">
        <v>7272</v>
      </c>
    </row>
    <row r="6176" spans="1:6">
      <c r="A6176" s="211" t="s">
        <v>3025</v>
      </c>
      <c r="B6176" s="211">
        <v>1529</v>
      </c>
      <c r="C6176" s="211">
        <v>2374</v>
      </c>
      <c r="D6176" s="211" t="s">
        <v>1255</v>
      </c>
      <c r="E6176" s="211" t="s">
        <v>10385</v>
      </c>
      <c r="F6176" s="211" t="s">
        <v>7267</v>
      </c>
    </row>
    <row r="6177" spans="1:6">
      <c r="A6177" s="211" t="s">
        <v>2920</v>
      </c>
      <c r="B6177" s="211">
        <v>2221</v>
      </c>
      <c r="C6177" s="211">
        <v>1123</v>
      </c>
      <c r="D6177" s="211" t="s">
        <v>1255</v>
      </c>
      <c r="E6177" s="211" t="s">
        <v>10385</v>
      </c>
      <c r="F6177" s="211" t="s">
        <v>7263</v>
      </c>
    </row>
    <row r="6178" spans="1:6">
      <c r="A6178" s="211" t="s">
        <v>2932</v>
      </c>
      <c r="B6178" s="211">
        <v>2505</v>
      </c>
      <c r="C6178" s="211">
        <v>844</v>
      </c>
      <c r="D6178" s="211" t="s">
        <v>1255</v>
      </c>
      <c r="E6178" s="211" t="s">
        <v>10385</v>
      </c>
      <c r="F6178" s="211" t="s">
        <v>7203</v>
      </c>
    </row>
    <row r="6179" spans="1:6">
      <c r="A6179" s="211" t="s">
        <v>2025</v>
      </c>
      <c r="B6179" s="211">
        <v>1682</v>
      </c>
      <c r="C6179" s="211">
        <v>1136</v>
      </c>
      <c r="D6179" s="211" t="s">
        <v>1255</v>
      </c>
      <c r="E6179" s="211" t="s">
        <v>10385</v>
      </c>
      <c r="F6179" s="211" t="s">
        <v>7162</v>
      </c>
    </row>
    <row r="6180" spans="1:6">
      <c r="A6180" s="211" t="s">
        <v>4522</v>
      </c>
      <c r="B6180" s="211">
        <v>6567</v>
      </c>
      <c r="C6180" s="211">
        <v>950</v>
      </c>
      <c r="D6180" s="211" t="s">
        <v>1255</v>
      </c>
      <c r="E6180" s="211" t="s">
        <v>10385</v>
      </c>
      <c r="F6180" s="211" t="s">
        <v>7197</v>
      </c>
    </row>
    <row r="6181" spans="1:6">
      <c r="A6181" s="211" t="s">
        <v>2026</v>
      </c>
      <c r="B6181" s="211">
        <v>5708</v>
      </c>
      <c r="C6181" s="211">
        <v>1506</v>
      </c>
      <c r="D6181" s="211" t="s">
        <v>1117</v>
      </c>
      <c r="E6181" s="211" t="s">
        <v>10385</v>
      </c>
      <c r="F6181" s="211" t="s">
        <v>7208</v>
      </c>
    </row>
    <row r="6182" spans="1:6">
      <c r="A6182" s="211" t="s">
        <v>2027</v>
      </c>
      <c r="B6182" s="211">
        <v>5889</v>
      </c>
      <c r="C6182" s="211">
        <v>2041</v>
      </c>
      <c r="D6182" s="211" t="s">
        <v>1255</v>
      </c>
      <c r="E6182" s="211" t="s">
        <v>10385</v>
      </c>
      <c r="F6182" s="211" t="s">
        <v>7267</v>
      </c>
    </row>
    <row r="6183" spans="1:6">
      <c r="A6183" s="211" t="s">
        <v>2028</v>
      </c>
      <c r="B6183" s="211">
        <v>3903</v>
      </c>
      <c r="C6183" s="211">
        <v>1195</v>
      </c>
      <c r="D6183" s="211" t="s">
        <v>1255</v>
      </c>
      <c r="E6183" s="211" t="s">
        <v>10385</v>
      </c>
      <c r="F6183" s="211" t="s">
        <v>7736</v>
      </c>
    </row>
    <row r="6184" spans="1:6">
      <c r="A6184" s="211" t="s">
        <v>10371</v>
      </c>
      <c r="B6184" s="211">
        <v>1211</v>
      </c>
      <c r="C6184" s="211" t="s">
        <v>10385</v>
      </c>
      <c r="D6184" s="211" t="s">
        <v>1255</v>
      </c>
      <c r="E6184" s="211" t="s">
        <v>10385</v>
      </c>
      <c r="F6184" s="211" t="s">
        <v>7257</v>
      </c>
    </row>
    <row r="6185" spans="1:6">
      <c r="A6185" s="211" t="s">
        <v>8558</v>
      </c>
      <c r="B6185" s="211">
        <v>136</v>
      </c>
      <c r="C6185" s="211" t="s">
        <v>10385</v>
      </c>
      <c r="D6185" s="211" t="s">
        <v>1255</v>
      </c>
      <c r="E6185" s="211" t="s">
        <v>10385</v>
      </c>
      <c r="F6185" s="211" t="s">
        <v>7232</v>
      </c>
    </row>
    <row r="6186" spans="1:6">
      <c r="A6186" s="211" t="s">
        <v>3066</v>
      </c>
      <c r="B6186" s="211">
        <v>6271</v>
      </c>
      <c r="C6186" s="211">
        <v>419</v>
      </c>
      <c r="D6186" s="211" t="s">
        <v>1255</v>
      </c>
      <c r="E6186" s="211" t="s">
        <v>10385</v>
      </c>
      <c r="F6186" s="211" t="s">
        <v>9024</v>
      </c>
    </row>
    <row r="6187" spans="1:6">
      <c r="A6187" s="211" t="s">
        <v>9990</v>
      </c>
      <c r="B6187" s="211">
        <v>8172</v>
      </c>
      <c r="C6187" s="211">
        <v>941</v>
      </c>
      <c r="D6187" s="211" t="s">
        <v>1117</v>
      </c>
      <c r="E6187" s="211" t="s">
        <v>9991</v>
      </c>
      <c r="F6187" s="211" t="s">
        <v>7373</v>
      </c>
    </row>
    <row r="6188" spans="1:6">
      <c r="A6188" s="211" t="s">
        <v>2915</v>
      </c>
      <c r="B6188" s="211">
        <v>3182</v>
      </c>
      <c r="C6188" s="211">
        <v>1532</v>
      </c>
      <c r="D6188" s="211" t="s">
        <v>1255</v>
      </c>
      <c r="E6188" s="211" t="s">
        <v>10385</v>
      </c>
      <c r="F6188" s="211" t="s">
        <v>7322</v>
      </c>
    </row>
    <row r="6189" spans="1:6">
      <c r="A6189" s="211" t="s">
        <v>2029</v>
      </c>
      <c r="B6189" s="211">
        <v>4085</v>
      </c>
      <c r="C6189" s="211">
        <v>746</v>
      </c>
      <c r="D6189" s="211" t="s">
        <v>1255</v>
      </c>
      <c r="E6189" s="211" t="s">
        <v>10385</v>
      </c>
      <c r="F6189" s="211" t="s">
        <v>7323</v>
      </c>
    </row>
    <row r="6190" spans="1:6">
      <c r="A6190" s="211" t="s">
        <v>9992</v>
      </c>
      <c r="B6190" s="211">
        <v>7977</v>
      </c>
      <c r="C6190" s="211">
        <v>1001</v>
      </c>
      <c r="D6190" s="211" t="s">
        <v>1255</v>
      </c>
      <c r="E6190" s="211" t="s">
        <v>9993</v>
      </c>
      <c r="F6190" s="211" t="s">
        <v>7453</v>
      </c>
    </row>
    <row r="6191" spans="1:6">
      <c r="A6191" s="211" t="s">
        <v>7031</v>
      </c>
      <c r="B6191" s="211">
        <v>7739</v>
      </c>
      <c r="C6191" s="211">
        <v>1883</v>
      </c>
      <c r="D6191" s="211" t="s">
        <v>1255</v>
      </c>
      <c r="E6191" s="211" t="s">
        <v>7032</v>
      </c>
      <c r="F6191" s="211" t="s">
        <v>7556</v>
      </c>
    </row>
    <row r="6192" spans="1:6">
      <c r="A6192" s="211" t="s">
        <v>2030</v>
      </c>
      <c r="B6192" s="211">
        <v>1079</v>
      </c>
      <c r="C6192" s="211">
        <v>1530</v>
      </c>
      <c r="D6192" s="211" t="s">
        <v>1255</v>
      </c>
      <c r="E6192" s="211" t="s">
        <v>10385</v>
      </c>
      <c r="F6192" s="211" t="s">
        <v>7232</v>
      </c>
    </row>
    <row r="6193" spans="1:6">
      <c r="A6193" s="211" t="s">
        <v>2031</v>
      </c>
      <c r="B6193" s="211">
        <v>3537</v>
      </c>
      <c r="C6193" s="211">
        <v>925</v>
      </c>
      <c r="D6193" s="211" t="s">
        <v>1255</v>
      </c>
      <c r="E6193" s="211" t="s">
        <v>10385</v>
      </c>
      <c r="F6193" s="211" t="s">
        <v>7171</v>
      </c>
    </row>
    <row r="6194" spans="1:6">
      <c r="A6194" s="211" t="s">
        <v>8559</v>
      </c>
      <c r="B6194" s="211">
        <v>267</v>
      </c>
      <c r="C6194" s="211" t="s">
        <v>10385</v>
      </c>
      <c r="D6194" s="211" t="s">
        <v>1255</v>
      </c>
      <c r="E6194" s="211" t="s">
        <v>10385</v>
      </c>
      <c r="F6194" s="211" t="s">
        <v>7242</v>
      </c>
    </row>
    <row r="6195" spans="1:6">
      <c r="A6195" s="211" t="s">
        <v>8560</v>
      </c>
      <c r="B6195" s="211">
        <v>345</v>
      </c>
      <c r="C6195" s="211" t="s">
        <v>10385</v>
      </c>
      <c r="D6195" s="211" t="s">
        <v>1255</v>
      </c>
      <c r="E6195" s="211" t="s">
        <v>10385</v>
      </c>
      <c r="F6195" s="211" t="s">
        <v>7210</v>
      </c>
    </row>
    <row r="6196" spans="1:6">
      <c r="A6196" s="211" t="s">
        <v>10372</v>
      </c>
      <c r="B6196" s="211">
        <v>1220</v>
      </c>
      <c r="C6196" s="211" t="s">
        <v>10385</v>
      </c>
      <c r="D6196" s="211" t="s">
        <v>1255</v>
      </c>
      <c r="E6196" s="211" t="s">
        <v>10385</v>
      </c>
      <c r="F6196" s="211" t="s">
        <v>7231</v>
      </c>
    </row>
    <row r="6197" spans="1:6">
      <c r="A6197" s="211" t="s">
        <v>2032</v>
      </c>
      <c r="B6197" s="211">
        <v>2597</v>
      </c>
      <c r="C6197" s="211">
        <v>1042</v>
      </c>
      <c r="D6197" s="211" t="s">
        <v>1255</v>
      </c>
      <c r="E6197" s="211" t="s">
        <v>10385</v>
      </c>
      <c r="F6197" s="211" t="s">
        <v>7213</v>
      </c>
    </row>
    <row r="6198" spans="1:6">
      <c r="A6198" s="211" t="s">
        <v>5200</v>
      </c>
      <c r="B6198" s="211">
        <v>6932</v>
      </c>
      <c r="C6198" s="211">
        <v>1225</v>
      </c>
      <c r="D6198" s="211" t="s">
        <v>1255</v>
      </c>
      <c r="E6198" s="211" t="s">
        <v>10385</v>
      </c>
      <c r="F6198" s="211" t="s">
        <v>7241</v>
      </c>
    </row>
    <row r="6199" spans="1:6">
      <c r="A6199" s="211" t="s">
        <v>2033</v>
      </c>
      <c r="B6199" s="211">
        <v>1498</v>
      </c>
      <c r="C6199" s="211">
        <v>1998</v>
      </c>
      <c r="D6199" s="211" t="s">
        <v>1117</v>
      </c>
      <c r="E6199" s="211" t="s">
        <v>10385</v>
      </c>
      <c r="F6199" s="211" t="s">
        <v>7208</v>
      </c>
    </row>
    <row r="6200" spans="1:6">
      <c r="A6200" s="211" t="s">
        <v>2034</v>
      </c>
      <c r="B6200" s="211">
        <v>4989</v>
      </c>
      <c r="C6200" s="211">
        <v>981</v>
      </c>
      <c r="D6200" s="211" t="s">
        <v>1255</v>
      </c>
      <c r="E6200" s="211" t="s">
        <v>10385</v>
      </c>
      <c r="F6200" s="211" t="s">
        <v>7479</v>
      </c>
    </row>
    <row r="6201" spans="1:6">
      <c r="A6201" s="211" t="s">
        <v>2035</v>
      </c>
      <c r="B6201" s="211">
        <v>5633</v>
      </c>
      <c r="C6201" s="211">
        <v>1193</v>
      </c>
      <c r="D6201" s="211" t="s">
        <v>1255</v>
      </c>
      <c r="E6201" s="211" t="s">
        <v>10385</v>
      </c>
      <c r="F6201" s="211" t="s">
        <v>7186</v>
      </c>
    </row>
    <row r="6202" spans="1:6">
      <c r="A6202" s="211" t="s">
        <v>2036</v>
      </c>
      <c r="B6202" s="211">
        <v>5924</v>
      </c>
      <c r="C6202" s="211">
        <v>1127</v>
      </c>
      <c r="D6202" s="211" t="s">
        <v>1255</v>
      </c>
      <c r="E6202" s="211" t="s">
        <v>10385</v>
      </c>
      <c r="F6202" s="211" t="s">
        <v>7285</v>
      </c>
    </row>
    <row r="6203" spans="1:6">
      <c r="A6203" s="211" t="s">
        <v>2037</v>
      </c>
      <c r="B6203" s="211">
        <v>202</v>
      </c>
      <c r="C6203" s="211">
        <v>1752</v>
      </c>
      <c r="D6203" s="211" t="s">
        <v>1117</v>
      </c>
      <c r="E6203" s="211" t="s">
        <v>10385</v>
      </c>
      <c r="F6203" s="211" t="s">
        <v>7272</v>
      </c>
    </row>
    <row r="6204" spans="1:6">
      <c r="A6204" s="211" t="s">
        <v>2038</v>
      </c>
      <c r="B6204" s="211">
        <v>3319</v>
      </c>
      <c r="C6204" s="211">
        <v>885</v>
      </c>
      <c r="D6204" s="211" t="s">
        <v>1255</v>
      </c>
      <c r="E6204" s="211" t="s">
        <v>10385</v>
      </c>
      <c r="F6204" s="211" t="s">
        <v>7195</v>
      </c>
    </row>
    <row r="6205" spans="1:6">
      <c r="A6205" s="211" t="s">
        <v>10923</v>
      </c>
      <c r="B6205" s="211">
        <v>8733</v>
      </c>
      <c r="C6205" s="211">
        <v>1054</v>
      </c>
      <c r="D6205" s="211" t="s">
        <v>1255</v>
      </c>
      <c r="E6205" s="211" t="s">
        <v>10924</v>
      </c>
      <c r="F6205" s="211" t="s">
        <v>7344</v>
      </c>
    </row>
    <row r="6206" spans="1:6">
      <c r="A6206" s="211" t="s">
        <v>2039</v>
      </c>
      <c r="B6206" s="211">
        <v>3900</v>
      </c>
      <c r="C6206" s="211">
        <v>879</v>
      </c>
      <c r="D6206" s="211" t="s">
        <v>1255</v>
      </c>
      <c r="E6206" s="211" t="s">
        <v>10385</v>
      </c>
      <c r="F6206" s="211" t="s">
        <v>7248</v>
      </c>
    </row>
    <row r="6207" spans="1:6">
      <c r="A6207" s="211" t="s">
        <v>2040</v>
      </c>
      <c r="B6207" s="211">
        <v>5982</v>
      </c>
      <c r="C6207" s="211">
        <v>1703</v>
      </c>
      <c r="D6207" s="211" t="s">
        <v>1255</v>
      </c>
      <c r="E6207" s="211" t="s">
        <v>10925</v>
      </c>
      <c r="F6207" s="211" t="s">
        <v>7383</v>
      </c>
    </row>
    <row r="6208" spans="1:6">
      <c r="A6208" s="211" t="s">
        <v>2041</v>
      </c>
      <c r="B6208" s="211">
        <v>2124</v>
      </c>
      <c r="C6208" s="211">
        <v>1144</v>
      </c>
      <c r="D6208" s="211" t="s">
        <v>1255</v>
      </c>
      <c r="E6208" s="211" t="s">
        <v>10385</v>
      </c>
      <c r="F6208" s="211" t="s">
        <v>7171</v>
      </c>
    </row>
    <row r="6209" spans="1:6">
      <c r="A6209" s="211" t="s">
        <v>2042</v>
      </c>
      <c r="B6209" s="211">
        <v>1168</v>
      </c>
      <c r="C6209" s="211">
        <v>1095</v>
      </c>
      <c r="D6209" s="211" t="s">
        <v>1255</v>
      </c>
      <c r="E6209" s="211" t="s">
        <v>10385</v>
      </c>
      <c r="F6209" s="211" t="s">
        <v>7243</v>
      </c>
    </row>
    <row r="6210" spans="1:6">
      <c r="A6210" s="211" t="s">
        <v>2993</v>
      </c>
      <c r="B6210" s="211">
        <v>1456</v>
      </c>
      <c r="C6210" s="211">
        <v>1745</v>
      </c>
      <c r="D6210" s="211" t="s">
        <v>1255</v>
      </c>
      <c r="E6210" s="211" t="s">
        <v>10385</v>
      </c>
      <c r="F6210" s="211" t="s">
        <v>7384</v>
      </c>
    </row>
    <row r="6211" spans="1:6">
      <c r="A6211" s="211" t="s">
        <v>2043</v>
      </c>
      <c r="B6211" s="211">
        <v>3759</v>
      </c>
      <c r="C6211" s="211">
        <v>1951</v>
      </c>
      <c r="D6211" s="211" t="s">
        <v>1255</v>
      </c>
      <c r="E6211" s="211" t="s">
        <v>10385</v>
      </c>
      <c r="F6211" s="211" t="s">
        <v>7526</v>
      </c>
    </row>
    <row r="6212" spans="1:6">
      <c r="A6212" s="211" t="s">
        <v>4523</v>
      </c>
      <c r="B6212" s="211">
        <v>6563</v>
      </c>
      <c r="C6212" s="211">
        <v>975</v>
      </c>
      <c r="D6212" s="211" t="s">
        <v>1255</v>
      </c>
      <c r="E6212" s="211" t="s">
        <v>9994</v>
      </c>
      <c r="F6212" s="211" t="s">
        <v>7197</v>
      </c>
    </row>
    <row r="6213" spans="1:6">
      <c r="A6213" s="211" t="s">
        <v>2044</v>
      </c>
      <c r="B6213" s="211">
        <v>3411</v>
      </c>
      <c r="C6213" s="211">
        <v>1531</v>
      </c>
      <c r="D6213" s="211" t="s">
        <v>1255</v>
      </c>
      <c r="E6213" s="211" t="s">
        <v>10385</v>
      </c>
      <c r="F6213" s="211" t="s">
        <v>7284</v>
      </c>
    </row>
    <row r="6214" spans="1:6">
      <c r="A6214" s="211" t="s">
        <v>2045</v>
      </c>
      <c r="B6214" s="211">
        <v>3273</v>
      </c>
      <c r="C6214" s="211">
        <v>2060</v>
      </c>
      <c r="D6214" s="211" t="s">
        <v>1255</v>
      </c>
      <c r="E6214" s="211" t="s">
        <v>10385</v>
      </c>
      <c r="F6214" s="211" t="s">
        <v>7167</v>
      </c>
    </row>
    <row r="6215" spans="1:6">
      <c r="A6215" s="211" t="s">
        <v>2046</v>
      </c>
      <c r="B6215" s="211">
        <v>5297</v>
      </c>
      <c r="C6215" s="211">
        <v>1029</v>
      </c>
      <c r="D6215" s="211" t="s">
        <v>1255</v>
      </c>
      <c r="E6215" s="211" t="s">
        <v>10385</v>
      </c>
      <c r="F6215" s="211" t="s">
        <v>7189</v>
      </c>
    </row>
    <row r="6216" spans="1:6">
      <c r="A6216" s="211" t="s">
        <v>8561</v>
      </c>
      <c r="B6216" s="211">
        <v>722</v>
      </c>
      <c r="C6216" s="211" t="s">
        <v>10385</v>
      </c>
      <c r="D6216" s="211" t="s">
        <v>1255</v>
      </c>
      <c r="E6216" s="211" t="s">
        <v>10385</v>
      </c>
      <c r="F6216" s="211" t="s">
        <v>7285</v>
      </c>
    </row>
    <row r="6217" spans="1:6">
      <c r="A6217" s="211" t="s">
        <v>2047</v>
      </c>
      <c r="B6217" s="211">
        <v>5533</v>
      </c>
      <c r="C6217" s="211">
        <v>608</v>
      </c>
      <c r="D6217" s="211" t="s">
        <v>1117</v>
      </c>
      <c r="E6217" s="211" t="s">
        <v>10385</v>
      </c>
      <c r="F6217" s="211" t="s">
        <v>7223</v>
      </c>
    </row>
    <row r="6218" spans="1:6">
      <c r="A6218" s="211" t="s">
        <v>4705</v>
      </c>
      <c r="B6218" s="211">
        <v>6367</v>
      </c>
      <c r="C6218" s="211">
        <v>1814</v>
      </c>
      <c r="D6218" s="211" t="s">
        <v>1255</v>
      </c>
      <c r="E6218" s="211" t="s">
        <v>10385</v>
      </c>
      <c r="F6218" s="211" t="s">
        <v>7414</v>
      </c>
    </row>
    <row r="6219" spans="1:6">
      <c r="A6219" s="211" t="s">
        <v>2048</v>
      </c>
      <c r="B6219" s="211">
        <v>4307</v>
      </c>
      <c r="C6219" s="211">
        <v>808</v>
      </c>
      <c r="D6219" s="211" t="s">
        <v>1255</v>
      </c>
      <c r="E6219" s="211" t="s">
        <v>10385</v>
      </c>
      <c r="F6219" s="211" t="s">
        <v>7312</v>
      </c>
    </row>
    <row r="6220" spans="1:6">
      <c r="A6220" s="211" t="s">
        <v>8562</v>
      </c>
      <c r="B6220" s="211">
        <v>549</v>
      </c>
      <c r="C6220" s="211" t="s">
        <v>10385</v>
      </c>
      <c r="D6220" s="211" t="s">
        <v>1255</v>
      </c>
      <c r="E6220" s="211" t="s">
        <v>10385</v>
      </c>
      <c r="F6220" s="211" t="s">
        <v>7791</v>
      </c>
    </row>
    <row r="6221" spans="1:6">
      <c r="A6221" s="211" t="s">
        <v>9995</v>
      </c>
      <c r="B6221" s="211">
        <v>8311</v>
      </c>
      <c r="C6221" s="211">
        <v>2136</v>
      </c>
      <c r="D6221" s="211" t="s">
        <v>1255</v>
      </c>
      <c r="E6221" s="211" t="s">
        <v>9996</v>
      </c>
      <c r="F6221" s="211" t="s">
        <v>7247</v>
      </c>
    </row>
    <row r="6222" spans="1:6">
      <c r="A6222" s="211" t="s">
        <v>2049</v>
      </c>
      <c r="B6222" s="211">
        <v>3866</v>
      </c>
      <c r="C6222" s="211">
        <v>998</v>
      </c>
      <c r="D6222" s="211" t="s">
        <v>1255</v>
      </c>
      <c r="E6222" s="211" t="s">
        <v>10385</v>
      </c>
      <c r="F6222" s="211" t="s">
        <v>7420</v>
      </c>
    </row>
    <row r="6223" spans="1:6">
      <c r="A6223" s="211" t="s">
        <v>2050</v>
      </c>
      <c r="B6223" s="211">
        <v>4682</v>
      </c>
      <c r="C6223" s="211">
        <v>1443</v>
      </c>
      <c r="D6223" s="211" t="s">
        <v>1255</v>
      </c>
      <c r="E6223" s="211" t="s">
        <v>10385</v>
      </c>
      <c r="F6223" s="211" t="s">
        <v>7272</v>
      </c>
    </row>
    <row r="6224" spans="1:6">
      <c r="A6224" s="211" t="s">
        <v>8563</v>
      </c>
      <c r="B6224" s="211">
        <v>5013</v>
      </c>
      <c r="C6224" s="211" t="s">
        <v>10385</v>
      </c>
      <c r="D6224" s="211" t="s">
        <v>1255</v>
      </c>
      <c r="E6224" s="211" t="s">
        <v>10385</v>
      </c>
      <c r="F6224" s="211" t="s">
        <v>7346</v>
      </c>
    </row>
    <row r="6225" spans="1:6">
      <c r="A6225" s="211" t="s">
        <v>2051</v>
      </c>
      <c r="B6225" s="211">
        <v>2246</v>
      </c>
      <c r="C6225" s="211">
        <v>1352</v>
      </c>
      <c r="D6225" s="211" t="s">
        <v>1255</v>
      </c>
      <c r="E6225" s="211" t="s">
        <v>10385</v>
      </c>
      <c r="F6225" s="211" t="s">
        <v>7536</v>
      </c>
    </row>
    <row r="6226" spans="1:6">
      <c r="A6226" s="211" t="s">
        <v>8564</v>
      </c>
      <c r="B6226" s="211">
        <v>5112</v>
      </c>
      <c r="C6226" s="211" t="s">
        <v>10385</v>
      </c>
      <c r="D6226" s="211" t="s">
        <v>1255</v>
      </c>
      <c r="E6226" s="211" t="s">
        <v>10385</v>
      </c>
      <c r="F6226" s="211" t="s">
        <v>7331</v>
      </c>
    </row>
    <row r="6227" spans="1:6">
      <c r="A6227" s="211" t="s">
        <v>2052</v>
      </c>
      <c r="B6227" s="211">
        <v>5247</v>
      </c>
      <c r="C6227" s="211">
        <v>1080</v>
      </c>
      <c r="D6227" s="211" t="s">
        <v>1255</v>
      </c>
      <c r="E6227" s="211" t="s">
        <v>10385</v>
      </c>
      <c r="F6227" s="211" t="s">
        <v>7331</v>
      </c>
    </row>
    <row r="6228" spans="1:6">
      <c r="A6228" s="211" t="s">
        <v>9997</v>
      </c>
      <c r="B6228" s="211">
        <v>7983</v>
      </c>
      <c r="C6228" s="211">
        <v>1111</v>
      </c>
      <c r="D6228" s="211" t="s">
        <v>1255</v>
      </c>
      <c r="E6228" s="211" t="s">
        <v>9998</v>
      </c>
      <c r="F6228" s="211" t="s">
        <v>7399</v>
      </c>
    </row>
    <row r="6229" spans="1:6">
      <c r="A6229" s="211" t="s">
        <v>2053</v>
      </c>
      <c r="B6229" s="211">
        <v>5572</v>
      </c>
      <c r="C6229" s="211">
        <v>1749</v>
      </c>
      <c r="D6229" s="211" t="s">
        <v>1255</v>
      </c>
      <c r="E6229" s="211" t="s">
        <v>10385</v>
      </c>
      <c r="F6229" s="211" t="s">
        <v>7518</v>
      </c>
    </row>
    <row r="6230" spans="1:6">
      <c r="A6230" s="211" t="s">
        <v>2054</v>
      </c>
      <c r="B6230" s="211">
        <v>2396</v>
      </c>
      <c r="C6230" s="211">
        <v>885</v>
      </c>
      <c r="D6230" s="211" t="s">
        <v>1255</v>
      </c>
      <c r="E6230" s="211" t="s">
        <v>2055</v>
      </c>
      <c r="F6230" s="211" t="s">
        <v>7393</v>
      </c>
    </row>
    <row r="6231" spans="1:6">
      <c r="A6231" s="211" t="s">
        <v>2056</v>
      </c>
      <c r="B6231" s="211">
        <v>3288</v>
      </c>
      <c r="C6231" s="211">
        <v>1733</v>
      </c>
      <c r="D6231" s="211" t="s">
        <v>1255</v>
      </c>
      <c r="E6231" s="211" t="s">
        <v>10385</v>
      </c>
      <c r="F6231" s="211" t="s">
        <v>7290</v>
      </c>
    </row>
    <row r="6232" spans="1:6">
      <c r="A6232" s="211" t="s">
        <v>2057</v>
      </c>
      <c r="B6232" s="211">
        <v>5064</v>
      </c>
      <c r="C6232" s="211">
        <v>1201</v>
      </c>
      <c r="D6232" s="211" t="s">
        <v>1255</v>
      </c>
      <c r="E6232" s="211" t="s">
        <v>10385</v>
      </c>
      <c r="F6232" s="211" t="s">
        <v>7736</v>
      </c>
    </row>
    <row r="6233" spans="1:6">
      <c r="A6233" s="211" t="s">
        <v>5201</v>
      </c>
      <c r="B6233" s="211">
        <v>7000</v>
      </c>
      <c r="C6233" s="211">
        <v>1069</v>
      </c>
      <c r="D6233" s="211" t="s">
        <v>1255</v>
      </c>
      <c r="E6233" s="211" t="s">
        <v>10385</v>
      </c>
      <c r="F6233" s="211" t="s">
        <v>7386</v>
      </c>
    </row>
    <row r="6234" spans="1:6">
      <c r="A6234" s="211" t="s">
        <v>2058</v>
      </c>
      <c r="B6234" s="211">
        <v>1628</v>
      </c>
      <c r="C6234" s="211">
        <v>798</v>
      </c>
      <c r="D6234" s="211" t="s">
        <v>1255</v>
      </c>
      <c r="E6234" s="211" t="s">
        <v>10385</v>
      </c>
      <c r="F6234" s="211" t="s">
        <v>7946</v>
      </c>
    </row>
    <row r="6235" spans="1:6">
      <c r="A6235" s="211" t="s">
        <v>2059</v>
      </c>
      <c r="B6235" s="211">
        <v>3011</v>
      </c>
      <c r="C6235" s="211">
        <v>962</v>
      </c>
      <c r="D6235" s="211" t="s">
        <v>1255</v>
      </c>
      <c r="E6235" s="211" t="s">
        <v>10385</v>
      </c>
      <c r="F6235" s="211" t="s">
        <v>7446</v>
      </c>
    </row>
    <row r="6236" spans="1:6">
      <c r="A6236" s="211" t="s">
        <v>5300</v>
      </c>
      <c r="B6236" s="211">
        <v>6829</v>
      </c>
      <c r="C6236" s="211">
        <v>772</v>
      </c>
      <c r="D6236" s="211" t="s">
        <v>1255</v>
      </c>
      <c r="E6236" s="211" t="s">
        <v>10385</v>
      </c>
      <c r="F6236" s="211" t="s">
        <v>7248</v>
      </c>
    </row>
    <row r="6237" spans="1:6">
      <c r="A6237" s="211" t="s">
        <v>5301</v>
      </c>
      <c r="B6237" s="211">
        <v>6937</v>
      </c>
      <c r="C6237" s="211">
        <v>949</v>
      </c>
      <c r="D6237" s="211" t="s">
        <v>1255</v>
      </c>
      <c r="E6237" s="211" t="s">
        <v>6333</v>
      </c>
      <c r="F6237" s="211" t="s">
        <v>7414</v>
      </c>
    </row>
    <row r="6238" spans="1:6">
      <c r="A6238" s="211" t="s">
        <v>8565</v>
      </c>
      <c r="B6238" s="211">
        <v>343</v>
      </c>
      <c r="C6238" s="211" t="s">
        <v>10385</v>
      </c>
      <c r="D6238" s="211" t="s">
        <v>1255</v>
      </c>
      <c r="E6238" s="211" t="s">
        <v>10385</v>
      </c>
      <c r="F6238" s="211" t="s">
        <v>7210</v>
      </c>
    </row>
    <row r="6239" spans="1:6">
      <c r="A6239" s="211" t="s">
        <v>2060</v>
      </c>
      <c r="B6239" s="211">
        <v>2309</v>
      </c>
      <c r="C6239" s="211">
        <v>944</v>
      </c>
      <c r="D6239" s="211" t="s">
        <v>1255</v>
      </c>
      <c r="E6239" s="211" t="s">
        <v>10385</v>
      </c>
      <c r="F6239" s="211" t="s">
        <v>7351</v>
      </c>
    </row>
    <row r="6240" spans="1:6">
      <c r="A6240" s="211" t="s">
        <v>2061</v>
      </c>
      <c r="B6240" s="211">
        <v>5952</v>
      </c>
      <c r="C6240" s="211">
        <v>1317</v>
      </c>
      <c r="D6240" s="211" t="s">
        <v>1255</v>
      </c>
      <c r="E6240" s="211" t="s">
        <v>10385</v>
      </c>
      <c r="F6240" s="211" t="s">
        <v>7212</v>
      </c>
    </row>
    <row r="6241" spans="1:6">
      <c r="A6241" s="211" t="s">
        <v>8566</v>
      </c>
      <c r="B6241" s="211">
        <v>5041</v>
      </c>
      <c r="C6241" s="211" t="s">
        <v>10385</v>
      </c>
      <c r="D6241" s="211" t="s">
        <v>1117</v>
      </c>
      <c r="E6241" s="211" t="s">
        <v>10385</v>
      </c>
      <c r="F6241" s="211" t="s">
        <v>7285</v>
      </c>
    </row>
    <row r="6242" spans="1:6">
      <c r="A6242" s="211" t="s">
        <v>5202</v>
      </c>
      <c r="B6242" s="211">
        <v>6239</v>
      </c>
      <c r="C6242" s="211">
        <v>505</v>
      </c>
      <c r="D6242" s="211" t="s">
        <v>1255</v>
      </c>
      <c r="E6242" s="211" t="s">
        <v>10385</v>
      </c>
      <c r="F6242" s="211" t="s">
        <v>7328</v>
      </c>
    </row>
    <row r="6243" spans="1:6">
      <c r="A6243" s="211" t="s">
        <v>4834</v>
      </c>
      <c r="B6243" s="211">
        <v>6085</v>
      </c>
      <c r="C6243" s="211">
        <v>780</v>
      </c>
      <c r="D6243" s="211" t="s">
        <v>1255</v>
      </c>
      <c r="E6243" s="211" t="s">
        <v>10385</v>
      </c>
      <c r="F6243" s="211" t="s">
        <v>7203</v>
      </c>
    </row>
    <row r="6244" spans="1:6">
      <c r="A6244" s="211" t="s">
        <v>8567</v>
      </c>
      <c r="B6244" s="211">
        <v>302</v>
      </c>
      <c r="C6244" s="211" t="s">
        <v>10385</v>
      </c>
      <c r="D6244" s="211" t="s">
        <v>1255</v>
      </c>
      <c r="E6244" s="211" t="s">
        <v>10385</v>
      </c>
      <c r="F6244" s="211" t="s">
        <v>7221</v>
      </c>
    </row>
    <row r="6245" spans="1:6">
      <c r="A6245" s="211" t="s">
        <v>10926</v>
      </c>
      <c r="B6245" s="211">
        <v>8627</v>
      </c>
      <c r="C6245" s="211">
        <v>1409</v>
      </c>
      <c r="D6245" s="211" t="s">
        <v>1255</v>
      </c>
      <c r="E6245" s="211" t="s">
        <v>10927</v>
      </c>
      <c r="F6245" s="211" t="s">
        <v>10474</v>
      </c>
    </row>
    <row r="6246" spans="1:6">
      <c r="A6246" s="211" t="s">
        <v>5203</v>
      </c>
      <c r="B6246" s="211">
        <v>6865</v>
      </c>
      <c r="C6246" s="211">
        <v>844</v>
      </c>
      <c r="D6246" s="211" t="s">
        <v>1255</v>
      </c>
      <c r="E6246" s="211" t="s">
        <v>10385</v>
      </c>
      <c r="F6246" s="211" t="s">
        <v>8210</v>
      </c>
    </row>
    <row r="6247" spans="1:6">
      <c r="A6247" s="211" t="s">
        <v>2062</v>
      </c>
      <c r="B6247" s="211">
        <v>5691</v>
      </c>
      <c r="C6247" s="211">
        <v>894</v>
      </c>
      <c r="D6247" s="211" t="s">
        <v>1255</v>
      </c>
      <c r="E6247" s="211" t="s">
        <v>10385</v>
      </c>
      <c r="F6247" s="211" t="s">
        <v>7667</v>
      </c>
    </row>
    <row r="6248" spans="1:6">
      <c r="A6248" s="211" t="s">
        <v>2063</v>
      </c>
      <c r="B6248" s="211">
        <v>1020</v>
      </c>
      <c r="C6248" s="211">
        <v>1924</v>
      </c>
      <c r="D6248" s="211" t="s">
        <v>1255</v>
      </c>
      <c r="E6248" s="211" t="s">
        <v>10385</v>
      </c>
      <c r="F6248" s="211" t="s">
        <v>7233</v>
      </c>
    </row>
    <row r="6249" spans="1:6">
      <c r="A6249" s="211" t="s">
        <v>6174</v>
      </c>
      <c r="B6249" s="211">
        <v>7307</v>
      </c>
      <c r="C6249" s="211">
        <v>1278</v>
      </c>
      <c r="D6249" s="211" t="s">
        <v>1255</v>
      </c>
      <c r="E6249" s="211" t="s">
        <v>10928</v>
      </c>
      <c r="F6249" s="211" t="s">
        <v>7490</v>
      </c>
    </row>
    <row r="6250" spans="1:6">
      <c r="A6250" s="211" t="s">
        <v>8568</v>
      </c>
      <c r="B6250" s="211">
        <v>453</v>
      </c>
      <c r="C6250" s="211" t="s">
        <v>10385</v>
      </c>
      <c r="D6250" s="211" t="s">
        <v>1255</v>
      </c>
      <c r="E6250" s="211" t="s">
        <v>10385</v>
      </c>
      <c r="F6250" s="211" t="s">
        <v>7283</v>
      </c>
    </row>
    <row r="6251" spans="1:6">
      <c r="A6251" s="211" t="s">
        <v>2064</v>
      </c>
      <c r="B6251" s="211">
        <v>888</v>
      </c>
      <c r="C6251" s="211">
        <v>879</v>
      </c>
      <c r="D6251" s="211" t="s">
        <v>1255</v>
      </c>
      <c r="E6251" s="211" t="s">
        <v>10385</v>
      </c>
      <c r="F6251" s="211" t="s">
        <v>7169</v>
      </c>
    </row>
    <row r="6252" spans="1:6">
      <c r="A6252" s="211" t="s">
        <v>8569</v>
      </c>
      <c r="B6252" s="211">
        <v>51</v>
      </c>
      <c r="C6252" s="211" t="s">
        <v>10385</v>
      </c>
      <c r="D6252" s="211" t="s">
        <v>1255</v>
      </c>
      <c r="E6252" s="211" t="s">
        <v>10385</v>
      </c>
      <c r="F6252" s="211" t="s">
        <v>7219</v>
      </c>
    </row>
    <row r="6253" spans="1:6">
      <c r="A6253" s="211" t="s">
        <v>8570</v>
      </c>
      <c r="B6253" s="211">
        <v>155</v>
      </c>
      <c r="C6253" s="211" t="s">
        <v>10385</v>
      </c>
      <c r="D6253" s="211" t="s">
        <v>1255</v>
      </c>
      <c r="E6253" s="211" t="s">
        <v>10385</v>
      </c>
      <c r="F6253" s="211" t="s">
        <v>7239</v>
      </c>
    </row>
    <row r="6254" spans="1:6">
      <c r="A6254" s="211" t="s">
        <v>5344</v>
      </c>
      <c r="B6254" s="211">
        <v>6837</v>
      </c>
      <c r="C6254" s="211">
        <v>1283</v>
      </c>
      <c r="D6254" s="211" t="s">
        <v>1255</v>
      </c>
      <c r="E6254" s="211" t="s">
        <v>10385</v>
      </c>
      <c r="F6254" s="211" t="s">
        <v>8385</v>
      </c>
    </row>
    <row r="6255" spans="1:6">
      <c r="A6255" s="211" t="s">
        <v>2065</v>
      </c>
      <c r="B6255" s="211">
        <v>4393</v>
      </c>
      <c r="C6255" s="211">
        <v>783</v>
      </c>
      <c r="D6255" s="211" t="s">
        <v>1255</v>
      </c>
      <c r="E6255" s="211" t="s">
        <v>6175</v>
      </c>
      <c r="F6255" s="211" t="s">
        <v>7310</v>
      </c>
    </row>
    <row r="6256" spans="1:6">
      <c r="A6256" s="211" t="s">
        <v>8571</v>
      </c>
      <c r="B6256" s="211">
        <v>7629</v>
      </c>
      <c r="C6256" s="211" t="s">
        <v>10385</v>
      </c>
      <c r="D6256" s="211" t="s">
        <v>1255</v>
      </c>
      <c r="E6256" s="211" t="s">
        <v>10385</v>
      </c>
      <c r="F6256" s="211" t="s">
        <v>7310</v>
      </c>
    </row>
    <row r="6257" spans="1:6">
      <c r="A6257" s="211" t="s">
        <v>2066</v>
      </c>
      <c r="B6257" s="211">
        <v>3001</v>
      </c>
      <c r="C6257" s="211">
        <v>919</v>
      </c>
      <c r="D6257" s="211" t="s">
        <v>1255</v>
      </c>
      <c r="E6257" s="211" t="s">
        <v>10385</v>
      </c>
      <c r="F6257" s="211" t="s">
        <v>8160</v>
      </c>
    </row>
    <row r="6258" spans="1:6">
      <c r="A6258" s="211" t="s">
        <v>2067</v>
      </c>
      <c r="B6258" s="211">
        <v>2101</v>
      </c>
      <c r="C6258" s="211">
        <v>1358</v>
      </c>
      <c r="D6258" s="211" t="s">
        <v>1255</v>
      </c>
      <c r="E6258" s="211" t="s">
        <v>10385</v>
      </c>
      <c r="F6258" s="211" t="s">
        <v>7265</v>
      </c>
    </row>
    <row r="6259" spans="1:6">
      <c r="A6259" s="211" t="s">
        <v>6176</v>
      </c>
      <c r="B6259" s="211">
        <v>7153</v>
      </c>
      <c r="C6259" s="211">
        <v>1118</v>
      </c>
      <c r="D6259" s="211" t="s">
        <v>1117</v>
      </c>
      <c r="E6259" s="211" t="s">
        <v>6177</v>
      </c>
      <c r="F6259" s="211" t="s">
        <v>7173</v>
      </c>
    </row>
    <row r="6260" spans="1:6">
      <c r="A6260" s="211" t="s">
        <v>5204</v>
      </c>
      <c r="B6260" s="211">
        <v>6897</v>
      </c>
      <c r="C6260" s="211">
        <v>1087</v>
      </c>
      <c r="D6260" s="211" t="s">
        <v>1255</v>
      </c>
      <c r="E6260" s="211" t="s">
        <v>10385</v>
      </c>
      <c r="F6260" s="211" t="s">
        <v>7284</v>
      </c>
    </row>
    <row r="6261" spans="1:6">
      <c r="A6261" s="211" t="s">
        <v>8572</v>
      </c>
      <c r="B6261" s="211">
        <v>6054</v>
      </c>
      <c r="C6261" s="211" t="s">
        <v>10385</v>
      </c>
      <c r="D6261" s="211" t="s">
        <v>1255</v>
      </c>
      <c r="E6261" s="211" t="s">
        <v>10385</v>
      </c>
      <c r="F6261" s="211" t="s">
        <v>7446</v>
      </c>
    </row>
    <row r="6262" spans="1:6">
      <c r="A6262" s="211" t="s">
        <v>6178</v>
      </c>
      <c r="B6262" s="211">
        <v>7421</v>
      </c>
      <c r="C6262" s="211">
        <v>1552</v>
      </c>
      <c r="D6262" s="211" t="s">
        <v>1117</v>
      </c>
      <c r="E6262" s="211" t="s">
        <v>6179</v>
      </c>
      <c r="F6262" s="211" t="s">
        <v>7357</v>
      </c>
    </row>
    <row r="6263" spans="1:6">
      <c r="A6263" s="211" t="s">
        <v>2068</v>
      </c>
      <c r="B6263" s="211">
        <v>5280</v>
      </c>
      <c r="C6263" s="211">
        <v>1414</v>
      </c>
      <c r="D6263" s="211" t="s">
        <v>1255</v>
      </c>
      <c r="E6263" s="211" t="s">
        <v>10385</v>
      </c>
      <c r="F6263" s="211" t="s">
        <v>7390</v>
      </c>
    </row>
    <row r="6264" spans="1:6">
      <c r="A6264" s="211" t="s">
        <v>2069</v>
      </c>
      <c r="B6264" s="211">
        <v>742</v>
      </c>
      <c r="C6264" s="211">
        <v>1500</v>
      </c>
      <c r="D6264" s="211" t="s">
        <v>1255</v>
      </c>
      <c r="E6264" s="211" t="s">
        <v>10385</v>
      </c>
      <c r="F6264" s="211" t="s">
        <v>7173</v>
      </c>
    </row>
    <row r="6265" spans="1:6">
      <c r="A6265" s="211" t="s">
        <v>9999</v>
      </c>
      <c r="B6265" s="211">
        <v>8079</v>
      </c>
      <c r="C6265" s="211">
        <v>992</v>
      </c>
      <c r="D6265" s="211" t="s">
        <v>1255</v>
      </c>
      <c r="E6265" s="211" t="s">
        <v>10385</v>
      </c>
      <c r="F6265" s="211" t="s">
        <v>9120</v>
      </c>
    </row>
    <row r="6266" spans="1:6">
      <c r="A6266" s="211" t="s">
        <v>10000</v>
      </c>
      <c r="B6266" s="211">
        <v>8083</v>
      </c>
      <c r="C6266" s="211">
        <v>1277</v>
      </c>
      <c r="D6266" s="211" t="s">
        <v>1255</v>
      </c>
      <c r="E6266" s="211" t="s">
        <v>10929</v>
      </c>
      <c r="F6266" s="211" t="s">
        <v>7427</v>
      </c>
    </row>
    <row r="6267" spans="1:6">
      <c r="A6267" s="211" t="s">
        <v>8573</v>
      </c>
      <c r="B6267" s="211">
        <v>3082</v>
      </c>
      <c r="C6267" s="211" t="s">
        <v>10385</v>
      </c>
      <c r="D6267" s="211" t="s">
        <v>1255</v>
      </c>
      <c r="E6267" s="211" t="s">
        <v>10385</v>
      </c>
      <c r="F6267" s="211" t="s">
        <v>7743</v>
      </c>
    </row>
    <row r="6268" spans="1:6">
      <c r="A6268" s="211" t="s">
        <v>8574</v>
      </c>
      <c r="B6268" s="211">
        <v>2751</v>
      </c>
      <c r="C6268" s="211" t="s">
        <v>10385</v>
      </c>
      <c r="D6268" s="211" t="s">
        <v>1255</v>
      </c>
      <c r="E6268" s="211" t="s">
        <v>10385</v>
      </c>
      <c r="F6268" s="211" t="s">
        <v>7257</v>
      </c>
    </row>
    <row r="6269" spans="1:6">
      <c r="A6269" s="211" t="s">
        <v>2070</v>
      </c>
      <c r="B6269" s="211">
        <v>4675</v>
      </c>
      <c r="C6269" s="211">
        <v>1134</v>
      </c>
      <c r="D6269" s="211" t="s">
        <v>1255</v>
      </c>
      <c r="E6269" s="211" t="s">
        <v>10385</v>
      </c>
      <c r="F6269" s="211" t="s">
        <v>7736</v>
      </c>
    </row>
    <row r="6270" spans="1:6">
      <c r="A6270" s="211" t="s">
        <v>8575</v>
      </c>
      <c r="B6270" s="211">
        <v>2447</v>
      </c>
      <c r="C6270" s="211" t="s">
        <v>10385</v>
      </c>
      <c r="D6270" s="211" t="s">
        <v>1255</v>
      </c>
      <c r="E6270" s="211" t="s">
        <v>10385</v>
      </c>
      <c r="F6270" s="211" t="s">
        <v>7208</v>
      </c>
    </row>
    <row r="6271" spans="1:6">
      <c r="A6271" s="211" t="s">
        <v>8576</v>
      </c>
      <c r="B6271" s="211">
        <v>39</v>
      </c>
      <c r="C6271" s="211" t="s">
        <v>10385</v>
      </c>
      <c r="D6271" s="211" t="s">
        <v>1255</v>
      </c>
      <c r="E6271" s="211" t="s">
        <v>10385</v>
      </c>
      <c r="F6271" s="211" t="s">
        <v>7199</v>
      </c>
    </row>
    <row r="6272" spans="1:6">
      <c r="A6272" s="211" t="s">
        <v>3035</v>
      </c>
      <c r="B6272" s="211">
        <v>923</v>
      </c>
      <c r="C6272" s="211">
        <v>1754</v>
      </c>
      <c r="D6272" s="211" t="s">
        <v>1255</v>
      </c>
      <c r="E6272" s="211" t="s">
        <v>10385</v>
      </c>
      <c r="F6272" s="211" t="s">
        <v>7384</v>
      </c>
    </row>
    <row r="6273" spans="1:6">
      <c r="A6273" s="211" t="s">
        <v>4682</v>
      </c>
      <c r="B6273" s="211">
        <v>6400</v>
      </c>
      <c r="C6273" s="211">
        <v>1989</v>
      </c>
      <c r="D6273" s="211" t="s">
        <v>1255</v>
      </c>
      <c r="E6273" s="211" t="s">
        <v>6180</v>
      </c>
      <c r="F6273" s="211" t="s">
        <v>7241</v>
      </c>
    </row>
    <row r="6274" spans="1:6">
      <c r="A6274" s="211" t="s">
        <v>6181</v>
      </c>
      <c r="B6274" s="211">
        <v>7361</v>
      </c>
      <c r="C6274" s="211">
        <v>1551</v>
      </c>
      <c r="D6274" s="211" t="s">
        <v>1117</v>
      </c>
      <c r="E6274" s="211" t="s">
        <v>10001</v>
      </c>
      <c r="F6274" s="211" t="s">
        <v>7375</v>
      </c>
    </row>
    <row r="6275" spans="1:6">
      <c r="A6275" s="211" t="s">
        <v>2071</v>
      </c>
      <c r="B6275" s="211">
        <v>375</v>
      </c>
      <c r="C6275" s="211">
        <v>1541</v>
      </c>
      <c r="D6275" s="211" t="s">
        <v>1255</v>
      </c>
      <c r="E6275" s="211" t="s">
        <v>10385</v>
      </c>
      <c r="F6275" s="211" t="s">
        <v>7167</v>
      </c>
    </row>
    <row r="6276" spans="1:6">
      <c r="A6276" s="211" t="s">
        <v>6182</v>
      </c>
      <c r="B6276" s="211">
        <v>7444</v>
      </c>
      <c r="C6276" s="211">
        <v>1546</v>
      </c>
      <c r="D6276" s="211" t="s">
        <v>1255</v>
      </c>
      <c r="E6276" s="211" t="s">
        <v>6183</v>
      </c>
      <c r="F6276" s="211" t="s">
        <v>7232</v>
      </c>
    </row>
    <row r="6277" spans="1:6">
      <c r="A6277" s="211" t="s">
        <v>10002</v>
      </c>
      <c r="B6277" s="211">
        <v>8231</v>
      </c>
      <c r="C6277" s="211">
        <v>1672</v>
      </c>
      <c r="D6277" s="211" t="s">
        <v>1255</v>
      </c>
      <c r="E6277" s="211" t="s">
        <v>10385</v>
      </c>
      <c r="F6277" s="211" t="s">
        <v>7335</v>
      </c>
    </row>
    <row r="6278" spans="1:6">
      <c r="A6278" s="211" t="s">
        <v>10003</v>
      </c>
      <c r="B6278" s="211">
        <v>8464</v>
      </c>
      <c r="C6278" s="211">
        <v>1199</v>
      </c>
      <c r="D6278" s="211" t="s">
        <v>1117</v>
      </c>
      <c r="E6278" s="211" t="s">
        <v>10004</v>
      </c>
      <c r="F6278" s="211" t="s">
        <v>7425</v>
      </c>
    </row>
    <row r="6279" spans="1:6">
      <c r="A6279" s="211" t="s">
        <v>10930</v>
      </c>
      <c r="B6279" s="211">
        <v>5092</v>
      </c>
      <c r="C6279" s="211" t="s">
        <v>10385</v>
      </c>
      <c r="D6279" s="211" t="s">
        <v>1255</v>
      </c>
      <c r="E6279" s="211" t="s">
        <v>10385</v>
      </c>
      <c r="F6279" s="211" t="s">
        <v>7213</v>
      </c>
    </row>
    <row r="6280" spans="1:6">
      <c r="A6280" s="211" t="s">
        <v>2072</v>
      </c>
      <c r="B6280" s="211">
        <v>4859</v>
      </c>
      <c r="C6280" s="211">
        <v>1263</v>
      </c>
      <c r="D6280" s="211" t="s">
        <v>1255</v>
      </c>
      <c r="E6280" s="211" t="s">
        <v>10385</v>
      </c>
      <c r="F6280" s="211" t="s">
        <v>7386</v>
      </c>
    </row>
    <row r="6281" spans="1:6">
      <c r="A6281" s="211" t="s">
        <v>5205</v>
      </c>
      <c r="B6281" s="211">
        <v>7007</v>
      </c>
      <c r="C6281" s="211">
        <v>573</v>
      </c>
      <c r="D6281" s="211" t="s">
        <v>1255</v>
      </c>
      <c r="E6281" s="211" t="s">
        <v>10385</v>
      </c>
      <c r="F6281" s="211" t="s">
        <v>7349</v>
      </c>
    </row>
    <row r="6282" spans="1:6">
      <c r="A6282" s="211" t="s">
        <v>8577</v>
      </c>
      <c r="B6282" s="211">
        <v>116</v>
      </c>
      <c r="C6282" s="211" t="s">
        <v>10385</v>
      </c>
      <c r="D6282" s="211" t="s">
        <v>1255</v>
      </c>
      <c r="E6282" s="211" t="s">
        <v>10385</v>
      </c>
      <c r="F6282" s="211" t="s">
        <v>7275</v>
      </c>
    </row>
    <row r="6283" spans="1:6">
      <c r="A6283" s="211" t="s">
        <v>10005</v>
      </c>
      <c r="B6283" s="211">
        <v>8396</v>
      </c>
      <c r="C6283" s="211">
        <v>2174</v>
      </c>
      <c r="D6283" s="211" t="s">
        <v>1117</v>
      </c>
      <c r="E6283" s="211" t="s">
        <v>10931</v>
      </c>
      <c r="F6283" s="211" t="s">
        <v>7334</v>
      </c>
    </row>
    <row r="6284" spans="1:6">
      <c r="A6284" s="211" t="s">
        <v>2073</v>
      </c>
      <c r="B6284" s="211">
        <v>3526</v>
      </c>
      <c r="C6284" s="211">
        <v>761</v>
      </c>
      <c r="D6284" s="211" t="s">
        <v>1117</v>
      </c>
      <c r="E6284" s="211" t="s">
        <v>10385</v>
      </c>
      <c r="F6284" s="211" t="s">
        <v>7212</v>
      </c>
    </row>
    <row r="6285" spans="1:6">
      <c r="A6285" s="211" t="s">
        <v>2074</v>
      </c>
      <c r="B6285" s="211">
        <v>4290</v>
      </c>
      <c r="C6285" s="211">
        <v>801</v>
      </c>
      <c r="D6285" s="211" t="s">
        <v>1117</v>
      </c>
      <c r="E6285" s="211" t="s">
        <v>10385</v>
      </c>
      <c r="F6285" s="211" t="s">
        <v>7471</v>
      </c>
    </row>
    <row r="6286" spans="1:6">
      <c r="A6286" s="211" t="s">
        <v>8578</v>
      </c>
      <c r="B6286" s="211">
        <v>7054</v>
      </c>
      <c r="C6286" s="211" t="s">
        <v>10385</v>
      </c>
      <c r="D6286" s="211" t="s">
        <v>1255</v>
      </c>
      <c r="E6286" s="211" t="s">
        <v>10385</v>
      </c>
      <c r="F6286" s="211" t="s">
        <v>7231</v>
      </c>
    </row>
    <row r="6287" spans="1:6">
      <c r="A6287" s="211" t="s">
        <v>6184</v>
      </c>
      <c r="B6287" s="211">
        <v>7568</v>
      </c>
      <c r="C6287" s="211">
        <v>1160</v>
      </c>
      <c r="D6287" s="211" t="s">
        <v>1255</v>
      </c>
      <c r="E6287" s="211" t="s">
        <v>10932</v>
      </c>
      <c r="F6287" s="211" t="s">
        <v>7384</v>
      </c>
    </row>
    <row r="6288" spans="1:6">
      <c r="A6288" s="211" t="s">
        <v>2075</v>
      </c>
      <c r="B6288" s="211">
        <v>1292</v>
      </c>
      <c r="C6288" s="211">
        <v>972</v>
      </c>
      <c r="D6288" s="211" t="s">
        <v>1255</v>
      </c>
      <c r="E6288" s="211" t="s">
        <v>10385</v>
      </c>
      <c r="F6288" s="211" t="s">
        <v>7376</v>
      </c>
    </row>
    <row r="6289" spans="1:6">
      <c r="A6289" s="211" t="s">
        <v>2076</v>
      </c>
      <c r="B6289" s="211">
        <v>5253</v>
      </c>
      <c r="C6289" s="211">
        <v>1504</v>
      </c>
      <c r="D6289" s="211" t="s">
        <v>1255</v>
      </c>
      <c r="E6289" s="211" t="s">
        <v>10385</v>
      </c>
      <c r="F6289" s="211" t="s">
        <v>7202</v>
      </c>
    </row>
    <row r="6290" spans="1:6">
      <c r="A6290" s="211" t="s">
        <v>2077</v>
      </c>
      <c r="B6290" s="211">
        <v>1694</v>
      </c>
      <c r="C6290" s="211">
        <v>991</v>
      </c>
      <c r="D6290" s="211" t="s">
        <v>1255</v>
      </c>
      <c r="E6290" s="211" t="s">
        <v>10385</v>
      </c>
      <c r="F6290" s="211" t="s">
        <v>7250</v>
      </c>
    </row>
    <row r="6291" spans="1:6">
      <c r="A6291" s="211" t="s">
        <v>5206</v>
      </c>
      <c r="B6291" s="211">
        <v>6921</v>
      </c>
      <c r="C6291" s="211">
        <v>753</v>
      </c>
      <c r="D6291" s="211" t="s">
        <v>1117</v>
      </c>
      <c r="E6291" s="211" t="s">
        <v>10385</v>
      </c>
      <c r="F6291" s="211" t="s">
        <v>7285</v>
      </c>
    </row>
    <row r="6292" spans="1:6">
      <c r="A6292" s="211" t="s">
        <v>8579</v>
      </c>
      <c r="B6292" s="211">
        <v>2647</v>
      </c>
      <c r="C6292" s="211" t="s">
        <v>10385</v>
      </c>
      <c r="D6292" s="211" t="s">
        <v>1255</v>
      </c>
      <c r="E6292" s="211" t="s">
        <v>10385</v>
      </c>
      <c r="F6292" s="211" t="s">
        <v>7415</v>
      </c>
    </row>
    <row r="6293" spans="1:6">
      <c r="A6293" s="211" t="s">
        <v>10006</v>
      </c>
      <c r="B6293" s="211">
        <v>8341</v>
      </c>
      <c r="C6293" s="211">
        <v>1148</v>
      </c>
      <c r="D6293" s="211" t="s">
        <v>1255</v>
      </c>
      <c r="E6293" s="211" t="s">
        <v>10007</v>
      </c>
      <c r="F6293" s="211" t="s">
        <v>7247</v>
      </c>
    </row>
    <row r="6294" spans="1:6">
      <c r="A6294" s="211" t="s">
        <v>5207</v>
      </c>
      <c r="B6294" s="211">
        <v>6786</v>
      </c>
      <c r="C6294" s="211">
        <v>1242</v>
      </c>
      <c r="D6294" s="211" t="s">
        <v>1255</v>
      </c>
      <c r="E6294" s="211" t="s">
        <v>10385</v>
      </c>
      <c r="F6294" s="211" t="s">
        <v>7212</v>
      </c>
    </row>
    <row r="6295" spans="1:6">
      <c r="A6295" s="211" t="s">
        <v>4573</v>
      </c>
      <c r="B6295" s="211">
        <v>6487</v>
      </c>
      <c r="C6295" s="211">
        <v>1160</v>
      </c>
      <c r="D6295" s="211" t="s">
        <v>1255</v>
      </c>
      <c r="E6295" s="211" t="s">
        <v>10385</v>
      </c>
      <c r="F6295" s="211" t="s">
        <v>7392</v>
      </c>
    </row>
    <row r="6296" spans="1:6">
      <c r="A6296" s="211" t="s">
        <v>2078</v>
      </c>
      <c r="B6296" s="211">
        <v>3105</v>
      </c>
      <c r="C6296" s="211">
        <v>996</v>
      </c>
      <c r="D6296" s="211" t="s">
        <v>1255</v>
      </c>
      <c r="E6296" s="211" t="s">
        <v>10385</v>
      </c>
      <c r="F6296" s="211" t="s">
        <v>7366</v>
      </c>
    </row>
    <row r="6297" spans="1:6">
      <c r="A6297" s="211" t="s">
        <v>10008</v>
      </c>
      <c r="B6297" s="211">
        <v>8043</v>
      </c>
      <c r="C6297" s="211">
        <v>806</v>
      </c>
      <c r="D6297" s="211" t="s">
        <v>1255</v>
      </c>
      <c r="E6297" s="211" t="s">
        <v>10009</v>
      </c>
      <c r="F6297" s="211" t="s">
        <v>7430</v>
      </c>
    </row>
    <row r="6298" spans="1:6">
      <c r="A6298" s="211" t="s">
        <v>2079</v>
      </c>
      <c r="B6298" s="211">
        <v>875</v>
      </c>
      <c r="C6298" s="211">
        <v>1132</v>
      </c>
      <c r="D6298" s="211" t="s">
        <v>1255</v>
      </c>
      <c r="E6298" s="211" t="s">
        <v>10385</v>
      </c>
      <c r="F6298" s="211" t="s">
        <v>7257</v>
      </c>
    </row>
    <row r="6299" spans="1:6">
      <c r="A6299" s="211" t="s">
        <v>2080</v>
      </c>
      <c r="B6299" s="211">
        <v>1307</v>
      </c>
      <c r="C6299" s="211">
        <v>1421</v>
      </c>
      <c r="D6299" s="211" t="s">
        <v>1255</v>
      </c>
      <c r="E6299" s="211" t="s">
        <v>10385</v>
      </c>
      <c r="F6299" s="211" t="s">
        <v>7510</v>
      </c>
    </row>
    <row r="6300" spans="1:6">
      <c r="A6300" s="211" t="s">
        <v>2081</v>
      </c>
      <c r="B6300" s="211">
        <v>759</v>
      </c>
      <c r="C6300" s="211">
        <v>876</v>
      </c>
      <c r="D6300" s="211" t="s">
        <v>1255</v>
      </c>
      <c r="E6300" s="211" t="s">
        <v>10385</v>
      </c>
      <c r="F6300" s="211" t="s">
        <v>7257</v>
      </c>
    </row>
    <row r="6301" spans="1:6">
      <c r="A6301" s="211" t="s">
        <v>2082</v>
      </c>
      <c r="B6301" s="211">
        <v>3100</v>
      </c>
      <c r="C6301" s="211">
        <v>1544</v>
      </c>
      <c r="D6301" s="211" t="s">
        <v>1255</v>
      </c>
      <c r="E6301" s="211" t="s">
        <v>10385</v>
      </c>
      <c r="F6301" s="211" t="s">
        <v>7427</v>
      </c>
    </row>
    <row r="6302" spans="1:6">
      <c r="A6302" s="211" t="s">
        <v>7033</v>
      </c>
      <c r="B6302" s="211">
        <v>7782</v>
      </c>
      <c r="C6302" s="211">
        <v>1028</v>
      </c>
      <c r="D6302" s="211" t="s">
        <v>1255</v>
      </c>
      <c r="E6302" s="211" t="s">
        <v>7034</v>
      </c>
      <c r="F6302" s="211" t="s">
        <v>7301</v>
      </c>
    </row>
    <row r="6303" spans="1:6">
      <c r="A6303" s="211" t="s">
        <v>8580</v>
      </c>
      <c r="B6303" s="211">
        <v>2229</v>
      </c>
      <c r="C6303" s="211" t="s">
        <v>10385</v>
      </c>
      <c r="D6303" s="211" t="s">
        <v>1255</v>
      </c>
      <c r="E6303" s="211" t="s">
        <v>10385</v>
      </c>
      <c r="F6303" s="211" t="s">
        <v>7384</v>
      </c>
    </row>
    <row r="6304" spans="1:6">
      <c r="A6304" s="211" t="s">
        <v>2083</v>
      </c>
      <c r="B6304" s="211">
        <v>2794</v>
      </c>
      <c r="C6304" s="211">
        <v>831</v>
      </c>
      <c r="D6304" s="211" t="s">
        <v>1117</v>
      </c>
      <c r="E6304" s="211" t="s">
        <v>10385</v>
      </c>
      <c r="F6304" s="211" t="s">
        <v>7438</v>
      </c>
    </row>
    <row r="6305" spans="1:6">
      <c r="A6305" s="211" t="s">
        <v>8581</v>
      </c>
      <c r="B6305" s="211">
        <v>2041</v>
      </c>
      <c r="C6305" s="211" t="s">
        <v>10385</v>
      </c>
      <c r="D6305" s="211" t="s">
        <v>1255</v>
      </c>
      <c r="E6305" s="211" t="s">
        <v>10385</v>
      </c>
      <c r="F6305" s="211" t="s">
        <v>7262</v>
      </c>
    </row>
    <row r="6306" spans="1:6">
      <c r="A6306" s="211" t="s">
        <v>2084</v>
      </c>
      <c r="B6306" s="211">
        <v>2845</v>
      </c>
      <c r="C6306" s="211">
        <v>873</v>
      </c>
      <c r="D6306" s="211" t="s">
        <v>1255</v>
      </c>
      <c r="E6306" s="211" t="s">
        <v>10385</v>
      </c>
      <c r="F6306" s="211" t="s">
        <v>7171</v>
      </c>
    </row>
    <row r="6307" spans="1:6">
      <c r="A6307" s="211" t="s">
        <v>2085</v>
      </c>
      <c r="B6307" s="211">
        <v>4370</v>
      </c>
      <c r="C6307" s="211">
        <v>1123</v>
      </c>
      <c r="D6307" s="211" t="s">
        <v>1255</v>
      </c>
      <c r="E6307" s="211" t="s">
        <v>10385</v>
      </c>
      <c r="F6307" s="211" t="s">
        <v>7212</v>
      </c>
    </row>
    <row r="6308" spans="1:6">
      <c r="A6308" s="211" t="s">
        <v>2086</v>
      </c>
      <c r="B6308" s="211">
        <v>2143</v>
      </c>
      <c r="C6308" s="211">
        <v>876</v>
      </c>
      <c r="D6308" s="211" t="s">
        <v>1255</v>
      </c>
      <c r="E6308" s="211" t="s">
        <v>10385</v>
      </c>
      <c r="F6308" s="211" t="s">
        <v>7233</v>
      </c>
    </row>
    <row r="6309" spans="1:6">
      <c r="A6309" s="211" t="s">
        <v>2087</v>
      </c>
      <c r="B6309" s="211">
        <v>1449</v>
      </c>
      <c r="C6309" s="211">
        <v>1553</v>
      </c>
      <c r="D6309" s="211" t="s">
        <v>1255</v>
      </c>
      <c r="E6309" s="211" t="s">
        <v>10385</v>
      </c>
      <c r="F6309" s="211" t="s">
        <v>7225</v>
      </c>
    </row>
    <row r="6310" spans="1:6">
      <c r="A6310" s="211" t="s">
        <v>4598</v>
      </c>
      <c r="B6310" s="211">
        <v>6320</v>
      </c>
      <c r="C6310" s="211">
        <v>592</v>
      </c>
      <c r="D6310" s="211" t="s">
        <v>1117</v>
      </c>
      <c r="E6310" s="211" t="s">
        <v>10385</v>
      </c>
      <c r="F6310" s="211" t="s">
        <v>7257</v>
      </c>
    </row>
    <row r="6311" spans="1:6">
      <c r="A6311" s="211" t="s">
        <v>2088</v>
      </c>
      <c r="B6311" s="211">
        <v>1210</v>
      </c>
      <c r="C6311" s="211">
        <v>1327</v>
      </c>
      <c r="D6311" s="211" t="s">
        <v>1255</v>
      </c>
      <c r="E6311" s="211" t="s">
        <v>10385</v>
      </c>
      <c r="F6311" s="211" t="s">
        <v>7257</v>
      </c>
    </row>
    <row r="6312" spans="1:6">
      <c r="A6312" s="211" t="s">
        <v>8582</v>
      </c>
      <c r="B6312" s="211">
        <v>1410</v>
      </c>
      <c r="C6312" s="211" t="s">
        <v>10385</v>
      </c>
      <c r="D6312" s="211" t="s">
        <v>1255</v>
      </c>
      <c r="E6312" s="211" t="s">
        <v>10385</v>
      </c>
      <c r="F6312" s="211" t="s">
        <v>7657</v>
      </c>
    </row>
    <row r="6313" spans="1:6">
      <c r="A6313" s="211" t="s">
        <v>2089</v>
      </c>
      <c r="B6313" s="211">
        <v>3090</v>
      </c>
      <c r="C6313" s="211">
        <v>1790</v>
      </c>
      <c r="D6313" s="211" t="s">
        <v>1255</v>
      </c>
      <c r="E6313" s="211" t="s">
        <v>10385</v>
      </c>
      <c r="F6313" s="211" t="s">
        <v>7189</v>
      </c>
    </row>
    <row r="6314" spans="1:6">
      <c r="A6314" s="211" t="s">
        <v>2090</v>
      </c>
      <c r="B6314" s="211">
        <v>5452</v>
      </c>
      <c r="C6314" s="211">
        <v>888</v>
      </c>
      <c r="D6314" s="211" t="s">
        <v>1255</v>
      </c>
      <c r="E6314" s="211" t="s">
        <v>10385</v>
      </c>
      <c r="F6314" s="211" t="s">
        <v>7938</v>
      </c>
    </row>
    <row r="6315" spans="1:6">
      <c r="A6315" s="211" t="s">
        <v>6186</v>
      </c>
      <c r="B6315" s="211">
        <v>7271</v>
      </c>
      <c r="C6315" s="211">
        <v>720</v>
      </c>
      <c r="D6315" s="211" t="s">
        <v>1117</v>
      </c>
      <c r="E6315" s="211" t="s">
        <v>10010</v>
      </c>
      <c r="F6315" s="211" t="s">
        <v>7458</v>
      </c>
    </row>
    <row r="6316" spans="1:6">
      <c r="A6316" s="211" t="s">
        <v>2091</v>
      </c>
      <c r="B6316" s="211">
        <v>2295</v>
      </c>
      <c r="C6316" s="211">
        <v>963</v>
      </c>
      <c r="D6316" s="211" t="s">
        <v>1255</v>
      </c>
      <c r="E6316" s="211" t="s">
        <v>10385</v>
      </c>
      <c r="F6316" s="211" t="s">
        <v>7331</v>
      </c>
    </row>
    <row r="6317" spans="1:6">
      <c r="A6317" s="211" t="s">
        <v>2092</v>
      </c>
      <c r="B6317" s="211">
        <v>1071</v>
      </c>
      <c r="C6317" s="211">
        <v>1360</v>
      </c>
      <c r="D6317" s="211" t="s">
        <v>1255</v>
      </c>
      <c r="E6317" s="211" t="s">
        <v>10385</v>
      </c>
      <c r="F6317" s="211" t="s">
        <v>7212</v>
      </c>
    </row>
    <row r="6318" spans="1:6">
      <c r="A6318" s="211" t="s">
        <v>2093</v>
      </c>
      <c r="B6318" s="211">
        <v>3422</v>
      </c>
      <c r="C6318" s="211">
        <v>1501</v>
      </c>
      <c r="D6318" s="211" t="s">
        <v>1255</v>
      </c>
      <c r="E6318" s="211" t="s">
        <v>10385</v>
      </c>
      <c r="F6318" s="211" t="s">
        <v>7205</v>
      </c>
    </row>
    <row r="6319" spans="1:6">
      <c r="A6319" s="211" t="s">
        <v>8583</v>
      </c>
      <c r="B6319" s="211">
        <v>638</v>
      </c>
      <c r="C6319" s="211" t="s">
        <v>10385</v>
      </c>
      <c r="D6319" s="211" t="s">
        <v>1255</v>
      </c>
      <c r="E6319" s="211" t="s">
        <v>10385</v>
      </c>
      <c r="F6319" s="211" t="s">
        <v>7382</v>
      </c>
    </row>
    <row r="6320" spans="1:6">
      <c r="A6320" s="211" t="s">
        <v>2094</v>
      </c>
      <c r="B6320" s="211">
        <v>2167</v>
      </c>
      <c r="C6320" s="211">
        <v>993</v>
      </c>
      <c r="D6320" s="211" t="s">
        <v>1255</v>
      </c>
      <c r="E6320" s="211" t="s">
        <v>10385</v>
      </c>
      <c r="F6320" s="211" t="s">
        <v>7192</v>
      </c>
    </row>
    <row r="6321" spans="1:6">
      <c r="A6321" s="211" t="s">
        <v>2095</v>
      </c>
      <c r="B6321" s="211">
        <v>831</v>
      </c>
      <c r="C6321" s="211">
        <v>1952</v>
      </c>
      <c r="D6321" s="211" t="s">
        <v>1255</v>
      </c>
      <c r="E6321" s="211" t="s">
        <v>10385</v>
      </c>
      <c r="F6321" s="211" t="s">
        <v>7283</v>
      </c>
    </row>
    <row r="6322" spans="1:6">
      <c r="A6322" s="211" t="s">
        <v>2096</v>
      </c>
      <c r="B6322" s="211">
        <v>1827</v>
      </c>
      <c r="C6322" s="211">
        <v>1159</v>
      </c>
      <c r="D6322" s="211" t="s">
        <v>1255</v>
      </c>
      <c r="E6322" s="211" t="s">
        <v>10385</v>
      </c>
      <c r="F6322" s="211" t="s">
        <v>7297</v>
      </c>
    </row>
    <row r="6323" spans="1:6">
      <c r="A6323" s="211" t="s">
        <v>7035</v>
      </c>
      <c r="B6323" s="211">
        <v>7281</v>
      </c>
      <c r="C6323" s="211">
        <v>1752</v>
      </c>
      <c r="D6323" s="211" t="s">
        <v>1255</v>
      </c>
      <c r="E6323" s="211" t="s">
        <v>6185</v>
      </c>
      <c r="F6323" s="211" t="s">
        <v>7200</v>
      </c>
    </row>
    <row r="6324" spans="1:6">
      <c r="A6324" s="211" t="s">
        <v>2097</v>
      </c>
      <c r="B6324" s="211">
        <v>1182</v>
      </c>
      <c r="C6324" s="211">
        <v>1568</v>
      </c>
      <c r="D6324" s="211" t="s">
        <v>1255</v>
      </c>
      <c r="E6324" s="211" t="s">
        <v>10385</v>
      </c>
      <c r="F6324" s="211" t="s">
        <v>7213</v>
      </c>
    </row>
    <row r="6325" spans="1:6">
      <c r="A6325" s="211" t="s">
        <v>2098</v>
      </c>
      <c r="B6325" s="211">
        <v>2994</v>
      </c>
      <c r="C6325" s="211">
        <v>1571</v>
      </c>
      <c r="D6325" s="211" t="s">
        <v>1255</v>
      </c>
      <c r="E6325" s="211" t="s">
        <v>10385</v>
      </c>
      <c r="F6325" s="211" t="s">
        <v>7270</v>
      </c>
    </row>
    <row r="6326" spans="1:6">
      <c r="A6326" s="211" t="s">
        <v>8584</v>
      </c>
      <c r="B6326" s="211">
        <v>2816</v>
      </c>
      <c r="C6326" s="211" t="s">
        <v>10385</v>
      </c>
      <c r="D6326" s="211" t="s">
        <v>1255</v>
      </c>
      <c r="E6326" s="211" t="s">
        <v>10385</v>
      </c>
      <c r="F6326" s="211" t="s">
        <v>7692</v>
      </c>
    </row>
    <row r="6327" spans="1:6">
      <c r="A6327" s="211" t="s">
        <v>8585</v>
      </c>
      <c r="B6327" s="211">
        <v>2341</v>
      </c>
      <c r="C6327" s="211">
        <v>931</v>
      </c>
      <c r="D6327" s="211" t="s">
        <v>1255</v>
      </c>
      <c r="E6327" s="211" t="s">
        <v>10385</v>
      </c>
      <c r="F6327" s="211" t="s">
        <v>7692</v>
      </c>
    </row>
    <row r="6328" spans="1:6">
      <c r="A6328" s="211" t="s">
        <v>6187</v>
      </c>
      <c r="B6328" s="211">
        <v>7014</v>
      </c>
      <c r="C6328" s="211">
        <v>1501</v>
      </c>
      <c r="D6328" s="211" t="s">
        <v>1255</v>
      </c>
      <c r="E6328" s="211" t="s">
        <v>10011</v>
      </c>
      <c r="F6328" s="211" t="s">
        <v>7325</v>
      </c>
    </row>
    <row r="6329" spans="1:6">
      <c r="A6329" s="211" t="s">
        <v>2099</v>
      </c>
      <c r="B6329" s="211">
        <v>1121</v>
      </c>
      <c r="C6329" s="211">
        <v>1179</v>
      </c>
      <c r="D6329" s="211" t="s">
        <v>1255</v>
      </c>
      <c r="E6329" s="211" t="s">
        <v>10385</v>
      </c>
      <c r="F6329" s="211" t="s">
        <v>10341</v>
      </c>
    </row>
    <row r="6330" spans="1:6">
      <c r="A6330" s="211" t="s">
        <v>2100</v>
      </c>
      <c r="B6330" s="211">
        <v>4101</v>
      </c>
      <c r="C6330" s="211">
        <v>1162</v>
      </c>
      <c r="D6330" s="211" t="s">
        <v>1255</v>
      </c>
      <c r="E6330" s="211" t="s">
        <v>10385</v>
      </c>
      <c r="F6330" s="211" t="s">
        <v>8062</v>
      </c>
    </row>
    <row r="6331" spans="1:6">
      <c r="A6331" s="211" t="s">
        <v>2101</v>
      </c>
      <c r="B6331" s="211">
        <v>2209</v>
      </c>
      <c r="C6331" s="211">
        <v>1199</v>
      </c>
      <c r="D6331" s="211" t="s">
        <v>1255</v>
      </c>
      <c r="E6331" s="211" t="s">
        <v>10385</v>
      </c>
      <c r="F6331" s="211" t="s">
        <v>7312</v>
      </c>
    </row>
    <row r="6332" spans="1:6">
      <c r="A6332" s="211" t="s">
        <v>8586</v>
      </c>
      <c r="B6332" s="211">
        <v>5881</v>
      </c>
      <c r="C6332" s="211" t="s">
        <v>10385</v>
      </c>
      <c r="D6332" s="211" t="s">
        <v>1255</v>
      </c>
      <c r="E6332" s="211" t="s">
        <v>10385</v>
      </c>
      <c r="F6332" s="211" t="s">
        <v>7402</v>
      </c>
    </row>
    <row r="6333" spans="1:6">
      <c r="A6333" s="211" t="s">
        <v>2102</v>
      </c>
      <c r="B6333" s="211">
        <v>5019</v>
      </c>
      <c r="C6333" s="211">
        <v>789</v>
      </c>
      <c r="D6333" s="211" t="s">
        <v>1255</v>
      </c>
      <c r="E6333" s="211" t="s">
        <v>10385</v>
      </c>
      <c r="F6333" s="211" t="s">
        <v>7330</v>
      </c>
    </row>
    <row r="6334" spans="1:6">
      <c r="A6334" s="211" t="s">
        <v>8587</v>
      </c>
      <c r="B6334" s="211">
        <v>353</v>
      </c>
      <c r="C6334" s="211" t="s">
        <v>10385</v>
      </c>
      <c r="D6334" s="211" t="s">
        <v>1255</v>
      </c>
      <c r="E6334" s="211" t="s">
        <v>10385</v>
      </c>
      <c r="F6334" s="211" t="s">
        <v>7356</v>
      </c>
    </row>
    <row r="6335" spans="1:6">
      <c r="A6335" s="211" t="s">
        <v>4548</v>
      </c>
      <c r="B6335" s="211">
        <v>6675</v>
      </c>
      <c r="C6335" s="211">
        <v>708</v>
      </c>
      <c r="D6335" s="211" t="s">
        <v>1255</v>
      </c>
      <c r="E6335" s="211" t="s">
        <v>5208</v>
      </c>
      <c r="F6335" s="211" t="s">
        <v>7285</v>
      </c>
    </row>
    <row r="6336" spans="1:6">
      <c r="A6336" s="211" t="s">
        <v>2103</v>
      </c>
      <c r="B6336" s="211">
        <v>4974</v>
      </c>
      <c r="C6336" s="211">
        <v>856</v>
      </c>
      <c r="D6336" s="211" t="s">
        <v>1117</v>
      </c>
      <c r="E6336" s="211" t="s">
        <v>10385</v>
      </c>
      <c r="F6336" s="211" t="s">
        <v>7224</v>
      </c>
    </row>
    <row r="6337" spans="1:6">
      <c r="A6337" s="211" t="s">
        <v>2104</v>
      </c>
      <c r="B6337" s="211">
        <v>1192</v>
      </c>
      <c r="C6337" s="211">
        <v>1227</v>
      </c>
      <c r="D6337" s="211" t="s">
        <v>1255</v>
      </c>
      <c r="E6337" s="211" t="s">
        <v>10385</v>
      </c>
      <c r="F6337" s="211" t="s">
        <v>7283</v>
      </c>
    </row>
    <row r="6338" spans="1:6">
      <c r="A6338" s="211" t="s">
        <v>4877</v>
      </c>
      <c r="B6338" s="211">
        <v>4342</v>
      </c>
      <c r="C6338" s="211">
        <v>1371</v>
      </c>
      <c r="D6338" s="211" t="s">
        <v>1255</v>
      </c>
      <c r="E6338" s="211" t="s">
        <v>10385</v>
      </c>
      <c r="F6338" s="211" t="s">
        <v>7459</v>
      </c>
    </row>
    <row r="6339" spans="1:6">
      <c r="A6339" s="211" t="s">
        <v>2874</v>
      </c>
      <c r="B6339" s="211">
        <v>3839</v>
      </c>
      <c r="C6339" s="211">
        <v>909</v>
      </c>
      <c r="D6339" s="211" t="s">
        <v>1255</v>
      </c>
      <c r="E6339" s="211" t="s">
        <v>10385</v>
      </c>
      <c r="F6339" s="211" t="s">
        <v>7264</v>
      </c>
    </row>
    <row r="6340" spans="1:6">
      <c r="A6340" s="211" t="s">
        <v>5345</v>
      </c>
      <c r="B6340" s="211">
        <v>6713</v>
      </c>
      <c r="C6340" s="211">
        <v>728</v>
      </c>
      <c r="D6340" s="211" t="s">
        <v>1255</v>
      </c>
      <c r="E6340" s="211" t="s">
        <v>10385</v>
      </c>
      <c r="F6340" s="211" t="s">
        <v>8066</v>
      </c>
    </row>
    <row r="6341" spans="1:6">
      <c r="A6341" s="211" t="s">
        <v>6188</v>
      </c>
      <c r="B6341" s="211">
        <v>7466</v>
      </c>
      <c r="C6341" s="211">
        <v>1180</v>
      </c>
      <c r="D6341" s="211" t="s">
        <v>1255</v>
      </c>
      <c r="E6341" s="211" t="s">
        <v>10385</v>
      </c>
      <c r="F6341" s="211" t="s">
        <v>7250</v>
      </c>
    </row>
    <row r="6342" spans="1:6">
      <c r="A6342" s="211" t="s">
        <v>2105</v>
      </c>
      <c r="B6342" s="211">
        <v>4218</v>
      </c>
      <c r="C6342" s="211">
        <v>906</v>
      </c>
      <c r="D6342" s="211" t="s">
        <v>1255</v>
      </c>
      <c r="E6342" s="211" t="s">
        <v>10385</v>
      </c>
      <c r="F6342" s="211" t="s">
        <v>7235</v>
      </c>
    </row>
    <row r="6343" spans="1:6">
      <c r="A6343" s="211" t="s">
        <v>2106</v>
      </c>
      <c r="B6343" s="211">
        <v>5913</v>
      </c>
      <c r="C6343" s="211">
        <v>987</v>
      </c>
      <c r="D6343" s="211" t="s">
        <v>1255</v>
      </c>
      <c r="E6343" s="211" t="s">
        <v>10385</v>
      </c>
      <c r="F6343" s="211" t="s">
        <v>7354</v>
      </c>
    </row>
    <row r="6344" spans="1:6">
      <c r="A6344" s="211" t="s">
        <v>4766</v>
      </c>
      <c r="B6344" s="211">
        <v>6205</v>
      </c>
      <c r="C6344" s="211">
        <v>993</v>
      </c>
      <c r="D6344" s="211" t="s">
        <v>1255</v>
      </c>
      <c r="E6344" s="211" t="s">
        <v>10385</v>
      </c>
      <c r="F6344" s="211" t="s">
        <v>7433</v>
      </c>
    </row>
    <row r="6345" spans="1:6">
      <c r="A6345" s="211" t="s">
        <v>2107</v>
      </c>
      <c r="B6345" s="211">
        <v>2667</v>
      </c>
      <c r="C6345" s="211">
        <v>854</v>
      </c>
      <c r="D6345" s="211" t="s">
        <v>1255</v>
      </c>
      <c r="E6345" s="211" t="s">
        <v>10385</v>
      </c>
      <c r="F6345" s="211" t="s">
        <v>7286</v>
      </c>
    </row>
    <row r="6346" spans="1:6">
      <c r="A6346" s="211" t="s">
        <v>2108</v>
      </c>
      <c r="B6346" s="211">
        <v>2958</v>
      </c>
      <c r="C6346" s="211">
        <v>765</v>
      </c>
      <c r="D6346" s="211" t="s">
        <v>1117</v>
      </c>
      <c r="E6346" s="211" t="s">
        <v>10385</v>
      </c>
      <c r="F6346" s="211" t="s">
        <v>7308</v>
      </c>
    </row>
    <row r="6347" spans="1:6">
      <c r="A6347" s="211" t="s">
        <v>5209</v>
      </c>
      <c r="B6347" s="211">
        <v>6779</v>
      </c>
      <c r="C6347" s="211">
        <v>972</v>
      </c>
      <c r="D6347" s="211" t="s">
        <v>1255</v>
      </c>
      <c r="E6347" s="211" t="s">
        <v>10385</v>
      </c>
      <c r="F6347" s="211" t="s">
        <v>7200</v>
      </c>
    </row>
    <row r="6348" spans="1:6">
      <c r="A6348" s="211" t="s">
        <v>8588</v>
      </c>
      <c r="B6348" s="211">
        <v>361</v>
      </c>
      <c r="C6348" s="211" t="s">
        <v>10385</v>
      </c>
      <c r="D6348" s="211" t="s">
        <v>1255</v>
      </c>
      <c r="E6348" s="211" t="s">
        <v>10385</v>
      </c>
      <c r="F6348" s="211" t="s">
        <v>7173</v>
      </c>
    </row>
    <row r="6349" spans="1:6">
      <c r="A6349" s="211" t="s">
        <v>10012</v>
      </c>
      <c r="B6349" s="211">
        <v>8234</v>
      </c>
      <c r="C6349" s="211">
        <v>1102</v>
      </c>
      <c r="D6349" s="211" t="s">
        <v>1255</v>
      </c>
      <c r="E6349" s="211" t="s">
        <v>10385</v>
      </c>
      <c r="F6349" s="211" t="s">
        <v>7384</v>
      </c>
    </row>
    <row r="6350" spans="1:6">
      <c r="A6350" s="211" t="s">
        <v>8589</v>
      </c>
      <c r="B6350" s="211">
        <v>2079</v>
      </c>
      <c r="C6350" s="211" t="s">
        <v>10385</v>
      </c>
      <c r="D6350" s="211" t="s">
        <v>1255</v>
      </c>
      <c r="E6350" s="211" t="s">
        <v>10385</v>
      </c>
      <c r="F6350" s="211" t="s">
        <v>7356</v>
      </c>
    </row>
    <row r="6351" spans="1:6">
      <c r="A6351" s="211" t="s">
        <v>2109</v>
      </c>
      <c r="B6351" s="211">
        <v>5091</v>
      </c>
      <c r="C6351" s="211">
        <v>1170</v>
      </c>
      <c r="D6351" s="211" t="s">
        <v>1255</v>
      </c>
      <c r="E6351" s="211" t="s">
        <v>10385</v>
      </c>
      <c r="F6351" s="211" t="s">
        <v>7471</v>
      </c>
    </row>
    <row r="6352" spans="1:6">
      <c r="A6352" s="211" t="s">
        <v>10373</v>
      </c>
      <c r="B6352" s="211">
        <v>991</v>
      </c>
      <c r="C6352" s="211" t="s">
        <v>10385</v>
      </c>
      <c r="D6352" s="211" t="s">
        <v>1255</v>
      </c>
      <c r="E6352" s="211" t="s">
        <v>10385</v>
      </c>
      <c r="F6352" s="211" t="s">
        <v>7257</v>
      </c>
    </row>
    <row r="6353" spans="1:6">
      <c r="A6353" s="211" t="s">
        <v>6189</v>
      </c>
      <c r="B6353" s="211">
        <v>7588</v>
      </c>
      <c r="C6353" s="211">
        <v>746</v>
      </c>
      <c r="D6353" s="211" t="s">
        <v>1255</v>
      </c>
      <c r="E6353" s="211" t="s">
        <v>7036</v>
      </c>
      <c r="F6353" s="211" t="s">
        <v>7288</v>
      </c>
    </row>
    <row r="6354" spans="1:6">
      <c r="A6354" s="211" t="s">
        <v>2110</v>
      </c>
      <c r="B6354" s="211">
        <v>2830</v>
      </c>
      <c r="C6354" s="211">
        <v>949</v>
      </c>
      <c r="D6354" s="211" t="s">
        <v>1255</v>
      </c>
      <c r="E6354" s="211" t="s">
        <v>10385</v>
      </c>
      <c r="F6354" s="211" t="s">
        <v>7312</v>
      </c>
    </row>
    <row r="6355" spans="1:6">
      <c r="A6355" s="211" t="s">
        <v>2111</v>
      </c>
      <c r="B6355" s="211">
        <v>1488</v>
      </c>
      <c r="C6355" s="211">
        <v>1423</v>
      </c>
      <c r="D6355" s="211" t="s">
        <v>1255</v>
      </c>
      <c r="E6355" s="211" t="s">
        <v>10385</v>
      </c>
      <c r="F6355" s="211" t="s">
        <v>7335</v>
      </c>
    </row>
    <row r="6356" spans="1:6">
      <c r="A6356" s="211" t="s">
        <v>8590</v>
      </c>
      <c r="B6356" s="211">
        <v>5095</v>
      </c>
      <c r="C6356" s="211" t="s">
        <v>10385</v>
      </c>
      <c r="D6356" s="211" t="s">
        <v>1255</v>
      </c>
      <c r="E6356" s="211" t="s">
        <v>10385</v>
      </c>
      <c r="F6356" s="211" t="s">
        <v>7471</v>
      </c>
    </row>
    <row r="6357" spans="1:6">
      <c r="A6357" s="211" t="s">
        <v>3008</v>
      </c>
      <c r="B6357" s="211">
        <v>1877</v>
      </c>
      <c r="C6357" s="211">
        <v>1491</v>
      </c>
      <c r="D6357" s="211" t="s">
        <v>1255</v>
      </c>
      <c r="E6357" s="211" t="s">
        <v>3111</v>
      </c>
      <c r="F6357" s="211" t="s">
        <v>7263</v>
      </c>
    </row>
    <row r="6358" spans="1:6">
      <c r="A6358" s="211" t="s">
        <v>5210</v>
      </c>
      <c r="B6358" s="211">
        <v>6880</v>
      </c>
      <c r="C6358" s="211">
        <v>853</v>
      </c>
      <c r="D6358" s="211" t="s">
        <v>1255</v>
      </c>
      <c r="E6358" s="211" t="s">
        <v>10385</v>
      </c>
      <c r="F6358" s="211" t="s">
        <v>7536</v>
      </c>
    </row>
    <row r="6359" spans="1:6">
      <c r="A6359" s="211" t="s">
        <v>2112</v>
      </c>
      <c r="B6359" s="211">
        <v>4206</v>
      </c>
      <c r="C6359" s="211">
        <v>953</v>
      </c>
      <c r="D6359" s="211" t="s">
        <v>1255</v>
      </c>
      <c r="E6359" s="211" t="s">
        <v>10385</v>
      </c>
      <c r="F6359" s="211" t="s">
        <v>7235</v>
      </c>
    </row>
    <row r="6360" spans="1:6">
      <c r="A6360" s="211" t="s">
        <v>2113</v>
      </c>
      <c r="B6360" s="211">
        <v>755</v>
      </c>
      <c r="C6360" s="211">
        <v>968</v>
      </c>
      <c r="D6360" s="211" t="s">
        <v>1255</v>
      </c>
      <c r="E6360" s="211" t="s">
        <v>10385</v>
      </c>
      <c r="F6360" s="211" t="s">
        <v>7486</v>
      </c>
    </row>
    <row r="6361" spans="1:6">
      <c r="A6361" s="211" t="s">
        <v>8591</v>
      </c>
      <c r="B6361" s="211">
        <v>3143</v>
      </c>
      <c r="C6361" s="211" t="s">
        <v>10385</v>
      </c>
      <c r="D6361" s="211" t="s">
        <v>1255</v>
      </c>
      <c r="E6361" s="211" t="s">
        <v>10385</v>
      </c>
      <c r="F6361" s="211" t="s">
        <v>7264</v>
      </c>
    </row>
    <row r="6362" spans="1:6">
      <c r="A6362" s="211" t="s">
        <v>2114</v>
      </c>
      <c r="B6362" s="211">
        <v>1166</v>
      </c>
      <c r="C6362" s="211">
        <v>1118</v>
      </c>
      <c r="D6362" s="211" t="s">
        <v>1255</v>
      </c>
      <c r="E6362" s="211" t="s">
        <v>10385</v>
      </c>
      <c r="F6362" s="211" t="s">
        <v>7381</v>
      </c>
    </row>
    <row r="6363" spans="1:6">
      <c r="A6363" s="211" t="s">
        <v>4817</v>
      </c>
      <c r="B6363" s="211">
        <v>6149</v>
      </c>
      <c r="C6363" s="211">
        <v>2000</v>
      </c>
      <c r="D6363" s="211" t="s">
        <v>1255</v>
      </c>
      <c r="E6363" s="211" t="s">
        <v>10385</v>
      </c>
      <c r="F6363" s="211" t="s">
        <v>7267</v>
      </c>
    </row>
    <row r="6364" spans="1:6">
      <c r="A6364" s="211" t="s">
        <v>2115</v>
      </c>
      <c r="B6364" s="211">
        <v>2388</v>
      </c>
      <c r="C6364" s="211">
        <v>1784</v>
      </c>
      <c r="D6364" s="211" t="s">
        <v>1255</v>
      </c>
      <c r="E6364" s="211" t="s">
        <v>10385</v>
      </c>
      <c r="F6364" s="211" t="s">
        <v>7382</v>
      </c>
    </row>
    <row r="6365" spans="1:6">
      <c r="A6365" s="211" t="s">
        <v>8592</v>
      </c>
      <c r="B6365" s="211">
        <v>5355</v>
      </c>
      <c r="C6365" s="211" t="s">
        <v>10385</v>
      </c>
      <c r="D6365" s="211" t="s">
        <v>1255</v>
      </c>
      <c r="E6365" s="211" t="s">
        <v>10385</v>
      </c>
      <c r="F6365" s="211" t="s">
        <v>7398</v>
      </c>
    </row>
    <row r="6366" spans="1:6">
      <c r="A6366" s="211" t="s">
        <v>2116</v>
      </c>
      <c r="B6366" s="211">
        <v>4015</v>
      </c>
      <c r="C6366" s="211">
        <v>1572</v>
      </c>
      <c r="D6366" s="211" t="s">
        <v>1255</v>
      </c>
      <c r="E6366" s="211" t="s">
        <v>10385</v>
      </c>
      <c r="F6366" s="211" t="s">
        <v>7453</v>
      </c>
    </row>
    <row r="6367" spans="1:6">
      <c r="A6367" s="211" t="s">
        <v>8593</v>
      </c>
      <c r="B6367" s="211">
        <v>5545</v>
      </c>
      <c r="C6367" s="211" t="s">
        <v>10385</v>
      </c>
      <c r="D6367" s="211" t="s">
        <v>1255</v>
      </c>
      <c r="E6367" s="211" t="s">
        <v>10385</v>
      </c>
      <c r="F6367" s="211" t="s">
        <v>7398</v>
      </c>
    </row>
    <row r="6368" spans="1:6">
      <c r="A6368" s="211" t="s">
        <v>2117</v>
      </c>
      <c r="B6368" s="211">
        <v>2116</v>
      </c>
      <c r="C6368" s="211">
        <v>1559</v>
      </c>
      <c r="D6368" s="211" t="s">
        <v>1255</v>
      </c>
      <c r="E6368" s="211" t="s">
        <v>10385</v>
      </c>
      <c r="F6368" s="211" t="s">
        <v>7199</v>
      </c>
    </row>
    <row r="6369" spans="1:6">
      <c r="A6369" s="211" t="s">
        <v>2118</v>
      </c>
      <c r="B6369" s="211">
        <v>4453</v>
      </c>
      <c r="C6369" s="211">
        <v>949</v>
      </c>
      <c r="D6369" s="211" t="s">
        <v>1255</v>
      </c>
      <c r="E6369" s="211" t="s">
        <v>6190</v>
      </c>
      <c r="F6369" s="211" t="s">
        <v>7242</v>
      </c>
    </row>
    <row r="6370" spans="1:6">
      <c r="A6370" s="211" t="s">
        <v>2119</v>
      </c>
      <c r="B6370" s="211">
        <v>4019</v>
      </c>
      <c r="C6370" s="211">
        <v>1112</v>
      </c>
      <c r="D6370" s="211" t="s">
        <v>1255</v>
      </c>
      <c r="E6370" s="211" t="s">
        <v>10385</v>
      </c>
      <c r="F6370" s="211" t="s">
        <v>7453</v>
      </c>
    </row>
    <row r="6371" spans="1:6">
      <c r="A6371" s="211" t="s">
        <v>2120</v>
      </c>
      <c r="B6371" s="211">
        <v>2870</v>
      </c>
      <c r="C6371" s="211">
        <v>1606</v>
      </c>
      <c r="D6371" s="211" t="s">
        <v>1255</v>
      </c>
      <c r="E6371" s="211" t="s">
        <v>10385</v>
      </c>
      <c r="F6371" s="211" t="s">
        <v>7430</v>
      </c>
    </row>
    <row r="6372" spans="1:6">
      <c r="A6372" s="211" t="s">
        <v>2121</v>
      </c>
      <c r="B6372" s="211">
        <v>2480</v>
      </c>
      <c r="C6372" s="211">
        <v>1107</v>
      </c>
      <c r="D6372" s="211" t="s">
        <v>1255</v>
      </c>
      <c r="E6372" s="211" t="s">
        <v>10385</v>
      </c>
      <c r="F6372" s="211" t="s">
        <v>7355</v>
      </c>
    </row>
    <row r="6373" spans="1:6">
      <c r="A6373" s="211" t="s">
        <v>2122</v>
      </c>
      <c r="B6373" s="211">
        <v>2606</v>
      </c>
      <c r="C6373" s="211">
        <v>657</v>
      </c>
      <c r="D6373" s="211" t="s">
        <v>1255</v>
      </c>
      <c r="E6373" s="211" t="s">
        <v>10385</v>
      </c>
      <c r="F6373" s="211" t="s">
        <v>7438</v>
      </c>
    </row>
    <row r="6374" spans="1:6">
      <c r="A6374" s="211" t="s">
        <v>2123</v>
      </c>
      <c r="B6374" s="211">
        <v>1339</v>
      </c>
      <c r="C6374" s="211">
        <v>1091</v>
      </c>
      <c r="D6374" s="211" t="s">
        <v>1255</v>
      </c>
      <c r="E6374" s="211" t="s">
        <v>10385</v>
      </c>
      <c r="F6374" s="211" t="s">
        <v>7210</v>
      </c>
    </row>
    <row r="6375" spans="1:6">
      <c r="A6375" s="211" t="s">
        <v>5211</v>
      </c>
      <c r="B6375" s="211">
        <v>6705</v>
      </c>
      <c r="C6375" s="211">
        <v>1144</v>
      </c>
      <c r="D6375" s="211" t="s">
        <v>1255</v>
      </c>
      <c r="E6375" s="211" t="s">
        <v>6121</v>
      </c>
      <c r="F6375" s="211" t="s">
        <v>7430</v>
      </c>
    </row>
    <row r="6376" spans="1:6">
      <c r="A6376" s="211" t="s">
        <v>8594</v>
      </c>
      <c r="B6376" s="211">
        <v>5962</v>
      </c>
      <c r="C6376" s="211" t="s">
        <v>10385</v>
      </c>
      <c r="D6376" s="211" t="s">
        <v>1255</v>
      </c>
      <c r="E6376" s="211" t="s">
        <v>10385</v>
      </c>
      <c r="F6376" s="211" t="s">
        <v>7199</v>
      </c>
    </row>
    <row r="6377" spans="1:6">
      <c r="A6377" s="211" t="s">
        <v>8595</v>
      </c>
      <c r="B6377" s="211">
        <v>542</v>
      </c>
      <c r="C6377" s="211" t="s">
        <v>10385</v>
      </c>
      <c r="D6377" s="211" t="s">
        <v>1255</v>
      </c>
      <c r="E6377" s="211" t="s">
        <v>10385</v>
      </c>
      <c r="F6377" s="211" t="s">
        <v>7267</v>
      </c>
    </row>
    <row r="6378" spans="1:6">
      <c r="A6378" s="211" t="s">
        <v>2124</v>
      </c>
      <c r="B6378" s="211">
        <v>1640</v>
      </c>
      <c r="C6378" s="211">
        <v>1982</v>
      </c>
      <c r="D6378" s="211" t="s">
        <v>1255</v>
      </c>
      <c r="E6378" s="211" t="s">
        <v>10385</v>
      </c>
      <c r="F6378" s="211" t="s">
        <v>7386</v>
      </c>
    </row>
    <row r="6379" spans="1:6">
      <c r="A6379" s="211" t="s">
        <v>10013</v>
      </c>
      <c r="B6379" s="211">
        <v>8214</v>
      </c>
      <c r="C6379" s="211">
        <v>938</v>
      </c>
      <c r="D6379" s="211" t="s">
        <v>1255</v>
      </c>
      <c r="E6379" s="211" t="s">
        <v>10385</v>
      </c>
      <c r="F6379" s="211" t="s">
        <v>7471</v>
      </c>
    </row>
    <row r="6380" spans="1:6">
      <c r="A6380" s="211" t="s">
        <v>5212</v>
      </c>
      <c r="B6380" s="211">
        <v>6868</v>
      </c>
      <c r="C6380" s="211">
        <v>1011</v>
      </c>
      <c r="D6380" s="211" t="s">
        <v>1255</v>
      </c>
      <c r="E6380" s="211" t="s">
        <v>7037</v>
      </c>
      <c r="F6380" s="211" t="s">
        <v>8210</v>
      </c>
    </row>
    <row r="6381" spans="1:6">
      <c r="A6381" s="211" t="s">
        <v>10933</v>
      </c>
      <c r="B6381" s="211">
        <v>8835</v>
      </c>
      <c r="C6381" s="211">
        <v>560</v>
      </c>
      <c r="D6381" s="211" t="s">
        <v>1117</v>
      </c>
      <c r="E6381" s="211" t="s">
        <v>10934</v>
      </c>
      <c r="F6381" s="211" t="s">
        <v>10408</v>
      </c>
    </row>
    <row r="6382" spans="1:6">
      <c r="A6382" s="211" t="s">
        <v>2125</v>
      </c>
      <c r="B6382" s="211">
        <v>4625</v>
      </c>
      <c r="C6382" s="211">
        <v>924</v>
      </c>
      <c r="D6382" s="211" t="s">
        <v>1255</v>
      </c>
      <c r="E6382" s="211" t="s">
        <v>10385</v>
      </c>
      <c r="F6382" s="211" t="s">
        <v>7438</v>
      </c>
    </row>
    <row r="6383" spans="1:6">
      <c r="A6383" s="211" t="s">
        <v>2126</v>
      </c>
      <c r="B6383" s="211">
        <v>3066</v>
      </c>
      <c r="C6383" s="211">
        <v>978</v>
      </c>
      <c r="D6383" s="211" t="s">
        <v>1255</v>
      </c>
      <c r="E6383" s="211" t="s">
        <v>10385</v>
      </c>
      <c r="F6383" s="211" t="s">
        <v>7213</v>
      </c>
    </row>
    <row r="6384" spans="1:6">
      <c r="A6384" s="211" t="s">
        <v>10014</v>
      </c>
      <c r="B6384" s="211">
        <v>8526</v>
      </c>
      <c r="C6384" s="211">
        <v>984</v>
      </c>
      <c r="D6384" s="211" t="s">
        <v>1255</v>
      </c>
      <c r="E6384" s="211" t="s">
        <v>10015</v>
      </c>
      <c r="F6384" s="211" t="s">
        <v>7299</v>
      </c>
    </row>
    <row r="6385" spans="1:6">
      <c r="A6385" s="211" t="s">
        <v>2127</v>
      </c>
      <c r="B6385" s="211">
        <v>1978</v>
      </c>
      <c r="C6385" s="211">
        <v>1031</v>
      </c>
      <c r="D6385" s="211" t="s">
        <v>1255</v>
      </c>
      <c r="E6385" s="211" t="s">
        <v>10385</v>
      </c>
      <c r="F6385" s="211" t="s">
        <v>7433</v>
      </c>
    </row>
    <row r="6386" spans="1:6">
      <c r="A6386" s="211" t="s">
        <v>2128</v>
      </c>
      <c r="B6386" s="211">
        <v>3142</v>
      </c>
      <c r="C6386" s="211">
        <v>1137</v>
      </c>
      <c r="D6386" s="211" t="s">
        <v>1255</v>
      </c>
      <c r="E6386" s="211" t="s">
        <v>10385</v>
      </c>
      <c r="F6386" s="211" t="s">
        <v>7202</v>
      </c>
    </row>
    <row r="6387" spans="1:6">
      <c r="A6387" s="211" t="s">
        <v>2129</v>
      </c>
      <c r="B6387" s="211">
        <v>4653</v>
      </c>
      <c r="C6387" s="211">
        <v>1266</v>
      </c>
      <c r="D6387" s="211" t="s">
        <v>1255</v>
      </c>
      <c r="E6387" s="211" t="s">
        <v>10385</v>
      </c>
      <c r="F6387" s="211" t="s">
        <v>7221</v>
      </c>
    </row>
    <row r="6388" spans="1:6">
      <c r="A6388" s="211" t="s">
        <v>2130</v>
      </c>
      <c r="B6388" s="211">
        <v>1834</v>
      </c>
      <c r="C6388" s="211">
        <v>992</v>
      </c>
      <c r="D6388" s="211" t="s">
        <v>1255</v>
      </c>
      <c r="E6388" s="211" t="s">
        <v>10385</v>
      </c>
      <c r="F6388" s="211" t="s">
        <v>7280</v>
      </c>
    </row>
    <row r="6389" spans="1:6">
      <c r="A6389" s="211" t="s">
        <v>8596</v>
      </c>
      <c r="B6389" s="211">
        <v>3841</v>
      </c>
      <c r="C6389" s="211" t="s">
        <v>10385</v>
      </c>
      <c r="D6389" s="211" t="s">
        <v>1255</v>
      </c>
      <c r="E6389" s="211" t="s">
        <v>10385</v>
      </c>
      <c r="F6389" s="211" t="s">
        <v>7264</v>
      </c>
    </row>
    <row r="6390" spans="1:6">
      <c r="A6390" s="211" t="s">
        <v>2131</v>
      </c>
      <c r="B6390" s="211">
        <v>214</v>
      </c>
      <c r="C6390" s="211">
        <v>1452</v>
      </c>
      <c r="D6390" s="211" t="s">
        <v>1255</v>
      </c>
      <c r="E6390" s="211" t="s">
        <v>10385</v>
      </c>
      <c r="F6390" s="211" t="s">
        <v>7239</v>
      </c>
    </row>
    <row r="6391" spans="1:6">
      <c r="A6391" s="211" t="s">
        <v>2132</v>
      </c>
      <c r="B6391" s="211">
        <v>2287</v>
      </c>
      <c r="C6391" s="211">
        <v>558</v>
      </c>
      <c r="D6391" s="211" t="s">
        <v>1117</v>
      </c>
      <c r="E6391" s="211" t="s">
        <v>10385</v>
      </c>
      <c r="F6391" s="211" t="s">
        <v>7267</v>
      </c>
    </row>
    <row r="6392" spans="1:6">
      <c r="A6392" s="211" t="s">
        <v>2133</v>
      </c>
      <c r="B6392" s="211">
        <v>2292</v>
      </c>
      <c r="C6392" s="211">
        <v>1515</v>
      </c>
      <c r="D6392" s="211" t="s">
        <v>1255</v>
      </c>
      <c r="E6392" s="211" t="s">
        <v>10385</v>
      </c>
      <c r="F6392" s="211" t="s">
        <v>7331</v>
      </c>
    </row>
    <row r="6393" spans="1:6">
      <c r="A6393" s="211" t="s">
        <v>2134</v>
      </c>
      <c r="B6393" s="211">
        <v>3978</v>
      </c>
      <c r="C6393" s="211">
        <v>985</v>
      </c>
      <c r="D6393" s="211" t="s">
        <v>1255</v>
      </c>
      <c r="E6393" s="211" t="s">
        <v>10385</v>
      </c>
      <c r="F6393" s="211" t="s">
        <v>7171</v>
      </c>
    </row>
    <row r="6394" spans="1:6">
      <c r="A6394" s="211" t="s">
        <v>10016</v>
      </c>
      <c r="B6394" s="211">
        <v>8062</v>
      </c>
      <c r="C6394" s="211">
        <v>819</v>
      </c>
      <c r="D6394" s="211" t="s">
        <v>1255</v>
      </c>
      <c r="E6394" s="211" t="s">
        <v>10935</v>
      </c>
      <c r="F6394" s="211" t="s">
        <v>7331</v>
      </c>
    </row>
    <row r="6395" spans="1:6">
      <c r="A6395" s="211" t="s">
        <v>2135</v>
      </c>
      <c r="B6395" s="211">
        <v>4322</v>
      </c>
      <c r="C6395" s="211">
        <v>931</v>
      </c>
      <c r="D6395" s="211" t="s">
        <v>1255</v>
      </c>
      <c r="E6395" s="211" t="s">
        <v>10385</v>
      </c>
      <c r="F6395" s="211" t="s">
        <v>7868</v>
      </c>
    </row>
    <row r="6396" spans="1:6">
      <c r="A6396" s="211" t="s">
        <v>8597</v>
      </c>
      <c r="B6396" s="211">
        <v>4870</v>
      </c>
      <c r="C6396" s="211" t="s">
        <v>10385</v>
      </c>
      <c r="D6396" s="211" t="s">
        <v>1255</v>
      </c>
      <c r="E6396" s="211" t="s">
        <v>10385</v>
      </c>
      <c r="F6396" s="211" t="s">
        <v>7240</v>
      </c>
    </row>
    <row r="6397" spans="1:6">
      <c r="A6397" s="211" t="s">
        <v>6191</v>
      </c>
      <c r="B6397" s="211">
        <v>7365</v>
      </c>
      <c r="C6397" s="211">
        <v>1414</v>
      </c>
      <c r="D6397" s="211" t="s">
        <v>1117</v>
      </c>
      <c r="E6397" s="211" t="s">
        <v>6192</v>
      </c>
      <c r="F6397" s="211" t="s">
        <v>7238</v>
      </c>
    </row>
    <row r="6398" spans="1:6">
      <c r="A6398" s="211" t="s">
        <v>10017</v>
      </c>
      <c r="B6398" s="211">
        <v>8109</v>
      </c>
      <c r="C6398" s="211">
        <v>1192</v>
      </c>
      <c r="D6398" s="211" t="s">
        <v>1117</v>
      </c>
      <c r="E6398" s="211" t="s">
        <v>10385</v>
      </c>
      <c r="F6398" s="211" t="s">
        <v>7383</v>
      </c>
    </row>
    <row r="6399" spans="1:6">
      <c r="A6399" s="211" t="s">
        <v>8598</v>
      </c>
      <c r="B6399" s="211">
        <v>6450</v>
      </c>
      <c r="C6399" s="211">
        <v>2140</v>
      </c>
      <c r="D6399" s="211" t="s">
        <v>1117</v>
      </c>
      <c r="E6399" s="211" t="s">
        <v>7038</v>
      </c>
      <c r="F6399" s="211" t="s">
        <v>7573</v>
      </c>
    </row>
    <row r="6400" spans="1:6">
      <c r="A6400" s="211" t="s">
        <v>10936</v>
      </c>
      <c r="B6400" s="211">
        <v>8724</v>
      </c>
      <c r="C6400" s="211">
        <v>669</v>
      </c>
      <c r="D6400" s="211" t="s">
        <v>1255</v>
      </c>
      <c r="E6400" s="211" t="s">
        <v>10937</v>
      </c>
      <c r="F6400" s="211" t="s">
        <v>7510</v>
      </c>
    </row>
    <row r="6401" spans="1:6">
      <c r="A6401" s="211" t="s">
        <v>2136</v>
      </c>
      <c r="B6401" s="211">
        <v>3391</v>
      </c>
      <c r="C6401" s="211">
        <v>1206</v>
      </c>
      <c r="D6401" s="211" t="s">
        <v>1255</v>
      </c>
      <c r="E6401" s="211" t="s">
        <v>10385</v>
      </c>
      <c r="F6401" s="211" t="s">
        <v>7162</v>
      </c>
    </row>
    <row r="6402" spans="1:6">
      <c r="A6402" s="211" t="s">
        <v>7039</v>
      </c>
      <c r="B6402" s="211">
        <v>7642</v>
      </c>
      <c r="C6402" s="211">
        <v>696</v>
      </c>
      <c r="D6402" s="211" t="s">
        <v>1117</v>
      </c>
      <c r="E6402" s="211" t="s">
        <v>10385</v>
      </c>
      <c r="F6402" s="211" t="s">
        <v>7250</v>
      </c>
    </row>
    <row r="6403" spans="1:6">
      <c r="A6403" s="211" t="s">
        <v>10018</v>
      </c>
      <c r="B6403" s="211">
        <v>7902</v>
      </c>
      <c r="C6403" s="211">
        <v>1741</v>
      </c>
      <c r="D6403" s="211" t="s">
        <v>1255</v>
      </c>
      <c r="E6403" s="211" t="s">
        <v>10374</v>
      </c>
      <c r="F6403" s="211" t="s">
        <v>9469</v>
      </c>
    </row>
    <row r="6404" spans="1:6">
      <c r="A6404" s="211" t="s">
        <v>10019</v>
      </c>
      <c r="B6404" s="211">
        <v>8391</v>
      </c>
      <c r="C6404" s="211">
        <v>1406</v>
      </c>
      <c r="D6404" s="211" t="s">
        <v>1255</v>
      </c>
      <c r="E6404" s="211" t="s">
        <v>10385</v>
      </c>
      <c r="F6404" s="211" t="s">
        <v>7307</v>
      </c>
    </row>
    <row r="6405" spans="1:6">
      <c r="A6405" s="211" t="s">
        <v>10020</v>
      </c>
      <c r="B6405" s="211">
        <v>8175</v>
      </c>
      <c r="C6405" s="211">
        <v>1000</v>
      </c>
      <c r="D6405" s="211" t="s">
        <v>1255</v>
      </c>
      <c r="E6405" s="211" t="s">
        <v>10021</v>
      </c>
      <c r="F6405" s="211" t="s">
        <v>7192</v>
      </c>
    </row>
    <row r="6406" spans="1:6">
      <c r="A6406" s="211" t="s">
        <v>2137</v>
      </c>
      <c r="B6406" s="211">
        <v>4161</v>
      </c>
      <c r="C6406" s="211">
        <v>1485</v>
      </c>
      <c r="D6406" s="211" t="s">
        <v>1255</v>
      </c>
      <c r="E6406" s="211" t="s">
        <v>10385</v>
      </c>
      <c r="F6406" s="211" t="s">
        <v>7224</v>
      </c>
    </row>
    <row r="6407" spans="1:6">
      <c r="A6407" s="211" t="s">
        <v>2138</v>
      </c>
      <c r="B6407" s="211">
        <v>3103</v>
      </c>
      <c r="C6407" s="211">
        <v>1605</v>
      </c>
      <c r="D6407" s="211" t="s">
        <v>1255</v>
      </c>
      <c r="E6407" s="211" t="s">
        <v>10385</v>
      </c>
      <c r="F6407" s="211" t="s">
        <v>7427</v>
      </c>
    </row>
    <row r="6408" spans="1:6">
      <c r="A6408" s="211" t="s">
        <v>2139</v>
      </c>
      <c r="B6408" s="211">
        <v>2924</v>
      </c>
      <c r="C6408" s="211">
        <v>880</v>
      </c>
      <c r="D6408" s="211" t="s">
        <v>1255</v>
      </c>
      <c r="E6408" s="211" t="s">
        <v>10385</v>
      </c>
      <c r="F6408" s="211" t="s">
        <v>7205</v>
      </c>
    </row>
    <row r="6409" spans="1:6">
      <c r="A6409" s="211" t="s">
        <v>7040</v>
      </c>
      <c r="B6409" s="211">
        <v>7081</v>
      </c>
      <c r="C6409" s="211">
        <v>1828</v>
      </c>
      <c r="D6409" s="211" t="s">
        <v>1255</v>
      </c>
      <c r="E6409" s="211" t="s">
        <v>7041</v>
      </c>
      <c r="F6409" s="211" t="s">
        <v>7356</v>
      </c>
    </row>
    <row r="6410" spans="1:6">
      <c r="A6410" s="211" t="s">
        <v>3032</v>
      </c>
      <c r="B6410" s="211">
        <v>1475</v>
      </c>
      <c r="C6410" s="211">
        <v>1218</v>
      </c>
      <c r="D6410" s="211" t="s">
        <v>1255</v>
      </c>
      <c r="E6410" s="211" t="s">
        <v>10385</v>
      </c>
      <c r="F6410" s="211" t="s">
        <v>7384</v>
      </c>
    </row>
    <row r="6411" spans="1:6">
      <c r="A6411" s="211" t="s">
        <v>2140</v>
      </c>
      <c r="B6411" s="211">
        <v>2043</v>
      </c>
      <c r="C6411" s="211">
        <v>896</v>
      </c>
      <c r="D6411" s="211" t="s">
        <v>1255</v>
      </c>
      <c r="E6411" s="211" t="s">
        <v>10385</v>
      </c>
      <c r="F6411" s="211" t="s">
        <v>7703</v>
      </c>
    </row>
    <row r="6412" spans="1:6">
      <c r="A6412" s="211" t="s">
        <v>2141</v>
      </c>
      <c r="B6412" s="211">
        <v>5273</v>
      </c>
      <c r="C6412" s="211">
        <v>994</v>
      </c>
      <c r="D6412" s="211" t="s">
        <v>1255</v>
      </c>
      <c r="E6412" s="211" t="s">
        <v>6193</v>
      </c>
      <c r="F6412" s="211" t="s">
        <v>7192</v>
      </c>
    </row>
    <row r="6413" spans="1:6">
      <c r="A6413" s="211" t="s">
        <v>8599</v>
      </c>
      <c r="B6413" s="211">
        <v>3625</v>
      </c>
      <c r="C6413" s="211" t="s">
        <v>10385</v>
      </c>
      <c r="D6413" s="211" t="s">
        <v>1255</v>
      </c>
      <c r="E6413" s="211" t="s">
        <v>10385</v>
      </c>
      <c r="F6413" s="211" t="s">
        <v>7657</v>
      </c>
    </row>
    <row r="6414" spans="1:6">
      <c r="A6414" s="211" t="s">
        <v>7042</v>
      </c>
      <c r="B6414" s="211">
        <v>7683</v>
      </c>
      <c r="C6414" s="211">
        <v>1483</v>
      </c>
      <c r="D6414" s="211" t="s">
        <v>1255</v>
      </c>
      <c r="E6414" s="211" t="s">
        <v>7043</v>
      </c>
      <c r="F6414" s="211" t="s">
        <v>7318</v>
      </c>
    </row>
    <row r="6415" spans="1:6">
      <c r="A6415" s="211" t="s">
        <v>2142</v>
      </c>
      <c r="B6415" s="211">
        <v>4881</v>
      </c>
      <c r="C6415" s="211">
        <v>1126</v>
      </c>
      <c r="D6415" s="211" t="s">
        <v>1255</v>
      </c>
      <c r="E6415" s="211" t="s">
        <v>10385</v>
      </c>
      <c r="F6415" s="211" t="s">
        <v>7373</v>
      </c>
    </row>
    <row r="6416" spans="1:6">
      <c r="A6416" s="211" t="s">
        <v>6194</v>
      </c>
      <c r="B6416" s="211">
        <v>7544</v>
      </c>
      <c r="C6416" s="211">
        <v>638</v>
      </c>
      <c r="D6416" s="211" t="s">
        <v>1117</v>
      </c>
      <c r="E6416" s="211" t="s">
        <v>10385</v>
      </c>
      <c r="F6416" s="211" t="s">
        <v>7223</v>
      </c>
    </row>
    <row r="6417" spans="1:6">
      <c r="A6417" s="211" t="s">
        <v>2143</v>
      </c>
      <c r="B6417" s="211">
        <v>2620</v>
      </c>
      <c r="C6417" s="211">
        <v>981</v>
      </c>
      <c r="D6417" s="211" t="s">
        <v>1255</v>
      </c>
      <c r="E6417" s="211" t="s">
        <v>10385</v>
      </c>
      <c r="F6417" s="211" t="s">
        <v>7867</v>
      </c>
    </row>
    <row r="6418" spans="1:6">
      <c r="A6418" s="211" t="s">
        <v>2144</v>
      </c>
      <c r="B6418" s="211">
        <v>3556</v>
      </c>
      <c r="C6418" s="211">
        <v>1250</v>
      </c>
      <c r="D6418" s="211" t="s">
        <v>1117</v>
      </c>
      <c r="E6418" s="211" t="s">
        <v>10385</v>
      </c>
      <c r="F6418" s="211" t="s">
        <v>7173</v>
      </c>
    </row>
    <row r="6419" spans="1:6">
      <c r="A6419" s="211" t="s">
        <v>2145</v>
      </c>
      <c r="B6419" s="211">
        <v>2193</v>
      </c>
      <c r="C6419" s="211">
        <v>987</v>
      </c>
      <c r="D6419" s="211" t="s">
        <v>1255</v>
      </c>
      <c r="E6419" s="211" t="s">
        <v>10385</v>
      </c>
      <c r="F6419" s="211" t="s">
        <v>7318</v>
      </c>
    </row>
    <row r="6420" spans="1:6">
      <c r="A6420" s="211" t="s">
        <v>4920</v>
      </c>
      <c r="B6420" s="211">
        <v>4408</v>
      </c>
      <c r="C6420" s="211">
        <v>1221</v>
      </c>
      <c r="D6420" s="211" t="s">
        <v>1255</v>
      </c>
      <c r="E6420" s="211" t="s">
        <v>3098</v>
      </c>
      <c r="F6420" s="211" t="s">
        <v>7459</v>
      </c>
    </row>
    <row r="6421" spans="1:6">
      <c r="A6421" s="211" t="s">
        <v>5213</v>
      </c>
      <c r="B6421" s="211">
        <v>6894</v>
      </c>
      <c r="C6421" s="211">
        <v>674</v>
      </c>
      <c r="D6421" s="211" t="s">
        <v>1255</v>
      </c>
      <c r="E6421" s="211" t="s">
        <v>10385</v>
      </c>
      <c r="F6421" s="211" t="s">
        <v>7259</v>
      </c>
    </row>
    <row r="6422" spans="1:6">
      <c r="A6422" s="211" t="s">
        <v>8600</v>
      </c>
      <c r="B6422" s="211">
        <v>6673</v>
      </c>
      <c r="C6422" s="211" t="s">
        <v>10385</v>
      </c>
      <c r="D6422" s="211" t="s">
        <v>1117</v>
      </c>
      <c r="E6422" s="211" t="s">
        <v>10385</v>
      </c>
      <c r="F6422" s="211" t="s">
        <v>7285</v>
      </c>
    </row>
    <row r="6423" spans="1:6">
      <c r="A6423" s="211" t="s">
        <v>2146</v>
      </c>
      <c r="B6423" s="211">
        <v>1033</v>
      </c>
      <c r="C6423" s="211">
        <v>1404</v>
      </c>
      <c r="D6423" s="211" t="s">
        <v>1255</v>
      </c>
      <c r="E6423" s="211" t="s">
        <v>10385</v>
      </c>
      <c r="F6423" s="211" t="s">
        <v>7177</v>
      </c>
    </row>
    <row r="6424" spans="1:6">
      <c r="A6424" s="211" t="s">
        <v>5214</v>
      </c>
      <c r="B6424" s="211">
        <v>6770</v>
      </c>
      <c r="C6424" s="211">
        <v>922</v>
      </c>
      <c r="D6424" s="211" t="s">
        <v>1255</v>
      </c>
      <c r="E6424" s="211" t="s">
        <v>10022</v>
      </c>
      <c r="F6424" s="211" t="s">
        <v>7199</v>
      </c>
    </row>
    <row r="6425" spans="1:6">
      <c r="A6425" s="211" t="s">
        <v>2147</v>
      </c>
      <c r="B6425" s="211">
        <v>3016</v>
      </c>
      <c r="C6425" s="211">
        <v>1157</v>
      </c>
      <c r="D6425" s="211" t="s">
        <v>1255</v>
      </c>
      <c r="E6425" s="211" t="s">
        <v>10385</v>
      </c>
      <c r="F6425" s="211" t="s">
        <v>7240</v>
      </c>
    </row>
    <row r="6426" spans="1:6">
      <c r="A6426" s="211" t="s">
        <v>8601</v>
      </c>
      <c r="B6426" s="211">
        <v>418</v>
      </c>
      <c r="C6426" s="211" t="s">
        <v>10385</v>
      </c>
      <c r="D6426" s="211" t="s">
        <v>1255</v>
      </c>
      <c r="E6426" s="211" t="s">
        <v>10385</v>
      </c>
      <c r="F6426" s="211" t="s">
        <v>7351</v>
      </c>
    </row>
    <row r="6427" spans="1:6">
      <c r="A6427" s="211" t="s">
        <v>2148</v>
      </c>
      <c r="B6427" s="211">
        <v>1660</v>
      </c>
      <c r="C6427" s="211">
        <v>756</v>
      </c>
      <c r="D6427" s="211" t="s">
        <v>1255</v>
      </c>
      <c r="E6427" s="211" t="s">
        <v>10385</v>
      </c>
      <c r="F6427" s="211" t="s">
        <v>7270</v>
      </c>
    </row>
    <row r="6428" spans="1:6">
      <c r="A6428" s="211" t="s">
        <v>8602</v>
      </c>
      <c r="B6428" s="211">
        <v>5371</v>
      </c>
      <c r="C6428" s="211" t="s">
        <v>10385</v>
      </c>
      <c r="D6428" s="211" t="s">
        <v>1255</v>
      </c>
      <c r="E6428" s="211" t="s">
        <v>10385</v>
      </c>
      <c r="F6428" s="211" t="s">
        <v>7444</v>
      </c>
    </row>
    <row r="6429" spans="1:6">
      <c r="A6429" s="211" t="s">
        <v>8603</v>
      </c>
      <c r="B6429" s="211">
        <v>932</v>
      </c>
      <c r="C6429" s="211" t="s">
        <v>10385</v>
      </c>
      <c r="D6429" s="211" t="s">
        <v>1255</v>
      </c>
      <c r="E6429" s="211" t="s">
        <v>10385</v>
      </c>
      <c r="F6429" s="211" t="s">
        <v>7335</v>
      </c>
    </row>
    <row r="6430" spans="1:6">
      <c r="A6430" s="211" t="s">
        <v>6195</v>
      </c>
      <c r="B6430" s="211">
        <v>7291</v>
      </c>
      <c r="C6430" s="211">
        <v>1097</v>
      </c>
      <c r="D6430" s="211" t="s">
        <v>1255</v>
      </c>
      <c r="E6430" s="211" t="s">
        <v>6196</v>
      </c>
      <c r="F6430" s="211" t="s">
        <v>7444</v>
      </c>
    </row>
    <row r="6431" spans="1:6">
      <c r="A6431" s="211" t="s">
        <v>8604</v>
      </c>
      <c r="B6431" s="211">
        <v>3532</v>
      </c>
      <c r="C6431" s="211" t="s">
        <v>10385</v>
      </c>
      <c r="D6431" s="211" t="s">
        <v>1117</v>
      </c>
      <c r="E6431" s="211" t="s">
        <v>10385</v>
      </c>
      <c r="F6431" s="211" t="s">
        <v>7199</v>
      </c>
    </row>
    <row r="6432" spans="1:6">
      <c r="A6432" s="211" t="s">
        <v>10375</v>
      </c>
      <c r="B6432" s="211">
        <v>861</v>
      </c>
      <c r="C6432" s="211" t="s">
        <v>10385</v>
      </c>
      <c r="D6432" s="211" t="s">
        <v>1255</v>
      </c>
      <c r="E6432" s="211" t="s">
        <v>10385</v>
      </c>
      <c r="F6432" s="211" t="s">
        <v>7867</v>
      </c>
    </row>
    <row r="6433" spans="1:6">
      <c r="A6433" s="211" t="s">
        <v>2149</v>
      </c>
      <c r="B6433" s="211">
        <v>34</v>
      </c>
      <c r="C6433" s="211">
        <v>1571</v>
      </c>
      <c r="D6433" s="211" t="s">
        <v>1255</v>
      </c>
      <c r="E6433" s="211" t="s">
        <v>10385</v>
      </c>
      <c r="F6433" s="211" t="s">
        <v>7199</v>
      </c>
    </row>
    <row r="6434" spans="1:6">
      <c r="A6434" s="211" t="s">
        <v>8605</v>
      </c>
      <c r="B6434" s="211">
        <v>5185</v>
      </c>
      <c r="C6434" s="211" t="s">
        <v>10385</v>
      </c>
      <c r="D6434" s="211" t="s">
        <v>1255</v>
      </c>
      <c r="E6434" s="211" t="s">
        <v>10385</v>
      </c>
      <c r="F6434" s="211" t="s">
        <v>7386</v>
      </c>
    </row>
    <row r="6435" spans="1:6">
      <c r="A6435" s="211" t="s">
        <v>6197</v>
      </c>
      <c r="B6435" s="211">
        <v>7605</v>
      </c>
      <c r="C6435" s="211">
        <v>2099</v>
      </c>
      <c r="D6435" s="211" t="s">
        <v>1255</v>
      </c>
      <c r="E6435" s="211" t="s">
        <v>7044</v>
      </c>
      <c r="F6435" s="211" t="s">
        <v>7342</v>
      </c>
    </row>
    <row r="6436" spans="1:6">
      <c r="A6436" s="211" t="s">
        <v>8606</v>
      </c>
      <c r="B6436" s="211">
        <v>4151</v>
      </c>
      <c r="C6436" s="211" t="s">
        <v>10385</v>
      </c>
      <c r="D6436" s="211" t="s">
        <v>1255</v>
      </c>
      <c r="E6436" s="211" t="s">
        <v>10385</v>
      </c>
      <c r="F6436" s="211" t="s">
        <v>7263</v>
      </c>
    </row>
    <row r="6437" spans="1:6">
      <c r="A6437" s="211" t="s">
        <v>2150</v>
      </c>
      <c r="B6437" s="211">
        <v>2333</v>
      </c>
      <c r="C6437" s="211">
        <v>1363</v>
      </c>
      <c r="D6437" s="211" t="s">
        <v>1255</v>
      </c>
      <c r="E6437" s="211" t="s">
        <v>10385</v>
      </c>
      <c r="F6437" s="211" t="s">
        <v>7262</v>
      </c>
    </row>
    <row r="6438" spans="1:6">
      <c r="A6438" s="211" t="s">
        <v>2151</v>
      </c>
      <c r="B6438" s="211">
        <v>4849</v>
      </c>
      <c r="C6438" s="211">
        <v>810</v>
      </c>
      <c r="D6438" s="211" t="s">
        <v>1117</v>
      </c>
      <c r="E6438" s="211" t="s">
        <v>10385</v>
      </c>
      <c r="F6438" s="211" t="s">
        <v>7192</v>
      </c>
    </row>
    <row r="6439" spans="1:6">
      <c r="A6439" s="211" t="s">
        <v>2152</v>
      </c>
      <c r="B6439" s="211">
        <v>1290</v>
      </c>
      <c r="C6439" s="211">
        <v>687</v>
      </c>
      <c r="D6439" s="211" t="s">
        <v>1255</v>
      </c>
      <c r="E6439" s="211" t="s">
        <v>10385</v>
      </c>
      <c r="F6439" s="211" t="s">
        <v>7284</v>
      </c>
    </row>
    <row r="6440" spans="1:6">
      <c r="A6440" s="211" t="s">
        <v>2153</v>
      </c>
      <c r="B6440" s="211">
        <v>2336</v>
      </c>
      <c r="C6440" s="211">
        <v>1304</v>
      </c>
      <c r="D6440" s="211" t="s">
        <v>1255</v>
      </c>
      <c r="E6440" s="211" t="s">
        <v>10385</v>
      </c>
      <c r="F6440" s="211" t="s">
        <v>7510</v>
      </c>
    </row>
    <row r="6441" spans="1:6">
      <c r="A6441" s="211" t="s">
        <v>2154</v>
      </c>
      <c r="B6441" s="211">
        <v>5813</v>
      </c>
      <c r="C6441" s="211">
        <v>1057</v>
      </c>
      <c r="D6441" s="211" t="s">
        <v>1255</v>
      </c>
      <c r="E6441" s="211" t="s">
        <v>10385</v>
      </c>
      <c r="F6441" s="211" t="s">
        <v>7322</v>
      </c>
    </row>
    <row r="6442" spans="1:6">
      <c r="A6442" s="211" t="s">
        <v>2155</v>
      </c>
      <c r="B6442" s="211">
        <v>1371</v>
      </c>
      <c r="C6442" s="211">
        <v>1707</v>
      </c>
      <c r="D6442" s="211" t="s">
        <v>1255</v>
      </c>
      <c r="E6442" s="211" t="s">
        <v>10385</v>
      </c>
      <c r="F6442" s="211" t="s">
        <v>7386</v>
      </c>
    </row>
    <row r="6443" spans="1:6">
      <c r="A6443" s="211" t="s">
        <v>6198</v>
      </c>
      <c r="B6443" s="211">
        <v>7222</v>
      </c>
      <c r="C6443" s="211">
        <v>1116</v>
      </c>
      <c r="D6443" s="211" t="s">
        <v>1255</v>
      </c>
      <c r="E6443" s="211" t="s">
        <v>10385</v>
      </c>
      <c r="F6443" s="211" t="s">
        <v>7341</v>
      </c>
    </row>
    <row r="6444" spans="1:6">
      <c r="A6444" s="211" t="s">
        <v>2156</v>
      </c>
      <c r="B6444" s="211">
        <v>6003</v>
      </c>
      <c r="C6444" s="211">
        <v>1899</v>
      </c>
      <c r="D6444" s="211" t="s">
        <v>1117</v>
      </c>
      <c r="E6444" s="211" t="s">
        <v>10385</v>
      </c>
      <c r="F6444" s="211" t="s">
        <v>7341</v>
      </c>
    </row>
    <row r="6445" spans="1:6">
      <c r="A6445" s="211" t="s">
        <v>10023</v>
      </c>
      <c r="B6445" s="211">
        <v>8165</v>
      </c>
      <c r="C6445" s="211">
        <v>1185</v>
      </c>
      <c r="D6445" s="211" t="s">
        <v>1255</v>
      </c>
      <c r="E6445" s="211" t="s">
        <v>10024</v>
      </c>
      <c r="F6445" s="211" t="s">
        <v>7240</v>
      </c>
    </row>
    <row r="6446" spans="1:6">
      <c r="A6446" s="211" t="s">
        <v>2157</v>
      </c>
      <c r="B6446" s="211">
        <v>1287</v>
      </c>
      <c r="C6446" s="211">
        <v>1467</v>
      </c>
      <c r="D6446" s="211" t="s">
        <v>1255</v>
      </c>
      <c r="E6446" s="211" t="s">
        <v>10385</v>
      </c>
      <c r="F6446" s="211" t="s">
        <v>7165</v>
      </c>
    </row>
    <row r="6447" spans="1:6">
      <c r="A6447" s="211" t="s">
        <v>2158</v>
      </c>
      <c r="B6447" s="211">
        <v>5642</v>
      </c>
      <c r="C6447" s="211">
        <v>1386</v>
      </c>
      <c r="D6447" s="211" t="s">
        <v>1117</v>
      </c>
      <c r="E6447" s="211" t="s">
        <v>10385</v>
      </c>
      <c r="F6447" s="211" t="s">
        <v>7241</v>
      </c>
    </row>
    <row r="6448" spans="1:6">
      <c r="A6448" s="211" t="s">
        <v>4549</v>
      </c>
      <c r="B6448" s="211">
        <v>6571</v>
      </c>
      <c r="C6448" s="211">
        <v>1499</v>
      </c>
      <c r="D6448" s="211" t="s">
        <v>1255</v>
      </c>
      <c r="E6448" s="211" t="s">
        <v>7045</v>
      </c>
      <c r="F6448" s="211" t="s">
        <v>7425</v>
      </c>
    </row>
    <row r="6449" spans="1:6">
      <c r="A6449" s="211" t="s">
        <v>2159</v>
      </c>
      <c r="B6449" s="211">
        <v>4815</v>
      </c>
      <c r="C6449" s="211">
        <v>1494</v>
      </c>
      <c r="D6449" s="211" t="s">
        <v>1255</v>
      </c>
      <c r="E6449" s="211" t="s">
        <v>10385</v>
      </c>
      <c r="F6449" s="211" t="s">
        <v>7210</v>
      </c>
    </row>
    <row r="6450" spans="1:6">
      <c r="A6450" s="211" t="s">
        <v>10025</v>
      </c>
      <c r="B6450" s="211">
        <v>7903</v>
      </c>
      <c r="C6450" s="211">
        <v>1570</v>
      </c>
      <c r="D6450" s="211" t="s">
        <v>1255</v>
      </c>
      <c r="E6450" s="211" t="s">
        <v>10376</v>
      </c>
      <c r="F6450" s="211" t="s">
        <v>9469</v>
      </c>
    </row>
    <row r="6451" spans="1:6">
      <c r="A6451" s="211" t="s">
        <v>8607</v>
      </c>
      <c r="B6451" s="211">
        <v>581</v>
      </c>
      <c r="C6451" s="211" t="s">
        <v>10385</v>
      </c>
      <c r="D6451" s="211" t="s">
        <v>1255</v>
      </c>
      <c r="E6451" s="211" t="s">
        <v>10385</v>
      </c>
      <c r="F6451" s="211" t="s">
        <v>7272</v>
      </c>
    </row>
    <row r="6452" spans="1:6">
      <c r="A6452" s="211" t="s">
        <v>2160</v>
      </c>
      <c r="B6452" s="211">
        <v>5672</v>
      </c>
      <c r="C6452" s="211">
        <v>1489</v>
      </c>
      <c r="D6452" s="211" t="s">
        <v>1117</v>
      </c>
      <c r="E6452" s="211" t="s">
        <v>10938</v>
      </c>
      <c r="F6452" s="211" t="s">
        <v>7232</v>
      </c>
    </row>
    <row r="6453" spans="1:6">
      <c r="A6453" s="211" t="s">
        <v>2161</v>
      </c>
      <c r="B6453" s="211">
        <v>6065</v>
      </c>
      <c r="C6453" s="211">
        <v>1491</v>
      </c>
      <c r="D6453" s="211" t="s">
        <v>1117</v>
      </c>
      <c r="E6453" s="211" t="s">
        <v>10026</v>
      </c>
      <c r="F6453" s="211" t="s">
        <v>7318</v>
      </c>
    </row>
    <row r="6454" spans="1:6">
      <c r="A6454" s="211" t="s">
        <v>2162</v>
      </c>
      <c r="B6454" s="211">
        <v>5760</v>
      </c>
      <c r="C6454" s="211">
        <v>815</v>
      </c>
      <c r="D6454" s="211" t="s">
        <v>1255</v>
      </c>
      <c r="E6454" s="211" t="s">
        <v>10385</v>
      </c>
      <c r="F6454" s="211" t="s">
        <v>7357</v>
      </c>
    </row>
    <row r="6455" spans="1:6">
      <c r="A6455" s="211" t="s">
        <v>10027</v>
      </c>
      <c r="B6455" s="211">
        <v>8543</v>
      </c>
      <c r="C6455" s="211">
        <v>1144</v>
      </c>
      <c r="D6455" s="211" t="s">
        <v>1117</v>
      </c>
      <c r="E6455" s="211" t="s">
        <v>6632</v>
      </c>
      <c r="F6455" s="211" t="s">
        <v>7267</v>
      </c>
    </row>
    <row r="6456" spans="1:6">
      <c r="A6456" s="211" t="s">
        <v>10028</v>
      </c>
      <c r="B6456" s="211">
        <v>8442</v>
      </c>
      <c r="C6456" s="211">
        <v>987</v>
      </c>
      <c r="D6456" s="211" t="s">
        <v>1117</v>
      </c>
      <c r="E6456" s="211" t="s">
        <v>10029</v>
      </c>
      <c r="F6456" s="211" t="s">
        <v>7272</v>
      </c>
    </row>
    <row r="6457" spans="1:6">
      <c r="A6457" s="211" t="s">
        <v>4486</v>
      </c>
      <c r="B6457" s="211">
        <v>6681</v>
      </c>
      <c r="C6457" s="211">
        <v>1252</v>
      </c>
      <c r="D6457" s="211" t="s">
        <v>1255</v>
      </c>
      <c r="E6457" s="211" t="s">
        <v>10385</v>
      </c>
      <c r="F6457" s="211" t="s">
        <v>7431</v>
      </c>
    </row>
    <row r="6458" spans="1:6">
      <c r="A6458" s="211" t="s">
        <v>10030</v>
      </c>
      <c r="B6458" s="211">
        <v>8411</v>
      </c>
      <c r="C6458" s="211">
        <v>995</v>
      </c>
      <c r="D6458" s="211" t="s">
        <v>1255</v>
      </c>
      <c r="E6458" s="211" t="s">
        <v>10385</v>
      </c>
      <c r="F6458" s="211" t="s">
        <v>7334</v>
      </c>
    </row>
    <row r="6459" spans="1:6">
      <c r="A6459" s="211" t="s">
        <v>2163</v>
      </c>
      <c r="B6459" s="211">
        <v>1158</v>
      </c>
      <c r="C6459" s="211">
        <v>1629</v>
      </c>
      <c r="D6459" s="211" t="s">
        <v>1255</v>
      </c>
      <c r="E6459" s="211" t="s">
        <v>10385</v>
      </c>
      <c r="F6459" s="211" t="s">
        <v>7177</v>
      </c>
    </row>
    <row r="6460" spans="1:6">
      <c r="A6460" s="211" t="s">
        <v>2164</v>
      </c>
      <c r="B6460" s="211">
        <v>3237</v>
      </c>
      <c r="C6460" s="211">
        <v>1554</v>
      </c>
      <c r="D6460" s="211" t="s">
        <v>1255</v>
      </c>
      <c r="E6460" s="211" t="s">
        <v>10385</v>
      </c>
      <c r="F6460" s="211" t="s">
        <v>7308</v>
      </c>
    </row>
    <row r="6461" spans="1:6">
      <c r="A6461" s="211" t="s">
        <v>6199</v>
      </c>
      <c r="B6461" s="211">
        <v>7092</v>
      </c>
      <c r="C6461" s="211">
        <v>923</v>
      </c>
      <c r="D6461" s="211" t="s">
        <v>1255</v>
      </c>
      <c r="E6461" s="211" t="s">
        <v>6200</v>
      </c>
      <c r="F6461" s="211" t="s">
        <v>9044</v>
      </c>
    </row>
    <row r="6462" spans="1:6">
      <c r="A6462" s="211" t="s">
        <v>8608</v>
      </c>
      <c r="B6462" s="211">
        <v>7591</v>
      </c>
      <c r="C6462" s="211" t="s">
        <v>10385</v>
      </c>
      <c r="D6462" s="211" t="s">
        <v>1255</v>
      </c>
      <c r="E6462" s="211" t="s">
        <v>10385</v>
      </c>
      <c r="F6462" s="211" t="s">
        <v>7217</v>
      </c>
    </row>
    <row r="6463" spans="1:6">
      <c r="A6463" s="211" t="s">
        <v>2165</v>
      </c>
      <c r="B6463" s="211">
        <v>4828</v>
      </c>
      <c r="C6463" s="211">
        <v>979</v>
      </c>
      <c r="D6463" s="211" t="s">
        <v>1255</v>
      </c>
      <c r="E6463" s="211" t="s">
        <v>10385</v>
      </c>
      <c r="F6463" s="211" t="s">
        <v>10391</v>
      </c>
    </row>
    <row r="6464" spans="1:6">
      <c r="A6464" s="211" t="s">
        <v>2166</v>
      </c>
      <c r="B6464" s="211">
        <v>3794</v>
      </c>
      <c r="C6464" s="211">
        <v>1533</v>
      </c>
      <c r="D6464" s="211" t="s">
        <v>1255</v>
      </c>
      <c r="E6464" s="211" t="s">
        <v>10385</v>
      </c>
      <c r="F6464" s="211" t="s">
        <v>7334</v>
      </c>
    </row>
    <row r="6465" spans="1:6">
      <c r="A6465" s="211" t="s">
        <v>5215</v>
      </c>
      <c r="B6465" s="211">
        <v>6886</v>
      </c>
      <c r="C6465" s="211">
        <v>1436</v>
      </c>
      <c r="D6465" s="211" t="s">
        <v>1255</v>
      </c>
      <c r="E6465" s="211" t="s">
        <v>10385</v>
      </c>
      <c r="F6465" s="211" t="s">
        <v>7308</v>
      </c>
    </row>
    <row r="6466" spans="1:6">
      <c r="A6466" s="211" t="s">
        <v>10031</v>
      </c>
      <c r="B6466" s="211">
        <v>8152</v>
      </c>
      <c r="C6466" s="211">
        <v>1485</v>
      </c>
      <c r="D6466" s="211" t="s">
        <v>1255</v>
      </c>
      <c r="E6466" s="211" t="s">
        <v>10032</v>
      </c>
      <c r="F6466" s="211" t="s">
        <v>7386</v>
      </c>
    </row>
    <row r="6467" spans="1:6">
      <c r="A6467" s="211" t="s">
        <v>2167</v>
      </c>
      <c r="B6467" s="211">
        <v>4714</v>
      </c>
      <c r="C6467" s="211">
        <v>1221</v>
      </c>
      <c r="D6467" s="211" t="s">
        <v>1255</v>
      </c>
      <c r="E6467" s="211" t="s">
        <v>10385</v>
      </c>
      <c r="F6467" s="211" t="s">
        <v>7318</v>
      </c>
    </row>
    <row r="6468" spans="1:6">
      <c r="A6468" s="211" t="s">
        <v>2168</v>
      </c>
      <c r="B6468" s="211">
        <v>4135</v>
      </c>
      <c r="C6468" s="211">
        <v>1215</v>
      </c>
      <c r="D6468" s="211" t="s">
        <v>1255</v>
      </c>
      <c r="E6468" s="211" t="s">
        <v>10385</v>
      </c>
      <c r="F6468" s="211" t="s">
        <v>7205</v>
      </c>
    </row>
    <row r="6469" spans="1:6">
      <c r="A6469" s="211" t="s">
        <v>10939</v>
      </c>
      <c r="B6469" s="211">
        <v>8725</v>
      </c>
      <c r="C6469" s="211">
        <v>885</v>
      </c>
      <c r="D6469" s="211" t="s">
        <v>1255</v>
      </c>
      <c r="E6469" s="211" t="s">
        <v>10940</v>
      </c>
      <c r="F6469" s="211" t="s">
        <v>7573</v>
      </c>
    </row>
    <row r="6470" spans="1:6">
      <c r="A6470" s="211" t="s">
        <v>4787</v>
      </c>
      <c r="B6470" s="211">
        <v>6157</v>
      </c>
      <c r="C6470" s="211">
        <v>1204</v>
      </c>
      <c r="D6470" s="211" t="s">
        <v>1255</v>
      </c>
      <c r="E6470" s="211" t="s">
        <v>10385</v>
      </c>
      <c r="F6470" s="211" t="s">
        <v>7344</v>
      </c>
    </row>
    <row r="6471" spans="1:6">
      <c r="A6471" s="211" t="s">
        <v>8609</v>
      </c>
      <c r="B6471" s="211">
        <v>330</v>
      </c>
      <c r="C6471" s="211" t="s">
        <v>10385</v>
      </c>
      <c r="D6471" s="211" t="s">
        <v>1255</v>
      </c>
      <c r="E6471" s="211" t="s">
        <v>10385</v>
      </c>
      <c r="F6471" s="211" t="s">
        <v>7243</v>
      </c>
    </row>
    <row r="6472" spans="1:6">
      <c r="A6472" s="211" t="s">
        <v>6201</v>
      </c>
      <c r="B6472" s="211">
        <v>7047</v>
      </c>
      <c r="C6472" s="211">
        <v>1283</v>
      </c>
      <c r="D6472" s="211" t="s">
        <v>1255</v>
      </c>
      <c r="E6472" s="211" t="s">
        <v>6202</v>
      </c>
      <c r="F6472" s="211" t="s">
        <v>7320</v>
      </c>
    </row>
    <row r="6473" spans="1:6">
      <c r="A6473" s="211" t="s">
        <v>2169</v>
      </c>
      <c r="B6473" s="211">
        <v>6610</v>
      </c>
      <c r="C6473" s="211">
        <v>1541</v>
      </c>
      <c r="D6473" s="211" t="s">
        <v>1255</v>
      </c>
      <c r="E6473" s="211" t="s">
        <v>10385</v>
      </c>
      <c r="F6473" s="211" t="s">
        <v>7673</v>
      </c>
    </row>
    <row r="6474" spans="1:6">
      <c r="A6474" s="211" t="s">
        <v>10033</v>
      </c>
      <c r="B6474" s="211">
        <v>8570</v>
      </c>
      <c r="C6474" s="211" t="s">
        <v>10385</v>
      </c>
      <c r="D6474" s="211" t="s">
        <v>1255</v>
      </c>
      <c r="E6474" s="211" t="s">
        <v>10385</v>
      </c>
      <c r="F6474" s="211" t="s">
        <v>7431</v>
      </c>
    </row>
    <row r="6475" spans="1:6">
      <c r="A6475" s="211" t="s">
        <v>10034</v>
      </c>
      <c r="B6475" s="211">
        <v>7918</v>
      </c>
      <c r="C6475" s="211">
        <v>993</v>
      </c>
      <c r="D6475" s="211" t="s">
        <v>1255</v>
      </c>
      <c r="E6475" s="211" t="s">
        <v>10035</v>
      </c>
      <c r="F6475" s="211" t="s">
        <v>7223</v>
      </c>
    </row>
    <row r="6476" spans="1:6">
      <c r="A6476" s="211" t="s">
        <v>2170</v>
      </c>
      <c r="B6476" s="211">
        <v>5637</v>
      </c>
      <c r="C6476" s="211">
        <v>1254</v>
      </c>
      <c r="D6476" s="211" t="s">
        <v>1255</v>
      </c>
      <c r="E6476" s="211" t="s">
        <v>10385</v>
      </c>
      <c r="F6476" s="211" t="s">
        <v>7241</v>
      </c>
    </row>
    <row r="6477" spans="1:6">
      <c r="A6477" s="211" t="s">
        <v>10941</v>
      </c>
      <c r="B6477" s="211">
        <v>8766</v>
      </c>
      <c r="C6477" s="211">
        <v>1103</v>
      </c>
      <c r="D6477" s="211" t="s">
        <v>1255</v>
      </c>
      <c r="E6477" s="211" t="s">
        <v>10942</v>
      </c>
      <c r="F6477" s="211" t="s">
        <v>7217</v>
      </c>
    </row>
    <row r="6478" spans="1:6">
      <c r="A6478" s="211" t="s">
        <v>2171</v>
      </c>
      <c r="B6478" s="211">
        <v>5848</v>
      </c>
      <c r="C6478" s="211">
        <v>1082</v>
      </c>
      <c r="D6478" s="211" t="s">
        <v>1255</v>
      </c>
      <c r="E6478" s="211" t="s">
        <v>10385</v>
      </c>
      <c r="F6478" s="211" t="s">
        <v>7241</v>
      </c>
    </row>
    <row r="6479" spans="1:6">
      <c r="A6479" s="211" t="s">
        <v>2172</v>
      </c>
      <c r="B6479" s="211">
        <v>1411</v>
      </c>
      <c r="C6479" s="211">
        <v>486</v>
      </c>
      <c r="D6479" s="211" t="s">
        <v>1255</v>
      </c>
      <c r="E6479" s="211" t="s">
        <v>10385</v>
      </c>
      <c r="F6479" s="211" t="s">
        <v>7175</v>
      </c>
    </row>
    <row r="6480" spans="1:6">
      <c r="A6480" s="211" t="s">
        <v>5216</v>
      </c>
      <c r="B6480" s="211">
        <v>6248</v>
      </c>
      <c r="C6480" s="211">
        <v>789</v>
      </c>
      <c r="D6480" s="211" t="s">
        <v>1255</v>
      </c>
      <c r="E6480" s="211" t="s">
        <v>10385</v>
      </c>
      <c r="F6480" s="211" t="s">
        <v>7223</v>
      </c>
    </row>
    <row r="6481" spans="1:6">
      <c r="A6481" s="211" t="s">
        <v>2173</v>
      </c>
      <c r="B6481" s="211">
        <v>2585</v>
      </c>
      <c r="C6481" s="211">
        <v>926</v>
      </c>
      <c r="D6481" s="211" t="s">
        <v>1255</v>
      </c>
      <c r="E6481" s="211" t="s">
        <v>10385</v>
      </c>
      <c r="F6481" s="211" t="s">
        <v>7692</v>
      </c>
    </row>
    <row r="6482" spans="1:6">
      <c r="A6482" s="211" t="s">
        <v>7046</v>
      </c>
      <c r="B6482" s="211">
        <v>7721</v>
      </c>
      <c r="C6482" s="211">
        <v>1254</v>
      </c>
      <c r="D6482" s="211" t="s">
        <v>1255</v>
      </c>
      <c r="E6482" s="211" t="s">
        <v>7047</v>
      </c>
      <c r="F6482" s="211" t="s">
        <v>7532</v>
      </c>
    </row>
    <row r="6483" spans="1:6">
      <c r="A6483" s="211" t="s">
        <v>2174</v>
      </c>
      <c r="B6483" s="211">
        <v>5699</v>
      </c>
      <c r="C6483" s="211">
        <v>1847</v>
      </c>
      <c r="D6483" s="211" t="s">
        <v>1255</v>
      </c>
      <c r="E6483" s="211" t="s">
        <v>10385</v>
      </c>
      <c r="F6483" s="211" t="s">
        <v>7342</v>
      </c>
    </row>
    <row r="6484" spans="1:6">
      <c r="A6484" s="211" t="s">
        <v>2175</v>
      </c>
      <c r="B6484" s="211">
        <v>4237</v>
      </c>
      <c r="C6484" s="211">
        <v>1107</v>
      </c>
      <c r="D6484" s="211" t="s">
        <v>1255</v>
      </c>
      <c r="E6484" s="211" t="s">
        <v>10385</v>
      </c>
      <c r="F6484" s="211" t="s">
        <v>7383</v>
      </c>
    </row>
    <row r="6485" spans="1:6">
      <c r="A6485" s="211" t="s">
        <v>6203</v>
      </c>
      <c r="B6485" s="211">
        <v>7357</v>
      </c>
      <c r="C6485" s="211">
        <v>1113</v>
      </c>
      <c r="D6485" s="211" t="s">
        <v>1255</v>
      </c>
      <c r="E6485" s="211" t="s">
        <v>6204</v>
      </c>
      <c r="F6485" s="211" t="s">
        <v>7238</v>
      </c>
    </row>
    <row r="6486" spans="1:6">
      <c r="A6486" s="211" t="s">
        <v>2176</v>
      </c>
      <c r="B6486" s="211">
        <v>5649</v>
      </c>
      <c r="C6486" s="211">
        <v>895</v>
      </c>
      <c r="D6486" s="211" t="s">
        <v>1255</v>
      </c>
      <c r="E6486" s="211" t="s">
        <v>10385</v>
      </c>
      <c r="F6486" s="211" t="s">
        <v>7241</v>
      </c>
    </row>
    <row r="6487" spans="1:6">
      <c r="A6487" s="211" t="s">
        <v>8610</v>
      </c>
      <c r="B6487" s="211">
        <v>264</v>
      </c>
      <c r="C6487" s="211" t="s">
        <v>10385</v>
      </c>
      <c r="D6487" s="211" t="s">
        <v>1255</v>
      </c>
      <c r="E6487" s="211" t="s">
        <v>10385</v>
      </c>
      <c r="F6487" s="211" t="s">
        <v>7242</v>
      </c>
    </row>
    <row r="6488" spans="1:6">
      <c r="A6488" s="211" t="s">
        <v>2177</v>
      </c>
      <c r="B6488" s="211">
        <v>776</v>
      </c>
      <c r="C6488" s="211">
        <v>1321</v>
      </c>
      <c r="D6488" s="211" t="s">
        <v>1255</v>
      </c>
      <c r="E6488" s="211" t="s">
        <v>10385</v>
      </c>
      <c r="F6488" s="211" t="s">
        <v>7323</v>
      </c>
    </row>
    <row r="6489" spans="1:6">
      <c r="A6489" s="211" t="s">
        <v>2178</v>
      </c>
      <c r="B6489" s="211">
        <v>4525</v>
      </c>
      <c r="C6489" s="211">
        <v>702</v>
      </c>
      <c r="D6489" s="211" t="s">
        <v>1117</v>
      </c>
      <c r="E6489" s="211" t="s">
        <v>10385</v>
      </c>
      <c r="F6489" s="211" t="s">
        <v>7257</v>
      </c>
    </row>
    <row r="6490" spans="1:6">
      <c r="A6490" s="211" t="s">
        <v>4652</v>
      </c>
      <c r="B6490" s="211">
        <v>6334</v>
      </c>
      <c r="C6490" s="211">
        <v>1313</v>
      </c>
      <c r="D6490" s="211" t="s">
        <v>1255</v>
      </c>
      <c r="E6490" s="211" t="s">
        <v>10385</v>
      </c>
      <c r="F6490" s="211" t="s">
        <v>7782</v>
      </c>
    </row>
    <row r="6491" spans="1:6">
      <c r="A6491" s="211" t="s">
        <v>10943</v>
      </c>
      <c r="B6491" s="211">
        <v>8771</v>
      </c>
      <c r="C6491" s="211">
        <v>1000</v>
      </c>
      <c r="D6491" s="211" t="s">
        <v>1255</v>
      </c>
      <c r="E6491" s="211" t="s">
        <v>10944</v>
      </c>
      <c r="F6491" s="211" t="s">
        <v>7583</v>
      </c>
    </row>
    <row r="6492" spans="1:6">
      <c r="A6492" s="211" t="s">
        <v>8611</v>
      </c>
      <c r="B6492" s="211">
        <v>1381</v>
      </c>
      <c r="C6492" s="211" t="s">
        <v>10385</v>
      </c>
      <c r="D6492" s="211" t="s">
        <v>1255</v>
      </c>
      <c r="E6492" s="211" t="s">
        <v>10385</v>
      </c>
      <c r="F6492" s="211" t="s">
        <v>7438</v>
      </c>
    </row>
    <row r="6493" spans="1:6">
      <c r="A6493" s="211" t="s">
        <v>4767</v>
      </c>
      <c r="B6493" s="211">
        <v>6185</v>
      </c>
      <c r="C6493" s="211">
        <v>893</v>
      </c>
      <c r="D6493" s="211" t="s">
        <v>1255</v>
      </c>
      <c r="E6493" s="211" t="s">
        <v>10385</v>
      </c>
      <c r="F6493" s="211" t="s">
        <v>7228</v>
      </c>
    </row>
    <row r="6494" spans="1:6">
      <c r="A6494" s="211" t="s">
        <v>2179</v>
      </c>
      <c r="B6494" s="211">
        <v>1776</v>
      </c>
      <c r="C6494" s="211">
        <v>1167</v>
      </c>
      <c r="D6494" s="211" t="s">
        <v>1255</v>
      </c>
      <c r="E6494" s="211" t="s">
        <v>10385</v>
      </c>
      <c r="F6494" s="211" t="s">
        <v>7262</v>
      </c>
    </row>
    <row r="6495" spans="1:6">
      <c r="A6495" s="211" t="s">
        <v>2180</v>
      </c>
      <c r="B6495" s="211">
        <v>286</v>
      </c>
      <c r="C6495" s="211">
        <v>2031</v>
      </c>
      <c r="D6495" s="211" t="s">
        <v>1255</v>
      </c>
      <c r="E6495" s="211" t="s">
        <v>10385</v>
      </c>
      <c r="F6495" s="211" t="s">
        <v>7245</v>
      </c>
    </row>
    <row r="6496" spans="1:6">
      <c r="A6496" s="211" t="s">
        <v>8612</v>
      </c>
      <c r="B6496" s="211">
        <v>287</v>
      </c>
      <c r="C6496" s="211" t="s">
        <v>10385</v>
      </c>
      <c r="D6496" s="211" t="s">
        <v>1255</v>
      </c>
      <c r="E6496" s="211" t="s">
        <v>10385</v>
      </c>
      <c r="F6496" s="211" t="s">
        <v>7245</v>
      </c>
    </row>
    <row r="6497" spans="1:6">
      <c r="A6497" s="211" t="s">
        <v>8613</v>
      </c>
      <c r="B6497" s="211">
        <v>1269</v>
      </c>
      <c r="C6497" s="211" t="s">
        <v>10385</v>
      </c>
      <c r="D6497" s="211" t="s">
        <v>1255</v>
      </c>
      <c r="E6497" s="211" t="s">
        <v>10385</v>
      </c>
      <c r="F6497" s="211" t="s">
        <v>7386</v>
      </c>
    </row>
    <row r="6498" spans="1:6">
      <c r="A6498" s="211" t="s">
        <v>2181</v>
      </c>
      <c r="B6498" s="211">
        <v>5890</v>
      </c>
      <c r="C6498" s="211">
        <v>1911</v>
      </c>
      <c r="D6498" s="211" t="s">
        <v>1255</v>
      </c>
      <c r="E6498" s="211" t="s">
        <v>10385</v>
      </c>
      <c r="F6498" s="211" t="s">
        <v>7267</v>
      </c>
    </row>
    <row r="6499" spans="1:6">
      <c r="A6499" s="211" t="s">
        <v>2182</v>
      </c>
      <c r="B6499" s="211">
        <v>2018</v>
      </c>
      <c r="C6499" s="211">
        <v>1380</v>
      </c>
      <c r="D6499" s="211" t="s">
        <v>1255</v>
      </c>
      <c r="E6499" s="211" t="s">
        <v>10385</v>
      </c>
      <c r="F6499" s="211" t="s">
        <v>9024</v>
      </c>
    </row>
    <row r="6500" spans="1:6">
      <c r="A6500" s="211" t="s">
        <v>8614</v>
      </c>
      <c r="B6500" s="211">
        <v>3189</v>
      </c>
      <c r="C6500" s="211" t="s">
        <v>10385</v>
      </c>
      <c r="D6500" s="211" t="s">
        <v>1255</v>
      </c>
      <c r="E6500" s="211" t="s">
        <v>10385</v>
      </c>
      <c r="F6500" s="211" t="s">
        <v>7322</v>
      </c>
    </row>
    <row r="6501" spans="1:6">
      <c r="A6501" s="211" t="s">
        <v>8615</v>
      </c>
      <c r="B6501" s="211">
        <v>693</v>
      </c>
      <c r="C6501" s="211" t="s">
        <v>10385</v>
      </c>
      <c r="D6501" s="211" t="s">
        <v>1255</v>
      </c>
      <c r="E6501" s="211" t="s">
        <v>10385</v>
      </c>
      <c r="F6501" s="211" t="s">
        <v>7573</v>
      </c>
    </row>
    <row r="6502" spans="1:6">
      <c r="A6502" s="211" t="s">
        <v>8616</v>
      </c>
      <c r="B6502" s="211">
        <v>643</v>
      </c>
      <c r="C6502" s="211" t="s">
        <v>10385</v>
      </c>
      <c r="D6502" s="211" t="s">
        <v>1255</v>
      </c>
      <c r="E6502" s="211" t="s">
        <v>10385</v>
      </c>
      <c r="F6502" s="211" t="s">
        <v>7285</v>
      </c>
    </row>
    <row r="6503" spans="1:6">
      <c r="A6503" s="211" t="s">
        <v>2183</v>
      </c>
      <c r="B6503" s="211">
        <v>3477</v>
      </c>
      <c r="C6503" s="211">
        <v>1104</v>
      </c>
      <c r="D6503" s="211" t="s">
        <v>1255</v>
      </c>
      <c r="E6503" s="211" t="s">
        <v>10385</v>
      </c>
      <c r="F6503" s="211" t="s">
        <v>7316</v>
      </c>
    </row>
    <row r="6504" spans="1:6">
      <c r="A6504" s="211" t="s">
        <v>4683</v>
      </c>
      <c r="B6504" s="211">
        <v>6401</v>
      </c>
      <c r="C6504" s="211">
        <v>2143</v>
      </c>
      <c r="D6504" s="211" t="s">
        <v>1255</v>
      </c>
      <c r="E6504" s="211" t="s">
        <v>6205</v>
      </c>
      <c r="F6504" s="211" t="s">
        <v>7167</v>
      </c>
    </row>
    <row r="6505" spans="1:6">
      <c r="A6505" s="211" t="s">
        <v>6206</v>
      </c>
      <c r="B6505" s="211">
        <v>7292</v>
      </c>
      <c r="C6505" s="211">
        <v>964</v>
      </c>
      <c r="D6505" s="211" t="s">
        <v>1255</v>
      </c>
      <c r="E6505" s="211" t="s">
        <v>6207</v>
      </c>
      <c r="F6505" s="211" t="s">
        <v>7444</v>
      </c>
    </row>
    <row r="6506" spans="1:6">
      <c r="A6506" s="211" t="s">
        <v>10036</v>
      </c>
      <c r="B6506" s="211">
        <v>8098</v>
      </c>
      <c r="C6506" s="211">
        <v>1594</v>
      </c>
      <c r="D6506" s="211" t="s">
        <v>1255</v>
      </c>
      <c r="E6506" s="211" t="s">
        <v>10037</v>
      </c>
      <c r="F6506" s="211" t="s">
        <v>7298</v>
      </c>
    </row>
    <row r="6507" spans="1:6">
      <c r="A6507" s="211" t="s">
        <v>2184</v>
      </c>
      <c r="B6507" s="211">
        <v>2376</v>
      </c>
      <c r="C6507" s="211">
        <v>1173</v>
      </c>
      <c r="D6507" s="211" t="s">
        <v>1255</v>
      </c>
      <c r="E6507" s="211" t="s">
        <v>10385</v>
      </c>
      <c r="F6507" s="211" t="s">
        <v>7330</v>
      </c>
    </row>
    <row r="6508" spans="1:6">
      <c r="A6508" s="211" t="s">
        <v>2185</v>
      </c>
      <c r="B6508" s="211">
        <v>2614</v>
      </c>
      <c r="C6508" s="211">
        <v>1305</v>
      </c>
      <c r="D6508" s="211" t="s">
        <v>1255</v>
      </c>
      <c r="E6508" s="211" t="s">
        <v>10385</v>
      </c>
      <c r="F6508" s="211" t="s">
        <v>7229</v>
      </c>
    </row>
    <row r="6509" spans="1:6">
      <c r="A6509" s="211" t="s">
        <v>8617</v>
      </c>
      <c r="B6509" s="211">
        <v>707</v>
      </c>
      <c r="C6509" s="211" t="s">
        <v>10385</v>
      </c>
      <c r="D6509" s="211" t="s">
        <v>1255</v>
      </c>
      <c r="E6509" s="211" t="s">
        <v>10385</v>
      </c>
      <c r="F6509" s="211" t="s">
        <v>7597</v>
      </c>
    </row>
    <row r="6510" spans="1:6">
      <c r="A6510" s="211" t="s">
        <v>10038</v>
      </c>
      <c r="B6510" s="211">
        <v>8554</v>
      </c>
      <c r="C6510" s="211">
        <v>993</v>
      </c>
      <c r="D6510" s="211" t="s">
        <v>1255</v>
      </c>
      <c r="E6510" s="211" t="s">
        <v>10385</v>
      </c>
      <c r="F6510" s="211" t="s">
        <v>7258</v>
      </c>
    </row>
    <row r="6511" spans="1:6">
      <c r="A6511" s="211" t="s">
        <v>10039</v>
      </c>
      <c r="B6511" s="211">
        <v>8509</v>
      </c>
      <c r="C6511" s="211">
        <v>1396</v>
      </c>
      <c r="D6511" s="211" t="s">
        <v>1255</v>
      </c>
      <c r="E6511" s="211" t="s">
        <v>10040</v>
      </c>
      <c r="F6511" s="211" t="s">
        <v>7165</v>
      </c>
    </row>
    <row r="6512" spans="1:6">
      <c r="A6512" s="211" t="s">
        <v>2186</v>
      </c>
      <c r="B6512" s="211">
        <v>5767</v>
      </c>
      <c r="C6512" s="211">
        <v>1024</v>
      </c>
      <c r="D6512" s="211" t="s">
        <v>1255</v>
      </c>
      <c r="E6512" s="211" t="s">
        <v>10385</v>
      </c>
      <c r="F6512" s="211" t="s">
        <v>7382</v>
      </c>
    </row>
    <row r="6513" spans="1:6">
      <c r="A6513" s="211" t="s">
        <v>8618</v>
      </c>
      <c r="B6513" s="211">
        <v>5932</v>
      </c>
      <c r="C6513" s="211" t="s">
        <v>10385</v>
      </c>
      <c r="D6513" s="211" t="s">
        <v>1255</v>
      </c>
      <c r="E6513" s="211" t="s">
        <v>10385</v>
      </c>
      <c r="F6513" s="211" t="s">
        <v>7382</v>
      </c>
    </row>
    <row r="6514" spans="1:6">
      <c r="A6514" s="211" t="s">
        <v>10945</v>
      </c>
      <c r="B6514" s="211">
        <v>8796</v>
      </c>
      <c r="C6514" s="211">
        <v>1500</v>
      </c>
      <c r="D6514" s="211" t="s">
        <v>1255</v>
      </c>
      <c r="E6514" s="211" t="s">
        <v>10946</v>
      </c>
      <c r="F6514" s="211" t="s">
        <v>10565</v>
      </c>
    </row>
    <row r="6515" spans="1:6">
      <c r="A6515" s="211" t="s">
        <v>2187</v>
      </c>
      <c r="B6515" s="211">
        <v>5010</v>
      </c>
      <c r="C6515" s="211">
        <v>1866</v>
      </c>
      <c r="D6515" s="211" t="s">
        <v>1255</v>
      </c>
      <c r="E6515" s="211" t="s">
        <v>10385</v>
      </c>
      <c r="F6515" s="211" t="s">
        <v>7167</v>
      </c>
    </row>
    <row r="6516" spans="1:6">
      <c r="A6516" s="211" t="s">
        <v>8619</v>
      </c>
      <c r="B6516" s="211">
        <v>1387</v>
      </c>
      <c r="C6516" s="211" t="s">
        <v>10385</v>
      </c>
      <c r="D6516" s="211" t="s">
        <v>1255</v>
      </c>
      <c r="E6516" s="211" t="s">
        <v>10385</v>
      </c>
      <c r="F6516" s="211" t="s">
        <v>7231</v>
      </c>
    </row>
    <row r="6517" spans="1:6">
      <c r="A6517" s="211" t="s">
        <v>2188</v>
      </c>
      <c r="B6517" s="211">
        <v>5154</v>
      </c>
      <c r="C6517" s="211">
        <v>1017</v>
      </c>
      <c r="D6517" s="211" t="s">
        <v>1117</v>
      </c>
      <c r="E6517" s="211" t="s">
        <v>10385</v>
      </c>
      <c r="F6517" s="211" t="s">
        <v>7199</v>
      </c>
    </row>
    <row r="6518" spans="1:6">
      <c r="A6518" s="211" t="s">
        <v>2189</v>
      </c>
      <c r="B6518" s="211">
        <v>2163</v>
      </c>
      <c r="C6518" s="211">
        <v>770</v>
      </c>
      <c r="D6518" s="211" t="s">
        <v>1255</v>
      </c>
      <c r="E6518" s="211" t="s">
        <v>10385</v>
      </c>
      <c r="F6518" s="211" t="s">
        <v>7394</v>
      </c>
    </row>
    <row r="6519" spans="1:6">
      <c r="A6519" s="211" t="s">
        <v>2190</v>
      </c>
      <c r="B6519" s="211">
        <v>3602</v>
      </c>
      <c r="C6519" s="211">
        <v>830</v>
      </c>
      <c r="D6519" s="211" t="s">
        <v>1255</v>
      </c>
      <c r="E6519" s="211" t="s">
        <v>10385</v>
      </c>
      <c r="F6519" s="211" t="s">
        <v>7284</v>
      </c>
    </row>
    <row r="6520" spans="1:6">
      <c r="A6520" s="211" t="s">
        <v>6208</v>
      </c>
      <c r="B6520" s="211">
        <v>7262</v>
      </c>
      <c r="C6520" s="211">
        <v>1533</v>
      </c>
      <c r="D6520" s="211" t="s">
        <v>1117</v>
      </c>
      <c r="E6520" s="211" t="s">
        <v>7048</v>
      </c>
      <c r="F6520" s="211" t="s">
        <v>7322</v>
      </c>
    </row>
    <row r="6521" spans="1:6">
      <c r="A6521" s="211" t="s">
        <v>3997</v>
      </c>
      <c r="B6521" s="211">
        <v>2288</v>
      </c>
      <c r="C6521" s="211">
        <v>836</v>
      </c>
      <c r="D6521" s="211" t="s">
        <v>1117</v>
      </c>
      <c r="E6521" s="211" t="s">
        <v>10385</v>
      </c>
      <c r="F6521" s="211" t="s">
        <v>7267</v>
      </c>
    </row>
    <row r="6522" spans="1:6">
      <c r="A6522" s="211" t="s">
        <v>3998</v>
      </c>
      <c r="B6522" s="211">
        <v>5914</v>
      </c>
      <c r="C6522" s="211">
        <v>873</v>
      </c>
      <c r="D6522" s="211" t="s">
        <v>1117</v>
      </c>
      <c r="E6522" s="211" t="s">
        <v>10385</v>
      </c>
      <c r="F6522" s="211" t="s">
        <v>7250</v>
      </c>
    </row>
    <row r="6523" spans="1:6">
      <c r="A6523" s="211" t="s">
        <v>3999</v>
      </c>
      <c r="B6523" s="211">
        <v>4157</v>
      </c>
      <c r="C6523" s="211">
        <v>1375</v>
      </c>
      <c r="D6523" s="211" t="s">
        <v>1255</v>
      </c>
      <c r="E6523" s="211" t="s">
        <v>10385</v>
      </c>
      <c r="F6523" s="211" t="s">
        <v>7384</v>
      </c>
    </row>
    <row r="6524" spans="1:6">
      <c r="A6524" s="211" t="s">
        <v>7049</v>
      </c>
      <c r="B6524" s="211">
        <v>7812</v>
      </c>
      <c r="C6524" s="211">
        <v>825</v>
      </c>
      <c r="D6524" s="211" t="s">
        <v>1255</v>
      </c>
      <c r="E6524" s="211" t="s">
        <v>10385</v>
      </c>
      <c r="F6524" s="211" t="s">
        <v>7189</v>
      </c>
    </row>
    <row r="6525" spans="1:6">
      <c r="A6525" s="211" t="s">
        <v>2955</v>
      </c>
      <c r="B6525" s="211">
        <v>2644</v>
      </c>
      <c r="C6525" s="211">
        <v>1183</v>
      </c>
      <c r="D6525" s="211" t="s">
        <v>1255</v>
      </c>
      <c r="E6525" s="211" t="s">
        <v>10385</v>
      </c>
      <c r="F6525" s="211" t="s">
        <v>7322</v>
      </c>
    </row>
    <row r="6526" spans="1:6">
      <c r="A6526" s="211" t="s">
        <v>5217</v>
      </c>
      <c r="B6526" s="211">
        <v>6861</v>
      </c>
      <c r="C6526" s="211">
        <v>1353</v>
      </c>
      <c r="D6526" s="211" t="s">
        <v>1255</v>
      </c>
      <c r="E6526" s="211" t="s">
        <v>7050</v>
      </c>
      <c r="F6526" s="211" t="s">
        <v>8210</v>
      </c>
    </row>
    <row r="6527" spans="1:6">
      <c r="A6527" s="211" t="s">
        <v>10947</v>
      </c>
      <c r="B6527" s="211">
        <v>8657</v>
      </c>
      <c r="C6527" s="211">
        <v>1210</v>
      </c>
      <c r="D6527" s="211" t="s">
        <v>1255</v>
      </c>
      <c r="E6527" s="211" t="s">
        <v>10948</v>
      </c>
      <c r="F6527" s="211" t="s">
        <v>7255</v>
      </c>
    </row>
    <row r="6528" spans="1:6">
      <c r="A6528" s="211" t="s">
        <v>4000</v>
      </c>
      <c r="B6528" s="211">
        <v>4179</v>
      </c>
      <c r="C6528" s="211">
        <v>493</v>
      </c>
      <c r="D6528" s="211" t="s">
        <v>1255</v>
      </c>
      <c r="E6528" s="211" t="s">
        <v>10385</v>
      </c>
      <c r="F6528" s="211" t="s">
        <v>7398</v>
      </c>
    </row>
    <row r="6529" spans="1:6">
      <c r="A6529" s="211" t="s">
        <v>4001</v>
      </c>
      <c r="B6529" s="211">
        <v>2348</v>
      </c>
      <c r="C6529" s="211">
        <v>1115</v>
      </c>
      <c r="D6529" s="211" t="s">
        <v>1255</v>
      </c>
      <c r="E6529" s="211" t="s">
        <v>10385</v>
      </c>
      <c r="F6529" s="211" t="s">
        <v>7237</v>
      </c>
    </row>
    <row r="6530" spans="1:6">
      <c r="A6530" s="211" t="s">
        <v>8620</v>
      </c>
      <c r="B6530" s="211">
        <v>1384</v>
      </c>
      <c r="C6530" s="211" t="s">
        <v>10385</v>
      </c>
      <c r="D6530" s="211" t="s">
        <v>1255</v>
      </c>
      <c r="E6530" s="211" t="s">
        <v>10385</v>
      </c>
      <c r="F6530" s="211" t="s">
        <v>7610</v>
      </c>
    </row>
    <row r="6531" spans="1:6">
      <c r="A6531" s="211" t="s">
        <v>4002</v>
      </c>
      <c r="B6531" s="211">
        <v>1758</v>
      </c>
      <c r="C6531" s="211">
        <v>1856</v>
      </c>
      <c r="D6531" s="211" t="s">
        <v>1255</v>
      </c>
      <c r="E6531" s="211" t="s">
        <v>10385</v>
      </c>
      <c r="F6531" s="211" t="s">
        <v>7272</v>
      </c>
    </row>
    <row r="6532" spans="1:6">
      <c r="A6532" s="211" t="s">
        <v>8621</v>
      </c>
      <c r="B6532" s="211">
        <v>1224</v>
      </c>
      <c r="C6532" s="211">
        <v>1275</v>
      </c>
      <c r="D6532" s="211" t="s">
        <v>1255</v>
      </c>
      <c r="E6532" s="211" t="s">
        <v>10385</v>
      </c>
      <c r="F6532" s="211" t="s">
        <v>7265</v>
      </c>
    </row>
    <row r="6533" spans="1:6">
      <c r="A6533" s="211" t="s">
        <v>4003</v>
      </c>
      <c r="B6533" s="211">
        <v>1328</v>
      </c>
      <c r="C6533" s="211">
        <v>1309</v>
      </c>
      <c r="D6533" s="211" t="s">
        <v>1255</v>
      </c>
      <c r="E6533" s="211" t="s">
        <v>10385</v>
      </c>
      <c r="F6533" s="211" t="s">
        <v>7610</v>
      </c>
    </row>
    <row r="6534" spans="1:6">
      <c r="A6534" s="211" t="s">
        <v>8622</v>
      </c>
      <c r="B6534" s="211">
        <v>2921</v>
      </c>
      <c r="C6534" s="211" t="s">
        <v>10385</v>
      </c>
      <c r="D6534" s="211" t="s">
        <v>1255</v>
      </c>
      <c r="E6534" s="211" t="s">
        <v>10385</v>
      </c>
      <c r="F6534" s="211" t="s">
        <v>7308</v>
      </c>
    </row>
    <row r="6535" spans="1:6">
      <c r="A6535" s="211" t="s">
        <v>8623</v>
      </c>
      <c r="B6535" s="211">
        <v>240</v>
      </c>
      <c r="C6535" s="211" t="s">
        <v>10385</v>
      </c>
      <c r="D6535" s="211" t="s">
        <v>1255</v>
      </c>
      <c r="E6535" s="211" t="s">
        <v>10385</v>
      </c>
      <c r="F6535" s="211" t="s">
        <v>7196</v>
      </c>
    </row>
    <row r="6536" spans="1:6">
      <c r="A6536" s="211" t="s">
        <v>4004</v>
      </c>
      <c r="B6536" s="211">
        <v>2946</v>
      </c>
      <c r="C6536" s="211">
        <v>857</v>
      </c>
      <c r="D6536" s="211" t="s">
        <v>1117</v>
      </c>
      <c r="E6536" s="211" t="s">
        <v>10385</v>
      </c>
      <c r="F6536" s="211" t="s">
        <v>7177</v>
      </c>
    </row>
    <row r="6537" spans="1:6">
      <c r="A6537" s="211" t="s">
        <v>10041</v>
      </c>
      <c r="B6537" s="211">
        <v>7999</v>
      </c>
      <c r="C6537" s="211">
        <v>2003</v>
      </c>
      <c r="D6537" s="211" t="s">
        <v>1255</v>
      </c>
      <c r="E6537" s="211" t="s">
        <v>10385</v>
      </c>
      <c r="F6537" s="211" t="s">
        <v>7483</v>
      </c>
    </row>
    <row r="6538" spans="1:6">
      <c r="A6538" s="211" t="s">
        <v>4005</v>
      </c>
      <c r="B6538" s="211">
        <v>5735</v>
      </c>
      <c r="C6538" s="211">
        <v>1531</v>
      </c>
      <c r="D6538" s="211" t="s">
        <v>1117</v>
      </c>
      <c r="E6538" s="211" t="s">
        <v>10042</v>
      </c>
      <c r="F6538" s="211" t="s">
        <v>7357</v>
      </c>
    </row>
    <row r="6539" spans="1:6">
      <c r="A6539" s="211" t="s">
        <v>4913</v>
      </c>
      <c r="B6539" s="211">
        <v>4930</v>
      </c>
      <c r="C6539" s="211">
        <v>1236</v>
      </c>
      <c r="D6539" s="211" t="s">
        <v>1117</v>
      </c>
      <c r="E6539" s="211" t="s">
        <v>10385</v>
      </c>
      <c r="F6539" s="211" t="s">
        <v>7380</v>
      </c>
    </row>
    <row r="6540" spans="1:6">
      <c r="A6540" s="211" t="s">
        <v>3009</v>
      </c>
      <c r="B6540" s="211">
        <v>1477</v>
      </c>
      <c r="C6540" s="211">
        <v>1358</v>
      </c>
      <c r="D6540" s="211" t="s">
        <v>1255</v>
      </c>
      <c r="E6540" s="211" t="s">
        <v>10385</v>
      </c>
      <c r="F6540" s="211" t="s">
        <v>7384</v>
      </c>
    </row>
    <row r="6541" spans="1:6">
      <c r="A6541" s="211" t="s">
        <v>4006</v>
      </c>
      <c r="B6541" s="211">
        <v>4749</v>
      </c>
      <c r="C6541" s="211">
        <v>1053</v>
      </c>
      <c r="D6541" s="211" t="s">
        <v>1255</v>
      </c>
      <c r="E6541" s="211" t="s">
        <v>10385</v>
      </c>
      <c r="F6541" s="211" t="s">
        <v>7587</v>
      </c>
    </row>
    <row r="6542" spans="1:6">
      <c r="A6542" s="211" t="s">
        <v>4007</v>
      </c>
      <c r="B6542" s="211">
        <v>5651</v>
      </c>
      <c r="C6542" s="211">
        <v>652</v>
      </c>
      <c r="D6542" s="211" t="s">
        <v>1117</v>
      </c>
      <c r="E6542" s="211" t="s">
        <v>10385</v>
      </c>
      <c r="F6542" s="211" t="s">
        <v>7238</v>
      </c>
    </row>
    <row r="6543" spans="1:6">
      <c r="A6543" s="211" t="s">
        <v>4008</v>
      </c>
      <c r="B6543" s="211">
        <v>5444</v>
      </c>
      <c r="C6543" s="211">
        <v>1127</v>
      </c>
      <c r="D6543" s="211" t="s">
        <v>1255</v>
      </c>
      <c r="E6543" s="211" t="s">
        <v>7051</v>
      </c>
      <c r="F6543" s="211" t="s">
        <v>7217</v>
      </c>
    </row>
    <row r="6544" spans="1:6">
      <c r="A6544" s="211" t="s">
        <v>10043</v>
      </c>
      <c r="B6544" s="211">
        <v>8009</v>
      </c>
      <c r="C6544" s="211">
        <v>1746</v>
      </c>
      <c r="D6544" s="211" t="s">
        <v>1117</v>
      </c>
      <c r="E6544" s="211" t="s">
        <v>10949</v>
      </c>
      <c r="F6544" s="211" t="s">
        <v>7173</v>
      </c>
    </row>
    <row r="6545" spans="1:6">
      <c r="A6545" s="211" t="s">
        <v>6209</v>
      </c>
      <c r="B6545" s="211">
        <v>7094</v>
      </c>
      <c r="C6545" s="211">
        <v>1102</v>
      </c>
      <c r="D6545" s="211" t="s">
        <v>1117</v>
      </c>
      <c r="E6545" s="211" t="s">
        <v>10044</v>
      </c>
      <c r="F6545" s="211" t="s">
        <v>9044</v>
      </c>
    </row>
    <row r="6546" spans="1:6">
      <c r="A6546" s="211" t="s">
        <v>2284</v>
      </c>
      <c r="B6546" s="211">
        <v>5471</v>
      </c>
      <c r="C6546" s="211">
        <v>1262</v>
      </c>
      <c r="D6546" s="211" t="s">
        <v>1255</v>
      </c>
      <c r="E6546" s="211" t="s">
        <v>10385</v>
      </c>
      <c r="F6546" s="211" t="s">
        <v>7171</v>
      </c>
    </row>
    <row r="6547" spans="1:6">
      <c r="A6547" s="211" t="s">
        <v>2285</v>
      </c>
      <c r="B6547" s="211">
        <v>4832</v>
      </c>
      <c r="C6547" s="211">
        <v>1051</v>
      </c>
      <c r="D6547" s="211" t="s">
        <v>1117</v>
      </c>
      <c r="E6547" s="211" t="s">
        <v>10385</v>
      </c>
      <c r="F6547" s="211" t="s">
        <v>7268</v>
      </c>
    </row>
    <row r="6548" spans="1:6">
      <c r="A6548" s="211" t="s">
        <v>5218</v>
      </c>
      <c r="B6548" s="211">
        <v>6984</v>
      </c>
      <c r="C6548" s="211">
        <v>1529</v>
      </c>
      <c r="D6548" s="211" t="s">
        <v>1255</v>
      </c>
      <c r="E6548" s="211" t="s">
        <v>10385</v>
      </c>
      <c r="F6548" s="211" t="s">
        <v>7354</v>
      </c>
    </row>
    <row r="6549" spans="1:6">
      <c r="A6549" s="211" t="s">
        <v>10950</v>
      </c>
      <c r="B6549" s="211">
        <v>8697</v>
      </c>
      <c r="C6549" s="211">
        <v>737</v>
      </c>
      <c r="D6549" s="211" t="s">
        <v>1255</v>
      </c>
      <c r="E6549" s="211" t="s">
        <v>10951</v>
      </c>
      <c r="F6549" s="211" t="s">
        <v>7587</v>
      </c>
    </row>
    <row r="6550" spans="1:6">
      <c r="A6550" s="211" t="s">
        <v>2286</v>
      </c>
      <c r="B6550" s="211">
        <v>3236</v>
      </c>
      <c r="C6550" s="211">
        <v>1563</v>
      </c>
      <c r="D6550" s="211" t="s">
        <v>1255</v>
      </c>
      <c r="E6550" s="211" t="s">
        <v>10385</v>
      </c>
      <c r="F6550" s="211" t="s">
        <v>7308</v>
      </c>
    </row>
    <row r="6551" spans="1:6">
      <c r="A6551" s="211" t="s">
        <v>8624</v>
      </c>
      <c r="B6551" s="211">
        <v>135</v>
      </c>
      <c r="C6551" s="211" t="s">
        <v>10385</v>
      </c>
      <c r="D6551" s="211" t="s">
        <v>1255</v>
      </c>
      <c r="E6551" s="211" t="s">
        <v>10385</v>
      </c>
      <c r="F6551" s="211" t="s">
        <v>7239</v>
      </c>
    </row>
    <row r="6552" spans="1:6">
      <c r="A6552" s="211" t="s">
        <v>2850</v>
      </c>
      <c r="B6552" s="211">
        <v>3444</v>
      </c>
      <c r="C6552" s="211">
        <v>1518</v>
      </c>
      <c r="D6552" s="211" t="s">
        <v>1255</v>
      </c>
      <c r="E6552" s="211" t="s">
        <v>10385</v>
      </c>
      <c r="F6552" s="211" t="s">
        <v>7495</v>
      </c>
    </row>
    <row r="6553" spans="1:6">
      <c r="A6553" s="211" t="s">
        <v>2287</v>
      </c>
      <c r="B6553" s="211">
        <v>5803</v>
      </c>
      <c r="C6553" s="211">
        <v>1784</v>
      </c>
      <c r="D6553" s="211" t="s">
        <v>1255</v>
      </c>
      <c r="E6553" s="211" t="s">
        <v>7052</v>
      </c>
      <c r="F6553" s="211" t="s">
        <v>7265</v>
      </c>
    </row>
    <row r="6554" spans="1:6">
      <c r="A6554" s="211" t="s">
        <v>2288</v>
      </c>
      <c r="B6554" s="211">
        <v>4488</v>
      </c>
      <c r="C6554" s="211">
        <v>886</v>
      </c>
      <c r="D6554" s="211" t="s">
        <v>1255</v>
      </c>
      <c r="E6554" s="211" t="s">
        <v>10385</v>
      </c>
      <c r="F6554" s="211" t="s">
        <v>7257</v>
      </c>
    </row>
    <row r="6555" spans="1:6">
      <c r="A6555" s="211" t="s">
        <v>8625</v>
      </c>
      <c r="B6555" s="211">
        <v>3629</v>
      </c>
      <c r="C6555" s="211" t="s">
        <v>10385</v>
      </c>
      <c r="D6555" s="211" t="s">
        <v>1255</v>
      </c>
      <c r="E6555" s="211" t="s">
        <v>10385</v>
      </c>
      <c r="F6555" s="211" t="s">
        <v>7322</v>
      </c>
    </row>
    <row r="6556" spans="1:6">
      <c r="A6556" s="211" t="s">
        <v>10045</v>
      </c>
      <c r="B6556" s="211">
        <v>8293</v>
      </c>
      <c r="C6556" s="211">
        <v>2022</v>
      </c>
      <c r="D6556" s="211" t="s">
        <v>1255</v>
      </c>
      <c r="E6556" s="211" t="s">
        <v>10385</v>
      </c>
      <c r="F6556" s="211" t="s">
        <v>7380</v>
      </c>
    </row>
    <row r="6557" spans="1:6">
      <c r="A6557" s="211" t="s">
        <v>2289</v>
      </c>
      <c r="B6557" s="211">
        <v>2603</v>
      </c>
      <c r="C6557" s="211">
        <v>704</v>
      </c>
      <c r="D6557" s="211" t="s">
        <v>1255</v>
      </c>
      <c r="E6557" s="211" t="s">
        <v>10385</v>
      </c>
      <c r="F6557" s="211" t="s">
        <v>7208</v>
      </c>
    </row>
    <row r="6558" spans="1:6">
      <c r="A6558" s="211" t="s">
        <v>2290</v>
      </c>
      <c r="B6558" s="211">
        <v>3995</v>
      </c>
      <c r="C6558" s="211">
        <v>2033</v>
      </c>
      <c r="D6558" s="211" t="s">
        <v>1255</v>
      </c>
      <c r="E6558" s="211" t="s">
        <v>10385</v>
      </c>
      <c r="F6558" s="211" t="s">
        <v>7322</v>
      </c>
    </row>
    <row r="6559" spans="1:6">
      <c r="A6559" s="211" t="s">
        <v>2291</v>
      </c>
      <c r="B6559" s="211">
        <v>1101</v>
      </c>
      <c r="C6559" s="211">
        <v>1452</v>
      </c>
      <c r="D6559" s="211" t="s">
        <v>1255</v>
      </c>
      <c r="E6559" s="211" t="s">
        <v>10385</v>
      </c>
      <c r="F6559" s="211" t="s">
        <v>7255</v>
      </c>
    </row>
    <row r="6560" spans="1:6">
      <c r="A6560" s="211" t="s">
        <v>8626</v>
      </c>
      <c r="B6560" s="211">
        <v>1097</v>
      </c>
      <c r="C6560" s="211" t="s">
        <v>10385</v>
      </c>
      <c r="D6560" s="211" t="s">
        <v>1255</v>
      </c>
      <c r="E6560" s="211" t="s">
        <v>10385</v>
      </c>
      <c r="F6560" s="211" t="s">
        <v>7267</v>
      </c>
    </row>
    <row r="6561" spans="1:6">
      <c r="A6561" s="211" t="s">
        <v>6210</v>
      </c>
      <c r="B6561" s="211">
        <v>7441</v>
      </c>
      <c r="C6561" s="211">
        <v>1629</v>
      </c>
      <c r="D6561" s="211" t="s">
        <v>1255</v>
      </c>
      <c r="E6561" s="211" t="s">
        <v>10046</v>
      </c>
      <c r="F6561" s="211" t="s">
        <v>7210</v>
      </c>
    </row>
    <row r="6562" spans="1:6">
      <c r="A6562" s="211" t="s">
        <v>2292</v>
      </c>
      <c r="B6562" s="211">
        <v>2966</v>
      </c>
      <c r="C6562" s="211">
        <v>1144</v>
      </c>
      <c r="D6562" s="211" t="s">
        <v>1255</v>
      </c>
      <c r="E6562" s="211" t="s">
        <v>10385</v>
      </c>
      <c r="F6562" s="211" t="s">
        <v>7272</v>
      </c>
    </row>
    <row r="6563" spans="1:6">
      <c r="A6563" s="211" t="s">
        <v>10047</v>
      </c>
      <c r="B6563" s="211">
        <v>8119</v>
      </c>
      <c r="C6563" s="211">
        <v>2029</v>
      </c>
      <c r="D6563" s="211" t="s">
        <v>1255</v>
      </c>
      <c r="E6563" s="211" t="s">
        <v>10385</v>
      </c>
      <c r="F6563" s="211" t="s">
        <v>7241</v>
      </c>
    </row>
    <row r="6564" spans="1:6">
      <c r="A6564" s="211" t="s">
        <v>7053</v>
      </c>
      <c r="B6564" s="211">
        <v>7657</v>
      </c>
      <c r="C6564" s="211">
        <v>1330</v>
      </c>
      <c r="D6564" s="211" t="s">
        <v>1255</v>
      </c>
      <c r="E6564" s="211" t="s">
        <v>10048</v>
      </c>
      <c r="F6564" s="211" t="s">
        <v>7232</v>
      </c>
    </row>
    <row r="6565" spans="1:6">
      <c r="A6565" s="211" t="s">
        <v>8627</v>
      </c>
      <c r="B6565" s="211">
        <v>1096</v>
      </c>
      <c r="C6565" s="211" t="s">
        <v>10385</v>
      </c>
      <c r="D6565" s="211" t="s">
        <v>1255</v>
      </c>
      <c r="E6565" s="211" t="s">
        <v>10385</v>
      </c>
      <c r="F6565" s="211" t="s">
        <v>7788</v>
      </c>
    </row>
    <row r="6566" spans="1:6">
      <c r="A6566" s="211" t="s">
        <v>2293</v>
      </c>
      <c r="B6566" s="211">
        <v>1157</v>
      </c>
      <c r="C6566" s="211">
        <v>1395</v>
      </c>
      <c r="D6566" s="211" t="s">
        <v>1255</v>
      </c>
      <c r="E6566" s="211" t="s">
        <v>10385</v>
      </c>
      <c r="F6566" s="211" t="s">
        <v>7177</v>
      </c>
    </row>
    <row r="6567" spans="1:6">
      <c r="A6567" s="211" t="s">
        <v>4684</v>
      </c>
      <c r="B6567" s="211">
        <v>6406</v>
      </c>
      <c r="C6567" s="211">
        <v>1013</v>
      </c>
      <c r="D6567" s="211" t="s">
        <v>1255</v>
      </c>
      <c r="E6567" s="211" t="s">
        <v>10385</v>
      </c>
      <c r="F6567" s="211" t="s">
        <v>7556</v>
      </c>
    </row>
    <row r="6568" spans="1:6">
      <c r="A6568" s="211" t="s">
        <v>5219</v>
      </c>
      <c r="B6568" s="211">
        <v>6882</v>
      </c>
      <c r="C6568" s="211">
        <v>1249</v>
      </c>
      <c r="D6568" s="211" t="s">
        <v>1255</v>
      </c>
      <c r="E6568" s="211" t="s">
        <v>10385</v>
      </c>
      <c r="F6568" s="211" t="s">
        <v>7331</v>
      </c>
    </row>
    <row r="6569" spans="1:6">
      <c r="A6569" s="211" t="s">
        <v>2294</v>
      </c>
      <c r="B6569" s="211">
        <v>2058</v>
      </c>
      <c r="C6569" s="211">
        <v>832</v>
      </c>
      <c r="D6569" s="211" t="s">
        <v>1255</v>
      </c>
      <c r="E6569" s="211" t="s">
        <v>10385</v>
      </c>
      <c r="F6569" s="211" t="s">
        <v>7189</v>
      </c>
    </row>
    <row r="6570" spans="1:6">
      <c r="A6570" s="211" t="s">
        <v>2295</v>
      </c>
      <c r="B6570" s="211">
        <v>5020</v>
      </c>
      <c r="C6570" s="211">
        <v>721</v>
      </c>
      <c r="D6570" s="211" t="s">
        <v>1255</v>
      </c>
      <c r="E6570" s="211" t="s">
        <v>10385</v>
      </c>
      <c r="F6570" s="211" t="s">
        <v>7207</v>
      </c>
    </row>
    <row r="6571" spans="1:6">
      <c r="A6571" s="211" t="s">
        <v>8628</v>
      </c>
      <c r="B6571" s="211">
        <v>2858</v>
      </c>
      <c r="C6571" s="211">
        <v>746</v>
      </c>
      <c r="D6571" s="211" t="s">
        <v>1117</v>
      </c>
      <c r="E6571" s="211" t="s">
        <v>10385</v>
      </c>
      <c r="F6571" s="211" t="s">
        <v>7212</v>
      </c>
    </row>
    <row r="6572" spans="1:6">
      <c r="A6572" s="211" t="s">
        <v>8629</v>
      </c>
      <c r="B6572" s="211">
        <v>289</v>
      </c>
      <c r="C6572" s="211" t="s">
        <v>10385</v>
      </c>
      <c r="D6572" s="211" t="s">
        <v>1255</v>
      </c>
      <c r="E6572" s="211" t="s">
        <v>10385</v>
      </c>
      <c r="F6572" s="211" t="s">
        <v>9024</v>
      </c>
    </row>
    <row r="6573" spans="1:6">
      <c r="A6573" s="211" t="s">
        <v>7054</v>
      </c>
      <c r="B6573" s="211">
        <v>7742</v>
      </c>
      <c r="C6573" s="211">
        <v>1561</v>
      </c>
      <c r="D6573" s="211" t="s">
        <v>1255</v>
      </c>
      <c r="E6573" s="211" t="s">
        <v>10385</v>
      </c>
      <c r="F6573" s="211" t="s">
        <v>7167</v>
      </c>
    </row>
    <row r="6574" spans="1:6">
      <c r="A6574" s="211" t="s">
        <v>4618</v>
      </c>
      <c r="B6574" s="211">
        <v>6521</v>
      </c>
      <c r="C6574" s="211">
        <v>919</v>
      </c>
      <c r="D6574" s="211" t="s">
        <v>1255</v>
      </c>
      <c r="E6574" s="211" t="s">
        <v>10385</v>
      </c>
      <c r="F6574" s="211" t="s">
        <v>7646</v>
      </c>
    </row>
    <row r="6575" spans="1:6">
      <c r="A6575" s="211" t="s">
        <v>6211</v>
      </c>
      <c r="B6575" s="211">
        <v>7491</v>
      </c>
      <c r="C6575" s="211">
        <v>989</v>
      </c>
      <c r="D6575" s="211" t="s">
        <v>1255</v>
      </c>
      <c r="E6575" s="211" t="s">
        <v>6212</v>
      </c>
      <c r="F6575" s="211" t="s">
        <v>7646</v>
      </c>
    </row>
    <row r="6576" spans="1:6">
      <c r="A6576" s="211" t="s">
        <v>8630</v>
      </c>
      <c r="B6576" s="211">
        <v>4605</v>
      </c>
      <c r="C6576" s="211" t="s">
        <v>10385</v>
      </c>
      <c r="D6576" s="211" t="s">
        <v>1255</v>
      </c>
      <c r="E6576" s="211" t="s">
        <v>10385</v>
      </c>
      <c r="F6576" s="211" t="s">
        <v>7173</v>
      </c>
    </row>
    <row r="6577" spans="1:6">
      <c r="A6577" s="211" t="s">
        <v>2296</v>
      </c>
      <c r="B6577" s="211">
        <v>3569</v>
      </c>
      <c r="C6577" s="211">
        <v>1272</v>
      </c>
      <c r="D6577" s="211" t="s">
        <v>1255</v>
      </c>
      <c r="E6577" s="211" t="s">
        <v>10385</v>
      </c>
      <c r="F6577" s="211" t="s">
        <v>7173</v>
      </c>
    </row>
    <row r="6578" spans="1:6">
      <c r="A6578" s="211" t="s">
        <v>8631</v>
      </c>
      <c r="B6578" s="211">
        <v>4416</v>
      </c>
      <c r="C6578" s="211" t="s">
        <v>10385</v>
      </c>
      <c r="D6578" s="211" t="s">
        <v>1117</v>
      </c>
      <c r="E6578" s="211" t="s">
        <v>10385</v>
      </c>
      <c r="F6578" s="211" t="s">
        <v>7335</v>
      </c>
    </row>
    <row r="6579" spans="1:6">
      <c r="A6579" s="211" t="s">
        <v>2297</v>
      </c>
      <c r="B6579" s="211">
        <v>7183</v>
      </c>
      <c r="C6579" s="211">
        <v>1049</v>
      </c>
      <c r="D6579" s="211" t="s">
        <v>1117</v>
      </c>
      <c r="E6579" s="211" t="s">
        <v>6213</v>
      </c>
      <c r="F6579" s="211" t="s">
        <v>7264</v>
      </c>
    </row>
    <row r="6580" spans="1:6">
      <c r="A6580" s="211" t="s">
        <v>2298</v>
      </c>
      <c r="B6580" s="211">
        <v>790</v>
      </c>
      <c r="C6580" s="211">
        <v>1236</v>
      </c>
      <c r="D6580" s="211" t="s">
        <v>1255</v>
      </c>
      <c r="E6580" s="211" t="s">
        <v>10385</v>
      </c>
      <c r="F6580" s="211" t="s">
        <v>7239</v>
      </c>
    </row>
    <row r="6581" spans="1:6">
      <c r="A6581" s="211" t="s">
        <v>2299</v>
      </c>
      <c r="B6581" s="211">
        <v>4192</v>
      </c>
      <c r="C6581" s="211">
        <v>1086</v>
      </c>
      <c r="D6581" s="211" t="s">
        <v>1255</v>
      </c>
      <c r="E6581" s="211" t="s">
        <v>10385</v>
      </c>
      <c r="F6581" s="211" t="s">
        <v>7402</v>
      </c>
    </row>
    <row r="6582" spans="1:6">
      <c r="A6582" s="211" t="s">
        <v>2866</v>
      </c>
      <c r="B6582" s="211">
        <v>2582</v>
      </c>
      <c r="C6582" s="211">
        <v>1119</v>
      </c>
      <c r="D6582" s="211" t="s">
        <v>1255</v>
      </c>
      <c r="E6582" s="211" t="s">
        <v>10385</v>
      </c>
      <c r="F6582" s="211" t="s">
        <v>7380</v>
      </c>
    </row>
    <row r="6583" spans="1:6">
      <c r="A6583" s="211" t="s">
        <v>10049</v>
      </c>
      <c r="B6583" s="211">
        <v>8461</v>
      </c>
      <c r="C6583" s="211">
        <v>1000</v>
      </c>
      <c r="D6583" s="211" t="s">
        <v>1117</v>
      </c>
      <c r="E6583" s="211" t="s">
        <v>10050</v>
      </c>
      <c r="F6583" s="211" t="s">
        <v>7357</v>
      </c>
    </row>
    <row r="6584" spans="1:6">
      <c r="A6584" s="211" t="s">
        <v>4550</v>
      </c>
      <c r="B6584" s="211">
        <v>6666</v>
      </c>
      <c r="C6584" s="211">
        <v>328</v>
      </c>
      <c r="D6584" s="211" t="s">
        <v>1117</v>
      </c>
      <c r="E6584" s="211" t="s">
        <v>3074</v>
      </c>
      <c r="F6584" s="211" t="s">
        <v>7285</v>
      </c>
    </row>
    <row r="6585" spans="1:6">
      <c r="A6585" s="211" t="s">
        <v>10952</v>
      </c>
      <c r="B6585" s="211">
        <v>8684</v>
      </c>
      <c r="C6585" s="211">
        <v>431</v>
      </c>
      <c r="D6585" s="211" t="s">
        <v>1117</v>
      </c>
      <c r="E6585" s="211" t="s">
        <v>10953</v>
      </c>
      <c r="F6585" s="211" t="s">
        <v>7239</v>
      </c>
    </row>
    <row r="6586" spans="1:6">
      <c r="A6586" s="211" t="s">
        <v>8632</v>
      </c>
      <c r="B6586" s="211">
        <v>621</v>
      </c>
      <c r="C6586" s="211" t="s">
        <v>10385</v>
      </c>
      <c r="D6586" s="211" t="s">
        <v>1255</v>
      </c>
      <c r="E6586" s="211" t="s">
        <v>10385</v>
      </c>
      <c r="F6586" s="211" t="s">
        <v>7277</v>
      </c>
    </row>
    <row r="6587" spans="1:6">
      <c r="A6587" s="211" t="s">
        <v>2300</v>
      </c>
      <c r="B6587" s="211">
        <v>2449</v>
      </c>
      <c r="C6587" s="211">
        <v>894</v>
      </c>
      <c r="D6587" s="211" t="s">
        <v>1255</v>
      </c>
      <c r="E6587" s="211" t="s">
        <v>10385</v>
      </c>
      <c r="F6587" s="211" t="s">
        <v>7327</v>
      </c>
    </row>
    <row r="6588" spans="1:6">
      <c r="A6588" s="211" t="s">
        <v>2301</v>
      </c>
      <c r="B6588" s="211">
        <v>6570</v>
      </c>
      <c r="C6588" s="211">
        <v>1767</v>
      </c>
      <c r="D6588" s="211" t="s">
        <v>1255</v>
      </c>
      <c r="E6588" s="211" t="s">
        <v>6688</v>
      </c>
      <c r="F6588" s="211" t="s">
        <v>7327</v>
      </c>
    </row>
    <row r="6589" spans="1:6">
      <c r="A6589" s="211" t="s">
        <v>4897</v>
      </c>
      <c r="B6589" s="211">
        <v>4341</v>
      </c>
      <c r="C6589" s="211">
        <v>1546</v>
      </c>
      <c r="D6589" s="211" t="s">
        <v>1255</v>
      </c>
      <c r="E6589" s="211" t="s">
        <v>3092</v>
      </c>
      <c r="F6589" s="211" t="s">
        <v>7459</v>
      </c>
    </row>
    <row r="6590" spans="1:6">
      <c r="A6590" s="211" t="s">
        <v>8633</v>
      </c>
      <c r="B6590" s="211">
        <v>622</v>
      </c>
      <c r="C6590" s="211" t="s">
        <v>10385</v>
      </c>
      <c r="D6590" s="211" t="s">
        <v>1255</v>
      </c>
      <c r="E6590" s="211" t="s">
        <v>10385</v>
      </c>
      <c r="F6590" s="211" t="s">
        <v>7277</v>
      </c>
    </row>
    <row r="6591" spans="1:6">
      <c r="A6591" s="211" t="s">
        <v>2302</v>
      </c>
      <c r="B6591" s="211">
        <v>2562</v>
      </c>
      <c r="C6591" s="211">
        <v>912</v>
      </c>
      <c r="D6591" s="211" t="s">
        <v>1255</v>
      </c>
      <c r="E6591" s="211" t="s">
        <v>10385</v>
      </c>
      <c r="F6591" s="211" t="s">
        <v>7415</v>
      </c>
    </row>
    <row r="6592" spans="1:6">
      <c r="A6592" s="211" t="s">
        <v>8634</v>
      </c>
      <c r="B6592" s="211">
        <v>1594</v>
      </c>
      <c r="C6592" s="211" t="s">
        <v>10385</v>
      </c>
      <c r="D6592" s="211" t="s">
        <v>1255</v>
      </c>
      <c r="E6592" s="211" t="s">
        <v>10385</v>
      </c>
      <c r="F6592" s="211" t="s">
        <v>7231</v>
      </c>
    </row>
    <row r="6593" spans="1:6">
      <c r="A6593" s="211" t="s">
        <v>6214</v>
      </c>
      <c r="B6593" s="211">
        <v>7347</v>
      </c>
      <c r="C6593" s="211">
        <v>1362</v>
      </c>
      <c r="D6593" s="211" t="s">
        <v>1255</v>
      </c>
      <c r="E6593" s="211" t="s">
        <v>10051</v>
      </c>
      <c r="F6593" s="211" t="s">
        <v>7238</v>
      </c>
    </row>
    <row r="6594" spans="1:6">
      <c r="A6594" s="211" t="s">
        <v>2303</v>
      </c>
      <c r="B6594" s="211">
        <v>5806</v>
      </c>
      <c r="C6594" s="211">
        <v>1153</v>
      </c>
      <c r="D6594" s="211" t="s">
        <v>1255</v>
      </c>
      <c r="E6594" s="211" t="s">
        <v>10706</v>
      </c>
      <c r="F6594" s="211" t="s">
        <v>7331</v>
      </c>
    </row>
    <row r="6595" spans="1:6">
      <c r="A6595" s="211" t="s">
        <v>6215</v>
      </c>
      <c r="B6595" s="211">
        <v>7367</v>
      </c>
      <c r="C6595" s="211">
        <v>1335</v>
      </c>
      <c r="D6595" s="211" t="s">
        <v>1255</v>
      </c>
      <c r="E6595" s="211" t="s">
        <v>10052</v>
      </c>
      <c r="F6595" s="211" t="s">
        <v>7375</v>
      </c>
    </row>
    <row r="6596" spans="1:6">
      <c r="A6596" s="211" t="s">
        <v>6216</v>
      </c>
      <c r="B6596" s="211">
        <v>7519</v>
      </c>
      <c r="C6596" s="211">
        <v>905</v>
      </c>
      <c r="D6596" s="211" t="s">
        <v>1117</v>
      </c>
      <c r="E6596" s="211" t="s">
        <v>7055</v>
      </c>
      <c r="F6596" s="211" t="s">
        <v>7223</v>
      </c>
    </row>
    <row r="6597" spans="1:6">
      <c r="A6597" s="211" t="s">
        <v>7056</v>
      </c>
      <c r="B6597" s="211">
        <v>7732</v>
      </c>
      <c r="C6597" s="211">
        <v>662</v>
      </c>
      <c r="D6597" s="211" t="s">
        <v>1255</v>
      </c>
      <c r="E6597" s="211" t="s">
        <v>7057</v>
      </c>
      <c r="F6597" s="211" t="s">
        <v>7458</v>
      </c>
    </row>
    <row r="6598" spans="1:6">
      <c r="A6598" s="211" t="s">
        <v>8635</v>
      </c>
      <c r="B6598" s="211">
        <v>2665</v>
      </c>
      <c r="C6598" s="211" t="s">
        <v>10385</v>
      </c>
      <c r="D6598" s="211" t="s">
        <v>1255</v>
      </c>
      <c r="E6598" s="211" t="s">
        <v>10385</v>
      </c>
      <c r="F6598" s="211" t="s">
        <v>7404</v>
      </c>
    </row>
    <row r="6599" spans="1:6">
      <c r="A6599" s="211" t="s">
        <v>2304</v>
      </c>
      <c r="B6599" s="211">
        <v>3451</v>
      </c>
      <c r="C6599" s="211">
        <v>844</v>
      </c>
      <c r="D6599" s="211" t="s">
        <v>1255</v>
      </c>
      <c r="E6599" s="211" t="s">
        <v>10385</v>
      </c>
      <c r="F6599" s="211" t="s">
        <v>7268</v>
      </c>
    </row>
    <row r="6600" spans="1:6">
      <c r="A6600" s="211" t="s">
        <v>10053</v>
      </c>
      <c r="B6600" s="211">
        <v>8308</v>
      </c>
      <c r="C6600" s="211">
        <v>1000</v>
      </c>
      <c r="D6600" s="211" t="s">
        <v>1117</v>
      </c>
      <c r="E6600" s="211" t="s">
        <v>10385</v>
      </c>
      <c r="F6600" s="211" t="s">
        <v>7380</v>
      </c>
    </row>
    <row r="6601" spans="1:6">
      <c r="A6601" s="211" t="s">
        <v>2305</v>
      </c>
      <c r="B6601" s="211">
        <v>2997</v>
      </c>
      <c r="C6601" s="211">
        <v>1003</v>
      </c>
      <c r="D6601" s="211" t="s">
        <v>1255</v>
      </c>
      <c r="E6601" s="211" t="s">
        <v>10385</v>
      </c>
      <c r="F6601" s="211" t="s">
        <v>10341</v>
      </c>
    </row>
    <row r="6602" spans="1:6">
      <c r="A6602" s="211" t="s">
        <v>5220</v>
      </c>
      <c r="B6602" s="211">
        <v>6247</v>
      </c>
      <c r="C6602" s="211">
        <v>873</v>
      </c>
      <c r="D6602" s="211" t="s">
        <v>1255</v>
      </c>
      <c r="E6602" s="211" t="s">
        <v>10385</v>
      </c>
      <c r="F6602" s="211" t="s">
        <v>7223</v>
      </c>
    </row>
    <row r="6603" spans="1:6">
      <c r="A6603" s="211" t="s">
        <v>2306</v>
      </c>
      <c r="B6603" s="211">
        <v>5552</v>
      </c>
      <c r="C6603" s="211">
        <v>1628</v>
      </c>
      <c r="D6603" s="211" t="s">
        <v>1255</v>
      </c>
      <c r="E6603" s="211" t="s">
        <v>10385</v>
      </c>
      <c r="F6603" s="211" t="s">
        <v>7341</v>
      </c>
    </row>
    <row r="6604" spans="1:6">
      <c r="A6604" s="211" t="s">
        <v>7058</v>
      </c>
      <c r="B6604" s="211">
        <v>7635</v>
      </c>
      <c r="C6604" s="211">
        <v>970</v>
      </c>
      <c r="D6604" s="211" t="s">
        <v>1255</v>
      </c>
      <c r="E6604" s="211" t="s">
        <v>10385</v>
      </c>
      <c r="F6604" s="211" t="s">
        <v>7235</v>
      </c>
    </row>
    <row r="6605" spans="1:6">
      <c r="A6605" s="211" t="s">
        <v>2307</v>
      </c>
      <c r="B6605" s="211">
        <v>5309</v>
      </c>
      <c r="C6605" s="211">
        <v>1285</v>
      </c>
      <c r="D6605" s="211" t="s">
        <v>1255</v>
      </c>
      <c r="E6605" s="211" t="s">
        <v>10054</v>
      </c>
      <c r="F6605" s="211" t="s">
        <v>7240</v>
      </c>
    </row>
    <row r="6606" spans="1:6">
      <c r="A6606" s="211" t="s">
        <v>10055</v>
      </c>
      <c r="B6606" s="211">
        <v>8186</v>
      </c>
      <c r="C6606" s="211">
        <v>1105</v>
      </c>
      <c r="D6606" s="211" t="s">
        <v>1255</v>
      </c>
      <c r="E6606" s="211" t="s">
        <v>10056</v>
      </c>
      <c r="F6606" s="211" t="s">
        <v>9068</v>
      </c>
    </row>
    <row r="6607" spans="1:6">
      <c r="A6607" s="211" t="s">
        <v>2308</v>
      </c>
      <c r="B6607" s="211">
        <v>2782</v>
      </c>
      <c r="C6607" s="211">
        <v>1190</v>
      </c>
      <c r="D6607" s="211" t="s">
        <v>1255</v>
      </c>
      <c r="E6607" s="211" t="s">
        <v>10385</v>
      </c>
      <c r="F6607" s="211" t="s">
        <v>7241</v>
      </c>
    </row>
    <row r="6608" spans="1:6">
      <c r="A6608" s="211" t="s">
        <v>10057</v>
      </c>
      <c r="B6608" s="211">
        <v>8279</v>
      </c>
      <c r="C6608" s="211" t="s">
        <v>10385</v>
      </c>
      <c r="D6608" s="211" t="s">
        <v>1255</v>
      </c>
      <c r="E6608" s="211" t="s">
        <v>10385</v>
      </c>
      <c r="F6608" s="211" t="s">
        <v>7233</v>
      </c>
    </row>
    <row r="6609" spans="1:6">
      <c r="A6609" s="211" t="s">
        <v>2309</v>
      </c>
      <c r="B6609" s="211">
        <v>2598</v>
      </c>
      <c r="C6609" s="211">
        <v>809</v>
      </c>
      <c r="D6609" s="211" t="s">
        <v>1255</v>
      </c>
      <c r="E6609" s="211" t="s">
        <v>10385</v>
      </c>
      <c r="F6609" s="211" t="s">
        <v>7438</v>
      </c>
    </row>
    <row r="6610" spans="1:6">
      <c r="A6610" s="211" t="s">
        <v>2310</v>
      </c>
      <c r="B6610" s="211">
        <v>1699</v>
      </c>
      <c r="C6610" s="211">
        <v>893</v>
      </c>
      <c r="D6610" s="211" t="s">
        <v>1255</v>
      </c>
      <c r="E6610" s="211" t="s">
        <v>10385</v>
      </c>
      <c r="F6610" s="211" t="s">
        <v>7323</v>
      </c>
    </row>
    <row r="6611" spans="1:6">
      <c r="A6611" s="211" t="s">
        <v>10954</v>
      </c>
      <c r="B6611" s="211">
        <v>8672</v>
      </c>
      <c r="C6611" s="211">
        <v>966</v>
      </c>
      <c r="D6611" s="211" t="s">
        <v>1255</v>
      </c>
      <c r="E6611" s="211" t="s">
        <v>10955</v>
      </c>
      <c r="F6611" s="211" t="s">
        <v>7501</v>
      </c>
    </row>
    <row r="6612" spans="1:6">
      <c r="A6612" s="211" t="s">
        <v>2311</v>
      </c>
      <c r="B6612" s="211">
        <v>763</v>
      </c>
      <c r="C6612" s="211">
        <v>1314</v>
      </c>
      <c r="D6612" s="211" t="s">
        <v>1255</v>
      </c>
      <c r="E6612" s="211" t="s">
        <v>10385</v>
      </c>
      <c r="F6612" s="211" t="s">
        <v>7196</v>
      </c>
    </row>
    <row r="6613" spans="1:6">
      <c r="A6613" s="211" t="s">
        <v>2312</v>
      </c>
      <c r="B6613" s="211">
        <v>6109</v>
      </c>
      <c r="C6613" s="211">
        <v>1551</v>
      </c>
      <c r="D6613" s="211" t="s">
        <v>1255</v>
      </c>
      <c r="E6613" s="211" t="s">
        <v>10058</v>
      </c>
      <c r="F6613" s="211" t="s">
        <v>7258</v>
      </c>
    </row>
    <row r="6614" spans="1:6">
      <c r="A6614" s="211" t="s">
        <v>2313</v>
      </c>
      <c r="B6614" s="211">
        <v>5142</v>
      </c>
      <c r="C6614" s="211">
        <v>1369</v>
      </c>
      <c r="D6614" s="211" t="s">
        <v>1255</v>
      </c>
      <c r="E6614" s="211" t="s">
        <v>10385</v>
      </c>
      <c r="F6614" s="211" t="s">
        <v>7319</v>
      </c>
    </row>
    <row r="6615" spans="1:6">
      <c r="A6615" s="211" t="s">
        <v>10059</v>
      </c>
      <c r="B6615" s="211">
        <v>8351</v>
      </c>
      <c r="C6615" s="211">
        <v>806</v>
      </c>
      <c r="D6615" s="211" t="s">
        <v>1255</v>
      </c>
      <c r="E6615" s="211" t="s">
        <v>10060</v>
      </c>
      <c r="F6615" s="211" t="s">
        <v>7242</v>
      </c>
    </row>
    <row r="6616" spans="1:6">
      <c r="A6616" s="211" t="s">
        <v>6217</v>
      </c>
      <c r="B6616" s="211">
        <v>7025</v>
      </c>
      <c r="C6616" s="211">
        <v>1029</v>
      </c>
      <c r="D6616" s="211" t="s">
        <v>1255</v>
      </c>
      <c r="E6616" s="211" t="s">
        <v>6218</v>
      </c>
      <c r="F6616" s="211" t="s">
        <v>7242</v>
      </c>
    </row>
    <row r="6617" spans="1:6">
      <c r="A6617" s="211" t="s">
        <v>10061</v>
      </c>
      <c r="B6617" s="211">
        <v>8381</v>
      </c>
      <c r="C6617" s="211">
        <v>1300</v>
      </c>
      <c r="D6617" s="211" t="s">
        <v>1117</v>
      </c>
      <c r="E6617" s="211" t="s">
        <v>10062</v>
      </c>
      <c r="F6617" s="211" t="s">
        <v>7239</v>
      </c>
    </row>
    <row r="6618" spans="1:6">
      <c r="A6618" s="211" t="s">
        <v>2314</v>
      </c>
      <c r="B6618" s="211">
        <v>2551</v>
      </c>
      <c r="C6618" s="211">
        <v>1050</v>
      </c>
      <c r="D6618" s="211" t="s">
        <v>1255</v>
      </c>
      <c r="E6618" s="211" t="s">
        <v>10385</v>
      </c>
      <c r="F6618" s="211" t="s">
        <v>7513</v>
      </c>
    </row>
    <row r="6619" spans="1:6">
      <c r="A6619" s="211" t="s">
        <v>2315</v>
      </c>
      <c r="B6619" s="211">
        <v>4731</v>
      </c>
      <c r="C6619" s="211">
        <v>347</v>
      </c>
      <c r="D6619" s="211" t="s">
        <v>1255</v>
      </c>
      <c r="E6619" s="211" t="s">
        <v>10385</v>
      </c>
      <c r="F6619" s="211" t="s">
        <v>7615</v>
      </c>
    </row>
    <row r="6620" spans="1:6">
      <c r="A6620" s="211" t="s">
        <v>2316</v>
      </c>
      <c r="B6620" s="211">
        <v>5340</v>
      </c>
      <c r="C6620" s="211">
        <v>1269</v>
      </c>
      <c r="D6620" s="211" t="s">
        <v>1255</v>
      </c>
      <c r="E6620" s="211" t="s">
        <v>10385</v>
      </c>
      <c r="F6620" s="211" t="s">
        <v>7248</v>
      </c>
    </row>
    <row r="6621" spans="1:6">
      <c r="A6621" s="211" t="s">
        <v>4502</v>
      </c>
      <c r="B6621" s="211">
        <v>6611</v>
      </c>
      <c r="C6621" s="211">
        <v>938</v>
      </c>
      <c r="D6621" s="211" t="s">
        <v>1255</v>
      </c>
      <c r="E6621" s="211" t="s">
        <v>10385</v>
      </c>
      <c r="F6621" s="211" t="s">
        <v>7673</v>
      </c>
    </row>
    <row r="6622" spans="1:6">
      <c r="A6622" s="211" t="s">
        <v>2317</v>
      </c>
      <c r="B6622" s="211">
        <v>1704</v>
      </c>
      <c r="C6622" s="211">
        <v>909</v>
      </c>
      <c r="D6622" s="211" t="s">
        <v>1255</v>
      </c>
      <c r="E6622" s="211" t="s">
        <v>10385</v>
      </c>
      <c r="F6622" s="211" t="s">
        <v>7203</v>
      </c>
    </row>
    <row r="6623" spans="1:6">
      <c r="A6623" s="211" t="s">
        <v>2318</v>
      </c>
      <c r="B6623" s="211">
        <v>3371</v>
      </c>
      <c r="C6623" s="211">
        <v>1081</v>
      </c>
      <c r="D6623" s="211" t="s">
        <v>1255</v>
      </c>
      <c r="E6623" s="211" t="s">
        <v>10385</v>
      </c>
      <c r="F6623" s="211" t="s">
        <v>7257</v>
      </c>
    </row>
    <row r="6624" spans="1:6">
      <c r="A6624" s="211" t="s">
        <v>2319</v>
      </c>
      <c r="B6624" s="211">
        <v>789</v>
      </c>
      <c r="C6624" s="211">
        <v>980</v>
      </c>
      <c r="D6624" s="211" t="s">
        <v>1255</v>
      </c>
      <c r="E6624" s="211" t="s">
        <v>10385</v>
      </c>
      <c r="F6624" s="211" t="s">
        <v>7239</v>
      </c>
    </row>
    <row r="6625" spans="1:6">
      <c r="A6625" s="211" t="s">
        <v>2320</v>
      </c>
      <c r="B6625" s="211">
        <v>2197</v>
      </c>
      <c r="C6625" s="211">
        <v>991</v>
      </c>
      <c r="D6625" s="211" t="s">
        <v>1255</v>
      </c>
      <c r="E6625" s="211" t="s">
        <v>10385</v>
      </c>
      <c r="F6625" s="211" t="s">
        <v>7797</v>
      </c>
    </row>
    <row r="6626" spans="1:6">
      <c r="A6626" s="211" t="s">
        <v>2321</v>
      </c>
      <c r="B6626" s="211">
        <v>3822</v>
      </c>
      <c r="C6626" s="211">
        <v>919</v>
      </c>
      <c r="D6626" s="211" t="s">
        <v>1255</v>
      </c>
      <c r="E6626" s="211" t="s">
        <v>10385</v>
      </c>
      <c r="F6626" s="211" t="s">
        <v>7471</v>
      </c>
    </row>
    <row r="6627" spans="1:6">
      <c r="A6627" s="211" t="s">
        <v>10063</v>
      </c>
      <c r="B6627" s="211">
        <v>8241</v>
      </c>
      <c r="C6627" s="211">
        <v>1007</v>
      </c>
      <c r="D6627" s="211" t="s">
        <v>1255</v>
      </c>
      <c r="E6627" s="211" t="s">
        <v>10385</v>
      </c>
      <c r="F6627" s="211" t="s">
        <v>7384</v>
      </c>
    </row>
    <row r="6628" spans="1:6">
      <c r="A6628" s="211" t="s">
        <v>2322</v>
      </c>
      <c r="B6628" s="211">
        <v>1504</v>
      </c>
      <c r="C6628" s="211">
        <v>1517</v>
      </c>
      <c r="D6628" s="211" t="s">
        <v>1255</v>
      </c>
      <c r="E6628" s="211" t="s">
        <v>10385</v>
      </c>
      <c r="F6628" s="211" t="s">
        <v>7344</v>
      </c>
    </row>
    <row r="6629" spans="1:6">
      <c r="A6629" s="211" t="s">
        <v>6219</v>
      </c>
      <c r="B6629" s="211">
        <v>7334</v>
      </c>
      <c r="C6629" s="211">
        <v>1862</v>
      </c>
      <c r="D6629" s="211" t="s">
        <v>1255</v>
      </c>
      <c r="E6629" s="211" t="s">
        <v>6220</v>
      </c>
      <c r="F6629" s="211" t="s">
        <v>7192</v>
      </c>
    </row>
    <row r="6630" spans="1:6">
      <c r="A6630" s="211" t="s">
        <v>2323</v>
      </c>
      <c r="B6630" s="211">
        <v>3804</v>
      </c>
      <c r="C6630" s="211">
        <v>1700</v>
      </c>
      <c r="D6630" s="211" t="s">
        <v>1255</v>
      </c>
      <c r="E6630" s="211" t="s">
        <v>10385</v>
      </c>
      <c r="F6630" s="211" t="s">
        <v>7320</v>
      </c>
    </row>
    <row r="6631" spans="1:6">
      <c r="A6631" s="211" t="s">
        <v>8636</v>
      </c>
      <c r="B6631" s="211">
        <v>4109</v>
      </c>
      <c r="C6631" s="211" t="s">
        <v>10385</v>
      </c>
      <c r="D6631" s="211" t="s">
        <v>1255</v>
      </c>
      <c r="E6631" s="211" t="s">
        <v>10385</v>
      </c>
      <c r="F6631" s="211" t="s">
        <v>7320</v>
      </c>
    </row>
    <row r="6632" spans="1:6">
      <c r="A6632" s="211" t="s">
        <v>2854</v>
      </c>
      <c r="B6632" s="211">
        <v>922</v>
      </c>
      <c r="C6632" s="211">
        <v>1611</v>
      </c>
      <c r="D6632" s="211" t="s">
        <v>1255</v>
      </c>
      <c r="E6632" s="211" t="s">
        <v>10385</v>
      </c>
      <c r="F6632" s="211" t="s">
        <v>7384</v>
      </c>
    </row>
    <row r="6633" spans="1:6">
      <c r="A6633" s="211" t="s">
        <v>8994</v>
      </c>
      <c r="B6633" s="211">
        <v>647</v>
      </c>
      <c r="C6633" s="211">
        <v>1277</v>
      </c>
      <c r="D6633" s="211" t="s">
        <v>1255</v>
      </c>
      <c r="E6633" s="211" t="s">
        <v>10385</v>
      </c>
      <c r="F6633" s="211" t="s">
        <v>7504</v>
      </c>
    </row>
    <row r="6634" spans="1:6">
      <c r="A6634" s="211" t="s">
        <v>8995</v>
      </c>
      <c r="B6634" s="211">
        <v>4468</v>
      </c>
      <c r="C6634" s="211" t="s">
        <v>10385</v>
      </c>
      <c r="D6634" s="211" t="s">
        <v>1255</v>
      </c>
      <c r="E6634" s="211" t="s">
        <v>10385</v>
      </c>
      <c r="F6634" s="211" t="s">
        <v>7285</v>
      </c>
    </row>
    <row r="6635" spans="1:6">
      <c r="A6635" s="211" t="s">
        <v>2324</v>
      </c>
      <c r="B6635" s="211">
        <v>1790</v>
      </c>
      <c r="C6635" s="211">
        <v>1777</v>
      </c>
      <c r="D6635" s="211" t="s">
        <v>1255</v>
      </c>
      <c r="E6635" s="211" t="s">
        <v>10385</v>
      </c>
      <c r="F6635" s="211" t="s">
        <v>7342</v>
      </c>
    </row>
    <row r="6636" spans="1:6">
      <c r="A6636" s="211" t="s">
        <v>10956</v>
      </c>
      <c r="B6636" s="211">
        <v>8782</v>
      </c>
      <c r="C6636" s="211">
        <v>1004</v>
      </c>
      <c r="D6636" s="211" t="s">
        <v>1255</v>
      </c>
      <c r="E6636" s="211" t="s">
        <v>10385</v>
      </c>
      <c r="F6636" s="211" t="s">
        <v>9281</v>
      </c>
    </row>
    <row r="6637" spans="1:6">
      <c r="A6637" s="211" t="s">
        <v>2325</v>
      </c>
      <c r="B6637" s="211">
        <v>5506</v>
      </c>
      <c r="C6637" s="211">
        <v>977</v>
      </c>
      <c r="D6637" s="211" t="s">
        <v>1255</v>
      </c>
      <c r="E6637" s="211" t="s">
        <v>10385</v>
      </c>
      <c r="F6637" s="211" t="s">
        <v>7205</v>
      </c>
    </row>
    <row r="6638" spans="1:6">
      <c r="A6638" s="211" t="s">
        <v>5221</v>
      </c>
      <c r="B6638" s="211">
        <v>6979</v>
      </c>
      <c r="C6638" s="211">
        <v>1150</v>
      </c>
      <c r="D6638" s="211" t="s">
        <v>1255</v>
      </c>
      <c r="E6638" s="211" t="s">
        <v>10385</v>
      </c>
      <c r="F6638" s="211" t="s">
        <v>7459</v>
      </c>
    </row>
    <row r="6639" spans="1:6">
      <c r="A6639" s="211" t="s">
        <v>2326</v>
      </c>
      <c r="B6639" s="211">
        <v>446</v>
      </c>
      <c r="C6639" s="211">
        <v>1548</v>
      </c>
      <c r="D6639" s="211" t="s">
        <v>1255</v>
      </c>
      <c r="E6639" s="211" t="s">
        <v>10385</v>
      </c>
      <c r="F6639" s="211" t="s">
        <v>7226</v>
      </c>
    </row>
    <row r="6640" spans="1:6">
      <c r="A6640" s="211" t="s">
        <v>10064</v>
      </c>
      <c r="B6640" s="211">
        <v>8362</v>
      </c>
      <c r="C6640" s="211">
        <v>984</v>
      </c>
      <c r="D6640" s="211" t="s">
        <v>1255</v>
      </c>
      <c r="E6640" s="211" t="s">
        <v>10065</v>
      </c>
      <c r="F6640" s="211" t="s">
        <v>9059</v>
      </c>
    </row>
    <row r="6641" spans="1:6">
      <c r="A6641" s="211" t="s">
        <v>10066</v>
      </c>
      <c r="B6641" s="211">
        <v>8347</v>
      </c>
      <c r="C6641" s="211">
        <v>925</v>
      </c>
      <c r="D6641" s="211" t="s">
        <v>1255</v>
      </c>
      <c r="E6641" s="211" t="s">
        <v>10067</v>
      </c>
      <c r="F6641" s="211" t="s">
        <v>7247</v>
      </c>
    </row>
    <row r="6642" spans="1:6">
      <c r="A6642" s="211" t="s">
        <v>2327</v>
      </c>
      <c r="B6642" s="211">
        <v>3101</v>
      </c>
      <c r="C6642" s="211">
        <v>1892</v>
      </c>
      <c r="D6642" s="211" t="s">
        <v>1255</v>
      </c>
      <c r="E6642" s="211" t="s">
        <v>10385</v>
      </c>
      <c r="F6642" s="211" t="s">
        <v>7427</v>
      </c>
    </row>
    <row r="6643" spans="1:6">
      <c r="A6643" s="211" t="s">
        <v>8637</v>
      </c>
      <c r="B6643" s="211">
        <v>6884</v>
      </c>
      <c r="C6643" s="211">
        <v>1083</v>
      </c>
      <c r="D6643" s="211" t="s">
        <v>1255</v>
      </c>
      <c r="E6643" s="211" t="s">
        <v>10385</v>
      </c>
      <c r="F6643" s="211" t="s">
        <v>7285</v>
      </c>
    </row>
    <row r="6644" spans="1:6">
      <c r="A6644" s="211" t="s">
        <v>5222</v>
      </c>
      <c r="B6644" s="211">
        <v>6674</v>
      </c>
      <c r="C6644" s="211">
        <v>1083</v>
      </c>
      <c r="D6644" s="211" t="s">
        <v>1255</v>
      </c>
      <c r="E6644" s="211" t="s">
        <v>10385</v>
      </c>
      <c r="F6644" s="211" t="s">
        <v>7285</v>
      </c>
    </row>
    <row r="6645" spans="1:6">
      <c r="A6645" s="211" t="s">
        <v>2328</v>
      </c>
      <c r="B6645" s="211">
        <v>1108</v>
      </c>
      <c r="C6645" s="211">
        <v>1641</v>
      </c>
      <c r="D6645" s="211" t="s">
        <v>1255</v>
      </c>
      <c r="E6645" s="211" t="s">
        <v>10385</v>
      </c>
      <c r="F6645" s="211" t="s">
        <v>7232</v>
      </c>
    </row>
    <row r="6646" spans="1:6">
      <c r="A6646" s="211" t="s">
        <v>2329</v>
      </c>
      <c r="B6646" s="211">
        <v>4016</v>
      </c>
      <c r="C6646" s="211">
        <v>970</v>
      </c>
      <c r="D6646" s="211" t="s">
        <v>1255</v>
      </c>
      <c r="E6646" s="211" t="s">
        <v>10385</v>
      </c>
      <c r="F6646" s="211" t="s">
        <v>7453</v>
      </c>
    </row>
    <row r="6647" spans="1:6">
      <c r="A6647" s="211" t="s">
        <v>5223</v>
      </c>
      <c r="B6647" s="211">
        <v>6902</v>
      </c>
      <c r="C6647" s="211">
        <v>719</v>
      </c>
      <c r="D6647" s="211" t="s">
        <v>1117</v>
      </c>
      <c r="E6647" s="211" t="s">
        <v>10385</v>
      </c>
      <c r="F6647" s="211" t="s">
        <v>7536</v>
      </c>
    </row>
    <row r="6648" spans="1:6">
      <c r="A6648" s="211" t="s">
        <v>8638</v>
      </c>
      <c r="B6648" s="211">
        <v>232</v>
      </c>
      <c r="C6648" s="211" t="s">
        <v>10385</v>
      </c>
      <c r="D6648" s="211" t="s">
        <v>1255</v>
      </c>
      <c r="E6648" s="211" t="s">
        <v>10385</v>
      </c>
      <c r="F6648" s="211" t="s">
        <v>7171</v>
      </c>
    </row>
    <row r="6649" spans="1:6">
      <c r="A6649" s="211" t="s">
        <v>2330</v>
      </c>
      <c r="B6649" s="211">
        <v>4045</v>
      </c>
      <c r="C6649" s="211">
        <v>1310</v>
      </c>
      <c r="D6649" s="211" t="s">
        <v>1255</v>
      </c>
      <c r="E6649" s="211" t="s">
        <v>10385</v>
      </c>
      <c r="F6649" s="211" t="s">
        <v>7386</v>
      </c>
    </row>
    <row r="6650" spans="1:6">
      <c r="A6650" s="211" t="s">
        <v>10068</v>
      </c>
      <c r="B6650" s="211">
        <v>8535</v>
      </c>
      <c r="C6650" s="211">
        <v>952</v>
      </c>
      <c r="D6650" s="211" t="s">
        <v>1255</v>
      </c>
      <c r="E6650" s="211" t="s">
        <v>10957</v>
      </c>
      <c r="F6650" s="211" t="s">
        <v>7255</v>
      </c>
    </row>
    <row r="6651" spans="1:6">
      <c r="A6651" s="211" t="s">
        <v>2331</v>
      </c>
      <c r="B6651" s="211">
        <v>157</v>
      </c>
      <c r="C6651" s="211">
        <v>1459</v>
      </c>
      <c r="D6651" s="211" t="s">
        <v>1255</v>
      </c>
      <c r="E6651" s="211" t="s">
        <v>10385</v>
      </c>
      <c r="F6651" s="211" t="s">
        <v>7239</v>
      </c>
    </row>
    <row r="6652" spans="1:6">
      <c r="A6652" s="211" t="s">
        <v>2914</v>
      </c>
      <c r="B6652" s="211">
        <v>3258</v>
      </c>
      <c r="C6652" s="211">
        <v>1486</v>
      </c>
      <c r="D6652" s="211" t="s">
        <v>1255</v>
      </c>
      <c r="E6652" s="211" t="s">
        <v>10385</v>
      </c>
      <c r="F6652" s="211" t="s">
        <v>7384</v>
      </c>
    </row>
    <row r="6653" spans="1:6">
      <c r="A6653" s="211" t="s">
        <v>2332</v>
      </c>
      <c r="B6653" s="211">
        <v>5579</v>
      </c>
      <c r="C6653" s="211">
        <v>1689</v>
      </c>
      <c r="D6653" s="211" t="s">
        <v>1255</v>
      </c>
      <c r="E6653" s="211" t="s">
        <v>10385</v>
      </c>
      <c r="F6653" s="211" t="s">
        <v>7238</v>
      </c>
    </row>
    <row r="6654" spans="1:6">
      <c r="A6654" s="211" t="s">
        <v>2333</v>
      </c>
      <c r="B6654" s="211">
        <v>1462</v>
      </c>
      <c r="C6654" s="211">
        <v>1578</v>
      </c>
      <c r="D6654" s="211" t="s">
        <v>1255</v>
      </c>
      <c r="E6654" s="211" t="s">
        <v>10385</v>
      </c>
      <c r="F6654" s="211" t="s">
        <v>7797</v>
      </c>
    </row>
    <row r="6655" spans="1:6">
      <c r="A6655" s="211" t="s">
        <v>2334</v>
      </c>
      <c r="B6655" s="211">
        <v>5385</v>
      </c>
      <c r="C6655" s="211">
        <v>969</v>
      </c>
      <c r="D6655" s="211" t="s">
        <v>1255</v>
      </c>
      <c r="E6655" s="211" t="s">
        <v>10385</v>
      </c>
      <c r="F6655" s="211" t="s">
        <v>7286</v>
      </c>
    </row>
    <row r="6656" spans="1:6">
      <c r="A6656" s="211" t="s">
        <v>6221</v>
      </c>
      <c r="B6656" s="211">
        <v>7177</v>
      </c>
      <c r="C6656" s="211">
        <v>1263</v>
      </c>
      <c r="D6656" s="211" t="s">
        <v>1255</v>
      </c>
      <c r="E6656" s="211" t="s">
        <v>6222</v>
      </c>
      <c r="F6656" s="211" t="s">
        <v>7384</v>
      </c>
    </row>
    <row r="6657" spans="1:6">
      <c r="A6657" s="211" t="s">
        <v>8996</v>
      </c>
      <c r="B6657" s="211">
        <v>6654</v>
      </c>
      <c r="C6657" s="211">
        <v>1079</v>
      </c>
      <c r="D6657" s="211" t="s">
        <v>1255</v>
      </c>
      <c r="E6657" s="211" t="s">
        <v>10385</v>
      </c>
      <c r="F6657" s="211" t="s">
        <v>7382</v>
      </c>
    </row>
    <row r="6658" spans="1:6">
      <c r="A6658" s="211" t="s">
        <v>8997</v>
      </c>
      <c r="B6658" s="211">
        <v>5756</v>
      </c>
      <c r="C6658" s="211">
        <v>1124</v>
      </c>
      <c r="D6658" s="211" t="s">
        <v>1255</v>
      </c>
      <c r="E6658" s="211" t="s">
        <v>10958</v>
      </c>
      <c r="F6658" s="211" t="s">
        <v>7285</v>
      </c>
    </row>
    <row r="6659" spans="1:6">
      <c r="A6659" s="211" t="s">
        <v>8639</v>
      </c>
      <c r="B6659" s="211">
        <v>24</v>
      </c>
      <c r="C6659" s="211" t="s">
        <v>10385</v>
      </c>
      <c r="D6659" s="211" t="s">
        <v>1255</v>
      </c>
      <c r="E6659" s="211" t="s">
        <v>10385</v>
      </c>
      <c r="F6659" s="211" t="s">
        <v>7356</v>
      </c>
    </row>
    <row r="6660" spans="1:6">
      <c r="A6660" s="211" t="s">
        <v>10959</v>
      </c>
      <c r="B6660" s="211">
        <v>8717</v>
      </c>
      <c r="C6660" s="211">
        <v>404</v>
      </c>
      <c r="D6660" s="211" t="s">
        <v>1255</v>
      </c>
      <c r="E6660" s="211" t="s">
        <v>10960</v>
      </c>
      <c r="F6660" s="211" t="s">
        <v>7571</v>
      </c>
    </row>
    <row r="6661" spans="1:6">
      <c r="A6661" s="211" t="s">
        <v>8640</v>
      </c>
      <c r="B6661" s="211">
        <v>3152</v>
      </c>
      <c r="C6661" s="211" t="s">
        <v>10385</v>
      </c>
      <c r="D6661" s="211" t="s">
        <v>1255</v>
      </c>
      <c r="E6661" s="211" t="s">
        <v>10385</v>
      </c>
      <c r="F6661" s="211" t="s">
        <v>7280</v>
      </c>
    </row>
    <row r="6662" spans="1:6">
      <c r="A6662" s="211" t="s">
        <v>2335</v>
      </c>
      <c r="B6662" s="211">
        <v>3892</v>
      </c>
      <c r="C6662" s="211">
        <v>853</v>
      </c>
      <c r="D6662" s="211" t="s">
        <v>1255</v>
      </c>
      <c r="E6662" s="211" t="s">
        <v>10385</v>
      </c>
      <c r="F6662" s="211" t="s">
        <v>7760</v>
      </c>
    </row>
    <row r="6663" spans="1:6">
      <c r="A6663" s="211" t="s">
        <v>6223</v>
      </c>
      <c r="B6663" s="211">
        <v>7351</v>
      </c>
      <c r="C6663" s="211">
        <v>1781</v>
      </c>
      <c r="D6663" s="211" t="s">
        <v>1117</v>
      </c>
      <c r="E6663" s="211" t="s">
        <v>10069</v>
      </c>
      <c r="F6663" s="211" t="s">
        <v>7411</v>
      </c>
    </row>
    <row r="6664" spans="1:6">
      <c r="A6664" s="211" t="s">
        <v>2336</v>
      </c>
      <c r="B6664" s="211">
        <v>1513</v>
      </c>
      <c r="C6664" s="211">
        <v>1187</v>
      </c>
      <c r="D6664" s="211" t="s">
        <v>1255</v>
      </c>
      <c r="E6664" s="211" t="s">
        <v>10385</v>
      </c>
      <c r="F6664" s="211" t="s">
        <v>7344</v>
      </c>
    </row>
    <row r="6665" spans="1:6">
      <c r="A6665" s="211" t="s">
        <v>2337</v>
      </c>
      <c r="B6665" s="211">
        <v>2318</v>
      </c>
      <c r="C6665" s="211">
        <v>889</v>
      </c>
      <c r="D6665" s="211" t="s">
        <v>1255</v>
      </c>
      <c r="E6665" s="211" t="s">
        <v>10385</v>
      </c>
      <c r="F6665" s="211" t="s">
        <v>7399</v>
      </c>
    </row>
    <row r="6666" spans="1:6">
      <c r="A6666" s="211" t="s">
        <v>5224</v>
      </c>
      <c r="B6666" s="211">
        <v>6676</v>
      </c>
      <c r="C6666" s="211">
        <v>442</v>
      </c>
      <c r="D6666" s="211" t="s">
        <v>1255</v>
      </c>
      <c r="E6666" s="211" t="s">
        <v>3075</v>
      </c>
      <c r="F6666" s="211" t="s">
        <v>7285</v>
      </c>
    </row>
    <row r="6667" spans="1:6">
      <c r="A6667" s="211" t="s">
        <v>2338</v>
      </c>
      <c r="B6667" s="211">
        <v>1016</v>
      </c>
      <c r="C6667" s="211">
        <v>1707</v>
      </c>
      <c r="D6667" s="211" t="s">
        <v>1255</v>
      </c>
      <c r="E6667" s="211" t="s">
        <v>10385</v>
      </c>
      <c r="F6667" s="211" t="s">
        <v>7323</v>
      </c>
    </row>
    <row r="6668" spans="1:6">
      <c r="A6668" s="211" t="s">
        <v>3067</v>
      </c>
      <c r="B6668" s="211">
        <v>6264</v>
      </c>
      <c r="C6668" s="211">
        <v>742</v>
      </c>
      <c r="D6668" s="211" t="s">
        <v>1255</v>
      </c>
      <c r="E6668" s="211" t="s">
        <v>10070</v>
      </c>
      <c r="F6668" s="211" t="s">
        <v>7310</v>
      </c>
    </row>
    <row r="6669" spans="1:6">
      <c r="A6669" s="211" t="s">
        <v>2339</v>
      </c>
      <c r="B6669" s="211">
        <v>3324</v>
      </c>
      <c r="C6669" s="211">
        <v>896</v>
      </c>
      <c r="D6669" s="211" t="s">
        <v>1255</v>
      </c>
      <c r="E6669" s="211" t="s">
        <v>10385</v>
      </c>
      <c r="F6669" s="211" t="s">
        <v>7237</v>
      </c>
    </row>
    <row r="6670" spans="1:6">
      <c r="A6670" s="211" t="s">
        <v>2340</v>
      </c>
      <c r="B6670" s="211">
        <v>2939</v>
      </c>
      <c r="C6670" s="211">
        <v>881</v>
      </c>
      <c r="D6670" s="211" t="s">
        <v>1255</v>
      </c>
      <c r="E6670" s="211" t="s">
        <v>10385</v>
      </c>
      <c r="F6670" s="211" t="s">
        <v>7444</v>
      </c>
    </row>
    <row r="6671" spans="1:6">
      <c r="A6671" s="211" t="s">
        <v>5346</v>
      </c>
      <c r="B6671" s="211">
        <v>6303</v>
      </c>
      <c r="C6671" s="211">
        <v>560</v>
      </c>
      <c r="D6671" s="211" t="s">
        <v>1255</v>
      </c>
      <c r="E6671" s="211" t="s">
        <v>10385</v>
      </c>
      <c r="F6671" s="211" t="s">
        <v>7215</v>
      </c>
    </row>
    <row r="6672" spans="1:6">
      <c r="A6672" s="211" t="s">
        <v>10071</v>
      </c>
      <c r="B6672" s="211">
        <v>8562</v>
      </c>
      <c r="C6672" s="211">
        <v>984</v>
      </c>
      <c r="D6672" s="211" t="s">
        <v>1255</v>
      </c>
      <c r="E6672" s="211" t="s">
        <v>10072</v>
      </c>
      <c r="F6672" s="211" t="s">
        <v>7431</v>
      </c>
    </row>
    <row r="6673" spans="1:6">
      <c r="A6673" s="211" t="s">
        <v>2341</v>
      </c>
      <c r="B6673" s="211">
        <v>2457</v>
      </c>
      <c r="C6673" s="211">
        <v>917</v>
      </c>
      <c r="D6673" s="211" t="s">
        <v>1255</v>
      </c>
      <c r="E6673" s="211" t="s">
        <v>10385</v>
      </c>
      <c r="F6673" s="211" t="s">
        <v>7286</v>
      </c>
    </row>
    <row r="6674" spans="1:6">
      <c r="A6674" s="211" t="s">
        <v>2342</v>
      </c>
      <c r="B6674" s="211">
        <v>1407</v>
      </c>
      <c r="C6674" s="211">
        <v>628</v>
      </c>
      <c r="D6674" s="211" t="s">
        <v>1255</v>
      </c>
      <c r="E6674" s="211" t="s">
        <v>10385</v>
      </c>
      <c r="F6674" s="211" t="s">
        <v>7175</v>
      </c>
    </row>
    <row r="6675" spans="1:6">
      <c r="A6675" s="211" t="s">
        <v>5225</v>
      </c>
      <c r="B6675" s="211">
        <v>6237</v>
      </c>
      <c r="C6675" s="211">
        <v>632</v>
      </c>
      <c r="D6675" s="211" t="s">
        <v>1255</v>
      </c>
      <c r="E6675" s="211" t="s">
        <v>10385</v>
      </c>
      <c r="F6675" s="211" t="s">
        <v>7328</v>
      </c>
    </row>
    <row r="6676" spans="1:6">
      <c r="A6676" s="211" t="s">
        <v>2343</v>
      </c>
      <c r="B6676" s="211">
        <v>2915</v>
      </c>
      <c r="C6676" s="211">
        <v>1723</v>
      </c>
      <c r="D6676" s="211" t="s">
        <v>1255</v>
      </c>
      <c r="E6676" s="211" t="s">
        <v>10385</v>
      </c>
      <c r="F6676" s="211" t="s">
        <v>7165</v>
      </c>
    </row>
    <row r="6677" spans="1:6">
      <c r="A6677" s="211" t="s">
        <v>2344</v>
      </c>
      <c r="B6677" s="211">
        <v>1748</v>
      </c>
      <c r="C6677" s="211">
        <v>831</v>
      </c>
      <c r="D6677" s="211" t="s">
        <v>1255</v>
      </c>
      <c r="E6677" s="211" t="s">
        <v>10385</v>
      </c>
      <c r="F6677" s="211" t="s">
        <v>7692</v>
      </c>
    </row>
    <row r="6678" spans="1:6">
      <c r="A6678" s="211" t="s">
        <v>2345</v>
      </c>
      <c r="B6678" s="211">
        <v>4272</v>
      </c>
      <c r="C6678" s="211">
        <v>1089</v>
      </c>
      <c r="D6678" s="211" t="s">
        <v>1117</v>
      </c>
      <c r="E6678" s="211" t="s">
        <v>6632</v>
      </c>
      <c r="F6678" s="211" t="s">
        <v>7267</v>
      </c>
    </row>
    <row r="6679" spans="1:6">
      <c r="A6679" s="211" t="s">
        <v>6224</v>
      </c>
      <c r="B6679" s="211">
        <v>7456</v>
      </c>
      <c r="C6679" s="211">
        <v>1201</v>
      </c>
      <c r="D6679" s="211" t="s">
        <v>1117</v>
      </c>
      <c r="E6679" s="211" t="s">
        <v>10961</v>
      </c>
      <c r="F6679" s="211" t="s">
        <v>7232</v>
      </c>
    </row>
    <row r="6680" spans="1:6">
      <c r="A6680" s="211" t="s">
        <v>4788</v>
      </c>
      <c r="B6680" s="211">
        <v>6154</v>
      </c>
      <c r="C6680" s="211">
        <v>925</v>
      </c>
      <c r="D6680" s="211" t="s">
        <v>1255</v>
      </c>
      <c r="E6680" s="211" t="s">
        <v>10385</v>
      </c>
      <c r="F6680" s="211" t="s">
        <v>7344</v>
      </c>
    </row>
    <row r="6681" spans="1:6">
      <c r="A6681" s="211" t="s">
        <v>4868</v>
      </c>
      <c r="B6681" s="211">
        <v>1922</v>
      </c>
      <c r="C6681" s="211">
        <v>1416</v>
      </c>
      <c r="D6681" s="211" t="s">
        <v>1255</v>
      </c>
      <c r="E6681" s="211" t="s">
        <v>10385</v>
      </c>
      <c r="F6681" s="211" t="s">
        <v>7384</v>
      </c>
    </row>
    <row r="6682" spans="1:6">
      <c r="A6682" s="211" t="s">
        <v>2346</v>
      </c>
      <c r="B6682" s="211">
        <v>2253</v>
      </c>
      <c r="C6682" s="211">
        <v>1417</v>
      </c>
      <c r="D6682" s="211" t="s">
        <v>1255</v>
      </c>
      <c r="E6682" s="211" t="s">
        <v>10385</v>
      </c>
      <c r="F6682" s="211" t="s">
        <v>7160</v>
      </c>
    </row>
    <row r="6683" spans="1:6">
      <c r="A6683" s="211" t="s">
        <v>2347</v>
      </c>
      <c r="B6683" s="211">
        <v>1161</v>
      </c>
      <c r="C6683" s="211">
        <v>1789</v>
      </c>
      <c r="D6683" s="211" t="s">
        <v>1255</v>
      </c>
      <c r="E6683" s="211" t="s">
        <v>10385</v>
      </c>
      <c r="F6683" s="211" t="s">
        <v>7224</v>
      </c>
    </row>
    <row r="6684" spans="1:6">
      <c r="A6684" s="211" t="s">
        <v>4619</v>
      </c>
      <c r="B6684" s="211">
        <v>6522</v>
      </c>
      <c r="C6684" s="211">
        <v>1712</v>
      </c>
      <c r="D6684" s="211" t="s">
        <v>1255</v>
      </c>
      <c r="E6684" s="211" t="s">
        <v>10385</v>
      </c>
      <c r="F6684" s="211" t="s">
        <v>7249</v>
      </c>
    </row>
    <row r="6685" spans="1:6">
      <c r="A6685" s="211" t="s">
        <v>5226</v>
      </c>
      <c r="B6685" s="211">
        <v>6733</v>
      </c>
      <c r="C6685" s="211">
        <v>1083</v>
      </c>
      <c r="D6685" s="211" t="s">
        <v>1255</v>
      </c>
      <c r="E6685" s="211" t="s">
        <v>7059</v>
      </c>
      <c r="F6685" s="211" t="s">
        <v>7455</v>
      </c>
    </row>
    <row r="6686" spans="1:6">
      <c r="A6686" s="211" t="s">
        <v>6225</v>
      </c>
      <c r="B6686" s="211">
        <v>7560</v>
      </c>
      <c r="C6686" s="211">
        <v>1012</v>
      </c>
      <c r="D6686" s="211" t="s">
        <v>1255</v>
      </c>
      <c r="E6686" s="211" t="s">
        <v>7060</v>
      </c>
      <c r="F6686" s="211" t="s">
        <v>7318</v>
      </c>
    </row>
    <row r="6687" spans="1:6">
      <c r="A6687" s="211" t="s">
        <v>2348</v>
      </c>
      <c r="B6687" s="211">
        <v>2443</v>
      </c>
      <c r="C6687" s="211">
        <v>1198</v>
      </c>
      <c r="D6687" s="211" t="s">
        <v>1255</v>
      </c>
      <c r="E6687" s="211" t="s">
        <v>10385</v>
      </c>
      <c r="F6687" s="211" t="s">
        <v>7208</v>
      </c>
    </row>
    <row r="6688" spans="1:6">
      <c r="A6688" s="211" t="s">
        <v>8641</v>
      </c>
      <c r="B6688" s="211">
        <v>556</v>
      </c>
      <c r="C6688" s="211" t="s">
        <v>10385</v>
      </c>
      <c r="D6688" s="211" t="s">
        <v>1255</v>
      </c>
      <c r="E6688" s="211" t="s">
        <v>10385</v>
      </c>
      <c r="F6688" s="211" t="s">
        <v>7510</v>
      </c>
    </row>
    <row r="6689" spans="1:6">
      <c r="A6689" s="211" t="s">
        <v>5227</v>
      </c>
      <c r="B6689" s="211">
        <v>6983</v>
      </c>
      <c r="C6689" s="211">
        <v>792</v>
      </c>
      <c r="D6689" s="211" t="s">
        <v>1255</v>
      </c>
      <c r="E6689" s="211" t="s">
        <v>10385</v>
      </c>
      <c r="F6689" s="211" t="s">
        <v>7354</v>
      </c>
    </row>
    <row r="6690" spans="1:6">
      <c r="A6690" s="211" t="s">
        <v>2349</v>
      </c>
      <c r="B6690" s="211">
        <v>3510</v>
      </c>
      <c r="C6690" s="211">
        <v>1718</v>
      </c>
      <c r="D6690" s="211" t="s">
        <v>1255</v>
      </c>
      <c r="E6690" s="211" t="s">
        <v>7061</v>
      </c>
      <c r="F6690" s="211" t="s">
        <v>7246</v>
      </c>
    </row>
    <row r="6691" spans="1:6">
      <c r="A6691" s="211" t="s">
        <v>2350</v>
      </c>
      <c r="B6691" s="211">
        <v>5732</v>
      </c>
      <c r="C6691" s="211">
        <v>1188</v>
      </c>
      <c r="D6691" s="211" t="s">
        <v>1255</v>
      </c>
      <c r="E6691" s="211" t="s">
        <v>10385</v>
      </c>
      <c r="F6691" s="211" t="s">
        <v>7425</v>
      </c>
    </row>
    <row r="6692" spans="1:6">
      <c r="A6692" s="211" t="s">
        <v>2351</v>
      </c>
      <c r="B6692" s="211">
        <v>2944</v>
      </c>
      <c r="C6692" s="211">
        <v>1011</v>
      </c>
      <c r="D6692" s="211" t="s">
        <v>1117</v>
      </c>
      <c r="E6692" s="211" t="s">
        <v>10385</v>
      </c>
      <c r="F6692" s="211" t="s">
        <v>7177</v>
      </c>
    </row>
    <row r="6693" spans="1:6">
      <c r="A6693" s="211" t="s">
        <v>2352</v>
      </c>
      <c r="B6693" s="211">
        <v>2749</v>
      </c>
      <c r="C6693" s="211">
        <v>994</v>
      </c>
      <c r="D6693" s="211" t="s">
        <v>1255</v>
      </c>
      <c r="E6693" s="211" t="s">
        <v>10385</v>
      </c>
      <c r="F6693" s="211" t="s">
        <v>7257</v>
      </c>
    </row>
    <row r="6694" spans="1:6">
      <c r="A6694" s="211" t="s">
        <v>2353</v>
      </c>
      <c r="B6694" s="211">
        <v>2545</v>
      </c>
      <c r="C6694" s="211">
        <v>975</v>
      </c>
      <c r="D6694" s="211" t="s">
        <v>1117</v>
      </c>
      <c r="E6694" s="211" t="s">
        <v>10385</v>
      </c>
      <c r="F6694" s="211" t="s">
        <v>7250</v>
      </c>
    </row>
    <row r="6695" spans="1:6">
      <c r="A6695" s="211" t="s">
        <v>2354</v>
      </c>
      <c r="B6695" s="211">
        <v>457</v>
      </c>
      <c r="C6695" s="211">
        <v>891</v>
      </c>
      <c r="D6695" s="211" t="s">
        <v>1255</v>
      </c>
      <c r="E6695" s="211" t="s">
        <v>10385</v>
      </c>
      <c r="F6695" s="211" t="s">
        <v>7486</v>
      </c>
    </row>
    <row r="6696" spans="1:6">
      <c r="A6696" s="211" t="s">
        <v>10962</v>
      </c>
      <c r="B6696" s="211">
        <v>8587</v>
      </c>
      <c r="C6696" s="211">
        <v>1018</v>
      </c>
      <c r="D6696" s="211" t="s">
        <v>1255</v>
      </c>
      <c r="E6696" s="211" t="s">
        <v>10963</v>
      </c>
      <c r="F6696" s="211" t="s">
        <v>7224</v>
      </c>
    </row>
    <row r="6697" spans="1:6">
      <c r="A6697" s="211" t="s">
        <v>4551</v>
      </c>
      <c r="B6697" s="211">
        <v>6581</v>
      </c>
      <c r="C6697" s="211">
        <v>843</v>
      </c>
      <c r="D6697" s="211" t="s">
        <v>1255</v>
      </c>
      <c r="E6697" s="211" t="s">
        <v>10385</v>
      </c>
      <c r="F6697" s="211" t="s">
        <v>7661</v>
      </c>
    </row>
    <row r="6698" spans="1:6">
      <c r="A6698" s="211" t="s">
        <v>8642</v>
      </c>
      <c r="B6698" s="211">
        <v>5523</v>
      </c>
      <c r="C6698" s="211">
        <v>1483</v>
      </c>
      <c r="D6698" s="211" t="s">
        <v>1255</v>
      </c>
      <c r="E6698" s="211" t="s">
        <v>10385</v>
      </c>
      <c r="F6698" s="211" t="s">
        <v>7412</v>
      </c>
    </row>
    <row r="6699" spans="1:6">
      <c r="A6699" s="211" t="s">
        <v>2355</v>
      </c>
      <c r="B6699" s="211">
        <v>816</v>
      </c>
      <c r="C6699" s="211">
        <v>1084</v>
      </c>
      <c r="D6699" s="211" t="s">
        <v>1117</v>
      </c>
      <c r="E6699" s="211" t="s">
        <v>10385</v>
      </c>
      <c r="F6699" s="211" t="s">
        <v>7343</v>
      </c>
    </row>
    <row r="6700" spans="1:6">
      <c r="A6700" s="211" t="s">
        <v>10073</v>
      </c>
      <c r="B6700" s="211">
        <v>8121</v>
      </c>
      <c r="C6700" s="211">
        <v>996</v>
      </c>
      <c r="D6700" s="211" t="s">
        <v>1255</v>
      </c>
      <c r="E6700" s="211" t="s">
        <v>10964</v>
      </c>
      <c r="F6700" s="211" t="s">
        <v>7556</v>
      </c>
    </row>
    <row r="6701" spans="1:6">
      <c r="A6701" s="211" t="s">
        <v>6226</v>
      </c>
      <c r="B6701" s="211">
        <v>7608</v>
      </c>
      <c r="C6701" s="211">
        <v>1458</v>
      </c>
      <c r="D6701" s="211" t="s">
        <v>1255</v>
      </c>
      <c r="E6701" s="211" t="s">
        <v>10965</v>
      </c>
      <c r="F6701" s="211" t="s">
        <v>7239</v>
      </c>
    </row>
    <row r="6702" spans="1:6">
      <c r="A6702" s="211" t="s">
        <v>2356</v>
      </c>
      <c r="B6702" s="211">
        <v>3484</v>
      </c>
      <c r="C6702" s="211">
        <v>1992</v>
      </c>
      <c r="D6702" s="211" t="s">
        <v>1255</v>
      </c>
      <c r="E6702" s="211" t="s">
        <v>10385</v>
      </c>
      <c r="F6702" s="211" t="s">
        <v>7208</v>
      </c>
    </row>
    <row r="6703" spans="1:6">
      <c r="A6703" s="211" t="s">
        <v>6227</v>
      </c>
      <c r="B6703" s="211">
        <v>7182</v>
      </c>
      <c r="C6703" s="211">
        <v>1747</v>
      </c>
      <c r="D6703" s="211" t="s">
        <v>1255</v>
      </c>
      <c r="E6703" s="211" t="s">
        <v>6228</v>
      </c>
      <c r="F6703" s="211" t="s">
        <v>7264</v>
      </c>
    </row>
    <row r="6704" spans="1:6">
      <c r="A6704" s="211" t="s">
        <v>2357</v>
      </c>
      <c r="B6704" s="211">
        <v>463</v>
      </c>
      <c r="C6704" s="211">
        <v>1764</v>
      </c>
      <c r="D6704" s="211" t="s">
        <v>1255</v>
      </c>
      <c r="E6704" s="211" t="s">
        <v>10385</v>
      </c>
      <c r="F6704" s="211" t="s">
        <v>7196</v>
      </c>
    </row>
    <row r="6705" spans="1:6">
      <c r="A6705" s="211" t="s">
        <v>8643</v>
      </c>
      <c r="B6705" s="211">
        <v>320</v>
      </c>
      <c r="C6705" s="211" t="s">
        <v>10385</v>
      </c>
      <c r="D6705" s="211" t="s">
        <v>1255</v>
      </c>
      <c r="E6705" s="211" t="s">
        <v>10385</v>
      </c>
      <c r="F6705" s="211" t="s">
        <v>7207</v>
      </c>
    </row>
    <row r="6706" spans="1:6">
      <c r="A6706" s="211" t="s">
        <v>2358</v>
      </c>
      <c r="B6706" s="211">
        <v>5822</v>
      </c>
      <c r="C6706" s="211">
        <v>1045</v>
      </c>
      <c r="D6706" s="211" t="s">
        <v>1255</v>
      </c>
      <c r="E6706" s="211" t="s">
        <v>10385</v>
      </c>
      <c r="F6706" s="211" t="s">
        <v>7235</v>
      </c>
    </row>
    <row r="6707" spans="1:6">
      <c r="A6707" s="211" t="s">
        <v>2359</v>
      </c>
      <c r="B6707" s="211">
        <v>1424</v>
      </c>
      <c r="C6707" s="211">
        <v>1981</v>
      </c>
      <c r="D6707" s="211" t="s">
        <v>1255</v>
      </c>
      <c r="E6707" s="211" t="s">
        <v>10385</v>
      </c>
      <c r="F6707" s="211" t="s">
        <v>7196</v>
      </c>
    </row>
    <row r="6708" spans="1:6">
      <c r="A6708" s="211" t="s">
        <v>4909</v>
      </c>
      <c r="B6708" s="211">
        <v>4476</v>
      </c>
      <c r="C6708" s="211">
        <v>1261</v>
      </c>
      <c r="D6708" s="211" t="s">
        <v>1255</v>
      </c>
      <c r="E6708" s="211" t="s">
        <v>3095</v>
      </c>
      <c r="F6708" s="211" t="s">
        <v>7382</v>
      </c>
    </row>
    <row r="6709" spans="1:6">
      <c r="A6709" s="211" t="s">
        <v>10074</v>
      </c>
      <c r="B6709" s="211">
        <v>8206</v>
      </c>
      <c r="C6709" s="211">
        <v>1420</v>
      </c>
      <c r="D6709" s="211" t="s">
        <v>1255</v>
      </c>
      <c r="E6709" s="211" t="s">
        <v>10385</v>
      </c>
      <c r="F6709" s="211" t="s">
        <v>7323</v>
      </c>
    </row>
    <row r="6710" spans="1:6">
      <c r="A6710" s="211" t="s">
        <v>2360</v>
      </c>
      <c r="B6710" s="211">
        <v>2145</v>
      </c>
      <c r="C6710" s="211">
        <v>486</v>
      </c>
      <c r="D6710" s="211" t="s">
        <v>1117</v>
      </c>
      <c r="E6710" s="211" t="s">
        <v>10385</v>
      </c>
      <c r="F6710" s="211" t="s">
        <v>7199</v>
      </c>
    </row>
    <row r="6711" spans="1:6">
      <c r="A6711" s="211" t="s">
        <v>2361</v>
      </c>
      <c r="B6711" s="211">
        <v>950</v>
      </c>
      <c r="C6711" s="211">
        <v>1027</v>
      </c>
      <c r="D6711" s="211" t="s">
        <v>1255</v>
      </c>
      <c r="E6711" s="211" t="s">
        <v>10385</v>
      </c>
      <c r="F6711" s="211" t="s">
        <v>7627</v>
      </c>
    </row>
    <row r="6712" spans="1:6">
      <c r="A6712" s="211" t="s">
        <v>10966</v>
      </c>
      <c r="B6712" s="211">
        <v>8602</v>
      </c>
      <c r="C6712" s="211">
        <v>770</v>
      </c>
      <c r="D6712" s="211" t="s">
        <v>1117</v>
      </c>
      <c r="E6712" s="211" t="s">
        <v>10967</v>
      </c>
      <c r="F6712" s="211" t="s">
        <v>7356</v>
      </c>
    </row>
    <row r="6713" spans="1:6">
      <c r="A6713" s="211" t="s">
        <v>7062</v>
      </c>
      <c r="B6713" s="211">
        <v>7756</v>
      </c>
      <c r="C6713" s="211">
        <v>977</v>
      </c>
      <c r="D6713" s="211" t="s">
        <v>1255</v>
      </c>
      <c r="E6713" s="211" t="s">
        <v>7063</v>
      </c>
      <c r="F6713" s="211" t="s">
        <v>7561</v>
      </c>
    </row>
    <row r="6714" spans="1:6">
      <c r="A6714" s="211" t="s">
        <v>2362</v>
      </c>
      <c r="B6714" s="211">
        <v>4195</v>
      </c>
      <c r="C6714" s="211">
        <v>1394</v>
      </c>
      <c r="D6714" s="211" t="s">
        <v>1255</v>
      </c>
      <c r="E6714" s="211" t="s">
        <v>10385</v>
      </c>
      <c r="F6714" s="211" t="s">
        <v>7402</v>
      </c>
    </row>
    <row r="6715" spans="1:6">
      <c r="A6715" s="211" t="s">
        <v>6229</v>
      </c>
      <c r="B6715" s="211">
        <v>7450</v>
      </c>
      <c r="C6715" s="211">
        <v>1031</v>
      </c>
      <c r="D6715" s="211" t="s">
        <v>1255</v>
      </c>
      <c r="E6715" s="211" t="s">
        <v>10075</v>
      </c>
      <c r="F6715" s="211" t="s">
        <v>7228</v>
      </c>
    </row>
    <row r="6716" spans="1:6">
      <c r="A6716" s="211" t="s">
        <v>2363</v>
      </c>
      <c r="B6716" s="211">
        <v>5063</v>
      </c>
      <c r="C6716" s="211">
        <v>1016</v>
      </c>
      <c r="D6716" s="211" t="s">
        <v>1255</v>
      </c>
      <c r="E6716" s="211" t="s">
        <v>10385</v>
      </c>
      <c r="F6716" s="211" t="s">
        <v>7736</v>
      </c>
    </row>
    <row r="6717" spans="1:6">
      <c r="A6717" s="211" t="s">
        <v>2364</v>
      </c>
      <c r="B6717" s="211">
        <v>3683</v>
      </c>
      <c r="C6717" s="211">
        <v>749</v>
      </c>
      <c r="D6717" s="211" t="s">
        <v>1255</v>
      </c>
      <c r="E6717" s="211" t="s">
        <v>10385</v>
      </c>
      <c r="F6717" s="211" t="s">
        <v>7221</v>
      </c>
    </row>
    <row r="6718" spans="1:6">
      <c r="A6718" s="211" t="s">
        <v>6230</v>
      </c>
      <c r="B6718" s="211">
        <v>7231</v>
      </c>
      <c r="C6718" s="211">
        <v>870</v>
      </c>
      <c r="D6718" s="211" t="s">
        <v>1117</v>
      </c>
      <c r="E6718" s="211" t="s">
        <v>10385</v>
      </c>
      <c r="F6718" s="211" t="s">
        <v>7205</v>
      </c>
    </row>
    <row r="6719" spans="1:6">
      <c r="A6719" s="211" t="s">
        <v>4620</v>
      </c>
      <c r="B6719" s="211">
        <v>6532</v>
      </c>
      <c r="C6719" s="211">
        <v>1074</v>
      </c>
      <c r="D6719" s="211" t="s">
        <v>1117</v>
      </c>
      <c r="E6719" s="211" t="s">
        <v>10076</v>
      </c>
      <c r="F6719" s="211" t="s">
        <v>7205</v>
      </c>
    </row>
    <row r="6720" spans="1:6">
      <c r="A6720" s="211" t="s">
        <v>10077</v>
      </c>
      <c r="B6720" s="211">
        <v>7964</v>
      </c>
      <c r="C6720" s="211">
        <v>935</v>
      </c>
      <c r="D6720" s="211" t="s">
        <v>1255</v>
      </c>
      <c r="E6720" s="211" t="s">
        <v>10078</v>
      </c>
      <c r="F6720" s="211" t="s">
        <v>7288</v>
      </c>
    </row>
    <row r="6721" spans="1:6">
      <c r="A6721" s="211" t="s">
        <v>8644</v>
      </c>
      <c r="B6721" s="211">
        <v>2699</v>
      </c>
      <c r="C6721" s="211" t="s">
        <v>10385</v>
      </c>
      <c r="D6721" s="211" t="s">
        <v>1117</v>
      </c>
      <c r="E6721" s="211" t="s">
        <v>10385</v>
      </c>
      <c r="F6721" s="211" t="s">
        <v>7425</v>
      </c>
    </row>
    <row r="6722" spans="1:6">
      <c r="A6722" s="211" t="s">
        <v>2365</v>
      </c>
      <c r="B6722" s="211">
        <v>1516</v>
      </c>
      <c r="C6722" s="211">
        <v>1524</v>
      </c>
      <c r="D6722" s="211" t="s">
        <v>1255</v>
      </c>
      <c r="E6722" s="211" t="s">
        <v>10385</v>
      </c>
      <c r="F6722" s="211" t="s">
        <v>7275</v>
      </c>
    </row>
    <row r="6723" spans="1:6">
      <c r="A6723" s="211" t="s">
        <v>6231</v>
      </c>
      <c r="B6723" s="211">
        <v>7458</v>
      </c>
      <c r="C6723" s="211">
        <v>778</v>
      </c>
      <c r="D6723" s="211" t="s">
        <v>1255</v>
      </c>
      <c r="E6723" s="211" t="s">
        <v>10079</v>
      </c>
      <c r="F6723" s="211" t="s">
        <v>7789</v>
      </c>
    </row>
    <row r="6724" spans="1:6">
      <c r="A6724" s="211" t="s">
        <v>2366</v>
      </c>
      <c r="B6724" s="211">
        <v>3216</v>
      </c>
      <c r="C6724" s="211">
        <v>1039</v>
      </c>
      <c r="D6724" s="211" t="s">
        <v>1255</v>
      </c>
      <c r="E6724" s="211" t="s">
        <v>10385</v>
      </c>
      <c r="F6724" s="211" t="s">
        <v>7189</v>
      </c>
    </row>
    <row r="6725" spans="1:6">
      <c r="A6725" s="211" t="s">
        <v>2367</v>
      </c>
      <c r="B6725" s="211">
        <v>3122</v>
      </c>
      <c r="C6725" s="211">
        <v>1957</v>
      </c>
      <c r="D6725" s="211" t="s">
        <v>1255</v>
      </c>
      <c r="E6725" s="211" t="s">
        <v>10385</v>
      </c>
      <c r="F6725" s="211" t="s">
        <v>7495</v>
      </c>
    </row>
    <row r="6726" spans="1:6">
      <c r="A6726" s="211" t="s">
        <v>5228</v>
      </c>
      <c r="B6726" s="211">
        <v>5168</v>
      </c>
      <c r="C6726" s="211">
        <v>1207</v>
      </c>
      <c r="D6726" s="211" t="s">
        <v>1255</v>
      </c>
      <c r="E6726" s="211" t="s">
        <v>10385</v>
      </c>
      <c r="F6726" s="211" t="s">
        <v>7171</v>
      </c>
    </row>
    <row r="6727" spans="1:6">
      <c r="A6727" s="211" t="s">
        <v>5229</v>
      </c>
      <c r="B6727" s="211">
        <v>4797</v>
      </c>
      <c r="C6727" s="211">
        <v>1778</v>
      </c>
      <c r="D6727" s="211" t="s">
        <v>1117</v>
      </c>
      <c r="E6727" s="211" t="s">
        <v>10385</v>
      </c>
      <c r="F6727" s="211" t="s">
        <v>7292</v>
      </c>
    </row>
    <row r="6728" spans="1:6">
      <c r="A6728" s="211" t="s">
        <v>8645</v>
      </c>
      <c r="B6728" s="211">
        <v>469</v>
      </c>
      <c r="C6728" s="211" t="s">
        <v>10385</v>
      </c>
      <c r="D6728" s="211" t="s">
        <v>1255</v>
      </c>
      <c r="E6728" s="211" t="s">
        <v>10385</v>
      </c>
      <c r="F6728" s="211" t="s">
        <v>7196</v>
      </c>
    </row>
    <row r="6729" spans="1:6">
      <c r="A6729" s="211" t="s">
        <v>6232</v>
      </c>
      <c r="B6729" s="211">
        <v>7181</v>
      </c>
      <c r="C6729" s="211">
        <v>1694</v>
      </c>
      <c r="D6729" s="211" t="s">
        <v>1255</v>
      </c>
      <c r="E6729" s="211" t="s">
        <v>10385</v>
      </c>
      <c r="F6729" s="211" t="s">
        <v>7263</v>
      </c>
    </row>
    <row r="6730" spans="1:6">
      <c r="A6730" s="211" t="s">
        <v>2368</v>
      </c>
      <c r="B6730" s="211">
        <v>517</v>
      </c>
      <c r="C6730" s="211">
        <v>796</v>
      </c>
      <c r="D6730" s="211" t="s">
        <v>1255</v>
      </c>
      <c r="E6730" s="211" t="s">
        <v>10385</v>
      </c>
      <c r="F6730" s="211" t="s">
        <v>7165</v>
      </c>
    </row>
    <row r="6731" spans="1:6">
      <c r="A6731" s="211" t="s">
        <v>8646</v>
      </c>
      <c r="B6731" s="211">
        <v>483</v>
      </c>
      <c r="C6731" s="211" t="s">
        <v>10385</v>
      </c>
      <c r="D6731" s="211" t="s">
        <v>1255</v>
      </c>
      <c r="E6731" s="211" t="s">
        <v>10385</v>
      </c>
      <c r="F6731" s="211" t="s">
        <v>7306</v>
      </c>
    </row>
    <row r="6732" spans="1:6">
      <c r="A6732" s="211" t="s">
        <v>10080</v>
      </c>
      <c r="B6732" s="211">
        <v>7929</v>
      </c>
      <c r="C6732" s="211">
        <v>2001</v>
      </c>
      <c r="D6732" s="211" t="s">
        <v>1117</v>
      </c>
      <c r="E6732" s="211" t="s">
        <v>10081</v>
      </c>
      <c r="F6732" s="211" t="s">
        <v>7232</v>
      </c>
    </row>
    <row r="6733" spans="1:6">
      <c r="A6733" s="211" t="s">
        <v>10968</v>
      </c>
      <c r="B6733" s="211">
        <v>8808</v>
      </c>
      <c r="C6733" s="211">
        <v>1583</v>
      </c>
      <c r="D6733" s="211" t="s">
        <v>1255</v>
      </c>
      <c r="E6733" s="211" t="s">
        <v>10969</v>
      </c>
      <c r="F6733" s="211" t="s">
        <v>10341</v>
      </c>
    </row>
    <row r="6734" spans="1:6">
      <c r="A6734" s="211" t="s">
        <v>6233</v>
      </c>
      <c r="B6734" s="211">
        <v>7097</v>
      </c>
      <c r="C6734" s="211">
        <v>880</v>
      </c>
      <c r="D6734" s="211" t="s">
        <v>1255</v>
      </c>
      <c r="E6734" s="211" t="s">
        <v>7064</v>
      </c>
      <c r="F6734" s="211" t="s">
        <v>7321</v>
      </c>
    </row>
    <row r="6735" spans="1:6">
      <c r="A6735" s="211" t="s">
        <v>2369</v>
      </c>
      <c r="B6735" s="211">
        <v>5796</v>
      </c>
      <c r="C6735" s="211">
        <v>1292</v>
      </c>
      <c r="D6735" s="211" t="s">
        <v>1255</v>
      </c>
      <c r="E6735" s="211" t="s">
        <v>10385</v>
      </c>
      <c r="F6735" s="211" t="s">
        <v>7427</v>
      </c>
    </row>
    <row r="6736" spans="1:6">
      <c r="A6736" s="211" t="s">
        <v>7065</v>
      </c>
      <c r="B6736" s="211">
        <v>7776</v>
      </c>
      <c r="C6736" s="211">
        <v>815</v>
      </c>
      <c r="D6736" s="211" t="s">
        <v>1255</v>
      </c>
      <c r="E6736" s="211" t="s">
        <v>7066</v>
      </c>
      <c r="F6736" s="211" t="s">
        <v>7414</v>
      </c>
    </row>
    <row r="6737" spans="1:6">
      <c r="A6737" s="211" t="s">
        <v>2370</v>
      </c>
      <c r="B6737" s="211">
        <v>655</v>
      </c>
      <c r="C6737" s="211">
        <v>974</v>
      </c>
      <c r="D6737" s="211" t="s">
        <v>1255</v>
      </c>
      <c r="E6737" s="211" t="s">
        <v>10385</v>
      </c>
      <c r="F6737" s="211" t="s">
        <v>7486</v>
      </c>
    </row>
    <row r="6738" spans="1:6">
      <c r="A6738" s="211" t="s">
        <v>4720</v>
      </c>
      <c r="B6738" s="211">
        <v>6229</v>
      </c>
      <c r="C6738" s="211">
        <v>1052</v>
      </c>
      <c r="D6738" s="211" t="s">
        <v>1255</v>
      </c>
      <c r="E6738" s="211" t="s">
        <v>10385</v>
      </c>
      <c r="F6738" s="211" t="s">
        <v>7248</v>
      </c>
    </row>
    <row r="6739" spans="1:6">
      <c r="A6739" s="211" t="s">
        <v>8647</v>
      </c>
      <c r="B6739" s="211">
        <v>619</v>
      </c>
      <c r="C6739" s="211" t="s">
        <v>10385</v>
      </c>
      <c r="D6739" s="211" t="s">
        <v>1255</v>
      </c>
      <c r="E6739" s="211" t="s">
        <v>10385</v>
      </c>
      <c r="F6739" s="211" t="s">
        <v>7466</v>
      </c>
    </row>
    <row r="6740" spans="1:6">
      <c r="A6740" s="211" t="s">
        <v>7067</v>
      </c>
      <c r="B6740" s="211">
        <v>7761</v>
      </c>
      <c r="C6740" s="211">
        <v>2208</v>
      </c>
      <c r="D6740" s="211" t="s">
        <v>1255</v>
      </c>
      <c r="E6740" s="211" t="s">
        <v>6632</v>
      </c>
      <c r="F6740" s="211" t="s">
        <v>7267</v>
      </c>
    </row>
    <row r="6741" spans="1:6">
      <c r="A6741" s="211" t="s">
        <v>2371</v>
      </c>
      <c r="B6741" s="211">
        <v>3159</v>
      </c>
      <c r="C6741" s="211">
        <v>800</v>
      </c>
      <c r="D6741" s="211" t="s">
        <v>1255</v>
      </c>
      <c r="E6741" s="211" t="s">
        <v>10385</v>
      </c>
      <c r="F6741" s="211" t="s">
        <v>7267</v>
      </c>
    </row>
    <row r="6742" spans="1:6">
      <c r="A6742" s="211" t="s">
        <v>2372</v>
      </c>
      <c r="B6742" s="211">
        <v>5258</v>
      </c>
      <c r="C6742" s="211">
        <v>1831</v>
      </c>
      <c r="D6742" s="211" t="s">
        <v>1255</v>
      </c>
      <c r="E6742" s="211" t="s">
        <v>10970</v>
      </c>
      <c r="F6742" s="211" t="s">
        <v>7383</v>
      </c>
    </row>
    <row r="6743" spans="1:6">
      <c r="A6743" s="211" t="s">
        <v>2373</v>
      </c>
      <c r="B6743" s="211">
        <v>2784</v>
      </c>
      <c r="C6743" s="211">
        <v>945</v>
      </c>
      <c r="D6743" s="211" t="s">
        <v>1255</v>
      </c>
      <c r="E6743" s="211" t="s">
        <v>10385</v>
      </c>
      <c r="F6743" s="211" t="s">
        <v>7241</v>
      </c>
    </row>
    <row r="6744" spans="1:6">
      <c r="A6744" s="211" t="s">
        <v>8648</v>
      </c>
      <c r="B6744" s="211">
        <v>627</v>
      </c>
      <c r="C6744" s="211" t="s">
        <v>10385</v>
      </c>
      <c r="D6744" s="211" t="s">
        <v>1255</v>
      </c>
      <c r="E6744" s="211" t="s">
        <v>10385</v>
      </c>
      <c r="F6744" s="211" t="s">
        <v>8052</v>
      </c>
    </row>
    <row r="6745" spans="1:6">
      <c r="A6745" s="211" t="s">
        <v>2374</v>
      </c>
      <c r="B6745" s="211">
        <v>3659</v>
      </c>
      <c r="C6745" s="211">
        <v>1122</v>
      </c>
      <c r="D6745" s="211" t="s">
        <v>1255</v>
      </c>
      <c r="E6745" s="211" t="s">
        <v>10385</v>
      </c>
      <c r="F6745" s="211" t="s">
        <v>7275</v>
      </c>
    </row>
    <row r="6746" spans="1:6">
      <c r="A6746" s="211" t="s">
        <v>2375</v>
      </c>
      <c r="B6746" s="211">
        <v>1817</v>
      </c>
      <c r="C6746" s="211">
        <v>896</v>
      </c>
      <c r="D6746" s="211" t="s">
        <v>1255</v>
      </c>
      <c r="E6746" s="211" t="s">
        <v>10385</v>
      </c>
      <c r="F6746" s="211" t="s">
        <v>7629</v>
      </c>
    </row>
    <row r="6747" spans="1:6">
      <c r="A6747" s="211" t="s">
        <v>5230</v>
      </c>
      <c r="B6747" s="211">
        <v>6878</v>
      </c>
      <c r="C6747" s="211">
        <v>920</v>
      </c>
      <c r="D6747" s="211" t="s">
        <v>1255</v>
      </c>
      <c r="E6747" s="211" t="s">
        <v>10385</v>
      </c>
      <c r="F6747" s="211" t="s">
        <v>7306</v>
      </c>
    </row>
    <row r="6748" spans="1:6">
      <c r="A6748" s="211" t="s">
        <v>8649</v>
      </c>
      <c r="B6748" s="211">
        <v>4321</v>
      </c>
      <c r="C6748" s="211" t="s">
        <v>10385</v>
      </c>
      <c r="D6748" s="211" t="s">
        <v>1255</v>
      </c>
      <c r="E6748" s="211" t="s">
        <v>10385</v>
      </c>
      <c r="F6748" s="211" t="s">
        <v>7868</v>
      </c>
    </row>
    <row r="6749" spans="1:6">
      <c r="A6749" s="211" t="s">
        <v>2376</v>
      </c>
      <c r="B6749" s="211">
        <v>4574</v>
      </c>
      <c r="C6749" s="211">
        <v>1227</v>
      </c>
      <c r="D6749" s="211" t="s">
        <v>1255</v>
      </c>
      <c r="E6749" s="211" t="s">
        <v>10385</v>
      </c>
      <c r="F6749" s="211" t="s">
        <v>7334</v>
      </c>
    </row>
    <row r="6750" spans="1:6">
      <c r="A6750" s="211" t="s">
        <v>10082</v>
      </c>
      <c r="B6750" s="211">
        <v>8132</v>
      </c>
      <c r="C6750" s="211">
        <v>974</v>
      </c>
      <c r="D6750" s="211" t="s">
        <v>1255</v>
      </c>
      <c r="E6750" s="211" t="s">
        <v>10971</v>
      </c>
      <c r="F6750" s="211" t="s">
        <v>7587</v>
      </c>
    </row>
    <row r="6751" spans="1:6">
      <c r="A6751" s="211" t="s">
        <v>7068</v>
      </c>
      <c r="B6751" s="211">
        <v>7746</v>
      </c>
      <c r="C6751" s="211">
        <v>1262</v>
      </c>
      <c r="D6751" s="211" t="s">
        <v>1255</v>
      </c>
      <c r="E6751" s="211" t="s">
        <v>7069</v>
      </c>
      <c r="F6751" s="211" t="s">
        <v>7344</v>
      </c>
    </row>
    <row r="6752" spans="1:6">
      <c r="A6752" s="211" t="s">
        <v>2377</v>
      </c>
      <c r="B6752" s="211">
        <v>2302</v>
      </c>
      <c r="C6752" s="211">
        <v>1595</v>
      </c>
      <c r="D6752" s="211" t="s">
        <v>1255</v>
      </c>
      <c r="E6752" s="211" t="s">
        <v>5231</v>
      </c>
      <c r="F6752" s="211" t="s">
        <v>7162</v>
      </c>
    </row>
    <row r="6753" spans="1:6">
      <c r="A6753" s="211" t="s">
        <v>8650</v>
      </c>
      <c r="B6753" s="211">
        <v>566</v>
      </c>
      <c r="C6753" s="211" t="s">
        <v>10385</v>
      </c>
      <c r="D6753" s="211" t="s">
        <v>1255</v>
      </c>
      <c r="E6753" s="211" t="s">
        <v>10385</v>
      </c>
      <c r="F6753" s="211" t="s">
        <v>7573</v>
      </c>
    </row>
    <row r="6754" spans="1:6">
      <c r="A6754" s="211" t="s">
        <v>10972</v>
      </c>
      <c r="B6754" s="211">
        <v>8630</v>
      </c>
      <c r="C6754" s="211">
        <v>612</v>
      </c>
      <c r="D6754" s="211" t="s">
        <v>1255</v>
      </c>
      <c r="E6754" s="211" t="s">
        <v>10973</v>
      </c>
      <c r="F6754" s="211" t="s">
        <v>10474</v>
      </c>
    </row>
    <row r="6755" spans="1:6">
      <c r="A6755" s="211" t="s">
        <v>6234</v>
      </c>
      <c r="B6755" s="211">
        <v>6498</v>
      </c>
      <c r="C6755" s="211">
        <v>777</v>
      </c>
      <c r="D6755" s="211" t="s">
        <v>1255</v>
      </c>
      <c r="E6755" s="211" t="s">
        <v>10385</v>
      </c>
      <c r="F6755" s="211" t="s">
        <v>7629</v>
      </c>
    </row>
    <row r="6756" spans="1:6">
      <c r="A6756" s="211" t="s">
        <v>4552</v>
      </c>
      <c r="B6756" s="211">
        <v>6660</v>
      </c>
      <c r="C6756" s="211">
        <v>1189</v>
      </c>
      <c r="D6756" s="211" t="s">
        <v>1255</v>
      </c>
      <c r="E6756" s="211" t="s">
        <v>10083</v>
      </c>
      <c r="F6756" s="211" t="s">
        <v>7285</v>
      </c>
    </row>
    <row r="6757" spans="1:6">
      <c r="A6757" s="211" t="s">
        <v>2378</v>
      </c>
      <c r="B6757" s="211">
        <v>2666</v>
      </c>
      <c r="C6757" s="211">
        <v>1261</v>
      </c>
      <c r="D6757" s="211" t="s">
        <v>1117</v>
      </c>
      <c r="E6757" s="211" t="s">
        <v>10385</v>
      </c>
      <c r="F6757" s="211" t="s">
        <v>7242</v>
      </c>
    </row>
    <row r="6758" spans="1:6">
      <c r="A6758" s="211" t="s">
        <v>8651</v>
      </c>
      <c r="B6758" s="211">
        <v>5103</v>
      </c>
      <c r="C6758" s="211" t="s">
        <v>10385</v>
      </c>
      <c r="D6758" s="211" t="s">
        <v>1255</v>
      </c>
      <c r="E6758" s="211" t="s">
        <v>10385</v>
      </c>
      <c r="F6758" s="211" t="s">
        <v>7455</v>
      </c>
    </row>
    <row r="6759" spans="1:6">
      <c r="A6759" s="211" t="s">
        <v>8652</v>
      </c>
      <c r="B6759" s="211">
        <v>7479</v>
      </c>
      <c r="C6759" s="211">
        <v>1691</v>
      </c>
      <c r="D6759" s="211" t="s">
        <v>1255</v>
      </c>
      <c r="E6759" s="211" t="s">
        <v>7070</v>
      </c>
      <c r="F6759" s="211" t="s">
        <v>7262</v>
      </c>
    </row>
    <row r="6760" spans="1:6">
      <c r="A6760" s="211" t="s">
        <v>2379</v>
      </c>
      <c r="B6760" s="211">
        <v>5362</v>
      </c>
      <c r="C6760" s="211">
        <v>1873</v>
      </c>
      <c r="D6760" s="211" t="s">
        <v>1255</v>
      </c>
      <c r="E6760" s="211" t="s">
        <v>10385</v>
      </c>
      <c r="F6760" s="211" t="s">
        <v>7224</v>
      </c>
    </row>
    <row r="6761" spans="1:6">
      <c r="A6761" s="211" t="s">
        <v>5232</v>
      </c>
      <c r="B6761" s="211">
        <v>7404</v>
      </c>
      <c r="C6761" s="211">
        <v>972</v>
      </c>
      <c r="D6761" s="211" t="s">
        <v>1255</v>
      </c>
      <c r="E6761" s="211" t="s">
        <v>10084</v>
      </c>
      <c r="F6761" s="211" t="s">
        <v>7304</v>
      </c>
    </row>
    <row r="6762" spans="1:6">
      <c r="A6762" s="211" t="s">
        <v>4818</v>
      </c>
      <c r="B6762" s="211">
        <v>6133</v>
      </c>
      <c r="C6762" s="211">
        <v>643</v>
      </c>
      <c r="D6762" s="211" t="s">
        <v>1117</v>
      </c>
      <c r="E6762" s="211" t="s">
        <v>10385</v>
      </c>
      <c r="F6762" s="211" t="s">
        <v>7377</v>
      </c>
    </row>
    <row r="6763" spans="1:6">
      <c r="A6763" s="211" t="s">
        <v>8653</v>
      </c>
      <c r="B6763" s="211">
        <v>718</v>
      </c>
      <c r="C6763" s="211" t="s">
        <v>10385</v>
      </c>
      <c r="D6763" s="211" t="s">
        <v>1255</v>
      </c>
      <c r="E6763" s="211" t="s">
        <v>10385</v>
      </c>
      <c r="F6763" s="211" t="s">
        <v>7504</v>
      </c>
    </row>
    <row r="6764" spans="1:6">
      <c r="A6764" s="211" t="s">
        <v>5393</v>
      </c>
      <c r="B6764" s="211">
        <v>4559</v>
      </c>
      <c r="C6764" s="211">
        <v>1624</v>
      </c>
      <c r="D6764" s="211" t="s">
        <v>1255</v>
      </c>
      <c r="E6764" s="211" t="s">
        <v>7071</v>
      </c>
      <c r="F6764" s="211" t="s">
        <v>7307</v>
      </c>
    </row>
    <row r="6765" spans="1:6">
      <c r="A6765" s="211" t="s">
        <v>4898</v>
      </c>
      <c r="B6765" s="211">
        <v>5149</v>
      </c>
      <c r="C6765" s="211">
        <v>1606</v>
      </c>
      <c r="D6765" s="211" t="s">
        <v>1255</v>
      </c>
      <c r="E6765" s="211" t="s">
        <v>3093</v>
      </c>
      <c r="F6765" s="211" t="s">
        <v>7354</v>
      </c>
    </row>
    <row r="6766" spans="1:6">
      <c r="A6766" s="211" t="s">
        <v>2380</v>
      </c>
      <c r="B6766" s="211">
        <v>1865</v>
      </c>
      <c r="C6766" s="211">
        <v>1085</v>
      </c>
      <c r="D6766" s="211" t="s">
        <v>1255</v>
      </c>
      <c r="E6766" s="211" t="s">
        <v>10385</v>
      </c>
      <c r="F6766" s="211" t="s">
        <v>7213</v>
      </c>
    </row>
    <row r="6767" spans="1:6">
      <c r="A6767" s="211" t="s">
        <v>8654</v>
      </c>
      <c r="B6767" s="211">
        <v>5104</v>
      </c>
      <c r="C6767" s="211" t="s">
        <v>10385</v>
      </c>
      <c r="D6767" s="211" t="s">
        <v>1255</v>
      </c>
      <c r="E6767" s="211" t="s">
        <v>10385</v>
      </c>
      <c r="F6767" s="211" t="s">
        <v>7455</v>
      </c>
    </row>
    <row r="6768" spans="1:6">
      <c r="A6768" s="211" t="s">
        <v>5347</v>
      </c>
      <c r="B6768" s="211">
        <v>6233</v>
      </c>
      <c r="C6768" s="211">
        <v>1115</v>
      </c>
      <c r="D6768" s="211" t="s">
        <v>1255</v>
      </c>
      <c r="E6768" s="211" t="s">
        <v>10385</v>
      </c>
      <c r="F6768" s="211" t="s">
        <v>7223</v>
      </c>
    </row>
    <row r="6769" spans="1:6">
      <c r="A6769" s="211" t="s">
        <v>8655</v>
      </c>
      <c r="B6769" s="211">
        <v>1511</v>
      </c>
      <c r="C6769" s="211" t="s">
        <v>10385</v>
      </c>
      <c r="D6769" s="211" t="s">
        <v>1255</v>
      </c>
      <c r="E6769" s="211" t="s">
        <v>10385</v>
      </c>
      <c r="F6769" s="211" t="s">
        <v>7344</v>
      </c>
    </row>
    <row r="6770" spans="1:6">
      <c r="A6770" s="211" t="s">
        <v>8656</v>
      </c>
      <c r="B6770" s="211">
        <v>982</v>
      </c>
      <c r="C6770" s="211" t="s">
        <v>10385</v>
      </c>
      <c r="D6770" s="211" t="s">
        <v>1255</v>
      </c>
      <c r="E6770" s="211" t="s">
        <v>10385</v>
      </c>
      <c r="F6770" s="211" t="s">
        <v>7264</v>
      </c>
    </row>
    <row r="6771" spans="1:6">
      <c r="A6771" s="211" t="s">
        <v>8657</v>
      </c>
      <c r="B6771" s="211">
        <v>564</v>
      </c>
      <c r="C6771" s="211" t="s">
        <v>10385</v>
      </c>
      <c r="D6771" s="211" t="s">
        <v>1255</v>
      </c>
      <c r="E6771" s="211" t="s">
        <v>10385</v>
      </c>
      <c r="F6771" s="211" t="s">
        <v>7573</v>
      </c>
    </row>
    <row r="6772" spans="1:6">
      <c r="A6772" s="211" t="s">
        <v>8658</v>
      </c>
      <c r="B6772" s="211">
        <v>1347</v>
      </c>
      <c r="C6772" s="211" t="s">
        <v>10385</v>
      </c>
      <c r="D6772" s="211" t="s">
        <v>1255</v>
      </c>
      <c r="E6772" s="211" t="s">
        <v>10385</v>
      </c>
      <c r="F6772" s="211" t="s">
        <v>7267</v>
      </c>
    </row>
    <row r="6773" spans="1:6">
      <c r="A6773" s="211" t="s">
        <v>2381</v>
      </c>
      <c r="B6773" s="211">
        <v>2307</v>
      </c>
      <c r="C6773" s="211">
        <v>1522</v>
      </c>
      <c r="D6773" s="211" t="s">
        <v>1255</v>
      </c>
      <c r="E6773" s="211" t="s">
        <v>10385</v>
      </c>
      <c r="F6773" s="211" t="s">
        <v>7351</v>
      </c>
    </row>
    <row r="6774" spans="1:6">
      <c r="A6774" s="211" t="s">
        <v>10085</v>
      </c>
      <c r="B6774" s="211">
        <v>8042</v>
      </c>
      <c r="C6774" s="211">
        <v>1122</v>
      </c>
      <c r="D6774" s="211" t="s">
        <v>1255</v>
      </c>
      <c r="E6774" s="211" t="s">
        <v>10086</v>
      </c>
      <c r="F6774" s="211" t="s">
        <v>7430</v>
      </c>
    </row>
    <row r="6775" spans="1:6">
      <c r="A6775" s="211" t="s">
        <v>2382</v>
      </c>
      <c r="B6775" s="211">
        <v>4444</v>
      </c>
      <c r="C6775" s="211">
        <v>1230</v>
      </c>
      <c r="D6775" s="211" t="s">
        <v>1255</v>
      </c>
      <c r="E6775" s="211" t="s">
        <v>10385</v>
      </c>
      <c r="F6775" s="211" t="s">
        <v>7242</v>
      </c>
    </row>
    <row r="6776" spans="1:6">
      <c r="A6776" s="211" t="s">
        <v>6235</v>
      </c>
      <c r="B6776" s="211">
        <v>7300</v>
      </c>
      <c r="C6776" s="211">
        <v>476</v>
      </c>
      <c r="D6776" s="211" t="s">
        <v>1255</v>
      </c>
      <c r="E6776" s="211" t="s">
        <v>6236</v>
      </c>
      <c r="F6776" s="211" t="s">
        <v>8271</v>
      </c>
    </row>
    <row r="6777" spans="1:6">
      <c r="A6777" s="211" t="s">
        <v>8659</v>
      </c>
      <c r="B6777" s="211">
        <v>671</v>
      </c>
      <c r="C6777" s="211" t="s">
        <v>10385</v>
      </c>
      <c r="D6777" s="211" t="s">
        <v>1255</v>
      </c>
      <c r="E6777" s="211" t="s">
        <v>10385</v>
      </c>
      <c r="F6777" s="211" t="s">
        <v>7171</v>
      </c>
    </row>
    <row r="6778" spans="1:6">
      <c r="A6778" s="211" t="s">
        <v>10974</v>
      </c>
      <c r="B6778" s="211">
        <v>8654</v>
      </c>
      <c r="C6778" s="211">
        <v>2129</v>
      </c>
      <c r="D6778" s="211" t="s">
        <v>1255</v>
      </c>
      <c r="E6778" s="211" t="s">
        <v>10975</v>
      </c>
      <c r="F6778" s="211" t="s">
        <v>7255</v>
      </c>
    </row>
    <row r="6779" spans="1:6">
      <c r="A6779" s="211" t="s">
        <v>2383</v>
      </c>
      <c r="B6779" s="211">
        <v>1738</v>
      </c>
      <c r="C6779" s="211">
        <v>1075</v>
      </c>
      <c r="D6779" s="211" t="s">
        <v>1255</v>
      </c>
      <c r="E6779" s="211" t="s">
        <v>10385</v>
      </c>
      <c r="F6779" s="211" t="s">
        <v>7407</v>
      </c>
    </row>
    <row r="6780" spans="1:6">
      <c r="A6780" s="211" t="s">
        <v>5233</v>
      </c>
      <c r="B6780" s="211">
        <v>6923</v>
      </c>
      <c r="C6780" s="211">
        <v>2036</v>
      </c>
      <c r="D6780" s="211" t="s">
        <v>1255</v>
      </c>
      <c r="E6780" s="211" t="s">
        <v>10385</v>
      </c>
      <c r="F6780" s="211" t="s">
        <v>7339</v>
      </c>
    </row>
    <row r="6781" spans="1:6">
      <c r="A6781" s="211" t="s">
        <v>8660</v>
      </c>
      <c r="B6781" s="211">
        <v>514</v>
      </c>
      <c r="C6781" s="211" t="s">
        <v>10385</v>
      </c>
      <c r="D6781" s="211" t="s">
        <v>1255</v>
      </c>
      <c r="E6781" s="211" t="s">
        <v>10385</v>
      </c>
      <c r="F6781" s="211" t="s">
        <v>7272</v>
      </c>
    </row>
    <row r="6782" spans="1:6">
      <c r="A6782" s="211" t="s">
        <v>2916</v>
      </c>
      <c r="B6782" s="211">
        <v>2258</v>
      </c>
      <c r="C6782" s="211">
        <v>1230</v>
      </c>
      <c r="D6782" s="211" t="s">
        <v>1255</v>
      </c>
      <c r="E6782" s="211" t="s">
        <v>10385</v>
      </c>
      <c r="F6782" s="211" t="s">
        <v>7322</v>
      </c>
    </row>
    <row r="6783" spans="1:6">
      <c r="A6783" s="211" t="s">
        <v>10087</v>
      </c>
      <c r="B6783" s="211">
        <v>8210</v>
      </c>
      <c r="C6783" s="211">
        <v>912</v>
      </c>
      <c r="D6783" s="211" t="s">
        <v>1255</v>
      </c>
      <c r="E6783" s="211" t="s">
        <v>10088</v>
      </c>
      <c r="F6783" s="211" t="s">
        <v>7213</v>
      </c>
    </row>
    <row r="6784" spans="1:6">
      <c r="A6784" s="211" t="s">
        <v>10976</v>
      </c>
      <c r="B6784" s="211">
        <v>8661</v>
      </c>
      <c r="C6784" s="211">
        <v>1274</v>
      </c>
      <c r="D6784" s="211" t="s">
        <v>1255</v>
      </c>
      <c r="E6784" s="211" t="s">
        <v>10977</v>
      </c>
      <c r="F6784" s="211" t="s">
        <v>10445</v>
      </c>
    </row>
    <row r="6785" spans="1:6">
      <c r="A6785" s="211" t="s">
        <v>2384</v>
      </c>
      <c r="B6785" s="211">
        <v>1586</v>
      </c>
      <c r="C6785" s="211">
        <v>809</v>
      </c>
      <c r="D6785" s="211" t="s">
        <v>1117</v>
      </c>
      <c r="E6785" s="211" t="s">
        <v>10385</v>
      </c>
      <c r="F6785" s="211" t="s">
        <v>7261</v>
      </c>
    </row>
    <row r="6786" spans="1:6">
      <c r="A6786" s="211" t="s">
        <v>2385</v>
      </c>
      <c r="B6786" s="211">
        <v>1313</v>
      </c>
      <c r="C6786" s="211">
        <v>1225</v>
      </c>
      <c r="D6786" s="211" t="s">
        <v>1255</v>
      </c>
      <c r="E6786" s="211" t="s">
        <v>10385</v>
      </c>
      <c r="F6786" s="211" t="s">
        <v>7237</v>
      </c>
    </row>
    <row r="6787" spans="1:6">
      <c r="A6787" s="211" t="s">
        <v>2386</v>
      </c>
      <c r="B6787" s="211">
        <v>3912</v>
      </c>
      <c r="C6787" s="211">
        <v>1075</v>
      </c>
      <c r="D6787" s="211" t="s">
        <v>1117</v>
      </c>
      <c r="E6787" s="211" t="s">
        <v>10385</v>
      </c>
      <c r="F6787" s="211" t="s">
        <v>7318</v>
      </c>
    </row>
    <row r="6788" spans="1:6">
      <c r="A6788" s="211" t="s">
        <v>2387</v>
      </c>
      <c r="B6788" s="211">
        <v>4544</v>
      </c>
      <c r="C6788" s="211">
        <v>1018</v>
      </c>
      <c r="D6788" s="211" t="s">
        <v>1117</v>
      </c>
      <c r="E6788" s="211" t="s">
        <v>10385</v>
      </c>
      <c r="F6788" s="211" t="s">
        <v>7526</v>
      </c>
    </row>
    <row r="6789" spans="1:6">
      <c r="A6789" s="211" t="s">
        <v>8661</v>
      </c>
      <c r="B6789" s="211">
        <v>309</v>
      </c>
      <c r="C6789" s="211" t="s">
        <v>10385</v>
      </c>
      <c r="D6789" s="211" t="s">
        <v>1255</v>
      </c>
      <c r="E6789" s="211" t="s">
        <v>10385</v>
      </c>
      <c r="F6789" s="211" t="s">
        <v>7165</v>
      </c>
    </row>
    <row r="6790" spans="1:6">
      <c r="A6790" s="211" t="s">
        <v>8662</v>
      </c>
      <c r="B6790" s="211">
        <v>682</v>
      </c>
      <c r="C6790" s="211" t="s">
        <v>10385</v>
      </c>
      <c r="D6790" s="211" t="s">
        <v>1255</v>
      </c>
      <c r="E6790" s="211" t="s">
        <v>10385</v>
      </c>
      <c r="F6790" s="211" t="s">
        <v>7409</v>
      </c>
    </row>
    <row r="6791" spans="1:6">
      <c r="A6791" s="211" t="s">
        <v>2388</v>
      </c>
      <c r="B6791" s="211">
        <v>1831</v>
      </c>
      <c r="C6791" s="211">
        <v>895</v>
      </c>
      <c r="D6791" s="211" t="s">
        <v>1255</v>
      </c>
      <c r="E6791" s="211" t="s">
        <v>10385</v>
      </c>
      <c r="F6791" s="211" t="s">
        <v>7629</v>
      </c>
    </row>
    <row r="6792" spans="1:6">
      <c r="A6792" s="211" t="s">
        <v>2389</v>
      </c>
      <c r="B6792" s="211">
        <v>3220</v>
      </c>
      <c r="C6792" s="211">
        <v>885</v>
      </c>
      <c r="D6792" s="211" t="s">
        <v>1255</v>
      </c>
      <c r="E6792" s="211" t="s">
        <v>10385</v>
      </c>
      <c r="F6792" s="211" t="s">
        <v>7189</v>
      </c>
    </row>
    <row r="6793" spans="1:6">
      <c r="A6793" s="211" t="s">
        <v>2390</v>
      </c>
      <c r="B6793" s="211">
        <v>3459</v>
      </c>
      <c r="C6793" s="211">
        <v>2005</v>
      </c>
      <c r="D6793" s="211" t="s">
        <v>1255</v>
      </c>
      <c r="E6793" s="211" t="s">
        <v>10385</v>
      </c>
      <c r="F6793" s="211" t="s">
        <v>7325</v>
      </c>
    </row>
    <row r="6794" spans="1:6">
      <c r="A6794" s="211" t="s">
        <v>4921</v>
      </c>
      <c r="B6794" s="211">
        <v>3457</v>
      </c>
      <c r="C6794" s="211">
        <v>1893</v>
      </c>
      <c r="D6794" s="211" t="s">
        <v>1255</v>
      </c>
      <c r="E6794" s="211" t="s">
        <v>10385</v>
      </c>
      <c r="F6794" s="211" t="s">
        <v>7325</v>
      </c>
    </row>
    <row r="6795" spans="1:6">
      <c r="A6795" s="211" t="s">
        <v>2391</v>
      </c>
      <c r="B6795" s="211">
        <v>5679</v>
      </c>
      <c r="C6795" s="211">
        <v>1459</v>
      </c>
      <c r="D6795" s="211" t="s">
        <v>1255</v>
      </c>
      <c r="E6795" s="211" t="s">
        <v>10385</v>
      </c>
      <c r="F6795" s="211" t="s">
        <v>7282</v>
      </c>
    </row>
    <row r="6796" spans="1:6">
      <c r="A6796" s="211" t="s">
        <v>5234</v>
      </c>
      <c r="B6796" s="211">
        <v>6948</v>
      </c>
      <c r="C6796" s="211">
        <v>1615</v>
      </c>
      <c r="D6796" s="211" t="s">
        <v>1255</v>
      </c>
      <c r="E6796" s="211" t="s">
        <v>10089</v>
      </c>
      <c r="F6796" s="211" t="s">
        <v>7246</v>
      </c>
    </row>
    <row r="6797" spans="1:6">
      <c r="A6797" s="211" t="s">
        <v>2392</v>
      </c>
      <c r="B6797" s="211">
        <v>4696</v>
      </c>
      <c r="C6797" s="211">
        <v>1656</v>
      </c>
      <c r="D6797" s="211" t="s">
        <v>1255</v>
      </c>
      <c r="E6797" s="211" t="s">
        <v>10385</v>
      </c>
      <c r="F6797" s="211" t="s">
        <v>7308</v>
      </c>
    </row>
    <row r="6798" spans="1:6">
      <c r="A6798" s="211" t="s">
        <v>7072</v>
      </c>
      <c r="B6798" s="211">
        <v>7614</v>
      </c>
      <c r="C6798" s="211">
        <v>1074</v>
      </c>
      <c r="D6798" s="211" t="s">
        <v>1255</v>
      </c>
      <c r="E6798" s="211" t="s">
        <v>10090</v>
      </c>
      <c r="F6798" s="211" t="s">
        <v>7199</v>
      </c>
    </row>
    <row r="6799" spans="1:6">
      <c r="A6799" s="211" t="s">
        <v>8663</v>
      </c>
      <c r="B6799" s="211">
        <v>6333</v>
      </c>
      <c r="C6799" s="211">
        <v>1388</v>
      </c>
      <c r="D6799" s="211" t="s">
        <v>1255</v>
      </c>
      <c r="E6799" s="211" t="s">
        <v>10385</v>
      </c>
      <c r="F6799" s="211" t="s">
        <v>7782</v>
      </c>
    </row>
    <row r="6800" spans="1:6">
      <c r="A6800" s="211" t="s">
        <v>2393</v>
      </c>
      <c r="B6800" s="211">
        <v>5617</v>
      </c>
      <c r="C6800" s="211">
        <v>2010</v>
      </c>
      <c r="D6800" s="211" t="s">
        <v>1255</v>
      </c>
      <c r="E6800" s="211" t="s">
        <v>10385</v>
      </c>
      <c r="F6800" s="211" t="s">
        <v>7454</v>
      </c>
    </row>
    <row r="6801" spans="1:6">
      <c r="A6801" s="211" t="s">
        <v>2394</v>
      </c>
      <c r="B6801" s="211">
        <v>4838</v>
      </c>
      <c r="C6801" s="211">
        <v>1616</v>
      </c>
      <c r="D6801" s="211" t="s">
        <v>1255</v>
      </c>
      <c r="E6801" s="211" t="s">
        <v>10385</v>
      </c>
      <c r="F6801" s="211" t="s">
        <v>7373</v>
      </c>
    </row>
    <row r="6802" spans="1:6">
      <c r="A6802" s="211" t="s">
        <v>6237</v>
      </c>
      <c r="B6802" s="211">
        <v>7254</v>
      </c>
      <c r="C6802" s="211">
        <v>839</v>
      </c>
      <c r="D6802" s="211" t="s">
        <v>1255</v>
      </c>
      <c r="E6802" s="211" t="s">
        <v>7073</v>
      </c>
      <c r="F6802" s="211" t="s">
        <v>7458</v>
      </c>
    </row>
    <row r="6803" spans="1:6">
      <c r="A6803" s="211" t="s">
        <v>4503</v>
      </c>
      <c r="B6803" s="211">
        <v>6583</v>
      </c>
      <c r="C6803" s="211">
        <v>1021</v>
      </c>
      <c r="D6803" s="211" t="s">
        <v>1255</v>
      </c>
      <c r="E6803" s="211" t="s">
        <v>10091</v>
      </c>
      <c r="F6803" s="211" t="s">
        <v>7386</v>
      </c>
    </row>
    <row r="6804" spans="1:6">
      <c r="A6804" s="211" t="s">
        <v>8664</v>
      </c>
      <c r="B6804" s="211">
        <v>6761</v>
      </c>
      <c r="C6804" s="211">
        <v>1600</v>
      </c>
      <c r="D6804" s="211" t="s">
        <v>1255</v>
      </c>
      <c r="E6804" s="211" t="s">
        <v>10092</v>
      </c>
      <c r="F6804" s="211" t="s">
        <v>9024</v>
      </c>
    </row>
    <row r="6805" spans="1:6">
      <c r="A6805" s="211" t="s">
        <v>4621</v>
      </c>
      <c r="B6805" s="211">
        <v>6519</v>
      </c>
      <c r="C6805" s="211">
        <v>1299</v>
      </c>
      <c r="D6805" s="211" t="s">
        <v>1255</v>
      </c>
      <c r="E6805" s="211" t="s">
        <v>10385</v>
      </c>
      <c r="F6805" s="211" t="s">
        <v>7272</v>
      </c>
    </row>
    <row r="6806" spans="1:6">
      <c r="A6806" s="211" t="s">
        <v>10093</v>
      </c>
      <c r="B6806" s="211">
        <v>8431</v>
      </c>
      <c r="C6806" s="211">
        <v>757</v>
      </c>
      <c r="D6806" s="211" t="s">
        <v>1255</v>
      </c>
      <c r="E6806" s="211" t="s">
        <v>10978</v>
      </c>
      <c r="F6806" s="211" t="s">
        <v>7629</v>
      </c>
    </row>
    <row r="6807" spans="1:6">
      <c r="A6807" s="211" t="s">
        <v>10094</v>
      </c>
      <c r="B6807" s="211">
        <v>1770</v>
      </c>
      <c r="C6807" s="211">
        <v>1374</v>
      </c>
      <c r="D6807" s="211" t="s">
        <v>1255</v>
      </c>
      <c r="E6807" s="211" t="s">
        <v>10095</v>
      </c>
      <c r="F6807" s="211" t="s">
        <v>7380</v>
      </c>
    </row>
    <row r="6808" spans="1:6">
      <c r="A6808" s="211" t="s">
        <v>10096</v>
      </c>
      <c r="B6808" s="211">
        <v>8558</v>
      </c>
      <c r="C6808" s="211">
        <v>1731</v>
      </c>
      <c r="D6808" s="211" t="s">
        <v>1255</v>
      </c>
      <c r="E6808" s="211" t="s">
        <v>10095</v>
      </c>
      <c r="F6808" s="211" t="s">
        <v>7258</v>
      </c>
    </row>
    <row r="6809" spans="1:6">
      <c r="A6809" s="211" t="s">
        <v>5348</v>
      </c>
      <c r="B6809" s="211">
        <v>6836</v>
      </c>
      <c r="C6809" s="211">
        <v>887</v>
      </c>
      <c r="D6809" s="211" t="s">
        <v>1255</v>
      </c>
      <c r="E6809" s="211" t="s">
        <v>10385</v>
      </c>
      <c r="F6809" s="211" t="s">
        <v>8385</v>
      </c>
    </row>
    <row r="6810" spans="1:6">
      <c r="A6810" s="211" t="s">
        <v>2395</v>
      </c>
      <c r="B6810" s="211">
        <v>2726</v>
      </c>
      <c r="C6810" s="211">
        <v>1304</v>
      </c>
      <c r="D6810" s="211" t="s">
        <v>1255</v>
      </c>
      <c r="E6810" s="211" t="s">
        <v>10385</v>
      </c>
      <c r="F6810" s="211" t="s">
        <v>7231</v>
      </c>
    </row>
    <row r="6811" spans="1:6">
      <c r="A6811" s="211" t="s">
        <v>2396</v>
      </c>
      <c r="B6811" s="211">
        <v>5390</v>
      </c>
      <c r="C6811" s="211">
        <v>1220</v>
      </c>
      <c r="D6811" s="211" t="s">
        <v>1255</v>
      </c>
      <c r="E6811" s="211" t="s">
        <v>10385</v>
      </c>
      <c r="F6811" s="211" t="s">
        <v>7304</v>
      </c>
    </row>
    <row r="6812" spans="1:6">
      <c r="A6812" s="211" t="s">
        <v>2882</v>
      </c>
      <c r="B6812" s="211">
        <v>3647</v>
      </c>
      <c r="C6812" s="211">
        <v>1489</v>
      </c>
      <c r="D6812" s="211" t="s">
        <v>1255</v>
      </c>
      <c r="E6812" s="211" t="s">
        <v>10385</v>
      </c>
      <c r="F6812" s="211" t="s">
        <v>7386</v>
      </c>
    </row>
    <row r="6813" spans="1:6">
      <c r="A6813" s="211" t="s">
        <v>5235</v>
      </c>
      <c r="B6813" s="211">
        <v>6795</v>
      </c>
      <c r="C6813" s="211">
        <v>1106</v>
      </c>
      <c r="D6813" s="211" t="s">
        <v>1255</v>
      </c>
      <c r="E6813" s="211" t="s">
        <v>10385</v>
      </c>
      <c r="F6813" s="211" t="s">
        <v>7307</v>
      </c>
    </row>
    <row r="6814" spans="1:6">
      <c r="A6814" s="211" t="s">
        <v>4524</v>
      </c>
      <c r="B6814" s="211">
        <v>6547</v>
      </c>
      <c r="C6814" s="211">
        <v>1660</v>
      </c>
      <c r="D6814" s="211" t="s">
        <v>1255</v>
      </c>
      <c r="E6814" s="211" t="s">
        <v>6238</v>
      </c>
      <c r="F6814" s="211" t="s">
        <v>7334</v>
      </c>
    </row>
    <row r="6815" spans="1:6">
      <c r="A6815" s="211" t="s">
        <v>5236</v>
      </c>
      <c r="B6815" s="211">
        <v>6888</v>
      </c>
      <c r="C6815" s="211">
        <v>913</v>
      </c>
      <c r="D6815" s="211" t="s">
        <v>1255</v>
      </c>
      <c r="E6815" s="211" t="s">
        <v>10385</v>
      </c>
      <c r="F6815" s="211" t="s">
        <v>7308</v>
      </c>
    </row>
    <row r="6816" spans="1:6">
      <c r="A6816" s="211" t="s">
        <v>10097</v>
      </c>
      <c r="B6816" s="211">
        <v>8297</v>
      </c>
      <c r="C6816" s="211">
        <v>1554</v>
      </c>
      <c r="D6816" s="211" t="s">
        <v>1117</v>
      </c>
      <c r="E6816" s="211" t="s">
        <v>10979</v>
      </c>
      <c r="F6816" s="211" t="s">
        <v>7380</v>
      </c>
    </row>
    <row r="6817" spans="1:6">
      <c r="A6817" s="211" t="s">
        <v>4875</v>
      </c>
      <c r="B6817" s="211">
        <v>5592</v>
      </c>
      <c r="C6817" s="211">
        <v>1020</v>
      </c>
      <c r="D6817" s="211" t="s">
        <v>1117</v>
      </c>
      <c r="E6817" s="211" t="s">
        <v>10385</v>
      </c>
      <c r="F6817" s="211" t="s">
        <v>7510</v>
      </c>
    </row>
    <row r="6818" spans="1:6">
      <c r="A6818" s="211" t="s">
        <v>3498</v>
      </c>
      <c r="B6818" s="211">
        <v>1754</v>
      </c>
      <c r="C6818" s="211">
        <v>1313</v>
      </c>
      <c r="D6818" s="211" t="s">
        <v>1255</v>
      </c>
      <c r="E6818" s="211" t="s">
        <v>10385</v>
      </c>
      <c r="F6818" s="211" t="s">
        <v>7617</v>
      </c>
    </row>
    <row r="6819" spans="1:6">
      <c r="A6819" s="211" t="s">
        <v>3499</v>
      </c>
      <c r="B6819" s="211">
        <v>4541</v>
      </c>
      <c r="C6819" s="211">
        <v>1837</v>
      </c>
      <c r="D6819" s="211" t="s">
        <v>1255</v>
      </c>
      <c r="E6819" s="211" t="s">
        <v>10385</v>
      </c>
      <c r="F6819" s="211" t="s">
        <v>7380</v>
      </c>
    </row>
    <row r="6820" spans="1:6">
      <c r="A6820" s="211" t="s">
        <v>10980</v>
      </c>
      <c r="B6820" s="211">
        <v>8775</v>
      </c>
      <c r="C6820" s="211">
        <v>601</v>
      </c>
      <c r="D6820" s="211" t="s">
        <v>1255</v>
      </c>
      <c r="E6820" s="211" t="s">
        <v>10981</v>
      </c>
      <c r="F6820" s="211" t="s">
        <v>10434</v>
      </c>
    </row>
    <row r="6821" spans="1:6">
      <c r="A6821" s="211" t="s">
        <v>3500</v>
      </c>
      <c r="B6821" s="211">
        <v>4022</v>
      </c>
      <c r="C6821" s="211">
        <v>895</v>
      </c>
      <c r="D6821" s="211" t="s">
        <v>1255</v>
      </c>
      <c r="E6821" s="211" t="s">
        <v>10385</v>
      </c>
      <c r="F6821" s="211" t="s">
        <v>7453</v>
      </c>
    </row>
    <row r="6822" spans="1:6">
      <c r="A6822" s="211" t="s">
        <v>8665</v>
      </c>
      <c r="B6822" s="211">
        <v>159</v>
      </c>
      <c r="C6822" s="211" t="s">
        <v>10385</v>
      </c>
      <c r="D6822" s="211" t="s">
        <v>1255</v>
      </c>
      <c r="E6822" s="211" t="s">
        <v>10385</v>
      </c>
      <c r="F6822" s="211" t="s">
        <v>7306</v>
      </c>
    </row>
    <row r="6823" spans="1:6">
      <c r="A6823" s="211" t="s">
        <v>10098</v>
      </c>
      <c r="B6823" s="211">
        <v>8221</v>
      </c>
      <c r="C6823" s="211">
        <v>1813</v>
      </c>
      <c r="D6823" s="211" t="s">
        <v>1255</v>
      </c>
      <c r="E6823" s="211" t="s">
        <v>10099</v>
      </c>
      <c r="F6823" s="211" t="s">
        <v>7240</v>
      </c>
    </row>
    <row r="6824" spans="1:6">
      <c r="A6824" s="211" t="s">
        <v>3501</v>
      </c>
      <c r="B6824" s="211">
        <v>3611</v>
      </c>
      <c r="C6824" s="211">
        <v>1001</v>
      </c>
      <c r="D6824" s="211" t="s">
        <v>1255</v>
      </c>
      <c r="E6824" s="211" t="s">
        <v>10385</v>
      </c>
      <c r="F6824" s="211" t="s">
        <v>7205</v>
      </c>
    </row>
    <row r="6825" spans="1:6">
      <c r="A6825" s="211" t="s">
        <v>4599</v>
      </c>
      <c r="B6825" s="211">
        <v>6322</v>
      </c>
      <c r="C6825" s="211">
        <v>853</v>
      </c>
      <c r="D6825" s="211" t="s">
        <v>1117</v>
      </c>
      <c r="E6825" s="211" t="s">
        <v>6239</v>
      </c>
      <c r="F6825" s="211" t="s">
        <v>7196</v>
      </c>
    </row>
    <row r="6826" spans="1:6">
      <c r="A6826" s="211" t="s">
        <v>3502</v>
      </c>
      <c r="B6826" s="211">
        <v>1081</v>
      </c>
      <c r="C6826" s="211">
        <v>1777</v>
      </c>
      <c r="D6826" s="211" t="s">
        <v>1255</v>
      </c>
      <c r="E6826" s="211" t="s">
        <v>10385</v>
      </c>
      <c r="F6826" s="211" t="s">
        <v>7232</v>
      </c>
    </row>
    <row r="6827" spans="1:6">
      <c r="A6827" s="211" t="s">
        <v>8666</v>
      </c>
      <c r="B6827" s="211">
        <v>366</v>
      </c>
      <c r="C6827" s="211" t="s">
        <v>10385</v>
      </c>
      <c r="D6827" s="211" t="s">
        <v>1255</v>
      </c>
      <c r="E6827" s="211" t="s">
        <v>10385</v>
      </c>
      <c r="F6827" s="211" t="s">
        <v>7343</v>
      </c>
    </row>
    <row r="6828" spans="1:6">
      <c r="A6828" s="211" t="s">
        <v>10100</v>
      </c>
      <c r="B6828" s="211">
        <v>8336</v>
      </c>
      <c r="C6828" s="211">
        <v>149</v>
      </c>
      <c r="D6828" s="211" t="s">
        <v>1117</v>
      </c>
      <c r="E6828" s="211" t="s">
        <v>10101</v>
      </c>
      <c r="F6828" s="211" t="s">
        <v>7247</v>
      </c>
    </row>
    <row r="6829" spans="1:6">
      <c r="A6829" s="211" t="s">
        <v>3503</v>
      </c>
      <c r="B6829" s="211">
        <v>2337</v>
      </c>
      <c r="C6829" s="211">
        <v>1344</v>
      </c>
      <c r="D6829" s="211" t="s">
        <v>1255</v>
      </c>
      <c r="E6829" s="211" t="s">
        <v>10385</v>
      </c>
      <c r="F6829" s="211" t="s">
        <v>7510</v>
      </c>
    </row>
    <row r="6830" spans="1:6">
      <c r="A6830" s="211" t="s">
        <v>10982</v>
      </c>
      <c r="B6830" s="211">
        <v>8591</v>
      </c>
      <c r="C6830" s="211">
        <v>800</v>
      </c>
      <c r="D6830" s="211" t="s">
        <v>1255</v>
      </c>
      <c r="E6830" s="211" t="s">
        <v>10983</v>
      </c>
      <c r="F6830" s="211" t="s">
        <v>7511</v>
      </c>
    </row>
    <row r="6831" spans="1:6">
      <c r="A6831" s="211" t="s">
        <v>8667</v>
      </c>
      <c r="B6831" s="211">
        <v>389</v>
      </c>
      <c r="C6831" s="211" t="s">
        <v>10385</v>
      </c>
      <c r="D6831" s="211" t="s">
        <v>1255</v>
      </c>
      <c r="E6831" s="211" t="s">
        <v>10385</v>
      </c>
      <c r="F6831" s="211" t="s">
        <v>7316</v>
      </c>
    </row>
    <row r="6832" spans="1:6">
      <c r="A6832" s="211" t="s">
        <v>3504</v>
      </c>
      <c r="B6832" s="211">
        <v>4734</v>
      </c>
      <c r="C6832" s="211">
        <v>1096</v>
      </c>
      <c r="D6832" s="211" t="s">
        <v>1255</v>
      </c>
      <c r="E6832" s="211" t="s">
        <v>10385</v>
      </c>
      <c r="F6832" s="211" t="s">
        <v>7615</v>
      </c>
    </row>
    <row r="6833" spans="1:6">
      <c r="A6833" s="211" t="s">
        <v>4741</v>
      </c>
      <c r="B6833" s="211">
        <v>6449</v>
      </c>
      <c r="C6833" s="211">
        <v>2446</v>
      </c>
      <c r="D6833" s="211" t="s">
        <v>1255</v>
      </c>
      <c r="E6833" s="211" t="s">
        <v>7074</v>
      </c>
      <c r="F6833" s="211" t="s">
        <v>7573</v>
      </c>
    </row>
    <row r="6834" spans="1:6">
      <c r="A6834" s="211" t="s">
        <v>3505</v>
      </c>
      <c r="B6834" s="211">
        <v>4441</v>
      </c>
      <c r="C6834" s="211">
        <v>1302</v>
      </c>
      <c r="D6834" s="211" t="s">
        <v>1117</v>
      </c>
      <c r="E6834" s="211" t="s">
        <v>10385</v>
      </c>
      <c r="F6834" s="211" t="s">
        <v>7242</v>
      </c>
    </row>
    <row r="6835" spans="1:6">
      <c r="A6835" s="211" t="s">
        <v>8668</v>
      </c>
      <c r="B6835" s="211">
        <v>1584</v>
      </c>
      <c r="C6835" s="211" t="s">
        <v>10385</v>
      </c>
      <c r="D6835" s="211" t="s">
        <v>1255</v>
      </c>
      <c r="E6835" s="211" t="s">
        <v>10385</v>
      </c>
      <c r="F6835" s="211" t="s">
        <v>7581</v>
      </c>
    </row>
    <row r="6836" spans="1:6">
      <c r="A6836" s="211" t="s">
        <v>3506</v>
      </c>
      <c r="B6836" s="211">
        <v>1217</v>
      </c>
      <c r="C6836" s="211">
        <v>1022</v>
      </c>
      <c r="D6836" s="211" t="s">
        <v>1255</v>
      </c>
      <c r="E6836" s="211" t="s">
        <v>10385</v>
      </c>
      <c r="F6836" s="211" t="s">
        <v>7257</v>
      </c>
    </row>
    <row r="6837" spans="1:6">
      <c r="A6837" s="211" t="s">
        <v>3507</v>
      </c>
      <c r="B6837" s="211">
        <v>4665</v>
      </c>
      <c r="C6837" s="211">
        <v>763</v>
      </c>
      <c r="D6837" s="211" t="s">
        <v>1255</v>
      </c>
      <c r="E6837" s="211" t="s">
        <v>10385</v>
      </c>
      <c r="F6837" s="211" t="s">
        <v>7257</v>
      </c>
    </row>
    <row r="6838" spans="1:6">
      <c r="A6838" s="211" t="s">
        <v>5237</v>
      </c>
      <c r="B6838" s="211">
        <v>6820</v>
      </c>
      <c r="C6838" s="211">
        <v>1710</v>
      </c>
      <c r="D6838" s="211" t="s">
        <v>1255</v>
      </c>
      <c r="E6838" s="211" t="s">
        <v>10102</v>
      </c>
      <c r="F6838" s="211" t="s">
        <v>7402</v>
      </c>
    </row>
    <row r="6839" spans="1:6">
      <c r="A6839" s="211" t="s">
        <v>3508</v>
      </c>
      <c r="B6839" s="211">
        <v>3119</v>
      </c>
      <c r="C6839" s="211">
        <v>889</v>
      </c>
      <c r="D6839" s="211" t="s">
        <v>1255</v>
      </c>
      <c r="E6839" s="211" t="s">
        <v>10385</v>
      </c>
      <c r="F6839" s="211" t="s">
        <v>7268</v>
      </c>
    </row>
    <row r="6840" spans="1:6">
      <c r="A6840" s="211" t="s">
        <v>3509</v>
      </c>
      <c r="B6840" s="211">
        <v>3471</v>
      </c>
      <c r="C6840" s="211">
        <v>577</v>
      </c>
      <c r="D6840" s="211" t="s">
        <v>1255</v>
      </c>
      <c r="E6840" s="211" t="s">
        <v>10385</v>
      </c>
      <c r="F6840" s="211" t="s">
        <v>7403</v>
      </c>
    </row>
    <row r="6841" spans="1:6">
      <c r="A6841" s="211" t="s">
        <v>8669</v>
      </c>
      <c r="B6841" s="211">
        <v>296</v>
      </c>
      <c r="C6841" s="211" t="s">
        <v>10385</v>
      </c>
      <c r="D6841" s="211" t="s">
        <v>1255</v>
      </c>
      <c r="E6841" s="211" t="s">
        <v>10385</v>
      </c>
      <c r="F6841" s="211" t="s">
        <v>7223</v>
      </c>
    </row>
    <row r="6842" spans="1:6">
      <c r="A6842" s="211" t="s">
        <v>3510</v>
      </c>
      <c r="B6842" s="211">
        <v>4668</v>
      </c>
      <c r="C6842" s="211">
        <v>1450</v>
      </c>
      <c r="D6842" s="211" t="s">
        <v>1255</v>
      </c>
      <c r="E6842" s="211" t="s">
        <v>10385</v>
      </c>
      <c r="F6842" s="211" t="s">
        <v>7283</v>
      </c>
    </row>
    <row r="6843" spans="1:6">
      <c r="A6843" s="211" t="s">
        <v>3511</v>
      </c>
      <c r="B6843" s="211">
        <v>4926</v>
      </c>
      <c r="C6843" s="211">
        <v>817</v>
      </c>
      <c r="D6843" s="211" t="s">
        <v>1255</v>
      </c>
      <c r="E6843" s="211" t="s">
        <v>10385</v>
      </c>
      <c r="F6843" s="211" t="s">
        <v>7256</v>
      </c>
    </row>
    <row r="6844" spans="1:6">
      <c r="A6844" s="211" t="s">
        <v>10984</v>
      </c>
      <c r="B6844" s="211">
        <v>8736</v>
      </c>
      <c r="C6844" s="211">
        <v>1646</v>
      </c>
      <c r="D6844" s="211" t="s">
        <v>1255</v>
      </c>
      <c r="E6844" s="211" t="s">
        <v>10985</v>
      </c>
      <c r="F6844" s="211" t="s">
        <v>7208</v>
      </c>
    </row>
    <row r="6845" spans="1:6">
      <c r="A6845" s="211" t="s">
        <v>10103</v>
      </c>
      <c r="B6845" s="211">
        <v>8479</v>
      </c>
      <c r="C6845" s="211">
        <v>1572</v>
      </c>
      <c r="D6845" s="211" t="s">
        <v>1255</v>
      </c>
      <c r="E6845" s="211" t="s">
        <v>10104</v>
      </c>
      <c r="F6845" s="211" t="s">
        <v>7215</v>
      </c>
    </row>
    <row r="6846" spans="1:6">
      <c r="A6846" s="211" t="s">
        <v>10986</v>
      </c>
      <c r="B6846" s="211">
        <v>8744</v>
      </c>
      <c r="C6846" s="211">
        <v>391</v>
      </c>
      <c r="D6846" s="211" t="s">
        <v>1255</v>
      </c>
      <c r="E6846" s="211" t="s">
        <v>10987</v>
      </c>
      <c r="F6846" s="211" t="s">
        <v>7438</v>
      </c>
    </row>
    <row r="6847" spans="1:6">
      <c r="A6847" s="211" t="s">
        <v>4553</v>
      </c>
      <c r="B6847" s="211">
        <v>6678</v>
      </c>
      <c r="C6847" s="211">
        <v>496</v>
      </c>
      <c r="D6847" s="211" t="s">
        <v>1117</v>
      </c>
      <c r="E6847" s="211" t="s">
        <v>3076</v>
      </c>
      <c r="F6847" s="211" t="s">
        <v>7285</v>
      </c>
    </row>
    <row r="6848" spans="1:6">
      <c r="A6848" s="211" t="s">
        <v>3512</v>
      </c>
      <c r="B6848" s="211">
        <v>3977</v>
      </c>
      <c r="C6848" s="211">
        <v>1005</v>
      </c>
      <c r="D6848" s="211" t="s">
        <v>1255</v>
      </c>
      <c r="E6848" s="211" t="s">
        <v>10385</v>
      </c>
      <c r="F6848" s="211" t="s">
        <v>7518</v>
      </c>
    </row>
    <row r="6849" spans="1:6">
      <c r="A6849" s="211" t="s">
        <v>4768</v>
      </c>
      <c r="B6849" s="211">
        <v>6187</v>
      </c>
      <c r="C6849" s="211">
        <v>979</v>
      </c>
      <c r="D6849" s="211" t="s">
        <v>1255</v>
      </c>
      <c r="E6849" s="211" t="s">
        <v>10385</v>
      </c>
      <c r="F6849" s="211" t="s">
        <v>7228</v>
      </c>
    </row>
    <row r="6850" spans="1:6">
      <c r="A6850" s="211" t="s">
        <v>3513</v>
      </c>
      <c r="B6850" s="211">
        <v>5775</v>
      </c>
      <c r="C6850" s="211">
        <v>1066</v>
      </c>
      <c r="D6850" s="211" t="s">
        <v>1255</v>
      </c>
      <c r="E6850" s="211" t="s">
        <v>10385</v>
      </c>
      <c r="F6850" s="211" t="s">
        <v>7327</v>
      </c>
    </row>
    <row r="6851" spans="1:6">
      <c r="A6851" s="211" t="s">
        <v>3514</v>
      </c>
      <c r="B6851" s="211">
        <v>1195</v>
      </c>
      <c r="C6851" s="211">
        <v>852</v>
      </c>
      <c r="D6851" s="211" t="s">
        <v>1255</v>
      </c>
      <c r="E6851" s="211" t="s">
        <v>10385</v>
      </c>
      <c r="F6851" s="211" t="s">
        <v>7283</v>
      </c>
    </row>
    <row r="6852" spans="1:6">
      <c r="A6852" s="211" t="s">
        <v>3515</v>
      </c>
      <c r="B6852" s="211">
        <v>1450</v>
      </c>
      <c r="C6852" s="211">
        <v>1165</v>
      </c>
      <c r="D6852" s="211" t="s">
        <v>1255</v>
      </c>
      <c r="E6852" s="211" t="s">
        <v>10385</v>
      </c>
      <c r="F6852" s="211" t="s">
        <v>7225</v>
      </c>
    </row>
    <row r="6853" spans="1:6">
      <c r="A6853" s="211" t="s">
        <v>6240</v>
      </c>
      <c r="B6853" s="211">
        <v>7147</v>
      </c>
      <c r="C6853" s="211">
        <v>929</v>
      </c>
      <c r="D6853" s="211" t="s">
        <v>1255</v>
      </c>
      <c r="E6853" s="211" t="s">
        <v>6241</v>
      </c>
      <c r="F6853" s="211" t="s">
        <v>7521</v>
      </c>
    </row>
    <row r="6854" spans="1:6">
      <c r="A6854" s="211" t="s">
        <v>10105</v>
      </c>
      <c r="B6854" s="211">
        <v>8265</v>
      </c>
      <c r="C6854" s="211">
        <v>991</v>
      </c>
      <c r="D6854" s="211" t="s">
        <v>1255</v>
      </c>
      <c r="E6854" s="211" t="s">
        <v>10106</v>
      </c>
      <c r="F6854" s="211" t="s">
        <v>7318</v>
      </c>
    </row>
    <row r="6855" spans="1:6">
      <c r="A6855" s="211" t="s">
        <v>3516</v>
      </c>
      <c r="B6855" s="211">
        <v>2241</v>
      </c>
      <c r="C6855" s="211">
        <v>1064</v>
      </c>
      <c r="D6855" s="211" t="s">
        <v>1255</v>
      </c>
      <c r="E6855" s="211" t="s">
        <v>10385</v>
      </c>
      <c r="F6855" s="211" t="s">
        <v>7331</v>
      </c>
    </row>
    <row r="6856" spans="1:6">
      <c r="A6856" s="211" t="s">
        <v>3517</v>
      </c>
      <c r="B6856" s="211">
        <v>5582</v>
      </c>
      <c r="C6856" s="211">
        <v>981</v>
      </c>
      <c r="D6856" s="211" t="s">
        <v>1255</v>
      </c>
      <c r="E6856" s="211" t="s">
        <v>10385</v>
      </c>
      <c r="F6856" s="211" t="s">
        <v>7760</v>
      </c>
    </row>
    <row r="6857" spans="1:6">
      <c r="A6857" s="211" t="s">
        <v>8670</v>
      </c>
      <c r="B6857" s="211">
        <v>400</v>
      </c>
      <c r="C6857" s="211" t="s">
        <v>10385</v>
      </c>
      <c r="D6857" s="211" t="s">
        <v>1255</v>
      </c>
      <c r="E6857" s="211" t="s">
        <v>10385</v>
      </c>
      <c r="F6857" s="211" t="s">
        <v>7351</v>
      </c>
    </row>
    <row r="6858" spans="1:6">
      <c r="A6858" s="211" t="s">
        <v>3518</v>
      </c>
      <c r="B6858" s="211">
        <v>1144</v>
      </c>
      <c r="C6858" s="211">
        <v>1742</v>
      </c>
      <c r="D6858" s="211" t="s">
        <v>1255</v>
      </c>
      <c r="E6858" s="211" t="s">
        <v>10385</v>
      </c>
      <c r="F6858" s="211" t="s">
        <v>7316</v>
      </c>
    </row>
    <row r="6859" spans="1:6">
      <c r="A6859" s="211" t="s">
        <v>3519</v>
      </c>
      <c r="B6859" s="211">
        <v>2693</v>
      </c>
      <c r="C6859" s="211">
        <v>1021</v>
      </c>
      <c r="D6859" s="211" t="s">
        <v>1255</v>
      </c>
      <c r="E6859" s="211" t="s">
        <v>10385</v>
      </c>
      <c r="F6859" s="211" t="s">
        <v>7393</v>
      </c>
    </row>
    <row r="6860" spans="1:6">
      <c r="A6860" s="211" t="s">
        <v>10988</v>
      </c>
      <c r="B6860" s="211">
        <v>8770</v>
      </c>
      <c r="C6860" s="211">
        <v>1008</v>
      </c>
      <c r="D6860" s="211" t="s">
        <v>1255</v>
      </c>
      <c r="E6860" s="211" t="s">
        <v>10989</v>
      </c>
      <c r="F6860" s="211" t="s">
        <v>7283</v>
      </c>
    </row>
    <row r="6861" spans="1:6">
      <c r="A6861" s="211" t="s">
        <v>3520</v>
      </c>
      <c r="B6861" s="211">
        <v>2918</v>
      </c>
      <c r="C6861" s="211">
        <v>1554</v>
      </c>
      <c r="D6861" s="211" t="s">
        <v>1255</v>
      </c>
      <c r="E6861" s="211" t="s">
        <v>10385</v>
      </c>
      <c r="F6861" s="211" t="s">
        <v>7308</v>
      </c>
    </row>
    <row r="6862" spans="1:6">
      <c r="A6862" s="211" t="s">
        <v>8998</v>
      </c>
      <c r="B6862" s="211">
        <v>1925</v>
      </c>
      <c r="C6862" s="211">
        <v>1518</v>
      </c>
      <c r="D6862" s="211" t="s">
        <v>1255</v>
      </c>
      <c r="E6862" s="211" t="s">
        <v>10385</v>
      </c>
      <c r="F6862" s="211" t="s">
        <v>7318</v>
      </c>
    </row>
    <row r="6863" spans="1:6">
      <c r="A6863" s="211" t="s">
        <v>8999</v>
      </c>
      <c r="B6863" s="211">
        <v>1932</v>
      </c>
      <c r="C6863" s="211" t="s">
        <v>10385</v>
      </c>
      <c r="D6863" s="211" t="s">
        <v>1255</v>
      </c>
      <c r="E6863" s="211" t="s">
        <v>10385</v>
      </c>
      <c r="F6863" s="211" t="s">
        <v>7283</v>
      </c>
    </row>
    <row r="6864" spans="1:6">
      <c r="A6864" s="211" t="s">
        <v>4789</v>
      </c>
      <c r="B6864" s="211">
        <v>6168</v>
      </c>
      <c r="C6864" s="211">
        <v>905</v>
      </c>
      <c r="D6864" s="211" t="s">
        <v>1255</v>
      </c>
      <c r="E6864" s="211" t="s">
        <v>10385</v>
      </c>
      <c r="F6864" s="211" t="s">
        <v>7659</v>
      </c>
    </row>
    <row r="6865" spans="1:6">
      <c r="A6865" s="211" t="s">
        <v>6242</v>
      </c>
      <c r="B6865" s="211">
        <v>7191</v>
      </c>
      <c r="C6865" s="211">
        <v>1398</v>
      </c>
      <c r="D6865" s="211" t="s">
        <v>1255</v>
      </c>
      <c r="E6865" s="211" t="s">
        <v>10385</v>
      </c>
      <c r="F6865" s="211" t="s">
        <v>7235</v>
      </c>
    </row>
    <row r="6866" spans="1:6">
      <c r="A6866" s="211" t="s">
        <v>4487</v>
      </c>
      <c r="B6866" s="211">
        <v>6697</v>
      </c>
      <c r="C6866" s="211">
        <v>850</v>
      </c>
      <c r="D6866" s="211" t="s">
        <v>1255</v>
      </c>
      <c r="E6866" s="211" t="s">
        <v>10385</v>
      </c>
      <c r="F6866" s="211" t="s">
        <v>7536</v>
      </c>
    </row>
    <row r="6867" spans="1:6">
      <c r="A6867" s="211" t="s">
        <v>5349</v>
      </c>
      <c r="B6867" s="211">
        <v>6602</v>
      </c>
      <c r="C6867" s="211">
        <v>809</v>
      </c>
      <c r="D6867" s="211" t="s">
        <v>1255</v>
      </c>
      <c r="E6867" s="211" t="s">
        <v>10385</v>
      </c>
      <c r="F6867" s="211" t="s">
        <v>7349</v>
      </c>
    </row>
    <row r="6868" spans="1:6">
      <c r="A6868" s="211" t="s">
        <v>8671</v>
      </c>
      <c r="B6868" s="211">
        <v>3404</v>
      </c>
      <c r="C6868" s="211" t="s">
        <v>10385</v>
      </c>
      <c r="D6868" s="211" t="s">
        <v>1255</v>
      </c>
      <c r="E6868" s="211" t="s">
        <v>10385</v>
      </c>
      <c r="F6868" s="211" t="s">
        <v>7646</v>
      </c>
    </row>
    <row r="6869" spans="1:6">
      <c r="A6869" s="211" t="s">
        <v>3521</v>
      </c>
      <c r="B6869" s="211">
        <v>2757</v>
      </c>
      <c r="C6869" s="211">
        <v>807</v>
      </c>
      <c r="D6869" s="211" t="s">
        <v>1255</v>
      </c>
      <c r="E6869" s="211" t="s">
        <v>10385</v>
      </c>
      <c r="F6869" s="211" t="s">
        <v>7399</v>
      </c>
    </row>
    <row r="6870" spans="1:6">
      <c r="A6870" s="211" t="s">
        <v>10107</v>
      </c>
      <c r="B6870" s="211">
        <v>8348</v>
      </c>
      <c r="C6870" s="211">
        <v>536</v>
      </c>
      <c r="D6870" s="211" t="s">
        <v>1255</v>
      </c>
      <c r="E6870" s="211" t="s">
        <v>10108</v>
      </c>
      <c r="F6870" s="211" t="s">
        <v>7247</v>
      </c>
    </row>
    <row r="6871" spans="1:6">
      <c r="A6871" s="211" t="s">
        <v>2875</v>
      </c>
      <c r="B6871" s="211">
        <v>968</v>
      </c>
      <c r="C6871" s="211">
        <v>1638</v>
      </c>
      <c r="D6871" s="211" t="s">
        <v>1255</v>
      </c>
      <c r="E6871" s="211" t="s">
        <v>10385</v>
      </c>
      <c r="F6871" s="211" t="s">
        <v>7335</v>
      </c>
    </row>
    <row r="6872" spans="1:6">
      <c r="A6872" s="211" t="s">
        <v>3522</v>
      </c>
      <c r="B6872" s="211">
        <v>4911</v>
      </c>
      <c r="C6872" s="211">
        <v>1095</v>
      </c>
      <c r="D6872" s="211" t="s">
        <v>1255</v>
      </c>
      <c r="E6872" s="211" t="s">
        <v>10385</v>
      </c>
      <c r="F6872" s="211" t="s">
        <v>7343</v>
      </c>
    </row>
    <row r="6873" spans="1:6">
      <c r="A6873" s="211" t="s">
        <v>3523</v>
      </c>
      <c r="B6873" s="211">
        <v>2842</v>
      </c>
      <c r="C6873" s="211">
        <v>1033</v>
      </c>
      <c r="D6873" s="211" t="s">
        <v>1255</v>
      </c>
      <c r="E6873" s="211" t="s">
        <v>10990</v>
      </c>
      <c r="F6873" s="211" t="s">
        <v>7205</v>
      </c>
    </row>
    <row r="6874" spans="1:6">
      <c r="A6874" s="211" t="s">
        <v>3524</v>
      </c>
      <c r="B6874" s="211">
        <v>6033</v>
      </c>
      <c r="C6874" s="211">
        <v>896</v>
      </c>
      <c r="D6874" s="211" t="s">
        <v>1117</v>
      </c>
      <c r="E6874" s="211" t="s">
        <v>10385</v>
      </c>
      <c r="F6874" s="211" t="s">
        <v>7298</v>
      </c>
    </row>
    <row r="6875" spans="1:6">
      <c r="A6875" s="211" t="s">
        <v>3525</v>
      </c>
      <c r="B6875" s="211">
        <v>5428</v>
      </c>
      <c r="C6875" s="211">
        <v>941</v>
      </c>
      <c r="D6875" s="211" t="s">
        <v>1255</v>
      </c>
      <c r="E6875" s="211" t="s">
        <v>10385</v>
      </c>
      <c r="F6875" s="211" t="s">
        <v>7323</v>
      </c>
    </row>
    <row r="6876" spans="1:6">
      <c r="A6876" s="211" t="s">
        <v>8672</v>
      </c>
      <c r="B6876" s="211">
        <v>3131</v>
      </c>
      <c r="C6876" s="211" t="s">
        <v>10385</v>
      </c>
      <c r="D6876" s="211" t="s">
        <v>1255</v>
      </c>
      <c r="E6876" s="211" t="s">
        <v>10385</v>
      </c>
      <c r="F6876" s="211" t="s">
        <v>8673</v>
      </c>
    </row>
    <row r="6877" spans="1:6">
      <c r="A6877" s="211" t="s">
        <v>3526</v>
      </c>
      <c r="B6877" s="211">
        <v>4282</v>
      </c>
      <c r="C6877" s="211">
        <v>1298</v>
      </c>
      <c r="D6877" s="211" t="s">
        <v>1255</v>
      </c>
      <c r="E6877" s="211" t="s">
        <v>10385</v>
      </c>
      <c r="F6877" s="211" t="s">
        <v>7213</v>
      </c>
    </row>
    <row r="6878" spans="1:6">
      <c r="A6878" s="211" t="s">
        <v>3527</v>
      </c>
      <c r="B6878" s="211">
        <v>6783</v>
      </c>
      <c r="C6878" s="211">
        <v>1280</v>
      </c>
      <c r="D6878" s="211" t="s">
        <v>1255</v>
      </c>
      <c r="E6878" s="211" t="s">
        <v>10385</v>
      </c>
      <c r="F6878" s="211" t="s">
        <v>7200</v>
      </c>
    </row>
    <row r="6879" spans="1:6">
      <c r="A6879" s="211" t="s">
        <v>3528</v>
      </c>
      <c r="B6879" s="211">
        <v>3290</v>
      </c>
      <c r="C6879" s="211">
        <v>1166</v>
      </c>
      <c r="D6879" s="211" t="s">
        <v>1255</v>
      </c>
      <c r="E6879" s="211" t="s">
        <v>10385</v>
      </c>
      <c r="F6879" s="211" t="s">
        <v>8146</v>
      </c>
    </row>
    <row r="6880" spans="1:6">
      <c r="A6880" s="211" t="s">
        <v>8674</v>
      </c>
      <c r="B6880" s="211">
        <v>6659</v>
      </c>
      <c r="C6880" s="211">
        <v>1483</v>
      </c>
      <c r="D6880" s="211" t="s">
        <v>1255</v>
      </c>
      <c r="E6880" s="211" t="s">
        <v>10385</v>
      </c>
      <c r="F6880" s="211" t="s">
        <v>7285</v>
      </c>
    </row>
    <row r="6881" spans="1:6">
      <c r="A6881" s="211" t="s">
        <v>10109</v>
      </c>
      <c r="B6881" s="211">
        <v>8215</v>
      </c>
      <c r="C6881" s="211">
        <v>798</v>
      </c>
      <c r="D6881" s="211" t="s">
        <v>1255</v>
      </c>
      <c r="E6881" s="211" t="s">
        <v>10385</v>
      </c>
      <c r="F6881" s="211" t="s">
        <v>7471</v>
      </c>
    </row>
    <row r="6882" spans="1:6">
      <c r="A6882" s="211" t="s">
        <v>3529</v>
      </c>
      <c r="B6882" s="211">
        <v>3478</v>
      </c>
      <c r="C6882" s="211">
        <v>2080</v>
      </c>
      <c r="D6882" s="211" t="s">
        <v>1255</v>
      </c>
      <c r="E6882" s="211" t="s">
        <v>10385</v>
      </c>
      <c r="F6882" s="211" t="s">
        <v>7224</v>
      </c>
    </row>
    <row r="6883" spans="1:6">
      <c r="A6883" s="211" t="s">
        <v>5238</v>
      </c>
      <c r="B6883" s="211">
        <v>6950</v>
      </c>
      <c r="C6883" s="211">
        <v>1095</v>
      </c>
      <c r="D6883" s="211" t="s">
        <v>1255</v>
      </c>
      <c r="E6883" s="211" t="s">
        <v>10385</v>
      </c>
      <c r="F6883" s="211" t="s">
        <v>7246</v>
      </c>
    </row>
    <row r="6884" spans="1:6">
      <c r="A6884" s="211" t="s">
        <v>6243</v>
      </c>
      <c r="B6884" s="211">
        <v>7609</v>
      </c>
      <c r="C6884" s="211">
        <v>1373</v>
      </c>
      <c r="D6884" s="211" t="s">
        <v>1255</v>
      </c>
      <c r="E6884" s="211" t="s">
        <v>10385</v>
      </c>
      <c r="F6884" s="211" t="s">
        <v>7239</v>
      </c>
    </row>
    <row r="6885" spans="1:6">
      <c r="A6885" s="211" t="s">
        <v>3530</v>
      </c>
      <c r="B6885" s="211">
        <v>1173</v>
      </c>
      <c r="C6885" s="211">
        <v>1194</v>
      </c>
      <c r="D6885" s="211" t="s">
        <v>1255</v>
      </c>
      <c r="E6885" s="211" t="s">
        <v>10385</v>
      </c>
      <c r="F6885" s="211" t="s">
        <v>7243</v>
      </c>
    </row>
    <row r="6886" spans="1:6">
      <c r="A6886" s="211" t="s">
        <v>10110</v>
      </c>
      <c r="B6886" s="211">
        <v>8354</v>
      </c>
      <c r="C6886" s="211">
        <v>1459</v>
      </c>
      <c r="D6886" s="211" t="s">
        <v>1255</v>
      </c>
      <c r="E6886" s="211" t="s">
        <v>10111</v>
      </c>
      <c r="F6886" s="211" t="s">
        <v>7342</v>
      </c>
    </row>
    <row r="6887" spans="1:6">
      <c r="A6887" s="211" t="s">
        <v>3531</v>
      </c>
      <c r="B6887" s="211">
        <v>3911</v>
      </c>
      <c r="C6887" s="211">
        <v>1331</v>
      </c>
      <c r="D6887" s="211" t="s">
        <v>1117</v>
      </c>
      <c r="E6887" s="211" t="s">
        <v>10385</v>
      </c>
      <c r="F6887" s="211" t="s">
        <v>7318</v>
      </c>
    </row>
    <row r="6888" spans="1:6">
      <c r="A6888" s="211" t="s">
        <v>2994</v>
      </c>
      <c r="B6888" s="211">
        <v>2222</v>
      </c>
      <c r="C6888" s="211">
        <v>962</v>
      </c>
      <c r="D6888" s="211" t="s">
        <v>1255</v>
      </c>
      <c r="E6888" s="211" t="s">
        <v>10385</v>
      </c>
      <c r="F6888" s="211" t="s">
        <v>7263</v>
      </c>
    </row>
    <row r="6889" spans="1:6">
      <c r="A6889" s="211" t="s">
        <v>3532</v>
      </c>
      <c r="B6889" s="211">
        <v>2095</v>
      </c>
      <c r="C6889" s="211">
        <v>943</v>
      </c>
      <c r="D6889" s="211" t="s">
        <v>1255</v>
      </c>
      <c r="E6889" s="211" t="s">
        <v>10385</v>
      </c>
      <c r="F6889" s="211" t="s">
        <v>7231</v>
      </c>
    </row>
    <row r="6890" spans="1:6">
      <c r="A6890" s="211" t="s">
        <v>3533</v>
      </c>
      <c r="B6890" s="211">
        <v>3544</v>
      </c>
      <c r="C6890" s="211">
        <v>1479</v>
      </c>
      <c r="D6890" s="211" t="s">
        <v>1255</v>
      </c>
      <c r="E6890" s="211" t="s">
        <v>10385</v>
      </c>
      <c r="F6890" s="211" t="s">
        <v>7199</v>
      </c>
    </row>
    <row r="6891" spans="1:6">
      <c r="A6891" s="211" t="s">
        <v>10112</v>
      </c>
      <c r="B6891" s="211">
        <v>8525</v>
      </c>
      <c r="C6891" s="211">
        <v>988</v>
      </c>
      <c r="D6891" s="211" t="s">
        <v>1255</v>
      </c>
      <c r="E6891" s="211" t="s">
        <v>10113</v>
      </c>
      <c r="F6891" s="211" t="s">
        <v>7299</v>
      </c>
    </row>
    <row r="6892" spans="1:6">
      <c r="A6892" s="211" t="s">
        <v>6244</v>
      </c>
      <c r="B6892" s="211">
        <v>7289</v>
      </c>
      <c r="C6892" s="211">
        <v>1176</v>
      </c>
      <c r="D6892" s="211" t="s">
        <v>1255</v>
      </c>
      <c r="E6892" s="211" t="s">
        <v>6245</v>
      </c>
      <c r="F6892" s="211" t="s">
        <v>7490</v>
      </c>
    </row>
    <row r="6893" spans="1:6">
      <c r="A6893" s="211" t="s">
        <v>3534</v>
      </c>
      <c r="B6893" s="211">
        <v>4910</v>
      </c>
      <c r="C6893" s="211">
        <v>1219</v>
      </c>
      <c r="D6893" s="211" t="s">
        <v>1255</v>
      </c>
      <c r="E6893" s="211" t="s">
        <v>10385</v>
      </c>
      <c r="F6893" s="211" t="s">
        <v>7343</v>
      </c>
    </row>
    <row r="6894" spans="1:6">
      <c r="A6894" s="211" t="s">
        <v>5350</v>
      </c>
      <c r="B6894" s="211">
        <v>6692</v>
      </c>
      <c r="C6894" s="211">
        <v>1150</v>
      </c>
      <c r="D6894" s="211" t="s">
        <v>1117</v>
      </c>
      <c r="E6894" s="211" t="s">
        <v>10385</v>
      </c>
      <c r="F6894" s="211" t="s">
        <v>7331</v>
      </c>
    </row>
    <row r="6895" spans="1:6">
      <c r="A6895" s="211" t="s">
        <v>3535</v>
      </c>
      <c r="B6895" s="211">
        <v>5475</v>
      </c>
      <c r="C6895" s="211">
        <v>1211</v>
      </c>
      <c r="D6895" s="211" t="s">
        <v>1255</v>
      </c>
      <c r="E6895" s="211" t="s">
        <v>10385</v>
      </c>
      <c r="F6895" s="211" t="s">
        <v>7212</v>
      </c>
    </row>
    <row r="6896" spans="1:6">
      <c r="A6896" s="211" t="s">
        <v>8675</v>
      </c>
      <c r="B6896" s="211">
        <v>65</v>
      </c>
      <c r="C6896" s="211" t="s">
        <v>10385</v>
      </c>
      <c r="D6896" s="211" t="s">
        <v>1255</v>
      </c>
      <c r="E6896" s="211" t="s">
        <v>10385</v>
      </c>
      <c r="F6896" s="211" t="s">
        <v>7402</v>
      </c>
    </row>
    <row r="6897" spans="1:6">
      <c r="A6897" s="211" t="s">
        <v>3536</v>
      </c>
      <c r="B6897" s="211">
        <v>4382</v>
      </c>
      <c r="C6897" s="211">
        <v>1130</v>
      </c>
      <c r="D6897" s="211" t="s">
        <v>1255</v>
      </c>
      <c r="E6897" s="211" t="s">
        <v>10385</v>
      </c>
      <c r="F6897" s="211" t="s">
        <v>7369</v>
      </c>
    </row>
    <row r="6898" spans="1:6">
      <c r="A6898" s="211" t="s">
        <v>3537</v>
      </c>
      <c r="B6898" s="211">
        <v>2553</v>
      </c>
      <c r="C6898" s="211">
        <v>999</v>
      </c>
      <c r="D6898" s="211" t="s">
        <v>1255</v>
      </c>
      <c r="E6898" s="211" t="s">
        <v>10385</v>
      </c>
      <c r="F6898" s="211" t="s">
        <v>7534</v>
      </c>
    </row>
    <row r="6899" spans="1:6">
      <c r="A6899" s="211" t="s">
        <v>3538</v>
      </c>
      <c r="B6899" s="211">
        <v>2067</v>
      </c>
      <c r="C6899" s="211">
        <v>824</v>
      </c>
      <c r="D6899" s="211" t="s">
        <v>1255</v>
      </c>
      <c r="E6899" s="211" t="s">
        <v>10385</v>
      </c>
      <c r="F6899" s="211" t="s">
        <v>7207</v>
      </c>
    </row>
    <row r="6900" spans="1:6">
      <c r="A6900" s="211" t="s">
        <v>10114</v>
      </c>
      <c r="B6900" s="211">
        <v>8191</v>
      </c>
      <c r="C6900" s="211">
        <v>1397</v>
      </c>
      <c r="D6900" s="211" t="s">
        <v>1255</v>
      </c>
      <c r="E6900" s="211" t="s">
        <v>10115</v>
      </c>
      <c r="F6900" s="211" t="s">
        <v>7323</v>
      </c>
    </row>
    <row r="6901" spans="1:6">
      <c r="A6901" s="211" t="s">
        <v>8676</v>
      </c>
      <c r="B6901" s="211">
        <v>1443</v>
      </c>
      <c r="C6901" s="211" t="s">
        <v>10385</v>
      </c>
      <c r="D6901" s="211" t="s">
        <v>1255</v>
      </c>
      <c r="E6901" s="211" t="s">
        <v>10385</v>
      </c>
      <c r="F6901" s="211" t="s">
        <v>7280</v>
      </c>
    </row>
    <row r="6902" spans="1:6">
      <c r="A6902" s="211" t="s">
        <v>6246</v>
      </c>
      <c r="B6902" s="211">
        <v>7249</v>
      </c>
      <c r="C6902" s="211">
        <v>1104</v>
      </c>
      <c r="D6902" s="211" t="s">
        <v>1255</v>
      </c>
      <c r="E6902" s="211" t="s">
        <v>6247</v>
      </c>
      <c r="F6902" s="211" t="s">
        <v>7397</v>
      </c>
    </row>
    <row r="6903" spans="1:6">
      <c r="A6903" s="211" t="s">
        <v>8677</v>
      </c>
      <c r="B6903" s="211">
        <v>1954</v>
      </c>
      <c r="C6903" s="211" t="s">
        <v>10385</v>
      </c>
      <c r="D6903" s="211" t="s">
        <v>1255</v>
      </c>
      <c r="E6903" s="211" t="s">
        <v>10385</v>
      </c>
      <c r="F6903" s="211" t="s">
        <v>7255</v>
      </c>
    </row>
    <row r="6904" spans="1:6">
      <c r="A6904" s="211" t="s">
        <v>10116</v>
      </c>
      <c r="B6904" s="211">
        <v>8251</v>
      </c>
      <c r="C6904" s="211">
        <v>967</v>
      </c>
      <c r="D6904" s="211" t="s">
        <v>1255</v>
      </c>
      <c r="E6904" s="211" t="s">
        <v>10385</v>
      </c>
      <c r="F6904" s="211" t="s">
        <v>7335</v>
      </c>
    </row>
    <row r="6905" spans="1:6">
      <c r="A6905" s="211" t="s">
        <v>8678</v>
      </c>
      <c r="B6905" s="211">
        <v>348</v>
      </c>
      <c r="C6905" s="211" t="s">
        <v>10385</v>
      </c>
      <c r="D6905" s="211" t="s">
        <v>1255</v>
      </c>
      <c r="E6905" s="211" t="s">
        <v>10385</v>
      </c>
      <c r="F6905" s="211" t="s">
        <v>7243</v>
      </c>
    </row>
    <row r="6906" spans="1:6">
      <c r="A6906" s="211" t="s">
        <v>3539</v>
      </c>
      <c r="B6906" s="211">
        <v>3734</v>
      </c>
      <c r="C6906" s="211">
        <v>822</v>
      </c>
      <c r="D6906" s="211" t="s">
        <v>1255</v>
      </c>
      <c r="E6906" s="211" t="s">
        <v>10385</v>
      </c>
      <c r="F6906" s="211" t="s">
        <v>7203</v>
      </c>
    </row>
    <row r="6907" spans="1:6">
      <c r="A6907" s="211" t="s">
        <v>8679</v>
      </c>
      <c r="B6907" s="211">
        <v>6764</v>
      </c>
      <c r="C6907" s="211">
        <v>859</v>
      </c>
      <c r="D6907" s="211" t="s">
        <v>1255</v>
      </c>
      <c r="E6907" s="211" t="s">
        <v>10385</v>
      </c>
      <c r="F6907" s="211" t="s">
        <v>7837</v>
      </c>
    </row>
    <row r="6908" spans="1:6">
      <c r="A6908" s="211" t="s">
        <v>8680</v>
      </c>
      <c r="B6908" s="211">
        <v>6343</v>
      </c>
      <c r="C6908" s="211">
        <v>982</v>
      </c>
      <c r="D6908" s="211" t="s">
        <v>1255</v>
      </c>
      <c r="E6908" s="211" t="s">
        <v>10385</v>
      </c>
      <c r="F6908" s="211" t="s">
        <v>7837</v>
      </c>
    </row>
    <row r="6909" spans="1:6">
      <c r="A6909" s="211" t="s">
        <v>8681</v>
      </c>
      <c r="B6909" s="211">
        <v>1483</v>
      </c>
      <c r="C6909" s="211" t="s">
        <v>10385</v>
      </c>
      <c r="D6909" s="211" t="s">
        <v>1255</v>
      </c>
      <c r="E6909" s="211" t="s">
        <v>10385</v>
      </c>
      <c r="F6909" s="211" t="s">
        <v>7335</v>
      </c>
    </row>
    <row r="6910" spans="1:6">
      <c r="A6910" s="211" t="s">
        <v>3540</v>
      </c>
      <c r="B6910" s="211">
        <v>5599</v>
      </c>
      <c r="C6910" s="211">
        <v>835</v>
      </c>
      <c r="D6910" s="211" t="s">
        <v>1255</v>
      </c>
      <c r="E6910" s="211" t="s">
        <v>10385</v>
      </c>
      <c r="F6910" s="211" t="s">
        <v>7389</v>
      </c>
    </row>
    <row r="6911" spans="1:6">
      <c r="A6911" s="211" t="s">
        <v>8682</v>
      </c>
      <c r="B6911" s="211">
        <v>2453</v>
      </c>
      <c r="C6911" s="211" t="s">
        <v>10385</v>
      </c>
      <c r="D6911" s="211" t="s">
        <v>1255</v>
      </c>
      <c r="E6911" s="211" t="s">
        <v>10385</v>
      </c>
      <c r="F6911" s="211" t="s">
        <v>9024</v>
      </c>
    </row>
    <row r="6912" spans="1:6">
      <c r="A6912" s="211" t="s">
        <v>5394</v>
      </c>
      <c r="B6912" s="211">
        <v>4293</v>
      </c>
      <c r="C6912" s="211">
        <v>981</v>
      </c>
      <c r="D6912" s="211" t="s">
        <v>1255</v>
      </c>
      <c r="E6912" s="211" t="s">
        <v>10117</v>
      </c>
      <c r="F6912" s="211" t="s">
        <v>7471</v>
      </c>
    </row>
    <row r="6913" spans="1:6">
      <c r="A6913" s="211" t="s">
        <v>7075</v>
      </c>
      <c r="B6913" s="211">
        <v>7621</v>
      </c>
      <c r="C6913" s="211">
        <v>639</v>
      </c>
      <c r="D6913" s="211" t="s">
        <v>1117</v>
      </c>
      <c r="E6913" s="211" t="s">
        <v>6632</v>
      </c>
      <c r="F6913" s="211" t="s">
        <v>7267</v>
      </c>
    </row>
    <row r="6914" spans="1:6">
      <c r="A6914" s="211" t="s">
        <v>6248</v>
      </c>
      <c r="B6914" s="211">
        <v>7122</v>
      </c>
      <c r="C6914" s="211">
        <v>685</v>
      </c>
      <c r="D6914" s="211" t="s">
        <v>1117</v>
      </c>
      <c r="E6914" s="211" t="s">
        <v>10385</v>
      </c>
      <c r="F6914" s="211" t="s">
        <v>7267</v>
      </c>
    </row>
    <row r="6915" spans="1:6">
      <c r="A6915" s="211" t="s">
        <v>3541</v>
      </c>
      <c r="B6915" s="211">
        <v>5682</v>
      </c>
      <c r="C6915" s="211">
        <v>1180</v>
      </c>
      <c r="D6915" s="211" t="s">
        <v>1255</v>
      </c>
      <c r="E6915" s="211" t="s">
        <v>10385</v>
      </c>
      <c r="F6915" s="211" t="s">
        <v>7292</v>
      </c>
    </row>
    <row r="6916" spans="1:6">
      <c r="A6916" s="211" t="s">
        <v>6249</v>
      </c>
      <c r="B6916" s="211">
        <v>7296</v>
      </c>
      <c r="C6916" s="211">
        <v>891</v>
      </c>
      <c r="D6916" s="211" t="s">
        <v>1255</v>
      </c>
      <c r="E6916" s="211" t="s">
        <v>6250</v>
      </c>
      <c r="F6916" s="211" t="s">
        <v>7444</v>
      </c>
    </row>
    <row r="6917" spans="1:6">
      <c r="A6917" s="211" t="s">
        <v>3542</v>
      </c>
      <c r="B6917" s="211">
        <v>5927</v>
      </c>
      <c r="C6917" s="211">
        <v>1206</v>
      </c>
      <c r="D6917" s="211" t="s">
        <v>1255</v>
      </c>
      <c r="E6917" s="211" t="s">
        <v>10385</v>
      </c>
      <c r="F6917" s="211" t="s">
        <v>7210</v>
      </c>
    </row>
    <row r="6918" spans="1:6">
      <c r="A6918" s="211" t="s">
        <v>3068</v>
      </c>
      <c r="B6918" s="211">
        <v>6256</v>
      </c>
      <c r="C6918" s="211">
        <v>1147</v>
      </c>
      <c r="D6918" s="211" t="s">
        <v>1255</v>
      </c>
      <c r="E6918" s="211" t="s">
        <v>6251</v>
      </c>
      <c r="F6918" s="211" t="s">
        <v>7247</v>
      </c>
    </row>
    <row r="6919" spans="1:6">
      <c r="A6919" s="211" t="s">
        <v>3543</v>
      </c>
      <c r="B6919" s="211">
        <v>4616</v>
      </c>
      <c r="C6919" s="211">
        <v>862</v>
      </c>
      <c r="D6919" s="211" t="s">
        <v>1255</v>
      </c>
      <c r="E6919" s="211" t="s">
        <v>10385</v>
      </c>
      <c r="F6919" s="211" t="s">
        <v>7346</v>
      </c>
    </row>
    <row r="6920" spans="1:6">
      <c r="A6920" s="211" t="s">
        <v>3544</v>
      </c>
      <c r="B6920" s="211">
        <v>2788</v>
      </c>
      <c r="C6920" s="211">
        <v>1133</v>
      </c>
      <c r="D6920" s="211" t="s">
        <v>1255</v>
      </c>
      <c r="E6920" s="211" t="s">
        <v>10385</v>
      </c>
      <c r="F6920" s="211" t="s">
        <v>7344</v>
      </c>
    </row>
    <row r="6921" spans="1:6">
      <c r="A6921" s="211" t="s">
        <v>3545</v>
      </c>
      <c r="B6921" s="211">
        <v>2653</v>
      </c>
      <c r="C6921" s="211">
        <v>1562</v>
      </c>
      <c r="D6921" s="211" t="s">
        <v>1255</v>
      </c>
      <c r="E6921" s="211" t="s">
        <v>10385</v>
      </c>
      <c r="F6921" s="211" t="s">
        <v>7248</v>
      </c>
    </row>
    <row r="6922" spans="1:6">
      <c r="A6922" s="211" t="s">
        <v>3546</v>
      </c>
      <c r="B6922" s="211">
        <v>4268</v>
      </c>
      <c r="C6922" s="211">
        <v>2051</v>
      </c>
      <c r="D6922" s="211" t="s">
        <v>1255</v>
      </c>
      <c r="E6922" s="211" t="s">
        <v>10385</v>
      </c>
      <c r="F6922" s="211" t="s">
        <v>7267</v>
      </c>
    </row>
    <row r="6923" spans="1:6">
      <c r="A6923" s="211" t="s">
        <v>2956</v>
      </c>
      <c r="B6923" s="211">
        <v>2003</v>
      </c>
      <c r="C6923" s="211">
        <v>1165</v>
      </c>
      <c r="D6923" s="211" t="s">
        <v>1255</v>
      </c>
      <c r="E6923" s="211" t="s">
        <v>10385</v>
      </c>
      <c r="F6923" s="211" t="s">
        <v>7322</v>
      </c>
    </row>
    <row r="6924" spans="1:6">
      <c r="A6924" s="211" t="s">
        <v>3547</v>
      </c>
      <c r="B6924" s="211">
        <v>3746</v>
      </c>
      <c r="C6924" s="211">
        <v>1093</v>
      </c>
      <c r="D6924" s="211" t="s">
        <v>1255</v>
      </c>
      <c r="E6924" s="211" t="s">
        <v>10385</v>
      </c>
      <c r="F6924" s="211" t="s">
        <v>7217</v>
      </c>
    </row>
    <row r="6925" spans="1:6">
      <c r="A6925" s="211" t="s">
        <v>3548</v>
      </c>
      <c r="B6925" s="211">
        <v>4711</v>
      </c>
      <c r="C6925" s="211">
        <v>864</v>
      </c>
      <c r="D6925" s="211" t="s">
        <v>1255</v>
      </c>
      <c r="E6925" s="211" t="s">
        <v>10385</v>
      </c>
      <c r="F6925" s="211" t="s">
        <v>7760</v>
      </c>
    </row>
    <row r="6926" spans="1:6">
      <c r="A6926" s="211" t="s">
        <v>7076</v>
      </c>
      <c r="B6926" s="211">
        <v>6364</v>
      </c>
      <c r="C6926" s="211">
        <v>1731</v>
      </c>
      <c r="D6926" s="211" t="s">
        <v>1255</v>
      </c>
      <c r="E6926" s="211" t="s">
        <v>5530</v>
      </c>
      <c r="F6926" s="211" t="s">
        <v>7384</v>
      </c>
    </row>
    <row r="6927" spans="1:6">
      <c r="A6927" s="211" t="s">
        <v>3549</v>
      </c>
      <c r="B6927" s="211">
        <v>4030</v>
      </c>
      <c r="C6927" s="211">
        <v>1879</v>
      </c>
      <c r="D6927" s="211" t="s">
        <v>1255</v>
      </c>
      <c r="E6927" s="211" t="s">
        <v>10385</v>
      </c>
      <c r="F6927" s="211" t="s">
        <v>7224</v>
      </c>
    </row>
    <row r="6928" spans="1:6">
      <c r="A6928" s="211" t="s">
        <v>10118</v>
      </c>
      <c r="B6928" s="211">
        <v>8257</v>
      </c>
      <c r="C6928" s="211">
        <v>1560</v>
      </c>
      <c r="D6928" s="211" t="s">
        <v>1117</v>
      </c>
      <c r="E6928" s="211" t="s">
        <v>10385</v>
      </c>
      <c r="F6928" s="211" t="s">
        <v>9071</v>
      </c>
    </row>
    <row r="6929" spans="1:6">
      <c r="A6929" s="211" t="s">
        <v>3550</v>
      </c>
      <c r="B6929" s="211">
        <v>5410</v>
      </c>
      <c r="C6929" s="211">
        <v>873</v>
      </c>
      <c r="D6929" s="211" t="s">
        <v>1255</v>
      </c>
      <c r="E6929" s="211" t="s">
        <v>10385</v>
      </c>
      <c r="F6929" s="211" t="s">
        <v>7268</v>
      </c>
    </row>
    <row r="6930" spans="1:6">
      <c r="A6930" s="211" t="s">
        <v>10119</v>
      </c>
      <c r="B6930" s="211">
        <v>8133</v>
      </c>
      <c r="C6930" s="211">
        <v>1394</v>
      </c>
      <c r="D6930" s="211" t="s">
        <v>1255</v>
      </c>
      <c r="E6930" s="211" t="s">
        <v>10385</v>
      </c>
      <c r="F6930" s="211" t="s">
        <v>7241</v>
      </c>
    </row>
    <row r="6931" spans="1:6">
      <c r="A6931" s="211" t="s">
        <v>4574</v>
      </c>
      <c r="B6931" s="211">
        <v>6465</v>
      </c>
      <c r="C6931" s="211">
        <v>1703</v>
      </c>
      <c r="D6931" s="211" t="s">
        <v>1255</v>
      </c>
      <c r="E6931" s="211" t="s">
        <v>10385</v>
      </c>
      <c r="F6931" s="211" t="s">
        <v>7295</v>
      </c>
    </row>
    <row r="6932" spans="1:6">
      <c r="A6932" s="211" t="s">
        <v>4835</v>
      </c>
      <c r="B6932" s="211">
        <v>6105</v>
      </c>
      <c r="C6932" s="211">
        <v>1113</v>
      </c>
      <c r="D6932" s="211" t="s">
        <v>1255</v>
      </c>
      <c r="E6932" s="211" t="s">
        <v>10385</v>
      </c>
      <c r="F6932" s="211" t="s">
        <v>7217</v>
      </c>
    </row>
    <row r="6933" spans="1:6">
      <c r="A6933" s="211" t="s">
        <v>10385</v>
      </c>
      <c r="B6933" s="211">
        <v>8668</v>
      </c>
      <c r="C6933" s="211">
        <v>1413</v>
      </c>
      <c r="D6933" s="211" t="s">
        <v>1117</v>
      </c>
      <c r="E6933" s="211" t="s">
        <v>10991</v>
      </c>
      <c r="F6933" s="211" t="s">
        <v>7258</v>
      </c>
    </row>
    <row r="6934" spans="1:6">
      <c r="A6934" s="211" t="s">
        <v>3551</v>
      </c>
      <c r="B6934" s="211">
        <v>3561</v>
      </c>
      <c r="C6934" s="211">
        <v>1131</v>
      </c>
      <c r="D6934" s="211" t="s">
        <v>1255</v>
      </c>
      <c r="E6934" s="211" t="s">
        <v>10385</v>
      </c>
      <c r="F6934" s="211" t="s">
        <v>7344</v>
      </c>
    </row>
    <row r="6935" spans="1:6">
      <c r="A6935" s="211" t="s">
        <v>8683</v>
      </c>
      <c r="B6935" s="211">
        <v>110</v>
      </c>
      <c r="C6935" s="211" t="s">
        <v>10385</v>
      </c>
      <c r="D6935" s="211" t="s">
        <v>1255</v>
      </c>
      <c r="E6935" s="211" t="s">
        <v>10385</v>
      </c>
      <c r="F6935" s="211" t="s">
        <v>7318</v>
      </c>
    </row>
    <row r="6936" spans="1:6">
      <c r="A6936" s="211" t="s">
        <v>10120</v>
      </c>
      <c r="B6936" s="211">
        <v>8404</v>
      </c>
      <c r="C6936" s="211">
        <v>992</v>
      </c>
      <c r="D6936" s="211" t="s">
        <v>1255</v>
      </c>
      <c r="E6936" s="211" t="s">
        <v>10385</v>
      </c>
      <c r="F6936" s="211" t="s">
        <v>9213</v>
      </c>
    </row>
    <row r="6937" spans="1:6">
      <c r="A6937" s="211" t="s">
        <v>6252</v>
      </c>
      <c r="B6937" s="211">
        <v>7203</v>
      </c>
      <c r="C6937" s="211">
        <v>1565</v>
      </c>
      <c r="D6937" s="211" t="s">
        <v>1255</v>
      </c>
      <c r="E6937" s="211" t="s">
        <v>10385</v>
      </c>
      <c r="F6937" s="211" t="s">
        <v>7316</v>
      </c>
    </row>
    <row r="6938" spans="1:6">
      <c r="A6938" s="211" t="s">
        <v>3552</v>
      </c>
      <c r="B6938" s="211">
        <v>2501</v>
      </c>
      <c r="C6938" s="211">
        <v>977</v>
      </c>
      <c r="D6938" s="211" t="s">
        <v>1255</v>
      </c>
      <c r="E6938" s="211" t="s">
        <v>10385</v>
      </c>
      <c r="F6938" s="211" t="s">
        <v>7217</v>
      </c>
    </row>
    <row r="6939" spans="1:6">
      <c r="A6939" s="211" t="s">
        <v>10121</v>
      </c>
      <c r="B6939" s="211">
        <v>8156</v>
      </c>
      <c r="C6939" s="211">
        <v>1228</v>
      </c>
      <c r="D6939" s="211" t="s">
        <v>1255</v>
      </c>
      <c r="E6939" s="211" t="s">
        <v>10122</v>
      </c>
      <c r="F6939" s="211" t="s">
        <v>7386</v>
      </c>
    </row>
    <row r="6940" spans="1:6">
      <c r="A6940" s="211" t="s">
        <v>10992</v>
      </c>
      <c r="B6940" s="211">
        <v>8593</v>
      </c>
      <c r="C6940" s="211">
        <v>1730</v>
      </c>
      <c r="D6940" s="211" t="s">
        <v>1255</v>
      </c>
      <c r="E6940" s="211" t="s">
        <v>10993</v>
      </c>
      <c r="F6940" s="211" t="s">
        <v>7384</v>
      </c>
    </row>
    <row r="6941" spans="1:6">
      <c r="A6941" s="211" t="s">
        <v>10123</v>
      </c>
      <c r="B6941" s="211">
        <v>8436</v>
      </c>
      <c r="C6941" s="211" t="s">
        <v>10385</v>
      </c>
      <c r="D6941" s="211" t="s">
        <v>1255</v>
      </c>
      <c r="E6941" s="211" t="s">
        <v>10124</v>
      </c>
      <c r="F6941" s="211" t="s">
        <v>7376</v>
      </c>
    </row>
    <row r="6942" spans="1:6">
      <c r="A6942" s="211" t="s">
        <v>10994</v>
      </c>
      <c r="B6942" s="211">
        <v>8728</v>
      </c>
      <c r="C6942" s="211">
        <v>431</v>
      </c>
      <c r="D6942" s="211" t="s">
        <v>1255</v>
      </c>
      <c r="E6942" s="211" t="s">
        <v>10995</v>
      </c>
      <c r="F6942" s="211" t="s">
        <v>7262</v>
      </c>
    </row>
    <row r="6943" spans="1:6">
      <c r="A6943" s="211" t="s">
        <v>5239</v>
      </c>
      <c r="B6943" s="211">
        <v>6900</v>
      </c>
      <c r="C6943" s="211">
        <v>602</v>
      </c>
      <c r="D6943" s="211" t="s">
        <v>1117</v>
      </c>
      <c r="E6943" s="211" t="s">
        <v>10385</v>
      </c>
      <c r="F6943" s="211" t="s">
        <v>7536</v>
      </c>
    </row>
    <row r="6944" spans="1:6">
      <c r="A6944" s="211" t="s">
        <v>8684</v>
      </c>
      <c r="B6944" s="211">
        <v>4126</v>
      </c>
      <c r="C6944" s="211" t="s">
        <v>10385</v>
      </c>
      <c r="D6944" s="211" t="s">
        <v>1255</v>
      </c>
      <c r="E6944" s="211" t="s">
        <v>10385</v>
      </c>
      <c r="F6944" s="211" t="s">
        <v>7646</v>
      </c>
    </row>
    <row r="6945" spans="1:6">
      <c r="A6945" s="211" t="s">
        <v>3553</v>
      </c>
      <c r="B6945" s="211">
        <v>2765</v>
      </c>
      <c r="C6945" s="211">
        <v>1104</v>
      </c>
      <c r="D6945" s="211" t="s">
        <v>1255</v>
      </c>
      <c r="E6945" s="211" t="s">
        <v>10385</v>
      </c>
      <c r="F6945" s="211" t="s">
        <v>7231</v>
      </c>
    </row>
    <row r="6946" spans="1:6">
      <c r="A6946" s="211" t="s">
        <v>3554</v>
      </c>
      <c r="B6946" s="211">
        <v>2925</v>
      </c>
      <c r="C6946" s="211">
        <v>897</v>
      </c>
      <c r="D6946" s="211" t="s">
        <v>1255</v>
      </c>
      <c r="E6946" s="211" t="s">
        <v>10385</v>
      </c>
      <c r="F6946" s="211" t="s">
        <v>7205</v>
      </c>
    </row>
    <row r="6947" spans="1:6">
      <c r="A6947" s="211" t="s">
        <v>8685</v>
      </c>
      <c r="B6947" s="211">
        <v>263</v>
      </c>
      <c r="C6947" s="211" t="s">
        <v>10385</v>
      </c>
      <c r="D6947" s="211" t="s">
        <v>1255</v>
      </c>
      <c r="E6947" s="211" t="s">
        <v>10385</v>
      </c>
      <c r="F6947" s="211" t="s">
        <v>7242</v>
      </c>
    </row>
    <row r="6948" spans="1:6">
      <c r="A6948" s="211" t="s">
        <v>8686</v>
      </c>
      <c r="B6948" s="211">
        <v>5356</v>
      </c>
      <c r="C6948" s="211" t="s">
        <v>10385</v>
      </c>
      <c r="D6948" s="211" t="s">
        <v>1255</v>
      </c>
      <c r="E6948" s="211" t="s">
        <v>10385</v>
      </c>
      <c r="F6948" s="211" t="s">
        <v>7398</v>
      </c>
    </row>
    <row r="6949" spans="1:6">
      <c r="A6949" s="211" t="s">
        <v>3555</v>
      </c>
      <c r="B6949" s="211">
        <v>5175</v>
      </c>
      <c r="C6949" s="211">
        <v>1890</v>
      </c>
      <c r="D6949" s="211" t="s">
        <v>1255</v>
      </c>
      <c r="E6949" s="211" t="s">
        <v>7077</v>
      </c>
      <c r="F6949" s="211" t="s">
        <v>7322</v>
      </c>
    </row>
    <row r="6950" spans="1:6">
      <c r="A6950" s="211" t="s">
        <v>4721</v>
      </c>
      <c r="B6950" s="211">
        <v>6230</v>
      </c>
      <c r="C6950" s="211">
        <v>1001</v>
      </c>
      <c r="D6950" s="211" t="s">
        <v>1255</v>
      </c>
      <c r="E6950" s="211" t="s">
        <v>10385</v>
      </c>
      <c r="F6950" s="211" t="s">
        <v>7328</v>
      </c>
    </row>
    <row r="6951" spans="1:6">
      <c r="A6951" s="211" t="s">
        <v>8687</v>
      </c>
      <c r="B6951" s="211">
        <v>3291</v>
      </c>
      <c r="C6951" s="211" t="s">
        <v>10385</v>
      </c>
      <c r="D6951" s="211" t="s">
        <v>1255</v>
      </c>
      <c r="E6951" s="211" t="s">
        <v>10385</v>
      </c>
      <c r="F6951" s="211" t="s">
        <v>8146</v>
      </c>
    </row>
    <row r="6952" spans="1:6">
      <c r="A6952" s="211" t="s">
        <v>3556</v>
      </c>
      <c r="B6952" s="211">
        <v>4909</v>
      </c>
      <c r="C6952" s="211">
        <v>1381</v>
      </c>
      <c r="D6952" s="211" t="s">
        <v>1255</v>
      </c>
      <c r="E6952" s="211" t="s">
        <v>10385</v>
      </c>
      <c r="F6952" s="211" t="s">
        <v>7343</v>
      </c>
    </row>
    <row r="6953" spans="1:6">
      <c r="A6953" s="211" t="s">
        <v>3557</v>
      </c>
      <c r="B6953" s="211">
        <v>3973</v>
      </c>
      <c r="C6953" s="211">
        <v>1778</v>
      </c>
      <c r="D6953" s="211" t="s">
        <v>1255</v>
      </c>
      <c r="E6953" s="211" t="s">
        <v>10385</v>
      </c>
      <c r="F6953" s="211" t="s">
        <v>7173</v>
      </c>
    </row>
    <row r="6954" spans="1:6">
      <c r="A6954" s="211" t="s">
        <v>2967</v>
      </c>
      <c r="B6954" s="211">
        <v>2586</v>
      </c>
      <c r="C6954" s="211">
        <v>1062</v>
      </c>
      <c r="D6954" s="211" t="s">
        <v>1117</v>
      </c>
      <c r="E6954" s="211" t="s">
        <v>10385</v>
      </c>
      <c r="F6954" s="211" t="s">
        <v>7510</v>
      </c>
    </row>
    <row r="6955" spans="1:6">
      <c r="A6955" s="211" t="s">
        <v>6253</v>
      </c>
      <c r="B6955" s="211">
        <v>7028</v>
      </c>
      <c r="C6955" s="211">
        <v>1954</v>
      </c>
      <c r="D6955" s="211" t="s">
        <v>1255</v>
      </c>
      <c r="E6955" s="211" t="s">
        <v>10385</v>
      </c>
      <c r="F6955" s="211" t="s">
        <v>7279</v>
      </c>
    </row>
    <row r="6956" spans="1:6">
      <c r="A6956" s="211" t="s">
        <v>3558</v>
      </c>
      <c r="B6956" s="211">
        <v>2204</v>
      </c>
      <c r="C6956" s="211">
        <v>1375</v>
      </c>
      <c r="D6956" s="211" t="s">
        <v>1255</v>
      </c>
      <c r="E6956" s="211" t="s">
        <v>10385</v>
      </c>
      <c r="F6956" s="211" t="s">
        <v>7283</v>
      </c>
    </row>
    <row r="6957" spans="1:6">
      <c r="A6957" s="211" t="s">
        <v>8688</v>
      </c>
      <c r="B6957" s="211">
        <v>3740</v>
      </c>
      <c r="C6957" s="211" t="s">
        <v>10385</v>
      </c>
      <c r="D6957" s="211" t="s">
        <v>1255</v>
      </c>
      <c r="E6957" s="211" t="s">
        <v>10385</v>
      </c>
      <c r="F6957" s="211" t="s">
        <v>7471</v>
      </c>
    </row>
    <row r="6958" spans="1:6">
      <c r="A6958" s="211" t="s">
        <v>3559</v>
      </c>
      <c r="B6958" s="211">
        <v>433</v>
      </c>
      <c r="C6958" s="211">
        <v>1865</v>
      </c>
      <c r="D6958" s="211" t="s">
        <v>1255</v>
      </c>
      <c r="E6958" s="211" t="s">
        <v>10385</v>
      </c>
      <c r="F6958" s="211" t="s">
        <v>7269</v>
      </c>
    </row>
    <row r="6959" spans="1:6">
      <c r="A6959" s="211" t="s">
        <v>3560</v>
      </c>
      <c r="B6959" s="211">
        <v>2324</v>
      </c>
      <c r="C6959" s="211">
        <v>915</v>
      </c>
      <c r="D6959" s="211" t="s">
        <v>1255</v>
      </c>
      <c r="E6959" s="211" t="s">
        <v>10385</v>
      </c>
      <c r="F6959" s="211" t="s">
        <v>7399</v>
      </c>
    </row>
    <row r="6960" spans="1:6">
      <c r="A6960" s="211" t="s">
        <v>8689</v>
      </c>
      <c r="B6960" s="211">
        <v>1841</v>
      </c>
      <c r="C6960" s="211" t="s">
        <v>10385</v>
      </c>
      <c r="D6960" s="211" t="s">
        <v>1255</v>
      </c>
      <c r="E6960" s="211" t="s">
        <v>10385</v>
      </c>
      <c r="F6960" s="211" t="s">
        <v>7384</v>
      </c>
    </row>
    <row r="6961" spans="1:6">
      <c r="A6961" s="211" t="s">
        <v>8690</v>
      </c>
      <c r="B6961" s="211">
        <v>166</v>
      </c>
      <c r="C6961" s="211" t="s">
        <v>10385</v>
      </c>
      <c r="D6961" s="211" t="s">
        <v>1255</v>
      </c>
      <c r="E6961" s="211" t="s">
        <v>10385</v>
      </c>
      <c r="F6961" s="211" t="s">
        <v>7219</v>
      </c>
    </row>
    <row r="6962" spans="1:6">
      <c r="A6962" s="211" t="s">
        <v>8691</v>
      </c>
      <c r="B6962" s="211">
        <v>1912</v>
      </c>
      <c r="C6962" s="211" t="s">
        <v>10385</v>
      </c>
      <c r="D6962" s="211" t="s">
        <v>1255</v>
      </c>
      <c r="E6962" s="211" t="s">
        <v>10385</v>
      </c>
      <c r="F6962" s="211" t="s">
        <v>7219</v>
      </c>
    </row>
    <row r="6963" spans="1:6">
      <c r="A6963" s="211" t="s">
        <v>3561</v>
      </c>
      <c r="B6963" s="211">
        <v>2568</v>
      </c>
      <c r="C6963" s="211">
        <v>1016</v>
      </c>
      <c r="D6963" s="211" t="s">
        <v>1255</v>
      </c>
      <c r="E6963" s="211" t="s">
        <v>10385</v>
      </c>
      <c r="F6963" s="211" t="s">
        <v>7290</v>
      </c>
    </row>
    <row r="6964" spans="1:6">
      <c r="A6964" s="211" t="s">
        <v>3562</v>
      </c>
      <c r="B6964" s="211">
        <v>3141</v>
      </c>
      <c r="C6964" s="211">
        <v>1300</v>
      </c>
      <c r="D6964" s="211" t="s">
        <v>1255</v>
      </c>
      <c r="E6964" s="211" t="s">
        <v>10385</v>
      </c>
      <c r="F6964" s="211" t="s">
        <v>7202</v>
      </c>
    </row>
    <row r="6965" spans="1:6">
      <c r="A6965" s="211" t="s">
        <v>8692</v>
      </c>
      <c r="B6965" s="211">
        <v>3164</v>
      </c>
      <c r="C6965" s="211" t="s">
        <v>10385</v>
      </c>
      <c r="D6965" s="211" t="s">
        <v>1255</v>
      </c>
      <c r="E6965" s="211" t="s">
        <v>10385</v>
      </c>
      <c r="F6965" s="211" t="s">
        <v>7534</v>
      </c>
    </row>
    <row r="6966" spans="1:6">
      <c r="A6966" s="211" t="s">
        <v>6254</v>
      </c>
      <c r="B6966" s="211">
        <v>4400</v>
      </c>
      <c r="C6966" s="211">
        <v>1357</v>
      </c>
      <c r="D6966" s="211" t="s">
        <v>1255</v>
      </c>
      <c r="E6966" s="211" t="s">
        <v>10996</v>
      </c>
      <c r="F6966" s="211" t="s">
        <v>7233</v>
      </c>
    </row>
    <row r="6967" spans="1:6">
      <c r="A6967" s="211" t="s">
        <v>3563</v>
      </c>
      <c r="B6967" s="211">
        <v>4586</v>
      </c>
      <c r="C6967" s="211">
        <v>428</v>
      </c>
      <c r="D6967" s="211" t="s">
        <v>1117</v>
      </c>
      <c r="E6967" s="211" t="s">
        <v>10385</v>
      </c>
      <c r="F6967" s="211" t="s">
        <v>7479</v>
      </c>
    </row>
    <row r="6968" spans="1:6">
      <c r="A6968" s="211" t="s">
        <v>3564</v>
      </c>
      <c r="B6968" s="211">
        <v>1705</v>
      </c>
      <c r="C6968" s="211">
        <v>1507</v>
      </c>
      <c r="D6968" s="211" t="s">
        <v>1255</v>
      </c>
      <c r="E6968" s="211" t="s">
        <v>10385</v>
      </c>
      <c r="F6968" s="211" t="s">
        <v>7516</v>
      </c>
    </row>
    <row r="6969" spans="1:6">
      <c r="A6969" s="211" t="s">
        <v>9000</v>
      </c>
      <c r="B6969" s="211">
        <v>2594</v>
      </c>
      <c r="C6969" s="211" t="s">
        <v>10385</v>
      </c>
      <c r="D6969" s="211" t="s">
        <v>1255</v>
      </c>
      <c r="E6969" s="211" t="s">
        <v>10385</v>
      </c>
      <c r="F6969" s="211" t="s">
        <v>7203</v>
      </c>
    </row>
    <row r="6970" spans="1:6">
      <c r="A6970" s="211" t="s">
        <v>3565</v>
      </c>
      <c r="B6970" s="211">
        <v>2720</v>
      </c>
      <c r="C6970" s="211">
        <v>1104</v>
      </c>
      <c r="D6970" s="211" t="s">
        <v>1255</v>
      </c>
      <c r="E6970" s="211" t="s">
        <v>10385</v>
      </c>
      <c r="F6970" s="211" t="s">
        <v>7303</v>
      </c>
    </row>
    <row r="6971" spans="1:6">
      <c r="A6971" s="211" t="s">
        <v>3566</v>
      </c>
      <c r="B6971" s="211">
        <v>1959</v>
      </c>
      <c r="C6971" s="211">
        <v>943</v>
      </c>
      <c r="D6971" s="211" t="s">
        <v>1255</v>
      </c>
      <c r="E6971" s="211" t="s">
        <v>10385</v>
      </c>
      <c r="F6971" s="211" t="s">
        <v>8058</v>
      </c>
    </row>
    <row r="6972" spans="1:6">
      <c r="A6972" s="211" t="s">
        <v>8693</v>
      </c>
      <c r="B6972" s="211">
        <v>1996</v>
      </c>
      <c r="C6972" s="211" t="s">
        <v>10385</v>
      </c>
      <c r="D6972" s="211" t="s">
        <v>1255</v>
      </c>
      <c r="E6972" s="211" t="s">
        <v>10385</v>
      </c>
      <c r="F6972" s="211" t="s">
        <v>7331</v>
      </c>
    </row>
    <row r="6973" spans="1:6">
      <c r="A6973" s="211" t="s">
        <v>3567</v>
      </c>
      <c r="B6973" s="211">
        <v>1170</v>
      </c>
      <c r="C6973" s="211">
        <v>1340</v>
      </c>
      <c r="D6973" s="211" t="s">
        <v>1255</v>
      </c>
      <c r="E6973" s="211" t="s">
        <v>10385</v>
      </c>
      <c r="F6973" s="211" t="s">
        <v>7243</v>
      </c>
    </row>
    <row r="6974" spans="1:6">
      <c r="A6974" s="211" t="s">
        <v>10997</v>
      </c>
      <c r="B6974" s="211">
        <v>8737</v>
      </c>
      <c r="C6974" s="211">
        <v>1912</v>
      </c>
      <c r="D6974" s="211" t="s">
        <v>1255</v>
      </c>
      <c r="E6974" s="211" t="s">
        <v>10998</v>
      </c>
      <c r="F6974" s="211" t="s">
        <v>7208</v>
      </c>
    </row>
    <row r="6975" spans="1:6">
      <c r="A6975" s="211" t="s">
        <v>8694</v>
      </c>
      <c r="B6975" s="211">
        <v>6292</v>
      </c>
      <c r="C6975" s="211">
        <v>2090</v>
      </c>
      <c r="D6975" s="211" t="s">
        <v>1255</v>
      </c>
      <c r="E6975" s="211" t="s">
        <v>6255</v>
      </c>
      <c r="F6975" s="211" t="s">
        <v>7196</v>
      </c>
    </row>
    <row r="6976" spans="1:6">
      <c r="A6976" s="211" t="s">
        <v>3568</v>
      </c>
      <c r="B6976" s="211">
        <v>2500</v>
      </c>
      <c r="C6976" s="211">
        <v>1739</v>
      </c>
      <c r="D6976" s="211" t="s">
        <v>1255</v>
      </c>
      <c r="E6976" s="211" t="s">
        <v>10385</v>
      </c>
      <c r="F6976" s="211" t="s">
        <v>7217</v>
      </c>
    </row>
    <row r="6977" spans="1:6">
      <c r="A6977" s="211" t="s">
        <v>6256</v>
      </c>
      <c r="B6977" s="211">
        <v>7341</v>
      </c>
      <c r="C6977" s="211">
        <v>2312</v>
      </c>
      <c r="D6977" s="211" t="s">
        <v>1117</v>
      </c>
      <c r="E6977" s="211" t="s">
        <v>7078</v>
      </c>
      <c r="F6977" s="211" t="s">
        <v>7189</v>
      </c>
    </row>
    <row r="6978" spans="1:6">
      <c r="A6978" s="211" t="s">
        <v>10125</v>
      </c>
      <c r="B6978" s="211">
        <v>8364</v>
      </c>
      <c r="C6978" s="211">
        <v>2239</v>
      </c>
      <c r="D6978" s="211" t="s">
        <v>1255</v>
      </c>
      <c r="E6978" s="211" t="s">
        <v>10999</v>
      </c>
      <c r="F6978" s="211" t="s">
        <v>7202</v>
      </c>
    </row>
    <row r="6979" spans="1:6">
      <c r="A6979" s="211" t="s">
        <v>3569</v>
      </c>
      <c r="B6979" s="211">
        <v>5097</v>
      </c>
      <c r="C6979" s="211">
        <v>681</v>
      </c>
      <c r="D6979" s="211" t="s">
        <v>1255</v>
      </c>
      <c r="E6979" s="211" t="s">
        <v>10385</v>
      </c>
      <c r="F6979" s="211" t="s">
        <v>7373</v>
      </c>
    </row>
    <row r="6980" spans="1:6">
      <c r="A6980" s="211" t="s">
        <v>3570</v>
      </c>
      <c r="B6980" s="211">
        <v>3337</v>
      </c>
      <c r="C6980" s="211">
        <v>940</v>
      </c>
      <c r="D6980" s="211" t="s">
        <v>1255</v>
      </c>
      <c r="E6980" s="211" t="s">
        <v>10385</v>
      </c>
      <c r="F6980" s="211" t="s">
        <v>7382</v>
      </c>
    </row>
    <row r="6981" spans="1:6">
      <c r="A6981" s="211" t="s">
        <v>8695</v>
      </c>
      <c r="B6981" s="211">
        <v>391</v>
      </c>
      <c r="C6981" s="211" t="s">
        <v>10385</v>
      </c>
      <c r="D6981" s="211" t="s">
        <v>1255</v>
      </c>
      <c r="E6981" s="211" t="s">
        <v>10385</v>
      </c>
      <c r="F6981" s="211" t="s">
        <v>7326</v>
      </c>
    </row>
    <row r="6982" spans="1:6">
      <c r="A6982" s="211" t="s">
        <v>8696</v>
      </c>
      <c r="B6982" s="211">
        <v>596</v>
      </c>
      <c r="C6982" s="211" t="s">
        <v>10385</v>
      </c>
      <c r="D6982" s="211" t="s">
        <v>1255</v>
      </c>
      <c r="E6982" s="211" t="s">
        <v>10385</v>
      </c>
      <c r="F6982" s="211" t="s">
        <v>7306</v>
      </c>
    </row>
    <row r="6983" spans="1:6">
      <c r="A6983" s="211" t="s">
        <v>8697</v>
      </c>
      <c r="B6983" s="211">
        <v>1873</v>
      </c>
      <c r="C6983" s="211">
        <v>963</v>
      </c>
      <c r="D6983" s="211" t="s">
        <v>1255</v>
      </c>
      <c r="E6983" s="211" t="s">
        <v>10385</v>
      </c>
      <c r="F6983" s="211" t="s">
        <v>7230</v>
      </c>
    </row>
    <row r="6984" spans="1:6">
      <c r="A6984" s="211" t="s">
        <v>3571</v>
      </c>
      <c r="B6984" s="211">
        <v>2214</v>
      </c>
      <c r="C6984" s="211">
        <v>842</v>
      </c>
      <c r="D6984" s="211" t="s">
        <v>1255</v>
      </c>
      <c r="E6984" s="211" t="s">
        <v>10385</v>
      </c>
      <c r="F6984" s="211" t="s">
        <v>7230</v>
      </c>
    </row>
    <row r="6985" spans="1:6">
      <c r="A6985" s="211" t="s">
        <v>3572</v>
      </c>
      <c r="B6985" s="211">
        <v>3326</v>
      </c>
      <c r="C6985" s="211">
        <v>841</v>
      </c>
      <c r="D6985" s="211" t="s">
        <v>1255</v>
      </c>
      <c r="E6985" s="211" t="s">
        <v>10385</v>
      </c>
      <c r="F6985" s="211" t="s">
        <v>7237</v>
      </c>
    </row>
    <row r="6986" spans="1:6">
      <c r="A6986" s="211" t="s">
        <v>10126</v>
      </c>
      <c r="B6986" s="211">
        <v>8016</v>
      </c>
      <c r="C6986" s="211">
        <v>1698</v>
      </c>
      <c r="D6986" s="211" t="s">
        <v>1255</v>
      </c>
      <c r="E6986" s="211" t="s">
        <v>10385</v>
      </c>
      <c r="F6986" s="211" t="s">
        <v>7518</v>
      </c>
    </row>
    <row r="6987" spans="1:6">
      <c r="A6987" s="211" t="s">
        <v>3573</v>
      </c>
      <c r="B6987" s="211">
        <v>1929</v>
      </c>
      <c r="C6987" s="211">
        <v>1110</v>
      </c>
      <c r="D6987" s="211" t="s">
        <v>1255</v>
      </c>
      <c r="E6987" s="211" t="s">
        <v>10385</v>
      </c>
      <c r="F6987" s="211" t="s">
        <v>7797</v>
      </c>
    </row>
    <row r="6988" spans="1:6">
      <c r="A6988" s="211" t="s">
        <v>8698</v>
      </c>
      <c r="B6988" s="211">
        <v>5838</v>
      </c>
      <c r="C6988" s="211">
        <v>2096</v>
      </c>
      <c r="D6988" s="211" t="s">
        <v>1255</v>
      </c>
      <c r="E6988" s="211" t="s">
        <v>6257</v>
      </c>
      <c r="F6988" s="211" t="s">
        <v>7167</v>
      </c>
    </row>
    <row r="6989" spans="1:6">
      <c r="A6989" s="211" t="s">
        <v>8699</v>
      </c>
      <c r="B6989" s="211">
        <v>2825</v>
      </c>
      <c r="C6989" s="211" t="s">
        <v>10385</v>
      </c>
      <c r="D6989" s="211" t="s">
        <v>1117</v>
      </c>
      <c r="E6989" s="211" t="s">
        <v>10385</v>
      </c>
      <c r="F6989" s="211" t="s">
        <v>7510</v>
      </c>
    </row>
    <row r="6990" spans="1:6">
      <c r="A6990" s="211" t="s">
        <v>3574</v>
      </c>
      <c r="B6990" s="211">
        <v>3293</v>
      </c>
      <c r="C6990" s="211">
        <v>951</v>
      </c>
      <c r="D6990" s="211" t="s">
        <v>1255</v>
      </c>
      <c r="E6990" s="211" t="s">
        <v>10385</v>
      </c>
      <c r="F6990" s="211" t="s">
        <v>8146</v>
      </c>
    </row>
    <row r="6991" spans="1:6">
      <c r="A6991" s="211" t="s">
        <v>10127</v>
      </c>
      <c r="B6991" s="211">
        <v>8318</v>
      </c>
      <c r="C6991" s="211">
        <v>972</v>
      </c>
      <c r="D6991" s="211" t="s">
        <v>1255</v>
      </c>
      <c r="E6991" s="211" t="s">
        <v>10128</v>
      </c>
      <c r="F6991" s="211" t="s">
        <v>9222</v>
      </c>
    </row>
    <row r="6992" spans="1:6">
      <c r="A6992" s="211" t="s">
        <v>11000</v>
      </c>
      <c r="B6992" s="211">
        <v>8713</v>
      </c>
      <c r="C6992" s="211">
        <v>1295</v>
      </c>
      <c r="D6992" s="211" t="s">
        <v>1255</v>
      </c>
      <c r="E6992" s="211" t="s">
        <v>11001</v>
      </c>
      <c r="F6992" s="211" t="s">
        <v>7288</v>
      </c>
    </row>
    <row r="6993" spans="1:6">
      <c r="A6993" s="211" t="s">
        <v>3575</v>
      </c>
      <c r="B6993" s="211">
        <v>949</v>
      </c>
      <c r="C6993" s="211">
        <v>1982</v>
      </c>
      <c r="D6993" s="211" t="s">
        <v>1255</v>
      </c>
      <c r="E6993" s="211" t="s">
        <v>10385</v>
      </c>
      <c r="F6993" s="211" t="s">
        <v>7627</v>
      </c>
    </row>
    <row r="6994" spans="1:6">
      <c r="A6994" s="211" t="s">
        <v>3576</v>
      </c>
      <c r="B6994" s="211">
        <v>2813</v>
      </c>
      <c r="C6994" s="211">
        <v>1558</v>
      </c>
      <c r="D6994" s="211" t="s">
        <v>1255</v>
      </c>
      <c r="E6994" s="211" t="s">
        <v>10385</v>
      </c>
      <c r="F6994" s="211" t="s">
        <v>7692</v>
      </c>
    </row>
    <row r="6995" spans="1:6">
      <c r="A6995" s="211" t="s">
        <v>10129</v>
      </c>
      <c r="B6995" s="211">
        <v>7954</v>
      </c>
      <c r="C6995" s="211">
        <v>1273</v>
      </c>
      <c r="D6995" s="211" t="s">
        <v>1255</v>
      </c>
      <c r="E6995" s="211" t="s">
        <v>10130</v>
      </c>
      <c r="F6995" s="211" t="s">
        <v>7325</v>
      </c>
    </row>
    <row r="6996" spans="1:6">
      <c r="A6996" s="211" t="s">
        <v>3577</v>
      </c>
      <c r="B6996" s="211">
        <v>4937</v>
      </c>
      <c r="C6996" s="211">
        <v>927</v>
      </c>
      <c r="D6996" s="211" t="s">
        <v>1255</v>
      </c>
      <c r="E6996" s="211" t="s">
        <v>10385</v>
      </c>
      <c r="F6996" s="211" t="s">
        <v>7389</v>
      </c>
    </row>
    <row r="6997" spans="1:6">
      <c r="A6997" s="211" t="s">
        <v>10131</v>
      </c>
      <c r="B6997" s="211">
        <v>8192</v>
      </c>
      <c r="C6997" s="211">
        <v>1038</v>
      </c>
      <c r="D6997" s="211" t="s">
        <v>1255</v>
      </c>
      <c r="E6997" s="211" t="s">
        <v>10132</v>
      </c>
      <c r="F6997" s="211" t="s">
        <v>7323</v>
      </c>
    </row>
    <row r="6998" spans="1:6">
      <c r="A6998" s="211" t="s">
        <v>3578</v>
      </c>
      <c r="B6998" s="211">
        <v>5826</v>
      </c>
      <c r="C6998" s="211">
        <v>738</v>
      </c>
      <c r="D6998" s="211" t="s">
        <v>1117</v>
      </c>
      <c r="E6998" s="211" t="s">
        <v>10385</v>
      </c>
      <c r="F6998" s="211" t="s">
        <v>7160</v>
      </c>
    </row>
    <row r="6999" spans="1:6">
      <c r="A6999" s="211" t="s">
        <v>3579</v>
      </c>
      <c r="B6999" s="211">
        <v>5068</v>
      </c>
      <c r="C6999" s="211">
        <v>1110</v>
      </c>
      <c r="D6999" s="211" t="s">
        <v>1117</v>
      </c>
      <c r="E6999" s="211" t="s">
        <v>10385</v>
      </c>
      <c r="F6999" s="211" t="s">
        <v>7189</v>
      </c>
    </row>
    <row r="7000" spans="1:6">
      <c r="A7000" s="211" t="s">
        <v>2925</v>
      </c>
      <c r="B7000" s="211">
        <v>3127</v>
      </c>
      <c r="C7000" s="211">
        <v>1847</v>
      </c>
      <c r="D7000" s="211" t="s">
        <v>1255</v>
      </c>
      <c r="E7000" s="211" t="s">
        <v>10385</v>
      </c>
      <c r="F7000" s="211" t="s">
        <v>7325</v>
      </c>
    </row>
    <row r="7001" spans="1:6">
      <c r="A7001" s="211" t="s">
        <v>3580</v>
      </c>
      <c r="B7001" s="211">
        <v>3785</v>
      </c>
      <c r="C7001" s="211">
        <v>1814</v>
      </c>
      <c r="D7001" s="211" t="s">
        <v>1255</v>
      </c>
      <c r="E7001" s="211" t="s">
        <v>10385</v>
      </c>
      <c r="F7001" s="211" t="s">
        <v>7282</v>
      </c>
    </row>
    <row r="7002" spans="1:6">
      <c r="A7002" s="211" t="s">
        <v>8700</v>
      </c>
      <c r="B7002" s="211">
        <v>109</v>
      </c>
      <c r="C7002" s="211" t="s">
        <v>10385</v>
      </c>
      <c r="D7002" s="211" t="s">
        <v>1255</v>
      </c>
      <c r="E7002" s="211" t="s">
        <v>10385</v>
      </c>
      <c r="F7002" s="211" t="s">
        <v>7318</v>
      </c>
    </row>
    <row r="7003" spans="1:6">
      <c r="A7003" s="211" t="s">
        <v>8701</v>
      </c>
      <c r="B7003" s="211">
        <v>3658</v>
      </c>
      <c r="C7003" s="211" t="s">
        <v>10385</v>
      </c>
      <c r="D7003" s="211" t="s">
        <v>1255</v>
      </c>
      <c r="E7003" s="211" t="s">
        <v>10385</v>
      </c>
      <c r="F7003" s="211" t="s">
        <v>7518</v>
      </c>
    </row>
    <row r="7004" spans="1:6">
      <c r="A7004" s="211" t="s">
        <v>8702</v>
      </c>
      <c r="B7004" s="211">
        <v>3565</v>
      </c>
      <c r="C7004" s="211" t="s">
        <v>10385</v>
      </c>
      <c r="D7004" s="211" t="s">
        <v>1255</v>
      </c>
      <c r="E7004" s="211" t="s">
        <v>10385</v>
      </c>
      <c r="F7004" s="211" t="s">
        <v>7518</v>
      </c>
    </row>
    <row r="7005" spans="1:6">
      <c r="A7005" s="211" t="s">
        <v>11002</v>
      </c>
      <c r="B7005" s="211">
        <v>8643</v>
      </c>
      <c r="C7005" s="211">
        <v>1163</v>
      </c>
      <c r="D7005" s="211" t="s">
        <v>1255</v>
      </c>
      <c r="E7005" s="211" t="s">
        <v>11003</v>
      </c>
      <c r="F7005" s="211" t="s">
        <v>9222</v>
      </c>
    </row>
    <row r="7006" spans="1:6">
      <c r="A7006" s="211" t="s">
        <v>8703</v>
      </c>
      <c r="B7006" s="211">
        <v>3884</v>
      </c>
      <c r="C7006" s="211" t="s">
        <v>10385</v>
      </c>
      <c r="D7006" s="211" t="s">
        <v>1255</v>
      </c>
      <c r="E7006" s="211" t="s">
        <v>10385</v>
      </c>
      <c r="F7006" s="211" t="s">
        <v>7337</v>
      </c>
    </row>
    <row r="7007" spans="1:6">
      <c r="A7007" s="211" t="s">
        <v>3581</v>
      </c>
      <c r="B7007" s="211">
        <v>1813</v>
      </c>
      <c r="C7007" s="211">
        <v>1548</v>
      </c>
      <c r="D7007" s="211" t="s">
        <v>1255</v>
      </c>
      <c r="E7007" s="211" t="s">
        <v>10133</v>
      </c>
      <c r="F7007" s="211" t="s">
        <v>7272</v>
      </c>
    </row>
    <row r="7008" spans="1:6">
      <c r="A7008" s="211" t="s">
        <v>8704</v>
      </c>
      <c r="B7008" s="211">
        <v>350</v>
      </c>
      <c r="C7008" s="211" t="s">
        <v>10385</v>
      </c>
      <c r="D7008" s="211" t="s">
        <v>1255</v>
      </c>
      <c r="E7008" s="211" t="s">
        <v>10385</v>
      </c>
      <c r="F7008" s="211" t="s">
        <v>7219</v>
      </c>
    </row>
    <row r="7009" spans="1:6">
      <c r="A7009" s="211" t="s">
        <v>3582</v>
      </c>
      <c r="B7009" s="211">
        <v>2615</v>
      </c>
      <c r="C7009" s="211">
        <v>840</v>
      </c>
      <c r="D7009" s="211" t="s">
        <v>1255</v>
      </c>
      <c r="E7009" s="211" t="s">
        <v>10385</v>
      </c>
      <c r="F7009" s="211" t="s">
        <v>7229</v>
      </c>
    </row>
    <row r="7010" spans="1:6">
      <c r="A7010" s="211" t="s">
        <v>2970</v>
      </c>
      <c r="B7010" s="211">
        <v>1853</v>
      </c>
      <c r="C7010" s="211">
        <v>959</v>
      </c>
      <c r="D7010" s="211" t="s">
        <v>1255</v>
      </c>
      <c r="E7010" s="211" t="s">
        <v>10385</v>
      </c>
      <c r="F7010" s="211" t="s">
        <v>7516</v>
      </c>
    </row>
    <row r="7011" spans="1:6">
      <c r="A7011" s="211" t="s">
        <v>9001</v>
      </c>
      <c r="B7011" s="211">
        <v>2503</v>
      </c>
      <c r="C7011" s="211" t="s">
        <v>10385</v>
      </c>
      <c r="D7011" s="211" t="s">
        <v>1255</v>
      </c>
      <c r="E7011" s="211" t="s">
        <v>10385</v>
      </c>
      <c r="F7011" s="211" t="s">
        <v>7203</v>
      </c>
    </row>
    <row r="7012" spans="1:6">
      <c r="A7012" s="211" t="s">
        <v>3583</v>
      </c>
      <c r="B7012" s="211">
        <v>2544</v>
      </c>
      <c r="C7012" s="211">
        <v>1395</v>
      </c>
      <c r="D7012" s="211" t="s">
        <v>1255</v>
      </c>
      <c r="E7012" s="211" t="s">
        <v>10385</v>
      </c>
      <c r="F7012" s="211" t="s">
        <v>7250</v>
      </c>
    </row>
    <row r="7013" spans="1:6">
      <c r="A7013" s="211" t="s">
        <v>3584</v>
      </c>
      <c r="B7013" s="211">
        <v>5141</v>
      </c>
      <c r="C7013" s="211">
        <v>854</v>
      </c>
      <c r="D7013" s="211" t="s">
        <v>1255</v>
      </c>
      <c r="E7013" s="211" t="s">
        <v>10385</v>
      </c>
      <c r="F7013" s="211" t="s">
        <v>7268</v>
      </c>
    </row>
    <row r="7014" spans="1:6">
      <c r="A7014" s="211" t="s">
        <v>10134</v>
      </c>
      <c r="B7014" s="211">
        <v>8434</v>
      </c>
      <c r="C7014" s="211">
        <v>1493</v>
      </c>
      <c r="D7014" s="211" t="s">
        <v>1255</v>
      </c>
      <c r="E7014" s="211" t="s">
        <v>10135</v>
      </c>
      <c r="F7014" s="211" t="s">
        <v>7376</v>
      </c>
    </row>
    <row r="7015" spans="1:6">
      <c r="A7015" s="211" t="s">
        <v>8705</v>
      </c>
      <c r="B7015" s="211">
        <v>203</v>
      </c>
      <c r="C7015" s="211" t="s">
        <v>10385</v>
      </c>
      <c r="D7015" s="211" t="s">
        <v>1255</v>
      </c>
      <c r="E7015" s="211" t="s">
        <v>10385</v>
      </c>
      <c r="F7015" s="211" t="s">
        <v>7284</v>
      </c>
    </row>
    <row r="7016" spans="1:6">
      <c r="A7016" s="211" t="s">
        <v>3585</v>
      </c>
      <c r="B7016" s="211">
        <v>3479</v>
      </c>
      <c r="C7016" s="211">
        <v>1830</v>
      </c>
      <c r="D7016" s="211" t="s">
        <v>1255</v>
      </c>
      <c r="E7016" s="211" t="s">
        <v>10385</v>
      </c>
      <c r="F7016" s="211" t="s">
        <v>7224</v>
      </c>
    </row>
    <row r="7017" spans="1:6">
      <c r="A7017" s="211" t="s">
        <v>3586</v>
      </c>
      <c r="B7017" s="211">
        <v>575</v>
      </c>
      <c r="C7017" s="211">
        <v>1391</v>
      </c>
      <c r="D7017" s="211" t="s">
        <v>1255</v>
      </c>
      <c r="E7017" s="211" t="s">
        <v>10385</v>
      </c>
      <c r="F7017" s="211" t="s">
        <v>7356</v>
      </c>
    </row>
    <row r="7018" spans="1:6">
      <c r="A7018" s="211" t="s">
        <v>5240</v>
      </c>
      <c r="B7018" s="211">
        <v>6813</v>
      </c>
      <c r="C7018" s="211">
        <v>455</v>
      </c>
      <c r="D7018" s="211" t="s">
        <v>1117</v>
      </c>
      <c r="E7018" s="211" t="s">
        <v>10385</v>
      </c>
      <c r="F7018" s="211" t="s">
        <v>7224</v>
      </c>
    </row>
    <row r="7019" spans="1:6">
      <c r="A7019" s="211" t="s">
        <v>3587</v>
      </c>
      <c r="B7019" s="211">
        <v>1048</v>
      </c>
      <c r="C7019" s="211">
        <v>1496</v>
      </c>
      <c r="D7019" s="211" t="s">
        <v>1255</v>
      </c>
      <c r="E7019" s="211" t="s">
        <v>10385</v>
      </c>
      <c r="F7019" s="211" t="s">
        <v>7320</v>
      </c>
    </row>
    <row r="7020" spans="1:6">
      <c r="A7020" s="211" t="s">
        <v>6258</v>
      </c>
      <c r="B7020" s="211">
        <v>7223</v>
      </c>
      <c r="C7020" s="211">
        <v>1077</v>
      </c>
      <c r="D7020" s="211" t="s">
        <v>1255</v>
      </c>
      <c r="E7020" s="211" t="s">
        <v>10385</v>
      </c>
      <c r="F7020" s="211" t="s">
        <v>7376</v>
      </c>
    </row>
    <row r="7021" spans="1:6">
      <c r="A7021" s="211" t="s">
        <v>3588</v>
      </c>
      <c r="B7021" s="211">
        <v>5090</v>
      </c>
      <c r="C7021" s="211">
        <v>1245</v>
      </c>
      <c r="D7021" s="211" t="s">
        <v>1255</v>
      </c>
      <c r="E7021" s="211" t="s">
        <v>10136</v>
      </c>
      <c r="F7021" s="211" t="s">
        <v>7457</v>
      </c>
    </row>
    <row r="7022" spans="1:6">
      <c r="A7022" s="211" t="s">
        <v>3589</v>
      </c>
      <c r="B7022" s="211">
        <v>4198</v>
      </c>
      <c r="C7022" s="211">
        <v>932</v>
      </c>
      <c r="D7022" s="211" t="s">
        <v>1255</v>
      </c>
      <c r="E7022" s="211" t="s">
        <v>10385</v>
      </c>
      <c r="F7022" s="211" t="s">
        <v>7402</v>
      </c>
    </row>
    <row r="7023" spans="1:6">
      <c r="A7023" s="211" t="s">
        <v>3590</v>
      </c>
      <c r="B7023" s="211">
        <v>3685</v>
      </c>
      <c r="C7023" s="211">
        <v>793</v>
      </c>
      <c r="D7023" s="211" t="s">
        <v>1255</v>
      </c>
      <c r="E7023" s="211" t="s">
        <v>10385</v>
      </c>
      <c r="F7023" s="211" t="s">
        <v>7221</v>
      </c>
    </row>
    <row r="7024" spans="1:6">
      <c r="A7024" s="211" t="s">
        <v>3591</v>
      </c>
      <c r="B7024" s="211">
        <v>2543</v>
      </c>
      <c r="C7024" s="211">
        <v>835</v>
      </c>
      <c r="D7024" s="211" t="s">
        <v>1255</v>
      </c>
      <c r="E7024" s="211" t="s">
        <v>10385</v>
      </c>
      <c r="F7024" s="211" t="s">
        <v>7354</v>
      </c>
    </row>
    <row r="7025" spans="1:6">
      <c r="A7025" s="211" t="s">
        <v>3592</v>
      </c>
      <c r="B7025" s="211">
        <v>1859</v>
      </c>
      <c r="C7025" s="211">
        <v>1111</v>
      </c>
      <c r="D7025" s="211" t="s">
        <v>1255</v>
      </c>
      <c r="E7025" s="211" t="s">
        <v>10385</v>
      </c>
      <c r="F7025" s="211" t="s">
        <v>7323</v>
      </c>
    </row>
    <row r="7026" spans="1:6">
      <c r="A7026" s="211" t="s">
        <v>3593</v>
      </c>
      <c r="B7026" s="211">
        <v>2263</v>
      </c>
      <c r="C7026" s="211">
        <v>1144</v>
      </c>
      <c r="D7026" s="211" t="s">
        <v>1255</v>
      </c>
      <c r="E7026" s="211" t="s">
        <v>10385</v>
      </c>
      <c r="F7026" s="211" t="s">
        <v>7430</v>
      </c>
    </row>
    <row r="7027" spans="1:6">
      <c r="A7027" s="211" t="s">
        <v>10137</v>
      </c>
      <c r="B7027" s="211">
        <v>8407</v>
      </c>
      <c r="C7027" s="211">
        <v>798</v>
      </c>
      <c r="D7027" s="211" t="s">
        <v>1117</v>
      </c>
      <c r="E7027" s="211" t="s">
        <v>10138</v>
      </c>
      <c r="F7027" s="211" t="s">
        <v>9213</v>
      </c>
    </row>
    <row r="7028" spans="1:6">
      <c r="A7028" s="211" t="s">
        <v>8706</v>
      </c>
      <c r="B7028" s="211">
        <v>6104</v>
      </c>
      <c r="C7028" s="211">
        <v>856</v>
      </c>
      <c r="D7028" s="211" t="s">
        <v>1255</v>
      </c>
      <c r="E7028" s="211" t="s">
        <v>10385</v>
      </c>
      <c r="F7028" s="211" t="s">
        <v>7217</v>
      </c>
    </row>
    <row r="7029" spans="1:6">
      <c r="A7029" s="211" t="s">
        <v>3594</v>
      </c>
      <c r="B7029" s="211">
        <v>6032</v>
      </c>
      <c r="C7029" s="211">
        <v>957</v>
      </c>
      <c r="D7029" s="211" t="s">
        <v>1255</v>
      </c>
      <c r="E7029" s="211" t="s">
        <v>10385</v>
      </c>
      <c r="F7029" s="211" t="s">
        <v>7298</v>
      </c>
    </row>
    <row r="7030" spans="1:6">
      <c r="A7030" s="211" t="s">
        <v>3595</v>
      </c>
      <c r="B7030" s="211">
        <v>1731</v>
      </c>
      <c r="C7030" s="211">
        <v>1162</v>
      </c>
      <c r="D7030" s="211" t="s">
        <v>1255</v>
      </c>
      <c r="E7030" s="211" t="s">
        <v>10385</v>
      </c>
      <c r="F7030" s="211" t="s">
        <v>7250</v>
      </c>
    </row>
    <row r="7031" spans="1:6">
      <c r="A7031" s="211" t="s">
        <v>4819</v>
      </c>
      <c r="B7031" s="211">
        <v>6108</v>
      </c>
      <c r="C7031" s="211">
        <v>2085</v>
      </c>
      <c r="D7031" s="211" t="s">
        <v>1255</v>
      </c>
      <c r="E7031" s="211" t="s">
        <v>6632</v>
      </c>
      <c r="F7031" s="211" t="s">
        <v>7267</v>
      </c>
    </row>
    <row r="7032" spans="1:6">
      <c r="A7032" s="211" t="s">
        <v>7079</v>
      </c>
      <c r="B7032" s="211">
        <v>7708</v>
      </c>
      <c r="C7032" s="211">
        <v>1196</v>
      </c>
      <c r="D7032" s="211" t="s">
        <v>1255</v>
      </c>
      <c r="E7032" s="211" t="s">
        <v>11004</v>
      </c>
      <c r="F7032" s="211" t="s">
        <v>7268</v>
      </c>
    </row>
    <row r="7033" spans="1:6">
      <c r="A7033" s="211" t="s">
        <v>3596</v>
      </c>
      <c r="B7033" s="211">
        <v>5220</v>
      </c>
      <c r="C7033" s="211">
        <v>802</v>
      </c>
      <c r="D7033" s="211" t="s">
        <v>1255</v>
      </c>
      <c r="E7033" s="211" t="s">
        <v>10385</v>
      </c>
      <c r="F7033" s="211" t="s">
        <v>7256</v>
      </c>
    </row>
    <row r="7034" spans="1:6">
      <c r="A7034" s="211" t="s">
        <v>3597</v>
      </c>
      <c r="B7034" s="211">
        <v>4615</v>
      </c>
      <c r="C7034" s="211">
        <v>1073</v>
      </c>
      <c r="D7034" s="211" t="s">
        <v>1255</v>
      </c>
      <c r="E7034" s="211" t="s">
        <v>10385</v>
      </c>
      <c r="F7034" s="211" t="s">
        <v>7346</v>
      </c>
    </row>
    <row r="7035" spans="1:6">
      <c r="A7035" s="211" t="s">
        <v>3598</v>
      </c>
      <c r="B7035" s="211">
        <v>2065</v>
      </c>
      <c r="C7035" s="211">
        <v>1064</v>
      </c>
      <c r="D7035" s="211" t="s">
        <v>1255</v>
      </c>
      <c r="E7035" s="211" t="s">
        <v>10385</v>
      </c>
      <c r="F7035" s="211" t="s">
        <v>7207</v>
      </c>
    </row>
    <row r="7036" spans="1:6">
      <c r="A7036" s="211" t="s">
        <v>6259</v>
      </c>
      <c r="B7036" s="211">
        <v>7485</v>
      </c>
      <c r="C7036" s="211">
        <v>714</v>
      </c>
      <c r="D7036" s="211" t="s">
        <v>1255</v>
      </c>
      <c r="E7036" s="211" t="s">
        <v>10385</v>
      </c>
      <c r="F7036" s="211" t="s">
        <v>7573</v>
      </c>
    </row>
    <row r="7037" spans="1:6">
      <c r="A7037" s="211" t="s">
        <v>6260</v>
      </c>
      <c r="B7037" s="211">
        <v>7537</v>
      </c>
      <c r="C7037" s="211">
        <v>1115</v>
      </c>
      <c r="D7037" s="211" t="s">
        <v>1255</v>
      </c>
      <c r="E7037" s="211" t="s">
        <v>10755</v>
      </c>
      <c r="F7037" s="211" t="s">
        <v>7243</v>
      </c>
    </row>
    <row r="7038" spans="1:6">
      <c r="A7038" s="211" t="s">
        <v>11005</v>
      </c>
      <c r="B7038" s="211">
        <v>8622</v>
      </c>
      <c r="C7038" s="211">
        <v>1242</v>
      </c>
      <c r="D7038" s="211" t="s">
        <v>1255</v>
      </c>
      <c r="E7038" s="211" t="s">
        <v>10385</v>
      </c>
      <c r="F7038" s="211" t="s">
        <v>9120</v>
      </c>
    </row>
    <row r="7039" spans="1:6">
      <c r="A7039" s="211" t="s">
        <v>3599</v>
      </c>
      <c r="B7039" s="211">
        <v>3596</v>
      </c>
      <c r="C7039" s="211">
        <v>823</v>
      </c>
      <c r="D7039" s="211" t="s">
        <v>1255</v>
      </c>
      <c r="E7039" s="211" t="s">
        <v>10385</v>
      </c>
      <c r="F7039" s="211" t="s">
        <v>7297</v>
      </c>
    </row>
    <row r="7040" spans="1:6">
      <c r="A7040" s="211" t="s">
        <v>5241</v>
      </c>
      <c r="B7040" s="211">
        <v>7236</v>
      </c>
      <c r="C7040" s="211">
        <v>1369</v>
      </c>
      <c r="D7040" s="211" t="s">
        <v>1255</v>
      </c>
      <c r="E7040" s="211" t="s">
        <v>10139</v>
      </c>
      <c r="F7040" s="211" t="s">
        <v>7322</v>
      </c>
    </row>
    <row r="7041" spans="1:6">
      <c r="A7041" s="211" t="s">
        <v>3600</v>
      </c>
      <c r="B7041" s="211">
        <v>4661</v>
      </c>
      <c r="C7041" s="211">
        <v>1136</v>
      </c>
      <c r="D7041" s="211" t="s">
        <v>1255</v>
      </c>
      <c r="E7041" s="211" t="s">
        <v>10385</v>
      </c>
      <c r="F7041" s="211" t="s">
        <v>7231</v>
      </c>
    </row>
    <row r="7042" spans="1:6">
      <c r="A7042" s="211" t="s">
        <v>3601</v>
      </c>
      <c r="B7042" s="211">
        <v>4193</v>
      </c>
      <c r="C7042" s="211">
        <v>915</v>
      </c>
      <c r="D7042" s="211" t="s">
        <v>1255</v>
      </c>
      <c r="E7042" s="211" t="s">
        <v>10385</v>
      </c>
      <c r="F7042" s="211" t="s">
        <v>7402</v>
      </c>
    </row>
    <row r="7043" spans="1:6">
      <c r="A7043" s="211" t="s">
        <v>5242</v>
      </c>
      <c r="B7043" s="211">
        <v>6620</v>
      </c>
      <c r="C7043" s="211">
        <v>1070</v>
      </c>
      <c r="D7043" s="211" t="s">
        <v>1255</v>
      </c>
      <c r="E7043" s="211" t="s">
        <v>10385</v>
      </c>
      <c r="F7043" s="211" t="s">
        <v>7446</v>
      </c>
    </row>
    <row r="7044" spans="1:6">
      <c r="A7044" s="211" t="s">
        <v>2999</v>
      </c>
      <c r="B7044" s="211">
        <v>1785</v>
      </c>
      <c r="C7044" s="211">
        <v>1412</v>
      </c>
      <c r="D7044" s="211" t="s">
        <v>1255</v>
      </c>
      <c r="E7044" s="211" t="s">
        <v>10385</v>
      </c>
      <c r="F7044" s="211" t="s">
        <v>7239</v>
      </c>
    </row>
    <row r="7045" spans="1:6">
      <c r="A7045" s="211" t="s">
        <v>10377</v>
      </c>
      <c r="B7045" s="211">
        <v>863</v>
      </c>
      <c r="C7045" s="211" t="s">
        <v>10385</v>
      </c>
      <c r="D7045" s="211" t="s">
        <v>1255</v>
      </c>
      <c r="E7045" s="211" t="s">
        <v>10385</v>
      </c>
      <c r="F7045" s="211" t="s">
        <v>7867</v>
      </c>
    </row>
    <row r="7046" spans="1:6">
      <c r="A7046" s="211" t="s">
        <v>6261</v>
      </c>
      <c r="B7046" s="211">
        <v>7372</v>
      </c>
      <c r="C7046" s="211">
        <v>2423</v>
      </c>
      <c r="D7046" s="211" t="s">
        <v>1255</v>
      </c>
      <c r="E7046" s="211" t="s">
        <v>6262</v>
      </c>
      <c r="F7046" s="211" t="s">
        <v>7167</v>
      </c>
    </row>
    <row r="7047" spans="1:6">
      <c r="A7047" s="211" t="s">
        <v>8707</v>
      </c>
      <c r="B7047" s="211">
        <v>2580</v>
      </c>
      <c r="C7047" s="211">
        <v>998</v>
      </c>
      <c r="D7047" s="211" t="s">
        <v>1117</v>
      </c>
      <c r="E7047" s="211" t="s">
        <v>10385</v>
      </c>
      <c r="F7047" s="211" t="s">
        <v>7199</v>
      </c>
    </row>
    <row r="7048" spans="1:6">
      <c r="A7048" s="211" t="s">
        <v>8708</v>
      </c>
      <c r="B7048" s="211">
        <v>5156</v>
      </c>
      <c r="C7048" s="211" t="s">
        <v>10385</v>
      </c>
      <c r="D7048" s="211" t="s">
        <v>1117</v>
      </c>
      <c r="E7048" s="211" t="s">
        <v>10385</v>
      </c>
      <c r="F7048" s="211" t="s">
        <v>7199</v>
      </c>
    </row>
    <row r="7049" spans="1:6">
      <c r="A7049" s="211" t="s">
        <v>5302</v>
      </c>
      <c r="B7049" s="211">
        <v>6751</v>
      </c>
      <c r="C7049" s="211">
        <v>1873</v>
      </c>
      <c r="D7049" s="211" t="s">
        <v>1255</v>
      </c>
      <c r="E7049" s="211" t="s">
        <v>10140</v>
      </c>
      <c r="F7049" s="211" t="s">
        <v>7356</v>
      </c>
    </row>
    <row r="7050" spans="1:6">
      <c r="A7050" s="211" t="s">
        <v>5303</v>
      </c>
      <c r="B7050" s="211">
        <v>4088</v>
      </c>
      <c r="C7050" s="211">
        <v>954</v>
      </c>
      <c r="D7050" s="211" t="s">
        <v>1255</v>
      </c>
      <c r="E7050" s="211" t="s">
        <v>10385</v>
      </c>
      <c r="F7050" s="211" t="s">
        <v>7476</v>
      </c>
    </row>
    <row r="7051" spans="1:6">
      <c r="A7051" s="211" t="s">
        <v>10141</v>
      </c>
      <c r="B7051" s="211">
        <v>7981</v>
      </c>
      <c r="C7051" s="211">
        <v>1418</v>
      </c>
      <c r="D7051" s="211" t="s">
        <v>1255</v>
      </c>
      <c r="E7051" s="211" t="s">
        <v>10142</v>
      </c>
      <c r="F7051" s="211" t="s">
        <v>7399</v>
      </c>
    </row>
    <row r="7052" spans="1:6">
      <c r="A7052" s="211" t="s">
        <v>11006</v>
      </c>
      <c r="B7052" s="211">
        <v>1949</v>
      </c>
      <c r="C7052" s="211">
        <v>1250</v>
      </c>
      <c r="D7052" s="211" t="s">
        <v>1255</v>
      </c>
      <c r="E7052" s="211" t="s">
        <v>10385</v>
      </c>
      <c r="F7052" s="211" t="s">
        <v>7285</v>
      </c>
    </row>
    <row r="7053" spans="1:6">
      <c r="A7053" s="211" t="s">
        <v>11007</v>
      </c>
      <c r="B7053" s="211">
        <v>8163</v>
      </c>
      <c r="C7053" s="211">
        <v>1056</v>
      </c>
      <c r="D7053" s="211" t="s">
        <v>1255</v>
      </c>
      <c r="E7053" s="211" t="s">
        <v>10385</v>
      </c>
      <c r="F7053" s="211" t="s">
        <v>7240</v>
      </c>
    </row>
    <row r="7054" spans="1:6">
      <c r="A7054" s="211" t="s">
        <v>7080</v>
      </c>
      <c r="B7054" s="211">
        <v>7686</v>
      </c>
      <c r="C7054" s="211">
        <v>1237</v>
      </c>
      <c r="D7054" s="211" t="s">
        <v>1117</v>
      </c>
      <c r="E7054" s="211" t="s">
        <v>7081</v>
      </c>
      <c r="F7054" s="211" t="s">
        <v>7283</v>
      </c>
    </row>
    <row r="7055" spans="1:6">
      <c r="A7055" s="211" t="s">
        <v>3602</v>
      </c>
      <c r="B7055" s="211">
        <v>5303</v>
      </c>
      <c r="C7055" s="211">
        <v>798</v>
      </c>
      <c r="D7055" s="211" t="s">
        <v>1117</v>
      </c>
      <c r="E7055" s="211" t="s">
        <v>10385</v>
      </c>
      <c r="F7055" s="211" t="s">
        <v>7373</v>
      </c>
    </row>
    <row r="7056" spans="1:6">
      <c r="A7056" s="211" t="s">
        <v>3603</v>
      </c>
      <c r="B7056" s="211">
        <v>3084</v>
      </c>
      <c r="C7056" s="211">
        <v>725</v>
      </c>
      <c r="D7056" s="211" t="s">
        <v>1117</v>
      </c>
      <c r="E7056" s="211" t="s">
        <v>10385</v>
      </c>
      <c r="F7056" s="211" t="s">
        <v>7189</v>
      </c>
    </row>
    <row r="7057" spans="1:6">
      <c r="A7057" s="211" t="s">
        <v>3604</v>
      </c>
      <c r="B7057" s="211">
        <v>5264</v>
      </c>
      <c r="C7057" s="211">
        <v>1198</v>
      </c>
      <c r="D7057" s="211" t="s">
        <v>1117</v>
      </c>
      <c r="E7057" s="211" t="s">
        <v>10385</v>
      </c>
      <c r="F7057" s="211" t="s">
        <v>7383</v>
      </c>
    </row>
    <row r="7058" spans="1:6">
      <c r="A7058" s="211" t="s">
        <v>3605</v>
      </c>
      <c r="B7058" s="211">
        <v>5620</v>
      </c>
      <c r="C7058" s="211">
        <v>782</v>
      </c>
      <c r="D7058" s="211" t="s">
        <v>1255</v>
      </c>
      <c r="E7058" s="211" t="s">
        <v>10385</v>
      </c>
      <c r="F7058" s="211" t="s">
        <v>7454</v>
      </c>
    </row>
    <row r="7059" spans="1:6">
      <c r="A7059" s="211" t="s">
        <v>5243</v>
      </c>
      <c r="B7059" s="211">
        <v>6917</v>
      </c>
      <c r="C7059" s="211">
        <v>800</v>
      </c>
      <c r="D7059" s="211" t="s">
        <v>1117</v>
      </c>
      <c r="E7059" s="211" t="s">
        <v>10385</v>
      </c>
      <c r="F7059" s="211" t="s">
        <v>7292</v>
      </c>
    </row>
    <row r="7060" spans="1:6">
      <c r="A7060" s="211" t="s">
        <v>5244</v>
      </c>
      <c r="B7060" s="211">
        <v>6629</v>
      </c>
      <c r="C7060" s="211">
        <v>717</v>
      </c>
      <c r="D7060" s="211" t="s">
        <v>1117</v>
      </c>
      <c r="E7060" s="211" t="s">
        <v>10385</v>
      </c>
      <c r="F7060" s="211" t="s">
        <v>7192</v>
      </c>
    </row>
    <row r="7061" spans="1:6">
      <c r="A7061" s="211" t="s">
        <v>3606</v>
      </c>
      <c r="B7061" s="211">
        <v>4014</v>
      </c>
      <c r="C7061" s="211">
        <v>765</v>
      </c>
      <c r="D7061" s="211" t="s">
        <v>1117</v>
      </c>
      <c r="E7061" s="211" t="s">
        <v>10385</v>
      </c>
      <c r="F7061" s="211" t="s">
        <v>7453</v>
      </c>
    </row>
    <row r="7062" spans="1:6">
      <c r="A7062" s="211" t="s">
        <v>3607</v>
      </c>
      <c r="B7062" s="211">
        <v>1538</v>
      </c>
      <c r="C7062" s="211">
        <v>1364</v>
      </c>
      <c r="D7062" s="211" t="s">
        <v>1255</v>
      </c>
      <c r="E7062" s="211" t="s">
        <v>10385</v>
      </c>
      <c r="F7062" s="211" t="s">
        <v>7171</v>
      </c>
    </row>
    <row r="7063" spans="1:6">
      <c r="A7063" s="211" t="s">
        <v>8709</v>
      </c>
      <c r="B7063" s="211">
        <v>658</v>
      </c>
      <c r="C7063" s="211" t="s">
        <v>10385</v>
      </c>
      <c r="D7063" s="211" t="s">
        <v>1255</v>
      </c>
      <c r="E7063" s="211" t="s">
        <v>10385</v>
      </c>
      <c r="F7063" s="211" t="s">
        <v>7318</v>
      </c>
    </row>
    <row r="7064" spans="1:6">
      <c r="A7064" s="211" t="s">
        <v>3608</v>
      </c>
      <c r="B7064" s="211">
        <v>2885</v>
      </c>
      <c r="C7064" s="211">
        <v>1158</v>
      </c>
      <c r="D7064" s="211" t="s">
        <v>1255</v>
      </c>
      <c r="E7064" s="211" t="s">
        <v>7082</v>
      </c>
      <c r="F7064" s="211" t="s">
        <v>7331</v>
      </c>
    </row>
    <row r="7065" spans="1:6">
      <c r="A7065" s="211" t="s">
        <v>4685</v>
      </c>
      <c r="B7065" s="211">
        <v>6412</v>
      </c>
      <c r="C7065" s="211">
        <v>1343</v>
      </c>
      <c r="D7065" s="211" t="s">
        <v>1117</v>
      </c>
      <c r="E7065" s="211" t="s">
        <v>10143</v>
      </c>
      <c r="F7065" s="211" t="s">
        <v>7587</v>
      </c>
    </row>
    <row r="7066" spans="1:6">
      <c r="A7066" s="211" t="s">
        <v>10144</v>
      </c>
      <c r="B7066" s="211">
        <v>8385</v>
      </c>
      <c r="C7066" s="211">
        <v>994</v>
      </c>
      <c r="D7066" s="211" t="s">
        <v>1117</v>
      </c>
      <c r="E7066" s="211" t="s">
        <v>10145</v>
      </c>
      <c r="F7066" s="211" t="s">
        <v>7342</v>
      </c>
    </row>
    <row r="7067" spans="1:6">
      <c r="A7067" s="211" t="s">
        <v>4790</v>
      </c>
      <c r="B7067" s="211">
        <v>6178</v>
      </c>
      <c r="C7067" s="211">
        <v>553</v>
      </c>
      <c r="D7067" s="211" t="s">
        <v>1117</v>
      </c>
      <c r="E7067" s="211" t="s">
        <v>10385</v>
      </c>
      <c r="F7067" s="211" t="s">
        <v>7173</v>
      </c>
    </row>
    <row r="7068" spans="1:6">
      <c r="A7068" s="211" t="s">
        <v>3609</v>
      </c>
      <c r="B7068" s="211">
        <v>5737</v>
      </c>
      <c r="C7068" s="211">
        <v>1413</v>
      </c>
      <c r="D7068" s="211" t="s">
        <v>1255</v>
      </c>
      <c r="E7068" s="211" t="s">
        <v>10385</v>
      </c>
      <c r="F7068" s="211" t="s">
        <v>7357</v>
      </c>
    </row>
    <row r="7069" spans="1:6">
      <c r="A7069" s="211" t="s">
        <v>3610</v>
      </c>
      <c r="B7069" s="211">
        <v>1324</v>
      </c>
      <c r="C7069" s="211">
        <v>1188</v>
      </c>
      <c r="D7069" s="211" t="s">
        <v>1255</v>
      </c>
      <c r="E7069" s="211" t="s">
        <v>10385</v>
      </c>
      <c r="F7069" s="211" t="s">
        <v>7262</v>
      </c>
    </row>
    <row r="7070" spans="1:6">
      <c r="A7070" s="211" t="s">
        <v>8710</v>
      </c>
      <c r="B7070" s="211">
        <v>2404</v>
      </c>
      <c r="C7070" s="211" t="s">
        <v>10385</v>
      </c>
      <c r="D7070" s="211" t="s">
        <v>1255</v>
      </c>
      <c r="E7070" s="211" t="s">
        <v>10385</v>
      </c>
      <c r="F7070" s="211" t="s">
        <v>7272</v>
      </c>
    </row>
    <row r="7071" spans="1:6">
      <c r="A7071" s="211" t="s">
        <v>8711</v>
      </c>
      <c r="B7071" s="211">
        <v>5212</v>
      </c>
      <c r="C7071" s="211">
        <v>1922</v>
      </c>
      <c r="D7071" s="211" t="s">
        <v>1117</v>
      </c>
      <c r="E7071" s="211" t="s">
        <v>11008</v>
      </c>
      <c r="F7071" s="211" t="s">
        <v>7377</v>
      </c>
    </row>
    <row r="7072" spans="1:6">
      <c r="A7072" s="211" t="s">
        <v>11009</v>
      </c>
      <c r="B7072" s="211">
        <v>8731</v>
      </c>
      <c r="C7072" s="211" t="s">
        <v>10385</v>
      </c>
      <c r="D7072" s="211" t="s">
        <v>1117</v>
      </c>
      <c r="E7072" s="211" t="s">
        <v>10385</v>
      </c>
      <c r="F7072" s="211" t="s">
        <v>7573</v>
      </c>
    </row>
    <row r="7073" spans="1:6">
      <c r="A7073" s="211" t="s">
        <v>3611</v>
      </c>
      <c r="B7073" s="211">
        <v>184</v>
      </c>
      <c r="C7073" s="211">
        <v>1084</v>
      </c>
      <c r="D7073" s="211" t="s">
        <v>1255</v>
      </c>
      <c r="E7073" s="211" t="s">
        <v>10385</v>
      </c>
      <c r="F7073" s="211" t="s">
        <v>7173</v>
      </c>
    </row>
    <row r="7074" spans="1:6">
      <c r="A7074" s="211" t="s">
        <v>3612</v>
      </c>
      <c r="B7074" s="211">
        <v>4701</v>
      </c>
      <c r="C7074" s="211">
        <v>915</v>
      </c>
      <c r="D7074" s="211" t="s">
        <v>1117</v>
      </c>
      <c r="E7074" s="211" t="s">
        <v>10385</v>
      </c>
      <c r="F7074" s="211" t="s">
        <v>7308</v>
      </c>
    </row>
    <row r="7075" spans="1:6">
      <c r="A7075" s="211" t="s">
        <v>5395</v>
      </c>
      <c r="B7075" s="211">
        <v>612</v>
      </c>
      <c r="C7075" s="211">
        <v>747</v>
      </c>
      <c r="D7075" s="211" t="s">
        <v>1255</v>
      </c>
      <c r="E7075" s="211" t="s">
        <v>10385</v>
      </c>
      <c r="F7075" s="211" t="s">
        <v>7592</v>
      </c>
    </row>
    <row r="7076" spans="1:6">
      <c r="A7076" s="211" t="s">
        <v>3860</v>
      </c>
      <c r="B7076" s="211">
        <v>2401</v>
      </c>
      <c r="C7076" s="211">
        <v>1477</v>
      </c>
      <c r="D7076" s="211" t="s">
        <v>1255</v>
      </c>
      <c r="E7076" s="211" t="s">
        <v>10146</v>
      </c>
      <c r="F7076" s="211" t="s">
        <v>7272</v>
      </c>
    </row>
    <row r="7077" spans="1:6">
      <c r="A7077" s="211" t="s">
        <v>8712</v>
      </c>
      <c r="B7077" s="211">
        <v>1344</v>
      </c>
      <c r="C7077" s="211" t="s">
        <v>10385</v>
      </c>
      <c r="D7077" s="211" t="s">
        <v>1255</v>
      </c>
      <c r="E7077" s="211" t="s">
        <v>10385</v>
      </c>
      <c r="F7077" s="211" t="s">
        <v>7267</v>
      </c>
    </row>
    <row r="7078" spans="1:6">
      <c r="A7078" s="211" t="s">
        <v>5245</v>
      </c>
      <c r="B7078" s="211">
        <v>6691</v>
      </c>
      <c r="C7078" s="211">
        <v>504</v>
      </c>
      <c r="D7078" s="211" t="s">
        <v>1117</v>
      </c>
      <c r="E7078" s="211" t="s">
        <v>10385</v>
      </c>
      <c r="F7078" s="211" t="s">
        <v>7383</v>
      </c>
    </row>
    <row r="7079" spans="1:6">
      <c r="A7079" s="211" t="s">
        <v>3613</v>
      </c>
      <c r="B7079" s="211">
        <v>4123</v>
      </c>
      <c r="C7079" s="211">
        <v>947</v>
      </c>
      <c r="D7079" s="211" t="s">
        <v>1117</v>
      </c>
      <c r="E7079" s="211" t="s">
        <v>10385</v>
      </c>
      <c r="F7079" s="211" t="s">
        <v>7356</v>
      </c>
    </row>
    <row r="7080" spans="1:6">
      <c r="A7080" s="211" t="s">
        <v>5246</v>
      </c>
      <c r="B7080" s="211">
        <v>6887</v>
      </c>
      <c r="C7080" s="211">
        <v>1062</v>
      </c>
      <c r="D7080" s="211" t="s">
        <v>1255</v>
      </c>
      <c r="E7080" s="211" t="s">
        <v>10147</v>
      </c>
      <c r="F7080" s="211" t="s">
        <v>7308</v>
      </c>
    </row>
    <row r="7081" spans="1:6">
      <c r="A7081" s="211" t="s">
        <v>3614</v>
      </c>
      <c r="B7081" s="211">
        <v>4723</v>
      </c>
      <c r="C7081" s="211">
        <v>667</v>
      </c>
      <c r="D7081" s="211" t="s">
        <v>1117</v>
      </c>
      <c r="E7081" s="211" t="s">
        <v>10385</v>
      </c>
      <c r="F7081" s="211" t="s">
        <v>7249</v>
      </c>
    </row>
    <row r="7082" spans="1:6">
      <c r="A7082" s="211" t="s">
        <v>6263</v>
      </c>
      <c r="B7082" s="211">
        <v>7304</v>
      </c>
      <c r="C7082" s="211">
        <v>656</v>
      </c>
      <c r="D7082" s="211" t="s">
        <v>1117</v>
      </c>
      <c r="E7082" s="211" t="s">
        <v>6264</v>
      </c>
      <c r="F7082" s="211" t="s">
        <v>7171</v>
      </c>
    </row>
    <row r="7083" spans="1:6">
      <c r="A7083" s="211" t="s">
        <v>6265</v>
      </c>
      <c r="B7083" s="211">
        <v>7170</v>
      </c>
      <c r="C7083" s="211">
        <v>1056</v>
      </c>
      <c r="D7083" s="211" t="s">
        <v>1255</v>
      </c>
      <c r="E7083" s="211" t="s">
        <v>6266</v>
      </c>
      <c r="F7083" s="211" t="s">
        <v>7583</v>
      </c>
    </row>
    <row r="7084" spans="1:6">
      <c r="A7084" s="211" t="s">
        <v>8713</v>
      </c>
      <c r="B7084" s="211">
        <v>2173</v>
      </c>
      <c r="C7084" s="211">
        <v>950</v>
      </c>
      <c r="D7084" s="211" t="s">
        <v>1255</v>
      </c>
      <c r="E7084" s="211" t="s">
        <v>10385</v>
      </c>
      <c r="F7084" s="211" t="s">
        <v>7192</v>
      </c>
    </row>
    <row r="7085" spans="1:6">
      <c r="A7085" s="211" t="s">
        <v>8714</v>
      </c>
      <c r="B7085" s="211">
        <v>984</v>
      </c>
      <c r="C7085" s="211" t="s">
        <v>10385</v>
      </c>
      <c r="D7085" s="211" t="s">
        <v>1255</v>
      </c>
      <c r="E7085" s="211" t="s">
        <v>10385</v>
      </c>
      <c r="F7085" s="211" t="s">
        <v>7592</v>
      </c>
    </row>
    <row r="7086" spans="1:6">
      <c r="A7086" s="211" t="s">
        <v>11010</v>
      </c>
      <c r="B7086" s="211">
        <v>8618</v>
      </c>
      <c r="C7086" s="211">
        <v>2018</v>
      </c>
      <c r="D7086" s="211" t="s">
        <v>1255</v>
      </c>
      <c r="E7086" s="211" t="s">
        <v>11011</v>
      </c>
      <c r="F7086" s="211" t="s">
        <v>7284</v>
      </c>
    </row>
    <row r="7087" spans="1:6">
      <c r="A7087" s="211" t="s">
        <v>11012</v>
      </c>
      <c r="B7087" s="211">
        <v>8858</v>
      </c>
      <c r="C7087" s="211">
        <v>763</v>
      </c>
      <c r="D7087" s="211" t="s">
        <v>1255</v>
      </c>
      <c r="E7087" s="211" t="s">
        <v>11013</v>
      </c>
      <c r="F7087" s="211" t="s">
        <v>7272</v>
      </c>
    </row>
    <row r="7088" spans="1:6">
      <c r="A7088" s="211" t="s">
        <v>3615</v>
      </c>
      <c r="B7088" s="211">
        <v>1312</v>
      </c>
      <c r="C7088" s="211">
        <v>917</v>
      </c>
      <c r="D7088" s="211" t="s">
        <v>1255</v>
      </c>
      <c r="E7088" s="211" t="s">
        <v>10385</v>
      </c>
      <c r="F7088" s="211" t="s">
        <v>7237</v>
      </c>
    </row>
    <row r="7089" spans="1:6">
      <c r="A7089" s="211" t="s">
        <v>3616</v>
      </c>
      <c r="B7089" s="211">
        <v>5921</v>
      </c>
      <c r="C7089" s="211">
        <v>997</v>
      </c>
      <c r="D7089" s="211" t="s">
        <v>1255</v>
      </c>
      <c r="E7089" s="211" t="s">
        <v>10385</v>
      </c>
      <c r="F7089" s="211" t="s">
        <v>7327</v>
      </c>
    </row>
    <row r="7090" spans="1:6">
      <c r="A7090" s="211" t="s">
        <v>3617</v>
      </c>
      <c r="B7090" s="211">
        <v>4004</v>
      </c>
      <c r="C7090" s="211">
        <v>1707</v>
      </c>
      <c r="D7090" s="211" t="s">
        <v>1255</v>
      </c>
      <c r="E7090" s="211" t="s">
        <v>10385</v>
      </c>
      <c r="F7090" s="211" t="s">
        <v>7316</v>
      </c>
    </row>
    <row r="7091" spans="1:6">
      <c r="A7091" s="211" t="s">
        <v>10148</v>
      </c>
      <c r="B7091" s="211">
        <v>8084</v>
      </c>
      <c r="C7091" s="211">
        <v>1802</v>
      </c>
      <c r="D7091" s="211" t="s">
        <v>1255</v>
      </c>
      <c r="E7091" s="211" t="s">
        <v>10385</v>
      </c>
      <c r="F7091" s="211" t="s">
        <v>7250</v>
      </c>
    </row>
    <row r="7092" spans="1:6">
      <c r="A7092" s="211" t="s">
        <v>3618</v>
      </c>
      <c r="B7092" s="211">
        <v>2905</v>
      </c>
      <c r="C7092" s="211">
        <v>1472</v>
      </c>
      <c r="D7092" s="211" t="s">
        <v>1255</v>
      </c>
      <c r="E7092" s="211" t="s">
        <v>10385</v>
      </c>
      <c r="F7092" s="211" t="s">
        <v>7207</v>
      </c>
    </row>
    <row r="7093" spans="1:6">
      <c r="A7093" s="211" t="s">
        <v>3619</v>
      </c>
      <c r="B7093" s="211">
        <v>4823</v>
      </c>
      <c r="C7093" s="211">
        <v>1058</v>
      </c>
      <c r="D7093" s="211" t="s">
        <v>1255</v>
      </c>
      <c r="E7093" s="211" t="s">
        <v>10385</v>
      </c>
      <c r="F7093" s="211" t="s">
        <v>7629</v>
      </c>
    </row>
    <row r="7094" spans="1:6">
      <c r="A7094" s="211" t="s">
        <v>2883</v>
      </c>
      <c r="B7094" s="211">
        <v>3017</v>
      </c>
      <c r="C7094" s="211">
        <v>1252</v>
      </c>
      <c r="D7094" s="211" t="s">
        <v>1255</v>
      </c>
      <c r="E7094" s="211" t="s">
        <v>10385</v>
      </c>
      <c r="F7094" s="211" t="s">
        <v>7386</v>
      </c>
    </row>
    <row r="7095" spans="1:6">
      <c r="A7095" s="211" t="s">
        <v>3620</v>
      </c>
      <c r="B7095" s="211">
        <v>4754</v>
      </c>
      <c r="C7095" s="211">
        <v>1664</v>
      </c>
      <c r="D7095" s="211" t="s">
        <v>1255</v>
      </c>
      <c r="E7095" s="211" t="s">
        <v>10385</v>
      </c>
      <c r="F7095" s="211" t="s">
        <v>7186</v>
      </c>
    </row>
    <row r="7096" spans="1:6">
      <c r="A7096" s="211" t="s">
        <v>3621</v>
      </c>
      <c r="B7096" s="211">
        <v>1272</v>
      </c>
      <c r="C7096" s="211">
        <v>1500</v>
      </c>
      <c r="D7096" s="211" t="s">
        <v>1255</v>
      </c>
      <c r="E7096" s="211" t="s">
        <v>10385</v>
      </c>
      <c r="F7096" s="211" t="s">
        <v>7386</v>
      </c>
    </row>
    <row r="7097" spans="1:6">
      <c r="A7097" s="211" t="s">
        <v>8715</v>
      </c>
      <c r="B7097" s="211">
        <v>614</v>
      </c>
      <c r="C7097" s="211" t="s">
        <v>10385</v>
      </c>
      <c r="D7097" s="211" t="s">
        <v>1255</v>
      </c>
      <c r="E7097" s="211" t="s">
        <v>10385</v>
      </c>
      <c r="F7097" s="211" t="s">
        <v>7592</v>
      </c>
    </row>
    <row r="7098" spans="1:6">
      <c r="A7098" s="211" t="s">
        <v>8716</v>
      </c>
      <c r="B7098" s="211">
        <v>2511</v>
      </c>
      <c r="C7098" s="211" t="s">
        <v>10385</v>
      </c>
      <c r="D7098" s="211" t="s">
        <v>1117</v>
      </c>
      <c r="E7098" s="211" t="s">
        <v>10385</v>
      </c>
      <c r="F7098" s="211" t="s">
        <v>7239</v>
      </c>
    </row>
    <row r="7099" spans="1:6">
      <c r="A7099" s="211" t="s">
        <v>10149</v>
      </c>
      <c r="B7099" s="211">
        <v>7927</v>
      </c>
      <c r="C7099" s="211">
        <v>993</v>
      </c>
      <c r="D7099" s="211" t="s">
        <v>1255</v>
      </c>
      <c r="E7099" s="211" t="s">
        <v>10150</v>
      </c>
      <c r="F7099" s="211" t="s">
        <v>7210</v>
      </c>
    </row>
    <row r="7100" spans="1:6">
      <c r="A7100" s="211" t="s">
        <v>10151</v>
      </c>
      <c r="B7100" s="211">
        <v>7899</v>
      </c>
      <c r="C7100" s="211">
        <v>1189</v>
      </c>
      <c r="D7100" s="211" t="s">
        <v>1255</v>
      </c>
      <c r="E7100" s="211" t="s">
        <v>10152</v>
      </c>
      <c r="F7100" s="211" t="s">
        <v>7402</v>
      </c>
    </row>
    <row r="7101" spans="1:6">
      <c r="A7101" s="211" t="s">
        <v>6267</v>
      </c>
      <c r="B7101" s="211">
        <v>7314</v>
      </c>
      <c r="C7101" s="211">
        <v>1319</v>
      </c>
      <c r="D7101" s="211" t="s">
        <v>1255</v>
      </c>
      <c r="E7101" s="211" t="s">
        <v>7083</v>
      </c>
      <c r="F7101" s="211" t="s">
        <v>7425</v>
      </c>
    </row>
    <row r="7102" spans="1:6">
      <c r="A7102" s="211" t="s">
        <v>5351</v>
      </c>
      <c r="B7102" s="211">
        <v>6603</v>
      </c>
      <c r="C7102" s="211">
        <v>1061</v>
      </c>
      <c r="D7102" s="211" t="s">
        <v>1255</v>
      </c>
      <c r="E7102" s="211" t="s">
        <v>10385</v>
      </c>
      <c r="F7102" s="211" t="s">
        <v>7349</v>
      </c>
    </row>
    <row r="7103" spans="1:6">
      <c r="A7103" s="211" t="s">
        <v>3622</v>
      </c>
      <c r="B7103" s="211">
        <v>384</v>
      </c>
      <c r="C7103" s="211">
        <v>1665</v>
      </c>
      <c r="D7103" s="211" t="s">
        <v>1255</v>
      </c>
      <c r="E7103" s="211" t="s">
        <v>10385</v>
      </c>
      <c r="F7103" s="211" t="s">
        <v>7867</v>
      </c>
    </row>
    <row r="7104" spans="1:6">
      <c r="A7104" s="211" t="s">
        <v>4525</v>
      </c>
      <c r="B7104" s="211">
        <v>6557</v>
      </c>
      <c r="C7104" s="211">
        <v>1180</v>
      </c>
      <c r="D7104" s="211" t="s">
        <v>1117</v>
      </c>
      <c r="E7104" s="211" t="s">
        <v>6268</v>
      </c>
      <c r="F7104" s="211" t="s">
        <v>7524</v>
      </c>
    </row>
    <row r="7105" spans="1:6">
      <c r="A7105" s="211" t="s">
        <v>11014</v>
      </c>
      <c r="B7105" s="211">
        <v>8853</v>
      </c>
      <c r="C7105" s="211">
        <v>1085</v>
      </c>
      <c r="D7105" s="211" t="s">
        <v>1255</v>
      </c>
      <c r="E7105" s="211" t="s">
        <v>11015</v>
      </c>
      <c r="F7105" s="211" t="s">
        <v>7205</v>
      </c>
    </row>
    <row r="7106" spans="1:6">
      <c r="A7106" s="211" t="s">
        <v>3623</v>
      </c>
      <c r="B7106" s="211">
        <v>3079</v>
      </c>
      <c r="C7106" s="211">
        <v>1354</v>
      </c>
      <c r="D7106" s="211" t="s">
        <v>1255</v>
      </c>
      <c r="E7106" s="211" t="s">
        <v>10385</v>
      </c>
      <c r="F7106" s="211" t="s">
        <v>7231</v>
      </c>
    </row>
    <row r="7107" spans="1:6">
      <c r="A7107" s="211" t="s">
        <v>6269</v>
      </c>
      <c r="B7107" s="211">
        <v>7522</v>
      </c>
      <c r="C7107" s="211">
        <v>1153</v>
      </c>
      <c r="D7107" s="211" t="s">
        <v>1255</v>
      </c>
      <c r="E7107" s="211" t="s">
        <v>10385</v>
      </c>
      <c r="F7107" s="211" t="s">
        <v>7224</v>
      </c>
    </row>
    <row r="7108" spans="1:6">
      <c r="A7108" s="211" t="s">
        <v>3624</v>
      </c>
      <c r="B7108" s="211">
        <v>2903</v>
      </c>
      <c r="C7108" s="211">
        <v>698</v>
      </c>
      <c r="D7108" s="211" t="s">
        <v>1117</v>
      </c>
      <c r="E7108" s="211" t="s">
        <v>10385</v>
      </c>
      <c r="F7108" s="211" t="s">
        <v>7205</v>
      </c>
    </row>
    <row r="7109" spans="1:6">
      <c r="A7109" s="211" t="s">
        <v>5247</v>
      </c>
      <c r="B7109" s="211">
        <v>6739</v>
      </c>
      <c r="C7109" s="211">
        <v>1046</v>
      </c>
      <c r="D7109" s="211" t="s">
        <v>1255</v>
      </c>
      <c r="E7109" s="211" t="s">
        <v>10385</v>
      </c>
      <c r="F7109" s="211" t="s">
        <v>7258</v>
      </c>
    </row>
    <row r="7110" spans="1:6">
      <c r="A7110" s="211" t="s">
        <v>3625</v>
      </c>
      <c r="B7110" s="211">
        <v>3831</v>
      </c>
      <c r="C7110" s="211">
        <v>1288</v>
      </c>
      <c r="D7110" s="211" t="s">
        <v>1255</v>
      </c>
      <c r="E7110" s="211" t="s">
        <v>10385</v>
      </c>
      <c r="F7110" s="211" t="s">
        <v>7194</v>
      </c>
    </row>
    <row r="7111" spans="1:6">
      <c r="A7111" s="211" t="s">
        <v>8717</v>
      </c>
      <c r="B7111" s="211">
        <v>365</v>
      </c>
      <c r="C7111" s="211" t="s">
        <v>10385</v>
      </c>
      <c r="D7111" s="211" t="s">
        <v>1255</v>
      </c>
      <c r="E7111" s="211" t="s">
        <v>10385</v>
      </c>
      <c r="F7111" s="211" t="s">
        <v>7343</v>
      </c>
    </row>
    <row r="7112" spans="1:6">
      <c r="A7112" s="211" t="s">
        <v>2965</v>
      </c>
      <c r="B7112" s="211">
        <v>2590</v>
      </c>
      <c r="C7112" s="211">
        <v>876</v>
      </c>
      <c r="D7112" s="211" t="s">
        <v>1255</v>
      </c>
      <c r="E7112" s="211" t="s">
        <v>10385</v>
      </c>
      <c r="F7112" s="211" t="s">
        <v>7446</v>
      </c>
    </row>
    <row r="7113" spans="1:6">
      <c r="A7113" s="211" t="s">
        <v>11016</v>
      </c>
      <c r="B7113" s="211">
        <v>8715</v>
      </c>
      <c r="C7113" s="211">
        <v>1370</v>
      </c>
      <c r="D7113" s="211" t="s">
        <v>1255</v>
      </c>
      <c r="E7113" s="211" t="s">
        <v>11017</v>
      </c>
      <c r="F7113" s="211" t="s">
        <v>9065</v>
      </c>
    </row>
    <row r="7114" spans="1:6">
      <c r="A7114" s="211" t="s">
        <v>5248</v>
      </c>
      <c r="B7114" s="211">
        <v>866</v>
      </c>
      <c r="C7114" s="211">
        <v>1570</v>
      </c>
      <c r="D7114" s="211" t="s">
        <v>1255</v>
      </c>
      <c r="E7114" s="211" t="s">
        <v>10385</v>
      </c>
      <c r="F7114" s="211" t="s">
        <v>7717</v>
      </c>
    </row>
    <row r="7115" spans="1:6">
      <c r="A7115" s="211" t="s">
        <v>5249</v>
      </c>
      <c r="B7115" s="211">
        <v>2514</v>
      </c>
      <c r="C7115" s="211">
        <v>1182</v>
      </c>
      <c r="D7115" s="211" t="s">
        <v>1255</v>
      </c>
      <c r="E7115" s="211" t="s">
        <v>10385</v>
      </c>
      <c r="F7115" s="211" t="s">
        <v>7246</v>
      </c>
    </row>
    <row r="7116" spans="1:6">
      <c r="A7116" s="211" t="s">
        <v>10153</v>
      </c>
      <c r="B7116" s="211">
        <v>8458</v>
      </c>
      <c r="C7116" s="211" t="s">
        <v>10385</v>
      </c>
      <c r="D7116" s="211" t="s">
        <v>1117</v>
      </c>
      <c r="E7116" s="211" t="s">
        <v>10154</v>
      </c>
      <c r="F7116" s="211" t="s">
        <v>7327</v>
      </c>
    </row>
    <row r="7117" spans="1:6">
      <c r="A7117" s="211" t="s">
        <v>8718</v>
      </c>
      <c r="B7117" s="211">
        <v>2282</v>
      </c>
      <c r="C7117" s="211" t="s">
        <v>10385</v>
      </c>
      <c r="D7117" s="211" t="s">
        <v>1255</v>
      </c>
      <c r="E7117" s="211" t="s">
        <v>10385</v>
      </c>
      <c r="F7117" s="211" t="s">
        <v>7377</v>
      </c>
    </row>
    <row r="7118" spans="1:6">
      <c r="A7118" s="211" t="s">
        <v>3626</v>
      </c>
      <c r="B7118" s="211">
        <v>3432</v>
      </c>
      <c r="C7118" s="211">
        <v>1750</v>
      </c>
      <c r="D7118" s="211" t="s">
        <v>1255</v>
      </c>
      <c r="E7118" s="211" t="s">
        <v>10385</v>
      </c>
      <c r="F7118" s="211" t="s">
        <v>7165</v>
      </c>
    </row>
    <row r="7119" spans="1:6">
      <c r="A7119" s="211" t="s">
        <v>2943</v>
      </c>
      <c r="B7119" s="211">
        <v>1239</v>
      </c>
      <c r="C7119" s="211">
        <v>1822</v>
      </c>
      <c r="D7119" s="211" t="s">
        <v>1117</v>
      </c>
      <c r="E7119" s="211" t="s">
        <v>10385</v>
      </c>
      <c r="F7119" s="211" t="s">
        <v>7263</v>
      </c>
    </row>
    <row r="7120" spans="1:6">
      <c r="A7120" s="211" t="s">
        <v>6270</v>
      </c>
      <c r="B7120" s="211">
        <v>7515</v>
      </c>
      <c r="C7120" s="211">
        <v>2041</v>
      </c>
      <c r="D7120" s="211" t="s">
        <v>1255</v>
      </c>
      <c r="E7120" s="211" t="s">
        <v>10155</v>
      </c>
      <c r="F7120" s="211" t="s">
        <v>7402</v>
      </c>
    </row>
    <row r="7121" spans="1:6">
      <c r="A7121" s="211" t="s">
        <v>3627</v>
      </c>
      <c r="B7121" s="211">
        <v>1343</v>
      </c>
      <c r="C7121" s="211">
        <v>1529</v>
      </c>
      <c r="D7121" s="211" t="s">
        <v>1255</v>
      </c>
      <c r="E7121" s="211" t="s">
        <v>10385</v>
      </c>
      <c r="F7121" s="211" t="s">
        <v>7419</v>
      </c>
    </row>
    <row r="7122" spans="1:6">
      <c r="A7122" s="211" t="s">
        <v>4904</v>
      </c>
      <c r="B7122" s="211">
        <v>4050</v>
      </c>
      <c r="C7122" s="211">
        <v>775</v>
      </c>
      <c r="D7122" s="211" t="s">
        <v>1117</v>
      </c>
      <c r="E7122" s="211" t="s">
        <v>10385</v>
      </c>
      <c r="F7122" s="211" t="s">
        <v>7386</v>
      </c>
    </row>
    <row r="7123" spans="1:6">
      <c r="A7123" s="211" t="s">
        <v>3628</v>
      </c>
      <c r="B7123" s="211">
        <v>2649</v>
      </c>
      <c r="C7123" s="211">
        <v>1325</v>
      </c>
      <c r="D7123" s="211" t="s">
        <v>1255</v>
      </c>
      <c r="E7123" s="211" t="s">
        <v>10385</v>
      </c>
      <c r="F7123" s="211" t="s">
        <v>7354</v>
      </c>
    </row>
    <row r="7124" spans="1:6">
      <c r="A7124" s="211" t="s">
        <v>10156</v>
      </c>
      <c r="B7124" s="211">
        <v>8155</v>
      </c>
      <c r="C7124" s="211">
        <v>1053</v>
      </c>
      <c r="D7124" s="211" t="s">
        <v>1255</v>
      </c>
      <c r="E7124" s="211" t="s">
        <v>10157</v>
      </c>
      <c r="F7124" s="211" t="s">
        <v>7386</v>
      </c>
    </row>
    <row r="7125" spans="1:6">
      <c r="A7125" s="211" t="s">
        <v>3629</v>
      </c>
      <c r="B7125" s="211">
        <v>5036</v>
      </c>
      <c r="C7125" s="211">
        <v>1153</v>
      </c>
      <c r="D7125" s="211" t="s">
        <v>1255</v>
      </c>
      <c r="E7125" s="211" t="s">
        <v>10385</v>
      </c>
      <c r="F7125" s="211" t="s">
        <v>7165</v>
      </c>
    </row>
    <row r="7126" spans="1:6">
      <c r="A7126" s="211" t="s">
        <v>3630</v>
      </c>
      <c r="B7126" s="211">
        <v>3589</v>
      </c>
      <c r="C7126" s="211">
        <v>632</v>
      </c>
      <c r="D7126" s="211" t="s">
        <v>1117</v>
      </c>
      <c r="E7126" s="211" t="s">
        <v>10385</v>
      </c>
      <c r="F7126" s="211" t="s">
        <v>7205</v>
      </c>
    </row>
    <row r="7127" spans="1:6">
      <c r="A7127" s="211" t="s">
        <v>6272</v>
      </c>
      <c r="B7127" s="211">
        <v>7595</v>
      </c>
      <c r="C7127" s="211">
        <v>1040</v>
      </c>
      <c r="D7127" s="211" t="s">
        <v>1255</v>
      </c>
      <c r="E7127" s="211" t="s">
        <v>7084</v>
      </c>
      <c r="F7127" s="211" t="s">
        <v>7342</v>
      </c>
    </row>
    <row r="7128" spans="1:6">
      <c r="A7128" s="211" t="s">
        <v>8719</v>
      </c>
      <c r="B7128" s="211">
        <v>4115</v>
      </c>
      <c r="C7128" s="211">
        <v>1256</v>
      </c>
      <c r="D7128" s="211" t="s">
        <v>1255</v>
      </c>
      <c r="E7128" s="211" t="s">
        <v>10385</v>
      </c>
      <c r="F7128" s="211" t="s">
        <v>7334</v>
      </c>
    </row>
    <row r="7129" spans="1:6">
      <c r="A7129" s="211" t="s">
        <v>5250</v>
      </c>
      <c r="B7129" s="211">
        <v>6916</v>
      </c>
      <c r="C7129" s="211">
        <v>772</v>
      </c>
      <c r="D7129" s="211" t="s">
        <v>1117</v>
      </c>
      <c r="E7129" s="211" t="s">
        <v>10385</v>
      </c>
      <c r="F7129" s="211" t="s">
        <v>7292</v>
      </c>
    </row>
    <row r="7130" spans="1:6">
      <c r="A7130" s="211" t="s">
        <v>10158</v>
      </c>
      <c r="B7130" s="211">
        <v>8478</v>
      </c>
      <c r="C7130" s="211">
        <v>1601</v>
      </c>
      <c r="D7130" s="211" t="s">
        <v>1117</v>
      </c>
      <c r="E7130" s="211" t="s">
        <v>10159</v>
      </c>
      <c r="F7130" s="211" t="s">
        <v>7415</v>
      </c>
    </row>
    <row r="7131" spans="1:6">
      <c r="A7131" s="211" t="s">
        <v>6273</v>
      </c>
      <c r="B7131" s="211">
        <v>7046</v>
      </c>
      <c r="C7131" s="211">
        <v>1402</v>
      </c>
      <c r="D7131" s="211" t="s">
        <v>1255</v>
      </c>
      <c r="E7131" s="211" t="s">
        <v>7085</v>
      </c>
      <c r="F7131" s="211" t="s">
        <v>7320</v>
      </c>
    </row>
    <row r="7132" spans="1:6">
      <c r="A7132" s="211" t="s">
        <v>2969</v>
      </c>
      <c r="B7132" s="211">
        <v>2370</v>
      </c>
      <c r="C7132" s="211">
        <v>729</v>
      </c>
      <c r="D7132" s="211" t="s">
        <v>1255</v>
      </c>
      <c r="E7132" s="211" t="s">
        <v>10385</v>
      </c>
      <c r="F7132" s="211" t="s">
        <v>7380</v>
      </c>
    </row>
    <row r="7133" spans="1:6">
      <c r="A7133" s="211" t="s">
        <v>8720</v>
      </c>
      <c r="B7133" s="211">
        <v>201</v>
      </c>
      <c r="C7133" s="211" t="s">
        <v>10385</v>
      </c>
      <c r="D7133" s="211" t="s">
        <v>1255</v>
      </c>
      <c r="E7133" s="211" t="s">
        <v>10385</v>
      </c>
      <c r="F7133" s="211" t="s">
        <v>7239</v>
      </c>
    </row>
    <row r="7134" spans="1:6">
      <c r="A7134" s="211" t="s">
        <v>8721</v>
      </c>
      <c r="B7134" s="211">
        <v>6989</v>
      </c>
      <c r="C7134" s="211">
        <v>850</v>
      </c>
      <c r="D7134" s="211" t="s">
        <v>1117</v>
      </c>
      <c r="E7134" s="211" t="s">
        <v>10385</v>
      </c>
      <c r="F7134" s="211" t="s">
        <v>7386</v>
      </c>
    </row>
    <row r="7135" spans="1:6">
      <c r="A7135" s="211" t="s">
        <v>4686</v>
      </c>
      <c r="B7135" s="211">
        <v>6426</v>
      </c>
      <c r="C7135" s="211">
        <v>1536</v>
      </c>
      <c r="D7135" s="211" t="s">
        <v>1117</v>
      </c>
      <c r="E7135" s="211" t="s">
        <v>6274</v>
      </c>
      <c r="F7135" s="211" t="s">
        <v>7167</v>
      </c>
    </row>
    <row r="7136" spans="1:6">
      <c r="A7136" s="211" t="s">
        <v>3631</v>
      </c>
      <c r="B7136" s="211">
        <v>3741</v>
      </c>
      <c r="C7136" s="211">
        <v>1053</v>
      </c>
      <c r="D7136" s="211" t="s">
        <v>1255</v>
      </c>
      <c r="E7136" s="211" t="s">
        <v>10385</v>
      </c>
      <c r="F7136" s="211" t="s">
        <v>7471</v>
      </c>
    </row>
    <row r="7137" spans="1:6">
      <c r="A7137" s="211" t="s">
        <v>3632</v>
      </c>
      <c r="B7137" s="211">
        <v>4722</v>
      </c>
      <c r="C7137" s="211">
        <v>1160</v>
      </c>
      <c r="D7137" s="211" t="s">
        <v>1255</v>
      </c>
      <c r="E7137" s="211" t="s">
        <v>10385</v>
      </c>
      <c r="F7137" s="211" t="s">
        <v>7249</v>
      </c>
    </row>
    <row r="7138" spans="1:6">
      <c r="A7138" s="211" t="s">
        <v>3633</v>
      </c>
      <c r="B7138" s="211">
        <v>1894</v>
      </c>
      <c r="C7138" s="211">
        <v>962</v>
      </c>
      <c r="D7138" s="211" t="s">
        <v>1255</v>
      </c>
      <c r="E7138" s="211" t="s">
        <v>10385</v>
      </c>
      <c r="F7138" s="211" t="s">
        <v>7343</v>
      </c>
    </row>
    <row r="7139" spans="1:6">
      <c r="A7139" s="211" t="s">
        <v>3634</v>
      </c>
      <c r="B7139" s="211">
        <v>4777</v>
      </c>
      <c r="C7139" s="211">
        <v>1491</v>
      </c>
      <c r="D7139" s="211" t="s">
        <v>1255</v>
      </c>
      <c r="E7139" s="211" t="s">
        <v>10385</v>
      </c>
      <c r="F7139" s="211" t="s">
        <v>7241</v>
      </c>
    </row>
    <row r="7140" spans="1:6">
      <c r="A7140" s="211" t="s">
        <v>8722</v>
      </c>
      <c r="B7140" s="211">
        <v>1905</v>
      </c>
      <c r="C7140" s="211" t="s">
        <v>10385</v>
      </c>
      <c r="D7140" s="211" t="s">
        <v>1255</v>
      </c>
      <c r="E7140" s="211" t="s">
        <v>10385</v>
      </c>
      <c r="F7140" s="211" t="s">
        <v>7581</v>
      </c>
    </row>
    <row r="7141" spans="1:6">
      <c r="A7141" s="211" t="s">
        <v>8723</v>
      </c>
      <c r="B7141" s="211">
        <v>331</v>
      </c>
      <c r="C7141" s="211" t="s">
        <v>10385</v>
      </c>
      <c r="D7141" s="211" t="s">
        <v>1255</v>
      </c>
      <c r="E7141" s="211" t="s">
        <v>10385</v>
      </c>
      <c r="F7141" s="211" t="s">
        <v>7239</v>
      </c>
    </row>
    <row r="7142" spans="1:6">
      <c r="A7142" s="211" t="s">
        <v>10160</v>
      </c>
      <c r="B7142" s="211">
        <v>8097</v>
      </c>
      <c r="C7142" s="211">
        <v>1656</v>
      </c>
      <c r="D7142" s="211" t="s">
        <v>1255</v>
      </c>
      <c r="E7142" s="211" t="s">
        <v>10161</v>
      </c>
      <c r="F7142" s="211" t="s">
        <v>7298</v>
      </c>
    </row>
    <row r="7143" spans="1:6">
      <c r="A7143" s="211" t="s">
        <v>5251</v>
      </c>
      <c r="B7143" s="211">
        <v>1340</v>
      </c>
      <c r="C7143" s="211">
        <v>1225</v>
      </c>
      <c r="D7143" s="211" t="s">
        <v>1255</v>
      </c>
      <c r="E7143" s="211" t="s">
        <v>10385</v>
      </c>
      <c r="F7143" s="211" t="s">
        <v>7239</v>
      </c>
    </row>
    <row r="7144" spans="1:6">
      <c r="A7144" s="211" t="s">
        <v>5252</v>
      </c>
      <c r="B7144" s="211">
        <v>2710</v>
      </c>
      <c r="C7144" s="211">
        <v>1591</v>
      </c>
      <c r="D7144" s="211" t="s">
        <v>1255</v>
      </c>
      <c r="E7144" s="211" t="s">
        <v>10385</v>
      </c>
      <c r="F7144" s="211" t="s">
        <v>7365</v>
      </c>
    </row>
    <row r="7145" spans="1:6">
      <c r="A7145" s="211" t="s">
        <v>3635</v>
      </c>
      <c r="B7145" s="211">
        <v>3721</v>
      </c>
      <c r="C7145" s="211">
        <v>855</v>
      </c>
      <c r="D7145" s="211" t="s">
        <v>1255</v>
      </c>
      <c r="E7145" s="211" t="s">
        <v>10385</v>
      </c>
      <c r="F7145" s="211" t="s">
        <v>7192</v>
      </c>
    </row>
    <row r="7146" spans="1:6">
      <c r="A7146" s="211" t="s">
        <v>3636</v>
      </c>
      <c r="B7146" s="211">
        <v>2809</v>
      </c>
      <c r="C7146" s="211">
        <v>1236</v>
      </c>
      <c r="D7146" s="211" t="s">
        <v>1255</v>
      </c>
      <c r="E7146" s="211" t="s">
        <v>10385</v>
      </c>
      <c r="F7146" s="211" t="s">
        <v>7262</v>
      </c>
    </row>
    <row r="7147" spans="1:6">
      <c r="A7147" s="211" t="s">
        <v>4687</v>
      </c>
      <c r="B7147" s="211">
        <v>6439</v>
      </c>
      <c r="C7147" s="211">
        <v>864</v>
      </c>
      <c r="D7147" s="211" t="s">
        <v>1255</v>
      </c>
      <c r="E7147" s="211" t="s">
        <v>10385</v>
      </c>
      <c r="F7147" s="211" t="s">
        <v>7238</v>
      </c>
    </row>
    <row r="7148" spans="1:6">
      <c r="A7148" s="211" t="s">
        <v>8724</v>
      </c>
      <c r="B7148" s="211">
        <v>140</v>
      </c>
      <c r="C7148" s="211" t="s">
        <v>10385</v>
      </c>
      <c r="D7148" s="211" t="s">
        <v>1255</v>
      </c>
      <c r="E7148" s="211" t="s">
        <v>10385</v>
      </c>
      <c r="F7148" s="211" t="s">
        <v>7284</v>
      </c>
    </row>
    <row r="7149" spans="1:6">
      <c r="A7149" s="211" t="s">
        <v>10162</v>
      </c>
      <c r="B7149" s="211">
        <v>8390</v>
      </c>
      <c r="C7149" s="211">
        <v>1808</v>
      </c>
      <c r="D7149" s="211" t="s">
        <v>1255</v>
      </c>
      <c r="E7149" s="211" t="s">
        <v>10385</v>
      </c>
      <c r="F7149" s="211" t="s">
        <v>7307</v>
      </c>
    </row>
    <row r="7150" spans="1:6">
      <c r="A7150" s="211" t="s">
        <v>5253</v>
      </c>
      <c r="B7150" s="211">
        <v>6614</v>
      </c>
      <c r="C7150" s="211">
        <v>918</v>
      </c>
      <c r="D7150" s="211" t="s">
        <v>1255</v>
      </c>
      <c r="E7150" s="211" t="s">
        <v>10163</v>
      </c>
      <c r="F7150" s="211" t="s">
        <v>7240</v>
      </c>
    </row>
    <row r="7151" spans="1:6">
      <c r="A7151" s="211" t="s">
        <v>3637</v>
      </c>
      <c r="B7151" s="211">
        <v>3555</v>
      </c>
      <c r="C7151" s="211">
        <v>1090</v>
      </c>
      <c r="D7151" s="211" t="s">
        <v>1117</v>
      </c>
      <c r="E7151" s="211" t="s">
        <v>10385</v>
      </c>
      <c r="F7151" s="211" t="s">
        <v>7173</v>
      </c>
    </row>
    <row r="7152" spans="1:6">
      <c r="A7152" s="211" t="s">
        <v>3638</v>
      </c>
      <c r="B7152" s="211">
        <v>4644</v>
      </c>
      <c r="C7152" s="211">
        <v>881</v>
      </c>
      <c r="D7152" s="211" t="s">
        <v>1117</v>
      </c>
      <c r="E7152" s="211" t="s">
        <v>10385</v>
      </c>
      <c r="F7152" s="211" t="s">
        <v>7173</v>
      </c>
    </row>
    <row r="7153" spans="1:6">
      <c r="A7153" s="211" t="s">
        <v>8725</v>
      </c>
      <c r="B7153" s="211">
        <v>874</v>
      </c>
      <c r="C7153" s="211" t="s">
        <v>10385</v>
      </c>
      <c r="D7153" s="211" t="s">
        <v>1255</v>
      </c>
      <c r="E7153" s="211" t="s">
        <v>10385</v>
      </c>
      <c r="F7153" s="211" t="s">
        <v>7265</v>
      </c>
    </row>
    <row r="7154" spans="1:6">
      <c r="A7154" s="211" t="s">
        <v>5254</v>
      </c>
      <c r="B7154" s="211">
        <v>6633</v>
      </c>
      <c r="C7154" s="211">
        <v>1336</v>
      </c>
      <c r="D7154" s="211" t="s">
        <v>1255</v>
      </c>
      <c r="E7154" s="211" t="s">
        <v>10385</v>
      </c>
      <c r="F7154" s="211" t="s">
        <v>7386</v>
      </c>
    </row>
    <row r="7155" spans="1:6">
      <c r="A7155" s="211" t="s">
        <v>3639</v>
      </c>
      <c r="B7155" s="211">
        <v>4435</v>
      </c>
      <c r="C7155" s="211">
        <v>1147</v>
      </c>
      <c r="D7155" s="211" t="s">
        <v>1255</v>
      </c>
      <c r="E7155" s="211" t="s">
        <v>10385</v>
      </c>
      <c r="F7155" s="211" t="s">
        <v>7320</v>
      </c>
    </row>
    <row r="7156" spans="1:6">
      <c r="A7156" s="211" t="s">
        <v>4688</v>
      </c>
      <c r="B7156" s="211">
        <v>6405</v>
      </c>
      <c r="C7156" s="211">
        <v>1106</v>
      </c>
      <c r="D7156" s="211" t="s">
        <v>1255</v>
      </c>
      <c r="E7156" s="211" t="s">
        <v>10385</v>
      </c>
      <c r="F7156" s="211" t="s">
        <v>7556</v>
      </c>
    </row>
    <row r="7157" spans="1:6">
      <c r="A7157" s="211" t="s">
        <v>8726</v>
      </c>
      <c r="B7157" s="211">
        <v>2815</v>
      </c>
      <c r="C7157" s="211" t="s">
        <v>10385</v>
      </c>
      <c r="D7157" s="211" t="s">
        <v>1255</v>
      </c>
      <c r="E7157" s="211" t="s">
        <v>10385</v>
      </c>
      <c r="F7157" s="211" t="s">
        <v>7692</v>
      </c>
    </row>
    <row r="7158" spans="1:6">
      <c r="A7158" s="211" t="s">
        <v>3640</v>
      </c>
      <c r="B7158" s="211">
        <v>1602</v>
      </c>
      <c r="C7158" s="211">
        <v>1449</v>
      </c>
      <c r="D7158" s="211" t="s">
        <v>1255</v>
      </c>
      <c r="E7158" s="211" t="s">
        <v>10385</v>
      </c>
      <c r="F7158" s="211" t="s">
        <v>7196</v>
      </c>
    </row>
    <row r="7159" spans="1:6">
      <c r="A7159" s="211" t="s">
        <v>3641</v>
      </c>
      <c r="B7159" s="211">
        <v>2656</v>
      </c>
      <c r="C7159" s="211">
        <v>993</v>
      </c>
      <c r="D7159" s="211" t="s">
        <v>1255</v>
      </c>
      <c r="E7159" s="211" t="s">
        <v>10385</v>
      </c>
      <c r="F7159" s="211" t="s">
        <v>7283</v>
      </c>
    </row>
    <row r="7160" spans="1:6">
      <c r="A7160" s="211" t="s">
        <v>11018</v>
      </c>
      <c r="B7160" s="211">
        <v>8827</v>
      </c>
      <c r="C7160" s="211">
        <v>1316</v>
      </c>
      <c r="D7160" s="211" t="s">
        <v>1117</v>
      </c>
      <c r="E7160" s="211" t="s">
        <v>11019</v>
      </c>
      <c r="F7160" s="211" t="s">
        <v>7285</v>
      </c>
    </row>
    <row r="7161" spans="1:6">
      <c r="A7161" s="211" t="s">
        <v>3642</v>
      </c>
      <c r="B7161" s="211">
        <v>1664</v>
      </c>
      <c r="C7161" s="211">
        <v>1085</v>
      </c>
      <c r="D7161" s="211" t="s">
        <v>1255</v>
      </c>
      <c r="E7161" s="211" t="s">
        <v>10385</v>
      </c>
      <c r="F7161" s="211" t="s">
        <v>7286</v>
      </c>
    </row>
    <row r="7162" spans="1:6">
      <c r="A7162" s="211" t="s">
        <v>6275</v>
      </c>
      <c r="B7162" s="211">
        <v>7109</v>
      </c>
      <c r="C7162" s="211">
        <v>789</v>
      </c>
      <c r="D7162" s="211" t="s">
        <v>1255</v>
      </c>
      <c r="E7162" s="211" t="s">
        <v>10385</v>
      </c>
      <c r="F7162" s="211" t="s">
        <v>7501</v>
      </c>
    </row>
    <row r="7163" spans="1:6">
      <c r="A7163" s="211" t="s">
        <v>3643</v>
      </c>
      <c r="B7163" s="211">
        <v>3586</v>
      </c>
      <c r="C7163" s="211">
        <v>963</v>
      </c>
      <c r="D7163" s="211" t="s">
        <v>1117</v>
      </c>
      <c r="E7163" s="211" t="s">
        <v>10385</v>
      </c>
      <c r="F7163" s="211" t="s">
        <v>7272</v>
      </c>
    </row>
    <row r="7164" spans="1:6">
      <c r="A7164" s="211" t="s">
        <v>10164</v>
      </c>
      <c r="B7164" s="211">
        <v>8300</v>
      </c>
      <c r="C7164" s="211" t="s">
        <v>10385</v>
      </c>
      <c r="D7164" s="211" t="s">
        <v>1117</v>
      </c>
      <c r="E7164" s="211" t="s">
        <v>10385</v>
      </c>
      <c r="F7164" s="211" t="s">
        <v>7573</v>
      </c>
    </row>
    <row r="7165" spans="1:6">
      <c r="A7165" s="211" t="s">
        <v>3644</v>
      </c>
      <c r="B7165" s="211">
        <v>2802</v>
      </c>
      <c r="C7165" s="211">
        <v>1185</v>
      </c>
      <c r="D7165" s="211" t="s">
        <v>1117</v>
      </c>
      <c r="E7165" s="211" t="s">
        <v>10385</v>
      </c>
      <c r="F7165" s="211" t="s">
        <v>7208</v>
      </c>
    </row>
    <row r="7166" spans="1:6">
      <c r="A7166" s="211" t="s">
        <v>8727</v>
      </c>
      <c r="B7166" s="211">
        <v>3275</v>
      </c>
      <c r="C7166" s="211" t="s">
        <v>10385</v>
      </c>
      <c r="D7166" s="211" t="s">
        <v>1255</v>
      </c>
      <c r="E7166" s="211" t="s">
        <v>10385</v>
      </c>
      <c r="F7166" s="211" t="s">
        <v>7208</v>
      </c>
    </row>
    <row r="7167" spans="1:6">
      <c r="A7167" s="211" t="s">
        <v>6276</v>
      </c>
      <c r="B7167" s="211">
        <v>7134</v>
      </c>
      <c r="C7167" s="211">
        <v>1240</v>
      </c>
      <c r="D7167" s="211" t="s">
        <v>1255</v>
      </c>
      <c r="E7167" s="211" t="s">
        <v>6277</v>
      </c>
      <c r="F7167" s="211" t="s">
        <v>7217</v>
      </c>
    </row>
    <row r="7168" spans="1:6">
      <c r="A7168" s="211" t="s">
        <v>3645</v>
      </c>
      <c r="B7168" s="211">
        <v>5845</v>
      </c>
      <c r="C7168" s="211">
        <v>1057</v>
      </c>
      <c r="D7168" s="211" t="s">
        <v>1117</v>
      </c>
      <c r="E7168" s="211" t="s">
        <v>10143</v>
      </c>
      <c r="F7168" s="211" t="s">
        <v>7587</v>
      </c>
    </row>
    <row r="7169" spans="1:6">
      <c r="A7169" s="211" t="s">
        <v>3646</v>
      </c>
      <c r="B7169" s="211">
        <v>4726</v>
      </c>
      <c r="C7169" s="211">
        <v>674</v>
      </c>
      <c r="D7169" s="211" t="s">
        <v>1255</v>
      </c>
      <c r="E7169" s="211" t="s">
        <v>10385</v>
      </c>
      <c r="F7169" s="211" t="s">
        <v>7207</v>
      </c>
    </row>
    <row r="7170" spans="1:6">
      <c r="A7170" s="211" t="s">
        <v>5255</v>
      </c>
      <c r="B7170" s="211">
        <v>6797</v>
      </c>
      <c r="C7170" s="211">
        <v>845</v>
      </c>
      <c r="D7170" s="211" t="s">
        <v>1255</v>
      </c>
      <c r="E7170" s="211" t="s">
        <v>10385</v>
      </c>
      <c r="F7170" s="211" t="s">
        <v>7334</v>
      </c>
    </row>
    <row r="7171" spans="1:6">
      <c r="A7171" s="211" t="s">
        <v>3647</v>
      </c>
      <c r="B7171" s="211">
        <v>2416</v>
      </c>
      <c r="C7171" s="211">
        <v>1130</v>
      </c>
      <c r="D7171" s="211" t="s">
        <v>1117</v>
      </c>
      <c r="E7171" s="211" t="s">
        <v>10385</v>
      </c>
      <c r="F7171" s="211" t="s">
        <v>7173</v>
      </c>
    </row>
    <row r="7172" spans="1:6">
      <c r="A7172" s="211" t="s">
        <v>4653</v>
      </c>
      <c r="B7172" s="211">
        <v>6347</v>
      </c>
      <c r="C7172" s="211">
        <v>1631</v>
      </c>
      <c r="D7172" s="211" t="s">
        <v>1255</v>
      </c>
      <c r="E7172" s="211" t="s">
        <v>6278</v>
      </c>
      <c r="F7172" s="211" t="s">
        <v>7325</v>
      </c>
    </row>
    <row r="7173" spans="1:6">
      <c r="A7173" s="211" t="s">
        <v>3648</v>
      </c>
      <c r="B7173" s="211">
        <v>3580</v>
      </c>
      <c r="C7173" s="211">
        <v>914</v>
      </c>
      <c r="D7173" s="211" t="s">
        <v>1117</v>
      </c>
      <c r="E7173" s="211" t="s">
        <v>10385</v>
      </c>
      <c r="F7173" s="211" t="s">
        <v>7249</v>
      </c>
    </row>
    <row r="7174" spans="1:6">
      <c r="A7174" s="211" t="s">
        <v>3649</v>
      </c>
      <c r="B7174" s="211">
        <v>1301</v>
      </c>
      <c r="C7174" s="211">
        <v>1099</v>
      </c>
      <c r="D7174" s="211" t="s">
        <v>1255</v>
      </c>
      <c r="E7174" s="211" t="s">
        <v>10385</v>
      </c>
      <c r="F7174" s="211" t="s">
        <v>7592</v>
      </c>
    </row>
    <row r="7175" spans="1:6">
      <c r="A7175" s="211" t="s">
        <v>3650</v>
      </c>
      <c r="B7175" s="211">
        <v>2687</v>
      </c>
      <c r="C7175" s="211">
        <v>972</v>
      </c>
      <c r="D7175" s="211" t="s">
        <v>1255</v>
      </c>
      <c r="E7175" s="211" t="s">
        <v>10385</v>
      </c>
      <c r="F7175" s="211" t="s">
        <v>7629</v>
      </c>
    </row>
    <row r="7176" spans="1:6">
      <c r="A7176" s="211" t="s">
        <v>3651</v>
      </c>
      <c r="B7176" s="211">
        <v>5628</v>
      </c>
      <c r="C7176" s="211">
        <v>1678</v>
      </c>
      <c r="D7176" s="211" t="s">
        <v>1255</v>
      </c>
      <c r="E7176" s="211" t="s">
        <v>6279</v>
      </c>
      <c r="F7176" s="211" t="s">
        <v>7587</v>
      </c>
    </row>
    <row r="7177" spans="1:6">
      <c r="A7177" s="211" t="s">
        <v>8728</v>
      </c>
      <c r="B7177" s="211">
        <v>7849</v>
      </c>
      <c r="C7177" s="211">
        <v>1574</v>
      </c>
      <c r="D7177" s="211" t="s">
        <v>1255</v>
      </c>
      <c r="E7177" s="211" t="s">
        <v>11020</v>
      </c>
      <c r="F7177" s="211" t="s">
        <v>7189</v>
      </c>
    </row>
    <row r="7178" spans="1:6">
      <c r="A7178" s="211" t="s">
        <v>7086</v>
      </c>
      <c r="B7178" s="211">
        <v>7817</v>
      </c>
      <c r="C7178" s="211">
        <v>813</v>
      </c>
      <c r="D7178" s="211" t="s">
        <v>1255</v>
      </c>
      <c r="E7178" s="211" t="s">
        <v>7087</v>
      </c>
      <c r="F7178" s="211" t="s">
        <v>7928</v>
      </c>
    </row>
    <row r="7179" spans="1:6">
      <c r="A7179" s="211" t="s">
        <v>5256</v>
      </c>
      <c r="B7179" s="211">
        <v>5745</v>
      </c>
      <c r="C7179" s="211">
        <v>851</v>
      </c>
      <c r="D7179" s="211" t="s">
        <v>1117</v>
      </c>
      <c r="E7179" s="211" t="s">
        <v>7088</v>
      </c>
      <c r="F7179" s="211" t="s">
        <v>7327</v>
      </c>
    </row>
    <row r="7180" spans="1:6">
      <c r="A7180" s="211" t="s">
        <v>5304</v>
      </c>
      <c r="B7180" s="211">
        <v>2405</v>
      </c>
      <c r="C7180" s="211">
        <v>2177</v>
      </c>
      <c r="D7180" s="211" t="s">
        <v>1255</v>
      </c>
      <c r="E7180" s="211" t="s">
        <v>5257</v>
      </c>
      <c r="F7180" s="211" t="s">
        <v>7275</v>
      </c>
    </row>
    <row r="7181" spans="1:6">
      <c r="A7181" s="211" t="s">
        <v>8729</v>
      </c>
      <c r="B7181" s="211">
        <v>372</v>
      </c>
      <c r="C7181" s="211" t="s">
        <v>10385</v>
      </c>
      <c r="D7181" s="211" t="s">
        <v>1255</v>
      </c>
      <c r="E7181" s="211" t="s">
        <v>10385</v>
      </c>
      <c r="F7181" s="211" t="s">
        <v>7483</v>
      </c>
    </row>
    <row r="7182" spans="1:6">
      <c r="A7182" s="211" t="s">
        <v>6280</v>
      </c>
      <c r="B7182" s="211">
        <v>7034</v>
      </c>
      <c r="C7182" s="211">
        <v>1057</v>
      </c>
      <c r="D7182" s="211" t="s">
        <v>1255</v>
      </c>
      <c r="E7182" s="211" t="s">
        <v>6281</v>
      </c>
      <c r="F7182" s="211" t="s">
        <v>7310</v>
      </c>
    </row>
    <row r="7183" spans="1:6">
      <c r="A7183" s="211" t="s">
        <v>3652</v>
      </c>
      <c r="B7183" s="211">
        <v>2132</v>
      </c>
      <c r="C7183" s="211">
        <v>999</v>
      </c>
      <c r="D7183" s="211" t="s">
        <v>1117</v>
      </c>
      <c r="E7183" s="211" t="s">
        <v>10385</v>
      </c>
      <c r="F7183" s="211" t="s">
        <v>7171</v>
      </c>
    </row>
    <row r="7184" spans="1:6">
      <c r="A7184" s="211" t="s">
        <v>3653</v>
      </c>
      <c r="B7184" s="211">
        <v>582</v>
      </c>
      <c r="C7184" s="211">
        <v>1367</v>
      </c>
      <c r="D7184" s="211" t="s">
        <v>1255</v>
      </c>
      <c r="E7184" s="211" t="s">
        <v>10385</v>
      </c>
      <c r="F7184" s="211" t="s">
        <v>7272</v>
      </c>
    </row>
    <row r="7185" spans="1:6">
      <c r="A7185" s="211" t="s">
        <v>5258</v>
      </c>
      <c r="B7185" s="211">
        <v>6929</v>
      </c>
      <c r="C7185" s="211">
        <v>1262</v>
      </c>
      <c r="D7185" s="211" t="s">
        <v>1255</v>
      </c>
      <c r="E7185" s="211" t="s">
        <v>6282</v>
      </c>
      <c r="F7185" s="211" t="s">
        <v>7587</v>
      </c>
    </row>
    <row r="7186" spans="1:6">
      <c r="A7186" s="211" t="s">
        <v>3654</v>
      </c>
      <c r="B7186" s="211">
        <v>6027</v>
      </c>
      <c r="C7186" s="211">
        <v>1376</v>
      </c>
      <c r="D7186" s="211" t="s">
        <v>1117</v>
      </c>
      <c r="E7186" s="211" t="s">
        <v>10385</v>
      </c>
      <c r="F7186" s="211" t="s">
        <v>7272</v>
      </c>
    </row>
    <row r="7187" spans="1:6">
      <c r="A7187" s="211" t="s">
        <v>3655</v>
      </c>
      <c r="B7187" s="211">
        <v>2395</v>
      </c>
      <c r="C7187" s="211">
        <v>710</v>
      </c>
      <c r="D7187" s="211" t="s">
        <v>1255</v>
      </c>
      <c r="E7187" s="211" t="s">
        <v>10385</v>
      </c>
      <c r="F7187" s="211" t="s">
        <v>7393</v>
      </c>
    </row>
    <row r="7188" spans="1:6">
      <c r="A7188" s="211" t="s">
        <v>8730</v>
      </c>
      <c r="B7188" s="211">
        <v>269</v>
      </c>
      <c r="C7188" s="211" t="s">
        <v>10385</v>
      </c>
      <c r="D7188" s="211" t="s">
        <v>1255</v>
      </c>
      <c r="E7188" s="211" t="s">
        <v>10385</v>
      </c>
      <c r="F7188" s="211" t="s">
        <v>7320</v>
      </c>
    </row>
    <row r="7189" spans="1:6">
      <c r="A7189" s="211" t="s">
        <v>11021</v>
      </c>
      <c r="B7189" s="211">
        <v>8701</v>
      </c>
      <c r="C7189" s="211">
        <v>1772</v>
      </c>
      <c r="D7189" s="211" t="s">
        <v>1255</v>
      </c>
      <c r="E7189" s="211" t="s">
        <v>10385</v>
      </c>
      <c r="F7189" s="211" t="s">
        <v>7189</v>
      </c>
    </row>
    <row r="7190" spans="1:6">
      <c r="A7190" s="211" t="s">
        <v>10165</v>
      </c>
      <c r="B7190" s="211">
        <v>8061</v>
      </c>
      <c r="C7190" s="211">
        <v>749</v>
      </c>
      <c r="D7190" s="211" t="s">
        <v>1117</v>
      </c>
      <c r="E7190" s="211" t="s">
        <v>11022</v>
      </c>
      <c r="F7190" s="211" t="s">
        <v>7536</v>
      </c>
    </row>
    <row r="7191" spans="1:6">
      <c r="A7191" s="211" t="s">
        <v>3656</v>
      </c>
      <c r="B7191" s="211">
        <v>293</v>
      </c>
      <c r="C7191" s="211">
        <v>1371</v>
      </c>
      <c r="D7191" s="211" t="s">
        <v>1255</v>
      </c>
      <c r="E7191" s="211" t="s">
        <v>10385</v>
      </c>
      <c r="F7191" s="211" t="s">
        <v>9024</v>
      </c>
    </row>
    <row r="7192" spans="1:6">
      <c r="A7192" s="211" t="s">
        <v>3657</v>
      </c>
      <c r="B7192" s="211">
        <v>3055</v>
      </c>
      <c r="C7192" s="211">
        <v>1144</v>
      </c>
      <c r="D7192" s="211" t="s">
        <v>1255</v>
      </c>
      <c r="E7192" s="211" t="s">
        <v>10385</v>
      </c>
      <c r="F7192" s="211" t="s">
        <v>7217</v>
      </c>
    </row>
    <row r="7193" spans="1:6">
      <c r="A7193" s="211" t="s">
        <v>4554</v>
      </c>
      <c r="B7193" s="211">
        <v>6661</v>
      </c>
      <c r="C7193" s="211">
        <v>646</v>
      </c>
      <c r="D7193" s="211" t="s">
        <v>1117</v>
      </c>
      <c r="E7193" s="211" t="s">
        <v>10166</v>
      </c>
      <c r="F7193" s="211" t="s">
        <v>7327</v>
      </c>
    </row>
    <row r="7194" spans="1:6">
      <c r="A7194" s="211" t="s">
        <v>5259</v>
      </c>
      <c r="B7194" s="211">
        <v>6965</v>
      </c>
      <c r="C7194" s="211">
        <v>1488</v>
      </c>
      <c r="D7194" s="211" t="s">
        <v>1255</v>
      </c>
      <c r="E7194" s="211" t="s">
        <v>6283</v>
      </c>
      <c r="F7194" s="211" t="s">
        <v>7283</v>
      </c>
    </row>
    <row r="7195" spans="1:6">
      <c r="A7195" s="211" t="s">
        <v>3658</v>
      </c>
      <c r="B7195" s="211">
        <v>5645</v>
      </c>
      <c r="C7195" s="211">
        <v>866</v>
      </c>
      <c r="D7195" s="211" t="s">
        <v>1255</v>
      </c>
      <c r="E7195" s="211" t="s">
        <v>10385</v>
      </c>
      <c r="F7195" s="211" t="s">
        <v>7238</v>
      </c>
    </row>
    <row r="7196" spans="1:6">
      <c r="A7196" s="211" t="s">
        <v>5305</v>
      </c>
      <c r="B7196" s="211">
        <v>6935</v>
      </c>
      <c r="C7196" s="211">
        <v>2042</v>
      </c>
      <c r="D7196" s="211" t="s">
        <v>1255</v>
      </c>
      <c r="E7196" s="211" t="s">
        <v>10385</v>
      </c>
      <c r="F7196" s="211" t="s">
        <v>7414</v>
      </c>
    </row>
    <row r="7197" spans="1:6">
      <c r="A7197" s="211" t="s">
        <v>8731</v>
      </c>
      <c r="B7197" s="211">
        <v>4059</v>
      </c>
      <c r="C7197" s="211" t="s">
        <v>10385</v>
      </c>
      <c r="D7197" s="211" t="s">
        <v>1255</v>
      </c>
      <c r="E7197" s="211" t="s">
        <v>10385</v>
      </c>
      <c r="F7197" s="211" t="s">
        <v>8229</v>
      </c>
    </row>
    <row r="7198" spans="1:6">
      <c r="A7198" s="211" t="s">
        <v>9002</v>
      </c>
      <c r="B7198" s="211">
        <v>6495</v>
      </c>
      <c r="C7198" s="211">
        <v>2144</v>
      </c>
      <c r="D7198" s="211" t="s">
        <v>1255</v>
      </c>
      <c r="E7198" s="211" t="s">
        <v>10385</v>
      </c>
      <c r="F7198" s="211" t="s">
        <v>7272</v>
      </c>
    </row>
    <row r="7199" spans="1:6">
      <c r="A7199" s="211" t="s">
        <v>9003</v>
      </c>
      <c r="B7199" s="211">
        <v>114</v>
      </c>
      <c r="C7199" s="211" t="s">
        <v>10385</v>
      </c>
      <c r="D7199" s="211" t="s">
        <v>1255</v>
      </c>
      <c r="E7199" s="211" t="s">
        <v>10385</v>
      </c>
      <c r="F7199" s="211" t="s">
        <v>7173</v>
      </c>
    </row>
    <row r="7200" spans="1:6">
      <c r="A7200" s="211" t="s">
        <v>9004</v>
      </c>
      <c r="B7200" s="211">
        <v>4190</v>
      </c>
      <c r="C7200" s="211">
        <v>769</v>
      </c>
      <c r="D7200" s="211" t="s">
        <v>1117</v>
      </c>
      <c r="E7200" s="211" t="s">
        <v>10385</v>
      </c>
      <c r="F7200" s="211" t="s">
        <v>7223</v>
      </c>
    </row>
    <row r="7201" spans="1:6">
      <c r="A7201" s="211" t="s">
        <v>9005</v>
      </c>
      <c r="B7201" s="211">
        <v>6689</v>
      </c>
      <c r="C7201" s="211">
        <v>813</v>
      </c>
      <c r="D7201" s="211" t="s">
        <v>1117</v>
      </c>
      <c r="E7201" s="211" t="s">
        <v>6271</v>
      </c>
      <c r="F7201" s="211" t="s">
        <v>7383</v>
      </c>
    </row>
    <row r="7202" spans="1:6">
      <c r="A7202" s="211" t="s">
        <v>9006</v>
      </c>
      <c r="B7202" s="211">
        <v>481</v>
      </c>
      <c r="C7202" s="211" t="s">
        <v>10385</v>
      </c>
      <c r="D7202" s="211" t="s">
        <v>1255</v>
      </c>
      <c r="E7202" s="211" t="s">
        <v>10385</v>
      </c>
      <c r="F7202" s="211" t="s">
        <v>7306</v>
      </c>
    </row>
    <row r="7203" spans="1:6">
      <c r="A7203" s="211" t="s">
        <v>9007</v>
      </c>
      <c r="B7203" s="211">
        <v>1884</v>
      </c>
      <c r="C7203" s="211">
        <v>2144</v>
      </c>
      <c r="D7203" s="211" t="s">
        <v>1255</v>
      </c>
      <c r="E7203" s="211" t="s">
        <v>10385</v>
      </c>
      <c r="F7203" s="211" t="s">
        <v>7167</v>
      </c>
    </row>
    <row r="7204" spans="1:6">
      <c r="A7204" s="211" t="s">
        <v>10167</v>
      </c>
      <c r="B7204" s="211">
        <v>66</v>
      </c>
      <c r="C7204" s="211" t="s">
        <v>10385</v>
      </c>
      <c r="D7204" s="211" t="s">
        <v>1255</v>
      </c>
      <c r="E7204" s="211" t="s">
        <v>10385</v>
      </c>
      <c r="F7204" s="211" t="s">
        <v>7402</v>
      </c>
    </row>
    <row r="7205" spans="1:6">
      <c r="A7205" s="211" t="s">
        <v>9008</v>
      </c>
      <c r="B7205" s="211">
        <v>5883</v>
      </c>
      <c r="C7205" s="211" t="s">
        <v>10385</v>
      </c>
      <c r="D7205" s="211" t="s">
        <v>1117</v>
      </c>
      <c r="E7205" s="211" t="s">
        <v>10385</v>
      </c>
      <c r="F7205" s="211" t="s">
        <v>7402</v>
      </c>
    </row>
    <row r="7206" spans="1:6">
      <c r="A7206" s="211" t="s">
        <v>9009</v>
      </c>
      <c r="B7206" s="211">
        <v>6740</v>
      </c>
      <c r="C7206" s="211">
        <v>769</v>
      </c>
      <c r="D7206" s="211" t="s">
        <v>1255</v>
      </c>
      <c r="E7206" s="211" t="s">
        <v>10385</v>
      </c>
      <c r="F7206" s="211" t="s">
        <v>7258</v>
      </c>
    </row>
    <row r="7207" spans="1:6">
      <c r="A7207" s="211" t="s">
        <v>3659</v>
      </c>
      <c r="B7207" s="211">
        <v>1558</v>
      </c>
      <c r="C7207" s="211">
        <v>967</v>
      </c>
      <c r="D7207" s="211" t="s">
        <v>1255</v>
      </c>
      <c r="E7207" s="211" t="s">
        <v>10385</v>
      </c>
      <c r="F7207" s="211" t="s">
        <v>7665</v>
      </c>
    </row>
    <row r="7208" spans="1:6">
      <c r="A7208" s="211" t="s">
        <v>4654</v>
      </c>
      <c r="B7208" s="211">
        <v>6360</v>
      </c>
      <c r="C7208" s="211">
        <v>1155</v>
      </c>
      <c r="D7208" s="211" t="s">
        <v>1255</v>
      </c>
      <c r="E7208" s="211" t="s">
        <v>7089</v>
      </c>
      <c r="F7208" s="211" t="s">
        <v>7288</v>
      </c>
    </row>
    <row r="7209" spans="1:6">
      <c r="A7209" s="211" t="s">
        <v>3660</v>
      </c>
      <c r="B7209" s="211">
        <v>3356</v>
      </c>
      <c r="C7209" s="211">
        <v>778</v>
      </c>
      <c r="D7209" s="211" t="s">
        <v>1255</v>
      </c>
      <c r="E7209" s="211" t="s">
        <v>10385</v>
      </c>
      <c r="F7209" s="211" t="s">
        <v>7267</v>
      </c>
    </row>
    <row r="7210" spans="1:6">
      <c r="A7210" s="211" t="s">
        <v>2921</v>
      </c>
      <c r="B7210" s="211">
        <v>3150</v>
      </c>
      <c r="C7210" s="211">
        <v>793</v>
      </c>
      <c r="D7210" s="211" t="s">
        <v>1117</v>
      </c>
      <c r="E7210" s="211" t="s">
        <v>10385</v>
      </c>
      <c r="F7210" s="211" t="s">
        <v>7263</v>
      </c>
    </row>
    <row r="7211" spans="1:6">
      <c r="A7211" s="211" t="s">
        <v>8732</v>
      </c>
      <c r="B7211" s="211">
        <v>3162</v>
      </c>
      <c r="C7211" s="211" t="s">
        <v>10385</v>
      </c>
      <c r="D7211" s="211" t="s">
        <v>1255</v>
      </c>
      <c r="E7211" s="211" t="s">
        <v>10385</v>
      </c>
      <c r="F7211" s="211" t="s">
        <v>7534</v>
      </c>
    </row>
    <row r="7212" spans="1:6">
      <c r="A7212" s="211" t="s">
        <v>8733</v>
      </c>
      <c r="B7212" s="211">
        <v>704</v>
      </c>
      <c r="C7212" s="211" t="s">
        <v>10385</v>
      </c>
      <c r="D7212" s="211" t="s">
        <v>1255</v>
      </c>
      <c r="E7212" s="211" t="s">
        <v>10385</v>
      </c>
      <c r="F7212" s="211" t="s">
        <v>7597</v>
      </c>
    </row>
    <row r="7213" spans="1:6">
      <c r="A7213" s="211" t="s">
        <v>3661</v>
      </c>
      <c r="B7213" s="211">
        <v>2571</v>
      </c>
      <c r="C7213" s="211">
        <v>831</v>
      </c>
      <c r="D7213" s="211" t="s">
        <v>1255</v>
      </c>
      <c r="E7213" s="211" t="s">
        <v>10385</v>
      </c>
      <c r="F7213" s="211" t="s">
        <v>7290</v>
      </c>
    </row>
    <row r="7214" spans="1:6">
      <c r="A7214" s="211" t="s">
        <v>3662</v>
      </c>
      <c r="B7214" s="211">
        <v>5238</v>
      </c>
      <c r="C7214" s="211">
        <v>999</v>
      </c>
      <c r="D7214" s="211" t="s">
        <v>1255</v>
      </c>
      <c r="E7214" s="211" t="s">
        <v>10385</v>
      </c>
      <c r="F7214" s="211" t="s">
        <v>7760</v>
      </c>
    </row>
    <row r="7215" spans="1:6">
      <c r="A7215" s="211" t="s">
        <v>6284</v>
      </c>
      <c r="B7215" s="211">
        <v>7205</v>
      </c>
      <c r="C7215" s="211">
        <v>1670</v>
      </c>
      <c r="D7215" s="211" t="s">
        <v>1255</v>
      </c>
      <c r="E7215" s="211" t="s">
        <v>6285</v>
      </c>
      <c r="F7215" s="211" t="s">
        <v>7316</v>
      </c>
    </row>
    <row r="7216" spans="1:6">
      <c r="A7216" s="211" t="s">
        <v>11023</v>
      </c>
      <c r="B7216" s="211">
        <v>8779</v>
      </c>
      <c r="C7216" s="211">
        <v>1316</v>
      </c>
      <c r="D7216" s="211" t="s">
        <v>1255</v>
      </c>
      <c r="E7216" s="211" t="s">
        <v>11024</v>
      </c>
      <c r="F7216" s="211" t="s">
        <v>9056</v>
      </c>
    </row>
    <row r="7217" spans="1:6">
      <c r="A7217" s="211" t="s">
        <v>3663</v>
      </c>
      <c r="B7217" s="211">
        <v>1291</v>
      </c>
      <c r="C7217" s="211">
        <v>839</v>
      </c>
      <c r="D7217" s="211" t="s">
        <v>1255</v>
      </c>
      <c r="E7217" s="211" t="s">
        <v>10385</v>
      </c>
      <c r="F7217" s="211" t="s">
        <v>7376</v>
      </c>
    </row>
    <row r="7218" spans="1:6">
      <c r="A7218" s="211" t="s">
        <v>3664</v>
      </c>
      <c r="B7218" s="211">
        <v>3331</v>
      </c>
      <c r="C7218" s="211">
        <v>956</v>
      </c>
      <c r="D7218" s="211" t="s">
        <v>1255</v>
      </c>
      <c r="E7218" s="211" t="s">
        <v>10385</v>
      </c>
      <c r="F7218" s="211" t="s">
        <v>7603</v>
      </c>
    </row>
    <row r="7219" spans="1:6">
      <c r="A7219" s="211" t="s">
        <v>3665</v>
      </c>
      <c r="B7219" s="211">
        <v>3071</v>
      </c>
      <c r="C7219" s="211">
        <v>942</v>
      </c>
      <c r="D7219" s="211" t="s">
        <v>1255</v>
      </c>
      <c r="E7219" s="211" t="s">
        <v>10385</v>
      </c>
      <c r="F7219" s="211" t="s">
        <v>7318</v>
      </c>
    </row>
    <row r="7220" spans="1:6">
      <c r="A7220" s="211" t="s">
        <v>3666</v>
      </c>
      <c r="B7220" s="211">
        <v>5093</v>
      </c>
      <c r="C7220" s="211">
        <v>1189</v>
      </c>
      <c r="D7220" s="211" t="s">
        <v>1255</v>
      </c>
      <c r="E7220" s="211" t="s">
        <v>10385</v>
      </c>
      <c r="F7220" s="211" t="s">
        <v>7213</v>
      </c>
    </row>
    <row r="7221" spans="1:6">
      <c r="A7221" s="211" t="s">
        <v>3667</v>
      </c>
      <c r="B7221" s="211">
        <v>1155</v>
      </c>
      <c r="C7221" s="211">
        <v>1407</v>
      </c>
      <c r="D7221" s="211" t="s">
        <v>1255</v>
      </c>
      <c r="E7221" s="211" t="s">
        <v>10385</v>
      </c>
      <c r="F7221" s="211" t="s">
        <v>7274</v>
      </c>
    </row>
    <row r="7222" spans="1:6">
      <c r="A7222" s="211" t="s">
        <v>3668</v>
      </c>
      <c r="B7222" s="211">
        <v>1956</v>
      </c>
      <c r="C7222" s="211">
        <v>1412</v>
      </c>
      <c r="D7222" s="211" t="s">
        <v>1255</v>
      </c>
      <c r="E7222" s="211" t="s">
        <v>10385</v>
      </c>
      <c r="F7222" s="211" t="s">
        <v>7250</v>
      </c>
    </row>
    <row r="7223" spans="1:6">
      <c r="A7223" s="211" t="s">
        <v>3669</v>
      </c>
      <c r="B7223" s="211">
        <v>1630</v>
      </c>
      <c r="C7223" s="211">
        <v>674</v>
      </c>
      <c r="D7223" s="211" t="s">
        <v>1255</v>
      </c>
      <c r="E7223" s="211" t="s">
        <v>10385</v>
      </c>
      <c r="F7223" s="211" t="s">
        <v>7946</v>
      </c>
    </row>
    <row r="7224" spans="1:6">
      <c r="A7224" s="211" t="s">
        <v>3670</v>
      </c>
      <c r="B7224" s="211">
        <v>2237</v>
      </c>
      <c r="C7224" s="211">
        <v>829</v>
      </c>
      <c r="D7224" s="211" t="s">
        <v>1255</v>
      </c>
      <c r="E7224" s="211" t="s">
        <v>10385</v>
      </c>
      <c r="F7224" s="211" t="s">
        <v>7175</v>
      </c>
    </row>
    <row r="7225" spans="1:6">
      <c r="A7225" s="211" t="s">
        <v>3671</v>
      </c>
      <c r="B7225" s="211">
        <v>5113</v>
      </c>
      <c r="C7225" s="211">
        <v>1417</v>
      </c>
      <c r="D7225" s="211" t="s">
        <v>1255</v>
      </c>
      <c r="E7225" s="211" t="s">
        <v>10385</v>
      </c>
      <c r="F7225" s="211" t="s">
        <v>7459</v>
      </c>
    </row>
    <row r="7226" spans="1:6">
      <c r="A7226" s="211" t="s">
        <v>8734</v>
      </c>
      <c r="B7226" s="211">
        <v>437</v>
      </c>
      <c r="C7226" s="211" t="s">
        <v>10385</v>
      </c>
      <c r="D7226" s="211" t="s">
        <v>1255</v>
      </c>
      <c r="E7226" s="211" t="s">
        <v>10385</v>
      </c>
      <c r="F7226" s="211" t="s">
        <v>7233</v>
      </c>
    </row>
    <row r="7227" spans="1:6">
      <c r="A7227" s="211" t="s">
        <v>3672</v>
      </c>
      <c r="B7227" s="211">
        <v>5338</v>
      </c>
      <c r="C7227" s="211">
        <v>819</v>
      </c>
      <c r="D7227" s="211" t="s">
        <v>1255</v>
      </c>
      <c r="E7227" s="211" t="s">
        <v>10385</v>
      </c>
      <c r="F7227" s="211" t="s">
        <v>7490</v>
      </c>
    </row>
    <row r="7228" spans="1:6">
      <c r="A7228" s="211" t="s">
        <v>6286</v>
      </c>
      <c r="B7228" s="211">
        <v>7512</v>
      </c>
      <c r="C7228" s="211">
        <v>836</v>
      </c>
      <c r="D7228" s="211" t="s">
        <v>1255</v>
      </c>
      <c r="E7228" s="211" t="s">
        <v>10385</v>
      </c>
      <c r="F7228" s="211" t="s">
        <v>7396</v>
      </c>
    </row>
    <row r="7229" spans="1:6">
      <c r="A7229" s="211" t="s">
        <v>6287</v>
      </c>
      <c r="B7229" s="211">
        <v>7548</v>
      </c>
      <c r="C7229" s="211">
        <v>1190</v>
      </c>
      <c r="D7229" s="211" t="s">
        <v>1255</v>
      </c>
      <c r="E7229" s="211" t="s">
        <v>10385</v>
      </c>
      <c r="F7229" s="211" t="s">
        <v>7583</v>
      </c>
    </row>
    <row r="7230" spans="1:6">
      <c r="A7230" s="211" t="s">
        <v>8735</v>
      </c>
      <c r="B7230" s="211">
        <v>7434</v>
      </c>
      <c r="C7230" s="211">
        <v>1201</v>
      </c>
      <c r="D7230" s="211" t="s">
        <v>1255</v>
      </c>
      <c r="E7230" s="211" t="s">
        <v>11025</v>
      </c>
      <c r="F7230" s="211" t="s">
        <v>7249</v>
      </c>
    </row>
    <row r="7231" spans="1:6">
      <c r="A7231" s="211" t="s">
        <v>8736</v>
      </c>
      <c r="B7231" s="211">
        <v>4104</v>
      </c>
      <c r="C7231" s="211" t="s">
        <v>10385</v>
      </c>
      <c r="D7231" s="211" t="s">
        <v>1255</v>
      </c>
      <c r="E7231" s="211" t="s">
        <v>10385</v>
      </c>
      <c r="F7231" s="211" t="s">
        <v>8062</v>
      </c>
    </row>
    <row r="7232" spans="1:6">
      <c r="A7232" s="211" t="s">
        <v>8737</v>
      </c>
      <c r="B7232" s="211">
        <v>3790</v>
      </c>
      <c r="C7232" s="211">
        <v>997</v>
      </c>
      <c r="D7232" s="211" t="s">
        <v>1255</v>
      </c>
      <c r="E7232" s="211" t="s">
        <v>10385</v>
      </c>
      <c r="F7232" s="211" t="s">
        <v>7286</v>
      </c>
    </row>
    <row r="7233" spans="1:6">
      <c r="A7233" s="211" t="s">
        <v>6288</v>
      </c>
      <c r="B7233" s="211">
        <v>7388</v>
      </c>
      <c r="C7233" s="211">
        <v>884</v>
      </c>
      <c r="D7233" s="211" t="s">
        <v>1255</v>
      </c>
      <c r="E7233" s="211" t="s">
        <v>6289</v>
      </c>
      <c r="F7233" s="211" t="s">
        <v>7524</v>
      </c>
    </row>
    <row r="7234" spans="1:6">
      <c r="A7234" s="211" t="s">
        <v>4742</v>
      </c>
      <c r="B7234" s="211">
        <v>6445</v>
      </c>
      <c r="C7234" s="211">
        <v>625</v>
      </c>
      <c r="D7234" s="211" t="s">
        <v>1255</v>
      </c>
      <c r="E7234" s="211" t="s">
        <v>10385</v>
      </c>
      <c r="F7234" s="211" t="s">
        <v>7389</v>
      </c>
    </row>
    <row r="7235" spans="1:6">
      <c r="A7235" s="211" t="s">
        <v>8738</v>
      </c>
      <c r="B7235" s="211">
        <v>6354</v>
      </c>
      <c r="C7235" s="211">
        <v>337</v>
      </c>
      <c r="D7235" s="211" t="s">
        <v>1255</v>
      </c>
      <c r="E7235" s="211" t="s">
        <v>10385</v>
      </c>
      <c r="F7235" s="211" t="s">
        <v>7571</v>
      </c>
    </row>
    <row r="7236" spans="1:6">
      <c r="A7236" s="211" t="s">
        <v>3673</v>
      </c>
      <c r="B7236" s="211">
        <v>6207</v>
      </c>
      <c r="C7236" s="211">
        <v>2149</v>
      </c>
      <c r="D7236" s="211" t="s">
        <v>1117</v>
      </c>
      <c r="E7236" s="211" t="s">
        <v>10385</v>
      </c>
      <c r="F7236" s="211" t="s">
        <v>7232</v>
      </c>
    </row>
    <row r="7237" spans="1:6">
      <c r="A7237" s="211" t="s">
        <v>3674</v>
      </c>
      <c r="B7237" s="211">
        <v>3758</v>
      </c>
      <c r="C7237" s="211">
        <v>1136</v>
      </c>
      <c r="D7237" s="211" t="s">
        <v>1255</v>
      </c>
      <c r="E7237" s="211" t="s">
        <v>10385</v>
      </c>
      <c r="F7237" s="211" t="s">
        <v>7262</v>
      </c>
    </row>
    <row r="7238" spans="1:6">
      <c r="A7238" s="211" t="s">
        <v>3675</v>
      </c>
      <c r="B7238" s="211">
        <v>2160</v>
      </c>
      <c r="C7238" s="211">
        <v>913</v>
      </c>
      <c r="D7238" s="211" t="s">
        <v>1255</v>
      </c>
      <c r="E7238" s="211" t="s">
        <v>10385</v>
      </c>
      <c r="F7238" s="211" t="s">
        <v>7446</v>
      </c>
    </row>
    <row r="7239" spans="1:6">
      <c r="A7239" s="211" t="s">
        <v>8739</v>
      </c>
      <c r="B7239" s="211">
        <v>550</v>
      </c>
      <c r="C7239" s="211" t="s">
        <v>10385</v>
      </c>
      <c r="D7239" s="211" t="s">
        <v>1255</v>
      </c>
      <c r="E7239" s="211" t="s">
        <v>10385</v>
      </c>
      <c r="F7239" s="211" t="s">
        <v>7791</v>
      </c>
    </row>
    <row r="7240" spans="1:6">
      <c r="A7240" s="211" t="s">
        <v>8740</v>
      </c>
      <c r="B7240" s="211">
        <v>315</v>
      </c>
      <c r="C7240" s="211" t="s">
        <v>10385</v>
      </c>
      <c r="D7240" s="211" t="s">
        <v>1255</v>
      </c>
      <c r="E7240" s="211" t="s">
        <v>10385</v>
      </c>
      <c r="F7240" s="211" t="s">
        <v>7272</v>
      </c>
    </row>
    <row r="7241" spans="1:6">
      <c r="A7241" s="211" t="s">
        <v>10168</v>
      </c>
      <c r="B7241" s="211">
        <v>8513</v>
      </c>
      <c r="C7241" s="211">
        <v>994</v>
      </c>
      <c r="D7241" s="211" t="s">
        <v>1117</v>
      </c>
      <c r="E7241" s="211" t="s">
        <v>10169</v>
      </c>
      <c r="F7241" s="211" t="s">
        <v>7165</v>
      </c>
    </row>
    <row r="7242" spans="1:6">
      <c r="A7242" s="211" t="s">
        <v>4743</v>
      </c>
      <c r="B7242" s="211">
        <v>4530</v>
      </c>
      <c r="C7242" s="211">
        <v>2189</v>
      </c>
      <c r="D7242" s="211" t="s">
        <v>1255</v>
      </c>
      <c r="E7242" s="211" t="s">
        <v>6290</v>
      </c>
      <c r="F7242" s="211" t="s">
        <v>7510</v>
      </c>
    </row>
    <row r="7243" spans="1:6">
      <c r="A7243" s="211" t="s">
        <v>2851</v>
      </c>
      <c r="B7243" s="211">
        <v>3445</v>
      </c>
      <c r="C7243" s="211">
        <v>1480</v>
      </c>
      <c r="D7243" s="211" t="s">
        <v>1255</v>
      </c>
      <c r="E7243" s="211" t="s">
        <v>10385</v>
      </c>
      <c r="F7243" s="211" t="s">
        <v>7495</v>
      </c>
    </row>
    <row r="7244" spans="1:6">
      <c r="A7244" s="211" t="s">
        <v>8741</v>
      </c>
      <c r="B7244" s="211">
        <v>7027</v>
      </c>
      <c r="C7244" s="211" t="s">
        <v>10385</v>
      </c>
      <c r="D7244" s="211" t="s">
        <v>1255</v>
      </c>
      <c r="E7244" s="211" t="s">
        <v>10385</v>
      </c>
      <c r="F7244" s="211" t="s">
        <v>7242</v>
      </c>
    </row>
    <row r="7245" spans="1:6">
      <c r="A7245" s="211" t="s">
        <v>3676</v>
      </c>
      <c r="B7245" s="211">
        <v>1362</v>
      </c>
      <c r="C7245" s="211">
        <v>1437</v>
      </c>
      <c r="D7245" s="211" t="s">
        <v>1255</v>
      </c>
      <c r="E7245" s="211" t="s">
        <v>10385</v>
      </c>
      <c r="F7245" s="211" t="s">
        <v>7243</v>
      </c>
    </row>
    <row r="7246" spans="1:6">
      <c r="A7246" s="211" t="s">
        <v>3677</v>
      </c>
      <c r="B7246" s="211">
        <v>198</v>
      </c>
      <c r="C7246" s="211">
        <v>1652</v>
      </c>
      <c r="D7246" s="211" t="s">
        <v>1255</v>
      </c>
      <c r="E7246" s="211" t="s">
        <v>10385</v>
      </c>
      <c r="F7246" s="211" t="s">
        <v>7272</v>
      </c>
    </row>
    <row r="7247" spans="1:6">
      <c r="A7247" s="211" t="s">
        <v>8742</v>
      </c>
      <c r="B7247" s="211">
        <v>206</v>
      </c>
      <c r="C7247" s="211" t="s">
        <v>10385</v>
      </c>
      <c r="D7247" s="211" t="s">
        <v>1255</v>
      </c>
      <c r="E7247" s="211" t="s">
        <v>10385</v>
      </c>
      <c r="F7247" s="211" t="s">
        <v>7239</v>
      </c>
    </row>
    <row r="7248" spans="1:6">
      <c r="A7248" s="211" t="s">
        <v>10170</v>
      </c>
      <c r="B7248" s="211">
        <v>8277</v>
      </c>
      <c r="C7248" s="211">
        <v>1123</v>
      </c>
      <c r="D7248" s="211" t="s">
        <v>1117</v>
      </c>
      <c r="E7248" s="211" t="s">
        <v>11026</v>
      </c>
      <c r="F7248" s="211" t="s">
        <v>7199</v>
      </c>
    </row>
    <row r="7249" spans="1:6">
      <c r="A7249" s="211" t="s">
        <v>8743</v>
      </c>
      <c r="B7249" s="211">
        <v>2203</v>
      </c>
      <c r="C7249" s="211" t="s">
        <v>10385</v>
      </c>
      <c r="D7249" s="211" t="s">
        <v>1255</v>
      </c>
      <c r="E7249" s="211" t="s">
        <v>10385</v>
      </c>
      <c r="F7249" s="211" t="s">
        <v>7797</v>
      </c>
    </row>
    <row r="7250" spans="1:6">
      <c r="A7250" s="211" t="s">
        <v>3678</v>
      </c>
      <c r="B7250" s="211">
        <v>4814</v>
      </c>
      <c r="C7250" s="211">
        <v>1741</v>
      </c>
      <c r="D7250" s="211" t="s">
        <v>1255</v>
      </c>
      <c r="E7250" s="211" t="s">
        <v>10171</v>
      </c>
      <c r="F7250" s="211" t="s">
        <v>7210</v>
      </c>
    </row>
    <row r="7251" spans="1:6">
      <c r="A7251" s="211" t="s">
        <v>6291</v>
      </c>
      <c r="B7251" s="211">
        <v>7319</v>
      </c>
      <c r="C7251" s="211">
        <v>852</v>
      </c>
      <c r="D7251" s="211" t="s">
        <v>1255</v>
      </c>
      <c r="E7251" s="211" t="s">
        <v>10385</v>
      </c>
      <c r="F7251" s="211" t="s">
        <v>7287</v>
      </c>
    </row>
    <row r="7252" spans="1:6">
      <c r="A7252" s="211" t="s">
        <v>3679</v>
      </c>
      <c r="B7252" s="211">
        <v>4403</v>
      </c>
      <c r="C7252" s="211">
        <v>940</v>
      </c>
      <c r="D7252" s="211" t="s">
        <v>1255</v>
      </c>
      <c r="E7252" s="211" t="s">
        <v>10385</v>
      </c>
      <c r="F7252" s="211" t="s">
        <v>7354</v>
      </c>
    </row>
    <row r="7253" spans="1:6">
      <c r="A7253" s="211" t="s">
        <v>3680</v>
      </c>
      <c r="B7253" s="211">
        <v>4624</v>
      </c>
      <c r="C7253" s="211">
        <v>788</v>
      </c>
      <c r="D7253" s="211" t="s">
        <v>1255</v>
      </c>
      <c r="E7253" s="211" t="s">
        <v>10385</v>
      </c>
      <c r="F7253" s="211" t="s">
        <v>7438</v>
      </c>
    </row>
    <row r="7254" spans="1:6">
      <c r="A7254" s="211" t="s">
        <v>3681</v>
      </c>
      <c r="B7254" s="211">
        <v>2378</v>
      </c>
      <c r="C7254" s="211">
        <v>619</v>
      </c>
      <c r="D7254" s="211" t="s">
        <v>1117</v>
      </c>
      <c r="E7254" s="211" t="s">
        <v>10385</v>
      </c>
      <c r="F7254" s="211" t="s">
        <v>7213</v>
      </c>
    </row>
    <row r="7255" spans="1:6">
      <c r="A7255" s="211" t="s">
        <v>3682</v>
      </c>
      <c r="B7255" s="211">
        <v>2481</v>
      </c>
      <c r="C7255" s="211">
        <v>1008</v>
      </c>
      <c r="D7255" s="211" t="s">
        <v>1255</v>
      </c>
      <c r="E7255" s="211" t="s">
        <v>10385</v>
      </c>
      <c r="F7255" s="211" t="s">
        <v>7355</v>
      </c>
    </row>
    <row r="7256" spans="1:6">
      <c r="A7256" s="211" t="s">
        <v>3683</v>
      </c>
      <c r="B7256" s="211">
        <v>4008</v>
      </c>
      <c r="C7256" s="211">
        <v>912</v>
      </c>
      <c r="D7256" s="211" t="s">
        <v>1255</v>
      </c>
      <c r="E7256" s="211" t="s">
        <v>10385</v>
      </c>
      <c r="F7256" s="211" t="s">
        <v>7322</v>
      </c>
    </row>
    <row r="7257" spans="1:6">
      <c r="A7257" s="211" t="s">
        <v>10172</v>
      </c>
      <c r="B7257" s="211">
        <v>8360</v>
      </c>
      <c r="C7257" s="211">
        <v>996</v>
      </c>
      <c r="D7257" s="211" t="s">
        <v>1255</v>
      </c>
      <c r="E7257" s="211" t="s">
        <v>10173</v>
      </c>
      <c r="F7257" s="211" t="s">
        <v>9059</v>
      </c>
    </row>
    <row r="7258" spans="1:6">
      <c r="A7258" s="211" t="s">
        <v>3684</v>
      </c>
      <c r="B7258" s="211">
        <v>4332</v>
      </c>
      <c r="C7258" s="211">
        <v>921</v>
      </c>
      <c r="D7258" s="211" t="s">
        <v>1117</v>
      </c>
      <c r="E7258" s="211" t="s">
        <v>10385</v>
      </c>
      <c r="F7258" s="211" t="s">
        <v>7277</v>
      </c>
    </row>
    <row r="7259" spans="1:6">
      <c r="A7259" s="211" t="s">
        <v>3685</v>
      </c>
      <c r="B7259" s="211">
        <v>1102</v>
      </c>
      <c r="C7259" s="211">
        <v>1427</v>
      </c>
      <c r="D7259" s="211" t="s">
        <v>1255</v>
      </c>
      <c r="E7259" s="211" t="s">
        <v>10385</v>
      </c>
      <c r="F7259" s="211" t="s">
        <v>7255</v>
      </c>
    </row>
    <row r="7260" spans="1:6">
      <c r="A7260" s="211" t="s">
        <v>8744</v>
      </c>
      <c r="B7260" s="211">
        <v>3198</v>
      </c>
      <c r="C7260" s="211" t="s">
        <v>10385</v>
      </c>
      <c r="D7260" s="211" t="s">
        <v>1255</v>
      </c>
      <c r="E7260" s="211" t="s">
        <v>10385</v>
      </c>
      <c r="F7260" s="211" t="s">
        <v>7285</v>
      </c>
    </row>
    <row r="7261" spans="1:6">
      <c r="A7261" s="211" t="s">
        <v>10174</v>
      </c>
      <c r="B7261" s="211">
        <v>8371</v>
      </c>
      <c r="C7261" s="211">
        <v>1022</v>
      </c>
      <c r="D7261" s="211" t="s">
        <v>1255</v>
      </c>
      <c r="E7261" s="211" t="s">
        <v>10175</v>
      </c>
      <c r="F7261" s="211" t="s">
        <v>7414</v>
      </c>
    </row>
    <row r="7262" spans="1:6">
      <c r="A7262" s="211" t="s">
        <v>3686</v>
      </c>
      <c r="B7262" s="211">
        <v>3858</v>
      </c>
      <c r="C7262" s="211">
        <v>1394</v>
      </c>
      <c r="D7262" s="211" t="s">
        <v>1255</v>
      </c>
      <c r="E7262" s="211" t="s">
        <v>10385</v>
      </c>
      <c r="F7262" s="211" t="s">
        <v>7581</v>
      </c>
    </row>
    <row r="7263" spans="1:6">
      <c r="A7263" s="211" t="s">
        <v>3687</v>
      </c>
      <c r="B7263" s="211">
        <v>4267</v>
      </c>
      <c r="C7263" s="211">
        <v>1043</v>
      </c>
      <c r="D7263" s="211" t="s">
        <v>1255</v>
      </c>
      <c r="E7263" s="211" t="s">
        <v>10385</v>
      </c>
      <c r="F7263" s="211" t="s">
        <v>7267</v>
      </c>
    </row>
    <row r="7264" spans="1:6">
      <c r="A7264" s="211" t="s">
        <v>11027</v>
      </c>
      <c r="B7264" s="211">
        <v>8857</v>
      </c>
      <c r="C7264" s="211">
        <v>761</v>
      </c>
      <c r="D7264" s="211" t="s">
        <v>1255</v>
      </c>
      <c r="E7264" s="211" t="s">
        <v>11028</v>
      </c>
      <c r="F7264" s="211" t="s">
        <v>7205</v>
      </c>
    </row>
    <row r="7265" spans="1:6">
      <c r="A7265" s="211" t="s">
        <v>8745</v>
      </c>
      <c r="B7265" s="211">
        <v>308</v>
      </c>
      <c r="C7265" s="211" t="s">
        <v>10385</v>
      </c>
      <c r="D7265" s="211" t="s">
        <v>1255</v>
      </c>
      <c r="E7265" s="211" t="s">
        <v>10385</v>
      </c>
      <c r="F7265" s="211" t="s">
        <v>7165</v>
      </c>
    </row>
    <row r="7266" spans="1:6">
      <c r="A7266" s="211" t="s">
        <v>3688</v>
      </c>
      <c r="B7266" s="211">
        <v>1083</v>
      </c>
      <c r="C7266" s="211">
        <v>1683</v>
      </c>
      <c r="D7266" s="211" t="s">
        <v>1255</v>
      </c>
      <c r="E7266" s="211" t="s">
        <v>10385</v>
      </c>
      <c r="F7266" s="211" t="s">
        <v>7199</v>
      </c>
    </row>
    <row r="7267" spans="1:6">
      <c r="A7267" s="211" t="s">
        <v>3689</v>
      </c>
      <c r="B7267" s="211">
        <v>4612</v>
      </c>
      <c r="C7267" s="211">
        <v>936</v>
      </c>
      <c r="D7267" s="211" t="s">
        <v>1117</v>
      </c>
      <c r="E7267" s="211" t="s">
        <v>10385</v>
      </c>
      <c r="F7267" s="211" t="s">
        <v>7429</v>
      </c>
    </row>
    <row r="7268" spans="1:6">
      <c r="A7268" s="211" t="s">
        <v>5260</v>
      </c>
      <c r="B7268" s="211">
        <v>6616</v>
      </c>
      <c r="C7268" s="211">
        <v>923</v>
      </c>
      <c r="D7268" s="211" t="s">
        <v>1255</v>
      </c>
      <c r="E7268" s="211" t="s">
        <v>10385</v>
      </c>
      <c r="F7268" s="211" t="s">
        <v>7390</v>
      </c>
    </row>
    <row r="7269" spans="1:6">
      <c r="A7269" s="211" t="s">
        <v>8746</v>
      </c>
      <c r="B7269" s="211">
        <v>3709</v>
      </c>
      <c r="C7269" s="211" t="s">
        <v>10385</v>
      </c>
      <c r="D7269" s="211" t="s">
        <v>1117</v>
      </c>
      <c r="E7269" s="211" t="s">
        <v>10385</v>
      </c>
      <c r="F7269" s="211" t="s">
        <v>7386</v>
      </c>
    </row>
    <row r="7270" spans="1:6">
      <c r="A7270" s="211" t="s">
        <v>8747</v>
      </c>
      <c r="B7270" s="211">
        <v>609</v>
      </c>
      <c r="C7270" s="211" t="s">
        <v>10385</v>
      </c>
      <c r="D7270" s="211" t="s">
        <v>1255</v>
      </c>
      <c r="E7270" s="211" t="s">
        <v>10385</v>
      </c>
      <c r="F7270" s="211" t="s">
        <v>7592</v>
      </c>
    </row>
    <row r="7271" spans="1:6">
      <c r="A7271" s="211" t="s">
        <v>8748</v>
      </c>
      <c r="B7271" s="211">
        <v>633</v>
      </c>
      <c r="C7271" s="211" t="s">
        <v>10385</v>
      </c>
      <c r="D7271" s="211" t="s">
        <v>1255</v>
      </c>
      <c r="E7271" s="211" t="s">
        <v>10385</v>
      </c>
      <c r="F7271" s="211" t="s">
        <v>7425</v>
      </c>
    </row>
    <row r="7272" spans="1:6">
      <c r="A7272" s="211" t="s">
        <v>10176</v>
      </c>
      <c r="B7272" s="211">
        <v>8573</v>
      </c>
      <c r="C7272" s="211">
        <v>1032</v>
      </c>
      <c r="D7272" s="211" t="s">
        <v>1255</v>
      </c>
      <c r="E7272" s="211" t="s">
        <v>10177</v>
      </c>
      <c r="F7272" s="211" t="s">
        <v>7322</v>
      </c>
    </row>
    <row r="7273" spans="1:6">
      <c r="A7273" s="211" t="s">
        <v>3690</v>
      </c>
      <c r="B7273" s="211">
        <v>795</v>
      </c>
      <c r="C7273" s="211">
        <v>723</v>
      </c>
      <c r="D7273" s="211" t="s">
        <v>1255</v>
      </c>
      <c r="E7273" s="211" t="s">
        <v>10385</v>
      </c>
      <c r="F7273" s="211" t="s">
        <v>7456</v>
      </c>
    </row>
    <row r="7274" spans="1:6">
      <c r="A7274" s="211" t="s">
        <v>8749</v>
      </c>
      <c r="B7274" s="211">
        <v>336</v>
      </c>
      <c r="C7274" s="211" t="s">
        <v>10385</v>
      </c>
      <c r="D7274" s="211" t="s">
        <v>1255</v>
      </c>
      <c r="E7274" s="211" t="s">
        <v>10385</v>
      </c>
      <c r="F7274" s="211" t="s">
        <v>7210</v>
      </c>
    </row>
    <row r="7275" spans="1:6">
      <c r="A7275" s="211" t="s">
        <v>3691</v>
      </c>
      <c r="B7275" s="211">
        <v>4102</v>
      </c>
      <c r="C7275" s="211">
        <v>885</v>
      </c>
      <c r="D7275" s="211" t="s">
        <v>1255</v>
      </c>
      <c r="E7275" s="211" t="s">
        <v>10385</v>
      </c>
      <c r="F7275" s="211" t="s">
        <v>8062</v>
      </c>
    </row>
    <row r="7276" spans="1:6">
      <c r="A7276" s="211" t="s">
        <v>3692</v>
      </c>
      <c r="B7276" s="211">
        <v>5808</v>
      </c>
      <c r="C7276" s="211">
        <v>1101</v>
      </c>
      <c r="D7276" s="211" t="s">
        <v>1255</v>
      </c>
      <c r="E7276" s="211" t="s">
        <v>10385</v>
      </c>
      <c r="F7276" s="211" t="s">
        <v>7257</v>
      </c>
    </row>
    <row r="7277" spans="1:6">
      <c r="A7277" s="211" t="s">
        <v>3693</v>
      </c>
      <c r="B7277" s="211">
        <v>3950</v>
      </c>
      <c r="C7277" s="211">
        <v>837</v>
      </c>
      <c r="D7277" s="211" t="s">
        <v>1255</v>
      </c>
      <c r="E7277" s="211" t="s">
        <v>10385</v>
      </c>
      <c r="F7277" s="211" t="s">
        <v>7526</v>
      </c>
    </row>
    <row r="7278" spans="1:6">
      <c r="A7278" s="211" t="s">
        <v>5261</v>
      </c>
      <c r="B7278" s="211">
        <v>6726</v>
      </c>
      <c r="C7278" s="211">
        <v>660</v>
      </c>
      <c r="D7278" s="211" t="s">
        <v>1117</v>
      </c>
      <c r="E7278" s="211" t="s">
        <v>10385</v>
      </c>
      <c r="F7278" s="211" t="s">
        <v>7384</v>
      </c>
    </row>
    <row r="7279" spans="1:6">
      <c r="A7279" s="211" t="s">
        <v>4488</v>
      </c>
      <c r="B7279" s="211">
        <v>6699</v>
      </c>
      <c r="C7279" s="211">
        <v>1160</v>
      </c>
      <c r="D7279" s="211" t="s">
        <v>1255</v>
      </c>
      <c r="E7279" s="211" t="s">
        <v>6292</v>
      </c>
      <c r="F7279" s="211" t="s">
        <v>7235</v>
      </c>
    </row>
    <row r="7280" spans="1:6">
      <c r="A7280" s="211" t="s">
        <v>8750</v>
      </c>
      <c r="B7280" s="211">
        <v>697</v>
      </c>
      <c r="C7280" s="211" t="s">
        <v>10385</v>
      </c>
      <c r="D7280" s="211" t="s">
        <v>1255</v>
      </c>
      <c r="E7280" s="211" t="s">
        <v>10385</v>
      </c>
      <c r="F7280" s="211" t="s">
        <v>7597</v>
      </c>
    </row>
    <row r="7281" spans="1:6">
      <c r="A7281" s="211" t="s">
        <v>7090</v>
      </c>
      <c r="B7281" s="211">
        <v>7651</v>
      </c>
      <c r="C7281" s="211">
        <v>1289</v>
      </c>
      <c r="D7281" s="211" t="s">
        <v>1255</v>
      </c>
      <c r="E7281" s="211" t="s">
        <v>10178</v>
      </c>
      <c r="F7281" s="211" t="s">
        <v>7223</v>
      </c>
    </row>
    <row r="7282" spans="1:6">
      <c r="A7282" s="211" t="s">
        <v>3694</v>
      </c>
      <c r="B7282" s="211">
        <v>4207</v>
      </c>
      <c r="C7282" s="211">
        <v>838</v>
      </c>
      <c r="D7282" s="211" t="s">
        <v>1255</v>
      </c>
      <c r="E7282" s="211" t="s">
        <v>10385</v>
      </c>
      <c r="F7282" s="211" t="s">
        <v>7235</v>
      </c>
    </row>
    <row r="7283" spans="1:6">
      <c r="A7283" s="211" t="s">
        <v>3695</v>
      </c>
      <c r="B7283" s="211">
        <v>5464</v>
      </c>
      <c r="C7283" s="211">
        <v>846</v>
      </c>
      <c r="D7283" s="211" t="s">
        <v>1255</v>
      </c>
      <c r="E7283" s="211" t="s">
        <v>10385</v>
      </c>
      <c r="F7283" s="211" t="s">
        <v>7233</v>
      </c>
    </row>
    <row r="7284" spans="1:6">
      <c r="A7284" s="211" t="s">
        <v>2893</v>
      </c>
      <c r="B7284" s="211">
        <v>3454</v>
      </c>
      <c r="C7284" s="211">
        <v>915</v>
      </c>
      <c r="D7284" s="211" t="s">
        <v>1255</v>
      </c>
      <c r="E7284" s="211" t="s">
        <v>10385</v>
      </c>
      <c r="F7284" s="211" t="s">
        <v>7268</v>
      </c>
    </row>
    <row r="7285" spans="1:6">
      <c r="A7285" s="211" t="s">
        <v>3696</v>
      </c>
      <c r="B7285" s="211">
        <v>1066</v>
      </c>
      <c r="C7285" s="211">
        <v>1195</v>
      </c>
      <c r="D7285" s="211" t="s">
        <v>1255</v>
      </c>
      <c r="E7285" s="211" t="s">
        <v>10385</v>
      </c>
      <c r="F7285" s="211" t="s">
        <v>7343</v>
      </c>
    </row>
    <row r="7286" spans="1:6">
      <c r="A7286" s="211" t="s">
        <v>3697</v>
      </c>
      <c r="B7286" s="211">
        <v>5568</v>
      </c>
      <c r="C7286" s="211">
        <v>1026</v>
      </c>
      <c r="D7286" s="211" t="s">
        <v>1255</v>
      </c>
      <c r="E7286" s="211" t="s">
        <v>10385</v>
      </c>
      <c r="F7286" s="211" t="s">
        <v>7284</v>
      </c>
    </row>
    <row r="7287" spans="1:6">
      <c r="A7287" s="211" t="s">
        <v>3698</v>
      </c>
      <c r="B7287" s="211">
        <v>5260</v>
      </c>
      <c r="C7287" s="211">
        <v>1206</v>
      </c>
      <c r="D7287" s="211" t="s">
        <v>1255</v>
      </c>
      <c r="E7287" s="211" t="s">
        <v>10385</v>
      </c>
      <c r="F7287" s="211" t="s">
        <v>7298</v>
      </c>
    </row>
    <row r="7288" spans="1:6">
      <c r="A7288" s="211" t="s">
        <v>4575</v>
      </c>
      <c r="B7288" s="211">
        <v>6474</v>
      </c>
      <c r="C7288" s="211">
        <v>979</v>
      </c>
      <c r="D7288" s="211" t="s">
        <v>1255</v>
      </c>
      <c r="E7288" s="211" t="s">
        <v>10385</v>
      </c>
      <c r="F7288" s="211" t="s">
        <v>7724</v>
      </c>
    </row>
    <row r="7289" spans="1:6">
      <c r="A7289" s="211" t="s">
        <v>8751</v>
      </c>
      <c r="B7289" s="211">
        <v>676</v>
      </c>
      <c r="C7289" s="211" t="s">
        <v>10385</v>
      </c>
      <c r="D7289" s="211" t="s">
        <v>1255</v>
      </c>
      <c r="E7289" s="211" t="s">
        <v>10385</v>
      </c>
      <c r="F7289" s="211" t="s">
        <v>7269</v>
      </c>
    </row>
    <row r="7290" spans="1:6">
      <c r="A7290" s="211" t="s">
        <v>8752</v>
      </c>
      <c r="B7290" s="211">
        <v>292</v>
      </c>
      <c r="C7290" s="211" t="s">
        <v>10385</v>
      </c>
      <c r="D7290" s="211" t="s">
        <v>1255</v>
      </c>
      <c r="E7290" s="211" t="s">
        <v>10385</v>
      </c>
      <c r="F7290" s="211" t="s">
        <v>9024</v>
      </c>
    </row>
    <row r="7291" spans="1:6">
      <c r="A7291" s="211" t="s">
        <v>3699</v>
      </c>
      <c r="B7291" s="211">
        <v>5382</v>
      </c>
      <c r="C7291" s="211">
        <v>1122</v>
      </c>
      <c r="D7291" s="211" t="s">
        <v>1255</v>
      </c>
      <c r="E7291" s="211" t="s">
        <v>10385</v>
      </c>
      <c r="F7291" s="211" t="s">
        <v>7334</v>
      </c>
    </row>
    <row r="7292" spans="1:6">
      <c r="A7292" s="211" t="s">
        <v>3700</v>
      </c>
      <c r="B7292" s="211">
        <v>1722</v>
      </c>
      <c r="C7292" s="211">
        <v>950</v>
      </c>
      <c r="D7292" s="211" t="s">
        <v>1255</v>
      </c>
      <c r="E7292" s="211" t="s">
        <v>10385</v>
      </c>
      <c r="F7292" s="211" t="s">
        <v>8058</v>
      </c>
    </row>
    <row r="7293" spans="1:6">
      <c r="A7293" s="211" t="s">
        <v>5262</v>
      </c>
      <c r="B7293" s="211">
        <v>6846</v>
      </c>
      <c r="C7293" s="211">
        <v>749</v>
      </c>
      <c r="D7293" s="211" t="s">
        <v>1255</v>
      </c>
      <c r="E7293" s="211" t="s">
        <v>10385</v>
      </c>
      <c r="F7293" s="211" t="s">
        <v>7203</v>
      </c>
    </row>
    <row r="7294" spans="1:6">
      <c r="A7294" s="211" t="s">
        <v>6293</v>
      </c>
      <c r="B7294" s="211">
        <v>7475</v>
      </c>
      <c r="C7294" s="211">
        <v>454</v>
      </c>
      <c r="D7294" s="211" t="s">
        <v>1117</v>
      </c>
      <c r="E7294" s="211" t="s">
        <v>6294</v>
      </c>
      <c r="F7294" s="211" t="s">
        <v>7573</v>
      </c>
    </row>
    <row r="7295" spans="1:6">
      <c r="A7295" s="211" t="s">
        <v>11029</v>
      </c>
      <c r="B7295" s="211">
        <v>8834</v>
      </c>
      <c r="C7295" s="211">
        <v>507</v>
      </c>
      <c r="D7295" s="211" t="s">
        <v>1117</v>
      </c>
      <c r="E7295" s="211" t="s">
        <v>11030</v>
      </c>
      <c r="F7295" s="211" t="s">
        <v>10408</v>
      </c>
    </row>
    <row r="7296" spans="1:6">
      <c r="A7296" s="211" t="s">
        <v>9010</v>
      </c>
      <c r="B7296" s="211">
        <v>2993</v>
      </c>
      <c r="C7296" s="211" t="s">
        <v>10385</v>
      </c>
      <c r="D7296" s="211" t="s">
        <v>1255</v>
      </c>
      <c r="E7296" s="211" t="s">
        <v>10385</v>
      </c>
      <c r="F7296" s="211" t="s">
        <v>7270</v>
      </c>
    </row>
    <row r="7297" spans="1:6">
      <c r="A7297" s="211" t="s">
        <v>9011</v>
      </c>
      <c r="B7297" s="211">
        <v>2397</v>
      </c>
      <c r="C7297" s="211">
        <v>1711</v>
      </c>
      <c r="D7297" s="211" t="s">
        <v>1255</v>
      </c>
      <c r="E7297" s="211" t="s">
        <v>10385</v>
      </c>
      <c r="F7297" s="211" t="s">
        <v>7165</v>
      </c>
    </row>
    <row r="7298" spans="1:6">
      <c r="A7298" s="211" t="s">
        <v>5263</v>
      </c>
      <c r="B7298" s="211">
        <v>6703</v>
      </c>
      <c r="C7298" s="211">
        <v>861</v>
      </c>
      <c r="D7298" s="211" t="s">
        <v>1255</v>
      </c>
      <c r="E7298" s="211" t="s">
        <v>10385</v>
      </c>
      <c r="F7298" s="211" t="s">
        <v>7235</v>
      </c>
    </row>
    <row r="7299" spans="1:6">
      <c r="A7299" s="211" t="s">
        <v>3701</v>
      </c>
      <c r="B7299" s="211">
        <v>774</v>
      </c>
      <c r="C7299" s="211">
        <v>1194</v>
      </c>
      <c r="D7299" s="211" t="s">
        <v>1117</v>
      </c>
      <c r="E7299" s="211" t="s">
        <v>10385</v>
      </c>
      <c r="F7299" s="211" t="s">
        <v>7323</v>
      </c>
    </row>
    <row r="7300" spans="1:6">
      <c r="A7300" s="211" t="s">
        <v>8753</v>
      </c>
      <c r="B7300" s="211">
        <v>924</v>
      </c>
      <c r="C7300" s="211" t="s">
        <v>10385</v>
      </c>
      <c r="D7300" s="211" t="s">
        <v>1255</v>
      </c>
      <c r="E7300" s="211" t="s">
        <v>10385</v>
      </c>
      <c r="F7300" s="211" t="s">
        <v>7384</v>
      </c>
    </row>
    <row r="7301" spans="1:6">
      <c r="A7301" s="211" t="s">
        <v>10179</v>
      </c>
      <c r="B7301" s="211">
        <v>8230</v>
      </c>
      <c r="C7301" s="211">
        <v>1660</v>
      </c>
      <c r="D7301" s="211" t="s">
        <v>1255</v>
      </c>
      <c r="E7301" s="211" t="s">
        <v>10385</v>
      </c>
      <c r="F7301" s="211" t="s">
        <v>7335</v>
      </c>
    </row>
    <row r="7302" spans="1:6">
      <c r="A7302" s="211" t="s">
        <v>8754</v>
      </c>
      <c r="B7302" s="211">
        <v>169</v>
      </c>
      <c r="C7302" s="211" t="s">
        <v>10385</v>
      </c>
      <c r="D7302" s="211" t="s">
        <v>1255</v>
      </c>
      <c r="E7302" s="211" t="s">
        <v>10385</v>
      </c>
      <c r="F7302" s="211" t="s">
        <v>7196</v>
      </c>
    </row>
    <row r="7303" spans="1:6">
      <c r="A7303" s="211" t="s">
        <v>10180</v>
      </c>
      <c r="B7303" s="211">
        <v>8283</v>
      </c>
      <c r="C7303" s="211">
        <v>1030</v>
      </c>
      <c r="D7303" s="211" t="s">
        <v>1255</v>
      </c>
      <c r="E7303" s="211" t="s">
        <v>11031</v>
      </c>
      <c r="F7303" s="211" t="s">
        <v>7490</v>
      </c>
    </row>
    <row r="7304" spans="1:6">
      <c r="A7304" s="211" t="s">
        <v>6295</v>
      </c>
      <c r="B7304" s="211">
        <v>7593</v>
      </c>
      <c r="C7304" s="211">
        <v>910</v>
      </c>
      <c r="D7304" s="211" t="s">
        <v>1255</v>
      </c>
      <c r="E7304" s="211" t="s">
        <v>6296</v>
      </c>
      <c r="F7304" s="211" t="s">
        <v>7282</v>
      </c>
    </row>
    <row r="7305" spans="1:6">
      <c r="A7305" s="211" t="s">
        <v>3702</v>
      </c>
      <c r="B7305" s="211">
        <v>2162</v>
      </c>
      <c r="C7305" s="211">
        <v>947</v>
      </c>
      <c r="D7305" s="211" t="s">
        <v>1255</v>
      </c>
      <c r="E7305" s="211" t="s">
        <v>10385</v>
      </c>
      <c r="F7305" s="211" t="s">
        <v>7394</v>
      </c>
    </row>
    <row r="7306" spans="1:6">
      <c r="A7306" s="211" t="s">
        <v>3703</v>
      </c>
      <c r="B7306" s="211">
        <v>1982</v>
      </c>
      <c r="C7306" s="211">
        <v>1185</v>
      </c>
      <c r="D7306" s="211" t="s">
        <v>1255</v>
      </c>
      <c r="E7306" s="211" t="s">
        <v>10385</v>
      </c>
      <c r="F7306" s="211" t="s">
        <v>7229</v>
      </c>
    </row>
    <row r="7307" spans="1:6">
      <c r="A7307" s="211" t="s">
        <v>3704</v>
      </c>
      <c r="B7307" s="211">
        <v>4969</v>
      </c>
      <c r="C7307" s="211">
        <v>833</v>
      </c>
      <c r="D7307" s="211" t="s">
        <v>1255</v>
      </c>
      <c r="E7307" s="211" t="s">
        <v>10385</v>
      </c>
      <c r="F7307" s="211" t="s">
        <v>7310</v>
      </c>
    </row>
    <row r="7308" spans="1:6">
      <c r="A7308" s="211" t="s">
        <v>7091</v>
      </c>
      <c r="B7308" s="211">
        <v>7779</v>
      </c>
      <c r="C7308" s="211">
        <v>1135</v>
      </c>
      <c r="D7308" s="211" t="s">
        <v>1255</v>
      </c>
      <c r="E7308" s="211" t="s">
        <v>10181</v>
      </c>
      <c r="F7308" s="211" t="s">
        <v>7490</v>
      </c>
    </row>
    <row r="7309" spans="1:6">
      <c r="A7309" s="211" t="s">
        <v>3705</v>
      </c>
      <c r="B7309" s="211">
        <v>639</v>
      </c>
      <c r="C7309" s="211">
        <v>1046</v>
      </c>
      <c r="D7309" s="211" t="s">
        <v>1255</v>
      </c>
      <c r="E7309" s="211" t="s">
        <v>10385</v>
      </c>
      <c r="F7309" s="211" t="s">
        <v>7382</v>
      </c>
    </row>
    <row r="7310" spans="1:6">
      <c r="A7310" s="211" t="s">
        <v>3706</v>
      </c>
      <c r="B7310" s="211">
        <v>1445</v>
      </c>
      <c r="C7310" s="211">
        <v>1083</v>
      </c>
      <c r="D7310" s="211" t="s">
        <v>1255</v>
      </c>
      <c r="E7310" s="211" t="s">
        <v>10385</v>
      </c>
      <c r="F7310" s="211" t="s">
        <v>7280</v>
      </c>
    </row>
    <row r="7311" spans="1:6">
      <c r="A7311" s="211" t="s">
        <v>4869</v>
      </c>
      <c r="B7311" s="211">
        <v>1004</v>
      </c>
      <c r="C7311" s="211">
        <v>1432</v>
      </c>
      <c r="D7311" s="211" t="s">
        <v>1255</v>
      </c>
      <c r="E7311" s="211" t="s">
        <v>3086</v>
      </c>
      <c r="F7311" s="211" t="s">
        <v>7263</v>
      </c>
    </row>
    <row r="7312" spans="1:6">
      <c r="A7312" s="211" t="s">
        <v>8755</v>
      </c>
      <c r="B7312" s="211">
        <v>1395</v>
      </c>
      <c r="C7312" s="211" t="s">
        <v>10385</v>
      </c>
      <c r="D7312" s="211" t="s">
        <v>1255</v>
      </c>
      <c r="E7312" s="211" t="s">
        <v>10385</v>
      </c>
      <c r="F7312" s="211" t="s">
        <v>7299</v>
      </c>
    </row>
    <row r="7313" spans="1:6">
      <c r="A7313" s="211" t="s">
        <v>3707</v>
      </c>
      <c r="B7313" s="211">
        <v>5537</v>
      </c>
      <c r="C7313" s="211">
        <v>862</v>
      </c>
      <c r="D7313" s="211" t="s">
        <v>1255</v>
      </c>
      <c r="E7313" s="211" t="s">
        <v>10385</v>
      </c>
      <c r="F7313" s="211" t="s">
        <v>7248</v>
      </c>
    </row>
    <row r="7314" spans="1:6">
      <c r="A7314" s="211" t="s">
        <v>5265</v>
      </c>
      <c r="B7314" s="211">
        <v>6816</v>
      </c>
      <c r="C7314" s="211">
        <v>1062</v>
      </c>
      <c r="D7314" s="211" t="s">
        <v>1255</v>
      </c>
      <c r="E7314" s="211" t="s">
        <v>6298</v>
      </c>
      <c r="F7314" s="211" t="s">
        <v>7490</v>
      </c>
    </row>
    <row r="7315" spans="1:6">
      <c r="A7315" s="211" t="s">
        <v>8756</v>
      </c>
      <c r="B7315" s="211">
        <v>3227</v>
      </c>
      <c r="C7315" s="211" t="s">
        <v>10385</v>
      </c>
      <c r="D7315" s="211" t="s">
        <v>1255</v>
      </c>
      <c r="E7315" s="211" t="s">
        <v>10385</v>
      </c>
      <c r="F7315" s="211" t="s">
        <v>7229</v>
      </c>
    </row>
    <row r="7316" spans="1:6">
      <c r="A7316" s="211" t="s">
        <v>3708</v>
      </c>
      <c r="B7316" s="211">
        <v>3554</v>
      </c>
      <c r="C7316" s="211">
        <v>855</v>
      </c>
      <c r="D7316" s="211" t="s">
        <v>1117</v>
      </c>
      <c r="E7316" s="211" t="s">
        <v>10385</v>
      </c>
      <c r="F7316" s="211" t="s">
        <v>7275</v>
      </c>
    </row>
    <row r="7317" spans="1:6">
      <c r="A7317" s="211" t="s">
        <v>3709</v>
      </c>
      <c r="B7317" s="211">
        <v>4381</v>
      </c>
      <c r="C7317" s="211">
        <v>991</v>
      </c>
      <c r="D7317" s="211" t="s">
        <v>1255</v>
      </c>
      <c r="E7317" s="211" t="s">
        <v>10385</v>
      </c>
      <c r="F7317" s="211" t="s">
        <v>7369</v>
      </c>
    </row>
    <row r="7318" spans="1:6">
      <c r="A7318" s="211" t="s">
        <v>8757</v>
      </c>
      <c r="B7318" s="211">
        <v>69</v>
      </c>
      <c r="C7318" s="211" t="s">
        <v>10385</v>
      </c>
      <c r="D7318" s="211" t="s">
        <v>1255</v>
      </c>
      <c r="E7318" s="211" t="s">
        <v>10385</v>
      </c>
      <c r="F7318" s="211" t="s">
        <v>7223</v>
      </c>
    </row>
    <row r="7319" spans="1:6">
      <c r="A7319" s="211" t="s">
        <v>5264</v>
      </c>
      <c r="B7319" s="211">
        <v>6754</v>
      </c>
      <c r="C7319" s="211">
        <v>1975</v>
      </c>
      <c r="D7319" s="211" t="s">
        <v>1255</v>
      </c>
      <c r="E7319" s="211" t="s">
        <v>6297</v>
      </c>
      <c r="F7319" s="211" t="s">
        <v>7247</v>
      </c>
    </row>
    <row r="7320" spans="1:6">
      <c r="A7320" s="211" t="s">
        <v>3710</v>
      </c>
      <c r="B7320" s="211">
        <v>4095</v>
      </c>
      <c r="C7320" s="211">
        <v>928</v>
      </c>
      <c r="D7320" s="211" t="s">
        <v>1117</v>
      </c>
      <c r="E7320" s="211" t="s">
        <v>10385</v>
      </c>
      <c r="F7320" s="211" t="s">
        <v>7203</v>
      </c>
    </row>
    <row r="7321" spans="1:6">
      <c r="A7321" s="211" t="s">
        <v>3711</v>
      </c>
      <c r="B7321" s="211">
        <v>5017</v>
      </c>
      <c r="C7321" s="211">
        <v>1029</v>
      </c>
      <c r="D7321" s="211" t="s">
        <v>1255</v>
      </c>
      <c r="E7321" s="211" t="s">
        <v>10385</v>
      </c>
      <c r="F7321" s="211" t="s">
        <v>7330</v>
      </c>
    </row>
    <row r="7322" spans="1:6">
      <c r="A7322" s="211" t="s">
        <v>3712</v>
      </c>
      <c r="B7322" s="211">
        <v>5987</v>
      </c>
      <c r="C7322" s="211">
        <v>1179</v>
      </c>
      <c r="D7322" s="211" t="s">
        <v>1255</v>
      </c>
      <c r="E7322" s="211" t="s">
        <v>10385</v>
      </c>
      <c r="F7322" s="211" t="s">
        <v>7262</v>
      </c>
    </row>
    <row r="7323" spans="1:6">
      <c r="A7323" s="211" t="s">
        <v>3713</v>
      </c>
      <c r="B7323" s="211">
        <v>3754</v>
      </c>
      <c r="C7323" s="211">
        <v>785</v>
      </c>
      <c r="D7323" s="211" t="s">
        <v>1255</v>
      </c>
      <c r="E7323" s="211" t="s">
        <v>10385</v>
      </c>
      <c r="F7323" s="211" t="s">
        <v>7217</v>
      </c>
    </row>
    <row r="7324" spans="1:6">
      <c r="A7324" s="211" t="s">
        <v>3714</v>
      </c>
      <c r="B7324" s="211">
        <v>2394</v>
      </c>
      <c r="C7324" s="211">
        <v>599</v>
      </c>
      <c r="D7324" s="211" t="s">
        <v>1255</v>
      </c>
      <c r="E7324" s="211" t="s">
        <v>3715</v>
      </c>
      <c r="F7324" s="211" t="s">
        <v>7393</v>
      </c>
    </row>
    <row r="7325" spans="1:6">
      <c r="A7325" s="211" t="s">
        <v>3716</v>
      </c>
      <c r="B7325" s="211">
        <v>3686</v>
      </c>
      <c r="C7325" s="211">
        <v>775</v>
      </c>
      <c r="D7325" s="211" t="s">
        <v>1255</v>
      </c>
      <c r="E7325" s="211" t="s">
        <v>10385</v>
      </c>
      <c r="F7325" s="211" t="s">
        <v>7221</v>
      </c>
    </row>
    <row r="7326" spans="1:6">
      <c r="A7326" s="211" t="s">
        <v>4820</v>
      </c>
      <c r="B7326" s="211">
        <v>6138</v>
      </c>
      <c r="C7326" s="211">
        <v>1072</v>
      </c>
      <c r="D7326" s="211" t="s">
        <v>1255</v>
      </c>
      <c r="E7326" s="211" t="s">
        <v>10385</v>
      </c>
      <c r="F7326" s="211" t="s">
        <v>7299</v>
      </c>
    </row>
    <row r="7327" spans="1:6">
      <c r="A7327" s="211" t="s">
        <v>3717</v>
      </c>
      <c r="B7327" s="211">
        <v>842</v>
      </c>
      <c r="C7327" s="211">
        <v>1284</v>
      </c>
      <c r="D7327" s="211" t="s">
        <v>1255</v>
      </c>
      <c r="E7327" s="211" t="s">
        <v>10385</v>
      </c>
      <c r="F7327" s="211" t="s">
        <v>7242</v>
      </c>
    </row>
    <row r="7328" spans="1:6">
      <c r="A7328" s="211" t="s">
        <v>10182</v>
      </c>
      <c r="B7328" s="211">
        <v>8250</v>
      </c>
      <c r="C7328" s="211">
        <v>790</v>
      </c>
      <c r="D7328" s="211" t="s">
        <v>1255</v>
      </c>
      <c r="E7328" s="211" t="s">
        <v>10385</v>
      </c>
      <c r="F7328" s="211" t="s">
        <v>7246</v>
      </c>
    </row>
    <row r="7329" spans="1:6">
      <c r="A7329" s="211" t="s">
        <v>3718</v>
      </c>
      <c r="B7329" s="211">
        <v>5214</v>
      </c>
      <c r="C7329" s="211">
        <v>1126</v>
      </c>
      <c r="D7329" s="211" t="s">
        <v>1255</v>
      </c>
      <c r="E7329" s="211" t="s">
        <v>10385</v>
      </c>
      <c r="F7329" s="211" t="s">
        <v>7303</v>
      </c>
    </row>
    <row r="7330" spans="1:6">
      <c r="A7330" s="211" t="s">
        <v>3719</v>
      </c>
      <c r="B7330" s="211">
        <v>5693</v>
      </c>
      <c r="C7330" s="211">
        <v>668</v>
      </c>
      <c r="D7330" s="211" t="s">
        <v>1255</v>
      </c>
      <c r="E7330" s="211" t="s">
        <v>10385</v>
      </c>
      <c r="F7330" s="211" t="s">
        <v>7667</v>
      </c>
    </row>
    <row r="7331" spans="1:6">
      <c r="A7331" s="211" t="s">
        <v>8758</v>
      </c>
      <c r="B7331" s="211">
        <v>2081</v>
      </c>
      <c r="C7331" s="211" t="s">
        <v>10385</v>
      </c>
      <c r="D7331" s="211" t="s">
        <v>1255</v>
      </c>
      <c r="E7331" s="211" t="s">
        <v>10385</v>
      </c>
      <c r="F7331" s="211" t="s">
        <v>7356</v>
      </c>
    </row>
    <row r="7332" spans="1:6">
      <c r="A7332" s="211" t="s">
        <v>8759</v>
      </c>
      <c r="B7332" s="211">
        <v>2080</v>
      </c>
      <c r="C7332" s="211" t="s">
        <v>10385</v>
      </c>
      <c r="D7332" s="211" t="s">
        <v>1255</v>
      </c>
      <c r="E7332" s="211" t="s">
        <v>10385</v>
      </c>
      <c r="F7332" s="211" t="s">
        <v>7356</v>
      </c>
    </row>
    <row r="7333" spans="1:6">
      <c r="A7333" s="211" t="s">
        <v>2876</v>
      </c>
      <c r="B7333" s="211">
        <v>3840</v>
      </c>
      <c r="C7333" s="211">
        <v>1141</v>
      </c>
      <c r="D7333" s="211" t="s">
        <v>1255</v>
      </c>
      <c r="E7333" s="211" t="s">
        <v>10385</v>
      </c>
      <c r="F7333" s="211" t="s">
        <v>7264</v>
      </c>
    </row>
    <row r="7334" spans="1:6">
      <c r="A7334" s="211" t="s">
        <v>3720</v>
      </c>
      <c r="B7334" s="211">
        <v>2159</v>
      </c>
      <c r="C7334" s="211">
        <v>902</v>
      </c>
      <c r="D7334" s="211" t="s">
        <v>1255</v>
      </c>
      <c r="E7334" s="211" t="s">
        <v>10385</v>
      </c>
      <c r="F7334" s="211" t="s">
        <v>7446</v>
      </c>
    </row>
    <row r="7335" spans="1:6">
      <c r="A7335" s="211" t="s">
        <v>3721</v>
      </c>
      <c r="B7335" s="211">
        <v>425</v>
      </c>
      <c r="C7335" s="211">
        <v>1562</v>
      </c>
      <c r="D7335" s="211" t="s">
        <v>1255</v>
      </c>
      <c r="E7335" s="211" t="s">
        <v>10385</v>
      </c>
      <c r="F7335" s="211" t="s">
        <v>7269</v>
      </c>
    </row>
    <row r="7336" spans="1:6">
      <c r="A7336" s="211" t="s">
        <v>3722</v>
      </c>
      <c r="B7336" s="211">
        <v>5776</v>
      </c>
      <c r="C7336" s="211">
        <v>796</v>
      </c>
      <c r="D7336" s="211" t="s">
        <v>1255</v>
      </c>
      <c r="E7336" s="211" t="s">
        <v>10385</v>
      </c>
      <c r="F7336" s="211" t="s">
        <v>7327</v>
      </c>
    </row>
    <row r="7337" spans="1:6">
      <c r="A7337" s="211" t="s">
        <v>3723</v>
      </c>
      <c r="B7337" s="211">
        <v>3285</v>
      </c>
      <c r="C7337" s="211">
        <v>835</v>
      </c>
      <c r="D7337" s="211" t="s">
        <v>1255</v>
      </c>
      <c r="E7337" s="211" t="s">
        <v>10385</v>
      </c>
      <c r="F7337" s="211" t="s">
        <v>7438</v>
      </c>
    </row>
    <row r="7338" spans="1:6">
      <c r="A7338" s="211" t="s">
        <v>8760</v>
      </c>
      <c r="B7338" s="211">
        <v>1392</v>
      </c>
      <c r="C7338" s="211" t="s">
        <v>10385</v>
      </c>
      <c r="D7338" s="211" t="s">
        <v>1255</v>
      </c>
      <c r="E7338" s="211" t="s">
        <v>10385</v>
      </c>
      <c r="F7338" s="211" t="s">
        <v>7299</v>
      </c>
    </row>
    <row r="7339" spans="1:6">
      <c r="A7339" s="211" t="s">
        <v>3724</v>
      </c>
      <c r="B7339" s="211">
        <v>4219</v>
      </c>
      <c r="C7339" s="211">
        <v>803</v>
      </c>
      <c r="D7339" s="211" t="s">
        <v>1255</v>
      </c>
      <c r="E7339" s="211" t="s">
        <v>10385</v>
      </c>
      <c r="F7339" s="211" t="s">
        <v>7235</v>
      </c>
    </row>
    <row r="7340" spans="1:6">
      <c r="A7340" s="211" t="s">
        <v>3725</v>
      </c>
      <c r="B7340" s="211">
        <v>5571</v>
      </c>
      <c r="C7340" s="211">
        <v>1910</v>
      </c>
      <c r="D7340" s="211" t="s">
        <v>1255</v>
      </c>
      <c r="E7340" s="211" t="s">
        <v>6299</v>
      </c>
      <c r="F7340" s="211" t="s">
        <v>7518</v>
      </c>
    </row>
    <row r="7341" spans="1:6">
      <c r="A7341" s="211" t="s">
        <v>5266</v>
      </c>
      <c r="B7341" s="211">
        <v>6879</v>
      </c>
      <c r="C7341" s="211">
        <v>1638</v>
      </c>
      <c r="D7341" s="211" t="s">
        <v>1255</v>
      </c>
      <c r="E7341" s="211" t="s">
        <v>10385</v>
      </c>
      <c r="F7341" s="211" t="s">
        <v>7322</v>
      </c>
    </row>
    <row r="7342" spans="1:6">
      <c r="A7342" s="211" t="s">
        <v>8761</v>
      </c>
      <c r="B7342" s="211">
        <v>6988</v>
      </c>
      <c r="C7342" s="211">
        <v>960</v>
      </c>
      <c r="D7342" s="211" t="s">
        <v>1255</v>
      </c>
      <c r="E7342" s="211" t="s">
        <v>10385</v>
      </c>
      <c r="F7342" s="211" t="s">
        <v>7446</v>
      </c>
    </row>
    <row r="7343" spans="1:6">
      <c r="A7343" s="211" t="s">
        <v>8762</v>
      </c>
      <c r="B7343" s="211">
        <v>7852</v>
      </c>
      <c r="C7343" s="211">
        <v>1478</v>
      </c>
      <c r="D7343" s="211" t="s">
        <v>1255</v>
      </c>
      <c r="E7343" s="211" t="s">
        <v>10385</v>
      </c>
      <c r="F7343" s="211" t="s">
        <v>7240</v>
      </c>
    </row>
    <row r="7344" spans="1:6">
      <c r="A7344" s="211" t="s">
        <v>5306</v>
      </c>
      <c r="B7344" s="211">
        <v>5290</v>
      </c>
      <c r="C7344" s="211">
        <v>1042</v>
      </c>
      <c r="D7344" s="211" t="s">
        <v>1255</v>
      </c>
      <c r="E7344" s="211" t="s">
        <v>10385</v>
      </c>
      <c r="F7344" s="211" t="s">
        <v>7240</v>
      </c>
    </row>
    <row r="7345" spans="1:6">
      <c r="A7345" s="211" t="s">
        <v>5307</v>
      </c>
      <c r="B7345" s="211">
        <v>5360</v>
      </c>
      <c r="C7345" s="211">
        <v>1112</v>
      </c>
      <c r="D7345" s="211" t="s">
        <v>1255</v>
      </c>
      <c r="E7345" s="211" t="s">
        <v>10385</v>
      </c>
      <c r="F7345" s="211" t="s">
        <v>7224</v>
      </c>
    </row>
    <row r="7346" spans="1:6">
      <c r="A7346" s="211" t="s">
        <v>5267</v>
      </c>
      <c r="B7346" s="211">
        <v>6896</v>
      </c>
      <c r="C7346" s="211">
        <v>1043</v>
      </c>
      <c r="D7346" s="211" t="s">
        <v>1255</v>
      </c>
      <c r="E7346" s="211" t="s">
        <v>11032</v>
      </c>
      <c r="F7346" s="211" t="s">
        <v>7249</v>
      </c>
    </row>
    <row r="7347" spans="1:6">
      <c r="A7347" s="211" t="s">
        <v>3726</v>
      </c>
      <c r="B7347" s="211">
        <v>2875</v>
      </c>
      <c r="C7347" s="211">
        <v>1598</v>
      </c>
      <c r="D7347" s="211" t="s">
        <v>1255</v>
      </c>
      <c r="E7347" s="211" t="s">
        <v>10385</v>
      </c>
      <c r="F7347" s="211" t="s">
        <v>7316</v>
      </c>
    </row>
    <row r="7348" spans="1:6">
      <c r="A7348" s="211" t="s">
        <v>10183</v>
      </c>
      <c r="B7348" s="211">
        <v>8387</v>
      </c>
      <c r="C7348" s="211">
        <v>841</v>
      </c>
      <c r="D7348" s="211" t="s">
        <v>1117</v>
      </c>
      <c r="E7348" s="211" t="s">
        <v>10184</v>
      </c>
      <c r="F7348" s="211" t="s">
        <v>7342</v>
      </c>
    </row>
    <row r="7349" spans="1:6">
      <c r="A7349" s="211" t="s">
        <v>5268</v>
      </c>
      <c r="B7349" s="211">
        <v>2891</v>
      </c>
      <c r="C7349" s="211">
        <v>1726</v>
      </c>
      <c r="D7349" s="211" t="s">
        <v>1255</v>
      </c>
      <c r="E7349" s="211" t="s">
        <v>10385</v>
      </c>
      <c r="F7349" s="211" t="s">
        <v>7272</v>
      </c>
    </row>
    <row r="7350" spans="1:6">
      <c r="A7350" s="211" t="s">
        <v>5269</v>
      </c>
      <c r="B7350" s="211">
        <v>1370</v>
      </c>
      <c r="C7350" s="211">
        <v>1776</v>
      </c>
      <c r="D7350" s="211" t="s">
        <v>1255</v>
      </c>
      <c r="E7350" s="211" t="s">
        <v>10385</v>
      </c>
      <c r="F7350" s="211" t="s">
        <v>7173</v>
      </c>
    </row>
    <row r="7351" spans="1:6">
      <c r="A7351" s="211" t="s">
        <v>3069</v>
      </c>
      <c r="B7351" s="211">
        <v>6259</v>
      </c>
      <c r="C7351" s="211">
        <v>1099</v>
      </c>
      <c r="D7351" s="211" t="s">
        <v>1255</v>
      </c>
      <c r="E7351" s="211" t="s">
        <v>10385</v>
      </c>
      <c r="F7351" s="211" t="s">
        <v>7279</v>
      </c>
    </row>
    <row r="7352" spans="1:6">
      <c r="A7352" s="211" t="s">
        <v>3727</v>
      </c>
      <c r="B7352" s="211">
        <v>4841</v>
      </c>
      <c r="C7352" s="211">
        <v>1093</v>
      </c>
      <c r="D7352" s="211" t="s">
        <v>1255</v>
      </c>
      <c r="E7352" s="211" t="s">
        <v>10385</v>
      </c>
      <c r="F7352" s="211" t="s">
        <v>7373</v>
      </c>
    </row>
    <row r="7353" spans="1:6">
      <c r="A7353" s="211" t="s">
        <v>3728</v>
      </c>
      <c r="B7353" s="211">
        <v>3487</v>
      </c>
      <c r="C7353" s="211">
        <v>2303</v>
      </c>
      <c r="D7353" s="211" t="s">
        <v>1255</v>
      </c>
      <c r="E7353" s="211" t="s">
        <v>6300</v>
      </c>
      <c r="F7353" s="211" t="s">
        <v>7518</v>
      </c>
    </row>
    <row r="7354" spans="1:6">
      <c r="A7354" s="211" t="s">
        <v>4769</v>
      </c>
      <c r="B7354" s="211">
        <v>6201</v>
      </c>
      <c r="C7354" s="211">
        <v>902</v>
      </c>
      <c r="D7354" s="211" t="s">
        <v>1255</v>
      </c>
      <c r="E7354" s="211" t="s">
        <v>6301</v>
      </c>
      <c r="F7354" s="211" t="s">
        <v>7282</v>
      </c>
    </row>
    <row r="7355" spans="1:6">
      <c r="A7355" s="211" t="s">
        <v>3729</v>
      </c>
      <c r="B7355" s="211">
        <v>3727</v>
      </c>
      <c r="C7355" s="211">
        <v>971</v>
      </c>
      <c r="D7355" s="211" t="s">
        <v>1255</v>
      </c>
      <c r="E7355" s="211" t="s">
        <v>10385</v>
      </c>
      <c r="F7355" s="211" t="s">
        <v>7192</v>
      </c>
    </row>
    <row r="7356" spans="1:6">
      <c r="A7356" s="211" t="s">
        <v>3730</v>
      </c>
      <c r="B7356" s="211">
        <v>2811</v>
      </c>
      <c r="C7356" s="211">
        <v>873</v>
      </c>
      <c r="D7356" s="211" t="s">
        <v>1255</v>
      </c>
      <c r="E7356" s="211" t="s">
        <v>10385</v>
      </c>
      <c r="F7356" s="211" t="s">
        <v>7380</v>
      </c>
    </row>
    <row r="7357" spans="1:6">
      <c r="A7357" s="211" t="s">
        <v>10185</v>
      </c>
      <c r="B7357" s="211">
        <v>8137</v>
      </c>
      <c r="C7357" s="211">
        <v>600</v>
      </c>
      <c r="D7357" s="211" t="s">
        <v>1117</v>
      </c>
      <c r="E7357" s="211" t="s">
        <v>10186</v>
      </c>
      <c r="F7357" s="211" t="s">
        <v>7556</v>
      </c>
    </row>
    <row r="7358" spans="1:6">
      <c r="A7358" s="211" t="s">
        <v>3731</v>
      </c>
      <c r="B7358" s="211">
        <v>5206</v>
      </c>
      <c r="C7358" s="211">
        <v>763</v>
      </c>
      <c r="D7358" s="211" t="s">
        <v>1255</v>
      </c>
      <c r="E7358" s="211" t="s">
        <v>10385</v>
      </c>
      <c r="F7358" s="211" t="s">
        <v>7303</v>
      </c>
    </row>
    <row r="7359" spans="1:6">
      <c r="A7359" s="211" t="s">
        <v>4893</v>
      </c>
      <c r="B7359" s="211">
        <v>4532</v>
      </c>
      <c r="C7359" s="211">
        <v>1057</v>
      </c>
      <c r="D7359" s="211" t="s">
        <v>1255</v>
      </c>
      <c r="E7359" s="211" t="s">
        <v>10385</v>
      </c>
      <c r="F7359" s="211" t="s">
        <v>7510</v>
      </c>
    </row>
    <row r="7360" spans="1:6">
      <c r="A7360" s="211" t="s">
        <v>5270</v>
      </c>
      <c r="B7360" s="211">
        <v>6918</v>
      </c>
      <c r="C7360" s="211">
        <v>798</v>
      </c>
      <c r="D7360" s="211" t="s">
        <v>1117</v>
      </c>
      <c r="E7360" s="211" t="s">
        <v>10385</v>
      </c>
      <c r="F7360" s="211" t="s">
        <v>7308</v>
      </c>
    </row>
    <row r="7361" spans="1:6">
      <c r="A7361" s="211" t="s">
        <v>4836</v>
      </c>
      <c r="B7361" s="211">
        <v>6103</v>
      </c>
      <c r="C7361" s="211">
        <v>919</v>
      </c>
      <c r="D7361" s="211" t="s">
        <v>1255</v>
      </c>
      <c r="E7361" s="211" t="s">
        <v>10385</v>
      </c>
      <c r="F7361" s="211" t="s">
        <v>7217</v>
      </c>
    </row>
    <row r="7362" spans="1:6">
      <c r="A7362" s="211" t="s">
        <v>3732</v>
      </c>
      <c r="B7362" s="211">
        <v>4253</v>
      </c>
      <c r="C7362" s="211">
        <v>1844</v>
      </c>
      <c r="D7362" s="211" t="s">
        <v>1255</v>
      </c>
      <c r="E7362" s="211" t="s">
        <v>11033</v>
      </c>
      <c r="F7362" s="211" t="s">
        <v>7507</v>
      </c>
    </row>
    <row r="7363" spans="1:6">
      <c r="A7363" s="211" t="s">
        <v>5271</v>
      </c>
      <c r="B7363" s="211">
        <v>6803</v>
      </c>
      <c r="C7363" s="211">
        <v>907</v>
      </c>
      <c r="D7363" s="211" t="s">
        <v>1255</v>
      </c>
      <c r="E7363" s="211" t="s">
        <v>10385</v>
      </c>
      <c r="F7363" s="211" t="s">
        <v>7573</v>
      </c>
    </row>
    <row r="7364" spans="1:6">
      <c r="A7364" s="211" t="s">
        <v>11034</v>
      </c>
      <c r="B7364" s="211">
        <v>8693</v>
      </c>
      <c r="C7364" s="211">
        <v>929</v>
      </c>
      <c r="D7364" s="211" t="s">
        <v>1255</v>
      </c>
      <c r="E7364" s="211" t="s">
        <v>11035</v>
      </c>
      <c r="F7364" s="211" t="s">
        <v>7556</v>
      </c>
    </row>
    <row r="7365" spans="1:6">
      <c r="A7365" s="211" t="s">
        <v>3733</v>
      </c>
      <c r="B7365" s="211">
        <v>1049</v>
      </c>
      <c r="C7365" s="211">
        <v>1524</v>
      </c>
      <c r="D7365" s="211" t="s">
        <v>1255</v>
      </c>
      <c r="E7365" s="211" t="s">
        <v>10385</v>
      </c>
      <c r="F7365" s="211" t="s">
        <v>7320</v>
      </c>
    </row>
    <row r="7366" spans="1:6">
      <c r="A7366" s="211" t="s">
        <v>10187</v>
      </c>
      <c r="B7366" s="211">
        <v>8405</v>
      </c>
      <c r="C7366" s="211">
        <v>993</v>
      </c>
      <c r="D7366" s="211" t="s">
        <v>1255</v>
      </c>
      <c r="E7366" s="211" t="s">
        <v>10385</v>
      </c>
      <c r="F7366" s="211" t="s">
        <v>9213</v>
      </c>
    </row>
    <row r="7367" spans="1:6">
      <c r="A7367" s="211" t="s">
        <v>3734</v>
      </c>
      <c r="B7367" s="211">
        <v>2181</v>
      </c>
      <c r="C7367" s="211">
        <v>1156</v>
      </c>
      <c r="D7367" s="211" t="s">
        <v>1255</v>
      </c>
      <c r="E7367" s="211" t="s">
        <v>11036</v>
      </c>
      <c r="F7367" s="211" t="s">
        <v>7629</v>
      </c>
    </row>
    <row r="7368" spans="1:6">
      <c r="A7368" s="211" t="s">
        <v>11037</v>
      </c>
      <c r="B7368" s="211">
        <v>8704</v>
      </c>
      <c r="C7368" s="211">
        <v>600</v>
      </c>
      <c r="D7368" s="211" t="s">
        <v>1117</v>
      </c>
      <c r="E7368" s="211" t="s">
        <v>11038</v>
      </c>
      <c r="F7368" s="211" t="s">
        <v>7189</v>
      </c>
    </row>
    <row r="7369" spans="1:6">
      <c r="A7369" s="211" t="s">
        <v>8763</v>
      </c>
      <c r="B7369" s="211">
        <v>4806</v>
      </c>
      <c r="C7369" s="211" t="s">
        <v>10385</v>
      </c>
      <c r="D7369" s="211" t="s">
        <v>1117</v>
      </c>
      <c r="E7369" s="211" t="s">
        <v>10385</v>
      </c>
      <c r="F7369" s="211" t="s">
        <v>7232</v>
      </c>
    </row>
    <row r="7370" spans="1:6">
      <c r="A7370" s="211" t="s">
        <v>5396</v>
      </c>
      <c r="B7370" s="211">
        <v>4555</v>
      </c>
      <c r="C7370" s="211">
        <v>1626</v>
      </c>
      <c r="D7370" s="211" t="s">
        <v>1255</v>
      </c>
      <c r="E7370" s="211" t="s">
        <v>10385</v>
      </c>
      <c r="F7370" s="211" t="s">
        <v>7304</v>
      </c>
    </row>
    <row r="7371" spans="1:6">
      <c r="A7371" s="211" t="s">
        <v>5397</v>
      </c>
      <c r="B7371" s="211">
        <v>5801</v>
      </c>
      <c r="C7371" s="211">
        <v>982</v>
      </c>
      <c r="D7371" s="211" t="s">
        <v>1255</v>
      </c>
      <c r="E7371" s="211" t="s">
        <v>10385</v>
      </c>
      <c r="F7371" s="211" t="s">
        <v>7581</v>
      </c>
    </row>
    <row r="7372" spans="1:6">
      <c r="A7372" s="211" t="s">
        <v>8764</v>
      </c>
      <c r="B7372" s="211">
        <v>7867</v>
      </c>
      <c r="C7372" s="211">
        <v>1070</v>
      </c>
      <c r="D7372" s="211" t="s">
        <v>1255</v>
      </c>
      <c r="E7372" s="211" t="s">
        <v>10188</v>
      </c>
      <c r="F7372" s="211" t="s">
        <v>7240</v>
      </c>
    </row>
    <row r="7373" spans="1:6">
      <c r="A7373" s="211" t="s">
        <v>3735</v>
      </c>
      <c r="B7373" s="211">
        <v>3374</v>
      </c>
      <c r="C7373" s="211">
        <v>1429</v>
      </c>
      <c r="D7373" s="211" t="s">
        <v>1255</v>
      </c>
      <c r="E7373" s="211" t="s">
        <v>10385</v>
      </c>
      <c r="F7373" s="211" t="s">
        <v>7356</v>
      </c>
    </row>
    <row r="7374" spans="1:6">
      <c r="A7374" s="211" t="s">
        <v>3736</v>
      </c>
      <c r="B7374" s="211">
        <v>3332</v>
      </c>
      <c r="C7374" s="211">
        <v>766</v>
      </c>
      <c r="D7374" s="211" t="s">
        <v>1255</v>
      </c>
      <c r="E7374" s="211" t="s">
        <v>10385</v>
      </c>
      <c r="F7374" s="211" t="s">
        <v>7603</v>
      </c>
    </row>
    <row r="7375" spans="1:6">
      <c r="A7375" s="211" t="s">
        <v>6302</v>
      </c>
      <c r="B7375" s="211">
        <v>7117</v>
      </c>
      <c r="C7375" s="211">
        <v>646</v>
      </c>
      <c r="D7375" s="211" t="s">
        <v>1117</v>
      </c>
      <c r="E7375" s="211" t="s">
        <v>7092</v>
      </c>
      <c r="F7375" s="211" t="s">
        <v>7377</v>
      </c>
    </row>
    <row r="7376" spans="1:6">
      <c r="A7376" s="211" t="s">
        <v>2966</v>
      </c>
      <c r="B7376" s="211">
        <v>2182</v>
      </c>
      <c r="C7376" s="211">
        <v>920</v>
      </c>
      <c r="D7376" s="211" t="s">
        <v>1117</v>
      </c>
      <c r="E7376" s="211" t="s">
        <v>10385</v>
      </c>
      <c r="F7376" s="211" t="s">
        <v>7386</v>
      </c>
    </row>
    <row r="7377" spans="1:6">
      <c r="A7377" s="211" t="s">
        <v>7093</v>
      </c>
      <c r="B7377" s="211">
        <v>7631</v>
      </c>
      <c r="C7377" s="211">
        <v>1759</v>
      </c>
      <c r="D7377" s="211" t="s">
        <v>1255</v>
      </c>
      <c r="E7377" s="211" t="s">
        <v>7094</v>
      </c>
      <c r="F7377" s="211" t="s">
        <v>7316</v>
      </c>
    </row>
    <row r="7378" spans="1:6">
      <c r="A7378" s="211" t="s">
        <v>3737</v>
      </c>
      <c r="B7378" s="211">
        <v>1689</v>
      </c>
      <c r="C7378" s="211">
        <v>1165</v>
      </c>
      <c r="D7378" s="211" t="s">
        <v>1255</v>
      </c>
      <c r="E7378" s="211" t="s">
        <v>10385</v>
      </c>
      <c r="F7378" s="211" t="s">
        <v>7250</v>
      </c>
    </row>
    <row r="7379" spans="1:6">
      <c r="A7379" s="211" t="s">
        <v>3738</v>
      </c>
      <c r="B7379" s="211">
        <v>5636</v>
      </c>
      <c r="C7379" s="211">
        <v>1362</v>
      </c>
      <c r="D7379" s="211" t="s">
        <v>1117</v>
      </c>
      <c r="E7379" s="211" t="s">
        <v>10385</v>
      </c>
      <c r="F7379" s="211" t="s">
        <v>7241</v>
      </c>
    </row>
    <row r="7380" spans="1:6">
      <c r="A7380" s="211" t="s">
        <v>3739</v>
      </c>
      <c r="B7380" s="211">
        <v>5265</v>
      </c>
      <c r="C7380" s="211">
        <v>1348</v>
      </c>
      <c r="D7380" s="211" t="s">
        <v>1117</v>
      </c>
      <c r="E7380" s="211" t="s">
        <v>10385</v>
      </c>
      <c r="F7380" s="211" t="s">
        <v>7383</v>
      </c>
    </row>
    <row r="7381" spans="1:6">
      <c r="A7381" s="211" t="s">
        <v>8765</v>
      </c>
      <c r="B7381" s="211">
        <v>1816</v>
      </c>
      <c r="C7381" s="211" t="s">
        <v>10385</v>
      </c>
      <c r="D7381" s="211" t="s">
        <v>1255</v>
      </c>
      <c r="E7381" s="211" t="s">
        <v>10385</v>
      </c>
      <c r="F7381" s="211" t="s">
        <v>7629</v>
      </c>
    </row>
    <row r="7382" spans="1:6">
      <c r="A7382" s="211" t="s">
        <v>3740</v>
      </c>
      <c r="B7382" s="211">
        <v>2364</v>
      </c>
      <c r="C7382" s="211">
        <v>1182</v>
      </c>
      <c r="D7382" s="211" t="s">
        <v>1255</v>
      </c>
      <c r="E7382" s="211" t="s">
        <v>10385</v>
      </c>
      <c r="F7382" s="211" t="s">
        <v>7262</v>
      </c>
    </row>
    <row r="7383" spans="1:6">
      <c r="A7383" s="211" t="s">
        <v>11039</v>
      </c>
      <c r="B7383" s="211">
        <v>8635</v>
      </c>
      <c r="C7383" s="211">
        <v>374</v>
      </c>
      <c r="D7383" s="211" t="s">
        <v>1255</v>
      </c>
      <c r="E7383" s="211" t="s">
        <v>10385</v>
      </c>
      <c r="F7383" s="211" t="s">
        <v>7284</v>
      </c>
    </row>
    <row r="7384" spans="1:6">
      <c r="A7384" s="211" t="s">
        <v>3741</v>
      </c>
      <c r="B7384" s="211">
        <v>3594</v>
      </c>
      <c r="C7384" s="211">
        <v>697</v>
      </c>
      <c r="D7384" s="211" t="s">
        <v>1255</v>
      </c>
      <c r="E7384" s="211" t="s">
        <v>10385</v>
      </c>
      <c r="F7384" s="211" t="s">
        <v>7207</v>
      </c>
    </row>
    <row r="7385" spans="1:6">
      <c r="A7385" s="211" t="s">
        <v>8766</v>
      </c>
      <c r="B7385" s="211">
        <v>4117</v>
      </c>
      <c r="C7385" s="211">
        <v>1316</v>
      </c>
      <c r="D7385" s="211" t="s">
        <v>1255</v>
      </c>
      <c r="E7385" s="211" t="s">
        <v>10385</v>
      </c>
      <c r="F7385" s="211" t="s">
        <v>7320</v>
      </c>
    </row>
    <row r="7386" spans="1:6">
      <c r="A7386" s="211" t="s">
        <v>5272</v>
      </c>
      <c r="B7386" s="211">
        <v>6750</v>
      </c>
      <c r="C7386" s="211">
        <v>1089</v>
      </c>
      <c r="D7386" s="211" t="s">
        <v>1255</v>
      </c>
      <c r="E7386" s="211" t="s">
        <v>10385</v>
      </c>
      <c r="F7386" s="211" t="s">
        <v>7162</v>
      </c>
    </row>
    <row r="7387" spans="1:6">
      <c r="A7387" s="211" t="s">
        <v>3742</v>
      </c>
      <c r="B7387" s="211">
        <v>1207</v>
      </c>
      <c r="C7387" s="211">
        <v>1419</v>
      </c>
      <c r="D7387" s="211" t="s">
        <v>1255</v>
      </c>
      <c r="E7387" s="211" t="s">
        <v>10385</v>
      </c>
      <c r="F7387" s="211" t="s">
        <v>7657</v>
      </c>
    </row>
    <row r="7388" spans="1:6">
      <c r="A7388" s="211" t="s">
        <v>3743</v>
      </c>
      <c r="B7388" s="211">
        <v>2169</v>
      </c>
      <c r="C7388" s="211">
        <v>826</v>
      </c>
      <c r="D7388" s="211" t="s">
        <v>1255</v>
      </c>
      <c r="E7388" s="211" t="s">
        <v>10385</v>
      </c>
      <c r="F7388" s="211" t="s">
        <v>7192</v>
      </c>
    </row>
    <row r="7389" spans="1:6">
      <c r="A7389" s="211" t="s">
        <v>5273</v>
      </c>
      <c r="B7389" s="211">
        <v>6970</v>
      </c>
      <c r="C7389" s="211">
        <v>1368</v>
      </c>
      <c r="D7389" s="211" t="s">
        <v>1255</v>
      </c>
      <c r="E7389" s="211" t="s">
        <v>10385</v>
      </c>
      <c r="F7389" s="211" t="s">
        <v>7264</v>
      </c>
    </row>
    <row r="7390" spans="1:6">
      <c r="A7390" s="211" t="s">
        <v>2855</v>
      </c>
      <c r="B7390" s="211">
        <v>1236</v>
      </c>
      <c r="C7390" s="211">
        <v>1215</v>
      </c>
      <c r="D7390" s="211" t="s">
        <v>1255</v>
      </c>
      <c r="E7390" s="211" t="s">
        <v>3099</v>
      </c>
      <c r="F7390" s="211" t="s">
        <v>7264</v>
      </c>
    </row>
    <row r="7391" spans="1:6">
      <c r="A7391" s="211" t="s">
        <v>3744</v>
      </c>
      <c r="B7391" s="211">
        <v>1345</v>
      </c>
      <c r="C7391" s="211">
        <v>1777</v>
      </c>
      <c r="D7391" s="211" t="s">
        <v>1117</v>
      </c>
      <c r="E7391" s="211" t="s">
        <v>10385</v>
      </c>
      <c r="F7391" s="211" t="s">
        <v>7267</v>
      </c>
    </row>
    <row r="7392" spans="1:6">
      <c r="A7392" s="211" t="s">
        <v>3745</v>
      </c>
      <c r="B7392" s="211">
        <v>6772</v>
      </c>
      <c r="C7392" s="211">
        <v>1138</v>
      </c>
      <c r="D7392" s="211" t="s">
        <v>1255</v>
      </c>
      <c r="E7392" s="211" t="s">
        <v>6303</v>
      </c>
      <c r="F7392" s="211" t="s">
        <v>7199</v>
      </c>
    </row>
    <row r="7393" spans="1:6">
      <c r="A7393" s="211" t="s">
        <v>8767</v>
      </c>
      <c r="B7393" s="211">
        <v>644</v>
      </c>
      <c r="C7393" s="211" t="s">
        <v>10385</v>
      </c>
      <c r="D7393" s="211" t="s">
        <v>1255</v>
      </c>
      <c r="E7393" s="211" t="s">
        <v>10385</v>
      </c>
      <c r="F7393" s="211" t="s">
        <v>7285</v>
      </c>
    </row>
    <row r="7394" spans="1:6">
      <c r="A7394" s="211" t="s">
        <v>3746</v>
      </c>
      <c r="B7394" s="211">
        <v>3468</v>
      </c>
      <c r="C7394" s="211">
        <v>993</v>
      </c>
      <c r="D7394" s="211" t="s">
        <v>1255</v>
      </c>
      <c r="E7394" s="211" t="s">
        <v>10385</v>
      </c>
      <c r="F7394" s="211" t="s">
        <v>7403</v>
      </c>
    </row>
    <row r="7395" spans="1:6">
      <c r="A7395" s="211" t="s">
        <v>3747</v>
      </c>
      <c r="B7395" s="211">
        <v>1708</v>
      </c>
      <c r="C7395" s="211">
        <v>990</v>
      </c>
      <c r="D7395" s="211" t="s">
        <v>1255</v>
      </c>
      <c r="E7395" s="211" t="s">
        <v>10385</v>
      </c>
      <c r="F7395" s="211" t="s">
        <v>7516</v>
      </c>
    </row>
    <row r="7396" spans="1:6">
      <c r="A7396" s="211" t="s">
        <v>3748</v>
      </c>
      <c r="B7396" s="211">
        <v>4076</v>
      </c>
      <c r="C7396" s="211">
        <v>1000</v>
      </c>
      <c r="D7396" s="211" t="s">
        <v>1255</v>
      </c>
      <c r="E7396" s="211" t="s">
        <v>10385</v>
      </c>
      <c r="F7396" s="211" t="s">
        <v>7629</v>
      </c>
    </row>
    <row r="7397" spans="1:6">
      <c r="A7397" s="211" t="s">
        <v>10378</v>
      </c>
      <c r="B7397" s="211">
        <v>864</v>
      </c>
      <c r="C7397" s="211" t="s">
        <v>10385</v>
      </c>
      <c r="D7397" s="211" t="s">
        <v>1255</v>
      </c>
      <c r="E7397" s="211" t="s">
        <v>10385</v>
      </c>
      <c r="F7397" s="211" t="s">
        <v>7867</v>
      </c>
    </row>
    <row r="7398" spans="1:6">
      <c r="A7398" s="211" t="s">
        <v>3749</v>
      </c>
      <c r="B7398" s="211">
        <v>2057</v>
      </c>
      <c r="C7398" s="211">
        <v>1157</v>
      </c>
      <c r="D7398" s="211" t="s">
        <v>1255</v>
      </c>
      <c r="E7398" s="211" t="s">
        <v>10385</v>
      </c>
      <c r="F7398" s="211" t="s">
        <v>7189</v>
      </c>
    </row>
    <row r="7399" spans="1:6">
      <c r="A7399" s="211" t="s">
        <v>3750</v>
      </c>
      <c r="B7399" s="211">
        <v>2174</v>
      </c>
      <c r="C7399" s="211">
        <v>941</v>
      </c>
      <c r="D7399" s="211" t="s">
        <v>1255</v>
      </c>
      <c r="E7399" s="211" t="s">
        <v>10385</v>
      </c>
      <c r="F7399" s="211" t="s">
        <v>7192</v>
      </c>
    </row>
    <row r="7400" spans="1:6">
      <c r="A7400" s="211" t="s">
        <v>3751</v>
      </c>
      <c r="B7400" s="211">
        <v>1222</v>
      </c>
      <c r="C7400" s="211">
        <v>877</v>
      </c>
      <c r="D7400" s="211" t="s">
        <v>1255</v>
      </c>
      <c r="E7400" s="211" t="s">
        <v>10385</v>
      </c>
      <c r="F7400" s="211" t="s">
        <v>7265</v>
      </c>
    </row>
    <row r="7401" spans="1:6">
      <c r="A7401" s="211" t="s">
        <v>3752</v>
      </c>
      <c r="B7401" s="211">
        <v>2806</v>
      </c>
      <c r="C7401" s="211">
        <v>1652</v>
      </c>
      <c r="D7401" s="211" t="s">
        <v>1255</v>
      </c>
      <c r="E7401" s="211" t="s">
        <v>10385</v>
      </c>
      <c r="F7401" s="211" t="s">
        <v>7262</v>
      </c>
    </row>
    <row r="7402" spans="1:6">
      <c r="A7402" s="211" t="s">
        <v>3753</v>
      </c>
      <c r="B7402" s="211">
        <v>5529</v>
      </c>
      <c r="C7402" s="211">
        <v>1607</v>
      </c>
      <c r="D7402" s="211" t="s">
        <v>1255</v>
      </c>
      <c r="E7402" s="211" t="s">
        <v>7095</v>
      </c>
      <c r="F7402" s="211" t="s">
        <v>7356</v>
      </c>
    </row>
    <row r="7403" spans="1:6">
      <c r="A7403" s="211" t="s">
        <v>3754</v>
      </c>
      <c r="B7403" s="211">
        <v>3222</v>
      </c>
      <c r="C7403" s="211">
        <v>1221</v>
      </c>
      <c r="D7403" s="211" t="s">
        <v>1255</v>
      </c>
      <c r="E7403" s="211" t="s">
        <v>10385</v>
      </c>
      <c r="F7403" s="211" t="s">
        <v>7189</v>
      </c>
    </row>
    <row r="7404" spans="1:6">
      <c r="A7404" s="211" t="s">
        <v>5398</v>
      </c>
      <c r="B7404" s="211">
        <v>4379</v>
      </c>
      <c r="C7404" s="211">
        <v>1484</v>
      </c>
      <c r="D7404" s="211" t="s">
        <v>1255</v>
      </c>
      <c r="E7404" s="211" t="s">
        <v>10385</v>
      </c>
      <c r="F7404" s="211" t="s">
        <v>7369</v>
      </c>
    </row>
    <row r="7405" spans="1:6">
      <c r="A7405" s="211" t="s">
        <v>3755</v>
      </c>
      <c r="B7405" s="211">
        <v>5935</v>
      </c>
      <c r="C7405" s="211">
        <v>996</v>
      </c>
      <c r="D7405" s="211" t="s">
        <v>1255</v>
      </c>
      <c r="E7405" s="211" t="s">
        <v>11040</v>
      </c>
      <c r="F7405" s="211" t="s">
        <v>7239</v>
      </c>
    </row>
    <row r="7406" spans="1:6">
      <c r="A7406" s="211" t="s">
        <v>8768</v>
      </c>
      <c r="B7406" s="211">
        <v>489</v>
      </c>
      <c r="C7406" s="211" t="s">
        <v>10385</v>
      </c>
      <c r="D7406" s="211" t="s">
        <v>1255</v>
      </c>
      <c r="E7406" s="211" t="s">
        <v>10385</v>
      </c>
      <c r="F7406" s="211" t="s">
        <v>7356</v>
      </c>
    </row>
    <row r="7407" spans="1:6">
      <c r="A7407" s="211" t="s">
        <v>3756</v>
      </c>
      <c r="B7407" s="211">
        <v>4655</v>
      </c>
      <c r="C7407" s="211">
        <v>214</v>
      </c>
      <c r="D7407" s="211" t="s">
        <v>1255</v>
      </c>
      <c r="E7407" s="211" t="s">
        <v>10385</v>
      </c>
      <c r="F7407" s="211" t="s">
        <v>7402</v>
      </c>
    </row>
    <row r="7408" spans="1:6">
      <c r="A7408" s="211" t="s">
        <v>3757</v>
      </c>
      <c r="B7408" s="211">
        <v>4287</v>
      </c>
      <c r="C7408" s="211">
        <v>1466</v>
      </c>
      <c r="D7408" s="211" t="s">
        <v>1117</v>
      </c>
      <c r="E7408" s="211" t="s">
        <v>10385</v>
      </c>
      <c r="F7408" s="211" t="s">
        <v>7471</v>
      </c>
    </row>
    <row r="7409" spans="1:6">
      <c r="A7409" s="211" t="s">
        <v>3010</v>
      </c>
      <c r="B7409" s="211">
        <v>1466</v>
      </c>
      <c r="C7409" s="211">
        <v>1448</v>
      </c>
      <c r="D7409" s="211" t="s">
        <v>1255</v>
      </c>
      <c r="E7409" s="211" t="s">
        <v>10385</v>
      </c>
      <c r="F7409" s="211" t="s">
        <v>7384</v>
      </c>
    </row>
    <row r="7410" spans="1:6">
      <c r="A7410" s="211" t="s">
        <v>3758</v>
      </c>
      <c r="B7410" s="211">
        <v>5164</v>
      </c>
      <c r="C7410" s="211">
        <v>1022</v>
      </c>
      <c r="D7410" s="211" t="s">
        <v>1117</v>
      </c>
      <c r="E7410" s="211" t="s">
        <v>10385</v>
      </c>
      <c r="F7410" s="211" t="s">
        <v>7250</v>
      </c>
    </row>
    <row r="7411" spans="1:6">
      <c r="A7411" s="211" t="s">
        <v>6304</v>
      </c>
      <c r="B7411" s="211">
        <v>7603</v>
      </c>
      <c r="C7411" s="211">
        <v>1081</v>
      </c>
      <c r="D7411" s="211" t="s">
        <v>1117</v>
      </c>
      <c r="E7411" s="211" t="s">
        <v>10385</v>
      </c>
      <c r="F7411" s="211" t="s">
        <v>7414</v>
      </c>
    </row>
    <row r="7412" spans="1:6">
      <c r="A7412" s="211" t="s">
        <v>8769</v>
      </c>
      <c r="B7412" s="211">
        <v>4704</v>
      </c>
      <c r="C7412" s="211" t="s">
        <v>10385</v>
      </c>
      <c r="D7412" s="211" t="s">
        <v>1255</v>
      </c>
      <c r="E7412" s="211" t="s">
        <v>10385</v>
      </c>
      <c r="F7412" s="211" t="s">
        <v>7386</v>
      </c>
    </row>
    <row r="7413" spans="1:6">
      <c r="A7413" s="211" t="s">
        <v>3759</v>
      </c>
      <c r="B7413" s="211">
        <v>5751</v>
      </c>
      <c r="C7413" s="211">
        <v>896</v>
      </c>
      <c r="D7413" s="211" t="s">
        <v>1117</v>
      </c>
      <c r="E7413" s="211" t="s">
        <v>10385</v>
      </c>
      <c r="F7413" s="211" t="s">
        <v>7425</v>
      </c>
    </row>
    <row r="7414" spans="1:6">
      <c r="A7414" s="211" t="s">
        <v>3760</v>
      </c>
      <c r="B7414" s="211">
        <v>957</v>
      </c>
      <c r="C7414" s="211">
        <v>1232</v>
      </c>
      <c r="D7414" s="211" t="s">
        <v>1255</v>
      </c>
      <c r="E7414" s="211" t="s">
        <v>10385</v>
      </c>
      <c r="F7414" s="211" t="s">
        <v>7692</v>
      </c>
    </row>
    <row r="7415" spans="1:6">
      <c r="A7415" s="211" t="s">
        <v>5399</v>
      </c>
      <c r="B7415" s="211">
        <v>4856</v>
      </c>
      <c r="C7415" s="211">
        <v>1271</v>
      </c>
      <c r="D7415" s="211" t="s">
        <v>1255</v>
      </c>
      <c r="E7415" s="211" t="s">
        <v>10385</v>
      </c>
      <c r="F7415" s="211" t="s">
        <v>7386</v>
      </c>
    </row>
    <row r="7416" spans="1:6">
      <c r="A7416" s="211" t="s">
        <v>3861</v>
      </c>
      <c r="B7416" s="211">
        <v>112</v>
      </c>
      <c r="C7416" s="211">
        <v>1591</v>
      </c>
      <c r="D7416" s="211" t="s">
        <v>1255</v>
      </c>
      <c r="E7416" s="211" t="s">
        <v>10385</v>
      </c>
      <c r="F7416" s="211" t="s">
        <v>7232</v>
      </c>
    </row>
    <row r="7417" spans="1:6">
      <c r="A7417" s="211" t="s">
        <v>3761</v>
      </c>
      <c r="B7417" s="211">
        <v>5388</v>
      </c>
      <c r="C7417" s="211">
        <v>1126</v>
      </c>
      <c r="D7417" s="211" t="s">
        <v>1255</v>
      </c>
      <c r="E7417" s="211" t="s">
        <v>10385</v>
      </c>
      <c r="F7417" s="211" t="s">
        <v>7304</v>
      </c>
    </row>
    <row r="7418" spans="1:6">
      <c r="A7418" s="211" t="s">
        <v>10189</v>
      </c>
      <c r="B7418" s="211">
        <v>8138</v>
      </c>
      <c r="C7418" s="211">
        <v>600</v>
      </c>
      <c r="D7418" s="211" t="s">
        <v>1117</v>
      </c>
      <c r="E7418" s="211" t="s">
        <v>10190</v>
      </c>
      <c r="F7418" s="211" t="s">
        <v>7556</v>
      </c>
    </row>
    <row r="7419" spans="1:6">
      <c r="A7419" s="211" t="s">
        <v>3762</v>
      </c>
      <c r="B7419" s="211">
        <v>2850</v>
      </c>
      <c r="C7419" s="211">
        <v>874</v>
      </c>
      <c r="D7419" s="211" t="s">
        <v>1255</v>
      </c>
      <c r="E7419" s="211" t="s">
        <v>10385</v>
      </c>
      <c r="F7419" s="211" t="s">
        <v>7290</v>
      </c>
    </row>
    <row r="7420" spans="1:6">
      <c r="A7420" s="211" t="s">
        <v>5274</v>
      </c>
      <c r="B7420" s="211">
        <v>6749</v>
      </c>
      <c r="C7420" s="211">
        <v>621</v>
      </c>
      <c r="D7420" s="211" t="s">
        <v>1117</v>
      </c>
      <c r="E7420" s="211" t="s">
        <v>10385</v>
      </c>
      <c r="F7420" s="211" t="s">
        <v>7196</v>
      </c>
    </row>
    <row r="7421" spans="1:6">
      <c r="A7421" s="211" t="s">
        <v>3763</v>
      </c>
      <c r="B7421" s="211">
        <v>5981</v>
      </c>
      <c r="C7421" s="211">
        <v>1124</v>
      </c>
      <c r="D7421" s="211" t="s">
        <v>1255</v>
      </c>
      <c r="E7421" s="211" t="s">
        <v>10385</v>
      </c>
      <c r="F7421" s="211" t="s">
        <v>7316</v>
      </c>
    </row>
    <row r="7422" spans="1:6">
      <c r="A7422" s="211" t="s">
        <v>4791</v>
      </c>
      <c r="B7422" s="211">
        <v>6171</v>
      </c>
      <c r="C7422" s="211">
        <v>1188</v>
      </c>
      <c r="D7422" s="211" t="s">
        <v>1255</v>
      </c>
      <c r="E7422" s="211" t="s">
        <v>10385</v>
      </c>
      <c r="F7422" s="211" t="s">
        <v>7173</v>
      </c>
    </row>
    <row r="7423" spans="1:6">
      <c r="A7423" s="211" t="s">
        <v>3764</v>
      </c>
      <c r="B7423" s="211">
        <v>2607</v>
      </c>
      <c r="C7423" s="211">
        <v>1125</v>
      </c>
      <c r="D7423" s="211" t="s">
        <v>1255</v>
      </c>
      <c r="E7423" s="211" t="s">
        <v>10191</v>
      </c>
      <c r="F7423" s="211" t="s">
        <v>7275</v>
      </c>
    </row>
    <row r="7424" spans="1:6">
      <c r="A7424" s="211" t="s">
        <v>6305</v>
      </c>
      <c r="B7424" s="211">
        <v>7489</v>
      </c>
      <c r="C7424" s="211">
        <v>1389</v>
      </c>
      <c r="D7424" s="211" t="s">
        <v>1255</v>
      </c>
      <c r="E7424" s="211" t="s">
        <v>6306</v>
      </c>
      <c r="F7424" s="211" t="s">
        <v>7646</v>
      </c>
    </row>
    <row r="7425" spans="1:6">
      <c r="A7425" s="211" t="s">
        <v>3765</v>
      </c>
      <c r="B7425" s="211">
        <v>3188</v>
      </c>
      <c r="C7425" s="211">
        <v>1838</v>
      </c>
      <c r="D7425" s="211" t="s">
        <v>1117</v>
      </c>
      <c r="E7425" s="211" t="s">
        <v>10385</v>
      </c>
      <c r="F7425" s="211" t="s">
        <v>7316</v>
      </c>
    </row>
    <row r="7426" spans="1:6">
      <c r="A7426" s="211" t="s">
        <v>10192</v>
      </c>
      <c r="B7426" s="211">
        <v>8273</v>
      </c>
      <c r="C7426" s="211">
        <v>2119</v>
      </c>
      <c r="D7426" s="211" t="s">
        <v>1255</v>
      </c>
      <c r="E7426" s="211" t="s">
        <v>11041</v>
      </c>
      <c r="F7426" s="211" t="s">
        <v>7212</v>
      </c>
    </row>
    <row r="7427" spans="1:6">
      <c r="A7427" s="211" t="s">
        <v>8770</v>
      </c>
      <c r="B7427" s="211">
        <v>262</v>
      </c>
      <c r="C7427" s="211" t="s">
        <v>10385</v>
      </c>
      <c r="D7427" s="211" t="s">
        <v>1255</v>
      </c>
      <c r="E7427" s="211" t="s">
        <v>10385</v>
      </c>
      <c r="F7427" s="211" t="s">
        <v>7242</v>
      </c>
    </row>
    <row r="7428" spans="1:6">
      <c r="A7428" s="211" t="s">
        <v>8771</v>
      </c>
      <c r="B7428" s="211">
        <v>6056</v>
      </c>
      <c r="C7428" s="211" t="s">
        <v>10385</v>
      </c>
      <c r="D7428" s="211" t="s">
        <v>1255</v>
      </c>
      <c r="E7428" s="211" t="s">
        <v>10385</v>
      </c>
      <c r="F7428" s="211" t="s">
        <v>7240</v>
      </c>
    </row>
    <row r="7429" spans="1:6">
      <c r="A7429" s="211" t="s">
        <v>3766</v>
      </c>
      <c r="B7429" s="211">
        <v>6014</v>
      </c>
      <c r="C7429" s="211">
        <v>1163</v>
      </c>
      <c r="D7429" s="211" t="s">
        <v>1255</v>
      </c>
      <c r="E7429" s="211" t="s">
        <v>10385</v>
      </c>
      <c r="F7429" s="211" t="s">
        <v>7192</v>
      </c>
    </row>
    <row r="7430" spans="1:6">
      <c r="A7430" s="211" t="s">
        <v>3767</v>
      </c>
      <c r="B7430" s="211">
        <v>4311</v>
      </c>
      <c r="C7430" s="211">
        <v>1323</v>
      </c>
      <c r="D7430" s="211" t="s">
        <v>1255</v>
      </c>
      <c r="E7430" s="211" t="s">
        <v>10385</v>
      </c>
      <c r="F7430" s="211" t="s">
        <v>7335</v>
      </c>
    </row>
    <row r="7431" spans="1:6">
      <c r="A7431" s="211" t="s">
        <v>5352</v>
      </c>
      <c r="B7431" s="211">
        <v>6524</v>
      </c>
      <c r="C7431" s="211">
        <v>2274</v>
      </c>
      <c r="D7431" s="211" t="s">
        <v>1255</v>
      </c>
      <c r="E7431" s="211" t="s">
        <v>10193</v>
      </c>
      <c r="F7431" s="211" t="s">
        <v>7219</v>
      </c>
    </row>
    <row r="7432" spans="1:6">
      <c r="A7432" s="211" t="s">
        <v>7096</v>
      </c>
      <c r="B7432" s="211">
        <v>7663</v>
      </c>
      <c r="C7432" s="211">
        <v>949</v>
      </c>
      <c r="D7432" s="211" t="s">
        <v>1255</v>
      </c>
      <c r="E7432" s="211" t="s">
        <v>10194</v>
      </c>
      <c r="F7432" s="211" t="s">
        <v>7228</v>
      </c>
    </row>
    <row r="7433" spans="1:6">
      <c r="A7433" s="211" t="s">
        <v>3768</v>
      </c>
      <c r="B7433" s="211">
        <v>3856</v>
      </c>
      <c r="C7433" s="211">
        <v>1619</v>
      </c>
      <c r="D7433" s="211" t="s">
        <v>1255</v>
      </c>
      <c r="E7433" s="211" t="s">
        <v>10195</v>
      </c>
      <c r="F7433" s="211" t="s">
        <v>7205</v>
      </c>
    </row>
    <row r="7434" spans="1:6">
      <c r="A7434" s="211" t="s">
        <v>5275</v>
      </c>
      <c r="B7434" s="211">
        <v>6780</v>
      </c>
      <c r="C7434" s="211">
        <v>1282</v>
      </c>
      <c r="D7434" s="211" t="s">
        <v>1255</v>
      </c>
      <c r="E7434" s="211" t="s">
        <v>10385</v>
      </c>
      <c r="F7434" s="211" t="s">
        <v>7200</v>
      </c>
    </row>
    <row r="7435" spans="1:6">
      <c r="A7435" s="211" t="s">
        <v>3769</v>
      </c>
      <c r="B7435" s="211">
        <v>4185</v>
      </c>
      <c r="C7435" s="211">
        <v>1054</v>
      </c>
      <c r="D7435" s="211" t="s">
        <v>1117</v>
      </c>
      <c r="E7435" s="211" t="s">
        <v>10385</v>
      </c>
      <c r="F7435" s="211" t="s">
        <v>7224</v>
      </c>
    </row>
    <row r="7436" spans="1:6">
      <c r="A7436" s="211" t="s">
        <v>3770</v>
      </c>
      <c r="B7436" s="211">
        <v>3786</v>
      </c>
      <c r="C7436" s="211">
        <v>827</v>
      </c>
      <c r="D7436" s="211" t="s">
        <v>1255</v>
      </c>
      <c r="E7436" s="211" t="s">
        <v>10385</v>
      </c>
      <c r="F7436" s="211" t="s">
        <v>7282</v>
      </c>
    </row>
    <row r="7437" spans="1:6">
      <c r="A7437" s="211" t="s">
        <v>3771</v>
      </c>
      <c r="B7437" s="211">
        <v>3535</v>
      </c>
      <c r="C7437" s="211">
        <v>993</v>
      </c>
      <c r="D7437" s="211" t="s">
        <v>1255</v>
      </c>
      <c r="E7437" s="211" t="s">
        <v>10385</v>
      </c>
      <c r="F7437" s="211" t="s">
        <v>7171</v>
      </c>
    </row>
    <row r="7438" spans="1:6">
      <c r="A7438" s="211" t="s">
        <v>3772</v>
      </c>
      <c r="B7438" s="211">
        <v>5066</v>
      </c>
      <c r="C7438" s="211">
        <v>1844</v>
      </c>
      <c r="D7438" s="211" t="s">
        <v>1117</v>
      </c>
      <c r="E7438" s="211" t="s">
        <v>10385</v>
      </c>
      <c r="F7438" s="211" t="s">
        <v>7342</v>
      </c>
    </row>
    <row r="7439" spans="1:6">
      <c r="A7439" s="211" t="s">
        <v>8772</v>
      </c>
      <c r="B7439" s="211">
        <v>571</v>
      </c>
      <c r="C7439" s="211" t="s">
        <v>10385</v>
      </c>
      <c r="D7439" s="211" t="s">
        <v>1255</v>
      </c>
      <c r="E7439" s="211" t="s">
        <v>10385</v>
      </c>
      <c r="F7439" s="211" t="s">
        <v>7196</v>
      </c>
    </row>
    <row r="7440" spans="1:6">
      <c r="A7440" s="211" t="s">
        <v>8773</v>
      </c>
      <c r="B7440" s="211">
        <v>197</v>
      </c>
      <c r="C7440" s="211" t="s">
        <v>10385</v>
      </c>
      <c r="D7440" s="211" t="s">
        <v>1255</v>
      </c>
      <c r="E7440" s="211" t="s">
        <v>10385</v>
      </c>
      <c r="F7440" s="211" t="s">
        <v>7272</v>
      </c>
    </row>
    <row r="7441" spans="1:6">
      <c r="A7441" s="211" t="s">
        <v>8774</v>
      </c>
      <c r="B7441" s="211">
        <v>1688</v>
      </c>
      <c r="C7441" s="211" t="s">
        <v>10385</v>
      </c>
      <c r="D7441" s="211" t="s">
        <v>1255</v>
      </c>
      <c r="E7441" s="211" t="s">
        <v>10385</v>
      </c>
      <c r="F7441" s="211" t="s">
        <v>7459</v>
      </c>
    </row>
    <row r="7442" spans="1:6">
      <c r="A7442" s="211" t="s">
        <v>4792</v>
      </c>
      <c r="B7442" s="211">
        <v>6170</v>
      </c>
      <c r="C7442" s="211">
        <v>1110</v>
      </c>
      <c r="D7442" s="211" t="s">
        <v>1255</v>
      </c>
      <c r="E7442" s="211" t="s">
        <v>10385</v>
      </c>
      <c r="F7442" s="211" t="s">
        <v>7173</v>
      </c>
    </row>
    <row r="7443" spans="1:6">
      <c r="A7443" s="211" t="s">
        <v>3773</v>
      </c>
      <c r="B7443" s="211">
        <v>740</v>
      </c>
      <c r="C7443" s="211">
        <v>1461</v>
      </c>
      <c r="D7443" s="211" t="s">
        <v>1255</v>
      </c>
      <c r="E7443" s="211" t="s">
        <v>10385</v>
      </c>
      <c r="F7443" s="211" t="s">
        <v>7320</v>
      </c>
    </row>
    <row r="7444" spans="1:6">
      <c r="A7444" s="211" t="s">
        <v>3862</v>
      </c>
      <c r="B7444" s="211">
        <v>2334</v>
      </c>
      <c r="C7444" s="211">
        <v>1320</v>
      </c>
      <c r="D7444" s="211" t="s">
        <v>1255</v>
      </c>
      <c r="E7444" s="211" t="s">
        <v>10385</v>
      </c>
      <c r="F7444" s="211" t="s">
        <v>7262</v>
      </c>
    </row>
    <row r="7445" spans="1:6">
      <c r="A7445" s="211" t="s">
        <v>3774</v>
      </c>
      <c r="B7445" s="211">
        <v>5319</v>
      </c>
      <c r="C7445" s="211">
        <v>1081</v>
      </c>
      <c r="D7445" s="211" t="s">
        <v>1117</v>
      </c>
      <c r="E7445" s="211" t="s">
        <v>10385</v>
      </c>
      <c r="F7445" s="211" t="s">
        <v>7402</v>
      </c>
    </row>
    <row r="7446" spans="1:6">
      <c r="A7446" s="211" t="s">
        <v>6307</v>
      </c>
      <c r="B7446" s="211">
        <v>7363</v>
      </c>
      <c r="C7446" s="211">
        <v>951</v>
      </c>
      <c r="D7446" s="211" t="s">
        <v>1117</v>
      </c>
      <c r="E7446" s="211" t="s">
        <v>10385</v>
      </c>
      <c r="F7446" s="211" t="s">
        <v>7375</v>
      </c>
    </row>
    <row r="7447" spans="1:6">
      <c r="A7447" s="211" t="s">
        <v>5400</v>
      </c>
      <c r="B7447" s="211">
        <v>6323</v>
      </c>
      <c r="C7447" s="211">
        <v>759</v>
      </c>
      <c r="D7447" s="211" t="s">
        <v>1117</v>
      </c>
      <c r="E7447" s="211" t="s">
        <v>7097</v>
      </c>
      <c r="F7447" s="211" t="s">
        <v>7196</v>
      </c>
    </row>
    <row r="7448" spans="1:6">
      <c r="A7448" s="211" t="s">
        <v>3863</v>
      </c>
      <c r="B7448" s="211">
        <v>3578</v>
      </c>
      <c r="C7448" s="211">
        <v>704</v>
      </c>
      <c r="D7448" s="211" t="s">
        <v>1117</v>
      </c>
      <c r="E7448" s="211" t="s">
        <v>10385</v>
      </c>
      <c r="F7448" s="211" t="s">
        <v>7249</v>
      </c>
    </row>
    <row r="7449" spans="1:6">
      <c r="A7449" s="211" t="s">
        <v>3775</v>
      </c>
      <c r="B7449" s="211">
        <v>1537</v>
      </c>
      <c r="C7449" s="211">
        <v>1706</v>
      </c>
      <c r="D7449" s="211" t="s">
        <v>1255</v>
      </c>
      <c r="E7449" s="211" t="s">
        <v>10385</v>
      </c>
      <c r="F7449" s="211" t="s">
        <v>7199</v>
      </c>
    </row>
    <row r="7450" spans="1:6">
      <c r="A7450" s="211" t="s">
        <v>3776</v>
      </c>
      <c r="B7450" s="211">
        <v>3379</v>
      </c>
      <c r="C7450" s="211">
        <v>1633</v>
      </c>
      <c r="D7450" s="211" t="s">
        <v>1255</v>
      </c>
      <c r="E7450" s="211" t="s">
        <v>10385</v>
      </c>
      <c r="F7450" s="211" t="s">
        <v>7265</v>
      </c>
    </row>
    <row r="7451" spans="1:6">
      <c r="A7451" s="211" t="s">
        <v>8775</v>
      </c>
      <c r="B7451" s="211">
        <v>3134</v>
      </c>
      <c r="C7451" s="211" t="s">
        <v>10385</v>
      </c>
      <c r="D7451" s="211" t="s">
        <v>1255</v>
      </c>
      <c r="E7451" s="211" t="s">
        <v>10385</v>
      </c>
      <c r="F7451" s="211" t="s">
        <v>8673</v>
      </c>
    </row>
    <row r="7452" spans="1:6">
      <c r="A7452" s="211" t="s">
        <v>6308</v>
      </c>
      <c r="B7452" s="211">
        <v>7358</v>
      </c>
      <c r="C7452" s="211">
        <v>1203</v>
      </c>
      <c r="D7452" s="211" t="s">
        <v>1255</v>
      </c>
      <c r="E7452" s="211" t="s">
        <v>10196</v>
      </c>
      <c r="F7452" s="211" t="s">
        <v>7238</v>
      </c>
    </row>
    <row r="7453" spans="1:6">
      <c r="A7453" s="211" t="s">
        <v>8776</v>
      </c>
      <c r="B7453" s="211">
        <v>5359</v>
      </c>
      <c r="C7453" s="211" t="s">
        <v>10385</v>
      </c>
      <c r="D7453" s="211" t="s">
        <v>1255</v>
      </c>
      <c r="E7453" s="211" t="s">
        <v>10385</v>
      </c>
      <c r="F7453" s="211" t="s">
        <v>7402</v>
      </c>
    </row>
    <row r="7454" spans="1:6">
      <c r="A7454" s="211" t="s">
        <v>10197</v>
      </c>
      <c r="B7454" s="211">
        <v>8199</v>
      </c>
      <c r="C7454" s="211" t="s">
        <v>10385</v>
      </c>
      <c r="D7454" s="211" t="s">
        <v>1255</v>
      </c>
      <c r="E7454" s="211" t="s">
        <v>10385</v>
      </c>
      <c r="F7454" s="211" t="s">
        <v>7217</v>
      </c>
    </row>
    <row r="7455" spans="1:6">
      <c r="A7455" s="211" t="s">
        <v>3777</v>
      </c>
      <c r="B7455" s="211">
        <v>3815</v>
      </c>
      <c r="C7455" s="211">
        <v>1437</v>
      </c>
      <c r="D7455" s="211" t="s">
        <v>1117</v>
      </c>
      <c r="E7455" s="211" t="s">
        <v>10385</v>
      </c>
      <c r="F7455" s="211" t="s">
        <v>7320</v>
      </c>
    </row>
    <row r="7456" spans="1:6">
      <c r="A7456" s="211" t="s">
        <v>8777</v>
      </c>
      <c r="B7456" s="211">
        <v>4970</v>
      </c>
      <c r="C7456" s="211">
        <v>818</v>
      </c>
      <c r="D7456" s="211" t="s">
        <v>1255</v>
      </c>
      <c r="E7456" s="211" t="s">
        <v>10385</v>
      </c>
      <c r="F7456" s="211" t="s">
        <v>7310</v>
      </c>
    </row>
    <row r="7457" spans="1:6">
      <c r="A7457" s="211" t="s">
        <v>6309</v>
      </c>
      <c r="B7457" s="211">
        <v>7303</v>
      </c>
      <c r="C7457" s="211">
        <v>682</v>
      </c>
      <c r="D7457" s="211" t="s">
        <v>1117</v>
      </c>
      <c r="E7457" s="211" t="s">
        <v>10385</v>
      </c>
      <c r="F7457" s="211" t="s">
        <v>7171</v>
      </c>
    </row>
    <row r="7458" spans="1:6">
      <c r="A7458" s="211" t="s">
        <v>3778</v>
      </c>
      <c r="B7458" s="211">
        <v>5278</v>
      </c>
      <c r="C7458" s="211">
        <v>2047</v>
      </c>
      <c r="D7458" s="211" t="s">
        <v>1255</v>
      </c>
      <c r="E7458" s="211" t="s">
        <v>10198</v>
      </c>
      <c r="F7458" s="211" t="s">
        <v>7390</v>
      </c>
    </row>
    <row r="7459" spans="1:6">
      <c r="A7459" s="211" t="s">
        <v>10199</v>
      </c>
      <c r="B7459" s="211">
        <v>8398</v>
      </c>
      <c r="C7459" s="211">
        <v>798</v>
      </c>
      <c r="D7459" s="211" t="s">
        <v>1117</v>
      </c>
      <c r="E7459" s="211" t="s">
        <v>11042</v>
      </c>
      <c r="F7459" s="211" t="s">
        <v>7524</v>
      </c>
    </row>
    <row r="7460" spans="1:6">
      <c r="A7460" s="211" t="s">
        <v>10200</v>
      </c>
      <c r="B7460" s="211">
        <v>8013</v>
      </c>
      <c r="C7460" s="211">
        <v>800</v>
      </c>
      <c r="D7460" s="211" t="s">
        <v>1117</v>
      </c>
      <c r="E7460" s="211" t="s">
        <v>10385</v>
      </c>
      <c r="F7460" s="211" t="s">
        <v>7208</v>
      </c>
    </row>
    <row r="7461" spans="1:6">
      <c r="A7461" s="211" t="s">
        <v>8778</v>
      </c>
      <c r="B7461" s="211">
        <v>74</v>
      </c>
      <c r="C7461" s="211" t="s">
        <v>10385</v>
      </c>
      <c r="D7461" s="211" t="s">
        <v>1255</v>
      </c>
      <c r="E7461" s="211" t="s">
        <v>10385</v>
      </c>
      <c r="F7461" s="211" t="s">
        <v>7223</v>
      </c>
    </row>
    <row r="7462" spans="1:6">
      <c r="A7462" s="211" t="s">
        <v>10201</v>
      </c>
      <c r="B7462" s="211">
        <v>8160</v>
      </c>
      <c r="C7462" s="211">
        <v>1048</v>
      </c>
      <c r="D7462" s="211" t="s">
        <v>1255</v>
      </c>
      <c r="E7462" s="211" t="s">
        <v>10202</v>
      </c>
      <c r="F7462" s="211" t="s">
        <v>7240</v>
      </c>
    </row>
    <row r="7463" spans="1:6">
      <c r="A7463" s="211" t="s">
        <v>6310</v>
      </c>
      <c r="B7463" s="211">
        <v>7173</v>
      </c>
      <c r="C7463" s="211">
        <v>1415</v>
      </c>
      <c r="D7463" s="211" t="s">
        <v>1255</v>
      </c>
      <c r="E7463" s="211" t="s">
        <v>5716</v>
      </c>
      <c r="F7463" s="211" t="s">
        <v>7384</v>
      </c>
    </row>
    <row r="7464" spans="1:6">
      <c r="A7464" s="211" t="s">
        <v>3779</v>
      </c>
      <c r="B7464" s="211">
        <v>5058</v>
      </c>
      <c r="C7464" s="211">
        <v>1056</v>
      </c>
      <c r="D7464" s="211" t="s">
        <v>1117</v>
      </c>
      <c r="E7464" s="211" t="s">
        <v>10385</v>
      </c>
      <c r="F7464" s="211" t="s">
        <v>7318</v>
      </c>
    </row>
    <row r="7465" spans="1:6">
      <c r="A7465" s="211" t="s">
        <v>11043</v>
      </c>
      <c r="B7465" s="211">
        <v>8854</v>
      </c>
      <c r="C7465" s="211" t="s">
        <v>10385</v>
      </c>
      <c r="D7465" s="211" t="s">
        <v>1255</v>
      </c>
      <c r="E7465" s="211" t="s">
        <v>11044</v>
      </c>
      <c r="F7465" s="211" t="s">
        <v>7205</v>
      </c>
    </row>
    <row r="7466" spans="1:6">
      <c r="A7466" s="211" t="s">
        <v>3780</v>
      </c>
      <c r="B7466" s="211">
        <v>2470</v>
      </c>
      <c r="C7466" s="211">
        <v>1208</v>
      </c>
      <c r="D7466" s="211" t="s">
        <v>1255</v>
      </c>
      <c r="E7466" s="211" t="s">
        <v>10385</v>
      </c>
      <c r="F7466" s="211" t="s">
        <v>7320</v>
      </c>
    </row>
    <row r="7467" spans="1:6">
      <c r="A7467" s="211" t="s">
        <v>11045</v>
      </c>
      <c r="B7467" s="211">
        <v>8859</v>
      </c>
      <c r="C7467" s="211" t="s">
        <v>10385</v>
      </c>
      <c r="D7467" s="211" t="s">
        <v>1255</v>
      </c>
      <c r="E7467" s="211" t="s">
        <v>11046</v>
      </c>
      <c r="F7467" s="211" t="s">
        <v>7272</v>
      </c>
    </row>
    <row r="7468" spans="1:6">
      <c r="A7468" s="211" t="s">
        <v>3781</v>
      </c>
      <c r="B7468" s="211">
        <v>3824</v>
      </c>
      <c r="C7468" s="211">
        <v>933</v>
      </c>
      <c r="D7468" s="211" t="s">
        <v>1255</v>
      </c>
      <c r="E7468" s="211" t="s">
        <v>10385</v>
      </c>
      <c r="F7468" s="211" t="s">
        <v>7471</v>
      </c>
    </row>
    <row r="7469" spans="1:6">
      <c r="A7469" s="211" t="s">
        <v>3782</v>
      </c>
      <c r="B7469" s="211">
        <v>3261</v>
      </c>
      <c r="C7469" s="211">
        <v>1207</v>
      </c>
      <c r="D7469" s="211" t="s">
        <v>1255</v>
      </c>
      <c r="E7469" s="211" t="s">
        <v>10385</v>
      </c>
      <c r="F7469" s="211" t="s">
        <v>7199</v>
      </c>
    </row>
    <row r="7470" spans="1:6">
      <c r="A7470" s="211" t="s">
        <v>3783</v>
      </c>
      <c r="B7470" s="211">
        <v>2347</v>
      </c>
      <c r="C7470" s="211">
        <v>1434</v>
      </c>
      <c r="D7470" s="211" t="s">
        <v>1255</v>
      </c>
      <c r="E7470" s="211" t="s">
        <v>10385</v>
      </c>
      <c r="F7470" s="211" t="s">
        <v>7237</v>
      </c>
    </row>
    <row r="7471" spans="1:6">
      <c r="A7471" s="211" t="s">
        <v>5276</v>
      </c>
      <c r="B7471" s="211">
        <v>7009</v>
      </c>
      <c r="C7471" s="211">
        <v>977</v>
      </c>
      <c r="D7471" s="211" t="s">
        <v>1255</v>
      </c>
      <c r="E7471" s="211" t="s">
        <v>10385</v>
      </c>
      <c r="F7471" s="211" t="s">
        <v>7349</v>
      </c>
    </row>
    <row r="7472" spans="1:6">
      <c r="A7472" s="211" t="s">
        <v>3784</v>
      </c>
      <c r="B7472" s="211">
        <v>1787</v>
      </c>
      <c r="C7472" s="211">
        <v>2549</v>
      </c>
      <c r="D7472" s="211" t="s">
        <v>1255</v>
      </c>
      <c r="E7472" s="211" t="s">
        <v>10385</v>
      </c>
      <c r="F7472" s="211" t="s">
        <v>7342</v>
      </c>
    </row>
    <row r="7473" spans="1:6">
      <c r="A7473" s="211" t="s">
        <v>3785</v>
      </c>
      <c r="B7473" s="211">
        <v>2546</v>
      </c>
      <c r="C7473" s="211">
        <v>887</v>
      </c>
      <c r="D7473" s="211" t="s">
        <v>1117</v>
      </c>
      <c r="E7473" s="211" t="s">
        <v>10385</v>
      </c>
      <c r="F7473" s="211" t="s">
        <v>7250</v>
      </c>
    </row>
    <row r="7474" spans="1:6">
      <c r="A7474" s="211" t="s">
        <v>3786</v>
      </c>
      <c r="B7474" s="211">
        <v>1418</v>
      </c>
      <c r="C7474" s="211">
        <v>1554</v>
      </c>
      <c r="D7474" s="211" t="s">
        <v>1255</v>
      </c>
      <c r="E7474" s="211" t="s">
        <v>10385</v>
      </c>
      <c r="F7474" s="211" t="s">
        <v>7212</v>
      </c>
    </row>
    <row r="7475" spans="1:6">
      <c r="A7475" s="211" t="s">
        <v>8779</v>
      </c>
      <c r="B7475" s="211">
        <v>460</v>
      </c>
      <c r="C7475" s="211" t="s">
        <v>10385</v>
      </c>
      <c r="D7475" s="211" t="s">
        <v>1255</v>
      </c>
      <c r="E7475" s="211" t="s">
        <v>10385</v>
      </c>
      <c r="F7475" s="211" t="s">
        <v>7196</v>
      </c>
    </row>
    <row r="7476" spans="1:6">
      <c r="A7476" s="211" t="s">
        <v>10203</v>
      </c>
      <c r="B7476" s="211">
        <v>8470</v>
      </c>
      <c r="C7476" s="211">
        <v>1867</v>
      </c>
      <c r="D7476" s="211" t="s">
        <v>1255</v>
      </c>
      <c r="E7476" s="211" t="s">
        <v>10204</v>
      </c>
      <c r="F7476" s="211" t="s">
        <v>7196</v>
      </c>
    </row>
    <row r="7477" spans="1:6">
      <c r="A7477" s="211" t="s">
        <v>8780</v>
      </c>
      <c r="B7477" s="211">
        <v>394</v>
      </c>
      <c r="C7477" s="211" t="s">
        <v>10385</v>
      </c>
      <c r="D7477" s="211" t="s">
        <v>1255</v>
      </c>
      <c r="E7477" s="211" t="s">
        <v>10385</v>
      </c>
      <c r="F7477" s="211" t="s">
        <v>7867</v>
      </c>
    </row>
    <row r="7478" spans="1:6">
      <c r="A7478" s="211" t="s">
        <v>10205</v>
      </c>
      <c r="B7478" s="211">
        <v>7894</v>
      </c>
      <c r="C7478" s="211">
        <v>979</v>
      </c>
      <c r="D7478" s="211" t="s">
        <v>1117</v>
      </c>
      <c r="E7478" s="211" t="s">
        <v>10206</v>
      </c>
      <c r="F7478" s="211" t="s">
        <v>7224</v>
      </c>
    </row>
    <row r="7479" spans="1:6">
      <c r="A7479" s="211" t="s">
        <v>6311</v>
      </c>
      <c r="B7479" s="211">
        <v>7240</v>
      </c>
      <c r="C7479" s="211">
        <v>1614</v>
      </c>
      <c r="D7479" s="211" t="s">
        <v>1117</v>
      </c>
      <c r="E7479" s="211" t="s">
        <v>10385</v>
      </c>
      <c r="F7479" s="211" t="s">
        <v>7431</v>
      </c>
    </row>
    <row r="7480" spans="1:6">
      <c r="A7480" s="211" t="s">
        <v>8781</v>
      </c>
      <c r="B7480" s="211">
        <v>4289</v>
      </c>
      <c r="C7480" s="211" t="s">
        <v>10385</v>
      </c>
      <c r="D7480" s="211" t="s">
        <v>1117</v>
      </c>
      <c r="E7480" s="211" t="s">
        <v>10385</v>
      </c>
      <c r="F7480" s="211" t="s">
        <v>7471</v>
      </c>
    </row>
    <row r="7481" spans="1:6">
      <c r="A7481" s="211" t="s">
        <v>8782</v>
      </c>
      <c r="B7481" s="211">
        <v>226</v>
      </c>
      <c r="C7481" s="211" t="s">
        <v>10385</v>
      </c>
      <c r="D7481" s="211" t="s">
        <v>1255</v>
      </c>
      <c r="E7481" s="211" t="s">
        <v>10385</v>
      </c>
      <c r="F7481" s="211" t="s">
        <v>7171</v>
      </c>
    </row>
    <row r="7482" spans="1:6">
      <c r="A7482" s="211" t="s">
        <v>11047</v>
      </c>
      <c r="B7482" s="211">
        <v>8729</v>
      </c>
      <c r="C7482" s="211">
        <v>1329</v>
      </c>
      <c r="D7482" s="211" t="s">
        <v>1255</v>
      </c>
      <c r="E7482" s="211" t="s">
        <v>10385</v>
      </c>
      <c r="F7482" s="211" t="s">
        <v>7380</v>
      </c>
    </row>
    <row r="7483" spans="1:6">
      <c r="A7483" s="211" t="s">
        <v>3787</v>
      </c>
      <c r="B7483" s="211">
        <v>525</v>
      </c>
      <c r="C7483" s="211">
        <v>1363</v>
      </c>
      <c r="D7483" s="211" t="s">
        <v>1255</v>
      </c>
      <c r="E7483" s="211" t="s">
        <v>10385</v>
      </c>
      <c r="F7483" s="211" t="s">
        <v>7265</v>
      </c>
    </row>
    <row r="7484" spans="1:6">
      <c r="A7484" s="211" t="s">
        <v>6312</v>
      </c>
      <c r="B7484" s="211">
        <v>7088</v>
      </c>
      <c r="C7484" s="211">
        <v>1134</v>
      </c>
      <c r="D7484" s="211" t="s">
        <v>1117</v>
      </c>
      <c r="E7484" s="211" t="s">
        <v>10385</v>
      </c>
      <c r="F7484" s="211" t="s">
        <v>7356</v>
      </c>
    </row>
    <row r="7485" spans="1:6">
      <c r="A7485" s="211" t="s">
        <v>3788</v>
      </c>
      <c r="B7485" s="211">
        <v>450</v>
      </c>
      <c r="C7485" s="211">
        <v>1641</v>
      </c>
      <c r="D7485" s="211" t="s">
        <v>1255</v>
      </c>
      <c r="E7485" s="211" t="s">
        <v>10385</v>
      </c>
      <c r="F7485" s="211" t="s">
        <v>7210</v>
      </c>
    </row>
    <row r="7486" spans="1:6">
      <c r="A7486" s="211" t="s">
        <v>3789</v>
      </c>
      <c r="B7486" s="211">
        <v>5392</v>
      </c>
      <c r="C7486" s="211">
        <v>787</v>
      </c>
      <c r="D7486" s="211" t="s">
        <v>1255</v>
      </c>
      <c r="E7486" s="211" t="s">
        <v>10385</v>
      </c>
      <c r="F7486" s="211" t="s">
        <v>7524</v>
      </c>
    </row>
    <row r="7487" spans="1:6">
      <c r="A7487" s="211" t="s">
        <v>6313</v>
      </c>
      <c r="B7487" s="211">
        <v>7396</v>
      </c>
      <c r="C7487" s="211">
        <v>1768</v>
      </c>
      <c r="D7487" s="211" t="s">
        <v>1255</v>
      </c>
      <c r="E7487" s="211" t="s">
        <v>6314</v>
      </c>
      <c r="F7487" s="211" t="s">
        <v>7307</v>
      </c>
    </row>
    <row r="7488" spans="1:6">
      <c r="A7488" s="211" t="s">
        <v>4722</v>
      </c>
      <c r="B7488" s="211">
        <v>6228</v>
      </c>
      <c r="C7488" s="211">
        <v>904</v>
      </c>
      <c r="D7488" s="211" t="s">
        <v>1255</v>
      </c>
      <c r="E7488" s="211" t="s">
        <v>10385</v>
      </c>
      <c r="F7488" s="211" t="s">
        <v>7248</v>
      </c>
    </row>
    <row r="7489" spans="1:6">
      <c r="A7489" s="211" t="s">
        <v>3790</v>
      </c>
      <c r="B7489" s="211">
        <v>5463</v>
      </c>
      <c r="C7489" s="211">
        <v>964</v>
      </c>
      <c r="D7489" s="211" t="s">
        <v>1255</v>
      </c>
      <c r="E7489" s="211" t="s">
        <v>10385</v>
      </c>
      <c r="F7489" s="211" t="s">
        <v>7310</v>
      </c>
    </row>
    <row r="7490" spans="1:6">
      <c r="A7490" s="211" t="s">
        <v>8783</v>
      </c>
      <c r="B7490" s="211">
        <v>340</v>
      </c>
      <c r="C7490" s="211" t="s">
        <v>10385</v>
      </c>
      <c r="D7490" s="211" t="s">
        <v>1255</v>
      </c>
      <c r="E7490" s="211" t="s">
        <v>10385</v>
      </c>
      <c r="F7490" s="211" t="s">
        <v>7239</v>
      </c>
    </row>
    <row r="7491" spans="1:6">
      <c r="A7491" s="211" t="s">
        <v>11048</v>
      </c>
      <c r="B7491" s="211">
        <v>8850</v>
      </c>
      <c r="C7491" s="211">
        <v>400</v>
      </c>
      <c r="D7491" s="211" t="s">
        <v>1117</v>
      </c>
      <c r="E7491" s="211" t="s">
        <v>11049</v>
      </c>
      <c r="F7491" s="211" t="s">
        <v>7205</v>
      </c>
    </row>
    <row r="7492" spans="1:6">
      <c r="A7492" s="211" t="s">
        <v>2902</v>
      </c>
      <c r="B7492" s="211">
        <v>1994</v>
      </c>
      <c r="C7492" s="211">
        <v>1539</v>
      </c>
      <c r="D7492" s="211" t="s">
        <v>1255</v>
      </c>
      <c r="E7492" s="211" t="s">
        <v>10385</v>
      </c>
      <c r="F7492" s="211" t="s">
        <v>7322</v>
      </c>
    </row>
    <row r="7493" spans="1:6">
      <c r="A7493" s="211" t="s">
        <v>6315</v>
      </c>
      <c r="B7493" s="211">
        <v>7130</v>
      </c>
      <c r="C7493" s="211">
        <v>2394</v>
      </c>
      <c r="D7493" s="211" t="s">
        <v>1255</v>
      </c>
      <c r="E7493" s="211" t="s">
        <v>7098</v>
      </c>
      <c r="F7493" s="211" t="s">
        <v>7471</v>
      </c>
    </row>
    <row r="7494" spans="1:6">
      <c r="A7494" s="211" t="s">
        <v>3791</v>
      </c>
      <c r="B7494" s="211">
        <v>1680</v>
      </c>
      <c r="C7494" s="211">
        <v>847</v>
      </c>
      <c r="D7494" s="211" t="s">
        <v>1117</v>
      </c>
      <c r="E7494" s="211" t="s">
        <v>10385</v>
      </c>
      <c r="F7494" s="211" t="s">
        <v>7581</v>
      </c>
    </row>
    <row r="7495" spans="1:6">
      <c r="A7495" s="211" t="s">
        <v>8784</v>
      </c>
      <c r="B7495" s="211">
        <v>5195</v>
      </c>
      <c r="C7495" s="211" t="s">
        <v>10385</v>
      </c>
      <c r="D7495" s="211" t="s">
        <v>1117</v>
      </c>
      <c r="E7495" s="211" t="s">
        <v>10385</v>
      </c>
      <c r="F7495" s="211" t="s">
        <v>7192</v>
      </c>
    </row>
    <row r="7496" spans="1:6">
      <c r="A7496" s="211" t="s">
        <v>3792</v>
      </c>
      <c r="B7496" s="211">
        <v>3782</v>
      </c>
      <c r="C7496" s="211">
        <v>1806</v>
      </c>
      <c r="D7496" s="211" t="s">
        <v>1255</v>
      </c>
      <c r="E7496" s="211" t="s">
        <v>10385</v>
      </c>
      <c r="F7496" s="211" t="s">
        <v>7306</v>
      </c>
    </row>
    <row r="7497" spans="1:6">
      <c r="A7497" s="211" t="s">
        <v>10207</v>
      </c>
      <c r="B7497" s="211">
        <v>8067</v>
      </c>
      <c r="C7497" s="211">
        <v>1845</v>
      </c>
      <c r="D7497" s="211" t="s">
        <v>1255</v>
      </c>
      <c r="E7497" s="211" t="s">
        <v>10385</v>
      </c>
      <c r="F7497" s="211" t="s">
        <v>7306</v>
      </c>
    </row>
    <row r="7498" spans="1:6">
      <c r="A7498" s="211" t="s">
        <v>3793</v>
      </c>
      <c r="B7498" s="211">
        <v>4520</v>
      </c>
      <c r="C7498" s="211">
        <v>498</v>
      </c>
      <c r="D7498" s="211" t="s">
        <v>1117</v>
      </c>
      <c r="E7498" s="211" t="s">
        <v>10385</v>
      </c>
      <c r="F7498" s="211" t="s">
        <v>7356</v>
      </c>
    </row>
    <row r="7499" spans="1:6">
      <c r="A7499" s="211" t="s">
        <v>3794</v>
      </c>
      <c r="B7499" s="211">
        <v>2770</v>
      </c>
      <c r="C7499" s="211">
        <v>1867</v>
      </c>
      <c r="D7499" s="211" t="s">
        <v>1255</v>
      </c>
      <c r="E7499" s="211" t="s">
        <v>10385</v>
      </c>
      <c r="F7499" s="211" t="s">
        <v>7173</v>
      </c>
    </row>
    <row r="7500" spans="1:6">
      <c r="A7500" s="211" t="s">
        <v>8785</v>
      </c>
      <c r="B7500" s="211">
        <v>464</v>
      </c>
      <c r="C7500" s="211">
        <v>1891</v>
      </c>
      <c r="D7500" s="211" t="s">
        <v>1117</v>
      </c>
      <c r="E7500" s="211" t="s">
        <v>10385</v>
      </c>
      <c r="F7500" s="211" t="s">
        <v>7351</v>
      </c>
    </row>
    <row r="7501" spans="1:6">
      <c r="A7501" s="211" t="s">
        <v>3795</v>
      </c>
      <c r="B7501" s="211">
        <v>3524</v>
      </c>
      <c r="C7501" s="211">
        <v>761</v>
      </c>
      <c r="D7501" s="211" t="s">
        <v>1117</v>
      </c>
      <c r="E7501" s="211" t="s">
        <v>10385</v>
      </c>
      <c r="F7501" s="211" t="s">
        <v>7212</v>
      </c>
    </row>
    <row r="7502" spans="1:6">
      <c r="A7502" s="211" t="s">
        <v>8786</v>
      </c>
      <c r="B7502" s="211">
        <v>5862</v>
      </c>
      <c r="C7502" s="211" t="s">
        <v>10385</v>
      </c>
      <c r="D7502" s="211" t="s">
        <v>1255</v>
      </c>
      <c r="E7502" s="211" t="s">
        <v>10385</v>
      </c>
      <c r="F7502" s="211" t="s">
        <v>7398</v>
      </c>
    </row>
    <row r="7503" spans="1:6">
      <c r="A7503" s="211" t="s">
        <v>11050</v>
      </c>
      <c r="B7503" s="211">
        <v>8767</v>
      </c>
      <c r="C7503" s="211" t="s">
        <v>10385</v>
      </c>
      <c r="D7503" s="211" t="s">
        <v>1117</v>
      </c>
      <c r="E7503" s="211" t="s">
        <v>11051</v>
      </c>
      <c r="F7503" s="211" t="s">
        <v>7217</v>
      </c>
    </row>
    <row r="7504" spans="1:6">
      <c r="A7504" s="211" t="s">
        <v>5277</v>
      </c>
      <c r="B7504" s="211">
        <v>6630</v>
      </c>
      <c r="C7504" s="211">
        <v>495</v>
      </c>
      <c r="D7504" s="211" t="s">
        <v>1117</v>
      </c>
      <c r="E7504" s="211" t="s">
        <v>10385</v>
      </c>
      <c r="F7504" s="211" t="s">
        <v>7192</v>
      </c>
    </row>
    <row r="7505" spans="1:6">
      <c r="A7505" s="211" t="s">
        <v>10208</v>
      </c>
      <c r="B7505" s="211">
        <v>7952</v>
      </c>
      <c r="C7505" s="211">
        <v>801</v>
      </c>
      <c r="D7505" s="211" t="s">
        <v>1117</v>
      </c>
      <c r="E7505" s="211" t="s">
        <v>10209</v>
      </c>
      <c r="F7505" s="211" t="s">
        <v>7288</v>
      </c>
    </row>
    <row r="7506" spans="1:6">
      <c r="A7506" s="211" t="s">
        <v>10210</v>
      </c>
      <c r="B7506" s="211">
        <v>8409</v>
      </c>
      <c r="C7506" s="211">
        <v>835</v>
      </c>
      <c r="D7506" s="211" t="s">
        <v>1117</v>
      </c>
      <c r="E7506" s="211" t="s">
        <v>11052</v>
      </c>
      <c r="F7506" s="211" t="s">
        <v>7334</v>
      </c>
    </row>
    <row r="7507" spans="1:6">
      <c r="A7507" s="211" t="s">
        <v>3796</v>
      </c>
      <c r="B7507" s="211">
        <v>427</v>
      </c>
      <c r="C7507" s="211">
        <v>1051</v>
      </c>
      <c r="D7507" s="211" t="s">
        <v>1255</v>
      </c>
      <c r="E7507" s="211" t="s">
        <v>10385</v>
      </c>
      <c r="F7507" s="211" t="s">
        <v>7269</v>
      </c>
    </row>
    <row r="7508" spans="1:6">
      <c r="A7508" s="211" t="s">
        <v>3797</v>
      </c>
      <c r="B7508" s="211">
        <v>520</v>
      </c>
      <c r="C7508" s="211">
        <v>1000</v>
      </c>
      <c r="D7508" s="211" t="s">
        <v>1255</v>
      </c>
      <c r="E7508" s="211" t="s">
        <v>10385</v>
      </c>
      <c r="F7508" s="211" t="s">
        <v>7297</v>
      </c>
    </row>
    <row r="7509" spans="1:6">
      <c r="A7509" s="211" t="s">
        <v>3798</v>
      </c>
      <c r="B7509" s="211">
        <v>4971</v>
      </c>
      <c r="C7509" s="211">
        <v>720</v>
      </c>
      <c r="D7509" s="211" t="s">
        <v>1255</v>
      </c>
      <c r="E7509" s="211" t="s">
        <v>10385</v>
      </c>
      <c r="F7509" s="211" t="s">
        <v>7310</v>
      </c>
    </row>
    <row r="7510" spans="1:6">
      <c r="A7510" s="211" t="s">
        <v>10211</v>
      </c>
      <c r="B7510" s="211">
        <v>8094</v>
      </c>
      <c r="C7510" s="211">
        <v>1841</v>
      </c>
      <c r="D7510" s="211" t="s">
        <v>1117</v>
      </c>
      <c r="E7510" s="211" t="s">
        <v>10385</v>
      </c>
      <c r="F7510" s="211" t="s">
        <v>7383</v>
      </c>
    </row>
    <row r="7511" spans="1:6">
      <c r="A7511" s="211" t="s">
        <v>5278</v>
      </c>
      <c r="B7511" s="211">
        <v>6810</v>
      </c>
      <c r="C7511" s="211">
        <v>847</v>
      </c>
      <c r="D7511" s="211" t="s">
        <v>1117</v>
      </c>
      <c r="E7511" s="211" t="s">
        <v>6316</v>
      </c>
      <c r="F7511" s="211" t="s">
        <v>7224</v>
      </c>
    </row>
    <row r="7512" spans="1:6">
      <c r="A7512" s="211" t="s">
        <v>2884</v>
      </c>
      <c r="B7512" s="211">
        <v>3833</v>
      </c>
      <c r="C7512" s="211">
        <v>1471</v>
      </c>
      <c r="D7512" s="211" t="s">
        <v>1255</v>
      </c>
      <c r="E7512" s="211" t="s">
        <v>10385</v>
      </c>
      <c r="F7512" s="211" t="s">
        <v>7386</v>
      </c>
    </row>
    <row r="7513" spans="1:6">
      <c r="A7513" s="211" t="s">
        <v>6317</v>
      </c>
      <c r="B7513" s="211">
        <v>7125</v>
      </c>
      <c r="C7513" s="211">
        <v>847</v>
      </c>
      <c r="D7513" s="211" t="s">
        <v>1117</v>
      </c>
      <c r="E7513" s="211" t="s">
        <v>10385</v>
      </c>
      <c r="F7513" s="211" t="s">
        <v>7258</v>
      </c>
    </row>
    <row r="7514" spans="1:6">
      <c r="A7514" s="211" t="s">
        <v>3799</v>
      </c>
      <c r="B7514" s="211">
        <v>6026</v>
      </c>
      <c r="C7514" s="211">
        <v>1262</v>
      </c>
      <c r="D7514" s="211" t="s">
        <v>1117</v>
      </c>
      <c r="E7514" s="211" t="s">
        <v>10385</v>
      </c>
      <c r="F7514" s="211" t="s">
        <v>7205</v>
      </c>
    </row>
    <row r="7515" spans="1:6">
      <c r="A7515" s="211" t="s">
        <v>3800</v>
      </c>
      <c r="B7515" s="211">
        <v>3608</v>
      </c>
      <c r="C7515" s="211">
        <v>888</v>
      </c>
      <c r="D7515" s="211" t="s">
        <v>1255</v>
      </c>
      <c r="E7515" s="211" t="s">
        <v>10385</v>
      </c>
      <c r="F7515" s="211" t="s">
        <v>7205</v>
      </c>
    </row>
    <row r="7516" spans="1:6">
      <c r="A7516" s="211" t="s">
        <v>3801</v>
      </c>
      <c r="B7516" s="211">
        <v>2745</v>
      </c>
      <c r="C7516" s="211">
        <v>1118</v>
      </c>
      <c r="D7516" s="211" t="s">
        <v>1255</v>
      </c>
      <c r="E7516" s="211" t="s">
        <v>10385</v>
      </c>
      <c r="F7516" s="211" t="s">
        <v>7219</v>
      </c>
    </row>
    <row r="7517" spans="1:6">
      <c r="A7517" s="211" t="s">
        <v>5279</v>
      </c>
      <c r="B7517" s="211">
        <v>6758</v>
      </c>
      <c r="C7517" s="211">
        <v>1061</v>
      </c>
      <c r="D7517" s="211" t="s">
        <v>1117</v>
      </c>
      <c r="E7517" s="211" t="s">
        <v>10385</v>
      </c>
      <c r="F7517" s="211" t="s">
        <v>7310</v>
      </c>
    </row>
    <row r="7518" spans="1:6">
      <c r="A7518" s="211" t="s">
        <v>3802</v>
      </c>
      <c r="B7518" s="211">
        <v>675</v>
      </c>
      <c r="C7518" s="211">
        <v>988</v>
      </c>
      <c r="D7518" s="211" t="s">
        <v>1255</v>
      </c>
      <c r="E7518" s="211" t="s">
        <v>10385</v>
      </c>
      <c r="F7518" s="211" t="s">
        <v>7269</v>
      </c>
    </row>
    <row r="7519" spans="1:6">
      <c r="A7519" s="211" t="s">
        <v>3803</v>
      </c>
      <c r="B7519" s="211">
        <v>2430</v>
      </c>
      <c r="C7519" s="211">
        <v>856</v>
      </c>
      <c r="D7519" s="211" t="s">
        <v>1117</v>
      </c>
      <c r="E7519" s="211" t="s">
        <v>10385</v>
      </c>
      <c r="F7519" s="211" t="s">
        <v>7208</v>
      </c>
    </row>
    <row r="7520" spans="1:6">
      <c r="A7520" s="211" t="s">
        <v>3804</v>
      </c>
      <c r="B7520" s="211">
        <v>4573</v>
      </c>
      <c r="C7520" s="211">
        <v>2030</v>
      </c>
      <c r="D7520" s="211" t="s">
        <v>1117</v>
      </c>
      <c r="E7520" s="211" t="s">
        <v>10385</v>
      </c>
      <c r="F7520" s="211" t="s">
        <v>7334</v>
      </c>
    </row>
    <row r="7521" spans="1:6">
      <c r="A7521" s="211" t="s">
        <v>5353</v>
      </c>
      <c r="B7521" s="211">
        <v>6213</v>
      </c>
      <c r="C7521" s="211">
        <v>844</v>
      </c>
      <c r="D7521" s="211" t="s">
        <v>1117</v>
      </c>
      <c r="E7521" s="211" t="s">
        <v>10385</v>
      </c>
      <c r="F7521" s="211" t="s">
        <v>7224</v>
      </c>
    </row>
    <row r="7522" spans="1:6">
      <c r="A7522" s="211" t="s">
        <v>6318</v>
      </c>
      <c r="B7522" s="211">
        <v>7049</v>
      </c>
      <c r="C7522" s="211">
        <v>1178</v>
      </c>
      <c r="D7522" s="211" t="s">
        <v>1117</v>
      </c>
      <c r="E7522" s="211" t="s">
        <v>6319</v>
      </c>
      <c r="F7522" s="211" t="s">
        <v>7320</v>
      </c>
    </row>
    <row r="7523" spans="1:6">
      <c r="A7523" s="211" t="s">
        <v>3805</v>
      </c>
      <c r="B7523" s="211">
        <v>1276</v>
      </c>
      <c r="C7523" s="211">
        <v>940</v>
      </c>
      <c r="D7523" s="211" t="s">
        <v>1255</v>
      </c>
      <c r="E7523" s="211" t="s">
        <v>10385</v>
      </c>
      <c r="F7523" s="211" t="s">
        <v>7192</v>
      </c>
    </row>
    <row r="7524" spans="1:6">
      <c r="A7524" s="211" t="s">
        <v>3806</v>
      </c>
      <c r="B7524" s="211">
        <v>4074</v>
      </c>
      <c r="C7524" s="211">
        <v>1168</v>
      </c>
      <c r="D7524" s="211" t="s">
        <v>1255</v>
      </c>
      <c r="E7524" s="211" t="s">
        <v>10385</v>
      </c>
      <c r="F7524" s="211" t="s">
        <v>7249</v>
      </c>
    </row>
    <row r="7525" spans="1:6">
      <c r="A7525" s="211" t="s">
        <v>7099</v>
      </c>
      <c r="B7525" s="211">
        <v>7811</v>
      </c>
      <c r="C7525" s="211">
        <v>1294</v>
      </c>
      <c r="D7525" s="211" t="s">
        <v>1255</v>
      </c>
      <c r="E7525" s="211" t="s">
        <v>10385</v>
      </c>
      <c r="F7525" s="211" t="s">
        <v>7386</v>
      </c>
    </row>
    <row r="7526" spans="1:6">
      <c r="A7526" s="211" t="s">
        <v>3807</v>
      </c>
      <c r="B7526" s="211">
        <v>2727</v>
      </c>
      <c r="C7526" s="211">
        <v>1086</v>
      </c>
      <c r="D7526" s="211" t="s">
        <v>1117</v>
      </c>
      <c r="E7526" s="211" t="s">
        <v>10385</v>
      </c>
      <c r="F7526" s="211" t="s">
        <v>7231</v>
      </c>
    </row>
    <row r="7527" spans="1:6">
      <c r="A7527" s="211" t="s">
        <v>11053</v>
      </c>
      <c r="B7527" s="211">
        <v>8696</v>
      </c>
      <c r="C7527" s="211">
        <v>1100</v>
      </c>
      <c r="D7527" s="211" t="s">
        <v>1255</v>
      </c>
      <c r="E7527" s="211" t="s">
        <v>11054</v>
      </c>
      <c r="F7527" s="211" t="s">
        <v>7587</v>
      </c>
    </row>
    <row r="7528" spans="1:6">
      <c r="A7528" s="211" t="s">
        <v>8787</v>
      </c>
      <c r="B7528" s="211">
        <v>558</v>
      </c>
      <c r="C7528" s="211" t="s">
        <v>10385</v>
      </c>
      <c r="D7528" s="211" t="s">
        <v>1255</v>
      </c>
      <c r="E7528" s="211" t="s">
        <v>10385</v>
      </c>
      <c r="F7528" s="211" t="s">
        <v>7510</v>
      </c>
    </row>
    <row r="7529" spans="1:6">
      <c r="A7529" s="211" t="s">
        <v>6320</v>
      </c>
      <c r="B7529" s="211">
        <v>7037</v>
      </c>
      <c r="C7529" s="211">
        <v>1665</v>
      </c>
      <c r="D7529" s="211" t="s">
        <v>1255</v>
      </c>
      <c r="E7529" s="211" t="s">
        <v>6321</v>
      </c>
      <c r="F7529" s="211" t="s">
        <v>9024</v>
      </c>
    </row>
    <row r="7530" spans="1:6">
      <c r="A7530" s="211" t="s">
        <v>4622</v>
      </c>
      <c r="B7530" s="211">
        <v>6507</v>
      </c>
      <c r="C7530" s="211">
        <v>1240</v>
      </c>
      <c r="D7530" s="211" t="s">
        <v>1255</v>
      </c>
      <c r="E7530" s="211" t="s">
        <v>6322</v>
      </c>
      <c r="F7530" s="211" t="s">
        <v>7284</v>
      </c>
    </row>
    <row r="7531" spans="1:6">
      <c r="A7531" s="211" t="s">
        <v>3808</v>
      </c>
      <c r="B7531" s="211">
        <v>462</v>
      </c>
      <c r="C7531" s="211">
        <v>1631</v>
      </c>
      <c r="D7531" s="211" t="s">
        <v>1255</v>
      </c>
      <c r="E7531" s="211" t="s">
        <v>10385</v>
      </c>
      <c r="F7531" s="211" t="s">
        <v>7196</v>
      </c>
    </row>
    <row r="7532" spans="1:6">
      <c r="A7532" s="211" t="s">
        <v>3809</v>
      </c>
      <c r="B7532" s="211">
        <v>3695</v>
      </c>
      <c r="C7532" s="211">
        <v>1174</v>
      </c>
      <c r="D7532" s="211" t="s">
        <v>1255</v>
      </c>
      <c r="E7532" s="211" t="s">
        <v>10385</v>
      </c>
      <c r="F7532" s="211" t="s">
        <v>7402</v>
      </c>
    </row>
    <row r="7533" spans="1:6">
      <c r="A7533" s="211" t="s">
        <v>3810</v>
      </c>
      <c r="B7533" s="211">
        <v>5328</v>
      </c>
      <c r="C7533" s="211">
        <v>1900</v>
      </c>
      <c r="D7533" s="211" t="s">
        <v>1255</v>
      </c>
      <c r="E7533" s="211" t="s">
        <v>7100</v>
      </c>
      <c r="F7533" s="211" t="s">
        <v>7396</v>
      </c>
    </row>
    <row r="7534" spans="1:6">
      <c r="A7534" s="211" t="s">
        <v>8788</v>
      </c>
      <c r="B7534" s="211">
        <v>2942</v>
      </c>
      <c r="C7534" s="211" t="s">
        <v>10385</v>
      </c>
      <c r="D7534" s="211" t="s">
        <v>1117</v>
      </c>
      <c r="E7534" s="211" t="s">
        <v>10385</v>
      </c>
      <c r="F7534" s="211" t="s">
        <v>7177</v>
      </c>
    </row>
    <row r="7535" spans="1:6">
      <c r="A7535" s="211" t="s">
        <v>5280</v>
      </c>
      <c r="B7535" s="211">
        <v>7016</v>
      </c>
      <c r="C7535" s="211" t="s">
        <v>10385</v>
      </c>
      <c r="D7535" s="211" t="s">
        <v>1117</v>
      </c>
      <c r="E7535" s="211" t="s">
        <v>10385</v>
      </c>
      <c r="F7535" s="211" t="s">
        <v>7224</v>
      </c>
    </row>
    <row r="7536" spans="1:6">
      <c r="A7536" s="211" t="s">
        <v>3811</v>
      </c>
      <c r="B7536" s="211">
        <v>741</v>
      </c>
      <c r="C7536" s="211">
        <v>2132</v>
      </c>
      <c r="D7536" s="211" t="s">
        <v>1255</v>
      </c>
      <c r="E7536" s="211" t="s">
        <v>10385</v>
      </c>
      <c r="F7536" s="211" t="s">
        <v>7320</v>
      </c>
    </row>
    <row r="7537" spans="1:6">
      <c r="A7537" s="211" t="s">
        <v>3812</v>
      </c>
      <c r="B7537" s="211">
        <v>3125</v>
      </c>
      <c r="C7537" s="211">
        <v>1615</v>
      </c>
      <c r="D7537" s="211" t="s">
        <v>1255</v>
      </c>
      <c r="E7537" s="211" t="s">
        <v>10385</v>
      </c>
      <c r="F7537" s="211" t="s">
        <v>7495</v>
      </c>
    </row>
    <row r="7538" spans="1:6">
      <c r="A7538" s="211" t="s">
        <v>3813</v>
      </c>
      <c r="B7538" s="211">
        <v>2662</v>
      </c>
      <c r="C7538" s="211">
        <v>778</v>
      </c>
      <c r="D7538" s="211" t="s">
        <v>1117</v>
      </c>
      <c r="E7538" s="211" t="s">
        <v>10385</v>
      </c>
      <c r="F7538" s="211" t="s">
        <v>7239</v>
      </c>
    </row>
    <row r="7539" spans="1:6">
      <c r="A7539" s="211" t="s">
        <v>3814</v>
      </c>
      <c r="B7539" s="211">
        <v>2648</v>
      </c>
      <c r="C7539" s="211">
        <v>1199</v>
      </c>
      <c r="D7539" s="211" t="s">
        <v>1255</v>
      </c>
      <c r="E7539" s="211" t="s">
        <v>3815</v>
      </c>
      <c r="F7539" s="211" t="s">
        <v>7459</v>
      </c>
    </row>
    <row r="7540" spans="1:6">
      <c r="A7540" s="211" t="s">
        <v>3816</v>
      </c>
      <c r="B7540" s="211">
        <v>3425</v>
      </c>
      <c r="C7540" s="211">
        <v>1409</v>
      </c>
      <c r="D7540" s="211" t="s">
        <v>1255</v>
      </c>
      <c r="E7540" s="211" t="s">
        <v>10385</v>
      </c>
      <c r="F7540" s="211" t="s">
        <v>7249</v>
      </c>
    </row>
    <row r="7541" spans="1:6">
      <c r="A7541" s="211" t="s">
        <v>4689</v>
      </c>
      <c r="B7541" s="211">
        <v>6422</v>
      </c>
      <c r="C7541" s="211">
        <v>1506</v>
      </c>
      <c r="D7541" s="211" t="s">
        <v>1255</v>
      </c>
      <c r="E7541" s="211" t="s">
        <v>10212</v>
      </c>
      <c r="F7541" s="211" t="s">
        <v>7238</v>
      </c>
    </row>
    <row r="7542" spans="1:6">
      <c r="A7542" s="211" t="s">
        <v>4600</v>
      </c>
      <c r="B7542" s="211">
        <v>6297</v>
      </c>
      <c r="C7542" s="211">
        <v>1437</v>
      </c>
      <c r="D7542" s="211" t="s">
        <v>1255</v>
      </c>
      <c r="E7542" s="211" t="s">
        <v>7101</v>
      </c>
      <c r="F7542" s="211" t="s">
        <v>7453</v>
      </c>
    </row>
    <row r="7543" spans="1:6">
      <c r="A7543" s="211" t="s">
        <v>3817</v>
      </c>
      <c r="B7543" s="211">
        <v>2050</v>
      </c>
      <c r="C7543" s="211">
        <v>1110</v>
      </c>
      <c r="D7543" s="211" t="s">
        <v>1255</v>
      </c>
      <c r="E7543" s="211" t="s">
        <v>10385</v>
      </c>
      <c r="F7543" s="211" t="s">
        <v>7327</v>
      </c>
    </row>
    <row r="7544" spans="1:6">
      <c r="A7544" s="211" t="s">
        <v>2903</v>
      </c>
      <c r="B7544" s="211">
        <v>2218</v>
      </c>
      <c r="C7544" s="211">
        <v>1577</v>
      </c>
      <c r="D7544" s="211" t="s">
        <v>1255</v>
      </c>
      <c r="E7544" s="211" t="s">
        <v>10385</v>
      </c>
      <c r="F7544" s="211" t="s">
        <v>7384</v>
      </c>
    </row>
    <row r="7545" spans="1:6">
      <c r="A7545" s="211" t="s">
        <v>3818</v>
      </c>
      <c r="B7545" s="211">
        <v>3650</v>
      </c>
      <c r="C7545" s="211">
        <v>1074</v>
      </c>
      <c r="D7545" s="211" t="s">
        <v>1117</v>
      </c>
      <c r="E7545" s="211" t="s">
        <v>10385</v>
      </c>
      <c r="F7545" s="211" t="s">
        <v>7189</v>
      </c>
    </row>
    <row r="7546" spans="1:6">
      <c r="A7546" s="211" t="s">
        <v>3819</v>
      </c>
      <c r="B7546" s="211">
        <v>4455</v>
      </c>
      <c r="C7546" s="211">
        <v>1027</v>
      </c>
      <c r="D7546" s="211" t="s">
        <v>1117</v>
      </c>
      <c r="E7546" s="211" t="s">
        <v>10385</v>
      </c>
      <c r="F7546" s="211" t="s">
        <v>7320</v>
      </c>
    </row>
    <row r="7547" spans="1:6">
      <c r="A7547" s="211" t="s">
        <v>4870</v>
      </c>
      <c r="B7547" s="211">
        <v>1458</v>
      </c>
      <c r="C7547" s="211">
        <v>1720</v>
      </c>
      <c r="D7547" s="211" t="s">
        <v>1255</v>
      </c>
      <c r="E7547" s="211" t="s">
        <v>3087</v>
      </c>
      <c r="F7547" s="211" t="s">
        <v>7263</v>
      </c>
    </row>
    <row r="7548" spans="1:6">
      <c r="A7548" s="211" t="s">
        <v>9012</v>
      </c>
      <c r="B7548" s="211">
        <v>5499</v>
      </c>
      <c r="C7548" s="211" t="s">
        <v>10385</v>
      </c>
      <c r="D7548" s="211" t="s">
        <v>1255</v>
      </c>
      <c r="E7548" s="211" t="s">
        <v>10385</v>
      </c>
      <c r="F7548" s="211" t="s">
        <v>7272</v>
      </c>
    </row>
    <row r="7549" spans="1:6">
      <c r="A7549" s="211" t="s">
        <v>9013</v>
      </c>
      <c r="B7549" s="211">
        <v>1936</v>
      </c>
      <c r="C7549" s="211">
        <v>1485</v>
      </c>
      <c r="D7549" s="211" t="s">
        <v>1255</v>
      </c>
      <c r="E7549" s="211" t="s">
        <v>10385</v>
      </c>
      <c r="F7549" s="211" t="s">
        <v>7797</v>
      </c>
    </row>
    <row r="7550" spans="1:6">
      <c r="A7550" s="211" t="s">
        <v>8789</v>
      </c>
      <c r="B7550" s="211">
        <v>6001</v>
      </c>
      <c r="C7550" s="211" t="s">
        <v>10385</v>
      </c>
      <c r="D7550" s="211" t="s">
        <v>1255</v>
      </c>
      <c r="E7550" s="211" t="s">
        <v>10385</v>
      </c>
      <c r="F7550" s="211" t="s">
        <v>7446</v>
      </c>
    </row>
    <row r="7551" spans="1:6">
      <c r="A7551" s="211" t="s">
        <v>8790</v>
      </c>
      <c r="B7551" s="211">
        <v>3566</v>
      </c>
      <c r="C7551" s="211" t="s">
        <v>10385</v>
      </c>
      <c r="D7551" s="211" t="s">
        <v>1255</v>
      </c>
      <c r="E7551" s="211" t="s">
        <v>10385</v>
      </c>
      <c r="F7551" s="211" t="s">
        <v>7518</v>
      </c>
    </row>
    <row r="7552" spans="1:6">
      <c r="A7552" s="211" t="s">
        <v>8791</v>
      </c>
      <c r="B7552" s="211">
        <v>1732</v>
      </c>
      <c r="C7552" s="211" t="s">
        <v>10385</v>
      </c>
      <c r="D7552" s="211" t="s">
        <v>1255</v>
      </c>
      <c r="E7552" s="211" t="s">
        <v>10385</v>
      </c>
      <c r="F7552" s="211" t="s">
        <v>7250</v>
      </c>
    </row>
    <row r="7553" spans="1:6">
      <c r="A7553" s="211" t="s">
        <v>3820</v>
      </c>
      <c r="B7553" s="211">
        <v>3927</v>
      </c>
      <c r="C7553" s="211">
        <v>915</v>
      </c>
      <c r="D7553" s="211" t="s">
        <v>1117</v>
      </c>
      <c r="E7553" s="211" t="s">
        <v>10385</v>
      </c>
      <c r="F7553" s="211" t="s">
        <v>7285</v>
      </c>
    </row>
    <row r="7554" spans="1:6">
      <c r="A7554" s="211" t="s">
        <v>3821</v>
      </c>
      <c r="B7554" s="211">
        <v>5391</v>
      </c>
      <c r="C7554" s="211">
        <v>1060</v>
      </c>
      <c r="D7554" s="211" t="s">
        <v>1255</v>
      </c>
      <c r="E7554" s="211" t="s">
        <v>10385</v>
      </c>
      <c r="F7554" s="211" t="s">
        <v>7524</v>
      </c>
    </row>
    <row r="7555" spans="1:6">
      <c r="A7555" s="211" t="s">
        <v>8792</v>
      </c>
      <c r="B7555" s="211">
        <v>73</v>
      </c>
      <c r="C7555" s="211" t="s">
        <v>10385</v>
      </c>
      <c r="D7555" s="211" t="s">
        <v>1255</v>
      </c>
      <c r="E7555" s="211" t="s">
        <v>10385</v>
      </c>
      <c r="F7555" s="211" t="s">
        <v>7223</v>
      </c>
    </row>
    <row r="7556" spans="1:6">
      <c r="A7556" s="211" t="s">
        <v>3822</v>
      </c>
      <c r="B7556" s="211">
        <v>5462</v>
      </c>
      <c r="C7556" s="211">
        <v>1342</v>
      </c>
      <c r="D7556" s="211" t="s">
        <v>1255</v>
      </c>
      <c r="E7556" s="211" t="s">
        <v>10385</v>
      </c>
      <c r="F7556" s="211" t="s">
        <v>7320</v>
      </c>
    </row>
    <row r="7557" spans="1:6">
      <c r="A7557" s="211" t="s">
        <v>3823</v>
      </c>
      <c r="B7557" s="211">
        <v>5668</v>
      </c>
      <c r="C7557" s="211">
        <v>934</v>
      </c>
      <c r="D7557" s="211" t="s">
        <v>1117</v>
      </c>
      <c r="E7557" s="211" t="s">
        <v>10385</v>
      </c>
      <c r="F7557" s="211" t="s">
        <v>7292</v>
      </c>
    </row>
    <row r="7558" spans="1:6">
      <c r="A7558" s="211" t="s">
        <v>7102</v>
      </c>
      <c r="B7558" s="211">
        <v>7846</v>
      </c>
      <c r="C7558" s="211">
        <v>2095</v>
      </c>
      <c r="D7558" s="211" t="s">
        <v>1255</v>
      </c>
      <c r="E7558" s="211" t="s">
        <v>10385</v>
      </c>
      <c r="F7558" s="211" t="s">
        <v>7327</v>
      </c>
    </row>
    <row r="7559" spans="1:6">
      <c r="A7559" s="211" t="s">
        <v>3824</v>
      </c>
      <c r="B7559" s="211">
        <v>4865</v>
      </c>
      <c r="C7559" s="211">
        <v>1030</v>
      </c>
      <c r="D7559" s="211" t="s">
        <v>1255</v>
      </c>
      <c r="E7559" s="211" t="s">
        <v>10385</v>
      </c>
      <c r="F7559" s="211" t="s">
        <v>7189</v>
      </c>
    </row>
    <row r="7560" spans="1:6">
      <c r="A7560" s="211" t="s">
        <v>8793</v>
      </c>
      <c r="B7560" s="211">
        <v>7855</v>
      </c>
      <c r="C7560" s="211">
        <v>984</v>
      </c>
      <c r="D7560" s="211" t="s">
        <v>1255</v>
      </c>
      <c r="E7560" s="211" t="s">
        <v>11055</v>
      </c>
      <c r="F7560" s="211" t="s">
        <v>7446</v>
      </c>
    </row>
    <row r="7561" spans="1:6">
      <c r="A7561" s="211" t="s">
        <v>3825</v>
      </c>
      <c r="B7561" s="211">
        <v>5854</v>
      </c>
      <c r="C7561" s="211">
        <v>2566</v>
      </c>
      <c r="D7561" s="211" t="s">
        <v>1255</v>
      </c>
      <c r="E7561" s="211" t="s">
        <v>6323</v>
      </c>
      <c r="F7561" s="211" t="s">
        <v>7247</v>
      </c>
    </row>
    <row r="7562" spans="1:6">
      <c r="A7562" s="211" t="s">
        <v>3826</v>
      </c>
      <c r="B7562" s="211">
        <v>2242</v>
      </c>
      <c r="C7562" s="211">
        <v>1341</v>
      </c>
      <c r="D7562" s="211" t="s">
        <v>1255</v>
      </c>
      <c r="E7562" s="211" t="s">
        <v>10385</v>
      </c>
      <c r="F7562" s="211" t="s">
        <v>7430</v>
      </c>
    </row>
    <row r="7563" spans="1:6">
      <c r="A7563" s="211" t="s">
        <v>2997</v>
      </c>
      <c r="B7563" s="211">
        <v>2025</v>
      </c>
      <c r="C7563" s="211">
        <v>1757</v>
      </c>
      <c r="D7563" s="211" t="s">
        <v>1255</v>
      </c>
      <c r="E7563" s="211" t="s">
        <v>10385</v>
      </c>
      <c r="F7563" s="211" t="s">
        <v>7327</v>
      </c>
    </row>
    <row r="7564" spans="1:6">
      <c r="A7564" s="211" t="s">
        <v>3827</v>
      </c>
      <c r="B7564" s="211">
        <v>1896</v>
      </c>
      <c r="C7564" s="211">
        <v>962</v>
      </c>
      <c r="D7564" s="211" t="s">
        <v>1255</v>
      </c>
      <c r="E7564" s="211" t="s">
        <v>10385</v>
      </c>
      <c r="F7564" s="211" t="s">
        <v>7343</v>
      </c>
    </row>
    <row r="7565" spans="1:6">
      <c r="A7565" s="211" t="s">
        <v>3828</v>
      </c>
      <c r="B7565" s="211">
        <v>5638</v>
      </c>
      <c r="C7565" s="211">
        <v>1597</v>
      </c>
      <c r="D7565" s="211" t="s">
        <v>1117</v>
      </c>
      <c r="E7565" s="211" t="s">
        <v>10385</v>
      </c>
      <c r="F7565" s="211" t="s">
        <v>7241</v>
      </c>
    </row>
    <row r="7566" spans="1:6">
      <c r="A7566" s="211" t="s">
        <v>4601</v>
      </c>
      <c r="B7566" s="211">
        <v>6324</v>
      </c>
      <c r="C7566" s="211">
        <v>559</v>
      </c>
      <c r="D7566" s="211" t="s">
        <v>1117</v>
      </c>
      <c r="E7566" s="211" t="s">
        <v>10385</v>
      </c>
      <c r="F7566" s="211" t="s">
        <v>7196</v>
      </c>
    </row>
    <row r="7567" spans="1:6">
      <c r="A7567" s="211" t="s">
        <v>3829</v>
      </c>
      <c r="B7567" s="211">
        <v>2728</v>
      </c>
      <c r="C7567" s="211">
        <v>934</v>
      </c>
      <c r="D7567" s="211" t="s">
        <v>1117</v>
      </c>
      <c r="E7567" s="211" t="s">
        <v>10385</v>
      </c>
      <c r="F7567" s="211" t="s">
        <v>7231</v>
      </c>
    </row>
    <row r="7568" spans="1:6">
      <c r="A7568" s="211" t="s">
        <v>10213</v>
      </c>
      <c r="B7568" s="211">
        <v>8313</v>
      </c>
      <c r="C7568" s="211" t="s">
        <v>10385</v>
      </c>
      <c r="D7568" s="211" t="s">
        <v>1255</v>
      </c>
      <c r="E7568" s="211" t="s">
        <v>10214</v>
      </c>
      <c r="F7568" s="211" t="s">
        <v>7320</v>
      </c>
    </row>
    <row r="7569" spans="1:6">
      <c r="A7569" s="211" t="s">
        <v>10215</v>
      </c>
      <c r="B7569" s="211">
        <v>8223</v>
      </c>
      <c r="C7569" s="211">
        <v>1881</v>
      </c>
      <c r="D7569" s="211" t="s">
        <v>1255</v>
      </c>
      <c r="E7569" s="211" t="s">
        <v>10216</v>
      </c>
      <c r="F7569" s="211" t="s">
        <v>7189</v>
      </c>
    </row>
    <row r="7570" spans="1:6">
      <c r="A7570" s="211" t="s">
        <v>3830</v>
      </c>
      <c r="B7570" s="211">
        <v>1607</v>
      </c>
      <c r="C7570" s="211">
        <v>806</v>
      </c>
      <c r="D7570" s="211" t="s">
        <v>1117</v>
      </c>
      <c r="E7570" s="211" t="s">
        <v>10385</v>
      </c>
      <c r="F7570" s="211" t="s">
        <v>7257</v>
      </c>
    </row>
    <row r="7571" spans="1:6">
      <c r="A7571" s="211" t="s">
        <v>4770</v>
      </c>
      <c r="B7571" s="211">
        <v>6204</v>
      </c>
      <c r="C7571" s="211">
        <v>1078</v>
      </c>
      <c r="D7571" s="211" t="s">
        <v>1255</v>
      </c>
      <c r="E7571" s="211" t="s">
        <v>10385</v>
      </c>
      <c r="F7571" s="211" t="s">
        <v>7433</v>
      </c>
    </row>
    <row r="7572" spans="1:6">
      <c r="A7572" s="211" t="s">
        <v>3831</v>
      </c>
      <c r="B7572" s="211">
        <v>669</v>
      </c>
      <c r="C7572" s="211">
        <v>2001</v>
      </c>
      <c r="D7572" s="211" t="s">
        <v>1255</v>
      </c>
      <c r="E7572" s="211" t="s">
        <v>10385</v>
      </c>
      <c r="F7572" s="211" t="s">
        <v>7171</v>
      </c>
    </row>
    <row r="7573" spans="1:6">
      <c r="A7573" s="211" t="s">
        <v>8794</v>
      </c>
      <c r="B7573" s="211">
        <v>637</v>
      </c>
      <c r="C7573" s="211" t="s">
        <v>10385</v>
      </c>
      <c r="D7573" s="211" t="s">
        <v>1255</v>
      </c>
      <c r="E7573" s="211" t="s">
        <v>10385</v>
      </c>
      <c r="F7573" s="211" t="s">
        <v>7382</v>
      </c>
    </row>
    <row r="7574" spans="1:6">
      <c r="A7574" s="211" t="s">
        <v>3832</v>
      </c>
      <c r="B7574" s="211">
        <v>5613</v>
      </c>
      <c r="C7574" s="211">
        <v>1557</v>
      </c>
      <c r="D7574" s="211" t="s">
        <v>1255</v>
      </c>
      <c r="E7574" s="211" t="s">
        <v>10385</v>
      </c>
      <c r="F7574" s="211" t="s">
        <v>9044</v>
      </c>
    </row>
    <row r="7575" spans="1:6">
      <c r="A7575" s="211" t="s">
        <v>3833</v>
      </c>
      <c r="B7575" s="211">
        <v>2541</v>
      </c>
      <c r="C7575" s="211">
        <v>1746</v>
      </c>
      <c r="D7575" s="211" t="s">
        <v>1255</v>
      </c>
      <c r="E7575" s="211" t="s">
        <v>10385</v>
      </c>
      <c r="F7575" s="211" t="s">
        <v>7354</v>
      </c>
    </row>
    <row r="7576" spans="1:6">
      <c r="A7576" s="211" t="s">
        <v>3834</v>
      </c>
      <c r="B7576" s="211">
        <v>5070</v>
      </c>
      <c r="C7576" s="211">
        <v>944</v>
      </c>
      <c r="D7576" s="211" t="s">
        <v>1117</v>
      </c>
      <c r="E7576" s="211" t="s">
        <v>10385</v>
      </c>
      <c r="F7576" s="211" t="s">
        <v>7386</v>
      </c>
    </row>
    <row r="7577" spans="1:6">
      <c r="A7577" s="211" t="s">
        <v>8795</v>
      </c>
      <c r="B7577" s="211">
        <v>4039</v>
      </c>
      <c r="C7577" s="211" t="s">
        <v>10385</v>
      </c>
      <c r="D7577" s="211" t="s">
        <v>1255</v>
      </c>
      <c r="E7577" s="211" t="s">
        <v>10385</v>
      </c>
      <c r="F7577" s="211" t="s">
        <v>7243</v>
      </c>
    </row>
    <row r="7578" spans="1:6">
      <c r="A7578" s="211" t="s">
        <v>10217</v>
      </c>
      <c r="B7578" s="211">
        <v>8026</v>
      </c>
      <c r="C7578" s="211">
        <v>992</v>
      </c>
      <c r="D7578" s="211" t="s">
        <v>1255</v>
      </c>
      <c r="E7578" s="211" t="s">
        <v>10385</v>
      </c>
      <c r="F7578" s="211" t="s">
        <v>7518</v>
      </c>
    </row>
    <row r="7579" spans="1:6">
      <c r="A7579" s="211" t="s">
        <v>2957</v>
      </c>
      <c r="B7579" s="211">
        <v>2275</v>
      </c>
      <c r="C7579" s="211">
        <v>1345</v>
      </c>
      <c r="D7579" s="211" t="s">
        <v>1255</v>
      </c>
      <c r="E7579" s="211" t="s">
        <v>10385</v>
      </c>
      <c r="F7579" s="211" t="s">
        <v>7322</v>
      </c>
    </row>
    <row r="7580" spans="1:6">
      <c r="A7580" s="211" t="s">
        <v>8797</v>
      </c>
      <c r="B7580" s="211">
        <v>404</v>
      </c>
      <c r="C7580" s="211" t="s">
        <v>10385</v>
      </c>
      <c r="D7580" s="211" t="s">
        <v>1255</v>
      </c>
      <c r="E7580" s="211" t="s">
        <v>10385</v>
      </c>
      <c r="F7580" s="211" t="s">
        <v>7351</v>
      </c>
    </row>
    <row r="7581" spans="1:6">
      <c r="A7581" s="211" t="s">
        <v>3835</v>
      </c>
      <c r="B7581" s="211">
        <v>3726</v>
      </c>
      <c r="C7581" s="211">
        <v>873</v>
      </c>
      <c r="D7581" s="211" t="s">
        <v>1255</v>
      </c>
      <c r="E7581" s="211" t="s">
        <v>10385</v>
      </c>
      <c r="F7581" s="211" t="s">
        <v>7192</v>
      </c>
    </row>
    <row r="7582" spans="1:6">
      <c r="A7582" s="211" t="s">
        <v>10218</v>
      </c>
      <c r="B7582" s="211">
        <v>8037</v>
      </c>
      <c r="C7582" s="211">
        <v>987</v>
      </c>
      <c r="D7582" s="211" t="s">
        <v>1255</v>
      </c>
      <c r="E7582" s="211" t="s">
        <v>10385</v>
      </c>
      <c r="F7582" s="211" t="s">
        <v>7238</v>
      </c>
    </row>
    <row r="7583" spans="1:6">
      <c r="A7583" s="211" t="s">
        <v>3836</v>
      </c>
      <c r="B7583" s="211">
        <v>663</v>
      </c>
      <c r="C7583" s="211">
        <v>1601</v>
      </c>
      <c r="D7583" s="211" t="s">
        <v>1255</v>
      </c>
      <c r="E7583" s="211" t="s">
        <v>10385</v>
      </c>
      <c r="F7583" s="211" t="s">
        <v>7162</v>
      </c>
    </row>
    <row r="7584" spans="1:6">
      <c r="A7584" s="211" t="s">
        <v>8798</v>
      </c>
      <c r="B7584" s="211">
        <v>2091</v>
      </c>
      <c r="C7584" s="211" t="s">
        <v>10385</v>
      </c>
      <c r="D7584" s="211" t="s">
        <v>1117</v>
      </c>
      <c r="E7584" s="211" t="s">
        <v>10385</v>
      </c>
      <c r="F7584" s="211" t="s">
        <v>7239</v>
      </c>
    </row>
    <row r="7585" spans="1:6">
      <c r="A7585" s="211" t="s">
        <v>3837</v>
      </c>
      <c r="B7585" s="211">
        <v>5458</v>
      </c>
      <c r="C7585" s="211">
        <v>1092</v>
      </c>
      <c r="D7585" s="211" t="s">
        <v>1255</v>
      </c>
      <c r="E7585" s="211" t="s">
        <v>10385</v>
      </c>
      <c r="F7585" s="211" t="s">
        <v>7310</v>
      </c>
    </row>
    <row r="7586" spans="1:6">
      <c r="A7586" s="211" t="s">
        <v>1759</v>
      </c>
      <c r="B7586" s="211">
        <v>3226</v>
      </c>
      <c r="C7586" s="211">
        <v>1075</v>
      </c>
      <c r="D7586" s="211" t="s">
        <v>1255</v>
      </c>
      <c r="E7586" s="211" t="s">
        <v>10385</v>
      </c>
      <c r="F7586" s="211" t="s">
        <v>7160</v>
      </c>
    </row>
    <row r="7587" spans="1:6">
      <c r="A7587" s="211" t="s">
        <v>1760</v>
      </c>
      <c r="B7587" s="211">
        <v>3639</v>
      </c>
      <c r="C7587" s="211">
        <v>1420</v>
      </c>
      <c r="D7587" s="211" t="s">
        <v>1255</v>
      </c>
      <c r="E7587" s="211" t="s">
        <v>10385</v>
      </c>
      <c r="F7587" s="211" t="s">
        <v>7240</v>
      </c>
    </row>
    <row r="7588" spans="1:6">
      <c r="A7588" s="211" t="s">
        <v>8799</v>
      </c>
      <c r="B7588" s="211">
        <v>1069</v>
      </c>
      <c r="C7588" s="211" t="s">
        <v>10385</v>
      </c>
      <c r="D7588" s="211" t="s">
        <v>1255</v>
      </c>
      <c r="E7588" s="211" t="s">
        <v>10385</v>
      </c>
      <c r="F7588" s="211" t="s">
        <v>7223</v>
      </c>
    </row>
    <row r="7589" spans="1:6">
      <c r="A7589" s="211" t="s">
        <v>1761</v>
      </c>
      <c r="B7589" s="211">
        <v>1499</v>
      </c>
      <c r="C7589" s="211">
        <v>1644</v>
      </c>
      <c r="D7589" s="211" t="s">
        <v>1117</v>
      </c>
      <c r="E7589" s="211" t="s">
        <v>10385</v>
      </c>
      <c r="F7589" s="211" t="s">
        <v>7208</v>
      </c>
    </row>
    <row r="7590" spans="1:6">
      <c r="A7590" s="211" t="s">
        <v>1762</v>
      </c>
      <c r="B7590" s="211">
        <v>2972</v>
      </c>
      <c r="C7590" s="211">
        <v>1545</v>
      </c>
      <c r="D7590" s="211" t="s">
        <v>1255</v>
      </c>
      <c r="E7590" s="211" t="s">
        <v>10385</v>
      </c>
      <c r="F7590" s="211" t="s">
        <v>7334</v>
      </c>
    </row>
    <row r="7591" spans="1:6">
      <c r="A7591" s="211" t="s">
        <v>1763</v>
      </c>
      <c r="B7591" s="211">
        <v>3031</v>
      </c>
      <c r="C7591" s="211">
        <v>1569</v>
      </c>
      <c r="D7591" s="211" t="s">
        <v>1255</v>
      </c>
      <c r="E7591" s="211" t="s">
        <v>10385</v>
      </c>
      <c r="F7591" s="211" t="s">
        <v>7232</v>
      </c>
    </row>
    <row r="7592" spans="1:6">
      <c r="A7592" s="211" t="s">
        <v>4526</v>
      </c>
      <c r="B7592" s="211">
        <v>6561</v>
      </c>
      <c r="C7592" s="211">
        <v>788</v>
      </c>
      <c r="D7592" s="211" t="s">
        <v>1117</v>
      </c>
      <c r="E7592" s="211" t="s">
        <v>10385</v>
      </c>
      <c r="F7592" s="211" t="s">
        <v>7307</v>
      </c>
    </row>
    <row r="7593" spans="1:6">
      <c r="A7593" s="211" t="s">
        <v>1764</v>
      </c>
      <c r="B7593" s="211">
        <v>3489</v>
      </c>
      <c r="C7593" s="211">
        <v>906</v>
      </c>
      <c r="D7593" s="211" t="s">
        <v>1255</v>
      </c>
      <c r="E7593" s="211" t="s">
        <v>10385</v>
      </c>
      <c r="F7593" s="211" t="s">
        <v>7518</v>
      </c>
    </row>
    <row r="7594" spans="1:6">
      <c r="A7594" s="211" t="s">
        <v>8800</v>
      </c>
      <c r="B7594" s="211">
        <v>385</v>
      </c>
      <c r="C7594" s="211" t="s">
        <v>10385</v>
      </c>
      <c r="D7594" s="211" t="s">
        <v>1255</v>
      </c>
      <c r="E7594" s="211" t="s">
        <v>10385</v>
      </c>
      <c r="F7594" s="211" t="s">
        <v>7867</v>
      </c>
    </row>
    <row r="7595" spans="1:6">
      <c r="A7595" s="211" t="s">
        <v>1765</v>
      </c>
      <c r="B7595" s="211">
        <v>2168</v>
      </c>
      <c r="C7595" s="211">
        <v>1418</v>
      </c>
      <c r="D7595" s="211" t="s">
        <v>1255</v>
      </c>
      <c r="E7595" s="211" t="s">
        <v>10385</v>
      </c>
      <c r="F7595" s="211" t="s">
        <v>7192</v>
      </c>
    </row>
    <row r="7596" spans="1:6">
      <c r="A7596" s="211" t="s">
        <v>1766</v>
      </c>
      <c r="B7596" s="211">
        <v>1130</v>
      </c>
      <c r="C7596" s="211">
        <v>1837</v>
      </c>
      <c r="D7596" s="211" t="s">
        <v>1255</v>
      </c>
      <c r="E7596" s="211" t="s">
        <v>10385</v>
      </c>
      <c r="F7596" s="211" t="s">
        <v>7320</v>
      </c>
    </row>
    <row r="7597" spans="1:6">
      <c r="A7597" s="211" t="s">
        <v>4744</v>
      </c>
      <c r="B7597" s="211">
        <v>6458</v>
      </c>
      <c r="C7597" s="211">
        <v>1363</v>
      </c>
      <c r="D7597" s="211" t="s">
        <v>1255</v>
      </c>
      <c r="E7597" s="211" t="s">
        <v>10385</v>
      </c>
      <c r="F7597" s="211" t="s">
        <v>7510</v>
      </c>
    </row>
    <row r="7598" spans="1:6">
      <c r="A7598" s="211" t="s">
        <v>1767</v>
      </c>
      <c r="B7598" s="211">
        <v>4227</v>
      </c>
      <c r="C7598" s="211">
        <v>1498</v>
      </c>
      <c r="D7598" s="211" t="s">
        <v>1255</v>
      </c>
      <c r="E7598" s="211" t="s">
        <v>10385</v>
      </c>
      <c r="F7598" s="211" t="s">
        <v>7160</v>
      </c>
    </row>
    <row r="7599" spans="1:6">
      <c r="A7599" s="211" t="s">
        <v>3864</v>
      </c>
      <c r="B7599" s="211">
        <v>3246</v>
      </c>
      <c r="C7599" s="211">
        <v>1196</v>
      </c>
      <c r="D7599" s="211" t="s">
        <v>1255</v>
      </c>
      <c r="E7599" s="211" t="s">
        <v>10385</v>
      </c>
      <c r="F7599" s="211" t="s">
        <v>7194</v>
      </c>
    </row>
    <row r="7600" spans="1:6">
      <c r="A7600" s="211" t="s">
        <v>3865</v>
      </c>
      <c r="B7600" s="211">
        <v>4690</v>
      </c>
      <c r="C7600" s="211">
        <v>1406</v>
      </c>
      <c r="D7600" s="211" t="s">
        <v>1117</v>
      </c>
      <c r="E7600" s="211" t="s">
        <v>10385</v>
      </c>
      <c r="F7600" s="211" t="s">
        <v>7284</v>
      </c>
    </row>
    <row r="7601" spans="1:6">
      <c r="A7601" s="211" t="s">
        <v>1768</v>
      </c>
      <c r="B7601" s="211">
        <v>4673</v>
      </c>
      <c r="C7601" s="211">
        <v>1219</v>
      </c>
      <c r="D7601" s="211" t="s">
        <v>1255</v>
      </c>
      <c r="E7601" s="211" t="s">
        <v>10385</v>
      </c>
      <c r="F7601" s="211" t="s">
        <v>7736</v>
      </c>
    </row>
    <row r="7602" spans="1:6">
      <c r="A7602" s="211" t="s">
        <v>3866</v>
      </c>
      <c r="B7602" s="211">
        <v>5605</v>
      </c>
      <c r="C7602" s="211">
        <v>1730</v>
      </c>
      <c r="D7602" s="211" t="s">
        <v>1255</v>
      </c>
      <c r="E7602" s="211" t="s">
        <v>10385</v>
      </c>
      <c r="F7602" s="211" t="s">
        <v>7380</v>
      </c>
    </row>
    <row r="7603" spans="1:6">
      <c r="A7603" s="211" t="s">
        <v>3867</v>
      </c>
      <c r="B7603" s="211">
        <v>6472</v>
      </c>
      <c r="C7603" s="211">
        <v>1395</v>
      </c>
      <c r="D7603" s="211" t="s">
        <v>1255</v>
      </c>
      <c r="E7603" s="211" t="s">
        <v>10385</v>
      </c>
      <c r="F7603" s="211" t="s">
        <v>7171</v>
      </c>
    </row>
    <row r="7604" spans="1:6">
      <c r="A7604" s="211" t="s">
        <v>8801</v>
      </c>
      <c r="B7604" s="211">
        <v>20</v>
      </c>
      <c r="C7604" s="211" t="s">
        <v>10385</v>
      </c>
      <c r="D7604" s="211" t="s">
        <v>1255</v>
      </c>
      <c r="E7604" s="211" t="s">
        <v>10385</v>
      </c>
      <c r="F7604" s="211" t="s">
        <v>7196</v>
      </c>
    </row>
    <row r="7605" spans="1:6">
      <c r="A7605" s="211" t="s">
        <v>10219</v>
      </c>
      <c r="B7605" s="211">
        <v>8022</v>
      </c>
      <c r="C7605" s="211">
        <v>2253</v>
      </c>
      <c r="D7605" s="211" t="s">
        <v>1255</v>
      </c>
      <c r="E7605" s="211" t="s">
        <v>10220</v>
      </c>
      <c r="F7605" s="211" t="s">
        <v>7238</v>
      </c>
    </row>
    <row r="7606" spans="1:6">
      <c r="A7606" s="211" t="s">
        <v>6324</v>
      </c>
      <c r="B7606" s="211">
        <v>7474</v>
      </c>
      <c r="C7606" s="211">
        <v>675</v>
      </c>
      <c r="D7606" s="211" t="s">
        <v>1117</v>
      </c>
      <c r="E7606" s="211" t="s">
        <v>10385</v>
      </c>
      <c r="F7606" s="211" t="s">
        <v>7250</v>
      </c>
    </row>
    <row r="7607" spans="1:6">
      <c r="A7607" s="211" t="s">
        <v>5281</v>
      </c>
      <c r="B7607" s="211">
        <v>6927</v>
      </c>
      <c r="C7607" s="211">
        <v>998</v>
      </c>
      <c r="D7607" s="211" t="s">
        <v>1117</v>
      </c>
      <c r="E7607" s="211" t="s">
        <v>6325</v>
      </c>
      <c r="F7607" s="211" t="s">
        <v>7587</v>
      </c>
    </row>
    <row r="7608" spans="1:6">
      <c r="A7608" s="211" t="s">
        <v>4878</v>
      </c>
      <c r="B7608" s="211">
        <v>3798</v>
      </c>
      <c r="C7608" s="211">
        <v>1893</v>
      </c>
      <c r="D7608" s="211" t="s">
        <v>1255</v>
      </c>
      <c r="E7608" s="211" t="s">
        <v>10385</v>
      </c>
      <c r="F7608" s="211" t="s">
        <v>7242</v>
      </c>
    </row>
    <row r="7609" spans="1:6">
      <c r="A7609" s="211" t="s">
        <v>8802</v>
      </c>
      <c r="B7609" s="211">
        <v>3289</v>
      </c>
      <c r="C7609" s="211">
        <v>1406</v>
      </c>
      <c r="D7609" s="211" t="s">
        <v>1255</v>
      </c>
      <c r="E7609" s="211" t="s">
        <v>10385</v>
      </c>
      <c r="F7609" s="211" t="s">
        <v>7262</v>
      </c>
    </row>
    <row r="7610" spans="1:6">
      <c r="A7610" s="211" t="s">
        <v>1769</v>
      </c>
      <c r="B7610" s="211">
        <v>4868</v>
      </c>
      <c r="C7610" s="211">
        <v>1315</v>
      </c>
      <c r="D7610" s="211" t="s">
        <v>1255</v>
      </c>
      <c r="E7610" s="211" t="s">
        <v>10385</v>
      </c>
      <c r="F7610" s="211" t="s">
        <v>7240</v>
      </c>
    </row>
    <row r="7611" spans="1:6">
      <c r="A7611" s="211" t="s">
        <v>1770</v>
      </c>
      <c r="B7611" s="211">
        <v>2910</v>
      </c>
      <c r="C7611" s="211">
        <v>1941</v>
      </c>
      <c r="D7611" s="211" t="s">
        <v>1117</v>
      </c>
      <c r="E7611" s="211" t="s">
        <v>10385</v>
      </c>
      <c r="F7611" s="211" t="s">
        <v>7272</v>
      </c>
    </row>
    <row r="7612" spans="1:6">
      <c r="A7612" s="211" t="s">
        <v>8803</v>
      </c>
      <c r="B7612" s="211">
        <v>2078</v>
      </c>
      <c r="C7612" s="211" t="s">
        <v>10385</v>
      </c>
      <c r="D7612" s="211" t="s">
        <v>1255</v>
      </c>
      <c r="E7612" s="211" t="s">
        <v>10385</v>
      </c>
      <c r="F7612" s="211" t="s">
        <v>7284</v>
      </c>
    </row>
    <row r="7613" spans="1:6">
      <c r="A7613" s="211" t="s">
        <v>1771</v>
      </c>
      <c r="B7613" s="211">
        <v>2945</v>
      </c>
      <c r="C7613" s="211">
        <v>824</v>
      </c>
      <c r="D7613" s="211" t="s">
        <v>1117</v>
      </c>
      <c r="E7613" s="211" t="s">
        <v>10385</v>
      </c>
      <c r="F7613" s="211" t="s">
        <v>7177</v>
      </c>
    </row>
    <row r="7614" spans="1:6">
      <c r="A7614" s="211" t="s">
        <v>1772</v>
      </c>
      <c r="B7614" s="211">
        <v>2510</v>
      </c>
      <c r="C7614" s="211">
        <v>829</v>
      </c>
      <c r="D7614" s="211" t="s">
        <v>1117</v>
      </c>
      <c r="E7614" s="211" t="s">
        <v>10385</v>
      </c>
      <c r="F7614" s="211" t="s">
        <v>7239</v>
      </c>
    </row>
    <row r="7615" spans="1:6">
      <c r="A7615" s="211" t="s">
        <v>8804</v>
      </c>
      <c r="B7615" s="211">
        <v>27</v>
      </c>
      <c r="C7615" s="211" t="s">
        <v>10385</v>
      </c>
      <c r="D7615" s="211" t="s">
        <v>1255</v>
      </c>
      <c r="E7615" s="211" t="s">
        <v>10385</v>
      </c>
      <c r="F7615" s="211" t="s">
        <v>7196</v>
      </c>
    </row>
    <row r="7616" spans="1:6">
      <c r="A7616" s="211" t="s">
        <v>8805</v>
      </c>
      <c r="B7616" s="211">
        <v>4255</v>
      </c>
      <c r="C7616" s="211" t="s">
        <v>10385</v>
      </c>
      <c r="D7616" s="211" t="s">
        <v>1255</v>
      </c>
      <c r="E7616" s="211" t="s">
        <v>10385</v>
      </c>
      <c r="F7616" s="211" t="s">
        <v>7377</v>
      </c>
    </row>
    <row r="7617" spans="1:6">
      <c r="A7617" s="211" t="s">
        <v>1773</v>
      </c>
      <c r="B7617" s="211">
        <v>5015</v>
      </c>
      <c r="C7617" s="211">
        <v>1506</v>
      </c>
      <c r="D7617" s="211" t="s">
        <v>1255</v>
      </c>
      <c r="E7617" s="211" t="s">
        <v>10385</v>
      </c>
      <c r="F7617" s="211" t="s">
        <v>7425</v>
      </c>
    </row>
    <row r="7618" spans="1:6">
      <c r="A7618" s="211" t="s">
        <v>1774</v>
      </c>
      <c r="B7618" s="211">
        <v>2492</v>
      </c>
      <c r="C7618" s="211">
        <v>1974</v>
      </c>
      <c r="D7618" s="211" t="s">
        <v>1117</v>
      </c>
      <c r="E7618" s="211" t="s">
        <v>10221</v>
      </c>
      <c r="F7618" s="211" t="s">
        <v>7205</v>
      </c>
    </row>
    <row r="7619" spans="1:6">
      <c r="A7619" s="211" t="s">
        <v>10222</v>
      </c>
      <c r="B7619" s="211">
        <v>8514</v>
      </c>
      <c r="C7619" s="211">
        <v>1509</v>
      </c>
      <c r="D7619" s="211" t="s">
        <v>1255</v>
      </c>
      <c r="E7619" s="211" t="s">
        <v>11056</v>
      </c>
      <c r="F7619" s="211" t="s">
        <v>7249</v>
      </c>
    </row>
    <row r="7620" spans="1:6">
      <c r="A7620" s="211" t="s">
        <v>1775</v>
      </c>
      <c r="B7620" s="211">
        <v>2953</v>
      </c>
      <c r="C7620" s="211">
        <v>947</v>
      </c>
      <c r="D7620" s="211" t="s">
        <v>1255</v>
      </c>
      <c r="E7620" s="211" t="s">
        <v>10385</v>
      </c>
      <c r="F7620" s="211" t="s">
        <v>7402</v>
      </c>
    </row>
    <row r="7621" spans="1:6">
      <c r="A7621" s="211" t="s">
        <v>10223</v>
      </c>
      <c r="B7621" s="211">
        <v>7966</v>
      </c>
      <c r="C7621" s="211">
        <v>1063</v>
      </c>
      <c r="D7621" s="211" t="s">
        <v>1255</v>
      </c>
      <c r="E7621" s="211" t="s">
        <v>10224</v>
      </c>
      <c r="F7621" s="211" t="s">
        <v>7231</v>
      </c>
    </row>
    <row r="7622" spans="1:6">
      <c r="A7622" s="211" t="s">
        <v>10225</v>
      </c>
      <c r="B7622" s="211">
        <v>8032</v>
      </c>
      <c r="C7622" s="211">
        <v>995</v>
      </c>
      <c r="D7622" s="211" t="s">
        <v>1117</v>
      </c>
      <c r="E7622" s="211" t="s">
        <v>10226</v>
      </c>
      <c r="F7622" s="211" t="s">
        <v>7375</v>
      </c>
    </row>
    <row r="7623" spans="1:6">
      <c r="A7623" s="211" t="s">
        <v>1776</v>
      </c>
      <c r="B7623" s="211">
        <v>5114</v>
      </c>
      <c r="C7623" s="211">
        <v>943</v>
      </c>
      <c r="D7623" s="211" t="s">
        <v>1117</v>
      </c>
      <c r="E7623" s="211" t="s">
        <v>10385</v>
      </c>
      <c r="F7623" s="211" t="s">
        <v>7459</v>
      </c>
    </row>
    <row r="7624" spans="1:6">
      <c r="A7624" s="211" t="s">
        <v>11057</v>
      </c>
      <c r="B7624" s="211">
        <v>8595</v>
      </c>
      <c r="C7624" s="211">
        <v>854</v>
      </c>
      <c r="D7624" s="211" t="s">
        <v>1117</v>
      </c>
      <c r="E7624" s="211" t="s">
        <v>10385</v>
      </c>
      <c r="F7624" s="211" t="s">
        <v>7384</v>
      </c>
    </row>
    <row r="7625" spans="1:6">
      <c r="A7625" s="211" t="s">
        <v>1777</v>
      </c>
      <c r="B7625" s="211">
        <v>4418</v>
      </c>
      <c r="C7625" s="211">
        <v>1172</v>
      </c>
      <c r="D7625" s="211" t="s">
        <v>1117</v>
      </c>
      <c r="E7625" s="211" t="s">
        <v>10385</v>
      </c>
      <c r="F7625" s="211" t="s">
        <v>7335</v>
      </c>
    </row>
    <row r="7626" spans="1:6">
      <c r="A7626" s="211" t="s">
        <v>1778</v>
      </c>
      <c r="B7626" s="211">
        <v>3469</v>
      </c>
      <c r="C7626" s="211">
        <v>934</v>
      </c>
      <c r="D7626" s="211" t="s">
        <v>1255</v>
      </c>
      <c r="E7626" s="211" t="s">
        <v>10385</v>
      </c>
      <c r="F7626" s="211" t="s">
        <v>7403</v>
      </c>
    </row>
    <row r="7627" spans="1:6">
      <c r="A7627" s="211" t="s">
        <v>5282</v>
      </c>
      <c r="B7627" s="211">
        <v>6845</v>
      </c>
      <c r="C7627" s="211">
        <v>1393</v>
      </c>
      <c r="D7627" s="211" t="s">
        <v>1117</v>
      </c>
      <c r="E7627" s="211" t="s">
        <v>7103</v>
      </c>
      <c r="F7627" s="211" t="s">
        <v>7471</v>
      </c>
    </row>
    <row r="7628" spans="1:6">
      <c r="A7628" s="211" t="s">
        <v>8796</v>
      </c>
      <c r="B7628" s="211">
        <v>2308</v>
      </c>
      <c r="C7628" s="211" t="s">
        <v>10385</v>
      </c>
      <c r="D7628" s="211" t="s">
        <v>1255</v>
      </c>
      <c r="E7628" s="211" t="s">
        <v>10385</v>
      </c>
      <c r="F7628" s="211" t="s">
        <v>7351</v>
      </c>
    </row>
    <row r="7629" spans="1:6">
      <c r="A7629" s="211" t="s">
        <v>4793</v>
      </c>
      <c r="B7629" s="211">
        <v>6175</v>
      </c>
      <c r="C7629" s="211">
        <v>1151</v>
      </c>
      <c r="D7629" s="211" t="s">
        <v>1255</v>
      </c>
      <c r="E7629" s="211" t="s">
        <v>11058</v>
      </c>
      <c r="F7629" s="211" t="s">
        <v>7173</v>
      </c>
    </row>
    <row r="7630" spans="1:6">
      <c r="A7630" s="211" t="s">
        <v>1779</v>
      </c>
      <c r="B7630" s="211">
        <v>2640</v>
      </c>
      <c r="C7630" s="211">
        <v>1469</v>
      </c>
      <c r="D7630" s="211" t="s">
        <v>1255</v>
      </c>
      <c r="E7630" s="211" t="s">
        <v>10385</v>
      </c>
      <c r="F7630" s="211" t="s">
        <v>7160</v>
      </c>
    </row>
    <row r="7631" spans="1:6">
      <c r="A7631" s="211" t="s">
        <v>6326</v>
      </c>
      <c r="B7631" s="211">
        <v>7561</v>
      </c>
      <c r="C7631" s="211">
        <v>1161</v>
      </c>
      <c r="D7631" s="211" t="s">
        <v>1117</v>
      </c>
      <c r="E7631" s="211" t="s">
        <v>10227</v>
      </c>
      <c r="F7631" s="211" t="s">
        <v>7318</v>
      </c>
    </row>
    <row r="7632" spans="1:6">
      <c r="A7632" s="211" t="s">
        <v>8806</v>
      </c>
      <c r="B7632" s="211">
        <v>613</v>
      </c>
      <c r="C7632" s="211" t="s">
        <v>10385</v>
      </c>
      <c r="D7632" s="211" t="s">
        <v>1255</v>
      </c>
      <c r="E7632" s="211" t="s">
        <v>10385</v>
      </c>
      <c r="F7632" s="211" t="s">
        <v>7791</v>
      </c>
    </row>
    <row r="7633" spans="1:6">
      <c r="A7633" s="211" t="s">
        <v>8807</v>
      </c>
      <c r="B7633" s="211">
        <v>1632</v>
      </c>
      <c r="C7633" s="211" t="s">
        <v>10385</v>
      </c>
      <c r="D7633" s="211" t="s">
        <v>1255</v>
      </c>
      <c r="E7633" s="211" t="s">
        <v>10385</v>
      </c>
      <c r="F7633" s="211" t="s">
        <v>7322</v>
      </c>
    </row>
    <row r="7634" spans="1:6">
      <c r="A7634" s="211" t="s">
        <v>1780</v>
      </c>
      <c r="B7634" s="211">
        <v>2112</v>
      </c>
      <c r="C7634" s="211">
        <v>1372</v>
      </c>
      <c r="D7634" s="211" t="s">
        <v>1255</v>
      </c>
      <c r="E7634" s="211" t="s">
        <v>10385</v>
      </c>
      <c r="F7634" s="211" t="s">
        <v>7196</v>
      </c>
    </row>
    <row r="7635" spans="1:6">
      <c r="A7635" s="211" t="s">
        <v>1781</v>
      </c>
      <c r="B7635" s="211">
        <v>3054</v>
      </c>
      <c r="C7635" s="211">
        <v>1194</v>
      </c>
      <c r="D7635" s="211" t="s">
        <v>1255</v>
      </c>
      <c r="E7635" s="211" t="s">
        <v>10385</v>
      </c>
      <c r="F7635" s="211" t="s">
        <v>7217</v>
      </c>
    </row>
    <row r="7636" spans="1:6">
      <c r="A7636" s="211" t="s">
        <v>1782</v>
      </c>
      <c r="B7636" s="211">
        <v>7726</v>
      </c>
      <c r="C7636" s="211">
        <v>1740</v>
      </c>
      <c r="D7636" s="211" t="s">
        <v>1255</v>
      </c>
      <c r="E7636" s="211" t="s">
        <v>10228</v>
      </c>
      <c r="F7636" s="211" t="s">
        <v>7322</v>
      </c>
    </row>
    <row r="7637" spans="1:6">
      <c r="A7637" s="211" t="s">
        <v>11059</v>
      </c>
      <c r="B7637" s="211">
        <v>8682</v>
      </c>
      <c r="C7637" s="211">
        <v>1538</v>
      </c>
      <c r="D7637" s="211" t="s">
        <v>1255</v>
      </c>
      <c r="E7637" s="211" t="s">
        <v>10613</v>
      </c>
      <c r="F7637" s="211" t="s">
        <v>7239</v>
      </c>
    </row>
    <row r="7638" spans="1:6">
      <c r="A7638" s="211" t="s">
        <v>1783</v>
      </c>
      <c r="B7638" s="211">
        <v>1129</v>
      </c>
      <c r="C7638" s="211">
        <v>2030</v>
      </c>
      <c r="D7638" s="211" t="s">
        <v>1255</v>
      </c>
      <c r="E7638" s="211" t="s">
        <v>10385</v>
      </c>
      <c r="F7638" s="211" t="s">
        <v>7320</v>
      </c>
    </row>
    <row r="7639" spans="1:6">
      <c r="A7639" s="211" t="s">
        <v>1784</v>
      </c>
      <c r="B7639" s="211">
        <v>4857</v>
      </c>
      <c r="C7639" s="211">
        <v>1097</v>
      </c>
      <c r="D7639" s="211" t="s">
        <v>1255</v>
      </c>
      <c r="E7639" s="211" t="s">
        <v>10229</v>
      </c>
      <c r="F7639" s="211" t="s">
        <v>7386</v>
      </c>
    </row>
    <row r="7640" spans="1:6">
      <c r="A7640" s="211" t="s">
        <v>11060</v>
      </c>
      <c r="B7640" s="211">
        <v>8740</v>
      </c>
      <c r="C7640" s="211">
        <v>1027</v>
      </c>
      <c r="D7640" s="211" t="s">
        <v>1117</v>
      </c>
      <c r="E7640" s="211" t="s">
        <v>11061</v>
      </c>
      <c r="F7640" s="211" t="s">
        <v>7483</v>
      </c>
    </row>
    <row r="7641" spans="1:6">
      <c r="A7641" s="211" t="s">
        <v>1785</v>
      </c>
      <c r="B7641" s="211">
        <v>2701</v>
      </c>
      <c r="C7641" s="211">
        <v>1284</v>
      </c>
      <c r="D7641" s="211" t="s">
        <v>1255</v>
      </c>
      <c r="E7641" s="211" t="s">
        <v>10385</v>
      </c>
      <c r="F7641" s="211" t="s">
        <v>7327</v>
      </c>
    </row>
    <row r="7642" spans="1:6">
      <c r="A7642" s="211" t="s">
        <v>1786</v>
      </c>
      <c r="B7642" s="211">
        <v>5619</v>
      </c>
      <c r="C7642" s="211">
        <v>1033</v>
      </c>
      <c r="D7642" s="211" t="s">
        <v>1255</v>
      </c>
      <c r="E7642" s="211" t="s">
        <v>10385</v>
      </c>
      <c r="F7642" s="211" t="s">
        <v>7454</v>
      </c>
    </row>
    <row r="7643" spans="1:6">
      <c r="A7643" s="211" t="s">
        <v>9014</v>
      </c>
      <c r="B7643" s="211">
        <v>5621</v>
      </c>
      <c r="C7643" s="211">
        <v>1239</v>
      </c>
      <c r="D7643" s="211" t="s">
        <v>1255</v>
      </c>
      <c r="E7643" s="211" t="s">
        <v>10385</v>
      </c>
      <c r="F7643" s="211" t="s">
        <v>7454</v>
      </c>
    </row>
    <row r="7644" spans="1:6">
      <c r="A7644" s="211" t="s">
        <v>9015</v>
      </c>
      <c r="B7644" s="211">
        <v>7001</v>
      </c>
      <c r="C7644" s="211">
        <v>1239</v>
      </c>
      <c r="D7644" s="211" t="s">
        <v>1255</v>
      </c>
      <c r="E7644" s="211" t="s">
        <v>10385</v>
      </c>
      <c r="F7644" s="211" t="s">
        <v>7189</v>
      </c>
    </row>
    <row r="7645" spans="1:6">
      <c r="A7645" s="211" t="s">
        <v>8808</v>
      </c>
      <c r="B7645" s="211">
        <v>485</v>
      </c>
      <c r="C7645" s="211" t="s">
        <v>10385</v>
      </c>
      <c r="D7645" s="211" t="s">
        <v>1255</v>
      </c>
      <c r="E7645" s="211" t="s">
        <v>10385</v>
      </c>
      <c r="F7645" s="211" t="s">
        <v>7487</v>
      </c>
    </row>
    <row r="7646" spans="1:6">
      <c r="A7646" s="211" t="s">
        <v>1787</v>
      </c>
      <c r="B7646" s="211">
        <v>3194</v>
      </c>
      <c r="C7646" s="211">
        <v>1672</v>
      </c>
      <c r="D7646" s="211" t="s">
        <v>1255</v>
      </c>
      <c r="E7646" s="211" t="s">
        <v>10385</v>
      </c>
      <c r="F7646" s="211" t="s">
        <v>7357</v>
      </c>
    </row>
    <row r="7647" spans="1:6">
      <c r="A7647" s="211" t="s">
        <v>1788</v>
      </c>
      <c r="B7647" s="211">
        <v>2869</v>
      </c>
      <c r="C7647" s="211">
        <v>1574</v>
      </c>
      <c r="D7647" s="211" t="s">
        <v>1255</v>
      </c>
      <c r="E7647" s="211" t="s">
        <v>10385</v>
      </c>
      <c r="F7647" s="211" t="s">
        <v>7383</v>
      </c>
    </row>
    <row r="7648" spans="1:6">
      <c r="A7648" s="211" t="s">
        <v>1789</v>
      </c>
      <c r="B7648" s="211">
        <v>743</v>
      </c>
      <c r="C7648" s="211">
        <v>1959</v>
      </c>
      <c r="D7648" s="211" t="s">
        <v>1255</v>
      </c>
      <c r="E7648" s="211" t="s">
        <v>10385</v>
      </c>
      <c r="F7648" s="211" t="s">
        <v>7318</v>
      </c>
    </row>
    <row r="7649" spans="1:6">
      <c r="A7649" s="211" t="s">
        <v>1790</v>
      </c>
      <c r="B7649" s="211">
        <v>1420</v>
      </c>
      <c r="C7649" s="211">
        <v>1397</v>
      </c>
      <c r="D7649" s="211" t="s">
        <v>1255</v>
      </c>
      <c r="E7649" s="211" t="s">
        <v>10385</v>
      </c>
      <c r="F7649" s="211" t="s">
        <v>7257</v>
      </c>
    </row>
    <row r="7650" spans="1:6">
      <c r="A7650" s="211" t="s">
        <v>1791</v>
      </c>
      <c r="B7650" s="211">
        <v>2439</v>
      </c>
      <c r="C7650" s="211">
        <v>884</v>
      </c>
      <c r="D7650" s="211" t="s">
        <v>1255</v>
      </c>
      <c r="E7650" s="211" t="s">
        <v>10385</v>
      </c>
      <c r="F7650" s="211" t="s">
        <v>7344</v>
      </c>
    </row>
    <row r="7651" spans="1:6">
      <c r="A7651" s="211" t="s">
        <v>6327</v>
      </c>
      <c r="B7651" s="211">
        <v>7416</v>
      </c>
      <c r="C7651" s="211">
        <v>1601</v>
      </c>
      <c r="D7651" s="211" t="s">
        <v>1117</v>
      </c>
      <c r="E7651" s="211" t="s">
        <v>6328</v>
      </c>
      <c r="F7651" s="211" t="s">
        <v>7623</v>
      </c>
    </row>
    <row r="7652" spans="1:6">
      <c r="A7652" s="211" t="s">
        <v>5283</v>
      </c>
      <c r="B7652" s="211">
        <v>6782</v>
      </c>
      <c r="C7652" s="211">
        <v>1097</v>
      </c>
      <c r="D7652" s="211" t="s">
        <v>1255</v>
      </c>
      <c r="E7652" s="211" t="s">
        <v>6329</v>
      </c>
      <c r="F7652" s="211" t="s">
        <v>7200</v>
      </c>
    </row>
    <row r="7653" spans="1:6">
      <c r="A7653" s="211" t="s">
        <v>10230</v>
      </c>
      <c r="B7653" s="211">
        <v>8330</v>
      </c>
      <c r="C7653" s="211">
        <v>1567</v>
      </c>
      <c r="D7653" s="211" t="s">
        <v>1255</v>
      </c>
      <c r="E7653" s="211" t="s">
        <v>10231</v>
      </c>
      <c r="F7653" s="211" t="s">
        <v>7242</v>
      </c>
    </row>
    <row r="7654" spans="1:6">
      <c r="A7654" s="211" t="s">
        <v>8809</v>
      </c>
      <c r="B7654" s="211">
        <v>5183</v>
      </c>
      <c r="C7654" s="211" t="s">
        <v>10385</v>
      </c>
      <c r="D7654" s="211" t="s">
        <v>1117</v>
      </c>
      <c r="E7654" s="211" t="s">
        <v>10385</v>
      </c>
      <c r="F7654" s="211" t="s">
        <v>7331</v>
      </c>
    </row>
    <row r="7655" spans="1:6">
      <c r="A7655" s="211" t="s">
        <v>1792</v>
      </c>
      <c r="B7655" s="211">
        <v>305</v>
      </c>
      <c r="C7655" s="211">
        <v>1159</v>
      </c>
      <c r="D7655" s="211" t="s">
        <v>1255</v>
      </c>
      <c r="E7655" s="211" t="s">
        <v>10385</v>
      </c>
      <c r="F7655" s="211" t="s">
        <v>7223</v>
      </c>
    </row>
    <row r="7656" spans="1:6">
      <c r="A7656" s="211" t="s">
        <v>1793</v>
      </c>
      <c r="B7656" s="211">
        <v>154</v>
      </c>
      <c r="C7656" s="211">
        <v>1735</v>
      </c>
      <c r="D7656" s="211" t="s">
        <v>1255</v>
      </c>
      <c r="E7656" s="211" t="s">
        <v>10385</v>
      </c>
      <c r="F7656" s="211" t="s">
        <v>7239</v>
      </c>
    </row>
    <row r="7657" spans="1:6">
      <c r="A7657" s="211" t="s">
        <v>6330</v>
      </c>
      <c r="B7657" s="211">
        <v>7131</v>
      </c>
      <c r="C7657" s="211">
        <v>2100</v>
      </c>
      <c r="D7657" s="211" t="s">
        <v>1117</v>
      </c>
      <c r="E7657" s="211" t="s">
        <v>10385</v>
      </c>
      <c r="F7657" s="211" t="s">
        <v>7471</v>
      </c>
    </row>
    <row r="7658" spans="1:6">
      <c r="A7658" s="211" t="s">
        <v>1794</v>
      </c>
      <c r="B7658" s="211">
        <v>5204</v>
      </c>
      <c r="C7658" s="211">
        <v>1180</v>
      </c>
      <c r="D7658" s="211" t="s">
        <v>1255</v>
      </c>
      <c r="E7658" s="211" t="s">
        <v>10385</v>
      </c>
      <c r="F7658" s="211" t="s">
        <v>7240</v>
      </c>
    </row>
    <row r="7659" spans="1:6">
      <c r="A7659" s="211" t="s">
        <v>1795</v>
      </c>
      <c r="B7659" s="211">
        <v>3323</v>
      </c>
      <c r="C7659" s="211">
        <v>1221</v>
      </c>
      <c r="D7659" s="211" t="s">
        <v>1255</v>
      </c>
      <c r="E7659" s="211" t="s">
        <v>10385</v>
      </c>
      <c r="F7659" s="211" t="s">
        <v>7213</v>
      </c>
    </row>
    <row r="7660" spans="1:6">
      <c r="A7660" s="211" t="s">
        <v>1796</v>
      </c>
      <c r="B7660" s="211">
        <v>4554</v>
      </c>
      <c r="C7660" s="211">
        <v>1895</v>
      </c>
      <c r="D7660" s="211" t="s">
        <v>1255</v>
      </c>
      <c r="E7660" s="211" t="s">
        <v>10385</v>
      </c>
      <c r="F7660" s="211" t="s">
        <v>7304</v>
      </c>
    </row>
    <row r="7661" spans="1:6">
      <c r="A7661" s="211" t="s">
        <v>1797</v>
      </c>
      <c r="B7661" s="211">
        <v>2092</v>
      </c>
      <c r="C7661" s="211">
        <v>810</v>
      </c>
      <c r="D7661" s="211" t="s">
        <v>1117</v>
      </c>
      <c r="E7661" s="211" t="s">
        <v>10385</v>
      </c>
      <c r="F7661" s="211" t="s">
        <v>7239</v>
      </c>
    </row>
    <row r="7662" spans="1:6">
      <c r="A7662" s="211" t="s">
        <v>11062</v>
      </c>
      <c r="B7662" s="211">
        <v>8709</v>
      </c>
      <c r="C7662" s="211">
        <v>703</v>
      </c>
      <c r="D7662" s="211" t="s">
        <v>1117</v>
      </c>
      <c r="E7662" s="211" t="s">
        <v>11063</v>
      </c>
      <c r="F7662" s="211" t="s">
        <v>7386</v>
      </c>
    </row>
    <row r="7663" spans="1:6">
      <c r="A7663" s="211" t="s">
        <v>1798</v>
      </c>
      <c r="B7663" s="211">
        <v>1870</v>
      </c>
      <c r="C7663" s="211">
        <v>1014</v>
      </c>
      <c r="D7663" s="211" t="s">
        <v>1255</v>
      </c>
      <c r="E7663" s="211" t="s">
        <v>10385</v>
      </c>
      <c r="F7663" s="211" t="s">
        <v>7230</v>
      </c>
    </row>
    <row r="7664" spans="1:6">
      <c r="A7664" s="211" t="s">
        <v>1799</v>
      </c>
      <c r="B7664" s="211">
        <v>1643</v>
      </c>
      <c r="C7664" s="211">
        <v>1596</v>
      </c>
      <c r="D7664" s="211" t="s">
        <v>1255</v>
      </c>
      <c r="E7664" s="211" t="s">
        <v>10385</v>
      </c>
      <c r="F7664" s="211" t="s">
        <v>7240</v>
      </c>
    </row>
    <row r="7665" spans="1:6">
      <c r="A7665" s="211" t="s">
        <v>10232</v>
      </c>
      <c r="B7665" s="211">
        <v>7908</v>
      </c>
      <c r="C7665" s="211">
        <v>1775</v>
      </c>
      <c r="D7665" s="211" t="s">
        <v>1255</v>
      </c>
      <c r="E7665" s="211" t="s">
        <v>10233</v>
      </c>
      <c r="F7665" s="211" t="s">
        <v>10413</v>
      </c>
    </row>
    <row r="7666" spans="1:6">
      <c r="A7666" s="211" t="s">
        <v>1800</v>
      </c>
      <c r="B7666" s="211">
        <v>3560</v>
      </c>
      <c r="C7666" s="211">
        <v>1164</v>
      </c>
      <c r="D7666" s="211" t="s">
        <v>1255</v>
      </c>
      <c r="E7666" s="211" t="s">
        <v>10385</v>
      </c>
      <c r="F7666" s="211" t="s">
        <v>7173</v>
      </c>
    </row>
    <row r="7667" spans="1:6">
      <c r="A7667" s="211" t="s">
        <v>6331</v>
      </c>
      <c r="B7667" s="211">
        <v>7502</v>
      </c>
      <c r="C7667" s="211">
        <v>700</v>
      </c>
      <c r="D7667" s="211" t="s">
        <v>1117</v>
      </c>
      <c r="E7667" s="211" t="s">
        <v>6332</v>
      </c>
      <c r="F7667" s="211" t="s">
        <v>7435</v>
      </c>
    </row>
    <row r="7668" spans="1:6">
      <c r="A7668" s="211" t="s">
        <v>1801</v>
      </c>
      <c r="B7668" s="211">
        <v>4878</v>
      </c>
      <c r="C7668" s="211">
        <v>1081</v>
      </c>
      <c r="D7668" s="211" t="s">
        <v>1255</v>
      </c>
      <c r="E7668" s="211" t="s">
        <v>10385</v>
      </c>
      <c r="F7668" s="211" t="s">
        <v>7240</v>
      </c>
    </row>
    <row r="7669" spans="1:6">
      <c r="A7669" s="211" t="s">
        <v>1802</v>
      </c>
      <c r="B7669" s="211">
        <v>3121</v>
      </c>
      <c r="C7669" s="211">
        <v>1253</v>
      </c>
      <c r="D7669" s="211" t="s">
        <v>1255</v>
      </c>
      <c r="E7669" s="211" t="s">
        <v>10385</v>
      </c>
      <c r="F7669" s="211" t="s">
        <v>7268</v>
      </c>
    </row>
    <row r="7670" spans="1:6">
      <c r="A7670" s="211" t="s">
        <v>4527</v>
      </c>
      <c r="B7670" s="211">
        <v>6552</v>
      </c>
      <c r="C7670" s="211">
        <v>1524</v>
      </c>
      <c r="D7670" s="211" t="s">
        <v>1255</v>
      </c>
      <c r="E7670" s="211" t="s">
        <v>10385</v>
      </c>
      <c r="F7670" s="211" t="s">
        <v>7286</v>
      </c>
    </row>
    <row r="7671" spans="1:6">
      <c r="A7671" s="211" t="s">
        <v>1803</v>
      </c>
      <c r="B7671" s="211">
        <v>948</v>
      </c>
      <c r="C7671" s="211">
        <v>2053</v>
      </c>
      <c r="D7671" s="211" t="s">
        <v>1255</v>
      </c>
      <c r="E7671" s="211" t="s">
        <v>10385</v>
      </c>
      <c r="F7671" s="211" t="s">
        <v>7510</v>
      </c>
    </row>
    <row r="7672" spans="1:6">
      <c r="A7672" s="211" t="s">
        <v>7104</v>
      </c>
      <c r="B7672" s="211">
        <v>7643</v>
      </c>
      <c r="C7672" s="211">
        <v>1638</v>
      </c>
      <c r="D7672" s="211" t="s">
        <v>1255</v>
      </c>
      <c r="E7672" s="211" t="s">
        <v>7105</v>
      </c>
      <c r="F7672" s="211" t="s">
        <v>7224</v>
      </c>
    </row>
    <row r="7673" spans="1:6">
      <c r="A7673" s="211" t="s">
        <v>1804</v>
      </c>
      <c r="B7673" s="211">
        <v>4687</v>
      </c>
      <c r="C7673" s="211">
        <v>653</v>
      </c>
      <c r="D7673" s="211" t="s">
        <v>1117</v>
      </c>
      <c r="E7673" s="211" t="s">
        <v>10385</v>
      </c>
      <c r="F7673" s="211" t="s">
        <v>7205</v>
      </c>
    </row>
    <row r="7674" spans="1:6">
      <c r="A7674" s="211" t="s">
        <v>8810</v>
      </c>
      <c r="B7674" s="211">
        <v>54</v>
      </c>
      <c r="C7674" s="211" t="s">
        <v>10385</v>
      </c>
      <c r="D7674" s="211" t="s">
        <v>1255</v>
      </c>
      <c r="E7674" s="211" t="s">
        <v>10385</v>
      </c>
      <c r="F7674" s="211" t="s">
        <v>7196</v>
      </c>
    </row>
    <row r="7675" spans="1:6">
      <c r="A7675" s="211" t="s">
        <v>8811</v>
      </c>
      <c r="B7675" s="211">
        <v>328</v>
      </c>
      <c r="C7675" s="211" t="s">
        <v>10385</v>
      </c>
      <c r="D7675" s="211" t="s">
        <v>1255</v>
      </c>
      <c r="E7675" s="211" t="s">
        <v>10385</v>
      </c>
      <c r="F7675" s="211" t="s">
        <v>7223</v>
      </c>
    </row>
    <row r="7676" spans="1:6">
      <c r="A7676" s="211" t="s">
        <v>4706</v>
      </c>
      <c r="B7676" s="211">
        <v>6368</v>
      </c>
      <c r="C7676" s="211">
        <v>1605</v>
      </c>
      <c r="D7676" s="211" t="s">
        <v>1117</v>
      </c>
      <c r="E7676" s="211" t="s">
        <v>7106</v>
      </c>
      <c r="F7676" s="211" t="s">
        <v>7414</v>
      </c>
    </row>
    <row r="7677" spans="1:6">
      <c r="A7677" s="211" t="s">
        <v>8812</v>
      </c>
      <c r="B7677" s="211">
        <v>3610</v>
      </c>
      <c r="C7677" s="211" t="s">
        <v>10385</v>
      </c>
      <c r="D7677" s="211" t="s">
        <v>1255</v>
      </c>
      <c r="E7677" s="211" t="s">
        <v>10385</v>
      </c>
      <c r="F7677" s="211" t="s">
        <v>7205</v>
      </c>
    </row>
    <row r="7678" spans="1:6">
      <c r="A7678" s="211" t="s">
        <v>1805</v>
      </c>
      <c r="B7678" s="211">
        <v>4812</v>
      </c>
      <c r="C7678" s="211">
        <v>1466</v>
      </c>
      <c r="D7678" s="211" t="s">
        <v>1255</v>
      </c>
      <c r="E7678" s="211" t="s">
        <v>10385</v>
      </c>
      <c r="F7678" s="211" t="s">
        <v>7210</v>
      </c>
    </row>
    <row r="7679" spans="1:6">
      <c r="A7679" s="211" t="s">
        <v>5284</v>
      </c>
      <c r="B7679" s="211">
        <v>6960</v>
      </c>
      <c r="C7679" s="211">
        <v>898</v>
      </c>
      <c r="D7679" s="211" t="s">
        <v>1255</v>
      </c>
      <c r="E7679" s="211" t="s">
        <v>10385</v>
      </c>
      <c r="F7679" s="211" t="s">
        <v>7656</v>
      </c>
    </row>
    <row r="7680" spans="1:6">
      <c r="A7680" s="211" t="s">
        <v>10234</v>
      </c>
      <c r="B7680" s="211">
        <v>8202</v>
      </c>
      <c r="C7680" s="211">
        <v>988</v>
      </c>
      <c r="D7680" s="211" t="s">
        <v>1255</v>
      </c>
      <c r="E7680" s="211" t="s">
        <v>10235</v>
      </c>
      <c r="F7680" s="211" t="s">
        <v>7561</v>
      </c>
    </row>
    <row r="7681" spans="1:6">
      <c r="A7681" s="211" t="s">
        <v>8813</v>
      </c>
      <c r="B7681" s="211">
        <v>963</v>
      </c>
      <c r="C7681" s="211" t="s">
        <v>10385</v>
      </c>
      <c r="D7681" s="211" t="s">
        <v>1255</v>
      </c>
      <c r="E7681" s="211" t="s">
        <v>10385</v>
      </c>
      <c r="F7681" s="211" t="s">
        <v>7262</v>
      </c>
    </row>
    <row r="7682" spans="1:6">
      <c r="A7682" s="211" t="s">
        <v>1806</v>
      </c>
      <c r="B7682" s="211">
        <v>2519</v>
      </c>
      <c r="C7682" s="211">
        <v>710</v>
      </c>
      <c r="D7682" s="211" t="s">
        <v>1255</v>
      </c>
      <c r="E7682" s="211" t="s">
        <v>10385</v>
      </c>
      <c r="F7682" s="211" t="s">
        <v>7629</v>
      </c>
    </row>
    <row r="7683" spans="1:6">
      <c r="A7683" s="211" t="s">
        <v>1807</v>
      </c>
      <c r="B7683" s="211">
        <v>1588</v>
      </c>
      <c r="C7683" s="211">
        <v>897</v>
      </c>
      <c r="D7683" s="211" t="s">
        <v>1255</v>
      </c>
      <c r="E7683" s="211" t="s">
        <v>10385</v>
      </c>
      <c r="F7683" s="211" t="s">
        <v>7415</v>
      </c>
    </row>
    <row r="7684" spans="1:6">
      <c r="A7684" s="211" t="s">
        <v>2877</v>
      </c>
      <c r="B7684" s="211">
        <v>3852</v>
      </c>
      <c r="C7684" s="211">
        <v>883</v>
      </c>
      <c r="D7684" s="211" t="s">
        <v>1117</v>
      </c>
      <c r="E7684" s="211" t="s">
        <v>10385</v>
      </c>
      <c r="F7684" s="211" t="s">
        <v>7263</v>
      </c>
    </row>
    <row r="7685" spans="1:6">
      <c r="A7685" s="211" t="s">
        <v>1808</v>
      </c>
      <c r="B7685" s="211">
        <v>1141</v>
      </c>
      <c r="C7685" s="211">
        <v>894</v>
      </c>
      <c r="D7685" s="211" t="s">
        <v>1255</v>
      </c>
      <c r="E7685" s="211" t="s">
        <v>10385</v>
      </c>
      <c r="F7685" s="211" t="s">
        <v>7232</v>
      </c>
    </row>
    <row r="7686" spans="1:6">
      <c r="A7686" s="211" t="s">
        <v>1809</v>
      </c>
      <c r="B7686" s="211">
        <v>2892</v>
      </c>
      <c r="C7686" s="211">
        <v>1077</v>
      </c>
      <c r="D7686" s="211" t="s">
        <v>1117</v>
      </c>
      <c r="E7686" s="211" t="s">
        <v>10385</v>
      </c>
      <c r="F7686" s="211" t="s">
        <v>7272</v>
      </c>
    </row>
    <row r="7687" spans="1:6">
      <c r="A7687" s="211" t="s">
        <v>1810</v>
      </c>
      <c r="B7687" s="211">
        <v>4871</v>
      </c>
      <c r="C7687" s="211">
        <v>905</v>
      </c>
      <c r="D7687" s="211" t="s">
        <v>1255</v>
      </c>
      <c r="E7687" s="211" t="s">
        <v>10385</v>
      </c>
      <c r="F7687" s="211" t="s">
        <v>7240</v>
      </c>
    </row>
    <row r="7688" spans="1:6">
      <c r="A7688" s="211" t="s">
        <v>8814</v>
      </c>
      <c r="B7688" s="211">
        <v>572</v>
      </c>
      <c r="C7688" s="211" t="s">
        <v>10385</v>
      </c>
      <c r="D7688" s="211" t="s">
        <v>1255</v>
      </c>
      <c r="E7688" s="211" t="s">
        <v>10385</v>
      </c>
      <c r="F7688" s="211" t="s">
        <v>7196</v>
      </c>
    </row>
    <row r="7689" spans="1:6">
      <c r="A7689" s="211" t="s">
        <v>8815</v>
      </c>
      <c r="B7689" s="211">
        <v>4851</v>
      </c>
      <c r="C7689" s="211" t="s">
        <v>10385</v>
      </c>
      <c r="D7689" s="211" t="s">
        <v>1117</v>
      </c>
      <c r="E7689" s="211" t="s">
        <v>10385</v>
      </c>
      <c r="F7689" s="211" t="s">
        <v>7386</v>
      </c>
    </row>
    <row r="7690" spans="1:6">
      <c r="A7690" s="211" t="s">
        <v>8816</v>
      </c>
      <c r="B7690" s="211">
        <v>134</v>
      </c>
      <c r="C7690" s="211" t="s">
        <v>10385</v>
      </c>
      <c r="D7690" s="211" t="s">
        <v>1255</v>
      </c>
      <c r="E7690" s="211" t="s">
        <v>10385</v>
      </c>
      <c r="F7690" s="211" t="s">
        <v>7239</v>
      </c>
    </row>
    <row r="7691" spans="1:6">
      <c r="A7691" s="211" t="s">
        <v>1811</v>
      </c>
      <c r="B7691" s="211">
        <v>4808</v>
      </c>
      <c r="C7691" s="211">
        <v>944</v>
      </c>
      <c r="D7691" s="211" t="s">
        <v>1117</v>
      </c>
      <c r="E7691" s="211" t="s">
        <v>10385</v>
      </c>
      <c r="F7691" s="211" t="s">
        <v>7232</v>
      </c>
    </row>
    <row r="7692" spans="1:6">
      <c r="A7692" s="211" t="s">
        <v>4854</v>
      </c>
      <c r="B7692" s="211">
        <v>5589</v>
      </c>
      <c r="C7692" s="211">
        <v>2070</v>
      </c>
      <c r="D7692" s="211" t="s">
        <v>1255</v>
      </c>
      <c r="E7692" s="211" t="s">
        <v>10385</v>
      </c>
      <c r="F7692" s="211" t="s">
        <v>7510</v>
      </c>
    </row>
    <row r="7693" spans="1:6">
      <c r="A7693" s="211" t="s">
        <v>1812</v>
      </c>
      <c r="B7693" s="211">
        <v>4890</v>
      </c>
      <c r="C7693" s="211">
        <v>981</v>
      </c>
      <c r="D7693" s="211" t="s">
        <v>1255</v>
      </c>
      <c r="E7693" s="211" t="s">
        <v>10385</v>
      </c>
      <c r="F7693" s="211" t="s">
        <v>7246</v>
      </c>
    </row>
    <row r="7694" spans="1:6">
      <c r="A7694" s="211" t="s">
        <v>1813</v>
      </c>
      <c r="B7694" s="211">
        <v>1777</v>
      </c>
      <c r="C7694" s="211">
        <v>2095</v>
      </c>
      <c r="D7694" s="211" t="s">
        <v>1255</v>
      </c>
      <c r="E7694" s="211" t="s">
        <v>10385</v>
      </c>
      <c r="F7694" s="211" t="s">
        <v>7510</v>
      </c>
    </row>
    <row r="7695" spans="1:6">
      <c r="A7695" s="211" t="s">
        <v>1814</v>
      </c>
      <c r="B7695" s="211">
        <v>2877</v>
      </c>
      <c r="C7695" s="211">
        <v>1018</v>
      </c>
      <c r="D7695" s="211" t="s">
        <v>1255</v>
      </c>
      <c r="E7695" s="211" t="s">
        <v>10385</v>
      </c>
      <c r="F7695" s="211" t="s">
        <v>7316</v>
      </c>
    </row>
    <row r="7696" spans="1:6">
      <c r="A7696" s="211" t="s">
        <v>10236</v>
      </c>
      <c r="B7696" s="211">
        <v>8489</v>
      </c>
      <c r="C7696" s="211">
        <v>1242</v>
      </c>
      <c r="D7696" s="211" t="s">
        <v>1255</v>
      </c>
      <c r="E7696" s="211" t="s">
        <v>11064</v>
      </c>
      <c r="F7696" s="211" t="s">
        <v>7507</v>
      </c>
    </row>
    <row r="7697" spans="1:6">
      <c r="A7697" s="211" t="s">
        <v>1815</v>
      </c>
      <c r="B7697" s="211">
        <v>5396</v>
      </c>
      <c r="C7697" s="211">
        <v>733</v>
      </c>
      <c r="D7697" s="211" t="s">
        <v>1117</v>
      </c>
      <c r="E7697" s="211" t="s">
        <v>10385</v>
      </c>
      <c r="F7697" s="211" t="s">
        <v>7524</v>
      </c>
    </row>
    <row r="7698" spans="1:6">
      <c r="A7698" s="211" t="s">
        <v>10237</v>
      </c>
      <c r="B7698" s="211">
        <v>8169</v>
      </c>
      <c r="C7698" s="211" t="s">
        <v>10385</v>
      </c>
      <c r="D7698" s="211" t="s">
        <v>1255</v>
      </c>
      <c r="E7698" s="211" t="s">
        <v>10238</v>
      </c>
      <c r="F7698" s="211" t="s">
        <v>7240</v>
      </c>
    </row>
    <row r="7699" spans="1:6">
      <c r="A7699" s="211" t="s">
        <v>1816</v>
      </c>
      <c r="B7699" s="211">
        <v>5252</v>
      </c>
      <c r="C7699" s="211">
        <v>1540</v>
      </c>
      <c r="D7699" s="211" t="s">
        <v>1255</v>
      </c>
      <c r="E7699" s="211" t="s">
        <v>10385</v>
      </c>
      <c r="F7699" s="211" t="s">
        <v>7160</v>
      </c>
    </row>
    <row r="7700" spans="1:6">
      <c r="A7700" s="211" t="s">
        <v>8817</v>
      </c>
      <c r="B7700" s="211">
        <v>2560</v>
      </c>
      <c r="C7700" s="211" t="s">
        <v>10385</v>
      </c>
      <c r="D7700" s="211" t="s">
        <v>1255</v>
      </c>
      <c r="E7700" s="211" t="s">
        <v>10385</v>
      </c>
      <c r="F7700" s="211" t="s">
        <v>7265</v>
      </c>
    </row>
    <row r="7701" spans="1:6">
      <c r="A7701" s="211" t="s">
        <v>1817</v>
      </c>
      <c r="B7701" s="211">
        <v>4835</v>
      </c>
      <c r="C7701" s="211">
        <v>1555</v>
      </c>
      <c r="D7701" s="211" t="s">
        <v>1117</v>
      </c>
      <c r="E7701" s="211" t="s">
        <v>7107</v>
      </c>
      <c r="F7701" s="211" t="s">
        <v>7189</v>
      </c>
    </row>
    <row r="7702" spans="1:6">
      <c r="A7702" s="211" t="s">
        <v>1818</v>
      </c>
      <c r="B7702" s="211">
        <v>5839</v>
      </c>
      <c r="C7702" s="211">
        <v>2026</v>
      </c>
      <c r="D7702" s="211" t="s">
        <v>1117</v>
      </c>
      <c r="E7702" s="211" t="s">
        <v>10239</v>
      </c>
      <c r="F7702" s="211" t="s">
        <v>7587</v>
      </c>
    </row>
    <row r="7703" spans="1:6">
      <c r="A7703" s="211" t="s">
        <v>1819</v>
      </c>
      <c r="B7703" s="211">
        <v>5507</v>
      </c>
      <c r="C7703" s="211">
        <v>832</v>
      </c>
      <c r="D7703" s="211" t="s">
        <v>1117</v>
      </c>
      <c r="E7703" s="211" t="s">
        <v>10385</v>
      </c>
      <c r="F7703" s="211" t="s">
        <v>7205</v>
      </c>
    </row>
    <row r="7704" spans="1:6">
      <c r="A7704" s="211" t="s">
        <v>8818</v>
      </c>
      <c r="B7704" s="211">
        <v>721</v>
      </c>
      <c r="C7704" s="211" t="s">
        <v>10385</v>
      </c>
      <c r="D7704" s="211" t="s">
        <v>1255</v>
      </c>
      <c r="E7704" s="211" t="s">
        <v>10385</v>
      </c>
      <c r="F7704" s="211" t="s">
        <v>7425</v>
      </c>
    </row>
    <row r="7705" spans="1:6">
      <c r="A7705" s="211" t="s">
        <v>8819</v>
      </c>
      <c r="B7705" s="211">
        <v>636</v>
      </c>
      <c r="C7705" s="211" t="s">
        <v>10385</v>
      </c>
      <c r="D7705" s="211" t="s">
        <v>1255</v>
      </c>
      <c r="E7705" s="211" t="s">
        <v>10385</v>
      </c>
      <c r="F7705" s="211" t="s">
        <v>7425</v>
      </c>
    </row>
    <row r="7706" spans="1:6">
      <c r="A7706" s="211" t="s">
        <v>5285</v>
      </c>
      <c r="B7706" s="211">
        <v>6800</v>
      </c>
      <c r="C7706" s="211">
        <v>1099</v>
      </c>
      <c r="D7706" s="211" t="s">
        <v>1255</v>
      </c>
      <c r="E7706" s="211" t="s">
        <v>10385</v>
      </c>
      <c r="F7706" s="211" t="s">
        <v>7334</v>
      </c>
    </row>
    <row r="7707" spans="1:6">
      <c r="A7707" s="211" t="s">
        <v>10240</v>
      </c>
      <c r="B7707" s="211">
        <v>8122</v>
      </c>
      <c r="C7707" s="211">
        <v>975</v>
      </c>
      <c r="D7707" s="211" t="s">
        <v>1255</v>
      </c>
      <c r="E7707" s="211" t="s">
        <v>10385</v>
      </c>
      <c r="F7707" s="211" t="s">
        <v>7556</v>
      </c>
    </row>
    <row r="7708" spans="1:6">
      <c r="A7708" s="211" t="s">
        <v>8821</v>
      </c>
      <c r="B7708" s="211">
        <v>4606</v>
      </c>
      <c r="C7708" s="211" t="s">
        <v>10385</v>
      </c>
      <c r="D7708" s="211" t="s">
        <v>1255</v>
      </c>
      <c r="E7708" s="211" t="s">
        <v>10385</v>
      </c>
      <c r="F7708" s="211" t="s">
        <v>7275</v>
      </c>
    </row>
    <row r="7709" spans="1:6">
      <c r="A7709" s="211" t="s">
        <v>4489</v>
      </c>
      <c r="B7709" s="211">
        <v>6680</v>
      </c>
      <c r="C7709" s="211">
        <v>1088</v>
      </c>
      <c r="D7709" s="211" t="s">
        <v>1255</v>
      </c>
      <c r="E7709" s="211" t="s">
        <v>10385</v>
      </c>
      <c r="F7709" s="211" t="s">
        <v>7431</v>
      </c>
    </row>
    <row r="7710" spans="1:6">
      <c r="A7710" s="211" t="s">
        <v>8820</v>
      </c>
      <c r="B7710" s="211">
        <v>2722</v>
      </c>
      <c r="C7710" s="211" t="s">
        <v>10385</v>
      </c>
      <c r="D7710" s="211" t="s">
        <v>1255</v>
      </c>
      <c r="E7710" s="211" t="s">
        <v>10385</v>
      </c>
      <c r="F7710" s="211" t="s">
        <v>7303</v>
      </c>
    </row>
    <row r="7711" spans="1:6">
      <c r="A7711" s="211" t="s">
        <v>1820</v>
      </c>
      <c r="B7711" s="211">
        <v>5269</v>
      </c>
      <c r="C7711" s="211">
        <v>686</v>
      </c>
      <c r="D7711" s="211" t="s">
        <v>1117</v>
      </c>
      <c r="E7711" s="211" t="s">
        <v>10385</v>
      </c>
      <c r="F7711" s="211" t="s">
        <v>7322</v>
      </c>
    </row>
    <row r="7712" spans="1:6">
      <c r="A7712" s="211" t="s">
        <v>3169</v>
      </c>
      <c r="B7712" s="211">
        <v>2109</v>
      </c>
      <c r="C7712" s="211">
        <v>1181</v>
      </c>
      <c r="D7712" s="211" t="s">
        <v>1255</v>
      </c>
      <c r="E7712" s="211" t="s">
        <v>10385</v>
      </c>
      <c r="F7712" s="211" t="s">
        <v>7356</v>
      </c>
    </row>
    <row r="7713" spans="1:6">
      <c r="A7713" s="211" t="s">
        <v>6334</v>
      </c>
      <c r="B7713" s="211">
        <v>7162</v>
      </c>
      <c r="C7713" s="211">
        <v>811</v>
      </c>
      <c r="D7713" s="211" t="s">
        <v>1117</v>
      </c>
      <c r="E7713" s="211" t="s">
        <v>5718</v>
      </c>
      <c r="F7713" s="211" t="s">
        <v>7173</v>
      </c>
    </row>
    <row r="7714" spans="1:6">
      <c r="A7714" s="211" t="s">
        <v>3170</v>
      </c>
      <c r="B7714" s="211">
        <v>5674</v>
      </c>
      <c r="C7714" s="211">
        <v>1511</v>
      </c>
      <c r="D7714" s="211" t="s">
        <v>1255</v>
      </c>
      <c r="E7714" s="211" t="s">
        <v>10385</v>
      </c>
      <c r="F7714" s="211" t="s">
        <v>7239</v>
      </c>
    </row>
    <row r="7715" spans="1:6">
      <c r="A7715" s="211" t="s">
        <v>11065</v>
      </c>
      <c r="B7715" s="211">
        <v>8642</v>
      </c>
      <c r="C7715" s="211">
        <v>1210</v>
      </c>
      <c r="D7715" s="211" t="s">
        <v>1255</v>
      </c>
      <c r="E7715" s="211" t="s">
        <v>11066</v>
      </c>
      <c r="F7715" s="211" t="s">
        <v>9211</v>
      </c>
    </row>
    <row r="7716" spans="1:6">
      <c r="A7716" s="211" t="s">
        <v>3171</v>
      </c>
      <c r="B7716" s="211">
        <v>5608</v>
      </c>
      <c r="C7716" s="211">
        <v>1225</v>
      </c>
      <c r="D7716" s="211" t="s">
        <v>1255</v>
      </c>
      <c r="E7716" s="211" t="s">
        <v>7108</v>
      </c>
      <c r="F7716" s="211" t="s">
        <v>7380</v>
      </c>
    </row>
    <row r="7717" spans="1:6">
      <c r="A7717" s="211" t="s">
        <v>8822</v>
      </c>
      <c r="B7717" s="211">
        <v>242</v>
      </c>
      <c r="C7717" s="211" t="s">
        <v>10385</v>
      </c>
      <c r="D7717" s="211" t="s">
        <v>1255</v>
      </c>
      <c r="E7717" s="211" t="s">
        <v>10385</v>
      </c>
      <c r="F7717" s="211" t="s">
        <v>7219</v>
      </c>
    </row>
    <row r="7718" spans="1:6">
      <c r="A7718" s="211" t="s">
        <v>8823</v>
      </c>
      <c r="B7718" s="211">
        <v>1088</v>
      </c>
      <c r="C7718" s="211" t="s">
        <v>10385</v>
      </c>
      <c r="D7718" s="211" t="s">
        <v>1255</v>
      </c>
      <c r="E7718" s="211" t="s">
        <v>10385</v>
      </c>
      <c r="F7718" s="211" t="s">
        <v>7173</v>
      </c>
    </row>
    <row r="7719" spans="1:6">
      <c r="A7719" s="211" t="s">
        <v>3172</v>
      </c>
      <c r="B7719" s="211">
        <v>4837</v>
      </c>
      <c r="C7719" s="211">
        <v>1430</v>
      </c>
      <c r="D7719" s="211" t="s">
        <v>1255</v>
      </c>
      <c r="E7719" s="211" t="s">
        <v>10385</v>
      </c>
      <c r="F7719" s="211" t="s">
        <v>7446</v>
      </c>
    </row>
    <row r="7720" spans="1:6">
      <c r="A7720" s="211" t="s">
        <v>3173</v>
      </c>
      <c r="B7720" s="211">
        <v>3692</v>
      </c>
      <c r="C7720" s="211">
        <v>1115</v>
      </c>
      <c r="D7720" s="211" t="s">
        <v>1255</v>
      </c>
      <c r="E7720" s="211" t="s">
        <v>10385</v>
      </c>
      <c r="F7720" s="211" t="s">
        <v>7223</v>
      </c>
    </row>
    <row r="7721" spans="1:6">
      <c r="A7721" s="211" t="s">
        <v>3174</v>
      </c>
      <c r="B7721" s="211">
        <v>4864</v>
      </c>
      <c r="C7721" s="211">
        <v>1370</v>
      </c>
      <c r="D7721" s="211" t="s">
        <v>1255</v>
      </c>
      <c r="E7721" s="211" t="s">
        <v>10385</v>
      </c>
      <c r="F7721" s="211" t="s">
        <v>7189</v>
      </c>
    </row>
    <row r="7722" spans="1:6">
      <c r="A7722" s="211" t="s">
        <v>3175</v>
      </c>
      <c r="B7722" s="211">
        <v>5069</v>
      </c>
      <c r="C7722" s="211">
        <v>1529</v>
      </c>
      <c r="D7722" s="211" t="s">
        <v>1117</v>
      </c>
      <c r="E7722" s="211" t="s">
        <v>10385</v>
      </c>
      <c r="F7722" s="211" t="s">
        <v>7240</v>
      </c>
    </row>
    <row r="7723" spans="1:6">
      <c r="A7723" s="211" t="s">
        <v>4690</v>
      </c>
      <c r="B7723" s="211">
        <v>6397</v>
      </c>
      <c r="C7723" s="211">
        <v>1956</v>
      </c>
      <c r="D7723" s="211" t="s">
        <v>1255</v>
      </c>
      <c r="E7723" s="211" t="s">
        <v>6335</v>
      </c>
      <c r="F7723" s="211" t="s">
        <v>7241</v>
      </c>
    </row>
    <row r="7724" spans="1:6">
      <c r="A7724" s="211" t="s">
        <v>3176</v>
      </c>
      <c r="B7724" s="211">
        <v>5739</v>
      </c>
      <c r="C7724" s="211">
        <v>1238</v>
      </c>
      <c r="D7724" s="211" t="s">
        <v>1117</v>
      </c>
      <c r="E7724" s="211" t="s">
        <v>10385</v>
      </c>
      <c r="F7724" s="211" t="s">
        <v>7357</v>
      </c>
    </row>
    <row r="7725" spans="1:6">
      <c r="A7725" s="211" t="s">
        <v>3177</v>
      </c>
      <c r="B7725" s="211">
        <v>1050</v>
      </c>
      <c r="C7725" s="211">
        <v>1894</v>
      </c>
      <c r="D7725" s="211" t="s">
        <v>1255</v>
      </c>
      <c r="E7725" s="211" t="s">
        <v>10385</v>
      </c>
      <c r="F7725" s="211" t="s">
        <v>7272</v>
      </c>
    </row>
    <row r="7726" spans="1:6">
      <c r="A7726" s="211" t="s">
        <v>4771</v>
      </c>
      <c r="B7726" s="211">
        <v>6208</v>
      </c>
      <c r="C7726" s="211">
        <v>1627</v>
      </c>
      <c r="D7726" s="211" t="s">
        <v>1117</v>
      </c>
      <c r="E7726" s="211" t="s">
        <v>10385</v>
      </c>
      <c r="F7726" s="211" t="s">
        <v>7232</v>
      </c>
    </row>
    <row r="7727" spans="1:6">
      <c r="A7727" s="211" t="s">
        <v>4866</v>
      </c>
      <c r="B7727" s="211">
        <v>2635</v>
      </c>
      <c r="C7727" s="211">
        <v>1370</v>
      </c>
      <c r="D7727" s="211" t="s">
        <v>1255</v>
      </c>
      <c r="E7727" s="211" t="s">
        <v>3085</v>
      </c>
      <c r="F7727" s="211" t="s">
        <v>7285</v>
      </c>
    </row>
    <row r="7728" spans="1:6">
      <c r="A7728" s="211" t="s">
        <v>3178</v>
      </c>
      <c r="B7728" s="211">
        <v>3516</v>
      </c>
      <c r="C7728" s="211">
        <v>1508</v>
      </c>
      <c r="D7728" s="211" t="s">
        <v>1255</v>
      </c>
      <c r="E7728" s="211" t="s">
        <v>10385</v>
      </c>
      <c r="F7728" s="211" t="s">
        <v>7344</v>
      </c>
    </row>
    <row r="7729" spans="1:6">
      <c r="A7729" s="211" t="s">
        <v>5286</v>
      </c>
      <c r="B7729" s="211">
        <v>6774</v>
      </c>
      <c r="C7729" s="211">
        <v>1527</v>
      </c>
      <c r="D7729" s="211" t="s">
        <v>1255</v>
      </c>
      <c r="E7729" s="211" t="s">
        <v>10385</v>
      </c>
      <c r="F7729" s="211" t="s">
        <v>7392</v>
      </c>
    </row>
    <row r="7730" spans="1:6">
      <c r="A7730" s="211" t="s">
        <v>7109</v>
      </c>
      <c r="B7730" s="211">
        <v>7715</v>
      </c>
      <c r="C7730" s="211">
        <v>790</v>
      </c>
      <c r="D7730" s="211" t="s">
        <v>1117</v>
      </c>
      <c r="E7730" s="211" t="s">
        <v>7110</v>
      </c>
      <c r="F7730" s="211" t="s">
        <v>7215</v>
      </c>
    </row>
    <row r="7731" spans="1:6">
      <c r="A7731" s="211" t="s">
        <v>3179</v>
      </c>
      <c r="B7731" s="211">
        <v>5834</v>
      </c>
      <c r="C7731" s="211">
        <v>943</v>
      </c>
      <c r="D7731" s="211" t="s">
        <v>1255</v>
      </c>
      <c r="E7731" s="211" t="s">
        <v>3180</v>
      </c>
      <c r="F7731" s="211" t="s">
        <v>7356</v>
      </c>
    </row>
    <row r="7732" spans="1:6">
      <c r="A7732" s="211" t="s">
        <v>3181</v>
      </c>
      <c r="B7732" s="211">
        <v>1641</v>
      </c>
      <c r="C7732" s="211">
        <v>1079</v>
      </c>
      <c r="D7732" s="211" t="s">
        <v>1255</v>
      </c>
      <c r="E7732" s="211" t="s">
        <v>10385</v>
      </c>
      <c r="F7732" s="211" t="s">
        <v>7240</v>
      </c>
    </row>
    <row r="7733" spans="1:6">
      <c r="A7733" s="211" t="s">
        <v>3182</v>
      </c>
      <c r="B7733" s="211">
        <v>2978</v>
      </c>
      <c r="C7733" s="211">
        <v>1088</v>
      </c>
      <c r="D7733" s="211" t="s">
        <v>1255</v>
      </c>
      <c r="E7733" s="211" t="s">
        <v>10385</v>
      </c>
      <c r="F7733" s="211" t="s">
        <v>7320</v>
      </c>
    </row>
    <row r="7734" spans="1:6">
      <c r="A7734" s="211" t="s">
        <v>5287</v>
      </c>
      <c r="B7734" s="211">
        <v>6899</v>
      </c>
      <c r="C7734" s="211">
        <v>717</v>
      </c>
      <c r="D7734" s="211" t="s">
        <v>1117</v>
      </c>
      <c r="E7734" s="211" t="s">
        <v>10385</v>
      </c>
      <c r="F7734" s="211" t="s">
        <v>7536</v>
      </c>
    </row>
    <row r="7735" spans="1:6">
      <c r="A7735" s="211" t="s">
        <v>6338</v>
      </c>
      <c r="B7735" s="211">
        <v>858</v>
      </c>
      <c r="C7735" s="211">
        <v>1781</v>
      </c>
      <c r="D7735" s="211" t="s">
        <v>1255</v>
      </c>
      <c r="E7735" s="211" t="s">
        <v>10385</v>
      </c>
      <c r="F7735" s="211" t="s">
        <v>7175</v>
      </c>
    </row>
    <row r="7736" spans="1:6">
      <c r="A7736" s="211" t="s">
        <v>6339</v>
      </c>
      <c r="B7736" s="211">
        <v>857</v>
      </c>
      <c r="C7736" s="211">
        <v>2162</v>
      </c>
      <c r="D7736" s="211" t="s">
        <v>1255</v>
      </c>
      <c r="E7736" s="211" t="s">
        <v>10385</v>
      </c>
      <c r="F7736" s="211" t="s">
        <v>7175</v>
      </c>
    </row>
    <row r="7737" spans="1:6">
      <c r="A7737" s="211" t="s">
        <v>10241</v>
      </c>
      <c r="B7737" s="211">
        <v>8555</v>
      </c>
      <c r="C7737" s="211">
        <v>1027</v>
      </c>
      <c r="D7737" s="211" t="s">
        <v>1255</v>
      </c>
      <c r="E7737" s="211" t="s">
        <v>11067</v>
      </c>
      <c r="F7737" s="211" t="s">
        <v>7258</v>
      </c>
    </row>
    <row r="7738" spans="1:6">
      <c r="A7738" s="211" t="s">
        <v>8824</v>
      </c>
      <c r="B7738" s="211">
        <v>295</v>
      </c>
      <c r="C7738" s="211" t="s">
        <v>10385</v>
      </c>
      <c r="D7738" s="211" t="s">
        <v>1255</v>
      </c>
      <c r="E7738" s="211" t="s">
        <v>10385</v>
      </c>
      <c r="F7738" s="211" t="s">
        <v>7223</v>
      </c>
    </row>
    <row r="7739" spans="1:6">
      <c r="A7739" s="211" t="s">
        <v>6340</v>
      </c>
      <c r="B7739" s="211">
        <v>3140</v>
      </c>
      <c r="C7739" s="211">
        <v>1276</v>
      </c>
      <c r="D7739" s="211" t="s">
        <v>1255</v>
      </c>
      <c r="E7739" s="211" t="s">
        <v>10385</v>
      </c>
      <c r="F7739" s="211" t="s">
        <v>7202</v>
      </c>
    </row>
    <row r="7740" spans="1:6">
      <c r="A7740" s="211" t="s">
        <v>8825</v>
      </c>
      <c r="B7740" s="211">
        <v>351</v>
      </c>
      <c r="C7740" s="211" t="s">
        <v>10385</v>
      </c>
      <c r="D7740" s="211" t="s">
        <v>1255</v>
      </c>
      <c r="E7740" s="211" t="s">
        <v>10385</v>
      </c>
      <c r="F7740" s="211" t="s">
        <v>7219</v>
      </c>
    </row>
    <row r="7741" spans="1:6">
      <c r="A7741" s="211" t="s">
        <v>6341</v>
      </c>
      <c r="B7741" s="211">
        <v>5056</v>
      </c>
      <c r="C7741" s="211">
        <v>1291</v>
      </c>
      <c r="D7741" s="211" t="s">
        <v>1255</v>
      </c>
      <c r="E7741" s="211" t="s">
        <v>10385</v>
      </c>
      <c r="F7741" s="211" t="s">
        <v>7337</v>
      </c>
    </row>
    <row r="7742" spans="1:6">
      <c r="A7742" s="211" t="s">
        <v>6342</v>
      </c>
      <c r="B7742" s="211">
        <v>5023</v>
      </c>
      <c r="C7742" s="211">
        <v>1024</v>
      </c>
      <c r="D7742" s="211" t="s">
        <v>1255</v>
      </c>
      <c r="E7742" s="211" t="s">
        <v>10385</v>
      </c>
      <c r="F7742" s="211" t="s">
        <v>7205</v>
      </c>
    </row>
    <row r="7743" spans="1:6">
      <c r="A7743" s="211" t="s">
        <v>6343</v>
      </c>
      <c r="B7743" s="211">
        <v>3428</v>
      </c>
      <c r="C7743" s="211">
        <v>852</v>
      </c>
      <c r="D7743" s="211" t="s">
        <v>1255</v>
      </c>
      <c r="E7743" s="211" t="s">
        <v>10385</v>
      </c>
      <c r="F7743" s="211" t="s">
        <v>7629</v>
      </c>
    </row>
    <row r="7744" spans="1:6">
      <c r="A7744" s="211" t="s">
        <v>6344</v>
      </c>
      <c r="B7744" s="211">
        <v>1766</v>
      </c>
      <c r="C7744" s="211">
        <v>1436</v>
      </c>
      <c r="D7744" s="211" t="s">
        <v>1255</v>
      </c>
      <c r="E7744" s="211" t="s">
        <v>10385</v>
      </c>
      <c r="F7744" s="211" t="s">
        <v>7380</v>
      </c>
    </row>
    <row r="7745" spans="1:6">
      <c r="A7745" s="211" t="s">
        <v>6345</v>
      </c>
      <c r="B7745" s="211">
        <v>6669</v>
      </c>
      <c r="C7745" s="211">
        <v>249</v>
      </c>
      <c r="D7745" s="211" t="s">
        <v>1117</v>
      </c>
      <c r="E7745" s="211" t="s">
        <v>7111</v>
      </c>
      <c r="F7745" s="211" t="s">
        <v>7285</v>
      </c>
    </row>
    <row r="7746" spans="1:6">
      <c r="A7746" s="211" t="s">
        <v>6346</v>
      </c>
      <c r="B7746" s="211">
        <v>2284</v>
      </c>
      <c r="C7746" s="211">
        <v>1852</v>
      </c>
      <c r="D7746" s="211" t="s">
        <v>1255</v>
      </c>
      <c r="E7746" s="211" t="s">
        <v>10385</v>
      </c>
      <c r="F7746" s="211" t="s">
        <v>7377</v>
      </c>
    </row>
    <row r="7747" spans="1:6">
      <c r="A7747" s="211" t="s">
        <v>6347</v>
      </c>
      <c r="B7747" s="211">
        <v>7308</v>
      </c>
      <c r="C7747" s="211">
        <v>904</v>
      </c>
      <c r="D7747" s="211" t="s">
        <v>1255</v>
      </c>
      <c r="E7747" s="211" t="s">
        <v>6348</v>
      </c>
      <c r="F7747" s="211" t="s">
        <v>7490</v>
      </c>
    </row>
    <row r="7748" spans="1:6">
      <c r="A7748" s="211" t="s">
        <v>8826</v>
      </c>
      <c r="B7748" s="211">
        <v>4409</v>
      </c>
      <c r="C7748" s="211">
        <v>2001</v>
      </c>
      <c r="D7748" s="211" t="s">
        <v>1255</v>
      </c>
      <c r="E7748" s="211" t="s">
        <v>10385</v>
      </c>
      <c r="F7748" s="211" t="s">
        <v>7384</v>
      </c>
    </row>
    <row r="7749" spans="1:6">
      <c r="A7749" s="211" t="s">
        <v>6349</v>
      </c>
      <c r="B7749" s="211">
        <v>5075</v>
      </c>
      <c r="C7749" s="211">
        <v>884</v>
      </c>
      <c r="D7749" s="211" t="s">
        <v>1255</v>
      </c>
      <c r="E7749" s="211" t="s">
        <v>10385</v>
      </c>
      <c r="F7749" s="211" t="s">
        <v>7349</v>
      </c>
    </row>
    <row r="7750" spans="1:6">
      <c r="A7750" s="211" t="s">
        <v>6350</v>
      </c>
      <c r="B7750" s="211">
        <v>7138</v>
      </c>
      <c r="C7750" s="211">
        <v>944</v>
      </c>
      <c r="D7750" s="211" t="s">
        <v>1255</v>
      </c>
      <c r="E7750" s="211" t="s">
        <v>10385</v>
      </c>
      <c r="F7750" s="211" t="s">
        <v>7217</v>
      </c>
    </row>
    <row r="7751" spans="1:6">
      <c r="A7751" s="211" t="s">
        <v>6351</v>
      </c>
      <c r="B7751" s="211">
        <v>4034</v>
      </c>
      <c r="C7751" s="211">
        <v>1277</v>
      </c>
      <c r="D7751" s="211" t="s">
        <v>1255</v>
      </c>
      <c r="E7751" s="211" t="s">
        <v>10385</v>
      </c>
      <c r="F7751" s="211" t="s">
        <v>7224</v>
      </c>
    </row>
    <row r="7752" spans="1:6">
      <c r="A7752" s="211" t="s">
        <v>6352</v>
      </c>
      <c r="B7752" s="211">
        <v>1255</v>
      </c>
      <c r="C7752" s="211">
        <v>1595</v>
      </c>
      <c r="D7752" s="211" t="s">
        <v>1255</v>
      </c>
      <c r="E7752" s="211" t="s">
        <v>10385</v>
      </c>
      <c r="F7752" s="211" t="s">
        <v>7231</v>
      </c>
    </row>
    <row r="7753" spans="1:6">
      <c r="A7753" s="211" t="s">
        <v>6353</v>
      </c>
      <c r="B7753" s="211">
        <v>7530</v>
      </c>
      <c r="C7753" s="211">
        <v>1213</v>
      </c>
      <c r="D7753" s="211" t="s">
        <v>1117</v>
      </c>
      <c r="E7753" s="211" t="s">
        <v>10385</v>
      </c>
      <c r="F7753" s="211" t="s">
        <v>7224</v>
      </c>
    </row>
    <row r="7754" spans="1:6">
      <c r="A7754" s="211" t="s">
        <v>6354</v>
      </c>
      <c r="B7754" s="211">
        <v>1579</v>
      </c>
      <c r="C7754" s="211">
        <v>807</v>
      </c>
      <c r="D7754" s="211" t="s">
        <v>1117</v>
      </c>
      <c r="E7754" s="211" t="s">
        <v>10385</v>
      </c>
      <c r="F7754" s="211" t="s">
        <v>7261</v>
      </c>
    </row>
    <row r="7755" spans="1:6">
      <c r="A7755" s="211" t="s">
        <v>11068</v>
      </c>
      <c r="B7755" s="211">
        <v>8757</v>
      </c>
      <c r="C7755" s="211">
        <v>740</v>
      </c>
      <c r="D7755" s="211" t="s">
        <v>1117</v>
      </c>
      <c r="E7755" s="211" t="s">
        <v>11069</v>
      </c>
      <c r="F7755" s="211" t="s">
        <v>7208</v>
      </c>
    </row>
    <row r="7756" spans="1:6">
      <c r="A7756" s="211" t="s">
        <v>6355</v>
      </c>
      <c r="B7756" s="211">
        <v>5393</v>
      </c>
      <c r="C7756" s="211">
        <v>837</v>
      </c>
      <c r="D7756" s="211" t="s">
        <v>1255</v>
      </c>
      <c r="E7756" s="211" t="s">
        <v>10385</v>
      </c>
      <c r="F7756" s="211" t="s">
        <v>7524</v>
      </c>
    </row>
    <row r="7757" spans="1:6">
      <c r="A7757" s="211" t="s">
        <v>6356</v>
      </c>
      <c r="B7757" s="211">
        <v>3528</v>
      </c>
      <c r="C7757" s="211">
        <v>815</v>
      </c>
      <c r="D7757" s="211" t="s">
        <v>1117</v>
      </c>
      <c r="E7757" s="211" t="s">
        <v>10385</v>
      </c>
      <c r="F7757" s="211" t="s">
        <v>7171</v>
      </c>
    </row>
    <row r="7758" spans="1:6">
      <c r="A7758" s="211" t="s">
        <v>6357</v>
      </c>
      <c r="B7758" s="211">
        <v>2403</v>
      </c>
      <c r="C7758" s="211">
        <v>1449</v>
      </c>
      <c r="D7758" s="211" t="s">
        <v>1255</v>
      </c>
      <c r="E7758" s="211" t="s">
        <v>6358</v>
      </c>
      <c r="F7758" s="211" t="s">
        <v>7272</v>
      </c>
    </row>
    <row r="7759" spans="1:6">
      <c r="A7759" s="211" t="s">
        <v>6359</v>
      </c>
      <c r="B7759" s="211">
        <v>3394</v>
      </c>
      <c r="C7759" s="211">
        <v>1504</v>
      </c>
      <c r="D7759" s="211" t="s">
        <v>1117</v>
      </c>
      <c r="E7759" s="211" t="s">
        <v>10385</v>
      </c>
      <c r="F7759" s="211" t="s">
        <v>7173</v>
      </c>
    </row>
    <row r="7760" spans="1:6">
      <c r="A7760" s="211" t="s">
        <v>6360</v>
      </c>
      <c r="B7760" s="211">
        <v>6331</v>
      </c>
      <c r="C7760" s="211">
        <v>549</v>
      </c>
      <c r="D7760" s="211" t="s">
        <v>1117</v>
      </c>
      <c r="E7760" s="211" t="s">
        <v>10385</v>
      </c>
      <c r="F7760" s="211" t="s">
        <v>7571</v>
      </c>
    </row>
    <row r="7761" spans="1:6">
      <c r="A7761" s="211" t="s">
        <v>6361</v>
      </c>
      <c r="B7761" s="211">
        <v>4945</v>
      </c>
      <c r="C7761" s="211">
        <v>1000</v>
      </c>
      <c r="D7761" s="211" t="s">
        <v>1255</v>
      </c>
      <c r="E7761" s="211" t="s">
        <v>10385</v>
      </c>
      <c r="F7761" s="211" t="s">
        <v>7377</v>
      </c>
    </row>
    <row r="7762" spans="1:6">
      <c r="A7762" s="211" t="s">
        <v>6362</v>
      </c>
      <c r="B7762" s="211">
        <v>5719</v>
      </c>
      <c r="C7762" s="211">
        <v>896</v>
      </c>
      <c r="D7762" s="211" t="s">
        <v>1117</v>
      </c>
      <c r="E7762" s="211" t="s">
        <v>10385</v>
      </c>
      <c r="F7762" s="211" t="s">
        <v>7275</v>
      </c>
    </row>
    <row r="7763" spans="1:6">
      <c r="A7763" s="211" t="s">
        <v>11070</v>
      </c>
      <c r="B7763" s="211">
        <v>8838</v>
      </c>
      <c r="C7763" s="211">
        <v>557</v>
      </c>
      <c r="D7763" s="211" t="s">
        <v>1117</v>
      </c>
      <c r="E7763" s="211" t="s">
        <v>11071</v>
      </c>
      <c r="F7763" s="211" t="s">
        <v>7285</v>
      </c>
    </row>
    <row r="7764" spans="1:6">
      <c r="A7764" s="211" t="s">
        <v>7112</v>
      </c>
      <c r="B7764" s="211">
        <v>7699</v>
      </c>
      <c r="C7764" s="211">
        <v>332</v>
      </c>
      <c r="D7764" s="211" t="s">
        <v>1255</v>
      </c>
      <c r="E7764" s="211" t="s">
        <v>10242</v>
      </c>
      <c r="F7764" s="211" t="s">
        <v>7571</v>
      </c>
    </row>
    <row r="7765" spans="1:6">
      <c r="A7765" s="211" t="s">
        <v>10243</v>
      </c>
      <c r="B7765" s="211">
        <v>8512</v>
      </c>
      <c r="C7765" s="211">
        <v>994</v>
      </c>
      <c r="D7765" s="211" t="s">
        <v>1255</v>
      </c>
      <c r="E7765" s="211" t="s">
        <v>10244</v>
      </c>
      <c r="F7765" s="211" t="s">
        <v>7165</v>
      </c>
    </row>
    <row r="7766" spans="1:6">
      <c r="A7766" s="211" t="s">
        <v>8827</v>
      </c>
      <c r="B7766" s="211">
        <v>335</v>
      </c>
      <c r="C7766" s="211" t="s">
        <v>10385</v>
      </c>
      <c r="D7766" s="211" t="s">
        <v>1255</v>
      </c>
      <c r="E7766" s="211" t="s">
        <v>10385</v>
      </c>
      <c r="F7766" s="211" t="s">
        <v>7210</v>
      </c>
    </row>
    <row r="7767" spans="1:6">
      <c r="A7767" s="211" t="s">
        <v>7113</v>
      </c>
      <c r="B7767" s="211">
        <v>7644</v>
      </c>
      <c r="C7767" s="211">
        <v>1376</v>
      </c>
      <c r="D7767" s="211" t="s">
        <v>1255</v>
      </c>
      <c r="E7767" s="211" t="s">
        <v>7114</v>
      </c>
      <c r="F7767" s="211" t="s">
        <v>7243</v>
      </c>
    </row>
    <row r="7768" spans="1:6">
      <c r="A7768" s="211" t="s">
        <v>6363</v>
      </c>
      <c r="B7768" s="211">
        <v>2417</v>
      </c>
      <c r="C7768" s="211">
        <v>1376</v>
      </c>
      <c r="D7768" s="211" t="s">
        <v>1117</v>
      </c>
      <c r="E7768" s="211" t="s">
        <v>10385</v>
      </c>
      <c r="F7768" s="211" t="s">
        <v>7167</v>
      </c>
    </row>
    <row r="7769" spans="1:6">
      <c r="A7769" s="211" t="s">
        <v>6364</v>
      </c>
      <c r="B7769" s="211">
        <v>1740</v>
      </c>
      <c r="C7769" s="211">
        <v>1412</v>
      </c>
      <c r="D7769" s="211" t="s">
        <v>1255</v>
      </c>
      <c r="E7769" s="211" t="s">
        <v>10385</v>
      </c>
      <c r="F7769" s="211" t="s">
        <v>7283</v>
      </c>
    </row>
    <row r="7770" spans="1:6">
      <c r="A7770" s="211" t="s">
        <v>6365</v>
      </c>
      <c r="B7770" s="211">
        <v>6321</v>
      </c>
      <c r="C7770" s="211">
        <v>615</v>
      </c>
      <c r="D7770" s="211" t="s">
        <v>1117</v>
      </c>
      <c r="E7770" s="211" t="s">
        <v>10385</v>
      </c>
      <c r="F7770" s="211" t="s">
        <v>7257</v>
      </c>
    </row>
    <row r="7771" spans="1:6">
      <c r="A7771" s="211" t="s">
        <v>6366</v>
      </c>
      <c r="B7771" s="211">
        <v>3081</v>
      </c>
      <c r="C7771" s="211">
        <v>831</v>
      </c>
      <c r="D7771" s="211" t="s">
        <v>1255</v>
      </c>
      <c r="E7771" s="211" t="s">
        <v>10385</v>
      </c>
      <c r="F7771" s="211" t="s">
        <v>7743</v>
      </c>
    </row>
    <row r="7772" spans="1:6">
      <c r="A7772" s="211" t="s">
        <v>6367</v>
      </c>
      <c r="B7772" s="211">
        <v>4191</v>
      </c>
      <c r="C7772" s="211">
        <v>810</v>
      </c>
      <c r="D7772" s="211" t="s">
        <v>1255</v>
      </c>
      <c r="E7772" s="211" t="s">
        <v>10385</v>
      </c>
      <c r="F7772" s="211" t="s">
        <v>7402</v>
      </c>
    </row>
    <row r="7773" spans="1:6">
      <c r="A7773" s="211" t="s">
        <v>6368</v>
      </c>
      <c r="B7773" s="211">
        <v>6142</v>
      </c>
      <c r="C7773" s="211">
        <v>737</v>
      </c>
      <c r="D7773" s="211" t="s">
        <v>1255</v>
      </c>
      <c r="E7773" s="211" t="s">
        <v>10385</v>
      </c>
      <c r="F7773" s="211" t="s">
        <v>7377</v>
      </c>
    </row>
    <row r="7774" spans="1:6">
      <c r="A7774" s="211" t="s">
        <v>6369</v>
      </c>
      <c r="B7774" s="211">
        <v>7201</v>
      </c>
      <c r="C7774" s="211">
        <v>1283</v>
      </c>
      <c r="D7774" s="211" t="s">
        <v>1117</v>
      </c>
      <c r="E7774" s="211" t="s">
        <v>10245</v>
      </c>
      <c r="F7774" s="211" t="s">
        <v>7383</v>
      </c>
    </row>
    <row r="7775" spans="1:6">
      <c r="A7775" s="211" t="s">
        <v>6370</v>
      </c>
      <c r="B7775" s="211">
        <v>5363</v>
      </c>
      <c r="C7775" s="211">
        <v>1138</v>
      </c>
      <c r="D7775" s="211" t="s">
        <v>1255</v>
      </c>
      <c r="E7775" s="211" t="s">
        <v>10385</v>
      </c>
      <c r="F7775" s="211" t="s">
        <v>7224</v>
      </c>
    </row>
    <row r="7776" spans="1:6">
      <c r="A7776" s="211" t="s">
        <v>6371</v>
      </c>
      <c r="B7776" s="211">
        <v>560</v>
      </c>
      <c r="C7776" s="211">
        <v>1619</v>
      </c>
      <c r="D7776" s="211" t="s">
        <v>1255</v>
      </c>
      <c r="E7776" s="211" t="s">
        <v>10385</v>
      </c>
      <c r="F7776" s="211" t="s">
        <v>7262</v>
      </c>
    </row>
    <row r="7777" spans="1:6">
      <c r="A7777" s="211" t="s">
        <v>10246</v>
      </c>
      <c r="B7777" s="211">
        <v>8219</v>
      </c>
      <c r="C7777" s="211">
        <v>1767</v>
      </c>
      <c r="D7777" s="211" t="s">
        <v>1255</v>
      </c>
      <c r="E7777" s="211" t="s">
        <v>10247</v>
      </c>
      <c r="F7777" s="211" t="s">
        <v>7446</v>
      </c>
    </row>
    <row r="7778" spans="1:6">
      <c r="A7778" s="211" t="s">
        <v>6372</v>
      </c>
      <c r="B7778" s="211">
        <v>6598</v>
      </c>
      <c r="C7778" s="211">
        <v>1350</v>
      </c>
      <c r="D7778" s="211" t="s">
        <v>1255</v>
      </c>
      <c r="E7778" s="211" t="s">
        <v>6373</v>
      </c>
      <c r="F7778" s="211" t="s">
        <v>7446</v>
      </c>
    </row>
    <row r="7779" spans="1:6">
      <c r="A7779" s="211" t="s">
        <v>6374</v>
      </c>
      <c r="B7779" s="211">
        <v>5222</v>
      </c>
      <c r="C7779" s="211">
        <v>1016</v>
      </c>
      <c r="D7779" s="211" t="s">
        <v>1255</v>
      </c>
      <c r="E7779" s="211" t="s">
        <v>10385</v>
      </c>
      <c r="F7779" s="211" t="s">
        <v>7377</v>
      </c>
    </row>
    <row r="7780" spans="1:6">
      <c r="A7780" s="211" t="s">
        <v>8828</v>
      </c>
      <c r="B7780" s="211">
        <v>5368</v>
      </c>
      <c r="C7780" s="211" t="s">
        <v>10385</v>
      </c>
      <c r="D7780" s="211" t="s">
        <v>1255</v>
      </c>
      <c r="E7780" s="211" t="s">
        <v>10385</v>
      </c>
      <c r="F7780" s="211" t="s">
        <v>7224</v>
      </c>
    </row>
    <row r="7781" spans="1:6">
      <c r="A7781" s="211" t="s">
        <v>8829</v>
      </c>
      <c r="B7781" s="211">
        <v>3133</v>
      </c>
      <c r="C7781" s="211" t="s">
        <v>10385</v>
      </c>
      <c r="D7781" s="211" t="s">
        <v>1255</v>
      </c>
      <c r="E7781" s="211" t="s">
        <v>10385</v>
      </c>
      <c r="F7781" s="211" t="s">
        <v>8673</v>
      </c>
    </row>
    <row r="7782" spans="1:6">
      <c r="A7782" s="211" t="s">
        <v>6375</v>
      </c>
      <c r="B7782" s="211">
        <v>7160</v>
      </c>
      <c r="C7782" s="211">
        <v>1735</v>
      </c>
      <c r="D7782" s="211" t="s">
        <v>1255</v>
      </c>
      <c r="E7782" s="211" t="s">
        <v>7115</v>
      </c>
      <c r="F7782" s="211" t="s">
        <v>7275</v>
      </c>
    </row>
    <row r="7783" spans="1:6">
      <c r="A7783" s="211" t="s">
        <v>6376</v>
      </c>
      <c r="B7783" s="211">
        <v>1314</v>
      </c>
      <c r="C7783" s="211">
        <v>1274</v>
      </c>
      <c r="D7783" s="211" t="s">
        <v>1255</v>
      </c>
      <c r="E7783" s="211" t="s">
        <v>10385</v>
      </c>
      <c r="F7783" s="211" t="s">
        <v>7627</v>
      </c>
    </row>
    <row r="7784" spans="1:6">
      <c r="A7784" s="211" t="s">
        <v>8830</v>
      </c>
      <c r="B7784" s="211">
        <v>7797</v>
      </c>
      <c r="C7784" s="211">
        <v>1574</v>
      </c>
      <c r="D7784" s="211" t="s">
        <v>1117</v>
      </c>
      <c r="E7784" s="211" t="s">
        <v>10248</v>
      </c>
      <c r="F7784" s="211" t="s">
        <v>7205</v>
      </c>
    </row>
    <row r="7785" spans="1:6">
      <c r="A7785" s="211" t="s">
        <v>6377</v>
      </c>
      <c r="B7785" s="211">
        <v>5286</v>
      </c>
      <c r="C7785" s="211">
        <v>622</v>
      </c>
      <c r="D7785" s="211" t="s">
        <v>1117</v>
      </c>
      <c r="E7785" s="211" t="s">
        <v>10385</v>
      </c>
      <c r="F7785" s="211" t="s">
        <v>7189</v>
      </c>
    </row>
    <row r="7786" spans="1:6">
      <c r="A7786" s="211" t="s">
        <v>6378</v>
      </c>
      <c r="B7786" s="211">
        <v>810</v>
      </c>
      <c r="C7786" s="211">
        <v>2289</v>
      </c>
      <c r="D7786" s="211" t="s">
        <v>1255</v>
      </c>
      <c r="E7786" s="211" t="s">
        <v>10385</v>
      </c>
      <c r="F7786" s="211" t="s">
        <v>7275</v>
      </c>
    </row>
    <row r="7787" spans="1:6">
      <c r="A7787" s="211" t="s">
        <v>8831</v>
      </c>
      <c r="B7787" s="211">
        <v>962</v>
      </c>
      <c r="C7787" s="211" t="s">
        <v>10385</v>
      </c>
      <c r="D7787" s="211" t="s">
        <v>1255</v>
      </c>
      <c r="E7787" s="211" t="s">
        <v>10385</v>
      </c>
      <c r="F7787" s="211" t="s">
        <v>7262</v>
      </c>
    </row>
    <row r="7788" spans="1:6">
      <c r="A7788" s="211" t="s">
        <v>6379</v>
      </c>
      <c r="B7788" s="211">
        <v>6294</v>
      </c>
      <c r="C7788" s="211">
        <v>1625</v>
      </c>
      <c r="D7788" s="211" t="s">
        <v>1255</v>
      </c>
      <c r="E7788" s="211" t="s">
        <v>6380</v>
      </c>
      <c r="F7788" s="211" t="s">
        <v>7162</v>
      </c>
    </row>
    <row r="7789" spans="1:6">
      <c r="A7789" s="211" t="s">
        <v>6381</v>
      </c>
      <c r="B7789" s="211">
        <v>6083</v>
      </c>
      <c r="C7789" s="211">
        <v>2537</v>
      </c>
      <c r="D7789" s="211" t="s">
        <v>1255</v>
      </c>
      <c r="E7789" s="211" t="s">
        <v>7116</v>
      </c>
      <c r="F7789" s="211" t="s">
        <v>7471</v>
      </c>
    </row>
    <row r="7790" spans="1:6">
      <c r="A7790" s="211" t="s">
        <v>6382</v>
      </c>
      <c r="B7790" s="211">
        <v>7378</v>
      </c>
      <c r="C7790" s="211">
        <v>911</v>
      </c>
      <c r="D7790" s="211" t="s">
        <v>1117</v>
      </c>
      <c r="E7790" s="211" t="s">
        <v>10249</v>
      </c>
      <c r="F7790" s="211" t="s">
        <v>7587</v>
      </c>
    </row>
    <row r="7791" spans="1:6">
      <c r="A7791" s="211" t="s">
        <v>11072</v>
      </c>
      <c r="B7791" s="211">
        <v>8600</v>
      </c>
      <c r="C7791" s="211">
        <v>1570</v>
      </c>
      <c r="D7791" s="211" t="s">
        <v>1117</v>
      </c>
      <c r="E7791" s="211" t="s">
        <v>11073</v>
      </c>
      <c r="F7791" s="211" t="s">
        <v>7162</v>
      </c>
    </row>
    <row r="7792" spans="1:6">
      <c r="A7792" s="211" t="s">
        <v>6383</v>
      </c>
      <c r="B7792" s="211">
        <v>1604</v>
      </c>
      <c r="C7792" s="211">
        <v>984</v>
      </c>
      <c r="D7792" s="211" t="s">
        <v>1255</v>
      </c>
      <c r="E7792" s="211" t="s">
        <v>10385</v>
      </c>
      <c r="F7792" s="211" t="s">
        <v>7257</v>
      </c>
    </row>
    <row r="7793" spans="1:6">
      <c r="A7793" s="211" t="s">
        <v>8832</v>
      </c>
      <c r="B7793" s="211">
        <v>318</v>
      </c>
      <c r="C7793" s="211" t="s">
        <v>10385</v>
      </c>
      <c r="D7793" s="211" t="s">
        <v>1255</v>
      </c>
      <c r="E7793" s="211" t="s">
        <v>10385</v>
      </c>
      <c r="F7793" s="211" t="s">
        <v>7272</v>
      </c>
    </row>
    <row r="7794" spans="1:6">
      <c r="A7794" s="211" t="s">
        <v>6384</v>
      </c>
      <c r="B7794" s="211">
        <v>4822</v>
      </c>
      <c r="C7794" s="211">
        <v>1136</v>
      </c>
      <c r="D7794" s="211" t="s">
        <v>1255</v>
      </c>
      <c r="E7794" s="211" t="s">
        <v>10385</v>
      </c>
      <c r="F7794" s="211" t="s">
        <v>7292</v>
      </c>
    </row>
    <row r="7795" spans="1:6">
      <c r="A7795" s="211" t="s">
        <v>6385</v>
      </c>
      <c r="B7795" s="211">
        <v>7478</v>
      </c>
      <c r="C7795" s="211">
        <v>1619</v>
      </c>
      <c r="D7795" s="211" t="s">
        <v>1255</v>
      </c>
      <c r="E7795" s="211" t="s">
        <v>7117</v>
      </c>
      <c r="F7795" s="211" t="s">
        <v>7262</v>
      </c>
    </row>
    <row r="7796" spans="1:6">
      <c r="A7796" s="211" t="s">
        <v>6386</v>
      </c>
      <c r="B7796" s="211">
        <v>1592</v>
      </c>
      <c r="C7796" s="211">
        <v>915</v>
      </c>
      <c r="D7796" s="211" t="s">
        <v>1255</v>
      </c>
      <c r="E7796" s="211" t="s">
        <v>10385</v>
      </c>
      <c r="F7796" s="211" t="s">
        <v>7356</v>
      </c>
    </row>
    <row r="7797" spans="1:6">
      <c r="A7797" s="211" t="s">
        <v>6387</v>
      </c>
      <c r="B7797" s="211">
        <v>5804</v>
      </c>
      <c r="C7797" s="211">
        <v>1234</v>
      </c>
      <c r="D7797" s="211" t="s">
        <v>1255</v>
      </c>
      <c r="E7797" s="211" t="s">
        <v>10385</v>
      </c>
      <c r="F7797" s="211" t="s">
        <v>7265</v>
      </c>
    </row>
    <row r="7798" spans="1:6">
      <c r="A7798" s="211" t="s">
        <v>10250</v>
      </c>
      <c r="B7798" s="211">
        <v>7931</v>
      </c>
      <c r="C7798" s="211">
        <v>1379</v>
      </c>
      <c r="D7798" s="211" t="s">
        <v>1255</v>
      </c>
      <c r="E7798" s="211" t="s">
        <v>10251</v>
      </c>
      <c r="F7798" s="211" t="s">
        <v>7232</v>
      </c>
    </row>
    <row r="7799" spans="1:6">
      <c r="A7799" s="211" t="s">
        <v>10252</v>
      </c>
      <c r="B7799" s="211">
        <v>8263</v>
      </c>
      <c r="C7799" s="211">
        <v>1024</v>
      </c>
      <c r="D7799" s="211" t="s">
        <v>1255</v>
      </c>
      <c r="E7799" s="211" t="s">
        <v>10253</v>
      </c>
      <c r="F7799" s="211" t="s">
        <v>7283</v>
      </c>
    </row>
    <row r="7800" spans="1:6">
      <c r="A7800" s="211" t="s">
        <v>6388</v>
      </c>
      <c r="B7800" s="211">
        <v>7082</v>
      </c>
      <c r="C7800" s="211">
        <v>1157</v>
      </c>
      <c r="D7800" s="211" t="s">
        <v>1255</v>
      </c>
      <c r="E7800" s="211" t="s">
        <v>10254</v>
      </c>
      <c r="F7800" s="211" t="s">
        <v>7415</v>
      </c>
    </row>
    <row r="7801" spans="1:6">
      <c r="A7801" s="211" t="s">
        <v>6389</v>
      </c>
      <c r="B7801" s="211">
        <v>6612</v>
      </c>
      <c r="C7801" s="211">
        <v>999</v>
      </c>
      <c r="D7801" s="211" t="s">
        <v>1255</v>
      </c>
      <c r="E7801" s="211" t="s">
        <v>10385</v>
      </c>
      <c r="F7801" s="211" t="s">
        <v>7373</v>
      </c>
    </row>
    <row r="7802" spans="1:6">
      <c r="A7802" s="211" t="s">
        <v>7118</v>
      </c>
      <c r="B7802" s="211">
        <v>7718</v>
      </c>
      <c r="C7802" s="211">
        <v>1161</v>
      </c>
      <c r="D7802" s="211" t="s">
        <v>1255</v>
      </c>
      <c r="E7802" s="211" t="s">
        <v>7119</v>
      </c>
      <c r="F7802" s="211" t="s">
        <v>7431</v>
      </c>
    </row>
    <row r="7803" spans="1:6">
      <c r="A7803" s="211" t="s">
        <v>8833</v>
      </c>
      <c r="B7803" s="211">
        <v>6039</v>
      </c>
      <c r="C7803" s="211" t="s">
        <v>10385</v>
      </c>
      <c r="D7803" s="211" t="s">
        <v>1255</v>
      </c>
      <c r="E7803" s="211" t="s">
        <v>10385</v>
      </c>
      <c r="F7803" s="211" t="s">
        <v>7192</v>
      </c>
    </row>
    <row r="7804" spans="1:6">
      <c r="A7804" s="211" t="s">
        <v>11074</v>
      </c>
      <c r="B7804" s="211">
        <v>8756</v>
      </c>
      <c r="C7804" s="211">
        <v>410</v>
      </c>
      <c r="D7804" s="211" t="s">
        <v>1117</v>
      </c>
      <c r="E7804" s="211" t="s">
        <v>11075</v>
      </c>
      <c r="F7804" s="211" t="s">
        <v>7208</v>
      </c>
    </row>
    <row r="7805" spans="1:6">
      <c r="A7805" s="211" t="s">
        <v>6390</v>
      </c>
      <c r="B7805" s="211">
        <v>4685</v>
      </c>
      <c r="C7805" s="211">
        <v>834</v>
      </c>
      <c r="D7805" s="211" t="s">
        <v>1117</v>
      </c>
      <c r="E7805" s="211" t="s">
        <v>10385</v>
      </c>
      <c r="F7805" s="211" t="s">
        <v>7205</v>
      </c>
    </row>
    <row r="7806" spans="1:6">
      <c r="A7806" s="211" t="s">
        <v>6391</v>
      </c>
      <c r="B7806" s="211">
        <v>1798</v>
      </c>
      <c r="C7806" s="211">
        <v>1330</v>
      </c>
      <c r="D7806" s="211" t="s">
        <v>1255</v>
      </c>
      <c r="E7806" s="211" t="s">
        <v>10385</v>
      </c>
      <c r="F7806" s="211" t="s">
        <v>7292</v>
      </c>
    </row>
    <row r="7807" spans="1:6">
      <c r="A7807" s="211" t="s">
        <v>6392</v>
      </c>
      <c r="B7807" s="211">
        <v>5067</v>
      </c>
      <c r="C7807" s="211">
        <v>1012</v>
      </c>
      <c r="D7807" s="211" t="s">
        <v>1117</v>
      </c>
      <c r="E7807" s="211" t="s">
        <v>10385</v>
      </c>
      <c r="F7807" s="211" t="s">
        <v>7292</v>
      </c>
    </row>
    <row r="7808" spans="1:6">
      <c r="A7808" s="211" t="s">
        <v>8834</v>
      </c>
      <c r="B7808" s="211">
        <v>4105</v>
      </c>
      <c r="C7808" s="211">
        <v>1596</v>
      </c>
      <c r="D7808" s="211" t="s">
        <v>1255</v>
      </c>
      <c r="E7808" s="211" t="s">
        <v>10385</v>
      </c>
      <c r="F7808" s="211" t="s">
        <v>7307</v>
      </c>
    </row>
    <row r="7809" spans="1:6">
      <c r="A7809" s="211" t="s">
        <v>6393</v>
      </c>
      <c r="B7809" s="211">
        <v>3771</v>
      </c>
      <c r="C7809" s="211">
        <v>1123</v>
      </c>
      <c r="D7809" s="211" t="s">
        <v>1255</v>
      </c>
      <c r="E7809" s="211" t="s">
        <v>7120</v>
      </c>
      <c r="F7809" s="211" t="s">
        <v>7380</v>
      </c>
    </row>
    <row r="7810" spans="1:6">
      <c r="A7810" s="211" t="s">
        <v>6394</v>
      </c>
      <c r="B7810" s="211">
        <v>4736</v>
      </c>
      <c r="C7810" s="211">
        <v>1026</v>
      </c>
      <c r="D7810" s="211" t="s">
        <v>1255</v>
      </c>
      <c r="E7810" s="211" t="s">
        <v>10385</v>
      </c>
      <c r="F7810" s="211" t="s">
        <v>7341</v>
      </c>
    </row>
    <row r="7811" spans="1:6">
      <c r="A7811" s="211" t="s">
        <v>8835</v>
      </c>
      <c r="B7811" s="211">
        <v>106</v>
      </c>
      <c r="C7811" s="211" t="s">
        <v>10385</v>
      </c>
      <c r="D7811" s="211" t="s">
        <v>1255</v>
      </c>
      <c r="E7811" s="211" t="s">
        <v>10385</v>
      </c>
      <c r="F7811" s="211" t="s">
        <v>7318</v>
      </c>
    </row>
    <row r="7812" spans="1:6">
      <c r="A7812" s="211" t="s">
        <v>6395</v>
      </c>
      <c r="B7812" s="211">
        <v>4766</v>
      </c>
      <c r="C7812" s="211">
        <v>2379</v>
      </c>
      <c r="D7812" s="211" t="s">
        <v>1117</v>
      </c>
      <c r="E7812" s="211" t="s">
        <v>10385</v>
      </c>
      <c r="F7812" s="211" t="s">
        <v>7518</v>
      </c>
    </row>
    <row r="7813" spans="1:6">
      <c r="A7813" s="211" t="s">
        <v>6396</v>
      </c>
      <c r="B7813" s="211">
        <v>6394</v>
      </c>
      <c r="C7813" s="211">
        <v>2073</v>
      </c>
      <c r="D7813" s="211" t="s">
        <v>1117</v>
      </c>
      <c r="E7813" s="211" t="s">
        <v>10385</v>
      </c>
      <c r="F7813" s="211" t="s">
        <v>7518</v>
      </c>
    </row>
    <row r="7814" spans="1:6">
      <c r="A7814" s="211" t="s">
        <v>11076</v>
      </c>
      <c r="B7814" s="211">
        <v>8601</v>
      </c>
      <c r="C7814" s="211">
        <v>983</v>
      </c>
      <c r="D7814" s="211" t="s">
        <v>1255</v>
      </c>
      <c r="E7814" s="211" t="s">
        <v>11077</v>
      </c>
      <c r="F7814" s="211" t="s">
        <v>7162</v>
      </c>
    </row>
    <row r="7815" spans="1:6">
      <c r="A7815" s="211" t="s">
        <v>6397</v>
      </c>
      <c r="B7815" s="211">
        <v>5977</v>
      </c>
      <c r="C7815" s="211">
        <v>1025</v>
      </c>
      <c r="D7815" s="211" t="s">
        <v>1255</v>
      </c>
      <c r="E7815" s="211" t="s">
        <v>10385</v>
      </c>
      <c r="F7815" s="211" t="s">
        <v>7219</v>
      </c>
    </row>
    <row r="7816" spans="1:6">
      <c r="A7816" s="211" t="s">
        <v>6398</v>
      </c>
      <c r="B7816" s="211">
        <v>1778</v>
      </c>
      <c r="C7816" s="211">
        <v>1164</v>
      </c>
      <c r="D7816" s="211" t="s">
        <v>1255</v>
      </c>
      <c r="E7816" s="211" t="s">
        <v>10385</v>
      </c>
      <c r="F7816" s="211" t="s">
        <v>7510</v>
      </c>
    </row>
    <row r="7817" spans="1:6">
      <c r="A7817" s="211" t="s">
        <v>8836</v>
      </c>
      <c r="B7817" s="211">
        <v>337</v>
      </c>
      <c r="C7817" s="211" t="s">
        <v>10385</v>
      </c>
      <c r="D7817" s="211" t="s">
        <v>1255</v>
      </c>
      <c r="E7817" s="211" t="s">
        <v>10385</v>
      </c>
      <c r="F7817" s="211" t="s">
        <v>7210</v>
      </c>
    </row>
    <row r="7818" spans="1:6">
      <c r="A7818" s="211" t="s">
        <v>8837</v>
      </c>
      <c r="B7818" s="211">
        <v>2758</v>
      </c>
      <c r="C7818" s="211" t="s">
        <v>10385</v>
      </c>
      <c r="D7818" s="211" t="s">
        <v>1255</v>
      </c>
      <c r="E7818" s="211" t="s">
        <v>10385</v>
      </c>
      <c r="F7818" s="211" t="s">
        <v>7356</v>
      </c>
    </row>
    <row r="7819" spans="1:6">
      <c r="A7819" s="211" t="s">
        <v>8838</v>
      </c>
      <c r="B7819" s="211">
        <v>2986</v>
      </c>
      <c r="C7819" s="211" t="s">
        <v>10385</v>
      </c>
      <c r="D7819" s="211" t="s">
        <v>1255</v>
      </c>
      <c r="E7819" s="211" t="s">
        <v>10385</v>
      </c>
      <c r="F7819" s="211" t="s">
        <v>7307</v>
      </c>
    </row>
    <row r="7820" spans="1:6">
      <c r="A7820" s="211" t="s">
        <v>6399</v>
      </c>
      <c r="B7820" s="211">
        <v>1669</v>
      </c>
      <c r="C7820" s="211">
        <v>708</v>
      </c>
      <c r="D7820" s="211" t="s">
        <v>1255</v>
      </c>
      <c r="E7820" s="211" t="s">
        <v>10385</v>
      </c>
      <c r="F7820" s="211" t="s">
        <v>7286</v>
      </c>
    </row>
    <row r="7821" spans="1:6">
      <c r="A7821" s="211" t="s">
        <v>6400</v>
      </c>
      <c r="B7821" s="211">
        <v>5936</v>
      </c>
      <c r="C7821" s="211">
        <v>1389</v>
      </c>
      <c r="D7821" s="211" t="s">
        <v>1255</v>
      </c>
      <c r="E7821" s="211" t="s">
        <v>10385</v>
      </c>
      <c r="F7821" s="211" t="s">
        <v>7283</v>
      </c>
    </row>
    <row r="7822" spans="1:6">
      <c r="A7822" s="211" t="s">
        <v>6401</v>
      </c>
      <c r="B7822" s="211">
        <v>4511</v>
      </c>
      <c r="C7822" s="211">
        <v>779</v>
      </c>
      <c r="D7822" s="211" t="s">
        <v>1117</v>
      </c>
      <c r="E7822" s="211" t="s">
        <v>10385</v>
      </c>
      <c r="F7822" s="211" t="s">
        <v>7356</v>
      </c>
    </row>
    <row r="7823" spans="1:6">
      <c r="A7823" s="211" t="s">
        <v>8839</v>
      </c>
      <c r="B7823" s="211">
        <v>4524</v>
      </c>
      <c r="C7823" s="211" t="s">
        <v>10385</v>
      </c>
      <c r="D7823" s="211" t="s">
        <v>1117</v>
      </c>
      <c r="E7823" s="211" t="s">
        <v>10385</v>
      </c>
      <c r="F7823" s="211" t="s">
        <v>7257</v>
      </c>
    </row>
    <row r="7824" spans="1:6">
      <c r="A7824" s="211" t="s">
        <v>6402</v>
      </c>
      <c r="B7824" s="211">
        <v>4464</v>
      </c>
      <c r="C7824" s="211">
        <v>475</v>
      </c>
      <c r="D7824" s="211" t="s">
        <v>1117</v>
      </c>
      <c r="E7824" s="211" t="s">
        <v>10385</v>
      </c>
      <c r="F7824" s="211" t="s">
        <v>7247</v>
      </c>
    </row>
    <row r="7825" spans="1:6">
      <c r="A7825" s="211" t="s">
        <v>6403</v>
      </c>
      <c r="B7825" s="211">
        <v>5555</v>
      </c>
      <c r="C7825" s="211">
        <v>778</v>
      </c>
      <c r="D7825" s="211" t="s">
        <v>1255</v>
      </c>
      <c r="E7825" s="211" t="s">
        <v>10385</v>
      </c>
      <c r="F7825" s="211" t="s">
        <v>7207</v>
      </c>
    </row>
    <row r="7826" spans="1:6">
      <c r="A7826" s="211" t="s">
        <v>6404</v>
      </c>
      <c r="B7826" s="211">
        <v>2868</v>
      </c>
      <c r="C7826" s="211">
        <v>832</v>
      </c>
      <c r="D7826" s="211" t="s">
        <v>1117</v>
      </c>
      <c r="E7826" s="211" t="s">
        <v>10385</v>
      </c>
      <c r="F7826" s="211" t="s">
        <v>7322</v>
      </c>
    </row>
    <row r="7827" spans="1:6">
      <c r="A7827" s="211" t="s">
        <v>6405</v>
      </c>
      <c r="B7827" s="211">
        <v>4235</v>
      </c>
      <c r="C7827" s="211">
        <v>1335</v>
      </c>
      <c r="D7827" s="211" t="s">
        <v>1255</v>
      </c>
      <c r="E7827" s="211" t="s">
        <v>10385</v>
      </c>
      <c r="F7827" s="211" t="s">
        <v>7430</v>
      </c>
    </row>
    <row r="7828" spans="1:6">
      <c r="A7828" s="211" t="s">
        <v>6406</v>
      </c>
      <c r="B7828" s="211">
        <v>5567</v>
      </c>
      <c r="C7828" s="211">
        <v>856</v>
      </c>
      <c r="D7828" s="211" t="s">
        <v>1255</v>
      </c>
      <c r="E7828" s="211" t="s">
        <v>10385</v>
      </c>
      <c r="F7828" s="211" t="s">
        <v>7308</v>
      </c>
    </row>
    <row r="7829" spans="1:6">
      <c r="A7829" s="211" t="s">
        <v>7121</v>
      </c>
      <c r="B7829" s="211">
        <v>7795</v>
      </c>
      <c r="C7829" s="211">
        <v>1221</v>
      </c>
      <c r="D7829" s="211" t="s">
        <v>1255</v>
      </c>
      <c r="E7829" s="211" t="s">
        <v>10385</v>
      </c>
      <c r="F7829" s="211" t="s">
        <v>7308</v>
      </c>
    </row>
    <row r="7830" spans="1:6">
      <c r="A7830" s="211" t="s">
        <v>6407</v>
      </c>
      <c r="B7830" s="211">
        <v>779</v>
      </c>
      <c r="C7830" s="211">
        <v>1215</v>
      </c>
      <c r="D7830" s="211" t="s">
        <v>1255</v>
      </c>
      <c r="E7830" s="211" t="s">
        <v>10385</v>
      </c>
      <c r="F7830" s="211" t="s">
        <v>7199</v>
      </c>
    </row>
    <row r="7831" spans="1:6">
      <c r="A7831" s="211" t="s">
        <v>6408</v>
      </c>
      <c r="B7831" s="211">
        <v>3005</v>
      </c>
      <c r="C7831" s="211">
        <v>821</v>
      </c>
      <c r="D7831" s="211" t="s">
        <v>1255</v>
      </c>
      <c r="E7831" s="211" t="s">
        <v>10385</v>
      </c>
      <c r="F7831" s="211" t="s">
        <v>7160</v>
      </c>
    </row>
    <row r="7832" spans="1:6">
      <c r="A7832" s="211" t="s">
        <v>8840</v>
      </c>
      <c r="B7832" s="211">
        <v>423</v>
      </c>
      <c r="C7832" s="211" t="s">
        <v>10385</v>
      </c>
      <c r="D7832" s="211" t="s">
        <v>1255</v>
      </c>
      <c r="E7832" s="211" t="s">
        <v>10385</v>
      </c>
      <c r="F7832" s="211" t="s">
        <v>7199</v>
      </c>
    </row>
    <row r="7833" spans="1:6">
      <c r="A7833" s="211" t="s">
        <v>6409</v>
      </c>
      <c r="B7833" s="211">
        <v>5487</v>
      </c>
      <c r="C7833" s="211">
        <v>2290</v>
      </c>
      <c r="D7833" s="211" t="s">
        <v>1255</v>
      </c>
      <c r="E7833" s="211" t="s">
        <v>11078</v>
      </c>
      <c r="F7833" s="211" t="s">
        <v>7199</v>
      </c>
    </row>
    <row r="7834" spans="1:6">
      <c r="A7834" s="211" t="s">
        <v>6410</v>
      </c>
      <c r="B7834" s="211">
        <v>869</v>
      </c>
      <c r="C7834" s="211">
        <v>1023</v>
      </c>
      <c r="D7834" s="211" t="s">
        <v>1255</v>
      </c>
      <c r="E7834" s="211" t="s">
        <v>10385</v>
      </c>
      <c r="F7834" s="211" t="s">
        <v>7717</v>
      </c>
    </row>
    <row r="7835" spans="1:6">
      <c r="A7835" s="211" t="s">
        <v>6411</v>
      </c>
      <c r="B7835" s="211">
        <v>3732</v>
      </c>
      <c r="C7835" s="211">
        <v>688</v>
      </c>
      <c r="D7835" s="211" t="s">
        <v>1117</v>
      </c>
      <c r="E7835" s="211" t="s">
        <v>10385</v>
      </c>
      <c r="F7835" s="211" t="s">
        <v>7213</v>
      </c>
    </row>
    <row r="7836" spans="1:6">
      <c r="A7836" s="211" t="s">
        <v>6412</v>
      </c>
      <c r="B7836" s="211">
        <v>4499</v>
      </c>
      <c r="C7836" s="211">
        <v>1060</v>
      </c>
      <c r="D7836" s="211" t="s">
        <v>1255</v>
      </c>
      <c r="E7836" s="211" t="s">
        <v>10385</v>
      </c>
      <c r="F7836" s="211" t="s">
        <v>7219</v>
      </c>
    </row>
    <row r="7837" spans="1:6">
      <c r="A7837" s="211" t="s">
        <v>6413</v>
      </c>
      <c r="B7837" s="211">
        <v>4880</v>
      </c>
      <c r="C7837" s="211">
        <v>840</v>
      </c>
      <c r="D7837" s="211" t="s">
        <v>1255</v>
      </c>
      <c r="E7837" s="211" t="s">
        <v>10385</v>
      </c>
      <c r="F7837" s="211" t="s">
        <v>7373</v>
      </c>
    </row>
    <row r="7838" spans="1:6">
      <c r="A7838" s="211" t="s">
        <v>6414</v>
      </c>
      <c r="B7838" s="211">
        <v>1390</v>
      </c>
      <c r="C7838" s="211">
        <v>1660</v>
      </c>
      <c r="D7838" s="211" t="s">
        <v>1255</v>
      </c>
      <c r="E7838" s="211" t="s">
        <v>10255</v>
      </c>
      <c r="F7838" s="211" t="s">
        <v>7171</v>
      </c>
    </row>
    <row r="7839" spans="1:6">
      <c r="A7839" s="211" t="s">
        <v>6415</v>
      </c>
      <c r="B7839" s="211">
        <v>2628</v>
      </c>
      <c r="C7839" s="211">
        <v>799</v>
      </c>
      <c r="D7839" s="211" t="s">
        <v>1255</v>
      </c>
      <c r="E7839" s="211" t="s">
        <v>10385</v>
      </c>
      <c r="F7839" s="211" t="s">
        <v>7175</v>
      </c>
    </row>
    <row r="7840" spans="1:6">
      <c r="A7840" s="211" t="s">
        <v>6416</v>
      </c>
      <c r="B7840" s="211">
        <v>6926</v>
      </c>
      <c r="C7840" s="211">
        <v>1896</v>
      </c>
      <c r="D7840" s="211" t="s">
        <v>1255</v>
      </c>
      <c r="E7840" s="211" t="s">
        <v>6417</v>
      </c>
      <c r="F7840" s="211" t="s">
        <v>7587</v>
      </c>
    </row>
    <row r="7841" spans="1:6">
      <c r="A7841" s="211" t="s">
        <v>6418</v>
      </c>
      <c r="B7841" s="211">
        <v>8332</v>
      </c>
      <c r="C7841" s="211">
        <v>1438</v>
      </c>
      <c r="D7841" s="211" t="s">
        <v>1255</v>
      </c>
      <c r="E7841" s="211" t="s">
        <v>5773</v>
      </c>
      <c r="F7841" s="211" t="s">
        <v>7242</v>
      </c>
    </row>
    <row r="7842" spans="1:6">
      <c r="A7842" s="211" t="s">
        <v>6419</v>
      </c>
      <c r="B7842" s="211">
        <v>4564</v>
      </c>
      <c r="C7842" s="211">
        <v>856</v>
      </c>
      <c r="D7842" s="211" t="s">
        <v>1255</v>
      </c>
      <c r="E7842" s="211" t="s">
        <v>10385</v>
      </c>
      <c r="F7842" s="211" t="s">
        <v>7286</v>
      </c>
    </row>
    <row r="7843" spans="1:6">
      <c r="A7843" s="211" t="s">
        <v>6420</v>
      </c>
      <c r="B7843" s="211">
        <v>5658</v>
      </c>
      <c r="C7843" s="211">
        <v>1365</v>
      </c>
      <c r="D7843" s="211" t="s">
        <v>1255</v>
      </c>
      <c r="E7843" s="211" t="s">
        <v>10385</v>
      </c>
      <c r="F7843" s="211" t="s">
        <v>7167</v>
      </c>
    </row>
    <row r="7844" spans="1:6">
      <c r="A7844" s="211" t="s">
        <v>6421</v>
      </c>
      <c r="B7844" s="211">
        <v>3924</v>
      </c>
      <c r="C7844" s="211">
        <v>1947</v>
      </c>
      <c r="D7844" s="211" t="s">
        <v>1255</v>
      </c>
      <c r="E7844" s="211" t="s">
        <v>10385</v>
      </c>
      <c r="F7844" s="211" t="s">
        <v>7327</v>
      </c>
    </row>
    <row r="7845" spans="1:6">
      <c r="A7845" s="211" t="s">
        <v>6422</v>
      </c>
      <c r="B7845" s="211">
        <v>475</v>
      </c>
      <c r="C7845" s="211">
        <v>1410</v>
      </c>
      <c r="D7845" s="211" t="s">
        <v>1255</v>
      </c>
      <c r="E7845" s="211" t="s">
        <v>10385</v>
      </c>
      <c r="F7845" s="211" t="s">
        <v>7243</v>
      </c>
    </row>
    <row r="7846" spans="1:6">
      <c r="A7846" s="211" t="s">
        <v>8841</v>
      </c>
      <c r="B7846" s="211">
        <v>710</v>
      </c>
      <c r="C7846" s="211" t="s">
        <v>10385</v>
      </c>
      <c r="D7846" s="211" t="s">
        <v>1255</v>
      </c>
      <c r="E7846" s="211" t="s">
        <v>10385</v>
      </c>
      <c r="F7846" s="211" t="s">
        <v>7223</v>
      </c>
    </row>
    <row r="7847" spans="1:6">
      <c r="A7847" s="211" t="s">
        <v>6423</v>
      </c>
      <c r="B7847" s="211">
        <v>6456</v>
      </c>
      <c r="C7847" s="211">
        <v>644</v>
      </c>
      <c r="D7847" s="211" t="s">
        <v>1255</v>
      </c>
      <c r="E7847" s="211" t="s">
        <v>10385</v>
      </c>
      <c r="F7847" s="211" t="s">
        <v>7454</v>
      </c>
    </row>
    <row r="7848" spans="1:6">
      <c r="A7848" s="211" t="s">
        <v>10256</v>
      </c>
      <c r="B7848" s="211">
        <v>8118</v>
      </c>
      <c r="C7848" s="211">
        <v>1504</v>
      </c>
      <c r="D7848" s="211" t="s">
        <v>1255</v>
      </c>
      <c r="E7848" s="211" t="s">
        <v>10257</v>
      </c>
      <c r="F7848" s="211" t="s">
        <v>7587</v>
      </c>
    </row>
    <row r="7849" spans="1:6">
      <c r="A7849" s="211" t="s">
        <v>11079</v>
      </c>
      <c r="B7849" s="211">
        <v>8837</v>
      </c>
      <c r="C7849" s="211">
        <v>713</v>
      </c>
      <c r="D7849" s="211" t="s">
        <v>1117</v>
      </c>
      <c r="E7849" s="211" t="s">
        <v>11080</v>
      </c>
      <c r="F7849" s="211" t="s">
        <v>7285</v>
      </c>
    </row>
    <row r="7850" spans="1:6">
      <c r="A7850" s="211" t="s">
        <v>6424</v>
      </c>
      <c r="B7850" s="211">
        <v>6376</v>
      </c>
      <c r="C7850" s="211">
        <v>1336</v>
      </c>
      <c r="D7850" s="211" t="s">
        <v>1117</v>
      </c>
      <c r="E7850" s="211" t="s">
        <v>10258</v>
      </c>
      <c r="F7850" s="211" t="s">
        <v>7263</v>
      </c>
    </row>
    <row r="7851" spans="1:6">
      <c r="A7851" s="211" t="s">
        <v>6425</v>
      </c>
      <c r="B7851" s="211">
        <v>7821</v>
      </c>
      <c r="C7851" s="211">
        <v>1294</v>
      </c>
      <c r="D7851" s="211" t="s">
        <v>1255</v>
      </c>
      <c r="E7851" s="211" t="s">
        <v>10259</v>
      </c>
      <c r="F7851" s="211" t="s">
        <v>7318</v>
      </c>
    </row>
    <row r="7852" spans="1:6">
      <c r="A7852" s="211" t="s">
        <v>6426</v>
      </c>
      <c r="B7852" s="211">
        <v>7513</v>
      </c>
      <c r="C7852" s="211">
        <v>786</v>
      </c>
      <c r="D7852" s="211" t="s">
        <v>1255</v>
      </c>
      <c r="E7852" s="211" t="s">
        <v>10385</v>
      </c>
      <c r="F7852" s="211" t="s">
        <v>7396</v>
      </c>
    </row>
    <row r="7853" spans="1:6">
      <c r="A7853" s="211" t="s">
        <v>7122</v>
      </c>
      <c r="B7853" s="211">
        <v>7668</v>
      </c>
      <c r="C7853" s="211">
        <v>738</v>
      </c>
      <c r="D7853" s="211" t="s">
        <v>1117</v>
      </c>
      <c r="E7853" s="211" t="s">
        <v>7123</v>
      </c>
      <c r="F7853" s="211" t="s">
        <v>7933</v>
      </c>
    </row>
    <row r="7854" spans="1:6">
      <c r="A7854" s="211" t="s">
        <v>6427</v>
      </c>
      <c r="B7854" s="211">
        <v>4221</v>
      </c>
      <c r="C7854" s="211">
        <v>1166</v>
      </c>
      <c r="D7854" s="211" t="s">
        <v>1255</v>
      </c>
      <c r="E7854" s="211" t="s">
        <v>7124</v>
      </c>
      <c r="F7854" s="211" t="s">
        <v>7331</v>
      </c>
    </row>
    <row r="7855" spans="1:6">
      <c r="A7855" s="211" t="s">
        <v>8842</v>
      </c>
      <c r="B7855" s="211">
        <v>4703</v>
      </c>
      <c r="C7855" s="211" t="s">
        <v>10385</v>
      </c>
      <c r="D7855" s="211" t="s">
        <v>1255</v>
      </c>
      <c r="E7855" s="211" t="s">
        <v>10385</v>
      </c>
      <c r="F7855" s="211" t="s">
        <v>7386</v>
      </c>
    </row>
    <row r="7856" spans="1:6">
      <c r="A7856" s="211" t="s">
        <v>6428</v>
      </c>
      <c r="B7856" s="211">
        <v>4998</v>
      </c>
      <c r="C7856" s="211">
        <v>1496</v>
      </c>
      <c r="D7856" s="211" t="s">
        <v>1255</v>
      </c>
      <c r="E7856" s="211" t="s">
        <v>10385</v>
      </c>
      <c r="F7856" s="211" t="s">
        <v>7587</v>
      </c>
    </row>
    <row r="7857" spans="1:6">
      <c r="A7857" s="211" t="s">
        <v>6429</v>
      </c>
      <c r="B7857" s="211">
        <v>231</v>
      </c>
      <c r="C7857" s="211">
        <v>1832</v>
      </c>
      <c r="D7857" s="211" t="s">
        <v>1255</v>
      </c>
      <c r="E7857" s="211" t="s">
        <v>10385</v>
      </c>
      <c r="F7857" s="211" t="s">
        <v>7171</v>
      </c>
    </row>
    <row r="7858" spans="1:6">
      <c r="A7858" s="211" t="s">
        <v>6430</v>
      </c>
      <c r="B7858" s="211">
        <v>3536</v>
      </c>
      <c r="C7858" s="211">
        <v>931</v>
      </c>
      <c r="D7858" s="211" t="s">
        <v>1255</v>
      </c>
      <c r="E7858" s="211" t="s">
        <v>10385</v>
      </c>
      <c r="F7858" s="211" t="s">
        <v>7171</v>
      </c>
    </row>
    <row r="7859" spans="1:6">
      <c r="A7859" s="211" t="s">
        <v>6431</v>
      </c>
      <c r="B7859" s="211">
        <v>5374</v>
      </c>
      <c r="C7859" s="211">
        <v>1299</v>
      </c>
      <c r="D7859" s="211" t="s">
        <v>1255</v>
      </c>
      <c r="E7859" s="211" t="s">
        <v>7125</v>
      </c>
      <c r="F7859" s="211" t="s">
        <v>7307</v>
      </c>
    </row>
    <row r="7860" spans="1:6">
      <c r="A7860" s="211" t="s">
        <v>6432</v>
      </c>
      <c r="B7860" s="211">
        <v>1683</v>
      </c>
      <c r="C7860" s="211">
        <v>1046</v>
      </c>
      <c r="D7860" s="211" t="s">
        <v>1255</v>
      </c>
      <c r="E7860" s="211" t="s">
        <v>10385</v>
      </c>
      <c r="F7860" s="211" t="s">
        <v>7257</v>
      </c>
    </row>
    <row r="7861" spans="1:6">
      <c r="A7861" s="211" t="s">
        <v>6433</v>
      </c>
      <c r="B7861" s="211">
        <v>2140</v>
      </c>
      <c r="C7861" s="211">
        <v>1282</v>
      </c>
      <c r="D7861" s="211" t="s">
        <v>1255</v>
      </c>
      <c r="E7861" s="211" t="s">
        <v>10385</v>
      </c>
      <c r="F7861" s="211" t="s">
        <v>7199</v>
      </c>
    </row>
    <row r="7862" spans="1:6">
      <c r="A7862" s="211" t="s">
        <v>6434</v>
      </c>
      <c r="B7862" s="211">
        <v>3013</v>
      </c>
      <c r="C7862" s="211">
        <v>792</v>
      </c>
      <c r="D7862" s="211" t="s">
        <v>1255</v>
      </c>
      <c r="E7862" s="211" t="s">
        <v>10385</v>
      </c>
      <c r="F7862" s="211" t="s">
        <v>7192</v>
      </c>
    </row>
    <row r="7863" spans="1:6">
      <c r="A7863" s="211" t="s">
        <v>6435</v>
      </c>
      <c r="B7863" s="211">
        <v>2923</v>
      </c>
      <c r="C7863" s="211">
        <v>1252</v>
      </c>
      <c r="D7863" s="211" t="s">
        <v>1255</v>
      </c>
      <c r="E7863" s="211" t="s">
        <v>10385</v>
      </c>
      <c r="F7863" s="211" t="s">
        <v>7205</v>
      </c>
    </row>
    <row r="7864" spans="1:6">
      <c r="A7864" s="211" t="s">
        <v>6436</v>
      </c>
      <c r="B7864" s="211">
        <v>6281</v>
      </c>
      <c r="C7864" s="211">
        <v>1736</v>
      </c>
      <c r="D7864" s="211" t="s">
        <v>1255</v>
      </c>
      <c r="E7864" s="211" t="s">
        <v>10385</v>
      </c>
      <c r="F7864" s="211" t="s">
        <v>7356</v>
      </c>
    </row>
    <row r="7865" spans="1:6">
      <c r="A7865" s="211" t="s">
        <v>8843</v>
      </c>
      <c r="B7865" s="211">
        <v>1715</v>
      </c>
      <c r="C7865" s="211" t="s">
        <v>10385</v>
      </c>
      <c r="D7865" s="211" t="s">
        <v>1255</v>
      </c>
      <c r="E7865" s="211" t="s">
        <v>10385</v>
      </c>
      <c r="F7865" s="211" t="s">
        <v>7354</v>
      </c>
    </row>
    <row r="7866" spans="1:6">
      <c r="A7866" s="211" t="s">
        <v>6437</v>
      </c>
      <c r="B7866" s="211">
        <v>3789</v>
      </c>
      <c r="C7866" s="211">
        <v>850</v>
      </c>
      <c r="D7866" s="211" t="s">
        <v>1117</v>
      </c>
      <c r="E7866" s="211" t="s">
        <v>10385</v>
      </c>
      <c r="F7866" s="211" t="s">
        <v>7239</v>
      </c>
    </row>
    <row r="7867" spans="1:6">
      <c r="A7867" s="211" t="s">
        <v>11081</v>
      </c>
      <c r="B7867" s="211">
        <v>8762</v>
      </c>
      <c r="C7867" s="211">
        <v>1800</v>
      </c>
      <c r="D7867" s="211" t="s">
        <v>1255</v>
      </c>
      <c r="E7867" s="211" t="s">
        <v>11082</v>
      </c>
      <c r="F7867" s="211" t="s">
        <v>7217</v>
      </c>
    </row>
    <row r="7868" spans="1:6">
      <c r="A7868" s="211" t="s">
        <v>10260</v>
      </c>
      <c r="B7868" s="211">
        <v>8019</v>
      </c>
      <c r="C7868" s="211">
        <v>2057</v>
      </c>
      <c r="D7868" s="211" t="s">
        <v>1255</v>
      </c>
      <c r="E7868" s="211" t="s">
        <v>10261</v>
      </c>
      <c r="F7868" s="211" t="s">
        <v>7343</v>
      </c>
    </row>
    <row r="7869" spans="1:6">
      <c r="A7869" s="211" t="s">
        <v>6438</v>
      </c>
      <c r="B7869" s="211">
        <v>1823</v>
      </c>
      <c r="C7869" s="211">
        <v>1172</v>
      </c>
      <c r="D7869" s="211" t="s">
        <v>1255</v>
      </c>
      <c r="E7869" s="211" t="s">
        <v>10385</v>
      </c>
      <c r="F7869" s="211" t="s">
        <v>7249</v>
      </c>
    </row>
    <row r="7870" spans="1:6">
      <c r="A7870" s="211" t="s">
        <v>6439</v>
      </c>
      <c r="B7870" s="211">
        <v>5380</v>
      </c>
      <c r="C7870" s="211">
        <v>1075</v>
      </c>
      <c r="D7870" s="211" t="s">
        <v>1255</v>
      </c>
      <c r="E7870" s="211" t="s">
        <v>10385</v>
      </c>
      <c r="F7870" s="211" t="s">
        <v>7270</v>
      </c>
    </row>
    <row r="7871" spans="1:6">
      <c r="A7871" s="211" t="s">
        <v>6440</v>
      </c>
      <c r="B7871" s="211">
        <v>4638</v>
      </c>
      <c r="C7871" s="211">
        <v>1157</v>
      </c>
      <c r="D7871" s="211" t="s">
        <v>1255</v>
      </c>
      <c r="E7871" s="211" t="s">
        <v>10385</v>
      </c>
      <c r="F7871" s="211" t="s">
        <v>7208</v>
      </c>
    </row>
    <row r="7872" spans="1:6">
      <c r="A7872" s="211" t="s">
        <v>6441</v>
      </c>
      <c r="B7872" s="211">
        <v>2674</v>
      </c>
      <c r="C7872" s="211">
        <v>1723</v>
      </c>
      <c r="D7872" s="211" t="s">
        <v>1117</v>
      </c>
      <c r="E7872" s="211" t="s">
        <v>10385</v>
      </c>
      <c r="F7872" s="211" t="s">
        <v>7402</v>
      </c>
    </row>
    <row r="7873" spans="1:6">
      <c r="A7873" s="211" t="s">
        <v>6442</v>
      </c>
      <c r="B7873" s="211">
        <v>6232</v>
      </c>
      <c r="C7873" s="211">
        <v>1376</v>
      </c>
      <c r="D7873" s="211" t="s">
        <v>1255</v>
      </c>
      <c r="E7873" s="211" t="s">
        <v>10385</v>
      </c>
      <c r="F7873" s="211" t="s">
        <v>7402</v>
      </c>
    </row>
    <row r="7874" spans="1:6">
      <c r="A7874" s="211" t="s">
        <v>6443</v>
      </c>
      <c r="B7874" s="211">
        <v>5122</v>
      </c>
      <c r="C7874" s="211">
        <v>1468</v>
      </c>
      <c r="D7874" s="211" t="s">
        <v>1255</v>
      </c>
      <c r="E7874" s="211" t="s">
        <v>6444</v>
      </c>
      <c r="F7874" s="211" t="s">
        <v>7384</v>
      </c>
    </row>
    <row r="7875" spans="1:6">
      <c r="A7875" s="211" t="s">
        <v>6445</v>
      </c>
      <c r="B7875" s="211">
        <v>6919</v>
      </c>
      <c r="C7875" s="211">
        <v>824</v>
      </c>
      <c r="D7875" s="211" t="s">
        <v>1117</v>
      </c>
      <c r="E7875" s="211" t="s">
        <v>10385</v>
      </c>
      <c r="F7875" s="211" t="s">
        <v>7205</v>
      </c>
    </row>
    <row r="7876" spans="1:6">
      <c r="A7876" s="211" t="s">
        <v>8844</v>
      </c>
      <c r="B7876" s="211">
        <v>271</v>
      </c>
      <c r="C7876" s="211" t="s">
        <v>10385</v>
      </c>
      <c r="D7876" s="211" t="s">
        <v>1255</v>
      </c>
      <c r="E7876" s="211" t="s">
        <v>10385</v>
      </c>
      <c r="F7876" s="211" t="s">
        <v>7320</v>
      </c>
    </row>
    <row r="7877" spans="1:6">
      <c r="A7877" s="211" t="s">
        <v>6446</v>
      </c>
      <c r="B7877" s="211">
        <v>7089</v>
      </c>
      <c r="C7877" s="211">
        <v>1008</v>
      </c>
      <c r="D7877" s="211" t="s">
        <v>1117</v>
      </c>
      <c r="E7877" s="211" t="s">
        <v>7126</v>
      </c>
      <c r="F7877" s="211" t="s">
        <v>7356</v>
      </c>
    </row>
    <row r="7878" spans="1:6">
      <c r="A7878" s="211" t="s">
        <v>8845</v>
      </c>
      <c r="B7878" s="211">
        <v>7762</v>
      </c>
      <c r="C7878" s="211" t="s">
        <v>10385</v>
      </c>
      <c r="D7878" s="211" t="s">
        <v>1117</v>
      </c>
      <c r="E7878" s="211" t="s">
        <v>10385</v>
      </c>
      <c r="F7878" s="211" t="s">
        <v>7267</v>
      </c>
    </row>
    <row r="7879" spans="1:6">
      <c r="A7879" s="211" t="s">
        <v>6447</v>
      </c>
      <c r="B7879" s="211">
        <v>5436</v>
      </c>
      <c r="C7879" s="211">
        <v>1280</v>
      </c>
      <c r="D7879" s="211" t="s">
        <v>1255</v>
      </c>
      <c r="E7879" s="211" t="s">
        <v>6448</v>
      </c>
      <c r="F7879" s="211" t="s">
        <v>7213</v>
      </c>
    </row>
    <row r="7880" spans="1:6">
      <c r="A7880" s="211" t="s">
        <v>7127</v>
      </c>
      <c r="B7880" s="211">
        <v>7639</v>
      </c>
      <c r="C7880" s="211">
        <v>1602</v>
      </c>
      <c r="D7880" s="211" t="s">
        <v>1255</v>
      </c>
      <c r="E7880" s="211" t="s">
        <v>10385</v>
      </c>
      <c r="F7880" s="211" t="s">
        <v>7250</v>
      </c>
    </row>
    <row r="7881" spans="1:6">
      <c r="A7881" s="211" t="s">
        <v>7128</v>
      </c>
      <c r="B7881" s="211">
        <v>7677</v>
      </c>
      <c r="C7881" s="211">
        <v>668</v>
      </c>
      <c r="D7881" s="211" t="s">
        <v>1117</v>
      </c>
      <c r="E7881" s="211" t="s">
        <v>7129</v>
      </c>
      <c r="F7881" s="211" t="s">
        <v>9024</v>
      </c>
    </row>
    <row r="7882" spans="1:6">
      <c r="A7882" s="211" t="s">
        <v>10262</v>
      </c>
      <c r="B7882" s="211">
        <v>8331</v>
      </c>
      <c r="C7882" s="211">
        <v>1669</v>
      </c>
      <c r="D7882" s="211" t="s">
        <v>1255</v>
      </c>
      <c r="E7882" s="211" t="s">
        <v>10263</v>
      </c>
      <c r="F7882" s="211" t="s">
        <v>7242</v>
      </c>
    </row>
    <row r="7883" spans="1:6">
      <c r="A7883" s="211" t="s">
        <v>6449</v>
      </c>
      <c r="B7883" s="211">
        <v>7302</v>
      </c>
      <c r="C7883" s="211">
        <v>727</v>
      </c>
      <c r="D7883" s="211" t="s">
        <v>1117</v>
      </c>
      <c r="E7883" s="211" t="s">
        <v>6450</v>
      </c>
      <c r="F7883" s="211" t="s">
        <v>7171</v>
      </c>
    </row>
    <row r="7884" spans="1:6">
      <c r="A7884" s="211" t="s">
        <v>6451</v>
      </c>
      <c r="B7884" s="211">
        <v>4414</v>
      </c>
      <c r="C7884" s="211">
        <v>993</v>
      </c>
      <c r="D7884" s="211" t="s">
        <v>1255</v>
      </c>
      <c r="E7884" s="211" t="s">
        <v>11083</v>
      </c>
      <c r="F7884" s="211" t="s">
        <v>9211</v>
      </c>
    </row>
    <row r="7885" spans="1:6">
      <c r="A7885" s="211" t="s">
        <v>6452</v>
      </c>
      <c r="B7885" s="211">
        <v>4996</v>
      </c>
      <c r="C7885" s="211">
        <v>1602</v>
      </c>
      <c r="D7885" s="211" t="s">
        <v>1255</v>
      </c>
      <c r="E7885" s="211" t="s">
        <v>10385</v>
      </c>
      <c r="F7885" s="211" t="s">
        <v>7587</v>
      </c>
    </row>
    <row r="7886" spans="1:6">
      <c r="A7886" s="211" t="s">
        <v>8846</v>
      </c>
      <c r="B7886" s="211">
        <v>2821</v>
      </c>
      <c r="C7886" s="211">
        <v>1382</v>
      </c>
      <c r="D7886" s="211" t="s">
        <v>1255</v>
      </c>
      <c r="E7886" s="211" t="s">
        <v>10385</v>
      </c>
      <c r="F7886" s="211" t="s">
        <v>7510</v>
      </c>
    </row>
    <row r="7887" spans="1:6">
      <c r="A7887" s="211" t="s">
        <v>6453</v>
      </c>
      <c r="B7887" s="211">
        <v>6070</v>
      </c>
      <c r="C7887" s="211">
        <v>1275</v>
      </c>
      <c r="D7887" s="211" t="s">
        <v>1255</v>
      </c>
      <c r="E7887" s="211" t="s">
        <v>10385</v>
      </c>
      <c r="F7887" s="211" t="s">
        <v>7250</v>
      </c>
    </row>
    <row r="7888" spans="1:6">
      <c r="A7888" s="211" t="s">
        <v>8847</v>
      </c>
      <c r="B7888" s="211">
        <v>563</v>
      </c>
      <c r="C7888" s="211" t="s">
        <v>10385</v>
      </c>
      <c r="D7888" s="211" t="s">
        <v>1255</v>
      </c>
      <c r="E7888" s="211" t="s">
        <v>10385</v>
      </c>
      <c r="F7888" s="211" t="s">
        <v>7573</v>
      </c>
    </row>
    <row r="7889" spans="1:6">
      <c r="A7889" s="211" t="s">
        <v>10264</v>
      </c>
      <c r="B7889" s="211">
        <v>8495</v>
      </c>
      <c r="C7889" s="211">
        <v>982</v>
      </c>
      <c r="D7889" s="211" t="s">
        <v>1255</v>
      </c>
      <c r="E7889" s="211" t="s">
        <v>10385</v>
      </c>
      <c r="F7889" s="211" t="s">
        <v>7511</v>
      </c>
    </row>
    <row r="7890" spans="1:6">
      <c r="A7890" s="211" t="s">
        <v>6454</v>
      </c>
      <c r="B7890" s="211">
        <v>7301</v>
      </c>
      <c r="C7890" s="211">
        <v>742</v>
      </c>
      <c r="D7890" s="211" t="s">
        <v>1117</v>
      </c>
      <c r="E7890" s="211" t="s">
        <v>10385</v>
      </c>
      <c r="F7890" s="211" t="s">
        <v>7171</v>
      </c>
    </row>
    <row r="7891" spans="1:6">
      <c r="A7891" s="211" t="s">
        <v>7130</v>
      </c>
      <c r="B7891" s="211">
        <v>7815</v>
      </c>
      <c r="C7891" s="211">
        <v>928</v>
      </c>
      <c r="D7891" s="211" t="s">
        <v>1117</v>
      </c>
      <c r="E7891" s="211" t="s">
        <v>10385</v>
      </c>
      <c r="F7891" s="211" t="s">
        <v>7386</v>
      </c>
    </row>
    <row r="7892" spans="1:6">
      <c r="A7892" s="211" t="s">
        <v>8848</v>
      </c>
      <c r="B7892" s="211">
        <v>3585</v>
      </c>
      <c r="C7892" s="211" t="s">
        <v>10385</v>
      </c>
      <c r="D7892" s="211" t="s">
        <v>1117</v>
      </c>
      <c r="E7892" s="211" t="s">
        <v>10385</v>
      </c>
      <c r="F7892" s="211" t="s">
        <v>7272</v>
      </c>
    </row>
    <row r="7893" spans="1:6">
      <c r="A7893" s="211" t="s">
        <v>6455</v>
      </c>
      <c r="B7893" s="211">
        <v>2151</v>
      </c>
      <c r="C7893" s="211">
        <v>1204</v>
      </c>
      <c r="D7893" s="211" t="s">
        <v>1117</v>
      </c>
      <c r="E7893" s="211" t="s">
        <v>10385</v>
      </c>
      <c r="F7893" s="211" t="s">
        <v>7189</v>
      </c>
    </row>
    <row r="7894" spans="1:6">
      <c r="A7894" s="211" t="s">
        <v>6456</v>
      </c>
      <c r="B7894" s="211">
        <v>6706</v>
      </c>
      <c r="C7894" s="211">
        <v>1480</v>
      </c>
      <c r="D7894" s="211" t="s">
        <v>1255</v>
      </c>
      <c r="E7894" s="211" t="s">
        <v>11084</v>
      </c>
      <c r="F7894" s="211" t="s">
        <v>7430</v>
      </c>
    </row>
    <row r="7895" spans="1:6">
      <c r="A7895" s="211" t="s">
        <v>6458</v>
      </c>
      <c r="B7895" s="211">
        <v>6066</v>
      </c>
      <c r="C7895" s="211">
        <v>1894</v>
      </c>
      <c r="D7895" s="211" t="s">
        <v>1117</v>
      </c>
      <c r="E7895" s="211" t="s">
        <v>10265</v>
      </c>
      <c r="F7895" s="211" t="s">
        <v>7427</v>
      </c>
    </row>
    <row r="7896" spans="1:6">
      <c r="A7896" s="211" t="s">
        <v>8849</v>
      </c>
      <c r="B7896" s="211">
        <v>1799</v>
      </c>
      <c r="C7896" s="211">
        <v>1494</v>
      </c>
      <c r="D7896" s="211" t="s">
        <v>1255</v>
      </c>
      <c r="E7896" s="211" t="s">
        <v>10385</v>
      </c>
      <c r="F7896" s="211" t="s">
        <v>7292</v>
      </c>
    </row>
    <row r="7897" spans="1:6">
      <c r="A7897" s="211" t="s">
        <v>8850</v>
      </c>
      <c r="B7897" s="211">
        <v>7801</v>
      </c>
      <c r="C7897" s="211" t="s">
        <v>10385</v>
      </c>
      <c r="D7897" s="211" t="s">
        <v>1117</v>
      </c>
      <c r="E7897" s="211" t="s">
        <v>10385</v>
      </c>
      <c r="F7897" s="211" t="s">
        <v>7933</v>
      </c>
    </row>
    <row r="7898" spans="1:6">
      <c r="A7898" s="211" t="s">
        <v>6459</v>
      </c>
      <c r="B7898" s="211">
        <v>7373</v>
      </c>
      <c r="C7898" s="211">
        <v>2312</v>
      </c>
      <c r="D7898" s="211" t="s">
        <v>1255</v>
      </c>
      <c r="E7898" s="211" t="s">
        <v>6460</v>
      </c>
      <c r="F7898" s="211" t="s">
        <v>7167</v>
      </c>
    </row>
    <row r="7899" spans="1:6">
      <c r="A7899" s="211" t="s">
        <v>10266</v>
      </c>
      <c r="B7899" s="211">
        <v>8242</v>
      </c>
      <c r="C7899" s="211">
        <v>1002</v>
      </c>
      <c r="D7899" s="211" t="s">
        <v>1117</v>
      </c>
      <c r="E7899" s="211" t="s">
        <v>10385</v>
      </c>
      <c r="F7899" s="211" t="s">
        <v>7384</v>
      </c>
    </row>
    <row r="7900" spans="1:6">
      <c r="A7900" s="211" t="s">
        <v>6461</v>
      </c>
      <c r="B7900" s="211">
        <v>5489</v>
      </c>
      <c r="C7900" s="211">
        <v>1953</v>
      </c>
      <c r="D7900" s="211" t="s">
        <v>1117</v>
      </c>
      <c r="E7900" s="211" t="s">
        <v>10385</v>
      </c>
      <c r="F7900" s="211" t="s">
        <v>7199</v>
      </c>
    </row>
    <row r="7901" spans="1:6">
      <c r="A7901" s="211" t="s">
        <v>6462</v>
      </c>
      <c r="B7901" s="211">
        <v>1931</v>
      </c>
      <c r="C7901" s="211">
        <v>1266</v>
      </c>
      <c r="D7901" s="211" t="s">
        <v>1255</v>
      </c>
      <c r="E7901" s="211" t="s">
        <v>10385</v>
      </c>
      <c r="F7901" s="211" t="s">
        <v>7797</v>
      </c>
    </row>
    <row r="7902" spans="1:6">
      <c r="A7902" s="211" t="s">
        <v>8851</v>
      </c>
      <c r="B7902" s="211">
        <v>153</v>
      </c>
      <c r="C7902" s="211" t="s">
        <v>10385</v>
      </c>
      <c r="D7902" s="211" t="s">
        <v>1255</v>
      </c>
      <c r="E7902" s="211" t="s">
        <v>10385</v>
      </c>
      <c r="F7902" s="211" t="s">
        <v>7306</v>
      </c>
    </row>
    <row r="7903" spans="1:6">
      <c r="A7903" s="211" t="s">
        <v>6463</v>
      </c>
      <c r="B7903" s="211">
        <v>5242</v>
      </c>
      <c r="C7903" s="211">
        <v>2028</v>
      </c>
      <c r="D7903" s="211" t="s">
        <v>1255</v>
      </c>
      <c r="E7903" s="211" t="s">
        <v>7131</v>
      </c>
      <c r="F7903" s="211" t="s">
        <v>7322</v>
      </c>
    </row>
    <row r="7904" spans="1:6">
      <c r="A7904" s="211" t="s">
        <v>6464</v>
      </c>
      <c r="B7904" s="211">
        <v>4951</v>
      </c>
      <c r="C7904" s="211">
        <v>1515</v>
      </c>
      <c r="D7904" s="211" t="s">
        <v>1255</v>
      </c>
      <c r="E7904" s="211" t="s">
        <v>10385</v>
      </c>
      <c r="F7904" s="211" t="s">
        <v>7304</v>
      </c>
    </row>
    <row r="7905" spans="1:6">
      <c r="A7905" s="211" t="s">
        <v>10267</v>
      </c>
      <c r="B7905" s="211">
        <v>8130</v>
      </c>
      <c r="C7905" s="211">
        <v>1042</v>
      </c>
      <c r="D7905" s="211" t="s">
        <v>1117</v>
      </c>
      <c r="E7905" s="211" t="s">
        <v>11085</v>
      </c>
      <c r="F7905" s="211" t="s">
        <v>7587</v>
      </c>
    </row>
    <row r="7906" spans="1:6">
      <c r="A7906" s="211" t="s">
        <v>10268</v>
      </c>
      <c r="B7906" s="211">
        <v>8120</v>
      </c>
      <c r="C7906" s="211">
        <v>2201</v>
      </c>
      <c r="D7906" s="211" t="s">
        <v>1117</v>
      </c>
      <c r="E7906" s="211" t="s">
        <v>10269</v>
      </c>
      <c r="F7906" s="211" t="s">
        <v>7241</v>
      </c>
    </row>
    <row r="7907" spans="1:6">
      <c r="A7907" s="211" t="s">
        <v>10270</v>
      </c>
      <c r="B7907" s="211">
        <v>8029</v>
      </c>
      <c r="C7907" s="211">
        <v>1028</v>
      </c>
      <c r="D7907" s="211" t="s">
        <v>1117</v>
      </c>
      <c r="E7907" s="211" t="s">
        <v>10271</v>
      </c>
      <c r="F7907" s="211" t="s">
        <v>7343</v>
      </c>
    </row>
    <row r="7908" spans="1:6">
      <c r="A7908" s="211" t="s">
        <v>8852</v>
      </c>
      <c r="B7908" s="211">
        <v>553</v>
      </c>
      <c r="C7908" s="211" t="s">
        <v>10385</v>
      </c>
      <c r="D7908" s="211" t="s">
        <v>1255</v>
      </c>
      <c r="E7908" s="211" t="s">
        <v>10385</v>
      </c>
      <c r="F7908" s="211" t="s">
        <v>7592</v>
      </c>
    </row>
    <row r="7909" spans="1:6">
      <c r="A7909" s="211" t="s">
        <v>6465</v>
      </c>
      <c r="B7909" s="211">
        <v>6545</v>
      </c>
      <c r="C7909" s="211">
        <v>984</v>
      </c>
      <c r="D7909" s="211" t="s">
        <v>1255</v>
      </c>
      <c r="E7909" s="211" t="s">
        <v>10385</v>
      </c>
      <c r="F7909" s="211" t="s">
        <v>7524</v>
      </c>
    </row>
    <row r="7910" spans="1:6">
      <c r="A7910" s="211" t="s">
        <v>8853</v>
      </c>
      <c r="B7910" s="211">
        <v>2694</v>
      </c>
      <c r="C7910" s="211" t="s">
        <v>10385</v>
      </c>
      <c r="D7910" s="211" t="s">
        <v>1255</v>
      </c>
      <c r="E7910" s="211" t="s">
        <v>10385</v>
      </c>
      <c r="F7910" s="211" t="s">
        <v>7425</v>
      </c>
    </row>
    <row r="7911" spans="1:6">
      <c r="A7911" s="211" t="s">
        <v>6466</v>
      </c>
      <c r="B7911" s="211">
        <v>2777</v>
      </c>
      <c r="C7911" s="211">
        <v>1159</v>
      </c>
      <c r="D7911" s="211" t="s">
        <v>1255</v>
      </c>
      <c r="E7911" s="211" t="s">
        <v>10385</v>
      </c>
      <c r="F7911" s="211" t="s">
        <v>7275</v>
      </c>
    </row>
    <row r="7912" spans="1:6">
      <c r="A7912" s="211" t="s">
        <v>6467</v>
      </c>
      <c r="B7912" s="211">
        <v>6152</v>
      </c>
      <c r="C7912" s="211">
        <v>1509</v>
      </c>
      <c r="D7912" s="211" t="s">
        <v>1255</v>
      </c>
      <c r="E7912" s="211" t="s">
        <v>10272</v>
      </c>
      <c r="F7912" s="211" t="s">
        <v>7275</v>
      </c>
    </row>
    <row r="7913" spans="1:6">
      <c r="A7913" s="211" t="s">
        <v>10273</v>
      </c>
      <c r="B7913" s="211">
        <v>8550</v>
      </c>
      <c r="C7913" s="211">
        <v>991</v>
      </c>
      <c r="D7913" s="211" t="s">
        <v>1255</v>
      </c>
      <c r="E7913" s="211" t="s">
        <v>11086</v>
      </c>
      <c r="F7913" s="211" t="s">
        <v>7377</v>
      </c>
    </row>
    <row r="7914" spans="1:6">
      <c r="A7914" s="211" t="s">
        <v>10274</v>
      </c>
      <c r="B7914" s="211">
        <v>8129</v>
      </c>
      <c r="C7914" s="211">
        <v>1650</v>
      </c>
      <c r="D7914" s="211" t="s">
        <v>1255</v>
      </c>
      <c r="E7914" s="211" t="s">
        <v>11087</v>
      </c>
      <c r="F7914" s="211" t="s">
        <v>7587</v>
      </c>
    </row>
    <row r="7915" spans="1:6">
      <c r="A7915" s="211" t="s">
        <v>6468</v>
      </c>
      <c r="B7915" s="211">
        <v>3051</v>
      </c>
      <c r="C7915" s="211">
        <v>990</v>
      </c>
      <c r="D7915" s="211" t="s">
        <v>1117</v>
      </c>
      <c r="E7915" s="211" t="s">
        <v>10385</v>
      </c>
      <c r="F7915" s="211" t="s">
        <v>7342</v>
      </c>
    </row>
    <row r="7916" spans="1:6">
      <c r="A7916" s="211" t="s">
        <v>6469</v>
      </c>
      <c r="B7916" s="211">
        <v>1046</v>
      </c>
      <c r="C7916" s="211">
        <v>1693</v>
      </c>
      <c r="D7916" s="211" t="s">
        <v>1255</v>
      </c>
      <c r="E7916" s="211" t="s">
        <v>10385</v>
      </c>
      <c r="F7916" s="211" t="s">
        <v>7239</v>
      </c>
    </row>
    <row r="7917" spans="1:6">
      <c r="A7917" s="211" t="s">
        <v>6470</v>
      </c>
      <c r="B7917" s="211">
        <v>6304</v>
      </c>
      <c r="C7917" s="211">
        <v>1198</v>
      </c>
      <c r="D7917" s="211" t="s">
        <v>1117</v>
      </c>
      <c r="E7917" s="211" t="s">
        <v>6471</v>
      </c>
      <c r="F7917" s="211" t="s">
        <v>7215</v>
      </c>
    </row>
    <row r="7918" spans="1:6">
      <c r="A7918" s="211" t="s">
        <v>6472</v>
      </c>
      <c r="B7918" s="211">
        <v>3897</v>
      </c>
      <c r="C7918" s="211">
        <v>1573</v>
      </c>
      <c r="D7918" s="211" t="s">
        <v>1255</v>
      </c>
      <c r="E7918" s="211" t="s">
        <v>10385</v>
      </c>
      <c r="F7918" s="211" t="s">
        <v>7318</v>
      </c>
    </row>
    <row r="7919" spans="1:6">
      <c r="A7919" s="211" t="s">
        <v>8854</v>
      </c>
      <c r="B7919" s="211">
        <v>5127</v>
      </c>
      <c r="C7919" s="211" t="s">
        <v>10385</v>
      </c>
      <c r="D7919" s="211" t="s">
        <v>1255</v>
      </c>
      <c r="E7919" s="211" t="s">
        <v>10385</v>
      </c>
      <c r="F7919" s="211" t="s">
        <v>7384</v>
      </c>
    </row>
    <row r="7920" spans="1:6">
      <c r="A7920" s="211" t="s">
        <v>6473</v>
      </c>
      <c r="B7920" s="211">
        <v>5259</v>
      </c>
      <c r="C7920" s="211">
        <v>1760</v>
      </c>
      <c r="D7920" s="211" t="s">
        <v>1117</v>
      </c>
      <c r="E7920" s="211" t="s">
        <v>7132</v>
      </c>
      <c r="F7920" s="211" t="s">
        <v>7298</v>
      </c>
    </row>
    <row r="7921" spans="1:6">
      <c r="A7921" s="211" t="s">
        <v>6474</v>
      </c>
      <c r="B7921" s="211">
        <v>4724</v>
      </c>
      <c r="C7921" s="211">
        <v>745</v>
      </c>
      <c r="D7921" s="211" t="s">
        <v>1117</v>
      </c>
      <c r="E7921" s="211" t="s">
        <v>10385</v>
      </c>
      <c r="F7921" s="211" t="s">
        <v>7249</v>
      </c>
    </row>
    <row r="7922" spans="1:6">
      <c r="A7922" s="211" t="s">
        <v>6475</v>
      </c>
      <c r="B7922" s="211">
        <v>827</v>
      </c>
      <c r="C7922" s="211">
        <v>1566</v>
      </c>
      <c r="D7922" s="211" t="s">
        <v>1255</v>
      </c>
      <c r="E7922" s="211" t="s">
        <v>10385</v>
      </c>
      <c r="F7922" s="211" t="s">
        <v>7269</v>
      </c>
    </row>
    <row r="7923" spans="1:6">
      <c r="A7923" s="211" t="s">
        <v>6476</v>
      </c>
      <c r="B7923" s="211">
        <v>5942</v>
      </c>
      <c r="C7923" s="211">
        <v>686</v>
      </c>
      <c r="D7923" s="211" t="s">
        <v>1117</v>
      </c>
      <c r="E7923" s="211" t="s">
        <v>10385</v>
      </c>
      <c r="F7923" s="211" t="s">
        <v>7524</v>
      </c>
    </row>
    <row r="7924" spans="1:6">
      <c r="A7924" s="211" t="s">
        <v>6477</v>
      </c>
      <c r="B7924" s="211">
        <v>7154</v>
      </c>
      <c r="C7924" s="211">
        <v>1061</v>
      </c>
      <c r="D7924" s="211" t="s">
        <v>1255</v>
      </c>
      <c r="E7924" s="211" t="s">
        <v>6478</v>
      </c>
      <c r="F7924" s="211" t="s">
        <v>7173</v>
      </c>
    </row>
    <row r="7925" spans="1:6">
      <c r="A7925" s="211" t="s">
        <v>8855</v>
      </c>
      <c r="B7925" s="211">
        <v>686</v>
      </c>
      <c r="C7925" s="211" t="s">
        <v>10385</v>
      </c>
      <c r="D7925" s="211" t="s">
        <v>1255</v>
      </c>
      <c r="E7925" s="211" t="s">
        <v>10385</v>
      </c>
      <c r="F7925" s="211" t="s">
        <v>7592</v>
      </c>
    </row>
    <row r="7926" spans="1:6">
      <c r="A7926" s="211" t="s">
        <v>6479</v>
      </c>
      <c r="B7926" s="211">
        <v>6212</v>
      </c>
      <c r="C7926" s="211">
        <v>914</v>
      </c>
      <c r="D7926" s="211" t="s">
        <v>1117</v>
      </c>
      <c r="E7926" s="211" t="s">
        <v>10275</v>
      </c>
      <c r="F7926" s="211" t="s">
        <v>7224</v>
      </c>
    </row>
    <row r="7927" spans="1:6">
      <c r="A7927" s="211" t="s">
        <v>6480</v>
      </c>
      <c r="B7927" s="211">
        <v>2522</v>
      </c>
      <c r="C7927" s="211">
        <v>1031</v>
      </c>
      <c r="D7927" s="211" t="s">
        <v>1117</v>
      </c>
      <c r="E7927" s="211" t="s">
        <v>10385</v>
      </c>
      <c r="F7927" s="211" t="s">
        <v>7272</v>
      </c>
    </row>
    <row r="7928" spans="1:6">
      <c r="A7928" s="211" t="s">
        <v>6481</v>
      </c>
      <c r="B7928" s="211">
        <v>3527</v>
      </c>
      <c r="C7928" s="211">
        <v>1074</v>
      </c>
      <c r="D7928" s="211" t="s">
        <v>1117</v>
      </c>
      <c r="E7928" s="211" t="s">
        <v>10385</v>
      </c>
      <c r="F7928" s="211" t="s">
        <v>7171</v>
      </c>
    </row>
    <row r="7929" spans="1:6">
      <c r="A7929" s="211" t="s">
        <v>10276</v>
      </c>
      <c r="B7929" s="211">
        <v>8356</v>
      </c>
      <c r="C7929" s="211">
        <v>1397</v>
      </c>
      <c r="D7929" s="211" t="s">
        <v>1255</v>
      </c>
      <c r="E7929" s="211" t="s">
        <v>10277</v>
      </c>
      <c r="F7929" s="211" t="s">
        <v>7239</v>
      </c>
    </row>
    <row r="7930" spans="1:6">
      <c r="A7930" s="211" t="s">
        <v>6482</v>
      </c>
      <c r="B7930" s="211">
        <v>3817</v>
      </c>
      <c r="C7930" s="211">
        <v>835</v>
      </c>
      <c r="D7930" s="211" t="s">
        <v>1117</v>
      </c>
      <c r="E7930" s="211" t="s">
        <v>10385</v>
      </c>
      <c r="F7930" s="211" t="s">
        <v>7320</v>
      </c>
    </row>
    <row r="7931" spans="1:6">
      <c r="A7931" s="211" t="s">
        <v>6483</v>
      </c>
      <c r="B7931" s="211">
        <v>7227</v>
      </c>
      <c r="C7931" s="211">
        <v>697</v>
      </c>
      <c r="D7931" s="211" t="s">
        <v>1117</v>
      </c>
      <c r="E7931" s="211" t="s">
        <v>10314</v>
      </c>
      <c r="F7931" s="211" t="s">
        <v>7272</v>
      </c>
    </row>
    <row r="7932" spans="1:6">
      <c r="A7932" s="211" t="s">
        <v>6484</v>
      </c>
      <c r="B7932" s="211">
        <v>7520</v>
      </c>
      <c r="C7932" s="211">
        <v>884</v>
      </c>
      <c r="D7932" s="211" t="s">
        <v>1117</v>
      </c>
      <c r="E7932" s="211" t="s">
        <v>6485</v>
      </c>
      <c r="F7932" s="211" t="s">
        <v>7224</v>
      </c>
    </row>
    <row r="7933" spans="1:6">
      <c r="A7933" s="211" t="s">
        <v>6486</v>
      </c>
      <c r="B7933" s="211">
        <v>6727</v>
      </c>
      <c r="C7933" s="211">
        <v>2548</v>
      </c>
      <c r="D7933" s="211" t="s">
        <v>1255</v>
      </c>
      <c r="E7933" s="211" t="s">
        <v>6632</v>
      </c>
      <c r="F7933" s="211" t="s">
        <v>7267</v>
      </c>
    </row>
    <row r="7934" spans="1:6">
      <c r="A7934" s="211" t="s">
        <v>6487</v>
      </c>
      <c r="B7934" s="211">
        <v>6858</v>
      </c>
      <c r="C7934" s="211">
        <v>1060</v>
      </c>
      <c r="D7934" s="211" t="s">
        <v>1255</v>
      </c>
      <c r="E7934" s="211" t="s">
        <v>10385</v>
      </c>
      <c r="F7934" s="211" t="s">
        <v>7429</v>
      </c>
    </row>
    <row r="7935" spans="1:6">
      <c r="A7935" s="211" t="s">
        <v>10278</v>
      </c>
      <c r="B7935" s="211">
        <v>8548</v>
      </c>
      <c r="C7935" s="211">
        <v>880</v>
      </c>
      <c r="D7935" s="211" t="s">
        <v>1117</v>
      </c>
      <c r="E7935" s="211" t="s">
        <v>11088</v>
      </c>
      <c r="F7935" s="211" t="s">
        <v>7258</v>
      </c>
    </row>
    <row r="7936" spans="1:6">
      <c r="A7936" s="211" t="s">
        <v>11089</v>
      </c>
      <c r="B7936" s="211">
        <v>8723</v>
      </c>
      <c r="C7936" s="211">
        <v>1808</v>
      </c>
      <c r="D7936" s="211" t="s">
        <v>1255</v>
      </c>
      <c r="E7936" s="211" t="s">
        <v>11090</v>
      </c>
      <c r="F7936" s="211" t="s">
        <v>7510</v>
      </c>
    </row>
    <row r="7937" spans="1:6">
      <c r="A7937" s="211" t="s">
        <v>6488</v>
      </c>
      <c r="B7937" s="211">
        <v>7288</v>
      </c>
      <c r="C7937" s="211">
        <v>1152</v>
      </c>
      <c r="D7937" s="211" t="s">
        <v>1255</v>
      </c>
      <c r="E7937" s="211" t="s">
        <v>6489</v>
      </c>
      <c r="F7937" s="211" t="s">
        <v>7199</v>
      </c>
    </row>
    <row r="7938" spans="1:6">
      <c r="A7938" s="211" t="s">
        <v>10279</v>
      </c>
      <c r="B7938" s="211">
        <v>7900</v>
      </c>
      <c r="C7938" s="211">
        <v>965</v>
      </c>
      <c r="D7938" s="211" t="s">
        <v>1255</v>
      </c>
      <c r="E7938" s="211" t="s">
        <v>10280</v>
      </c>
      <c r="F7938" s="211" t="s">
        <v>7402</v>
      </c>
    </row>
    <row r="7939" spans="1:6">
      <c r="A7939" s="211" t="s">
        <v>6490</v>
      </c>
      <c r="B7939" s="211">
        <v>4862</v>
      </c>
      <c r="C7939" s="211">
        <v>1404</v>
      </c>
      <c r="D7939" s="211" t="s">
        <v>1255</v>
      </c>
      <c r="E7939" s="211" t="s">
        <v>10385</v>
      </c>
      <c r="F7939" s="211" t="s">
        <v>7240</v>
      </c>
    </row>
    <row r="7940" spans="1:6">
      <c r="A7940" s="211" t="s">
        <v>6491</v>
      </c>
      <c r="B7940" s="211">
        <v>2268</v>
      </c>
      <c r="C7940" s="211">
        <v>975</v>
      </c>
      <c r="D7940" s="211" t="s">
        <v>1117</v>
      </c>
      <c r="E7940" s="211" t="s">
        <v>10385</v>
      </c>
      <c r="F7940" s="211" t="s">
        <v>7322</v>
      </c>
    </row>
    <row r="7941" spans="1:6">
      <c r="A7941" s="211" t="s">
        <v>10281</v>
      </c>
      <c r="B7941" s="211">
        <v>8325</v>
      </c>
      <c r="C7941" s="211">
        <v>1320</v>
      </c>
      <c r="D7941" s="211" t="s">
        <v>1255</v>
      </c>
      <c r="E7941" s="211" t="s">
        <v>10282</v>
      </c>
      <c r="F7941" s="211" t="s">
        <v>7310</v>
      </c>
    </row>
    <row r="7942" spans="1:6">
      <c r="A7942" s="211" t="s">
        <v>8856</v>
      </c>
      <c r="B7942" s="211">
        <v>3441</v>
      </c>
      <c r="C7942" s="211" t="s">
        <v>10385</v>
      </c>
      <c r="D7942" s="211" t="s">
        <v>1255</v>
      </c>
      <c r="E7942" s="211" t="s">
        <v>10385</v>
      </c>
      <c r="F7942" s="211" t="s">
        <v>7402</v>
      </c>
    </row>
    <row r="7943" spans="1:6">
      <c r="A7943" s="211" t="s">
        <v>10283</v>
      </c>
      <c r="B7943" s="211">
        <v>8049</v>
      </c>
      <c r="C7943" s="211">
        <v>1012</v>
      </c>
      <c r="D7943" s="211" t="s">
        <v>1255</v>
      </c>
      <c r="E7943" s="211" t="s">
        <v>10385</v>
      </c>
      <c r="F7943" s="211" t="s">
        <v>7864</v>
      </c>
    </row>
    <row r="7944" spans="1:6">
      <c r="A7944" s="211" t="s">
        <v>6492</v>
      </c>
      <c r="B7944" s="211">
        <v>7199</v>
      </c>
      <c r="C7944" s="211">
        <v>1333</v>
      </c>
      <c r="D7944" s="211" t="s">
        <v>1255</v>
      </c>
      <c r="E7944" s="211" t="s">
        <v>11091</v>
      </c>
      <c r="F7944" s="211" t="s">
        <v>7864</v>
      </c>
    </row>
    <row r="7945" spans="1:6">
      <c r="A7945" s="211" t="s">
        <v>8857</v>
      </c>
      <c r="B7945" s="211">
        <v>4174</v>
      </c>
      <c r="C7945" s="211" t="s">
        <v>10385</v>
      </c>
      <c r="D7945" s="211" t="s">
        <v>1255</v>
      </c>
      <c r="E7945" s="211" t="s">
        <v>10385</v>
      </c>
      <c r="F7945" s="211" t="s">
        <v>7224</v>
      </c>
    </row>
    <row r="7946" spans="1:6">
      <c r="A7946" s="211" t="s">
        <v>6493</v>
      </c>
      <c r="B7946" s="211">
        <v>4223</v>
      </c>
      <c r="C7946" s="211">
        <v>996</v>
      </c>
      <c r="D7946" s="211" t="s">
        <v>1255</v>
      </c>
      <c r="E7946" s="211" t="s">
        <v>10385</v>
      </c>
      <c r="F7946" s="211" t="s">
        <v>7322</v>
      </c>
    </row>
    <row r="7947" spans="1:6">
      <c r="A7947" s="211" t="s">
        <v>6494</v>
      </c>
      <c r="B7947" s="211">
        <v>5778</v>
      </c>
      <c r="C7947" s="211">
        <v>878</v>
      </c>
      <c r="D7947" s="211" t="s">
        <v>1255</v>
      </c>
      <c r="E7947" s="211" t="s">
        <v>10385</v>
      </c>
      <c r="F7947" s="211" t="s">
        <v>7615</v>
      </c>
    </row>
    <row r="7948" spans="1:6">
      <c r="A7948" s="211" t="s">
        <v>6495</v>
      </c>
      <c r="B7948" s="211">
        <v>7587</v>
      </c>
      <c r="C7948" s="211">
        <v>1281</v>
      </c>
      <c r="D7948" s="211" t="s">
        <v>1255</v>
      </c>
      <c r="E7948" s="211" t="s">
        <v>6496</v>
      </c>
      <c r="F7948" s="211" t="s">
        <v>7288</v>
      </c>
    </row>
    <row r="7949" spans="1:6">
      <c r="A7949" s="211" t="s">
        <v>6497</v>
      </c>
      <c r="B7949" s="211">
        <v>5378</v>
      </c>
      <c r="C7949" s="211">
        <v>1226</v>
      </c>
      <c r="D7949" s="211" t="s">
        <v>1255</v>
      </c>
      <c r="E7949" s="211" t="s">
        <v>10385</v>
      </c>
      <c r="F7949" s="211" t="s">
        <v>7270</v>
      </c>
    </row>
    <row r="7950" spans="1:6">
      <c r="A7950" s="211" t="s">
        <v>10284</v>
      </c>
      <c r="B7950" s="211">
        <v>8154</v>
      </c>
      <c r="C7950" s="211">
        <v>1216</v>
      </c>
      <c r="D7950" s="211" t="s">
        <v>1255</v>
      </c>
      <c r="E7950" s="211" t="s">
        <v>10285</v>
      </c>
      <c r="F7950" s="211" t="s">
        <v>7386</v>
      </c>
    </row>
    <row r="7951" spans="1:6">
      <c r="A7951" s="211" t="s">
        <v>6498</v>
      </c>
      <c r="B7951" s="211">
        <v>7204</v>
      </c>
      <c r="C7951" s="211">
        <v>1888</v>
      </c>
      <c r="D7951" s="211" t="s">
        <v>1255</v>
      </c>
      <c r="E7951" s="211" t="s">
        <v>6499</v>
      </c>
      <c r="F7951" s="211" t="s">
        <v>7316</v>
      </c>
    </row>
    <row r="7952" spans="1:6">
      <c r="A7952" s="211" t="s">
        <v>6500</v>
      </c>
      <c r="B7952" s="211">
        <v>5915</v>
      </c>
      <c r="C7952" s="211">
        <v>1490</v>
      </c>
      <c r="D7952" s="211" t="s">
        <v>1255</v>
      </c>
      <c r="E7952" s="211" t="s">
        <v>10385</v>
      </c>
      <c r="F7952" s="211" t="s">
        <v>7250</v>
      </c>
    </row>
    <row r="7953" spans="1:6">
      <c r="A7953" s="211" t="s">
        <v>6501</v>
      </c>
      <c r="B7953" s="211">
        <v>2695</v>
      </c>
      <c r="C7953" s="211">
        <v>1166</v>
      </c>
      <c r="D7953" s="211" t="s">
        <v>1255</v>
      </c>
      <c r="E7953" s="211" t="s">
        <v>11092</v>
      </c>
      <c r="F7953" s="211" t="s">
        <v>7425</v>
      </c>
    </row>
    <row r="7954" spans="1:6">
      <c r="A7954" s="211" t="s">
        <v>10286</v>
      </c>
      <c r="B7954" s="211">
        <v>7897</v>
      </c>
      <c r="C7954" s="211">
        <v>1979</v>
      </c>
      <c r="D7954" s="211" t="s">
        <v>1255</v>
      </c>
      <c r="E7954" s="211" t="s">
        <v>11093</v>
      </c>
      <c r="F7954" s="211" t="s">
        <v>7402</v>
      </c>
    </row>
    <row r="7955" spans="1:6">
      <c r="A7955" s="211" t="s">
        <v>8858</v>
      </c>
      <c r="B7955" s="211">
        <v>635</v>
      </c>
      <c r="C7955" s="211" t="s">
        <v>10385</v>
      </c>
      <c r="D7955" s="211" t="s">
        <v>1255</v>
      </c>
      <c r="E7955" s="211" t="s">
        <v>10385</v>
      </c>
      <c r="F7955" s="211" t="s">
        <v>7425</v>
      </c>
    </row>
    <row r="7956" spans="1:6">
      <c r="A7956" s="211" t="s">
        <v>8859</v>
      </c>
      <c r="B7956" s="211">
        <v>645</v>
      </c>
      <c r="C7956" s="211" t="s">
        <v>10385</v>
      </c>
      <c r="D7956" s="211" t="s">
        <v>1255</v>
      </c>
      <c r="E7956" s="211" t="s">
        <v>10385</v>
      </c>
      <c r="F7956" s="211" t="s">
        <v>7504</v>
      </c>
    </row>
    <row r="7957" spans="1:6">
      <c r="A7957" s="211" t="s">
        <v>6502</v>
      </c>
      <c r="B7957" s="211">
        <v>6176</v>
      </c>
      <c r="C7957" s="211">
        <v>1053</v>
      </c>
      <c r="D7957" s="211" t="s">
        <v>1255</v>
      </c>
      <c r="E7957" s="211" t="s">
        <v>10385</v>
      </c>
      <c r="F7957" s="211" t="s">
        <v>7173</v>
      </c>
    </row>
    <row r="7958" spans="1:6">
      <c r="A7958" s="211" t="s">
        <v>6503</v>
      </c>
      <c r="B7958" s="211">
        <v>2026</v>
      </c>
      <c r="C7958" s="211">
        <v>1794</v>
      </c>
      <c r="D7958" s="211" t="s">
        <v>1255</v>
      </c>
      <c r="E7958" s="211" t="s">
        <v>10385</v>
      </c>
      <c r="F7958" s="211" t="s">
        <v>7285</v>
      </c>
    </row>
    <row r="7959" spans="1:6">
      <c r="A7959" s="211" t="s">
        <v>6504</v>
      </c>
      <c r="B7959" s="211">
        <v>285</v>
      </c>
      <c r="C7959" s="211">
        <v>1557</v>
      </c>
      <c r="D7959" s="211" t="s">
        <v>1255</v>
      </c>
      <c r="E7959" s="211" t="s">
        <v>10385</v>
      </c>
      <c r="F7959" s="211" t="s">
        <v>7245</v>
      </c>
    </row>
    <row r="7960" spans="1:6">
      <c r="A7960" s="211" t="s">
        <v>6505</v>
      </c>
      <c r="B7960" s="211">
        <v>6192</v>
      </c>
      <c r="C7960" s="211">
        <v>1280</v>
      </c>
      <c r="D7960" s="211" t="s">
        <v>1255</v>
      </c>
      <c r="E7960" s="211" t="s">
        <v>10287</v>
      </c>
      <c r="F7960" s="211" t="s">
        <v>7292</v>
      </c>
    </row>
    <row r="7961" spans="1:6">
      <c r="A7961" s="211" t="s">
        <v>6506</v>
      </c>
      <c r="B7961" s="211">
        <v>5575</v>
      </c>
      <c r="C7961" s="211">
        <v>1993</v>
      </c>
      <c r="D7961" s="211" t="s">
        <v>1255</v>
      </c>
      <c r="E7961" s="211" t="s">
        <v>10288</v>
      </c>
      <c r="F7961" s="211" t="s">
        <v>7167</v>
      </c>
    </row>
    <row r="7962" spans="1:6">
      <c r="A7962" s="211" t="s">
        <v>6507</v>
      </c>
      <c r="B7962" s="211">
        <v>6427</v>
      </c>
      <c r="C7962" s="211">
        <v>1483</v>
      </c>
      <c r="D7962" s="211" t="s">
        <v>1117</v>
      </c>
      <c r="E7962" s="211" t="s">
        <v>10289</v>
      </c>
      <c r="F7962" s="211" t="s">
        <v>7167</v>
      </c>
    </row>
    <row r="7963" spans="1:6">
      <c r="A7963" s="211" t="s">
        <v>10290</v>
      </c>
      <c r="B7963" s="211">
        <v>8303</v>
      </c>
      <c r="C7963" s="211">
        <v>992</v>
      </c>
      <c r="D7963" s="211" t="s">
        <v>1117</v>
      </c>
      <c r="E7963" s="211" t="s">
        <v>10385</v>
      </c>
      <c r="F7963" s="211" t="s">
        <v>7573</v>
      </c>
    </row>
    <row r="7964" spans="1:6">
      <c r="A7964" s="211" t="s">
        <v>6508</v>
      </c>
      <c r="B7964" s="211">
        <v>6002</v>
      </c>
      <c r="C7964" s="211">
        <v>1527</v>
      </c>
      <c r="D7964" s="211" t="s">
        <v>1255</v>
      </c>
      <c r="E7964" s="211" t="s">
        <v>6509</v>
      </c>
      <c r="F7964" s="211" t="s">
        <v>7284</v>
      </c>
    </row>
    <row r="7965" spans="1:6">
      <c r="A7965" s="211" t="s">
        <v>6510</v>
      </c>
      <c r="B7965" s="211">
        <v>5659</v>
      </c>
      <c r="C7965" s="211">
        <v>1254</v>
      </c>
      <c r="D7965" s="211" t="s">
        <v>1255</v>
      </c>
      <c r="E7965" s="211" t="s">
        <v>10385</v>
      </c>
      <c r="F7965" s="211" t="s">
        <v>7167</v>
      </c>
    </row>
    <row r="7966" spans="1:6">
      <c r="A7966" s="211" t="s">
        <v>8860</v>
      </c>
      <c r="B7966" s="211">
        <v>6048</v>
      </c>
      <c r="C7966" s="211" t="s">
        <v>10385</v>
      </c>
      <c r="D7966" s="211" t="s">
        <v>1255</v>
      </c>
      <c r="E7966" s="211" t="s">
        <v>10385</v>
      </c>
      <c r="F7966" s="211" t="s">
        <v>7240</v>
      </c>
    </row>
    <row r="7967" spans="1:6">
      <c r="A7967" s="211" t="s">
        <v>6511</v>
      </c>
      <c r="B7967" s="211">
        <v>3711</v>
      </c>
      <c r="C7967" s="211">
        <v>888</v>
      </c>
      <c r="D7967" s="211" t="s">
        <v>1117</v>
      </c>
      <c r="E7967" s="211" t="s">
        <v>10385</v>
      </c>
      <c r="F7967" s="211" t="s">
        <v>7386</v>
      </c>
    </row>
    <row r="7968" spans="1:6">
      <c r="A7968" s="211" t="s">
        <v>10291</v>
      </c>
      <c r="B7968" s="211">
        <v>8547</v>
      </c>
      <c r="C7968" s="211">
        <v>932</v>
      </c>
      <c r="D7968" s="211" t="s">
        <v>1117</v>
      </c>
      <c r="E7968" s="211" t="s">
        <v>11094</v>
      </c>
      <c r="F7968" s="211" t="s">
        <v>7377</v>
      </c>
    </row>
    <row r="7969" spans="1:6">
      <c r="A7969" s="211" t="s">
        <v>8861</v>
      </c>
      <c r="B7969" s="211">
        <v>4973</v>
      </c>
      <c r="C7969" s="211" t="s">
        <v>10385</v>
      </c>
      <c r="D7969" s="211" t="s">
        <v>1255</v>
      </c>
      <c r="E7969" s="211" t="s">
        <v>10385</v>
      </c>
      <c r="F7969" s="211" t="s">
        <v>7242</v>
      </c>
    </row>
    <row r="7970" spans="1:6">
      <c r="A7970" s="211" t="s">
        <v>6512</v>
      </c>
      <c r="B7970" s="211">
        <v>1916</v>
      </c>
      <c r="C7970" s="211">
        <v>1518</v>
      </c>
      <c r="D7970" s="211" t="s">
        <v>1255</v>
      </c>
      <c r="E7970" s="211" t="s">
        <v>10385</v>
      </c>
      <c r="F7970" s="211" t="s">
        <v>7384</v>
      </c>
    </row>
    <row r="7971" spans="1:6">
      <c r="A7971" s="211" t="s">
        <v>6513</v>
      </c>
      <c r="B7971" s="211">
        <v>6825</v>
      </c>
      <c r="C7971" s="211">
        <v>1210</v>
      </c>
      <c r="D7971" s="211" t="s">
        <v>1255</v>
      </c>
      <c r="E7971" s="211" t="s">
        <v>10385</v>
      </c>
      <c r="F7971" s="211" t="s">
        <v>7224</v>
      </c>
    </row>
    <row r="7972" spans="1:6">
      <c r="A7972" s="211" t="s">
        <v>6514</v>
      </c>
      <c r="B7972" s="211">
        <v>6295</v>
      </c>
      <c r="C7972" s="211">
        <v>1693</v>
      </c>
      <c r="D7972" s="211" t="s">
        <v>1255</v>
      </c>
      <c r="E7972" s="211" t="s">
        <v>6515</v>
      </c>
      <c r="F7972" s="211" t="s">
        <v>7162</v>
      </c>
    </row>
    <row r="7973" spans="1:6">
      <c r="A7973" s="211" t="s">
        <v>6516</v>
      </c>
      <c r="B7973" s="211">
        <v>2371</v>
      </c>
      <c r="C7973" s="211">
        <v>1465</v>
      </c>
      <c r="D7973" s="211" t="s">
        <v>1255</v>
      </c>
      <c r="E7973" s="211" t="s">
        <v>10385</v>
      </c>
      <c r="F7973" s="211" t="s">
        <v>7173</v>
      </c>
    </row>
    <row r="7974" spans="1:6">
      <c r="A7974" s="211" t="s">
        <v>6517</v>
      </c>
      <c r="B7974" s="211">
        <v>2448</v>
      </c>
      <c r="C7974" s="211">
        <v>1160</v>
      </c>
      <c r="D7974" s="211" t="s">
        <v>1255</v>
      </c>
      <c r="E7974" s="211" t="s">
        <v>10385</v>
      </c>
      <c r="F7974" s="211" t="s">
        <v>7327</v>
      </c>
    </row>
    <row r="7975" spans="1:6">
      <c r="A7975" s="211" t="s">
        <v>6518</v>
      </c>
      <c r="B7975" s="211">
        <v>2690</v>
      </c>
      <c r="C7975" s="211">
        <v>1071</v>
      </c>
      <c r="D7975" s="211" t="s">
        <v>1255</v>
      </c>
      <c r="E7975" s="211" t="s">
        <v>10385</v>
      </c>
      <c r="F7975" s="211" t="s">
        <v>7284</v>
      </c>
    </row>
    <row r="7976" spans="1:6">
      <c r="A7976" s="211" t="s">
        <v>6519</v>
      </c>
      <c r="B7976" s="211">
        <v>3825</v>
      </c>
      <c r="C7976" s="211">
        <v>933</v>
      </c>
      <c r="D7976" s="211" t="s">
        <v>1255</v>
      </c>
      <c r="E7976" s="211" t="s">
        <v>10385</v>
      </c>
      <c r="F7976" s="211" t="s">
        <v>7471</v>
      </c>
    </row>
    <row r="7977" spans="1:6">
      <c r="A7977" s="211" t="s">
        <v>6520</v>
      </c>
      <c r="B7977" s="211">
        <v>2591</v>
      </c>
      <c r="C7977" s="211">
        <v>1029</v>
      </c>
      <c r="D7977" s="211" t="s">
        <v>1255</v>
      </c>
      <c r="E7977" s="211" t="s">
        <v>10385</v>
      </c>
      <c r="F7977" s="211" t="s">
        <v>7386</v>
      </c>
    </row>
    <row r="7978" spans="1:6">
      <c r="A7978" s="211" t="s">
        <v>10292</v>
      </c>
      <c r="B7978" s="211">
        <v>8355</v>
      </c>
      <c r="C7978" s="211">
        <v>1893</v>
      </c>
      <c r="D7978" s="211" t="s">
        <v>1117</v>
      </c>
      <c r="E7978" s="211" t="s">
        <v>10293</v>
      </c>
      <c r="F7978" s="211" t="s">
        <v>7282</v>
      </c>
    </row>
    <row r="7979" spans="1:6">
      <c r="A7979" s="211" t="s">
        <v>8862</v>
      </c>
      <c r="B7979" s="211">
        <v>1945</v>
      </c>
      <c r="C7979" s="211" t="s">
        <v>10385</v>
      </c>
      <c r="D7979" s="211" t="s">
        <v>1255</v>
      </c>
      <c r="E7979" s="211" t="s">
        <v>10385</v>
      </c>
      <c r="F7979" s="211" t="s">
        <v>7425</v>
      </c>
    </row>
    <row r="7980" spans="1:6">
      <c r="A7980" s="211" t="s">
        <v>10294</v>
      </c>
      <c r="B7980" s="211">
        <v>7925</v>
      </c>
      <c r="C7980" s="211" t="s">
        <v>10385</v>
      </c>
      <c r="D7980" s="211" t="s">
        <v>1255</v>
      </c>
      <c r="E7980" s="211" t="s">
        <v>10295</v>
      </c>
      <c r="F7980" s="211" t="s">
        <v>7210</v>
      </c>
    </row>
    <row r="7981" spans="1:6">
      <c r="A7981" s="211" t="s">
        <v>9016</v>
      </c>
      <c r="B7981" s="211">
        <v>3923</v>
      </c>
      <c r="C7981" s="211" t="s">
        <v>10385</v>
      </c>
      <c r="D7981" s="211" t="s">
        <v>1255</v>
      </c>
      <c r="E7981" s="211" t="s">
        <v>10385</v>
      </c>
      <c r="F7981" s="211" t="s">
        <v>7425</v>
      </c>
    </row>
    <row r="7982" spans="1:6">
      <c r="A7982" s="211" t="s">
        <v>9017</v>
      </c>
      <c r="B7982" s="211">
        <v>641</v>
      </c>
      <c r="C7982" s="211">
        <v>1537</v>
      </c>
      <c r="D7982" s="211" t="s">
        <v>1255</v>
      </c>
      <c r="E7982" s="211" t="s">
        <v>10385</v>
      </c>
      <c r="F7982" s="211" t="s">
        <v>7285</v>
      </c>
    </row>
    <row r="7983" spans="1:6">
      <c r="A7983" s="211" t="s">
        <v>6521</v>
      </c>
      <c r="B7983" s="211">
        <v>6644</v>
      </c>
      <c r="C7983" s="211">
        <v>1096</v>
      </c>
      <c r="D7983" s="211" t="s">
        <v>1255</v>
      </c>
      <c r="E7983" s="211" t="s">
        <v>10296</v>
      </c>
      <c r="F7983" s="211" t="s">
        <v>7304</v>
      </c>
    </row>
    <row r="7984" spans="1:6">
      <c r="A7984" s="211" t="s">
        <v>6522</v>
      </c>
      <c r="B7984" s="211">
        <v>3974</v>
      </c>
      <c r="C7984" s="211">
        <v>1109</v>
      </c>
      <c r="D7984" s="211" t="s">
        <v>1255</v>
      </c>
      <c r="E7984" s="211" t="s">
        <v>10385</v>
      </c>
      <c r="F7984" s="211" t="s">
        <v>7241</v>
      </c>
    </row>
    <row r="7985" spans="1:6">
      <c r="A7985" s="211" t="s">
        <v>8863</v>
      </c>
      <c r="B7985" s="211">
        <v>5622</v>
      </c>
      <c r="C7985" s="211">
        <v>1276</v>
      </c>
      <c r="D7985" s="211" t="s">
        <v>1255</v>
      </c>
      <c r="E7985" s="211" t="s">
        <v>10385</v>
      </c>
      <c r="F7985" s="211" t="s">
        <v>7454</v>
      </c>
    </row>
    <row r="7986" spans="1:6">
      <c r="A7986" s="211" t="s">
        <v>8864</v>
      </c>
      <c r="B7986" s="211">
        <v>7878</v>
      </c>
      <c r="C7986" s="211" t="s">
        <v>10385</v>
      </c>
      <c r="D7986" s="211" t="s">
        <v>1255</v>
      </c>
      <c r="E7986" s="211" t="s">
        <v>10385</v>
      </c>
      <c r="F7986" s="211" t="s">
        <v>7272</v>
      </c>
    </row>
    <row r="7987" spans="1:6">
      <c r="A7987" s="211" t="s">
        <v>6523</v>
      </c>
      <c r="B7987" s="211">
        <v>3737</v>
      </c>
      <c r="C7987" s="211">
        <v>935</v>
      </c>
      <c r="D7987" s="211" t="s">
        <v>1255</v>
      </c>
      <c r="E7987" s="211" t="s">
        <v>10385</v>
      </c>
      <c r="F7987" s="211" t="s">
        <v>7195</v>
      </c>
    </row>
    <row r="7988" spans="1:6">
      <c r="A7988" s="211" t="s">
        <v>6524</v>
      </c>
      <c r="B7988" s="211">
        <v>7221</v>
      </c>
      <c r="C7988" s="211">
        <v>1563</v>
      </c>
      <c r="D7988" s="211" t="s">
        <v>1255</v>
      </c>
      <c r="E7988" s="211" t="s">
        <v>10297</v>
      </c>
      <c r="F7988" s="211" t="s">
        <v>7341</v>
      </c>
    </row>
    <row r="7989" spans="1:6">
      <c r="A7989" s="211" t="s">
        <v>8865</v>
      </c>
      <c r="B7989" s="211">
        <v>7877</v>
      </c>
      <c r="C7989" s="211">
        <v>2600</v>
      </c>
      <c r="D7989" s="211" t="s">
        <v>1117</v>
      </c>
      <c r="E7989" s="211" t="s">
        <v>11095</v>
      </c>
      <c r="F7989" s="211" t="s">
        <v>7592</v>
      </c>
    </row>
    <row r="7990" spans="1:6">
      <c r="A7990" s="211" t="s">
        <v>6525</v>
      </c>
      <c r="B7990" s="211">
        <v>6221</v>
      </c>
      <c r="C7990" s="211">
        <v>867</v>
      </c>
      <c r="D7990" s="211" t="s">
        <v>1255</v>
      </c>
      <c r="E7990" s="211" t="s">
        <v>10385</v>
      </c>
      <c r="F7990" s="211" t="s">
        <v>7328</v>
      </c>
    </row>
    <row r="7991" spans="1:6">
      <c r="A7991" s="211" t="s">
        <v>6526</v>
      </c>
      <c r="B7991" s="211">
        <v>5398</v>
      </c>
      <c r="C7991" s="211">
        <v>853</v>
      </c>
      <c r="D7991" s="211" t="s">
        <v>1117</v>
      </c>
      <c r="E7991" s="211" t="s">
        <v>10385</v>
      </c>
      <c r="F7991" s="211" t="s">
        <v>7524</v>
      </c>
    </row>
    <row r="7992" spans="1:6">
      <c r="A7992" s="211" t="s">
        <v>6527</v>
      </c>
      <c r="B7992" s="211">
        <v>216</v>
      </c>
      <c r="C7992" s="211">
        <v>1509</v>
      </c>
      <c r="D7992" s="211" t="s">
        <v>1255</v>
      </c>
      <c r="E7992" s="211" t="s">
        <v>10385</v>
      </c>
      <c r="F7992" s="211" t="s">
        <v>7199</v>
      </c>
    </row>
    <row r="7993" spans="1:6">
      <c r="A7993" s="211" t="s">
        <v>6528</v>
      </c>
      <c r="B7993" s="211">
        <v>7737</v>
      </c>
      <c r="C7993" s="211">
        <v>2107</v>
      </c>
      <c r="D7993" s="211" t="s">
        <v>1117</v>
      </c>
      <c r="E7993" s="211" t="s">
        <v>7133</v>
      </c>
      <c r="F7993" s="211" t="s">
        <v>7167</v>
      </c>
    </row>
    <row r="7994" spans="1:6">
      <c r="A7994" s="211" t="s">
        <v>6529</v>
      </c>
      <c r="B7994" s="211">
        <v>3298</v>
      </c>
      <c r="C7994" s="211">
        <v>1306</v>
      </c>
      <c r="D7994" s="211" t="s">
        <v>1255</v>
      </c>
      <c r="E7994" s="211" t="s">
        <v>10385</v>
      </c>
      <c r="F7994" s="211" t="s">
        <v>7318</v>
      </c>
    </row>
    <row r="7995" spans="1:6">
      <c r="A7995" s="211" t="s">
        <v>10298</v>
      </c>
      <c r="B7995" s="211">
        <v>8422</v>
      </c>
      <c r="C7995" s="211">
        <v>1778</v>
      </c>
      <c r="D7995" s="211" t="s">
        <v>1255</v>
      </c>
      <c r="E7995" s="211" t="s">
        <v>10299</v>
      </c>
      <c r="F7995" s="211" t="s">
        <v>7341</v>
      </c>
    </row>
    <row r="7996" spans="1:6">
      <c r="A7996" s="211" t="s">
        <v>6530</v>
      </c>
      <c r="B7996" s="211">
        <v>3781</v>
      </c>
      <c r="C7996" s="211">
        <v>1733</v>
      </c>
      <c r="D7996" s="211" t="s">
        <v>1117</v>
      </c>
      <c r="E7996" s="211" t="s">
        <v>10385</v>
      </c>
      <c r="F7996" s="211" t="s">
        <v>7306</v>
      </c>
    </row>
    <row r="7997" spans="1:6">
      <c r="A7997" s="211" t="s">
        <v>10300</v>
      </c>
      <c r="B7997" s="211">
        <v>8015</v>
      </c>
      <c r="C7997" s="211">
        <v>2014</v>
      </c>
      <c r="D7997" s="211" t="s">
        <v>1117</v>
      </c>
      <c r="E7997" s="211" t="s">
        <v>10385</v>
      </c>
      <c r="F7997" s="211" t="s">
        <v>7518</v>
      </c>
    </row>
    <row r="7998" spans="1:6">
      <c r="A7998" s="211" t="s">
        <v>11096</v>
      </c>
      <c r="B7998" s="211">
        <v>8852</v>
      </c>
      <c r="C7998" s="211">
        <v>1603</v>
      </c>
      <c r="D7998" s="211" t="s">
        <v>1255</v>
      </c>
      <c r="E7998" s="211" t="s">
        <v>11097</v>
      </c>
      <c r="F7998" s="211" t="s">
        <v>7205</v>
      </c>
    </row>
    <row r="7999" spans="1:6">
      <c r="A7999" s="211" t="s">
        <v>6532</v>
      </c>
      <c r="B7999" s="211">
        <v>3514</v>
      </c>
      <c r="C7999" s="211">
        <v>1313</v>
      </c>
      <c r="D7999" s="211" t="s">
        <v>1255</v>
      </c>
      <c r="E7999" s="211" t="s">
        <v>10385</v>
      </c>
      <c r="F7999" s="211" t="s">
        <v>7263</v>
      </c>
    </row>
    <row r="8000" spans="1:6">
      <c r="A8000" s="211" t="s">
        <v>6533</v>
      </c>
      <c r="B8000" s="211">
        <v>2139</v>
      </c>
      <c r="C8000" s="211">
        <v>1580</v>
      </c>
      <c r="D8000" s="211" t="s">
        <v>1255</v>
      </c>
      <c r="E8000" s="211" t="s">
        <v>10385</v>
      </c>
      <c r="F8000" s="211" t="s">
        <v>7199</v>
      </c>
    </row>
    <row r="8001" spans="1:6">
      <c r="A8001" s="211" t="s">
        <v>6534</v>
      </c>
      <c r="B8001" s="211">
        <v>6374</v>
      </c>
      <c r="C8001" s="211">
        <v>1425</v>
      </c>
      <c r="D8001" s="211" t="s">
        <v>1255</v>
      </c>
      <c r="E8001" s="211" t="s">
        <v>10301</v>
      </c>
      <c r="F8001" s="211" t="s">
        <v>7263</v>
      </c>
    </row>
    <row r="8002" spans="1:6">
      <c r="A8002" s="211" t="s">
        <v>6535</v>
      </c>
      <c r="B8002" s="211">
        <v>7398</v>
      </c>
      <c r="C8002" s="211">
        <v>668</v>
      </c>
      <c r="D8002" s="211" t="s">
        <v>1117</v>
      </c>
      <c r="E8002" s="211" t="s">
        <v>10302</v>
      </c>
      <c r="F8002" s="211" t="s">
        <v>7524</v>
      </c>
    </row>
    <row r="8003" spans="1:6">
      <c r="A8003" s="211" t="s">
        <v>8866</v>
      </c>
      <c r="B8003" s="211">
        <v>3132</v>
      </c>
      <c r="C8003" s="211" t="s">
        <v>10385</v>
      </c>
      <c r="D8003" s="211" t="s">
        <v>1255</v>
      </c>
      <c r="E8003" s="211" t="s">
        <v>10385</v>
      </c>
      <c r="F8003" s="211" t="s">
        <v>8673</v>
      </c>
    </row>
    <row r="8004" spans="1:6">
      <c r="A8004" s="211" t="s">
        <v>8867</v>
      </c>
      <c r="B8004" s="211">
        <v>567</v>
      </c>
      <c r="C8004" s="211" t="s">
        <v>10385</v>
      </c>
      <c r="D8004" s="211" t="s">
        <v>1255</v>
      </c>
      <c r="E8004" s="211" t="s">
        <v>10385</v>
      </c>
      <c r="F8004" s="211" t="s">
        <v>7791</v>
      </c>
    </row>
    <row r="8005" spans="1:6">
      <c r="A8005" s="211" t="s">
        <v>11098</v>
      </c>
      <c r="B8005" s="211">
        <v>8786</v>
      </c>
      <c r="C8005" s="211">
        <v>965</v>
      </c>
      <c r="D8005" s="211" t="s">
        <v>1255</v>
      </c>
      <c r="E8005" s="211" t="s">
        <v>10385</v>
      </c>
      <c r="F8005" s="211" t="s">
        <v>7354</v>
      </c>
    </row>
    <row r="8006" spans="1:6">
      <c r="A8006" s="211" t="s">
        <v>7134</v>
      </c>
      <c r="B8006" s="211">
        <v>7830</v>
      </c>
      <c r="C8006" s="211">
        <v>994</v>
      </c>
      <c r="D8006" s="211" t="s">
        <v>1255</v>
      </c>
      <c r="E8006" s="211" t="s">
        <v>7135</v>
      </c>
      <c r="F8006" s="211" t="s">
        <v>7335</v>
      </c>
    </row>
    <row r="8007" spans="1:6">
      <c r="A8007" s="211" t="s">
        <v>7136</v>
      </c>
      <c r="B8007" s="211">
        <v>7645</v>
      </c>
      <c r="C8007" s="211">
        <v>1086</v>
      </c>
      <c r="D8007" s="211" t="s">
        <v>1255</v>
      </c>
      <c r="E8007" s="211" t="s">
        <v>7137</v>
      </c>
      <c r="F8007" s="211" t="s">
        <v>7243</v>
      </c>
    </row>
    <row r="8008" spans="1:6">
      <c r="A8008" s="211" t="s">
        <v>6536</v>
      </c>
      <c r="B8008" s="211">
        <v>6502</v>
      </c>
      <c r="C8008" s="211">
        <v>1663</v>
      </c>
      <c r="D8008" s="211" t="s">
        <v>1255</v>
      </c>
      <c r="E8008" s="211" t="s">
        <v>10385</v>
      </c>
      <c r="F8008" s="211" t="s">
        <v>7205</v>
      </c>
    </row>
    <row r="8009" spans="1:6">
      <c r="A8009" s="211" t="s">
        <v>8868</v>
      </c>
      <c r="B8009" s="211">
        <v>7343</v>
      </c>
      <c r="C8009" s="211">
        <v>2022</v>
      </c>
      <c r="D8009" s="211" t="s">
        <v>1117</v>
      </c>
      <c r="E8009" s="211" t="s">
        <v>6531</v>
      </c>
      <c r="F8009" s="211" t="s">
        <v>7518</v>
      </c>
    </row>
    <row r="8010" spans="1:6">
      <c r="A8010" s="211" t="s">
        <v>6537</v>
      </c>
      <c r="B8010" s="211">
        <v>2123</v>
      </c>
      <c r="C8010" s="211">
        <v>1019</v>
      </c>
      <c r="D8010" s="211" t="s">
        <v>1255</v>
      </c>
      <c r="E8010" s="211" t="s">
        <v>10385</v>
      </c>
      <c r="F8010" s="211" t="s">
        <v>7171</v>
      </c>
    </row>
    <row r="8011" spans="1:6">
      <c r="A8011" s="211" t="s">
        <v>6538</v>
      </c>
      <c r="B8011" s="211">
        <v>6668</v>
      </c>
      <c r="C8011" s="211">
        <v>984</v>
      </c>
      <c r="D8011" s="211" t="s">
        <v>1117</v>
      </c>
      <c r="E8011" s="211" t="s">
        <v>6539</v>
      </c>
      <c r="F8011" s="211" t="s">
        <v>7285</v>
      </c>
    </row>
    <row r="8012" spans="1:6">
      <c r="A8012" s="211" t="s">
        <v>6540</v>
      </c>
      <c r="B8012" s="211">
        <v>7168</v>
      </c>
      <c r="C8012" s="211">
        <v>1464</v>
      </c>
      <c r="D8012" s="211" t="s">
        <v>1255</v>
      </c>
      <c r="E8012" s="211" t="s">
        <v>7138</v>
      </c>
      <c r="F8012" s="211" t="s">
        <v>7583</v>
      </c>
    </row>
    <row r="8013" spans="1:6">
      <c r="A8013" s="211" t="s">
        <v>6541</v>
      </c>
      <c r="B8013" s="211">
        <v>4745</v>
      </c>
      <c r="C8013" s="211">
        <v>1405</v>
      </c>
      <c r="D8013" s="211" t="s">
        <v>1255</v>
      </c>
      <c r="E8013" s="211" t="s">
        <v>10385</v>
      </c>
      <c r="F8013" s="211" t="s">
        <v>7587</v>
      </c>
    </row>
    <row r="8014" spans="1:6">
      <c r="A8014" s="211" t="s">
        <v>6542</v>
      </c>
      <c r="B8014" s="211">
        <v>1957</v>
      </c>
      <c r="C8014" s="211">
        <v>1718</v>
      </c>
      <c r="D8014" s="211" t="s">
        <v>1255</v>
      </c>
      <c r="E8014" s="211" t="s">
        <v>10385</v>
      </c>
      <c r="F8014" s="211" t="s">
        <v>7354</v>
      </c>
    </row>
    <row r="8015" spans="1:6">
      <c r="A8015" s="211" t="s">
        <v>8869</v>
      </c>
      <c r="B8015" s="211">
        <v>670</v>
      </c>
      <c r="C8015" s="211" t="s">
        <v>10385</v>
      </c>
      <c r="D8015" s="211" t="s">
        <v>1255</v>
      </c>
      <c r="E8015" s="211" t="s">
        <v>10385</v>
      </c>
      <c r="F8015" s="211" t="s">
        <v>7171</v>
      </c>
    </row>
    <row r="8016" spans="1:6">
      <c r="A8016" s="211" t="s">
        <v>8870</v>
      </c>
      <c r="B8016" s="211">
        <v>3062</v>
      </c>
      <c r="C8016" s="211" t="s">
        <v>10385</v>
      </c>
      <c r="D8016" s="211" t="s">
        <v>1255</v>
      </c>
      <c r="E8016" s="211" t="s">
        <v>10385</v>
      </c>
      <c r="F8016" s="211" t="s">
        <v>7213</v>
      </c>
    </row>
    <row r="8017" spans="1:6">
      <c r="A8017" s="211" t="s">
        <v>6543</v>
      </c>
      <c r="B8017" s="211">
        <v>5434</v>
      </c>
      <c r="C8017" s="211">
        <v>908</v>
      </c>
      <c r="D8017" s="211" t="s">
        <v>1255</v>
      </c>
      <c r="E8017" s="211" t="s">
        <v>10385</v>
      </c>
      <c r="F8017" s="211" t="s">
        <v>7471</v>
      </c>
    </row>
    <row r="8018" spans="1:6">
      <c r="A8018" s="211" t="s">
        <v>6544</v>
      </c>
      <c r="B8018" s="211">
        <v>1681</v>
      </c>
      <c r="C8018" s="211">
        <v>1136</v>
      </c>
      <c r="D8018" s="211" t="s">
        <v>1255</v>
      </c>
      <c r="E8018" s="211" t="s">
        <v>10385</v>
      </c>
      <c r="F8018" s="211" t="s">
        <v>7196</v>
      </c>
    </row>
    <row r="8019" spans="1:6">
      <c r="A8019" s="211" t="s">
        <v>6545</v>
      </c>
      <c r="B8019" s="211">
        <v>4925</v>
      </c>
      <c r="C8019" s="211">
        <v>1167</v>
      </c>
      <c r="D8019" s="211" t="s">
        <v>1255</v>
      </c>
      <c r="E8019" s="211" t="s">
        <v>10385</v>
      </c>
      <c r="F8019" s="211" t="s">
        <v>7377</v>
      </c>
    </row>
    <row r="8020" spans="1:6">
      <c r="A8020" s="211" t="s">
        <v>6546</v>
      </c>
      <c r="B8020" s="211">
        <v>7103</v>
      </c>
      <c r="C8020" s="211">
        <v>1478</v>
      </c>
      <c r="D8020" s="211" t="s">
        <v>1255</v>
      </c>
      <c r="E8020" s="211" t="s">
        <v>7139</v>
      </c>
      <c r="F8020" s="211" t="s">
        <v>7377</v>
      </c>
    </row>
    <row r="8021" spans="1:6">
      <c r="A8021" s="211" t="s">
        <v>6547</v>
      </c>
      <c r="B8021" s="211">
        <v>1051</v>
      </c>
      <c r="C8021" s="211">
        <v>1045</v>
      </c>
      <c r="D8021" s="211" t="s">
        <v>1255</v>
      </c>
      <c r="E8021" s="211" t="s">
        <v>10385</v>
      </c>
      <c r="F8021" s="211" t="s">
        <v>7297</v>
      </c>
    </row>
    <row r="8022" spans="1:6">
      <c r="A8022" s="211" t="s">
        <v>10303</v>
      </c>
      <c r="B8022" s="211">
        <v>7937</v>
      </c>
      <c r="C8022" s="211" t="s">
        <v>10385</v>
      </c>
      <c r="D8022" s="211" t="s">
        <v>1117</v>
      </c>
      <c r="E8022" s="211" t="s">
        <v>10304</v>
      </c>
      <c r="F8022" s="211" t="s">
        <v>7232</v>
      </c>
    </row>
    <row r="8023" spans="1:6">
      <c r="A8023" s="211" t="s">
        <v>10379</v>
      </c>
      <c r="B8023" s="211">
        <v>862</v>
      </c>
      <c r="C8023" s="211" t="s">
        <v>10385</v>
      </c>
      <c r="D8023" s="211" t="s">
        <v>1255</v>
      </c>
      <c r="E8023" s="211" t="s">
        <v>10385</v>
      </c>
      <c r="F8023" s="211" t="s">
        <v>7867</v>
      </c>
    </row>
    <row r="8024" spans="1:6">
      <c r="A8024" s="211" t="s">
        <v>10305</v>
      </c>
      <c r="B8024" s="211">
        <v>8131</v>
      </c>
      <c r="C8024" s="211">
        <v>1125</v>
      </c>
      <c r="D8024" s="211" t="s">
        <v>1255</v>
      </c>
      <c r="E8024" s="211" t="s">
        <v>11099</v>
      </c>
      <c r="F8024" s="211" t="s">
        <v>7587</v>
      </c>
    </row>
    <row r="8025" spans="1:6">
      <c r="A8025" s="211" t="s">
        <v>6548</v>
      </c>
      <c r="B8025" s="211">
        <v>3587</v>
      </c>
      <c r="C8025" s="211">
        <v>1326</v>
      </c>
      <c r="D8025" s="211" t="s">
        <v>1117</v>
      </c>
      <c r="E8025" s="211" t="s">
        <v>10385</v>
      </c>
      <c r="F8025" s="211" t="s">
        <v>7205</v>
      </c>
    </row>
    <row r="8026" spans="1:6">
      <c r="A8026" s="211" t="s">
        <v>10306</v>
      </c>
      <c r="B8026" s="211">
        <v>8430</v>
      </c>
      <c r="C8026" s="211">
        <v>1625</v>
      </c>
      <c r="D8026" s="211" t="s">
        <v>1255</v>
      </c>
      <c r="E8026" s="211" t="s">
        <v>10307</v>
      </c>
      <c r="F8026" s="211" t="s">
        <v>7272</v>
      </c>
    </row>
    <row r="8027" spans="1:6">
      <c r="A8027" s="211" t="s">
        <v>6549</v>
      </c>
      <c r="B8027" s="211">
        <v>7596</v>
      </c>
      <c r="C8027" s="211">
        <v>1239</v>
      </c>
      <c r="D8027" s="211" t="s">
        <v>1255</v>
      </c>
      <c r="E8027" s="211" t="s">
        <v>7140</v>
      </c>
      <c r="F8027" s="211" t="s">
        <v>7342</v>
      </c>
    </row>
    <row r="8028" spans="1:6">
      <c r="A8028" s="211" t="s">
        <v>6550</v>
      </c>
      <c r="B8028" s="211">
        <v>6599</v>
      </c>
      <c r="C8028" s="211">
        <v>1284</v>
      </c>
      <c r="D8028" s="211" t="s">
        <v>1255</v>
      </c>
      <c r="E8028" s="211" t="s">
        <v>10385</v>
      </c>
      <c r="F8028" s="211" t="s">
        <v>7192</v>
      </c>
    </row>
    <row r="8029" spans="1:6">
      <c r="A8029" s="211" t="s">
        <v>6551</v>
      </c>
      <c r="B8029" s="211">
        <v>5453</v>
      </c>
      <c r="C8029" s="211">
        <v>1848</v>
      </c>
      <c r="D8029" s="211" t="s">
        <v>1255</v>
      </c>
      <c r="E8029" s="211" t="s">
        <v>10385</v>
      </c>
      <c r="F8029" s="211" t="s">
        <v>7938</v>
      </c>
    </row>
    <row r="8030" spans="1:6">
      <c r="A8030" s="211" t="s">
        <v>10308</v>
      </c>
      <c r="B8030" s="211">
        <v>8014</v>
      </c>
      <c r="C8030" s="211">
        <v>796</v>
      </c>
      <c r="D8030" s="211" t="s">
        <v>1117</v>
      </c>
      <c r="E8030" s="211" t="s">
        <v>11100</v>
      </c>
      <c r="F8030" s="211" t="s">
        <v>7208</v>
      </c>
    </row>
    <row r="8031" spans="1:6">
      <c r="A8031" s="211" t="s">
        <v>6552</v>
      </c>
      <c r="B8031" s="211">
        <v>4288</v>
      </c>
      <c r="C8031" s="211">
        <v>1579</v>
      </c>
      <c r="D8031" s="211" t="s">
        <v>1117</v>
      </c>
      <c r="E8031" s="211" t="s">
        <v>10385</v>
      </c>
      <c r="F8031" s="211" t="s">
        <v>7471</v>
      </c>
    </row>
    <row r="8032" spans="1:6">
      <c r="A8032" s="211" t="s">
        <v>6553</v>
      </c>
      <c r="B8032" s="211">
        <v>1060</v>
      </c>
      <c r="C8032" s="211">
        <v>1644</v>
      </c>
      <c r="D8032" s="211" t="s">
        <v>1255</v>
      </c>
      <c r="E8032" s="211" t="s">
        <v>10385</v>
      </c>
      <c r="F8032" s="211" t="s">
        <v>7241</v>
      </c>
    </row>
    <row r="8033" spans="1:6">
      <c r="A8033" s="211" t="s">
        <v>6554</v>
      </c>
      <c r="B8033" s="211">
        <v>1317</v>
      </c>
      <c r="C8033" s="211">
        <v>2063</v>
      </c>
      <c r="D8033" s="211" t="s">
        <v>1255</v>
      </c>
      <c r="E8033" s="211" t="s">
        <v>10385</v>
      </c>
      <c r="F8033" s="211" t="s">
        <v>7610</v>
      </c>
    </row>
    <row r="8034" spans="1:6">
      <c r="A8034" s="211" t="s">
        <v>6555</v>
      </c>
      <c r="B8034" s="211">
        <v>6457</v>
      </c>
      <c r="C8034" s="211">
        <v>1227</v>
      </c>
      <c r="D8034" s="211" t="s">
        <v>1255</v>
      </c>
      <c r="E8034" s="211" t="s">
        <v>10385</v>
      </c>
      <c r="F8034" s="211" t="s">
        <v>7510</v>
      </c>
    </row>
    <row r="8035" spans="1:6">
      <c r="A8035" s="211" t="s">
        <v>6556</v>
      </c>
      <c r="B8035" s="211">
        <v>3231</v>
      </c>
      <c r="C8035" s="211">
        <v>865</v>
      </c>
      <c r="D8035" s="211" t="s">
        <v>1117</v>
      </c>
      <c r="E8035" s="211" t="s">
        <v>10385</v>
      </c>
      <c r="F8035" s="211" t="s">
        <v>7272</v>
      </c>
    </row>
    <row r="8036" spans="1:6">
      <c r="A8036" s="211" t="s">
        <v>6557</v>
      </c>
      <c r="B8036" s="211">
        <v>5610</v>
      </c>
      <c r="C8036" s="211">
        <v>1168</v>
      </c>
      <c r="D8036" s="211" t="s">
        <v>1255</v>
      </c>
      <c r="E8036" s="211" t="s">
        <v>7141</v>
      </c>
      <c r="F8036" s="211" t="s">
        <v>7380</v>
      </c>
    </row>
    <row r="8037" spans="1:6">
      <c r="A8037" s="211" t="s">
        <v>6558</v>
      </c>
      <c r="B8037" s="211">
        <v>1251</v>
      </c>
      <c r="C8037" s="211">
        <v>987</v>
      </c>
      <c r="D8037" s="211" t="s">
        <v>1117</v>
      </c>
      <c r="E8037" s="211" t="s">
        <v>10385</v>
      </c>
      <c r="F8037" s="211" t="s">
        <v>7261</v>
      </c>
    </row>
    <row r="8038" spans="1:6">
      <c r="A8038" s="211" t="s">
        <v>6559</v>
      </c>
      <c r="B8038" s="211">
        <v>1308</v>
      </c>
      <c r="C8038" s="211">
        <v>882</v>
      </c>
      <c r="D8038" s="211" t="s">
        <v>1255</v>
      </c>
      <c r="E8038" s="211" t="s">
        <v>10385</v>
      </c>
      <c r="F8038" s="211" t="s">
        <v>7510</v>
      </c>
    </row>
    <row r="8039" spans="1:6">
      <c r="A8039" s="211" t="s">
        <v>6560</v>
      </c>
      <c r="B8039" s="211">
        <v>2651</v>
      </c>
      <c r="C8039" s="211">
        <v>626</v>
      </c>
      <c r="D8039" s="211" t="s">
        <v>1117</v>
      </c>
      <c r="E8039" s="211" t="s">
        <v>10385</v>
      </c>
      <c r="F8039" s="211" t="s">
        <v>7203</v>
      </c>
    </row>
    <row r="8040" spans="1:6">
      <c r="A8040" s="211" t="s">
        <v>6561</v>
      </c>
      <c r="B8040" s="211">
        <v>5526</v>
      </c>
      <c r="C8040" s="211">
        <v>1275</v>
      </c>
      <c r="D8040" s="211" t="s">
        <v>1255</v>
      </c>
      <c r="E8040" s="211" t="s">
        <v>10385</v>
      </c>
      <c r="F8040" s="211" t="s">
        <v>7453</v>
      </c>
    </row>
    <row r="8041" spans="1:6">
      <c r="A8041" s="211" t="s">
        <v>6562</v>
      </c>
      <c r="B8041" s="211">
        <v>3654</v>
      </c>
      <c r="C8041" s="211">
        <v>1218</v>
      </c>
      <c r="D8041" s="211" t="s">
        <v>1255</v>
      </c>
      <c r="E8041" s="211" t="s">
        <v>10385</v>
      </c>
      <c r="F8041" s="211" t="s">
        <v>7208</v>
      </c>
    </row>
    <row r="8042" spans="1:6">
      <c r="A8042" s="211" t="s">
        <v>6563</v>
      </c>
      <c r="B8042" s="211">
        <v>6402</v>
      </c>
      <c r="C8042" s="211">
        <v>2171</v>
      </c>
      <c r="D8042" s="211" t="s">
        <v>1117</v>
      </c>
      <c r="E8042" s="211" t="s">
        <v>10309</v>
      </c>
      <c r="F8042" s="211" t="s">
        <v>7167</v>
      </c>
    </row>
    <row r="8043" spans="1:6">
      <c r="A8043" s="211" t="s">
        <v>6564</v>
      </c>
      <c r="B8043" s="211">
        <v>383</v>
      </c>
      <c r="C8043" s="211">
        <v>1563</v>
      </c>
      <c r="D8043" s="211" t="s">
        <v>1255</v>
      </c>
      <c r="E8043" s="211" t="s">
        <v>10385</v>
      </c>
      <c r="F8043" s="211" t="s">
        <v>7867</v>
      </c>
    </row>
    <row r="8044" spans="1:6">
      <c r="A8044" s="211" t="s">
        <v>6565</v>
      </c>
      <c r="B8044" s="211">
        <v>3997</v>
      </c>
      <c r="C8044" s="211">
        <v>1405</v>
      </c>
      <c r="D8044" s="211" t="s">
        <v>1255</v>
      </c>
      <c r="E8044" s="211" t="s">
        <v>10385</v>
      </c>
      <c r="F8044" s="211" t="s">
        <v>7160</v>
      </c>
    </row>
    <row r="8045" spans="1:6">
      <c r="A8045" s="211" t="s">
        <v>8871</v>
      </c>
      <c r="B8045" s="211">
        <v>1992</v>
      </c>
      <c r="C8045" s="211" t="s">
        <v>10385</v>
      </c>
      <c r="D8045" s="211" t="s">
        <v>1255</v>
      </c>
      <c r="E8045" s="211" t="s">
        <v>10385</v>
      </c>
      <c r="F8045" s="211" t="s">
        <v>7322</v>
      </c>
    </row>
    <row r="8046" spans="1:6">
      <c r="A8046" s="211" t="s">
        <v>6566</v>
      </c>
      <c r="B8046" s="211">
        <v>2236</v>
      </c>
      <c r="C8046" s="211">
        <v>1694</v>
      </c>
      <c r="D8046" s="211" t="s">
        <v>1255</v>
      </c>
      <c r="E8046" s="211" t="s">
        <v>10385</v>
      </c>
      <c r="F8046" s="211" t="s">
        <v>7322</v>
      </c>
    </row>
    <row r="8047" spans="1:6">
      <c r="A8047" s="211" t="s">
        <v>6567</v>
      </c>
      <c r="B8047" s="211">
        <v>3434</v>
      </c>
      <c r="C8047" s="211">
        <v>1033</v>
      </c>
      <c r="D8047" s="211" t="s">
        <v>1255</v>
      </c>
      <c r="E8047" s="211" t="s">
        <v>10385</v>
      </c>
      <c r="F8047" s="211" t="s">
        <v>7165</v>
      </c>
    </row>
    <row r="8048" spans="1:6">
      <c r="A8048" s="211" t="s">
        <v>8872</v>
      </c>
      <c r="B8048" s="211">
        <v>1116</v>
      </c>
      <c r="C8048" s="211" t="s">
        <v>10385</v>
      </c>
      <c r="D8048" s="211" t="s">
        <v>1255</v>
      </c>
      <c r="E8048" s="211" t="s">
        <v>10385</v>
      </c>
      <c r="F8048" s="211" t="s">
        <v>7245</v>
      </c>
    </row>
    <row r="8049" spans="1:6">
      <c r="A8049" s="211" t="s">
        <v>6568</v>
      </c>
      <c r="B8049" s="211">
        <v>848</v>
      </c>
      <c r="C8049" s="211">
        <v>1219</v>
      </c>
      <c r="D8049" s="211" t="s">
        <v>1255</v>
      </c>
      <c r="E8049" s="211" t="s">
        <v>10385</v>
      </c>
      <c r="F8049" s="211" t="s">
        <v>7245</v>
      </c>
    </row>
    <row r="8050" spans="1:6">
      <c r="A8050" s="211" t="s">
        <v>9018</v>
      </c>
      <c r="B8050" s="211">
        <v>4055</v>
      </c>
      <c r="C8050" s="211" t="s">
        <v>10385</v>
      </c>
      <c r="D8050" s="211" t="s">
        <v>1255</v>
      </c>
      <c r="E8050" s="211" t="s">
        <v>10385</v>
      </c>
      <c r="F8050" s="211" t="s">
        <v>7240</v>
      </c>
    </row>
    <row r="8051" spans="1:6">
      <c r="A8051" s="211" t="s">
        <v>10310</v>
      </c>
      <c r="B8051" s="211">
        <v>8523</v>
      </c>
      <c r="C8051" s="211">
        <v>1409</v>
      </c>
      <c r="D8051" s="211" t="s">
        <v>1255</v>
      </c>
      <c r="E8051" s="211" t="s">
        <v>10311</v>
      </c>
      <c r="F8051" s="211" t="s">
        <v>7299</v>
      </c>
    </row>
    <row r="8052" spans="1:6">
      <c r="A8052" s="211" t="s">
        <v>8873</v>
      </c>
      <c r="B8052" s="211">
        <v>247</v>
      </c>
      <c r="C8052" s="211" t="s">
        <v>10385</v>
      </c>
      <c r="D8052" s="211" t="s">
        <v>1255</v>
      </c>
      <c r="E8052" s="211" t="s">
        <v>10385</v>
      </c>
      <c r="F8052" s="211" t="s">
        <v>7196</v>
      </c>
    </row>
    <row r="8053" spans="1:6">
      <c r="A8053" s="211" t="s">
        <v>8874</v>
      </c>
      <c r="B8053" s="211">
        <v>2778</v>
      </c>
      <c r="C8053" s="211" t="s">
        <v>10385</v>
      </c>
      <c r="D8053" s="211" t="s">
        <v>1117</v>
      </c>
      <c r="E8053" s="211" t="s">
        <v>10385</v>
      </c>
      <c r="F8053" s="211" t="s">
        <v>7275</v>
      </c>
    </row>
    <row r="8054" spans="1:6">
      <c r="A8054" s="211" t="s">
        <v>10312</v>
      </c>
      <c r="B8054" s="211">
        <v>8399</v>
      </c>
      <c r="C8054" s="211">
        <v>1504</v>
      </c>
      <c r="D8054" s="211" t="s">
        <v>1255</v>
      </c>
      <c r="E8054" s="211" t="s">
        <v>11101</v>
      </c>
      <c r="F8054" s="211" t="s">
        <v>7928</v>
      </c>
    </row>
    <row r="8055" spans="1:6">
      <c r="A8055" s="211" t="s">
        <v>6569</v>
      </c>
      <c r="B8055" s="211">
        <v>7557</v>
      </c>
      <c r="C8055" s="211">
        <v>1224</v>
      </c>
      <c r="D8055" s="211" t="s">
        <v>1255</v>
      </c>
      <c r="E8055" s="211" t="s">
        <v>10385</v>
      </c>
      <c r="F8055" s="211" t="s">
        <v>7263</v>
      </c>
    </row>
    <row r="8056" spans="1:6">
      <c r="A8056" s="211" t="s">
        <v>6570</v>
      </c>
      <c r="B8056" s="211">
        <v>6218</v>
      </c>
      <c r="C8056" s="211">
        <v>1777</v>
      </c>
      <c r="D8056" s="211" t="s">
        <v>1255</v>
      </c>
      <c r="E8056" s="211" t="s">
        <v>7142</v>
      </c>
      <c r="F8056" s="211" t="s">
        <v>7224</v>
      </c>
    </row>
    <row r="8057" spans="1:6">
      <c r="A8057" s="211" t="s">
        <v>6571</v>
      </c>
      <c r="B8057" s="211">
        <v>3124</v>
      </c>
      <c r="C8057" s="211">
        <v>1875</v>
      </c>
      <c r="D8057" s="211" t="s">
        <v>1255</v>
      </c>
      <c r="E8057" s="211" t="s">
        <v>10385</v>
      </c>
      <c r="F8057" s="211" t="s">
        <v>7495</v>
      </c>
    </row>
    <row r="8058" spans="1:6">
      <c r="A8058" s="211" t="s">
        <v>8875</v>
      </c>
      <c r="B8058" s="211">
        <v>2053</v>
      </c>
      <c r="C8058" s="211" t="s">
        <v>10385</v>
      </c>
      <c r="D8058" s="211" t="s">
        <v>1117</v>
      </c>
      <c r="E8058" s="211" t="s">
        <v>10385</v>
      </c>
      <c r="F8058" s="211" t="s">
        <v>7386</v>
      </c>
    </row>
    <row r="8059" spans="1:6">
      <c r="A8059" s="211" t="s">
        <v>6572</v>
      </c>
      <c r="B8059" s="211">
        <v>4038</v>
      </c>
      <c r="C8059" s="211">
        <v>1549</v>
      </c>
      <c r="D8059" s="211" t="s">
        <v>1255</v>
      </c>
      <c r="E8059" s="211" t="s">
        <v>10385</v>
      </c>
      <c r="F8059" s="211" t="s">
        <v>7224</v>
      </c>
    </row>
    <row r="8060" spans="1:6">
      <c r="A8060" s="211" t="s">
        <v>6573</v>
      </c>
      <c r="B8060" s="211">
        <v>583</v>
      </c>
      <c r="C8060" s="211">
        <v>1538</v>
      </c>
      <c r="D8060" s="211" t="s">
        <v>1255</v>
      </c>
      <c r="E8060" s="211" t="s">
        <v>10385</v>
      </c>
      <c r="F8060" s="211" t="s">
        <v>7272</v>
      </c>
    </row>
    <row r="8061" spans="1:6">
      <c r="A8061" s="211" t="s">
        <v>9019</v>
      </c>
      <c r="B8061" s="211">
        <v>7106</v>
      </c>
      <c r="C8061" s="211">
        <v>1313</v>
      </c>
      <c r="D8061" s="211" t="s">
        <v>1255</v>
      </c>
      <c r="E8061" s="211" t="s">
        <v>10385</v>
      </c>
      <c r="F8061" s="211" t="s">
        <v>7299</v>
      </c>
    </row>
    <row r="8062" spans="1:6">
      <c r="A8062" s="211" t="s">
        <v>6574</v>
      </c>
      <c r="B8062" s="211">
        <v>6390</v>
      </c>
      <c r="C8062" s="211">
        <v>1171</v>
      </c>
      <c r="D8062" s="211" t="s">
        <v>1255</v>
      </c>
      <c r="E8062" s="211" t="s">
        <v>11102</v>
      </c>
      <c r="F8062" s="211" t="s">
        <v>7318</v>
      </c>
    </row>
    <row r="8063" spans="1:6">
      <c r="A8063" s="211" t="s">
        <v>10313</v>
      </c>
      <c r="B8063" s="211">
        <v>8441</v>
      </c>
      <c r="C8063" s="211">
        <v>990</v>
      </c>
      <c r="D8063" s="211" t="s">
        <v>1117</v>
      </c>
      <c r="E8063" s="211" t="s">
        <v>10314</v>
      </c>
      <c r="F8063" s="211" t="s">
        <v>7272</v>
      </c>
    </row>
    <row r="8064" spans="1:6">
      <c r="A8064" s="211" t="s">
        <v>11103</v>
      </c>
      <c r="B8064" s="211">
        <v>8727</v>
      </c>
      <c r="C8064" s="211" t="s">
        <v>10385</v>
      </c>
      <c r="D8064" s="211" t="s">
        <v>1255</v>
      </c>
      <c r="E8064" s="211" t="s">
        <v>11104</v>
      </c>
      <c r="F8064" s="211" t="s">
        <v>7262</v>
      </c>
    </row>
    <row r="8065" spans="1:6">
      <c r="A8065" s="211" t="s">
        <v>6575</v>
      </c>
      <c r="B8065" s="211">
        <v>1002</v>
      </c>
      <c r="C8065" s="211">
        <v>1500</v>
      </c>
      <c r="D8065" s="211" t="s">
        <v>1255</v>
      </c>
      <c r="E8065" s="211" t="s">
        <v>10385</v>
      </c>
      <c r="F8065" s="211" t="s">
        <v>7263</v>
      </c>
    </row>
    <row r="8066" spans="1:6">
      <c r="A8066" s="211" t="s">
        <v>6576</v>
      </c>
      <c r="B8066" s="211">
        <v>3570</v>
      </c>
      <c r="C8066" s="211">
        <v>1232</v>
      </c>
      <c r="D8066" s="211" t="s">
        <v>1255</v>
      </c>
      <c r="E8066" s="211" t="s">
        <v>10385</v>
      </c>
      <c r="F8066" s="211" t="s">
        <v>7173</v>
      </c>
    </row>
    <row r="8067" spans="1:6">
      <c r="A8067" s="211" t="s">
        <v>6577</v>
      </c>
      <c r="B8067" s="211">
        <v>7599</v>
      </c>
      <c r="C8067" s="211">
        <v>855</v>
      </c>
      <c r="D8067" s="211" t="s">
        <v>1117</v>
      </c>
      <c r="E8067" s="211" t="s">
        <v>10315</v>
      </c>
      <c r="F8067" s="211" t="s">
        <v>7342</v>
      </c>
    </row>
    <row r="8068" spans="1:6">
      <c r="A8068" s="211" t="s">
        <v>10316</v>
      </c>
      <c r="B8068" s="211">
        <v>7891</v>
      </c>
      <c r="C8068" s="211">
        <v>1361</v>
      </c>
      <c r="D8068" s="211" t="s">
        <v>1255</v>
      </c>
      <c r="E8068" s="211" t="s">
        <v>11105</v>
      </c>
      <c r="F8068" s="211" t="s">
        <v>7224</v>
      </c>
    </row>
    <row r="8069" spans="1:6">
      <c r="A8069" s="211" t="s">
        <v>6578</v>
      </c>
      <c r="B8069" s="211">
        <v>2832</v>
      </c>
      <c r="C8069" s="211">
        <v>1264</v>
      </c>
      <c r="D8069" s="211" t="s">
        <v>1117</v>
      </c>
      <c r="E8069" s="211" t="s">
        <v>10385</v>
      </c>
      <c r="F8069" s="211" t="s">
        <v>7384</v>
      </c>
    </row>
    <row r="8070" spans="1:6">
      <c r="A8070" s="211" t="s">
        <v>6579</v>
      </c>
      <c r="B8070" s="211">
        <v>1521</v>
      </c>
      <c r="C8070" s="211">
        <v>1145</v>
      </c>
      <c r="D8070" s="211" t="s">
        <v>1255</v>
      </c>
      <c r="E8070" s="211" t="s">
        <v>10385</v>
      </c>
      <c r="F8070" s="211" t="s">
        <v>7255</v>
      </c>
    </row>
    <row r="8071" spans="1:6">
      <c r="A8071" s="211" t="s">
        <v>6580</v>
      </c>
      <c r="B8071" s="211">
        <v>4473</v>
      </c>
      <c r="C8071" s="211">
        <v>1404</v>
      </c>
      <c r="D8071" s="211" t="s">
        <v>1255</v>
      </c>
      <c r="E8071" s="211" t="s">
        <v>10385</v>
      </c>
      <c r="F8071" s="211" t="s">
        <v>7327</v>
      </c>
    </row>
    <row r="8072" spans="1:6">
      <c r="A8072" s="211" t="s">
        <v>6581</v>
      </c>
      <c r="B8072" s="211">
        <v>5789</v>
      </c>
      <c r="C8072" s="211">
        <v>1375</v>
      </c>
      <c r="D8072" s="211" t="s">
        <v>1255</v>
      </c>
      <c r="E8072" s="211" t="s">
        <v>10385</v>
      </c>
      <c r="F8072" s="211" t="s">
        <v>7250</v>
      </c>
    </row>
    <row r="8073" spans="1:6">
      <c r="A8073" s="211" t="s">
        <v>6582</v>
      </c>
      <c r="B8073" s="211">
        <v>937</v>
      </c>
      <c r="C8073" s="211">
        <v>2120</v>
      </c>
      <c r="D8073" s="211" t="s">
        <v>1255</v>
      </c>
      <c r="E8073" s="211" t="s">
        <v>10385</v>
      </c>
      <c r="F8073" s="211" t="s">
        <v>7592</v>
      </c>
    </row>
    <row r="8074" spans="1:6">
      <c r="A8074" s="211" t="s">
        <v>10317</v>
      </c>
      <c r="B8074" s="211">
        <v>8164</v>
      </c>
      <c r="C8074" s="211">
        <v>1294</v>
      </c>
      <c r="D8074" s="211" t="s">
        <v>1255</v>
      </c>
      <c r="E8074" s="211" t="s">
        <v>10318</v>
      </c>
      <c r="F8074" s="211" t="s">
        <v>7240</v>
      </c>
    </row>
    <row r="8075" spans="1:6">
      <c r="A8075" s="211" t="s">
        <v>6583</v>
      </c>
      <c r="B8075" s="211">
        <v>2272</v>
      </c>
      <c r="C8075" s="211">
        <v>852</v>
      </c>
      <c r="D8075" s="211" t="s">
        <v>1117</v>
      </c>
      <c r="E8075" s="211" t="s">
        <v>10385</v>
      </c>
      <c r="F8075" s="211" t="s">
        <v>7322</v>
      </c>
    </row>
    <row r="8076" spans="1:6">
      <c r="A8076" s="211" t="s">
        <v>6584</v>
      </c>
      <c r="B8076" s="211">
        <v>3590</v>
      </c>
      <c r="C8076" s="211">
        <v>1051</v>
      </c>
      <c r="D8076" s="211" t="s">
        <v>1117</v>
      </c>
      <c r="E8076" s="211" t="s">
        <v>10385</v>
      </c>
      <c r="F8076" s="211" t="s">
        <v>7205</v>
      </c>
    </row>
    <row r="8077" spans="1:6">
      <c r="A8077" s="211" t="s">
        <v>6585</v>
      </c>
      <c r="B8077" s="211">
        <v>3442</v>
      </c>
      <c r="C8077" s="211">
        <v>1604</v>
      </c>
      <c r="D8077" s="211" t="s">
        <v>1255</v>
      </c>
      <c r="E8077" s="211" t="s">
        <v>10385</v>
      </c>
      <c r="F8077" s="211" t="s">
        <v>7402</v>
      </c>
    </row>
    <row r="8078" spans="1:6">
      <c r="A8078" s="211" t="s">
        <v>11106</v>
      </c>
      <c r="B8078" s="211">
        <v>8774</v>
      </c>
      <c r="C8078" s="211">
        <v>1824</v>
      </c>
      <c r="D8078" s="211" t="s">
        <v>1255</v>
      </c>
      <c r="E8078" s="211" t="s">
        <v>11107</v>
      </c>
      <c r="F8078" s="211" t="s">
        <v>10434</v>
      </c>
    </row>
    <row r="8079" spans="1:6">
      <c r="A8079" s="211" t="s">
        <v>8876</v>
      </c>
      <c r="B8079" s="211">
        <v>4075</v>
      </c>
      <c r="C8079" s="211" t="s">
        <v>10385</v>
      </c>
      <c r="D8079" s="211" t="s">
        <v>1255</v>
      </c>
      <c r="E8079" s="211" t="s">
        <v>10385</v>
      </c>
      <c r="F8079" s="211" t="s">
        <v>7272</v>
      </c>
    </row>
    <row r="8080" spans="1:6">
      <c r="A8080" s="211" t="s">
        <v>8877</v>
      </c>
      <c r="B8080" s="211">
        <v>3466</v>
      </c>
      <c r="C8080" s="211">
        <v>2032</v>
      </c>
      <c r="D8080" s="211" t="s">
        <v>1255</v>
      </c>
      <c r="E8080" s="211" t="s">
        <v>10385</v>
      </c>
      <c r="F8080" s="211" t="s">
        <v>7325</v>
      </c>
    </row>
    <row r="8081" spans="1:6">
      <c r="A8081" s="211" t="s">
        <v>6586</v>
      </c>
      <c r="B8081" s="211">
        <v>4078</v>
      </c>
      <c r="C8081" s="211">
        <v>1595</v>
      </c>
      <c r="D8081" s="211" t="s">
        <v>1255</v>
      </c>
      <c r="E8081" s="211" t="s">
        <v>10385</v>
      </c>
      <c r="F8081" s="211" t="s">
        <v>7272</v>
      </c>
    </row>
    <row r="8082" spans="1:6">
      <c r="A8082" s="211" t="s">
        <v>6587</v>
      </c>
      <c r="B8082" s="211">
        <v>7383</v>
      </c>
      <c r="C8082" s="211">
        <v>1026</v>
      </c>
      <c r="D8082" s="211" t="s">
        <v>1117</v>
      </c>
      <c r="E8082" s="211" t="s">
        <v>7143</v>
      </c>
      <c r="F8082" s="211" t="s">
        <v>7241</v>
      </c>
    </row>
    <row r="8083" spans="1:6">
      <c r="A8083" s="211" t="s">
        <v>10319</v>
      </c>
      <c r="B8083" s="211">
        <v>8561</v>
      </c>
      <c r="C8083" s="211">
        <v>1500</v>
      </c>
      <c r="D8083" s="211" t="s">
        <v>1255</v>
      </c>
      <c r="E8083" s="211" t="s">
        <v>10385</v>
      </c>
      <c r="F8083" s="211" t="s">
        <v>7431</v>
      </c>
    </row>
    <row r="8084" spans="1:6">
      <c r="A8084" s="211" t="s">
        <v>10320</v>
      </c>
      <c r="B8084" s="211">
        <v>8444</v>
      </c>
      <c r="C8084" s="211" t="s">
        <v>10385</v>
      </c>
      <c r="D8084" s="211" t="s">
        <v>1117</v>
      </c>
      <c r="E8084" s="211" t="s">
        <v>10321</v>
      </c>
      <c r="F8084" s="211" t="s">
        <v>7272</v>
      </c>
    </row>
    <row r="8085" spans="1:6">
      <c r="A8085" s="211" t="s">
        <v>6588</v>
      </c>
      <c r="B8085" s="211">
        <v>3389</v>
      </c>
      <c r="C8085" s="211">
        <v>1119</v>
      </c>
      <c r="D8085" s="211" t="s">
        <v>1255</v>
      </c>
      <c r="E8085" s="211" t="s">
        <v>10385</v>
      </c>
      <c r="F8085" s="211" t="s">
        <v>7231</v>
      </c>
    </row>
    <row r="8086" spans="1:6">
      <c r="A8086" s="211" t="s">
        <v>6589</v>
      </c>
      <c r="B8086" s="211">
        <v>5182</v>
      </c>
      <c r="C8086" s="211">
        <v>1007</v>
      </c>
      <c r="D8086" s="211" t="s">
        <v>1255</v>
      </c>
      <c r="E8086" s="211" t="s">
        <v>10322</v>
      </c>
      <c r="F8086" s="211" t="s">
        <v>7331</v>
      </c>
    </row>
    <row r="8087" spans="1:6">
      <c r="A8087" s="211" t="s">
        <v>6590</v>
      </c>
      <c r="B8087" s="211">
        <v>3037</v>
      </c>
      <c r="C8087" s="211">
        <v>1281</v>
      </c>
      <c r="D8087" s="211" t="s">
        <v>1255</v>
      </c>
      <c r="E8087" s="211" t="s">
        <v>10385</v>
      </c>
      <c r="F8087" s="211" t="s">
        <v>7282</v>
      </c>
    </row>
    <row r="8088" spans="1:6">
      <c r="A8088" s="211" t="s">
        <v>8878</v>
      </c>
      <c r="B8088" s="211">
        <v>7858</v>
      </c>
      <c r="C8088" s="211">
        <v>870</v>
      </c>
      <c r="D8088" s="211" t="s">
        <v>1255</v>
      </c>
      <c r="E8088" s="211" t="s">
        <v>10323</v>
      </c>
      <c r="F8088" s="211" t="s">
        <v>7192</v>
      </c>
    </row>
    <row r="8089" spans="1:6">
      <c r="A8089" s="211" t="s">
        <v>6591</v>
      </c>
      <c r="B8089" s="211">
        <v>883</v>
      </c>
      <c r="C8089" s="211">
        <v>1702</v>
      </c>
      <c r="D8089" s="211" t="s">
        <v>1255</v>
      </c>
      <c r="E8089" s="211" t="s">
        <v>10385</v>
      </c>
      <c r="F8089" s="211" t="s">
        <v>7356</v>
      </c>
    </row>
    <row r="8090" spans="1:6">
      <c r="A8090" s="211" t="s">
        <v>6592</v>
      </c>
      <c r="B8090" s="211">
        <v>7586</v>
      </c>
      <c r="C8090" s="211">
        <v>961</v>
      </c>
      <c r="D8090" s="211" t="s">
        <v>1255</v>
      </c>
      <c r="E8090" s="211" t="s">
        <v>6593</v>
      </c>
      <c r="F8090" s="211" t="s">
        <v>7325</v>
      </c>
    </row>
    <row r="8091" spans="1:6">
      <c r="A8091" s="211" t="s">
        <v>7144</v>
      </c>
      <c r="B8091" s="211">
        <v>7826</v>
      </c>
      <c r="C8091" s="211">
        <v>880</v>
      </c>
      <c r="D8091" s="211" t="s">
        <v>1117</v>
      </c>
      <c r="E8091" s="211" t="s">
        <v>10385</v>
      </c>
      <c r="F8091" s="211" t="s">
        <v>7384</v>
      </c>
    </row>
    <row r="8092" spans="1:6">
      <c r="A8092" s="211" t="s">
        <v>6594</v>
      </c>
      <c r="B8092" s="211">
        <v>5527</v>
      </c>
      <c r="C8092" s="211">
        <v>949</v>
      </c>
      <c r="D8092" s="211" t="s">
        <v>1255</v>
      </c>
      <c r="E8092" s="211" t="s">
        <v>7145</v>
      </c>
      <c r="F8092" s="211" t="s">
        <v>7453</v>
      </c>
    </row>
    <row r="8093" spans="1:6">
      <c r="A8093" s="211" t="s">
        <v>10324</v>
      </c>
      <c r="B8093" s="211">
        <v>8270</v>
      </c>
      <c r="C8093" s="211">
        <v>2011</v>
      </c>
      <c r="D8093" s="211" t="s">
        <v>1255</v>
      </c>
      <c r="E8093" s="211" t="s">
        <v>10325</v>
      </c>
      <c r="F8093" s="211" t="s">
        <v>7171</v>
      </c>
    </row>
    <row r="8094" spans="1:6">
      <c r="A8094" s="211" t="s">
        <v>6595</v>
      </c>
      <c r="B8094" s="211">
        <v>6601</v>
      </c>
      <c r="C8094" s="211">
        <v>799</v>
      </c>
      <c r="D8094" s="211" t="s">
        <v>1117</v>
      </c>
      <c r="E8094" s="211" t="s">
        <v>10385</v>
      </c>
      <c r="F8094" s="211" t="s">
        <v>7240</v>
      </c>
    </row>
    <row r="8095" spans="1:6">
      <c r="A8095" s="211" t="s">
        <v>8879</v>
      </c>
      <c r="B8095" s="211">
        <v>7860</v>
      </c>
      <c r="C8095" s="211">
        <v>997</v>
      </c>
      <c r="D8095" s="211" t="s">
        <v>1117</v>
      </c>
      <c r="E8095" s="211" t="s">
        <v>10385</v>
      </c>
      <c r="F8095" s="211" t="s">
        <v>7386</v>
      </c>
    </row>
    <row r="8096" spans="1:6">
      <c r="A8096" s="211" t="s">
        <v>6596</v>
      </c>
      <c r="B8096" s="211">
        <v>6246</v>
      </c>
      <c r="C8096" s="211">
        <v>1120</v>
      </c>
      <c r="D8096" s="211" t="s">
        <v>1255</v>
      </c>
      <c r="E8096" s="211" t="s">
        <v>10385</v>
      </c>
      <c r="F8096" s="211" t="s">
        <v>7402</v>
      </c>
    </row>
    <row r="8097" spans="1:6">
      <c r="A8097" s="211" t="s">
        <v>6597</v>
      </c>
      <c r="B8097" s="211">
        <v>969</v>
      </c>
      <c r="C8097" s="211">
        <v>1089</v>
      </c>
      <c r="D8097" s="211" t="s">
        <v>1255</v>
      </c>
      <c r="E8097" s="211" t="s">
        <v>10385</v>
      </c>
      <c r="F8097" s="211" t="s">
        <v>7335</v>
      </c>
    </row>
    <row r="8098" spans="1:6">
      <c r="A8098" s="211" t="s">
        <v>6598</v>
      </c>
      <c r="B8098" s="211">
        <v>1964</v>
      </c>
      <c r="C8098" s="211">
        <v>1074</v>
      </c>
      <c r="D8098" s="211" t="s">
        <v>1255</v>
      </c>
      <c r="E8098" s="211" t="s">
        <v>10385</v>
      </c>
      <c r="F8098" s="211" t="s">
        <v>7843</v>
      </c>
    </row>
    <row r="8099" spans="1:6">
      <c r="A8099" s="211" t="s">
        <v>6599</v>
      </c>
      <c r="B8099" s="211">
        <v>974</v>
      </c>
      <c r="C8099" s="211">
        <v>894</v>
      </c>
      <c r="D8099" s="211" t="s">
        <v>1255</v>
      </c>
      <c r="E8099" s="211" t="s">
        <v>10385</v>
      </c>
      <c r="F8099" s="211" t="s">
        <v>7264</v>
      </c>
    </row>
    <row r="8100" spans="1:6">
      <c r="A8100" s="211" t="s">
        <v>6600</v>
      </c>
      <c r="B8100" s="211">
        <v>972</v>
      </c>
      <c r="C8100" s="211">
        <v>1413</v>
      </c>
      <c r="D8100" s="211" t="s">
        <v>1255</v>
      </c>
      <c r="E8100" s="211" t="s">
        <v>10385</v>
      </c>
      <c r="F8100" s="211" t="s">
        <v>7264</v>
      </c>
    </row>
    <row r="8101" spans="1:6">
      <c r="A8101" s="211" t="s">
        <v>8880</v>
      </c>
      <c r="B8101" s="211">
        <v>1747</v>
      </c>
      <c r="C8101" s="211" t="s">
        <v>10385</v>
      </c>
      <c r="D8101" s="211" t="s">
        <v>1255</v>
      </c>
      <c r="E8101" s="211" t="s">
        <v>10385</v>
      </c>
      <c r="F8101" s="211" t="s">
        <v>7283</v>
      </c>
    </row>
    <row r="8102" spans="1:6">
      <c r="A8102" s="211" t="s">
        <v>6601</v>
      </c>
      <c r="B8102" s="211">
        <v>5814</v>
      </c>
      <c r="C8102" s="211">
        <v>1214</v>
      </c>
      <c r="D8102" s="211" t="s">
        <v>1255</v>
      </c>
      <c r="E8102" s="211" t="s">
        <v>7146</v>
      </c>
      <c r="F8102" s="211" t="s">
        <v>7383</v>
      </c>
    </row>
    <row r="8103" spans="1:6">
      <c r="A8103" s="211" t="s">
        <v>7147</v>
      </c>
      <c r="B8103" s="211">
        <v>7834</v>
      </c>
      <c r="C8103" s="211">
        <v>1114</v>
      </c>
      <c r="D8103" s="211" t="s">
        <v>1255</v>
      </c>
      <c r="E8103" s="211" t="s">
        <v>10385</v>
      </c>
      <c r="F8103" s="211" t="s">
        <v>7263</v>
      </c>
    </row>
    <row r="8104" spans="1:6">
      <c r="A8104" s="211" t="s">
        <v>6602</v>
      </c>
      <c r="B8104" s="211">
        <v>4798</v>
      </c>
      <c r="C8104" s="211">
        <v>1154</v>
      </c>
      <c r="D8104" s="211" t="s">
        <v>1117</v>
      </c>
      <c r="E8104" s="211" t="s">
        <v>10385</v>
      </c>
      <c r="F8104" s="211" t="s">
        <v>7292</v>
      </c>
    </row>
    <row r="8105" spans="1:6">
      <c r="A8105" s="211" t="s">
        <v>6603</v>
      </c>
      <c r="B8105" s="211">
        <v>6092</v>
      </c>
      <c r="C8105" s="211">
        <v>1158</v>
      </c>
      <c r="D8105" s="211" t="s">
        <v>1255</v>
      </c>
      <c r="E8105" s="211" t="s">
        <v>6604</v>
      </c>
      <c r="F8105" s="211" t="s">
        <v>7457</v>
      </c>
    </row>
    <row r="8106" spans="1:6">
      <c r="A8106" s="211" t="s">
        <v>6605</v>
      </c>
      <c r="B8106" s="211">
        <v>1364</v>
      </c>
      <c r="C8106" s="211">
        <v>1975</v>
      </c>
      <c r="D8106" s="211" t="s">
        <v>1255</v>
      </c>
      <c r="E8106" s="211" t="s">
        <v>10385</v>
      </c>
      <c r="F8106" s="211" t="s">
        <v>7320</v>
      </c>
    </row>
    <row r="8107" spans="1:6">
      <c r="A8107" s="211" t="s">
        <v>6606</v>
      </c>
      <c r="B8107" s="211">
        <v>3093</v>
      </c>
      <c r="C8107" s="211">
        <v>796</v>
      </c>
      <c r="D8107" s="211" t="s">
        <v>1255</v>
      </c>
      <c r="E8107" s="211" t="s">
        <v>10385</v>
      </c>
      <c r="F8107" s="211" t="s">
        <v>7192</v>
      </c>
    </row>
    <row r="8108" spans="1:6">
      <c r="A8108" s="211" t="s">
        <v>6607</v>
      </c>
      <c r="B8108" s="211">
        <v>7533</v>
      </c>
      <c r="C8108" s="211">
        <v>770</v>
      </c>
      <c r="D8108" s="211" t="s">
        <v>1255</v>
      </c>
      <c r="E8108" s="211" t="s">
        <v>10385</v>
      </c>
      <c r="F8108" s="211" t="s">
        <v>7328</v>
      </c>
    </row>
    <row r="8109" spans="1:6">
      <c r="A8109" s="211" t="s">
        <v>10380</v>
      </c>
      <c r="B8109" s="211">
        <v>1216</v>
      </c>
      <c r="C8109" s="211" t="s">
        <v>10385</v>
      </c>
      <c r="D8109" s="211" t="s">
        <v>1255</v>
      </c>
      <c r="E8109" s="211" t="s">
        <v>10385</v>
      </c>
      <c r="F8109" s="211" t="s">
        <v>7204</v>
      </c>
    </row>
    <row r="8110" spans="1:6">
      <c r="A8110" s="211" t="s">
        <v>6608</v>
      </c>
      <c r="B8110" s="211">
        <v>7346</v>
      </c>
      <c r="C8110" s="211">
        <v>1564</v>
      </c>
      <c r="D8110" s="211" t="s">
        <v>1255</v>
      </c>
      <c r="E8110" s="211" t="s">
        <v>10385</v>
      </c>
      <c r="F8110" s="211" t="s">
        <v>7238</v>
      </c>
    </row>
    <row r="8111" spans="1:6">
      <c r="A8111" s="211" t="s">
        <v>8881</v>
      </c>
      <c r="B8111" s="211">
        <v>2390</v>
      </c>
      <c r="C8111" s="211" t="s">
        <v>10385</v>
      </c>
      <c r="D8111" s="211" t="s">
        <v>1255</v>
      </c>
      <c r="E8111" s="211" t="s">
        <v>10385</v>
      </c>
      <c r="F8111" s="211" t="s">
        <v>7285</v>
      </c>
    </row>
    <row r="8112" spans="1:6">
      <c r="A8112" s="211" t="s">
        <v>6609</v>
      </c>
      <c r="B8112" s="211">
        <v>5871</v>
      </c>
      <c r="C8112" s="211">
        <v>1180</v>
      </c>
      <c r="D8112" s="211" t="s">
        <v>1255</v>
      </c>
      <c r="E8112" s="211" t="s">
        <v>10385</v>
      </c>
      <c r="F8112" s="211" t="s">
        <v>7224</v>
      </c>
    </row>
    <row r="8113" spans="1:6">
      <c r="A8113" s="211" t="s">
        <v>10326</v>
      </c>
      <c r="B8113" s="211">
        <v>8329</v>
      </c>
      <c r="C8113" s="211">
        <v>1422</v>
      </c>
      <c r="D8113" s="211" t="s">
        <v>1255</v>
      </c>
      <c r="E8113" s="211" t="s">
        <v>10327</v>
      </c>
      <c r="F8113" s="211" t="s">
        <v>9211</v>
      </c>
    </row>
    <row r="8114" spans="1:6">
      <c r="A8114" s="211" t="s">
        <v>6610</v>
      </c>
      <c r="B8114" s="211">
        <v>5912</v>
      </c>
      <c r="C8114" s="211">
        <v>1099</v>
      </c>
      <c r="D8114" s="211" t="s">
        <v>1255</v>
      </c>
      <c r="E8114" s="211" t="s">
        <v>10385</v>
      </c>
      <c r="F8114" s="211" t="s">
        <v>7354</v>
      </c>
    </row>
    <row r="8115" spans="1:6">
      <c r="A8115" s="211" t="s">
        <v>7148</v>
      </c>
      <c r="B8115" s="211">
        <v>7748</v>
      </c>
      <c r="C8115" s="211">
        <v>1073</v>
      </c>
      <c r="D8115" s="211" t="s">
        <v>1255</v>
      </c>
      <c r="E8115" s="211" t="s">
        <v>7149</v>
      </c>
      <c r="F8115" s="211" t="s">
        <v>7344</v>
      </c>
    </row>
    <row r="8116" spans="1:6">
      <c r="A8116" s="211" t="s">
        <v>11108</v>
      </c>
      <c r="B8116" s="211">
        <v>8705</v>
      </c>
      <c r="C8116" s="211" t="s">
        <v>10385</v>
      </c>
      <c r="D8116" s="211" t="s">
        <v>1255</v>
      </c>
      <c r="E8116" s="211" t="s">
        <v>10501</v>
      </c>
      <c r="F8116" s="211" t="s">
        <v>7373</v>
      </c>
    </row>
    <row r="8117" spans="1:6">
      <c r="A8117" s="211" t="s">
        <v>11109</v>
      </c>
      <c r="B8117" s="211">
        <v>8772</v>
      </c>
      <c r="C8117" s="211" t="s">
        <v>10385</v>
      </c>
      <c r="D8117" s="211" t="s">
        <v>1117</v>
      </c>
      <c r="E8117" s="211" t="s">
        <v>10516</v>
      </c>
      <c r="F8117" s="211" t="s">
        <v>7318</v>
      </c>
    </row>
    <row r="8118" spans="1:6">
      <c r="A8118" s="211" t="s">
        <v>11110</v>
      </c>
      <c r="B8118" s="211">
        <v>8637</v>
      </c>
      <c r="C8118" s="211" t="s">
        <v>10385</v>
      </c>
      <c r="D8118" s="211" t="s">
        <v>1117</v>
      </c>
      <c r="E8118" s="211" t="s">
        <v>10385</v>
      </c>
      <c r="F8118" s="211" t="s">
        <v>7284</v>
      </c>
    </row>
    <row r="8119" spans="1:6">
      <c r="A8119" s="211" t="s">
        <v>11111</v>
      </c>
      <c r="B8119" s="211">
        <v>8604</v>
      </c>
      <c r="C8119" s="211" t="s">
        <v>10385</v>
      </c>
      <c r="D8119" s="211" t="s">
        <v>1117</v>
      </c>
      <c r="E8119" s="211" t="s">
        <v>10558</v>
      </c>
      <c r="F8119" s="211" t="s">
        <v>7196</v>
      </c>
    </row>
    <row r="8120" spans="1:6">
      <c r="A8120" s="211" t="s">
        <v>11112</v>
      </c>
      <c r="B8120" s="211">
        <v>8634</v>
      </c>
      <c r="C8120" s="211" t="s">
        <v>10385</v>
      </c>
      <c r="D8120" s="211" t="s">
        <v>1255</v>
      </c>
      <c r="E8120" s="211" t="s">
        <v>10385</v>
      </c>
      <c r="F8120" s="211" t="s">
        <v>7284</v>
      </c>
    </row>
    <row r="8121" spans="1:6">
      <c r="A8121" s="211" t="s">
        <v>10385</v>
      </c>
      <c r="B8121" s="211">
        <v>8664</v>
      </c>
      <c r="C8121" s="211">
        <v>1247</v>
      </c>
      <c r="D8121" s="211" t="s">
        <v>1255</v>
      </c>
      <c r="E8121" s="211" t="s">
        <v>10629</v>
      </c>
      <c r="F8121" s="211" t="s">
        <v>7365</v>
      </c>
    </row>
    <row r="8122" spans="1:6">
      <c r="A8122" s="211" t="s">
        <v>10385</v>
      </c>
      <c r="B8122" s="211">
        <v>8665</v>
      </c>
      <c r="C8122" s="211">
        <v>1085</v>
      </c>
      <c r="D8122" s="211" t="s">
        <v>1255</v>
      </c>
      <c r="E8122" s="211" t="s">
        <v>10632</v>
      </c>
      <c r="F8122" s="211" t="s">
        <v>7299</v>
      </c>
    </row>
    <row r="8123" spans="1:6">
      <c r="A8123" s="211" t="s">
        <v>11113</v>
      </c>
      <c r="B8123" s="211">
        <v>8638</v>
      </c>
      <c r="C8123" s="211" t="s">
        <v>10385</v>
      </c>
      <c r="D8123" s="211" t="s">
        <v>1255</v>
      </c>
      <c r="E8123" s="211" t="s">
        <v>10385</v>
      </c>
      <c r="F8123" s="211" t="s">
        <v>10474</v>
      </c>
    </row>
    <row r="8124" spans="1:6">
      <c r="A8124" s="211" t="s">
        <v>10385</v>
      </c>
      <c r="B8124" s="211">
        <v>8216</v>
      </c>
      <c r="C8124" s="211" t="s">
        <v>10385</v>
      </c>
      <c r="D8124" s="211" t="s">
        <v>1255</v>
      </c>
      <c r="E8124" s="211" t="s">
        <v>9462</v>
      </c>
      <c r="F8124" s="211" t="s">
        <v>7217</v>
      </c>
    </row>
    <row r="8125" spans="1:6">
      <c r="A8125" s="211" t="s">
        <v>10385</v>
      </c>
      <c r="B8125" s="211">
        <v>8217</v>
      </c>
      <c r="C8125" s="211" t="s">
        <v>10385</v>
      </c>
      <c r="D8125" s="211" t="s">
        <v>1255</v>
      </c>
      <c r="E8125" s="211" t="s">
        <v>9462</v>
      </c>
      <c r="F8125" s="211" t="s">
        <v>7217</v>
      </c>
    </row>
    <row r="8126" spans="1:6">
      <c r="A8126" s="211" t="s">
        <v>11114</v>
      </c>
      <c r="B8126" s="211">
        <v>8641</v>
      </c>
      <c r="C8126" s="211" t="s">
        <v>10385</v>
      </c>
      <c r="D8126" s="211" t="s">
        <v>1255</v>
      </c>
      <c r="E8126" s="211" t="s">
        <v>10385</v>
      </c>
      <c r="F8126" s="211" t="s">
        <v>10474</v>
      </c>
    </row>
    <row r="8127" spans="1:6">
      <c r="A8127" s="211" t="s">
        <v>11115</v>
      </c>
      <c r="B8127" s="211">
        <v>5376</v>
      </c>
      <c r="C8127" s="211" t="s">
        <v>10385</v>
      </c>
      <c r="D8127" s="211" t="s">
        <v>1117</v>
      </c>
      <c r="E8127" s="211" t="s">
        <v>10385</v>
      </c>
      <c r="F8127" s="211" t="s">
        <v>7307</v>
      </c>
    </row>
    <row r="8128" spans="1:6">
      <c r="A8128" s="211" t="s">
        <v>11116</v>
      </c>
      <c r="B8128" s="211">
        <v>8695</v>
      </c>
      <c r="C8128" s="211" t="s">
        <v>10385</v>
      </c>
      <c r="D8128" s="211" t="s">
        <v>1117</v>
      </c>
      <c r="E8128" s="211" t="s">
        <v>10724</v>
      </c>
      <c r="F8128" s="211" t="s">
        <v>7587</v>
      </c>
    </row>
    <row r="8129" spans="1:6">
      <c r="A8129" s="211" t="s">
        <v>11117</v>
      </c>
      <c r="B8129" s="211">
        <v>8264</v>
      </c>
      <c r="C8129" s="211">
        <v>1016</v>
      </c>
      <c r="D8129" s="211" t="s">
        <v>1255</v>
      </c>
      <c r="E8129" s="211" t="s">
        <v>9820</v>
      </c>
      <c r="F8129" s="211" t="s">
        <v>7318</v>
      </c>
    </row>
    <row r="8130" spans="1:6">
      <c r="A8130" s="211" t="s">
        <v>11118</v>
      </c>
      <c r="B8130" s="211">
        <v>7217</v>
      </c>
      <c r="C8130" s="211">
        <v>1374</v>
      </c>
      <c r="D8130" s="211" t="s">
        <v>1255</v>
      </c>
      <c r="E8130" s="211" t="s">
        <v>10385</v>
      </c>
      <c r="F8130" s="211" t="s">
        <v>7205</v>
      </c>
    </row>
    <row r="8131" spans="1:6">
      <c r="A8131" s="211" t="s">
        <v>11119</v>
      </c>
      <c r="B8131" s="211">
        <v>8640</v>
      </c>
      <c r="C8131" s="211" t="s">
        <v>10385</v>
      </c>
      <c r="D8131" s="211" t="s">
        <v>1255</v>
      </c>
      <c r="E8131" s="211" t="s">
        <v>10385</v>
      </c>
      <c r="F8131" s="211" t="s">
        <v>10474</v>
      </c>
    </row>
    <row r="8132" spans="1:6">
      <c r="A8132" s="211" t="s">
        <v>11120</v>
      </c>
      <c r="B8132" s="211">
        <v>7689</v>
      </c>
      <c r="C8132" s="211">
        <v>1196</v>
      </c>
      <c r="D8132" s="211" t="s">
        <v>1255</v>
      </c>
      <c r="E8132" s="211" t="s">
        <v>6991</v>
      </c>
      <c r="F8132" s="211" t="s">
        <v>7318</v>
      </c>
    </row>
    <row r="8133" spans="1:6">
      <c r="A8133" s="211" t="s">
        <v>11121</v>
      </c>
      <c r="B8133" s="211">
        <v>8639</v>
      </c>
      <c r="C8133" s="211" t="s">
        <v>10385</v>
      </c>
      <c r="D8133" s="211" t="s">
        <v>1255</v>
      </c>
      <c r="E8133" s="211" t="s">
        <v>10385</v>
      </c>
      <c r="F8133" s="211" t="s">
        <v>10474</v>
      </c>
    </row>
    <row r="8134" spans="1:6">
      <c r="A8134" s="211" t="s">
        <v>11122</v>
      </c>
      <c r="B8134" s="211">
        <v>6370</v>
      </c>
      <c r="C8134" s="211">
        <v>1237</v>
      </c>
      <c r="D8134" s="211" t="s">
        <v>1255</v>
      </c>
      <c r="E8134" s="211" t="s">
        <v>5773</v>
      </c>
      <c r="F8134" s="211" t="s">
        <v>7242</v>
      </c>
    </row>
  </sheetData>
  <sheetProtection sheet="1" objects="1" scenarios="1"/>
  <autoFilter ref="A1:F7853"/>
  <phoneticPr fontId="19" type="noConversion"/>
  <pageMargins left="0.7" right="0.7" top="0.75" bottom="0.75" header="0.3" footer="0.3"/>
</worksheet>
</file>

<file path=xl/worksheets/sheet6.xml><?xml version="1.0" encoding="utf-8"?>
<worksheet xmlns="http://schemas.openxmlformats.org/spreadsheetml/2006/main" xmlns:r="http://schemas.openxmlformats.org/officeDocument/2006/relationships">
  <sheetPr codeName="Sheet6"/>
  <dimension ref="A1:J264"/>
  <sheetViews>
    <sheetView zoomScaleNormal="100" workbookViewId="0"/>
  </sheetViews>
  <sheetFormatPr defaultRowHeight="12.75"/>
  <cols>
    <col min="1" max="1" width="50.7109375" customWidth="1"/>
    <col min="2" max="3" width="25.7109375" customWidth="1"/>
    <col min="4" max="4" width="6.42578125" bestFit="1" customWidth="1"/>
    <col min="5" max="5" width="10.7109375" bestFit="1" customWidth="1"/>
    <col min="6" max="10" width="9.140625" style="93"/>
  </cols>
  <sheetData>
    <row r="1" spans="1:10">
      <c r="A1" s="68" t="e">
        <f>$B1&amp;";"&amp;VLOOKUP($B1,Players!$C$4:$G$132,5,FALSE)&amp;";"&amp;IF(ISERROR(VLOOKUP($B1,Players!$C$4:$G$132,2,FALSE)),0,VLOOKUP($B1,Players!$C$4:$G$132,2,FALSE))&amp;";"&amp;$C1&amp;";"&amp;VLOOKUP($C1,Players!$C$4:$G$132,5,FALSE)&amp;";"&amp;IF(ISERROR(VLOOKUP($C1,Players!$C$4:$G$132,2,FALSE)),0,VLOOKUP($C1,Players!$C$4:$G$132,2,FALSE))&amp;"|"</f>
        <v>#N/A</v>
      </c>
      <c r="B1" t="str">
        <f>IF(Team_Matches!$Q15="W",Team_Matches!$B15,IF(Team_Matches!$Q17="W",Team_Matches!$B17,""))</f>
        <v/>
      </c>
      <c r="C1" t="str">
        <f>IF(Team_Matches!$Q15="L",Team_Matches!$B15,IF(Team_Matches!$Q17="L",Team_Matches!$B17,""))</f>
        <v/>
      </c>
      <c r="D1" t="str">
        <f>CONCATENATE(Team_Matches!$B9," vs ",Team_Matches!$K9)</f>
        <v>A vs C</v>
      </c>
      <c r="E1" t="str">
        <f>Team_Matches!A13</f>
        <v>1st Singles</v>
      </c>
      <c r="F1" s="93" t="str">
        <f>IF(Team_Matches!$Q15&lt;&gt;"",IF(Team_Matches!H15&gt;Team_Matches!H17,MIN(Team_Matches!H15,Team_Matches!H17),-MIN(Team_Matches!H15,Team_Matches!H17))*IF(Team_Matches!$Q15="W",1,-1),"")</f>
        <v/>
      </c>
      <c r="G1" s="93" t="str">
        <f>IF(Team_Matches!$Q15&lt;&gt;"",IF(Team_Matches!I15&gt;Team_Matches!I17,MIN(Team_Matches!I15,Team_Matches!I17),-MIN(Team_Matches!I15,Team_Matches!I17))*IF(Team_Matches!$Q15="W",1,-1),"")</f>
        <v/>
      </c>
      <c r="H1" s="93" t="str">
        <f>IF(Team_Matches!$Q15&lt;&gt;"",IF(Team_Matches!J15&gt;Team_Matches!J17,MIN(Team_Matches!J15,Team_Matches!J17),-MIN(Team_Matches!J15,Team_Matches!J17))*IF(Team_Matches!$Q15="W",1,-1),"")</f>
        <v/>
      </c>
      <c r="I1" s="93" t="str">
        <f>IF(Team_Matches!$Q15&lt;&gt;"",IF(Team_Matches!K15=Team_Matches!K17,"",IF(Team_Matches!K15&gt;Team_Matches!K17,MIN(Team_Matches!K15,Team_Matches!K17),-MIN(Team_Matches!K15,Team_Matches!K17))*IF(Team_Matches!$Q15="W",1,-1)),"")</f>
        <v/>
      </c>
      <c r="J1" s="93" t="str">
        <f>IF(Team_Matches!$Q15&lt;&gt;"",IF(Team_Matches!L15=Team_Matches!L17,"",IF(Team_Matches!L15&gt;Team_Matches!L17,MIN(Team_Matches!L15,Team_Matches!L17),-MIN(Team_Matches!L15,Team_Matches!L17))*IF(Team_Matches!$Q15="W",1,-1)),"")</f>
        <v/>
      </c>
    </row>
    <row r="2" spans="1:10">
      <c r="A2" s="68" t="e">
        <f>$B2&amp;";"&amp;VLOOKUP($B2,Players!$C$4:$G$132,5,FALSE)&amp;";"&amp;IF(ISERROR(VLOOKUP($B2,Players!$C$4:$G$132,2,FALSE)),0,VLOOKUP($B2,Players!$C$4:$G$132,2,FALSE))&amp;";"&amp;$C2&amp;";"&amp;VLOOKUP($C2,Players!$C$4:$G$132,5,FALSE)&amp;";"&amp;IF(ISERROR(VLOOKUP($C2,Players!$C$4:$G$132,2,FALSE)),0,VLOOKUP($C2,Players!$C$4:$G$132,2,FALSE))&amp;"|"</f>
        <v>#N/A</v>
      </c>
      <c r="B2" t="str">
        <f>IF(Team_Matches!$Q22="W",Team_Matches!$B22,IF(Team_Matches!$Q24="W",Team_Matches!$B24,""))</f>
        <v/>
      </c>
      <c r="C2" t="str">
        <f>IF(Team_Matches!$Q22="L",Team_Matches!$B22,IF(Team_Matches!$Q24="L",Team_Matches!$B24,""))</f>
        <v/>
      </c>
      <c r="D2" t="str">
        <f>CONCATENATE(Team_Matches!$B9," vs ",Team_Matches!$K9)</f>
        <v>A vs C</v>
      </c>
      <c r="E2" t="str">
        <f>Team_Matches!$A20</f>
        <v>2nd Singles</v>
      </c>
      <c r="F2" s="93" t="str">
        <f>IF(Team_Matches!$Q22&lt;&gt;"",IF(Team_Matches!H22&gt;Team_Matches!H24,MIN(Team_Matches!H22,Team_Matches!H24),-MIN(Team_Matches!H22,Team_Matches!H24))*IF(Team_Matches!$Q22="W",1,-1),"")</f>
        <v/>
      </c>
      <c r="G2" s="93" t="str">
        <f>IF(Team_Matches!$Q22&lt;&gt;"",IF(Team_Matches!I22&gt;Team_Matches!I24,MIN(Team_Matches!I22,Team_Matches!I24),-MIN(Team_Matches!I22,Team_Matches!I24))*IF(Team_Matches!$Q22="W",1,-1),"")</f>
        <v/>
      </c>
      <c r="H2" s="93" t="str">
        <f>IF(Team_Matches!$Q22&lt;&gt;"",IF(Team_Matches!J22&gt;Team_Matches!J24,MIN(Team_Matches!J22,Team_Matches!J24),-MIN(Team_Matches!J22,Team_Matches!J24))*IF(Team_Matches!$Q22="W",1,-1),"")</f>
        <v/>
      </c>
      <c r="I2" s="93" t="str">
        <f>IF(Team_Matches!$Q22&lt;&gt;"",IF(Team_Matches!K22=Team_Matches!K24,"",IF(Team_Matches!K22&gt;Team_Matches!K24,MIN(Team_Matches!K22,Team_Matches!K24),-MIN(Team_Matches!K22,Team_Matches!K24))*IF(Team_Matches!$Q22="W",1,-1)),"")</f>
        <v/>
      </c>
      <c r="J2" s="93" t="str">
        <f>IF(Team_Matches!$Q22&lt;&gt;"",IF(Team_Matches!L22=Team_Matches!L24,"",IF(Team_Matches!L22&gt;Team_Matches!L24,MIN(Team_Matches!L22,Team_Matches!L24),-MIN(Team_Matches!L22,Team_Matches!L24))*IF(Team_Matches!$Q22="W",1,-1)),"")</f>
        <v/>
      </c>
    </row>
    <row r="3" spans="1:10">
      <c r="A3" s="68" t="e">
        <f>$B3&amp;";"&amp;VLOOKUP($B3,Players!$C$4:$G$132,5,FALSE)&amp;";"&amp;IF(ISERROR(VLOOKUP($B3,Players!$C$4:$G$132,2,FALSE)),0,VLOOKUP($B3,Players!$C$4:$G$132,2,FALSE))&amp;";"&amp;$C3&amp;";"&amp;VLOOKUP($C3,Players!$C$4:$G$132,5,FALSE)&amp;";"&amp;IF(ISERROR(VLOOKUP($C3,Players!$C$4:$G$132,2,FALSE)),0,VLOOKUP($C3,Players!$C$4:$G$132,2,FALSE))&amp;"|"</f>
        <v>#N/A</v>
      </c>
      <c r="B3" t="str">
        <f>IF(Team_Matches!$Q29="W",Team_Matches!$B29,IF(Team_Matches!$Q31="W",Team_Matches!$B31,""))</f>
        <v/>
      </c>
      <c r="C3" t="str">
        <f>IF(Team_Matches!$Q29="L",Team_Matches!$B29,IF(Team_Matches!$Q31="L",Team_Matches!$B31,""))</f>
        <v/>
      </c>
      <c r="D3" t="str">
        <f>CONCATENATE(Team_Matches!$B9," vs ",Team_Matches!$K9)</f>
        <v>A vs C</v>
      </c>
      <c r="E3" t="str">
        <f>Team_Matches!$A27</f>
        <v>3rd Singles</v>
      </c>
      <c r="F3" s="93" t="str">
        <f>IF(Team_Matches!$Q29&lt;&gt;"",IF(Team_Matches!H29&gt;Team_Matches!H31,MIN(Team_Matches!H29,Team_Matches!H31),-MIN(Team_Matches!H29,Team_Matches!H31))*IF(Team_Matches!$Q29="W",1,-1),"")</f>
        <v/>
      </c>
      <c r="G3" s="93" t="str">
        <f>IF(Team_Matches!$Q29&lt;&gt;"",IF(Team_Matches!I29&gt;Team_Matches!I31,MIN(Team_Matches!I29,Team_Matches!I31),-MIN(Team_Matches!I29,Team_Matches!I31))*IF(Team_Matches!$Q29="W",1,-1),"")</f>
        <v/>
      </c>
      <c r="H3" s="93" t="str">
        <f>IF(Team_Matches!$Q29&lt;&gt;"",IF(Team_Matches!J29&gt;Team_Matches!J31,MIN(Team_Matches!J29,Team_Matches!J31),-MIN(Team_Matches!J29,Team_Matches!J31))*IF(Team_Matches!$Q29="W",1,-1),"")</f>
        <v/>
      </c>
      <c r="I3" s="93" t="str">
        <f>IF(Team_Matches!$Q29&lt;&gt;"",IF(Team_Matches!K29=Team_Matches!K31,"",IF(Team_Matches!K29&gt;Team_Matches!K31,MIN(Team_Matches!K29,Team_Matches!K31),-MIN(Team_Matches!K29,Team_Matches!K31))*IF(Team_Matches!$Q29="W",1,-1)),"")</f>
        <v/>
      </c>
      <c r="J3" s="93" t="str">
        <f>IF(Team_Matches!$Q29&lt;&gt;"",IF(Team_Matches!L29=Team_Matches!L31,"",IF(Team_Matches!L29&gt;Team_Matches!L31,MIN(Team_Matches!L29,Team_Matches!L31),-MIN(Team_Matches!L29,Team_Matches!L31))*IF(Team_Matches!$Q29="W",1,-1)),"")</f>
        <v/>
      </c>
    </row>
    <row r="4" spans="1:10">
      <c r="A4" s="68" t="e">
        <f ca="1">$B4&amp;";"&amp;VLOOKUP($B4,Players!$C$4:$G$132,5,FALSE)&amp;";"&amp;IF(ISERROR(VLOOKUP($B4,Players!$C$4:$G$132,2,FALSE)),0,VLOOKUP($B4,Players!$C$4:$G$132,2,FALSE))&amp;";"&amp;$C4&amp;";"&amp;VLOOKUP($C4,Players!$C$4:$G$132,5,FALSE)&amp;";"&amp;IF(ISERROR(VLOOKUP($C4,Players!$C$4:$G$132,2,FALSE)),0,VLOOKUP($C4,Players!$C$4:$G$132,2,FALSE))&amp;"|"</f>
        <v>#N/A</v>
      </c>
      <c r="B4" t="str">
        <f ca="1">IF(Team_Matches!$Q36="W",Team_Matches!$B36,IF(Team_Matches!$Q38="W",Team_Matches!$B38,""))</f>
        <v/>
      </c>
      <c r="C4" t="str">
        <f ca="1">IF(Team_Matches!$Q36="L",Team_Matches!$B36,IF(Team_Matches!$Q38="L",Team_Matches!$B38,""))</f>
        <v/>
      </c>
      <c r="D4" t="str">
        <f>CONCATENATE(Team_Matches!$B9," vs ",Team_Matches!$K9)</f>
        <v>A vs C</v>
      </c>
      <c r="E4" t="str">
        <f>Team_Matches!$A34</f>
        <v>4th Singles</v>
      </c>
      <c r="F4" s="93" t="str">
        <f ca="1">IF(Team_Matches!$Q36&lt;&gt;"",IF(Team_Matches!H36&gt;Team_Matches!H38,MIN(Team_Matches!H36,Team_Matches!H38),-MIN(Team_Matches!H36,Team_Matches!H38))*IF(Team_Matches!$Q36="W",1,-1),"")</f>
        <v/>
      </c>
      <c r="G4" s="93" t="str">
        <f ca="1">IF(Team_Matches!$Q36&lt;&gt;"",IF(Team_Matches!I36&gt;Team_Matches!I38,MIN(Team_Matches!I36,Team_Matches!I38),-MIN(Team_Matches!I36,Team_Matches!I38))*IF(Team_Matches!$Q36="W",1,-1),"")</f>
        <v/>
      </c>
      <c r="H4" s="93" t="str">
        <f ca="1">IF(Team_Matches!$Q36&lt;&gt;"",IF(Team_Matches!J36&gt;Team_Matches!J38,MIN(Team_Matches!J36,Team_Matches!J38),-MIN(Team_Matches!J36,Team_Matches!J38))*IF(Team_Matches!$Q36="W",1,-1),"")</f>
        <v/>
      </c>
      <c r="I4" s="93" t="str">
        <f ca="1">IF(Team_Matches!$Q36&lt;&gt;"",IF(Team_Matches!K36=Team_Matches!K38,"",IF(Team_Matches!K36&gt;Team_Matches!K38,MIN(Team_Matches!K36,Team_Matches!K38),-MIN(Team_Matches!K36,Team_Matches!K38))*IF(Team_Matches!$Q36="W",1,-1)),"")</f>
        <v/>
      </c>
      <c r="J4" s="93" t="str">
        <f ca="1">IF(Team_Matches!$Q36&lt;&gt;"",IF(Team_Matches!L36=Team_Matches!L38,"",IF(Team_Matches!L36&gt;Team_Matches!L38,MIN(Team_Matches!L36,Team_Matches!L38),-MIN(Team_Matches!L36,Team_Matches!L38))*IF(Team_Matches!$Q36="W",1,-1)),"")</f>
        <v/>
      </c>
    </row>
    <row r="5" spans="1:10">
      <c r="A5" s="68" t="e">
        <f>$B5&amp;";"&amp;VLOOKUP($B5,Players!$C$4:$G$132,5,FALSE)&amp;";"&amp;IF(ISERROR(VLOOKUP($B5,Players!$C$4:$G$132,2,FALSE)),0,VLOOKUP($B5,Players!$C$4:$G$132,2,FALSE))&amp;";"&amp;$C5&amp;";"&amp;VLOOKUP($C5,Players!$C$4:$G$132,5,FALSE)&amp;";"&amp;IF(ISERROR(VLOOKUP($C5,Players!$C$4:$G$132,2,FALSE)),0,VLOOKUP($C5,Players!$C$4:$G$132,2,FALSE))&amp;"|"</f>
        <v>#N/A</v>
      </c>
      <c r="B5" t="str">
        <f>IF(Team_Matches!$Q66="W",Team_Matches!$B66,IF(Team_Matches!$Q68="W",Team_Matches!$B68,""))</f>
        <v/>
      </c>
      <c r="C5" t="str">
        <f>IF(Team_Matches!$Q66="L",Team_Matches!$B66,IF(Team_Matches!$Q68="L",Team_Matches!$B68,""))</f>
        <v/>
      </c>
      <c r="D5" t="str">
        <f>CONCATENATE(Team_Matches!$B60," vs ",Team_Matches!$K60)</f>
        <v>B vs D</v>
      </c>
      <c r="E5" t="str">
        <f>Team_Matches!A64</f>
        <v>1st Singles</v>
      </c>
      <c r="F5" s="93" t="str">
        <f>IF(Team_Matches!$Q66&lt;&gt;"",IF(Team_Matches!H66&gt;Team_Matches!H68,MIN(Team_Matches!H66,Team_Matches!H68),-MIN(Team_Matches!H66,Team_Matches!H68))*IF(Team_Matches!$Q66="W",1,-1),"")</f>
        <v/>
      </c>
      <c r="G5" s="93" t="str">
        <f>IF(Team_Matches!$Q66&lt;&gt;"",IF(Team_Matches!I66&gt;Team_Matches!I68,MIN(Team_Matches!I66,Team_Matches!I68),-MIN(Team_Matches!I66,Team_Matches!I68))*IF(Team_Matches!$Q66="W",1,-1),"")</f>
        <v/>
      </c>
      <c r="H5" s="93" t="str">
        <f>IF(Team_Matches!$Q66&lt;&gt;"",IF(Team_Matches!J66&gt;Team_Matches!J68,MIN(Team_Matches!J66,Team_Matches!J68),-MIN(Team_Matches!J66,Team_Matches!J68))*IF(Team_Matches!$Q66="W",1,-1),"")</f>
        <v/>
      </c>
      <c r="I5" s="93" t="str">
        <f>IF(Team_Matches!$Q66&lt;&gt;"",IF(Team_Matches!K66=Team_Matches!K68,"",IF(Team_Matches!K66&gt;Team_Matches!K68,MIN(Team_Matches!K66,Team_Matches!K68),-MIN(Team_Matches!K66,Team_Matches!K68))*IF(Team_Matches!$Q66="W",1,-1)),"")</f>
        <v/>
      </c>
      <c r="J5" s="93" t="str">
        <f>IF(Team_Matches!$Q66&lt;&gt;"",IF(Team_Matches!L66=Team_Matches!L68,"",IF(Team_Matches!L66&gt;Team_Matches!L68,MIN(Team_Matches!L66,Team_Matches!L68),-MIN(Team_Matches!L66,Team_Matches!L68))*IF(Team_Matches!$Q66="W",1,-1)),"")</f>
        <v/>
      </c>
    </row>
    <row r="6" spans="1:10">
      <c r="A6" s="68" t="e">
        <f>$B6&amp;";"&amp;VLOOKUP($B6,Players!$C$4:$G$132,5,FALSE)&amp;";"&amp;IF(ISERROR(VLOOKUP($B6,Players!$C$4:$G$132,2,FALSE)),0,VLOOKUP($B6,Players!$C$4:$G$132,2,FALSE))&amp;";"&amp;$C6&amp;";"&amp;VLOOKUP($C6,Players!$C$4:$G$132,5,FALSE)&amp;";"&amp;IF(ISERROR(VLOOKUP($C6,Players!$C$4:$G$132,2,FALSE)),0,VLOOKUP($C6,Players!$C$4:$G$132,2,FALSE))&amp;"|"</f>
        <v>#N/A</v>
      </c>
      <c r="B6" t="str">
        <f>IF(Team_Matches!$Q73="W",Team_Matches!$B73,IF(Team_Matches!$Q75="W",Team_Matches!$B75,""))</f>
        <v/>
      </c>
      <c r="C6" t="str">
        <f>IF(Team_Matches!$Q73="L",Team_Matches!$B73,IF(Team_Matches!$Q75="L",Team_Matches!$B75,""))</f>
        <v/>
      </c>
      <c r="D6" t="str">
        <f>CONCATENATE(Team_Matches!$B60," vs ",Team_Matches!$K60)</f>
        <v>B vs D</v>
      </c>
      <c r="E6" t="str">
        <f>Team_Matches!$A71</f>
        <v>2nd Singles</v>
      </c>
      <c r="F6" s="93" t="str">
        <f>IF(Team_Matches!$Q73&lt;&gt;"",IF(Team_Matches!H73&gt;Team_Matches!H75,MIN(Team_Matches!H73,Team_Matches!H75),-MIN(Team_Matches!H73,Team_Matches!H75))*IF(Team_Matches!$Q73="W",1,-1),"")</f>
        <v/>
      </c>
      <c r="G6" s="93" t="str">
        <f>IF(Team_Matches!$Q73&lt;&gt;"",IF(Team_Matches!I73&gt;Team_Matches!I75,MIN(Team_Matches!I73,Team_Matches!I75),-MIN(Team_Matches!I73,Team_Matches!I75))*IF(Team_Matches!$Q73="W",1,-1),"")</f>
        <v/>
      </c>
      <c r="H6" s="93" t="str">
        <f>IF(Team_Matches!$Q73&lt;&gt;"",IF(Team_Matches!J73&gt;Team_Matches!J75,MIN(Team_Matches!J73,Team_Matches!J75),-MIN(Team_Matches!J73,Team_Matches!J75))*IF(Team_Matches!$Q73="W",1,-1),"")</f>
        <v/>
      </c>
      <c r="I6" s="93" t="str">
        <f>IF(Team_Matches!$Q73&lt;&gt;"",IF(Team_Matches!K73=Team_Matches!K75,"",IF(Team_Matches!K73&gt;Team_Matches!K75,MIN(Team_Matches!K73,Team_Matches!K75),-MIN(Team_Matches!K73,Team_Matches!K75))*IF(Team_Matches!$Q73="W",1,-1)),"")</f>
        <v/>
      </c>
      <c r="J6" s="93" t="str">
        <f>IF(Team_Matches!$Q73&lt;&gt;"",IF(Team_Matches!L73=Team_Matches!L75,"",IF(Team_Matches!L73&gt;Team_Matches!L75,MIN(Team_Matches!L73,Team_Matches!L75),-MIN(Team_Matches!L73,Team_Matches!L75))*IF(Team_Matches!$Q73="W",1,-1)),"")</f>
        <v/>
      </c>
    </row>
    <row r="7" spans="1:10">
      <c r="A7" s="68" t="e">
        <f>$B7&amp;";"&amp;VLOOKUP($B7,Players!$C$4:$G$132,5,FALSE)&amp;";"&amp;IF(ISERROR(VLOOKUP($B7,Players!$C$4:$G$132,2,FALSE)),0,VLOOKUP($B7,Players!$C$4:$G$132,2,FALSE))&amp;";"&amp;$C7&amp;";"&amp;VLOOKUP($C7,Players!$C$4:$G$132,5,FALSE)&amp;";"&amp;IF(ISERROR(VLOOKUP($C7,Players!$C$4:$G$132,2,FALSE)),0,VLOOKUP($C7,Players!$C$4:$G$132,2,FALSE))&amp;"|"</f>
        <v>#N/A</v>
      </c>
      <c r="B7" t="str">
        <f>IF(Team_Matches!$Q80="W",Team_Matches!$B80,IF(Team_Matches!$Q82="W",Team_Matches!$B82,""))</f>
        <v/>
      </c>
      <c r="C7" t="str">
        <f>IF(Team_Matches!$Q80="L",Team_Matches!$B80,IF(Team_Matches!$Q82="L",Team_Matches!$B82,""))</f>
        <v/>
      </c>
      <c r="D7" t="str">
        <f>CONCATENATE(Team_Matches!$B60," vs ",Team_Matches!$K60)</f>
        <v>B vs D</v>
      </c>
      <c r="E7" t="str">
        <f>Team_Matches!$A78</f>
        <v>3rd Singles</v>
      </c>
      <c r="F7" s="93" t="str">
        <f>IF(Team_Matches!$Q80&lt;&gt;"",IF(Team_Matches!H80&gt;Team_Matches!H82,MIN(Team_Matches!H80,Team_Matches!H82),-MIN(Team_Matches!H80,Team_Matches!H82))*IF(Team_Matches!$Q80="W",1,-1),"")</f>
        <v/>
      </c>
      <c r="G7" s="93" t="str">
        <f>IF(Team_Matches!$Q80&lt;&gt;"",IF(Team_Matches!I80&gt;Team_Matches!I82,MIN(Team_Matches!I80,Team_Matches!I82),-MIN(Team_Matches!I80,Team_Matches!I82))*IF(Team_Matches!$Q80="W",1,-1),"")</f>
        <v/>
      </c>
      <c r="H7" s="93" t="str">
        <f>IF(Team_Matches!$Q80&lt;&gt;"",IF(Team_Matches!J80&gt;Team_Matches!J82,MIN(Team_Matches!J80,Team_Matches!J82),-MIN(Team_Matches!J80,Team_Matches!J82))*IF(Team_Matches!$Q80="W",1,-1),"")</f>
        <v/>
      </c>
      <c r="I7" s="93" t="str">
        <f>IF(Team_Matches!$Q80&lt;&gt;"",IF(Team_Matches!K80=Team_Matches!K82,"",IF(Team_Matches!K80&gt;Team_Matches!K82,MIN(Team_Matches!K80,Team_Matches!K82),-MIN(Team_Matches!K80,Team_Matches!K82))*IF(Team_Matches!$Q80="W",1,-1)),"")</f>
        <v/>
      </c>
      <c r="J7" s="93" t="str">
        <f>IF(Team_Matches!$Q80&lt;&gt;"",IF(Team_Matches!L80=Team_Matches!L82,"",IF(Team_Matches!L80&gt;Team_Matches!L82,MIN(Team_Matches!L80,Team_Matches!L82),-MIN(Team_Matches!L80,Team_Matches!L82))*IF(Team_Matches!$Q80="W",1,-1)),"")</f>
        <v/>
      </c>
    </row>
    <row r="8" spans="1:10">
      <c r="A8" s="68" t="e">
        <f ca="1">$B8&amp;";"&amp;VLOOKUP($B8,Players!$C$4:$G$132,5,FALSE)&amp;";"&amp;IF(ISERROR(VLOOKUP($B8,Players!$C$4:$G$132,2,FALSE)),0,VLOOKUP($B8,Players!$C$4:$G$132,2,FALSE))&amp;";"&amp;$C8&amp;";"&amp;VLOOKUP($C8,Players!$C$4:$G$132,5,FALSE)&amp;";"&amp;IF(ISERROR(VLOOKUP($C8,Players!$C$4:$G$132,2,FALSE)),0,VLOOKUP($C8,Players!$C$4:$G$132,2,FALSE))&amp;"|"</f>
        <v>#N/A</v>
      </c>
      <c r="B8" t="str">
        <f ca="1">IF(Team_Matches!$Q87="W",Team_Matches!$B87,IF(Team_Matches!$Q89="W",Team_Matches!$B89,""))</f>
        <v/>
      </c>
      <c r="C8" t="str">
        <f ca="1">IF(Team_Matches!$Q87="L",Team_Matches!$B87,IF(Team_Matches!$Q89="L",Team_Matches!$B89,""))</f>
        <v/>
      </c>
      <c r="D8" t="str">
        <f>CONCATENATE(Team_Matches!$B60," vs ",Team_Matches!$K60)</f>
        <v>B vs D</v>
      </c>
      <c r="E8" t="str">
        <f>Team_Matches!$A85</f>
        <v>4th Singles</v>
      </c>
      <c r="F8" s="93" t="str">
        <f ca="1">IF(Team_Matches!$Q87&lt;&gt;"",IF(Team_Matches!H87&gt;Team_Matches!H89,MIN(Team_Matches!H87,Team_Matches!H89),-MIN(Team_Matches!H87,Team_Matches!H89))*IF(Team_Matches!$Q87="W",1,-1),"")</f>
        <v/>
      </c>
      <c r="G8" s="93" t="str">
        <f ca="1">IF(Team_Matches!$Q87&lt;&gt;"",IF(Team_Matches!I87&gt;Team_Matches!I89,MIN(Team_Matches!I87,Team_Matches!I89),-MIN(Team_Matches!I87,Team_Matches!I89))*IF(Team_Matches!$Q87="W",1,-1),"")</f>
        <v/>
      </c>
      <c r="H8" s="93" t="str">
        <f ca="1">IF(Team_Matches!$Q87&lt;&gt;"",IF(Team_Matches!J87&gt;Team_Matches!J89,MIN(Team_Matches!J87,Team_Matches!J89),-MIN(Team_Matches!J87,Team_Matches!J89))*IF(Team_Matches!$Q87="W",1,-1),"")</f>
        <v/>
      </c>
      <c r="I8" s="93" t="str">
        <f ca="1">IF(Team_Matches!$Q87&lt;&gt;"",IF(Team_Matches!K87=Team_Matches!K89,"",IF(Team_Matches!K87&gt;Team_Matches!K89,MIN(Team_Matches!K87,Team_Matches!K89),-MIN(Team_Matches!K87,Team_Matches!K89))*IF(Team_Matches!$Q87="W",1,-1)),"")</f>
        <v/>
      </c>
      <c r="J8" s="93" t="str">
        <f ca="1">IF(Team_Matches!$Q87&lt;&gt;"",IF(Team_Matches!L87=Team_Matches!L89,"",IF(Team_Matches!L87&gt;Team_Matches!L89,MIN(Team_Matches!L87,Team_Matches!L89),-MIN(Team_Matches!L87,Team_Matches!L89))*IF(Team_Matches!$Q87="W",1,-1)),"")</f>
        <v/>
      </c>
    </row>
    <row r="9" spans="1:10">
      <c r="A9" s="68" t="e">
        <f>$B9&amp;";"&amp;VLOOKUP($B9,Players!$C$4:$G$132,5,FALSE)&amp;";"&amp;IF(ISERROR(VLOOKUP($B9,Players!$C$4:$G$132,2,FALSE)),0,VLOOKUP($B9,Players!$C$4:$G$132,2,FALSE))&amp;";"&amp;$C9&amp;";"&amp;VLOOKUP($C9,Players!$C$4:$G$132,5,FALSE)&amp;";"&amp;IF(ISERROR(VLOOKUP($C9,Players!$C$4:$G$132,2,FALSE)),0,VLOOKUP($C9,Players!$C$4:$G$132,2,FALSE))&amp;"|"</f>
        <v>#N/A</v>
      </c>
      <c r="B9" t="str">
        <f>IF(Team_Matches!$Q117="W",Team_Matches!$B117,IF(Team_Matches!$Q119="W",Team_Matches!$B119,""))</f>
        <v/>
      </c>
      <c r="C9" t="str">
        <f>IF(Team_Matches!$Q117="L",Team_Matches!$B117,IF(Team_Matches!$Q119="L",Team_Matches!$B119,""))</f>
        <v/>
      </c>
      <c r="D9" t="str">
        <f>CONCATENATE(Team_Matches!$B111," vs ",Team_Matches!$K111)</f>
        <v>A vs B</v>
      </c>
      <c r="E9" t="str">
        <f>Team_Matches!A115</f>
        <v>1st Singles</v>
      </c>
      <c r="F9" s="93" t="str">
        <f>IF(Team_Matches!$Q117&lt;&gt;"",IF(Team_Matches!H117&gt;Team_Matches!H119,MIN(Team_Matches!H117,Team_Matches!H119),-MIN(Team_Matches!H117,Team_Matches!H119))*IF(Team_Matches!$Q117="W",1,-1),"")</f>
        <v/>
      </c>
      <c r="G9" s="93" t="str">
        <f>IF(Team_Matches!$Q117&lt;&gt;"",IF(Team_Matches!I117&gt;Team_Matches!I119,MIN(Team_Matches!I117,Team_Matches!I119),-MIN(Team_Matches!I117,Team_Matches!I119))*IF(Team_Matches!$Q117="W",1,-1),"")</f>
        <v/>
      </c>
      <c r="H9" s="93" t="str">
        <f>IF(Team_Matches!$Q117&lt;&gt;"",IF(Team_Matches!J117&gt;Team_Matches!J119,MIN(Team_Matches!J117,Team_Matches!J119),-MIN(Team_Matches!J117,Team_Matches!J119))*IF(Team_Matches!$Q117="W",1,-1),"")</f>
        <v/>
      </c>
      <c r="I9" s="93" t="str">
        <f>IF(Team_Matches!$Q117&lt;&gt;"",IF(Team_Matches!K117=Team_Matches!K119,"",IF(Team_Matches!K117&gt;Team_Matches!K119,MIN(Team_Matches!K117,Team_Matches!K119),-MIN(Team_Matches!K117,Team_Matches!K119))*IF(Team_Matches!$Q117="W",1,-1)),"")</f>
        <v/>
      </c>
      <c r="J9" s="93" t="str">
        <f>IF(Team_Matches!$Q117&lt;&gt;"",IF(Team_Matches!L117=Team_Matches!L119,"",IF(Team_Matches!L117&gt;Team_Matches!L119,MIN(Team_Matches!L117,Team_Matches!L119),-MIN(Team_Matches!L117,Team_Matches!L119))*IF(Team_Matches!$Q117="W",1,-1)),"")</f>
        <v/>
      </c>
    </row>
    <row r="10" spans="1:10">
      <c r="A10" s="68" t="e">
        <f>$B10&amp;";"&amp;VLOOKUP($B10,Players!$C$4:$G$132,5,FALSE)&amp;";"&amp;IF(ISERROR(VLOOKUP($B10,Players!$C$4:$G$132,2,FALSE)),0,VLOOKUP($B10,Players!$C$4:$G$132,2,FALSE))&amp;";"&amp;$C10&amp;";"&amp;VLOOKUP($C10,Players!$C$4:$G$132,5,FALSE)&amp;";"&amp;IF(ISERROR(VLOOKUP($C10,Players!$C$4:$G$132,2,FALSE)),0,VLOOKUP($C10,Players!$C$4:$G$132,2,FALSE))&amp;"|"</f>
        <v>#N/A</v>
      </c>
      <c r="B10" t="str">
        <f>IF(Team_Matches!$Q124="W",Team_Matches!$B124,IF(Team_Matches!$Q126="W",Team_Matches!$B126,""))</f>
        <v/>
      </c>
      <c r="C10" t="str">
        <f>IF(Team_Matches!$Q124="L",Team_Matches!$B124,IF(Team_Matches!$Q126="L",Team_Matches!$B126,""))</f>
        <v/>
      </c>
      <c r="D10" t="str">
        <f>CONCATENATE(Team_Matches!$B111," vs ",Team_Matches!$K111)</f>
        <v>A vs B</v>
      </c>
      <c r="E10" t="str">
        <f>Team_Matches!$A122</f>
        <v>2nd Singles</v>
      </c>
      <c r="F10" s="93" t="str">
        <f>IF(Team_Matches!$Q124&lt;&gt;"",IF(Team_Matches!H124&gt;Team_Matches!H126,MIN(Team_Matches!H124,Team_Matches!H126),-MIN(Team_Matches!H124,Team_Matches!H126))*IF(Team_Matches!$Q124="W",1,-1),"")</f>
        <v/>
      </c>
      <c r="G10" s="93" t="str">
        <f>IF(Team_Matches!$Q124&lt;&gt;"",IF(Team_Matches!I124&gt;Team_Matches!I126,MIN(Team_Matches!I124,Team_Matches!I126),-MIN(Team_Matches!I124,Team_Matches!I126))*IF(Team_Matches!$Q124="W",1,-1),"")</f>
        <v/>
      </c>
      <c r="H10" s="93" t="str">
        <f>IF(Team_Matches!$Q124&lt;&gt;"",IF(Team_Matches!J124&gt;Team_Matches!J126,MIN(Team_Matches!J124,Team_Matches!J126),-MIN(Team_Matches!J124,Team_Matches!J126))*IF(Team_Matches!$Q124="W",1,-1),"")</f>
        <v/>
      </c>
      <c r="I10" s="93" t="str">
        <f>IF(Team_Matches!$Q124&lt;&gt;"",IF(Team_Matches!K124=Team_Matches!K126,"",IF(Team_Matches!K124&gt;Team_Matches!K126,MIN(Team_Matches!K124,Team_Matches!K126),-MIN(Team_Matches!K124,Team_Matches!K126))*IF(Team_Matches!$Q124="W",1,-1)),"")</f>
        <v/>
      </c>
      <c r="J10" s="93" t="str">
        <f>IF(Team_Matches!$Q124&lt;&gt;"",IF(Team_Matches!L124=Team_Matches!L126,"",IF(Team_Matches!L124&gt;Team_Matches!L126,MIN(Team_Matches!L124,Team_Matches!L126),-MIN(Team_Matches!L124,Team_Matches!L126))*IF(Team_Matches!$Q124="W",1,-1)),"")</f>
        <v/>
      </c>
    </row>
    <row r="11" spans="1:10">
      <c r="A11" s="68" t="e">
        <f>$B11&amp;";"&amp;VLOOKUP($B11,Players!$C$4:$G$132,5,FALSE)&amp;";"&amp;IF(ISERROR(VLOOKUP($B11,Players!$C$4:$G$132,2,FALSE)),0,VLOOKUP($B11,Players!$C$4:$G$132,2,FALSE))&amp;";"&amp;$C11&amp;";"&amp;VLOOKUP($C11,Players!$C$4:$G$132,5,FALSE)&amp;";"&amp;IF(ISERROR(VLOOKUP($C11,Players!$C$4:$G$132,2,FALSE)),0,VLOOKUP($C11,Players!$C$4:$G$132,2,FALSE))&amp;"|"</f>
        <v>#N/A</v>
      </c>
      <c r="B11" t="str">
        <f>IF(Team_Matches!$Q131="W",Team_Matches!$B131,IF(Team_Matches!$Q133="W",Team_Matches!$B133,""))</f>
        <v/>
      </c>
      <c r="C11" t="str">
        <f>IF(Team_Matches!$Q131="L",Team_Matches!$B131,IF(Team_Matches!$Q133="L",Team_Matches!$B133,""))</f>
        <v/>
      </c>
      <c r="D11" t="str">
        <f>CONCATENATE(Team_Matches!$B111," vs ",Team_Matches!$K111)</f>
        <v>A vs B</v>
      </c>
      <c r="E11" t="str">
        <f>Team_Matches!$A129</f>
        <v>3rd Singles</v>
      </c>
      <c r="F11" s="93" t="str">
        <f>IF(Team_Matches!$Q131&lt;&gt;"",IF(Team_Matches!H131&gt;Team_Matches!H133,MIN(Team_Matches!H131,Team_Matches!H133),-MIN(Team_Matches!H131,Team_Matches!H133))*IF(Team_Matches!$Q131="W",1,-1),"")</f>
        <v/>
      </c>
      <c r="G11" s="93" t="str">
        <f>IF(Team_Matches!$Q131&lt;&gt;"",IF(Team_Matches!I131&gt;Team_Matches!I133,MIN(Team_Matches!I131,Team_Matches!I133),-MIN(Team_Matches!I131,Team_Matches!I133))*IF(Team_Matches!$Q131="W",1,-1),"")</f>
        <v/>
      </c>
      <c r="H11" s="93" t="str">
        <f>IF(Team_Matches!$Q131&lt;&gt;"",IF(Team_Matches!J131&gt;Team_Matches!J133,MIN(Team_Matches!J131,Team_Matches!J133),-MIN(Team_Matches!J131,Team_Matches!J133))*IF(Team_Matches!$Q131="W",1,-1),"")</f>
        <v/>
      </c>
      <c r="I11" s="93" t="str">
        <f>IF(Team_Matches!$Q131&lt;&gt;"",IF(Team_Matches!K131=Team_Matches!K133,"",IF(Team_Matches!K131&gt;Team_Matches!K133,MIN(Team_Matches!K131,Team_Matches!K133),-MIN(Team_Matches!K131,Team_Matches!K133))*IF(Team_Matches!$Q131="W",1,-1)),"")</f>
        <v/>
      </c>
      <c r="J11" s="93" t="str">
        <f>IF(Team_Matches!$Q131&lt;&gt;"",IF(Team_Matches!L131=Team_Matches!L133,"",IF(Team_Matches!L131&gt;Team_Matches!L133,MIN(Team_Matches!L131,Team_Matches!L133),-MIN(Team_Matches!L131,Team_Matches!L133))*IF(Team_Matches!$Q131="W",1,-1)),"")</f>
        <v/>
      </c>
    </row>
    <row r="12" spans="1:10">
      <c r="A12" s="68" t="e">
        <f ca="1">$B12&amp;";"&amp;VLOOKUP($B12,Players!$C$4:$G$132,5,FALSE)&amp;";"&amp;IF(ISERROR(VLOOKUP($B12,Players!$C$4:$G$132,2,FALSE)),0,VLOOKUP($B12,Players!$C$4:$G$132,2,FALSE))&amp;";"&amp;$C12&amp;";"&amp;VLOOKUP($C12,Players!$C$4:$G$132,5,FALSE)&amp;";"&amp;IF(ISERROR(VLOOKUP($C12,Players!$C$4:$G$132,2,FALSE)),0,VLOOKUP($C12,Players!$C$4:$G$132,2,FALSE))&amp;"|"</f>
        <v>#N/A</v>
      </c>
      <c r="B12" t="str">
        <f ca="1">IF(Team_Matches!$Q138="W",Team_Matches!$B138,IF(Team_Matches!$Q140="W",Team_Matches!$B140,""))</f>
        <v/>
      </c>
      <c r="C12" t="str">
        <f ca="1">IF(Team_Matches!$Q138="L",Team_Matches!$B138,IF(Team_Matches!$Q140="L",Team_Matches!$B140,""))</f>
        <v/>
      </c>
      <c r="D12" t="str">
        <f>CONCATENATE(Team_Matches!$B111," vs ",Team_Matches!$K111)</f>
        <v>A vs B</v>
      </c>
      <c r="E12" t="str">
        <f>Team_Matches!$A136</f>
        <v>4th Singles</v>
      </c>
      <c r="F12" s="93" t="str">
        <f ca="1">IF(Team_Matches!$Q138&lt;&gt;"",IF(Team_Matches!H138&gt;Team_Matches!H140,MIN(Team_Matches!H138,Team_Matches!H140),-MIN(Team_Matches!H138,Team_Matches!H140))*IF(Team_Matches!$Q138="W",1,-1),"")</f>
        <v/>
      </c>
      <c r="G12" s="93" t="str">
        <f ca="1">IF(Team_Matches!$Q138&lt;&gt;"",IF(Team_Matches!I138&gt;Team_Matches!I140,MIN(Team_Matches!I138,Team_Matches!I140),-MIN(Team_Matches!I138,Team_Matches!I140))*IF(Team_Matches!$Q138="W",1,-1),"")</f>
        <v/>
      </c>
      <c r="H12" s="93" t="str">
        <f ca="1">IF(Team_Matches!$Q138&lt;&gt;"",IF(Team_Matches!J138&gt;Team_Matches!J140,MIN(Team_Matches!J138,Team_Matches!J140),-MIN(Team_Matches!J138,Team_Matches!J140))*IF(Team_Matches!$Q138="W",1,-1),"")</f>
        <v/>
      </c>
      <c r="I12" s="93" t="str">
        <f ca="1">IF(Team_Matches!$Q138&lt;&gt;"",IF(Team_Matches!K138=Team_Matches!K140,"",IF(Team_Matches!K138&gt;Team_Matches!K140,MIN(Team_Matches!K138,Team_Matches!K140),-MIN(Team_Matches!K138,Team_Matches!K140))*IF(Team_Matches!$Q138="W",1,-1)),"")</f>
        <v/>
      </c>
      <c r="J12" s="93" t="str">
        <f ca="1">IF(Team_Matches!$Q138&lt;&gt;"",IF(Team_Matches!L138=Team_Matches!L140,"",IF(Team_Matches!L138&gt;Team_Matches!L140,MIN(Team_Matches!L138,Team_Matches!L140),-MIN(Team_Matches!L138,Team_Matches!L140))*IF(Team_Matches!$Q138="W",1,-1)),"")</f>
        <v/>
      </c>
    </row>
    <row r="13" spans="1:10">
      <c r="A13" s="68" t="e">
        <f>$B13&amp;";"&amp;VLOOKUP($B13,Players!$C$4:$G$132,5,FALSE)&amp;";"&amp;IF(ISERROR(VLOOKUP($B13,Players!$C$4:$G$132,2,FALSE)),0,VLOOKUP($B13,Players!$C$4:$G$132,2,FALSE))&amp;";"&amp;$C13&amp;";"&amp;VLOOKUP($C13,Players!$C$4:$G$132,5,FALSE)&amp;";"&amp;IF(ISERROR(VLOOKUP($C13,Players!$C$4:$G$132,2,FALSE)),0,VLOOKUP($C13,Players!$C$4:$G$132,2,FALSE))&amp;"|"</f>
        <v>#N/A</v>
      </c>
      <c r="B13" t="str">
        <f>IF(Team_Matches!$Q168="W",Team_Matches!$B168,IF(Team_Matches!$Q170="W",Team_Matches!$B170,""))</f>
        <v/>
      </c>
      <c r="C13" t="str">
        <f>IF(Team_Matches!$Q168="L",Team_Matches!$B168,IF(Team_Matches!$Q170="L",Team_Matches!$B170,""))</f>
        <v/>
      </c>
      <c r="D13" t="str">
        <f>CONCATENATE(Team_Matches!$B162," vs ",Team_Matches!$K162)</f>
        <v>C vs D</v>
      </c>
      <c r="E13" t="str">
        <f>Team_Matches!A166</f>
        <v>1st Singles</v>
      </c>
      <c r="F13" s="93" t="str">
        <f>IF(Team_Matches!$Q168&lt;&gt;"",IF(Team_Matches!H168&gt;Team_Matches!H170,MIN(Team_Matches!H168,Team_Matches!H170),-MIN(Team_Matches!H168,Team_Matches!H170))*IF(Team_Matches!$Q168="W",1,-1),"")</f>
        <v/>
      </c>
      <c r="G13" s="93" t="str">
        <f>IF(Team_Matches!$Q168&lt;&gt;"",IF(Team_Matches!I168&gt;Team_Matches!I170,MIN(Team_Matches!I168,Team_Matches!I170),-MIN(Team_Matches!I168,Team_Matches!I170))*IF(Team_Matches!$Q168="W",1,-1),"")</f>
        <v/>
      </c>
      <c r="H13" s="93" t="str">
        <f>IF(Team_Matches!$Q168&lt;&gt;"",IF(Team_Matches!J168&gt;Team_Matches!J170,MIN(Team_Matches!J168,Team_Matches!J170),-MIN(Team_Matches!J168,Team_Matches!J170))*IF(Team_Matches!$Q168="W",1,-1),"")</f>
        <v/>
      </c>
      <c r="I13" s="93" t="str">
        <f>IF(Team_Matches!$Q168&lt;&gt;"",IF(Team_Matches!K168=Team_Matches!K170,"",IF(Team_Matches!K168&gt;Team_Matches!K170,MIN(Team_Matches!K168,Team_Matches!K170),-MIN(Team_Matches!K168,Team_Matches!K170))*IF(Team_Matches!$Q168="W",1,-1)),"")</f>
        <v/>
      </c>
      <c r="J13" s="93" t="str">
        <f>IF(Team_Matches!$Q168&lt;&gt;"",IF(Team_Matches!L168=Team_Matches!L170,"",IF(Team_Matches!L168&gt;Team_Matches!L170,MIN(Team_Matches!L168,Team_Matches!L170),-MIN(Team_Matches!L168,Team_Matches!L170))*IF(Team_Matches!$Q168="W",1,-1)),"")</f>
        <v/>
      </c>
    </row>
    <row r="14" spans="1:10">
      <c r="A14" s="68" t="e">
        <f>$B14&amp;";"&amp;VLOOKUP($B14,Players!$C$4:$G$132,5,FALSE)&amp;";"&amp;IF(ISERROR(VLOOKUP($B14,Players!$C$4:$G$132,2,FALSE)),0,VLOOKUP($B14,Players!$C$4:$G$132,2,FALSE))&amp;";"&amp;$C14&amp;";"&amp;VLOOKUP($C14,Players!$C$4:$G$132,5,FALSE)&amp;";"&amp;IF(ISERROR(VLOOKUP($C14,Players!$C$4:$G$132,2,FALSE)),0,VLOOKUP($C14,Players!$C$4:$G$132,2,FALSE))&amp;"|"</f>
        <v>#N/A</v>
      </c>
      <c r="B14" t="str">
        <f>IF(Team_Matches!$Q175="W",Team_Matches!$B175,IF(Team_Matches!$Q177="W",Team_Matches!$B177,""))</f>
        <v/>
      </c>
      <c r="C14" t="str">
        <f>IF(Team_Matches!$Q175="L",Team_Matches!$B175,IF(Team_Matches!$Q177="L",Team_Matches!$B177,""))</f>
        <v/>
      </c>
      <c r="D14" t="str">
        <f>CONCATENATE(Team_Matches!$B162," vs ",Team_Matches!$K162)</f>
        <v>C vs D</v>
      </c>
      <c r="E14" t="str">
        <f>Team_Matches!$A173</f>
        <v>2nd Singles</v>
      </c>
      <c r="F14" s="93" t="str">
        <f>IF(Team_Matches!$Q175&lt;&gt;"",IF(Team_Matches!H175&gt;Team_Matches!H177,MIN(Team_Matches!H175,Team_Matches!H177),-MIN(Team_Matches!H175,Team_Matches!H177))*IF(Team_Matches!$Q175="W",1,-1),"")</f>
        <v/>
      </c>
      <c r="G14" s="93" t="str">
        <f>IF(Team_Matches!$Q175&lt;&gt;"",IF(Team_Matches!I175&gt;Team_Matches!I177,MIN(Team_Matches!I175,Team_Matches!I177),-MIN(Team_Matches!I175,Team_Matches!I177))*IF(Team_Matches!$Q175="W",1,-1),"")</f>
        <v/>
      </c>
      <c r="H14" s="93" t="str">
        <f>IF(Team_Matches!$Q175&lt;&gt;"",IF(Team_Matches!J175&gt;Team_Matches!J177,MIN(Team_Matches!J175,Team_Matches!J177),-MIN(Team_Matches!J175,Team_Matches!J177))*IF(Team_Matches!$Q175="W",1,-1),"")</f>
        <v/>
      </c>
      <c r="I14" s="93" t="str">
        <f>IF(Team_Matches!$Q175&lt;&gt;"",IF(Team_Matches!K175=Team_Matches!K177,"",IF(Team_Matches!K175&gt;Team_Matches!K177,MIN(Team_Matches!K175,Team_Matches!K177),-MIN(Team_Matches!K175,Team_Matches!K177))*IF(Team_Matches!$Q175="W",1,-1)),"")</f>
        <v/>
      </c>
      <c r="J14" s="93" t="str">
        <f>IF(Team_Matches!$Q175&lt;&gt;"",IF(Team_Matches!L175=Team_Matches!L177,"",IF(Team_Matches!L175&gt;Team_Matches!L177,MIN(Team_Matches!L175,Team_Matches!L177),-MIN(Team_Matches!L175,Team_Matches!L177))*IF(Team_Matches!$Q175="W",1,-1)),"")</f>
        <v/>
      </c>
    </row>
    <row r="15" spans="1:10">
      <c r="A15" s="68" t="e">
        <f>$B15&amp;";"&amp;VLOOKUP($B15,Players!$C$4:$G$132,5,FALSE)&amp;";"&amp;IF(ISERROR(VLOOKUP($B15,Players!$C$4:$G$132,2,FALSE)),0,VLOOKUP($B15,Players!$C$4:$G$132,2,FALSE))&amp;";"&amp;$C15&amp;";"&amp;VLOOKUP($C15,Players!$C$4:$G$132,5,FALSE)&amp;";"&amp;IF(ISERROR(VLOOKUP($C15,Players!$C$4:$G$132,2,FALSE)),0,VLOOKUP($C15,Players!$C$4:$G$132,2,FALSE))&amp;"|"</f>
        <v>#N/A</v>
      </c>
      <c r="B15" t="str">
        <f>IF(Team_Matches!$Q182="W",Team_Matches!$B182,IF(Team_Matches!$Q184="W",Team_Matches!$B184,""))</f>
        <v/>
      </c>
      <c r="C15" t="str">
        <f>IF(Team_Matches!$Q182="L",Team_Matches!$B182,IF(Team_Matches!$Q184="L",Team_Matches!$B184,""))</f>
        <v/>
      </c>
      <c r="D15" t="str">
        <f>CONCATENATE(Team_Matches!$B162," vs ",Team_Matches!$K162)</f>
        <v>C vs D</v>
      </c>
      <c r="E15" t="str">
        <f>Team_Matches!$A180</f>
        <v>3rd Singles</v>
      </c>
      <c r="F15" s="93" t="str">
        <f>IF(Team_Matches!$Q182&lt;&gt;"",IF(Team_Matches!H182&gt;Team_Matches!H184,MIN(Team_Matches!H182,Team_Matches!H184),-MIN(Team_Matches!H182,Team_Matches!H184))*IF(Team_Matches!$Q182="W",1,-1),"")</f>
        <v/>
      </c>
      <c r="G15" s="93" t="str">
        <f>IF(Team_Matches!$Q182&lt;&gt;"",IF(Team_Matches!I182&gt;Team_Matches!I184,MIN(Team_Matches!I182,Team_Matches!I184),-MIN(Team_Matches!I182,Team_Matches!I184))*IF(Team_Matches!$Q182="W",1,-1),"")</f>
        <v/>
      </c>
      <c r="H15" s="93" t="str">
        <f>IF(Team_Matches!$Q182&lt;&gt;"",IF(Team_Matches!J182&gt;Team_Matches!J184,MIN(Team_Matches!J182,Team_Matches!J184),-MIN(Team_Matches!J182,Team_Matches!J184))*IF(Team_Matches!$Q182="W",1,-1),"")</f>
        <v/>
      </c>
      <c r="I15" s="93" t="str">
        <f>IF(Team_Matches!$Q182&lt;&gt;"",IF(Team_Matches!K182=Team_Matches!K184,"",IF(Team_Matches!K182&gt;Team_Matches!K184,MIN(Team_Matches!K182,Team_Matches!K184),-MIN(Team_Matches!K182,Team_Matches!K184))*IF(Team_Matches!$Q182="W",1,-1)),"")</f>
        <v/>
      </c>
      <c r="J15" s="93" t="str">
        <f>IF(Team_Matches!$Q182&lt;&gt;"",IF(Team_Matches!L182=Team_Matches!L184,"",IF(Team_Matches!L182&gt;Team_Matches!L184,MIN(Team_Matches!L182,Team_Matches!L184),-MIN(Team_Matches!L182,Team_Matches!L184))*IF(Team_Matches!$Q182="W",1,-1)),"")</f>
        <v/>
      </c>
    </row>
    <row r="16" spans="1:10">
      <c r="A16" s="68" t="e">
        <f ca="1">$B16&amp;";"&amp;VLOOKUP($B16,Players!$C$4:$G$132,5,FALSE)&amp;";"&amp;IF(ISERROR(VLOOKUP($B16,Players!$C$4:$G$132,2,FALSE)),0,VLOOKUP($B16,Players!$C$4:$G$132,2,FALSE))&amp;";"&amp;$C16&amp;";"&amp;VLOOKUP($C16,Players!$C$4:$G$132,5,FALSE)&amp;";"&amp;IF(ISERROR(VLOOKUP($C16,Players!$C$4:$G$132,2,FALSE)),0,VLOOKUP($C16,Players!$C$4:$G$132,2,FALSE))&amp;"|"</f>
        <v>#N/A</v>
      </c>
      <c r="B16" t="str">
        <f ca="1">IF(Team_Matches!$Q189="W",Team_Matches!$B189,IF(Team_Matches!$Q191="W",Team_Matches!$B191,""))</f>
        <v/>
      </c>
      <c r="C16" t="str">
        <f ca="1">IF(Team_Matches!$Q189="L",Team_Matches!$B189,IF(Team_Matches!$Q191="L",Team_Matches!$B191,""))</f>
        <v/>
      </c>
      <c r="D16" t="str">
        <f>CONCATENATE(Team_Matches!$B162," vs ",Team_Matches!$K162)</f>
        <v>C vs D</v>
      </c>
      <c r="E16" t="str">
        <f>Team_Matches!$A187</f>
        <v>4th Singles</v>
      </c>
      <c r="F16" s="93" t="str">
        <f ca="1">IF(Team_Matches!$Q189&lt;&gt;"",IF(Team_Matches!H189&gt;Team_Matches!H191,MIN(Team_Matches!H189,Team_Matches!H191),-MIN(Team_Matches!H189,Team_Matches!H191))*IF(Team_Matches!$Q189="W",1,-1),"")</f>
        <v/>
      </c>
      <c r="G16" s="93" t="str">
        <f ca="1">IF(Team_Matches!$Q189&lt;&gt;"",IF(Team_Matches!I189&gt;Team_Matches!I191,MIN(Team_Matches!I189,Team_Matches!I191),-MIN(Team_Matches!I189,Team_Matches!I191))*IF(Team_Matches!$Q189="W",1,-1),"")</f>
        <v/>
      </c>
      <c r="H16" s="93" t="str">
        <f ca="1">IF(Team_Matches!$Q189&lt;&gt;"",IF(Team_Matches!J189&gt;Team_Matches!J191,MIN(Team_Matches!J189,Team_Matches!J191),-MIN(Team_Matches!J189,Team_Matches!J191))*IF(Team_Matches!$Q189="W",1,-1),"")</f>
        <v/>
      </c>
      <c r="I16" s="93" t="str">
        <f ca="1">IF(Team_Matches!$Q189&lt;&gt;"",IF(Team_Matches!K189=Team_Matches!K191,"",IF(Team_Matches!K189&gt;Team_Matches!K191,MIN(Team_Matches!K189,Team_Matches!K191),-MIN(Team_Matches!K189,Team_Matches!K191))*IF(Team_Matches!$Q189="W",1,-1)),"")</f>
        <v/>
      </c>
      <c r="J16" s="93" t="str">
        <f ca="1">IF(Team_Matches!$Q189&lt;&gt;"",IF(Team_Matches!L189=Team_Matches!L191,"",IF(Team_Matches!L189&gt;Team_Matches!L191,MIN(Team_Matches!L189,Team_Matches!L191),-MIN(Team_Matches!L189,Team_Matches!L191))*IF(Team_Matches!$Q189="W",1,-1)),"")</f>
        <v/>
      </c>
    </row>
    <row r="17" spans="1:10">
      <c r="A17" s="68" t="e">
        <f>$B17&amp;";"&amp;VLOOKUP($B17,Players!$C$4:$G$132,5,FALSE)&amp;";"&amp;IF(ISERROR(VLOOKUP($B17,Players!$C$4:$G$132,2,FALSE)),0,VLOOKUP($B17,Players!$C$4:$G$132,2,FALSE))&amp;";"&amp;$C17&amp;";"&amp;VLOOKUP($C17,Players!$C$4:$G$132,5,FALSE)&amp;";"&amp;IF(ISERROR(VLOOKUP($C17,Players!$C$4:$G$132,2,FALSE)),0,VLOOKUP($C17,Players!$C$4:$G$132,2,FALSE))&amp;"|"</f>
        <v>#N/A</v>
      </c>
      <c r="B17" t="str">
        <f>IF(Team_Matches!$Q219="W",Team_Matches!$B219,IF(Team_Matches!$Q221="W",Team_Matches!$B221,""))</f>
        <v/>
      </c>
      <c r="C17" t="str">
        <f>IF(Team_Matches!$Q219="L",Team_Matches!$B219,IF(Team_Matches!$Q221="L",Team_Matches!$B221,""))</f>
        <v/>
      </c>
      <c r="D17" t="str">
        <f>CONCATENATE(Team_Matches!$B213," vs ",Team_Matches!$K213)</f>
        <v>A vs D</v>
      </c>
      <c r="E17" t="str">
        <f>Team_Matches!A217</f>
        <v>1st Singles</v>
      </c>
      <c r="F17" s="93" t="str">
        <f>IF(Team_Matches!$Q219&lt;&gt;"",IF(Team_Matches!H219&gt;Team_Matches!H221,MIN(Team_Matches!H219,Team_Matches!H221),-MIN(Team_Matches!H219,Team_Matches!H221))*IF(Team_Matches!$Q219="W",1,-1),"")</f>
        <v/>
      </c>
      <c r="G17" s="93" t="str">
        <f>IF(Team_Matches!$Q219&lt;&gt;"",IF(Team_Matches!I219&gt;Team_Matches!I221,MIN(Team_Matches!I219,Team_Matches!I221),-MIN(Team_Matches!I219,Team_Matches!I221))*IF(Team_Matches!$Q219="W",1,-1),"")</f>
        <v/>
      </c>
      <c r="H17" s="93" t="str">
        <f>IF(Team_Matches!$Q219&lt;&gt;"",IF(Team_Matches!J219&gt;Team_Matches!J221,MIN(Team_Matches!J219,Team_Matches!J221),-MIN(Team_Matches!J219,Team_Matches!J221))*IF(Team_Matches!$Q219="W",1,-1),"")</f>
        <v/>
      </c>
      <c r="I17" s="93" t="str">
        <f>IF(Team_Matches!$Q219&lt;&gt;"",IF(Team_Matches!K219=Team_Matches!K221,"",IF(Team_Matches!K219&gt;Team_Matches!K221,MIN(Team_Matches!K219,Team_Matches!K221),-MIN(Team_Matches!K219,Team_Matches!K221))*IF(Team_Matches!$Q219="W",1,-1)),"")</f>
        <v/>
      </c>
      <c r="J17" s="93" t="str">
        <f>IF(Team_Matches!$Q219&lt;&gt;"",IF(Team_Matches!L219=Team_Matches!L221,"",IF(Team_Matches!L219&gt;Team_Matches!L221,MIN(Team_Matches!L219,Team_Matches!L221),-MIN(Team_Matches!L219,Team_Matches!L221))*IF(Team_Matches!$Q219="W",1,-1)),"")</f>
        <v/>
      </c>
    </row>
    <row r="18" spans="1:10">
      <c r="A18" s="68" t="e">
        <f>$B18&amp;";"&amp;VLOOKUP($B18,Players!$C$4:$G$132,5,FALSE)&amp;";"&amp;IF(ISERROR(VLOOKUP($B18,Players!$C$4:$G$132,2,FALSE)),0,VLOOKUP($B18,Players!$C$4:$G$132,2,FALSE))&amp;";"&amp;$C18&amp;";"&amp;VLOOKUP($C18,Players!$C$4:$G$132,5,FALSE)&amp;";"&amp;IF(ISERROR(VLOOKUP($C18,Players!$C$4:$G$132,2,FALSE)),0,VLOOKUP($C18,Players!$C$4:$G$132,2,FALSE))&amp;"|"</f>
        <v>#N/A</v>
      </c>
      <c r="B18" t="str">
        <f>IF(Team_Matches!$Q226="W",Team_Matches!$B226,IF(Team_Matches!$Q228="W",Team_Matches!$B228,""))</f>
        <v/>
      </c>
      <c r="C18" t="str">
        <f>IF(Team_Matches!$Q226="L",Team_Matches!$B226,IF(Team_Matches!$Q228="L",Team_Matches!$B228,""))</f>
        <v/>
      </c>
      <c r="D18" t="str">
        <f>CONCATENATE(Team_Matches!$B213," vs ",Team_Matches!$K213)</f>
        <v>A vs D</v>
      </c>
      <c r="E18" t="str">
        <f>Team_Matches!$A224</f>
        <v>2nd Singles</v>
      </c>
      <c r="F18" s="93" t="str">
        <f>IF(Team_Matches!$Q226&lt;&gt;"",IF(Team_Matches!H226&gt;Team_Matches!H228,MIN(Team_Matches!H226,Team_Matches!H228),-MIN(Team_Matches!H226,Team_Matches!H228))*IF(Team_Matches!$Q226="W",1,-1),"")</f>
        <v/>
      </c>
      <c r="G18" s="93" t="str">
        <f>IF(Team_Matches!$Q226&lt;&gt;"",IF(Team_Matches!I226&gt;Team_Matches!I228,MIN(Team_Matches!I226,Team_Matches!I228),-MIN(Team_Matches!I226,Team_Matches!I228))*IF(Team_Matches!$Q226="W",1,-1),"")</f>
        <v/>
      </c>
      <c r="H18" s="93" t="str">
        <f>IF(Team_Matches!$Q226&lt;&gt;"",IF(Team_Matches!J226&gt;Team_Matches!J228,MIN(Team_Matches!J226,Team_Matches!J228),-MIN(Team_Matches!J226,Team_Matches!J228))*IF(Team_Matches!$Q226="W",1,-1),"")</f>
        <v/>
      </c>
      <c r="I18" s="93" t="str">
        <f>IF(Team_Matches!$Q226&lt;&gt;"",IF(Team_Matches!K226=Team_Matches!K228,"",IF(Team_Matches!K226&gt;Team_Matches!K228,MIN(Team_Matches!K226,Team_Matches!K228),-MIN(Team_Matches!K226,Team_Matches!K228))*IF(Team_Matches!$Q226="W",1,-1)),"")</f>
        <v/>
      </c>
      <c r="J18" s="93" t="str">
        <f>IF(Team_Matches!$Q226&lt;&gt;"",IF(Team_Matches!L226=Team_Matches!L228,"",IF(Team_Matches!L226&gt;Team_Matches!L228,MIN(Team_Matches!L226,Team_Matches!L228),-MIN(Team_Matches!L226,Team_Matches!L228))*IF(Team_Matches!$Q226="W",1,-1)),"")</f>
        <v/>
      </c>
    </row>
    <row r="19" spans="1:10">
      <c r="A19" s="68" t="e">
        <f>$B19&amp;";"&amp;VLOOKUP($B19,Players!$C$4:$G$132,5,FALSE)&amp;";"&amp;IF(ISERROR(VLOOKUP($B19,Players!$C$4:$G$132,2,FALSE)),0,VLOOKUP($B19,Players!$C$4:$G$132,2,FALSE))&amp;";"&amp;$C19&amp;";"&amp;VLOOKUP($C19,Players!$C$4:$G$132,5,FALSE)&amp;";"&amp;IF(ISERROR(VLOOKUP($C19,Players!$C$4:$G$132,2,FALSE)),0,VLOOKUP($C19,Players!$C$4:$G$132,2,FALSE))&amp;"|"</f>
        <v>#N/A</v>
      </c>
      <c r="B19" t="str">
        <f>IF(Team_Matches!$Q233="W",Team_Matches!$B233,IF(Team_Matches!$Q235="W",Team_Matches!$B235,""))</f>
        <v/>
      </c>
      <c r="C19" t="str">
        <f>IF(Team_Matches!$Q233="L",Team_Matches!$B233,IF(Team_Matches!$Q235="L",Team_Matches!$B235,""))</f>
        <v/>
      </c>
      <c r="D19" t="str">
        <f>CONCATENATE(Team_Matches!$B213," vs ",Team_Matches!$K213)</f>
        <v>A vs D</v>
      </c>
      <c r="E19" t="str">
        <f>Team_Matches!$A231</f>
        <v>3rd Singles</v>
      </c>
      <c r="F19" s="93" t="str">
        <f>IF(Team_Matches!$Q233&lt;&gt;"",IF(Team_Matches!H233&gt;Team_Matches!H235,MIN(Team_Matches!H233,Team_Matches!H235),-MIN(Team_Matches!H233,Team_Matches!H235))*IF(Team_Matches!$Q233="W",1,-1),"")</f>
        <v/>
      </c>
      <c r="G19" s="93" t="str">
        <f>IF(Team_Matches!$Q233&lt;&gt;"",IF(Team_Matches!I233&gt;Team_Matches!I235,MIN(Team_Matches!I233,Team_Matches!I235),-MIN(Team_Matches!I233,Team_Matches!I235))*IF(Team_Matches!$Q233="W",1,-1),"")</f>
        <v/>
      </c>
      <c r="H19" s="93" t="str">
        <f>IF(Team_Matches!$Q233&lt;&gt;"",IF(Team_Matches!J233&gt;Team_Matches!J235,MIN(Team_Matches!J233,Team_Matches!J235),-MIN(Team_Matches!J233,Team_Matches!J235))*IF(Team_Matches!$Q233="W",1,-1),"")</f>
        <v/>
      </c>
      <c r="I19" s="93" t="str">
        <f>IF(Team_Matches!$Q233&lt;&gt;"",IF(Team_Matches!K233=Team_Matches!K235,"",IF(Team_Matches!K233&gt;Team_Matches!K235,MIN(Team_Matches!K233,Team_Matches!K235),-MIN(Team_Matches!K233,Team_Matches!K235))*IF(Team_Matches!$Q233="W",1,-1)),"")</f>
        <v/>
      </c>
      <c r="J19" s="93" t="str">
        <f>IF(Team_Matches!$Q233&lt;&gt;"",IF(Team_Matches!L233=Team_Matches!L235,"",IF(Team_Matches!L233&gt;Team_Matches!L235,MIN(Team_Matches!L233,Team_Matches!L235),-MIN(Team_Matches!L233,Team_Matches!L235))*IF(Team_Matches!$Q233="W",1,-1)),"")</f>
        <v/>
      </c>
    </row>
    <row r="20" spans="1:10">
      <c r="A20" s="68" t="e">
        <f ca="1">$B20&amp;";"&amp;VLOOKUP($B20,Players!$C$4:$G$132,5,FALSE)&amp;";"&amp;IF(ISERROR(VLOOKUP($B20,Players!$C$4:$G$132,2,FALSE)),0,VLOOKUP($B20,Players!$C$4:$G$132,2,FALSE))&amp;";"&amp;$C20&amp;";"&amp;VLOOKUP($C20,Players!$C$4:$G$132,5,FALSE)&amp;";"&amp;IF(ISERROR(VLOOKUP($C20,Players!$C$4:$G$132,2,FALSE)),0,VLOOKUP($C20,Players!$C$4:$G$132,2,FALSE))&amp;"|"</f>
        <v>#N/A</v>
      </c>
      <c r="B20" t="str">
        <f ca="1">IF(Team_Matches!$Q240="W",Team_Matches!$B240,IF(Team_Matches!$Q242="W",Team_Matches!$B242,""))</f>
        <v/>
      </c>
      <c r="C20" t="str">
        <f ca="1">IF(Team_Matches!$Q240="L",Team_Matches!$B240,IF(Team_Matches!$Q242="L",Team_Matches!$B242,""))</f>
        <v/>
      </c>
      <c r="D20" t="str">
        <f>CONCATENATE(Team_Matches!$B213," vs ",Team_Matches!$K213)</f>
        <v>A vs D</v>
      </c>
      <c r="E20" t="str">
        <f>Team_Matches!$A238</f>
        <v>4th Singles</v>
      </c>
      <c r="F20" s="93" t="str">
        <f ca="1">IF(Team_Matches!$Q240&lt;&gt;"",IF(Team_Matches!H240&gt;Team_Matches!H242,MIN(Team_Matches!H240,Team_Matches!H242),-MIN(Team_Matches!H240,Team_Matches!H242))*IF(Team_Matches!$Q240="W",1,-1),"")</f>
        <v/>
      </c>
      <c r="G20" s="93" t="str">
        <f ca="1">IF(Team_Matches!$Q240&lt;&gt;"",IF(Team_Matches!I240&gt;Team_Matches!I242,MIN(Team_Matches!I240,Team_Matches!I242),-MIN(Team_Matches!I240,Team_Matches!I242))*IF(Team_Matches!$Q240="W",1,-1),"")</f>
        <v/>
      </c>
      <c r="H20" s="93" t="str">
        <f ca="1">IF(Team_Matches!$Q240&lt;&gt;"",IF(Team_Matches!J240&gt;Team_Matches!J242,MIN(Team_Matches!J240,Team_Matches!J242),-MIN(Team_Matches!J240,Team_Matches!J242))*IF(Team_Matches!$Q240="W",1,-1),"")</f>
        <v/>
      </c>
      <c r="I20" s="93" t="str">
        <f ca="1">IF(Team_Matches!$Q240&lt;&gt;"",IF(Team_Matches!K240=Team_Matches!K242,"",IF(Team_Matches!K240&gt;Team_Matches!K242,MIN(Team_Matches!K240,Team_Matches!K242),-MIN(Team_Matches!K240,Team_Matches!K242))*IF(Team_Matches!$Q240="W",1,-1)),"")</f>
        <v/>
      </c>
      <c r="J20" s="93" t="str">
        <f ca="1">IF(Team_Matches!$Q240&lt;&gt;"",IF(Team_Matches!L240=Team_Matches!L242,"",IF(Team_Matches!L240&gt;Team_Matches!L242,MIN(Team_Matches!L240,Team_Matches!L242),-MIN(Team_Matches!L240,Team_Matches!L242))*IF(Team_Matches!$Q240="W",1,-1)),"")</f>
        <v/>
      </c>
    </row>
    <row r="21" spans="1:10">
      <c r="A21" s="68" t="e">
        <f>$B21&amp;";"&amp;VLOOKUP($B21,Players!$C$4:$G$132,5,FALSE)&amp;";"&amp;IF(ISERROR(VLOOKUP($B21,Players!$C$4:$G$132,2,FALSE)),0,VLOOKUP($B21,Players!$C$4:$G$132,2,FALSE))&amp;";"&amp;$C21&amp;";"&amp;VLOOKUP($C21,Players!$C$4:$G$132,5,FALSE)&amp;";"&amp;IF(ISERROR(VLOOKUP($C21,Players!$C$4:$G$132,2,FALSE)),0,VLOOKUP($C21,Players!$C$4:$G$132,2,FALSE))&amp;"|"</f>
        <v>#N/A</v>
      </c>
      <c r="B21" t="str">
        <f>IF(Team_Matches!$Q270="W",Team_Matches!$B270,IF(Team_Matches!$Q272="W",Team_Matches!$B272,""))</f>
        <v/>
      </c>
      <c r="C21" t="str">
        <f>IF(Team_Matches!$Q270="L",Team_Matches!$B270,IF(Team_Matches!$Q272="L",Team_Matches!$B272,""))</f>
        <v/>
      </c>
      <c r="D21" t="str">
        <f>CONCATENATE(Team_Matches!$B264," vs ",Team_Matches!$K264)</f>
        <v>B vs C</v>
      </c>
      <c r="E21" t="str">
        <f>Team_Matches!A268</f>
        <v>1st Singles</v>
      </c>
      <c r="F21" s="93" t="str">
        <f>IF(Team_Matches!$Q270&lt;&gt;"",IF(Team_Matches!H270&gt;Team_Matches!H272,MIN(Team_Matches!H270,Team_Matches!H272),-MIN(Team_Matches!H270,Team_Matches!H272))*IF(Team_Matches!$Q270="W",1,-1),"")</f>
        <v/>
      </c>
      <c r="G21" s="93" t="str">
        <f>IF(Team_Matches!$Q270&lt;&gt;"",IF(Team_Matches!I270&gt;Team_Matches!I272,MIN(Team_Matches!I270,Team_Matches!I272),-MIN(Team_Matches!I270,Team_Matches!I272))*IF(Team_Matches!$Q270="W",1,-1),"")</f>
        <v/>
      </c>
      <c r="H21" s="93" t="str">
        <f>IF(Team_Matches!$Q270&lt;&gt;"",IF(Team_Matches!J270&gt;Team_Matches!J272,MIN(Team_Matches!J270,Team_Matches!J272),-MIN(Team_Matches!J270,Team_Matches!J272))*IF(Team_Matches!$Q270="W",1,-1),"")</f>
        <v/>
      </c>
      <c r="I21" s="93" t="str">
        <f>IF(Team_Matches!$Q270&lt;&gt;"",IF(Team_Matches!K270=Team_Matches!K272,"",IF(Team_Matches!K270&gt;Team_Matches!K272,MIN(Team_Matches!K270,Team_Matches!K272),-MIN(Team_Matches!K270,Team_Matches!K272))*IF(Team_Matches!$Q270="W",1,-1)),"")</f>
        <v/>
      </c>
      <c r="J21" s="93" t="str">
        <f>IF(Team_Matches!$Q270&lt;&gt;"",IF(Team_Matches!L270=Team_Matches!L272,"",IF(Team_Matches!L270&gt;Team_Matches!L272,MIN(Team_Matches!L270,Team_Matches!L272),-MIN(Team_Matches!L270,Team_Matches!L272))*IF(Team_Matches!$Q270="W",1,-1)),"")</f>
        <v/>
      </c>
    </row>
    <row r="22" spans="1:10">
      <c r="A22" s="68" t="e">
        <f>$B22&amp;";"&amp;VLOOKUP($B22,Players!$C$4:$G$132,5,FALSE)&amp;";"&amp;IF(ISERROR(VLOOKUP($B22,Players!$C$4:$G$132,2,FALSE)),0,VLOOKUP($B22,Players!$C$4:$G$132,2,FALSE))&amp;";"&amp;$C22&amp;";"&amp;VLOOKUP($C22,Players!$C$4:$G$132,5,FALSE)&amp;";"&amp;IF(ISERROR(VLOOKUP($C22,Players!$C$4:$G$132,2,FALSE)),0,VLOOKUP($C22,Players!$C$4:$G$132,2,FALSE))&amp;"|"</f>
        <v>#N/A</v>
      </c>
      <c r="B22" t="str">
        <f>IF(Team_Matches!$Q277="W",Team_Matches!$B277,IF(Team_Matches!$Q279="W",Team_Matches!$B279,""))</f>
        <v/>
      </c>
      <c r="C22" t="str">
        <f>IF(Team_Matches!$Q277="L",Team_Matches!$B277,IF(Team_Matches!$Q279="L",Team_Matches!$B279,""))</f>
        <v/>
      </c>
      <c r="D22" t="str">
        <f>CONCATENATE(Team_Matches!$B264," vs ",Team_Matches!$K264)</f>
        <v>B vs C</v>
      </c>
      <c r="E22" t="str">
        <f>Team_Matches!$A275</f>
        <v>2nd Singles</v>
      </c>
      <c r="F22" s="93" t="str">
        <f>IF(Team_Matches!$Q277&lt;&gt;"",IF(Team_Matches!H277&gt;Team_Matches!H279,MIN(Team_Matches!H277,Team_Matches!H279),-MIN(Team_Matches!H277,Team_Matches!H279))*IF(Team_Matches!$Q277="W",1,-1),"")</f>
        <v/>
      </c>
      <c r="G22" s="93" t="str">
        <f>IF(Team_Matches!$Q277&lt;&gt;"",IF(Team_Matches!I277&gt;Team_Matches!I279,MIN(Team_Matches!I277,Team_Matches!I279),-MIN(Team_Matches!I277,Team_Matches!I279))*IF(Team_Matches!$Q277="W",1,-1),"")</f>
        <v/>
      </c>
      <c r="H22" s="93" t="str">
        <f>IF(Team_Matches!$Q277&lt;&gt;"",IF(Team_Matches!J277&gt;Team_Matches!J279,MIN(Team_Matches!J277,Team_Matches!J279),-MIN(Team_Matches!J277,Team_Matches!J279))*IF(Team_Matches!$Q277="W",1,-1),"")</f>
        <v/>
      </c>
      <c r="I22" s="93" t="str">
        <f>IF(Team_Matches!$Q277&lt;&gt;"",IF(Team_Matches!K277=Team_Matches!K279,"",IF(Team_Matches!K277&gt;Team_Matches!K279,MIN(Team_Matches!K277,Team_Matches!K279),-MIN(Team_Matches!K277,Team_Matches!K279))*IF(Team_Matches!$Q277="W",1,-1)),"")</f>
        <v/>
      </c>
      <c r="J22" s="93" t="str">
        <f>IF(Team_Matches!$Q277&lt;&gt;"",IF(Team_Matches!L277=Team_Matches!L279,"",IF(Team_Matches!L277&gt;Team_Matches!L279,MIN(Team_Matches!L277,Team_Matches!L279),-MIN(Team_Matches!L277,Team_Matches!L279))*IF(Team_Matches!$Q277="W",1,-1)),"")</f>
        <v/>
      </c>
    </row>
    <row r="23" spans="1:10">
      <c r="A23" s="68" t="e">
        <f>$B23&amp;";"&amp;VLOOKUP($B23,Players!$C$4:$G$132,5,FALSE)&amp;";"&amp;IF(ISERROR(VLOOKUP($B23,Players!$C$4:$G$132,2,FALSE)),0,VLOOKUP($B23,Players!$C$4:$G$132,2,FALSE))&amp;";"&amp;$C23&amp;";"&amp;VLOOKUP($C23,Players!$C$4:$G$132,5,FALSE)&amp;";"&amp;IF(ISERROR(VLOOKUP($C23,Players!$C$4:$G$132,2,FALSE)),0,VLOOKUP($C23,Players!$C$4:$G$132,2,FALSE))&amp;"|"</f>
        <v>#N/A</v>
      </c>
      <c r="B23" t="str">
        <f>IF(Team_Matches!$Q284="W",Team_Matches!$B284,IF(Team_Matches!$Q286="W",Team_Matches!$B286,""))</f>
        <v/>
      </c>
      <c r="C23" t="str">
        <f>IF(Team_Matches!$Q284="L",Team_Matches!$B284,IF(Team_Matches!$Q286="L",Team_Matches!$B286,""))</f>
        <v/>
      </c>
      <c r="D23" t="str">
        <f>CONCATENATE(Team_Matches!$B264," vs ",Team_Matches!$K264)</f>
        <v>B vs C</v>
      </c>
      <c r="E23" t="str">
        <f>Team_Matches!$A282</f>
        <v>3rd Singles</v>
      </c>
      <c r="F23" s="93" t="str">
        <f>IF(Team_Matches!$Q284&lt;&gt;"",IF(Team_Matches!H284&gt;Team_Matches!H286,MIN(Team_Matches!H284,Team_Matches!H286),-MIN(Team_Matches!H284,Team_Matches!H286))*IF(Team_Matches!$Q284="W",1,-1),"")</f>
        <v/>
      </c>
      <c r="G23" s="93" t="str">
        <f>IF(Team_Matches!$Q284&lt;&gt;"",IF(Team_Matches!I284&gt;Team_Matches!I286,MIN(Team_Matches!I284,Team_Matches!I286),-MIN(Team_Matches!I284,Team_Matches!I286))*IF(Team_Matches!$Q284="W",1,-1),"")</f>
        <v/>
      </c>
      <c r="H23" s="93" t="str">
        <f>IF(Team_Matches!$Q284&lt;&gt;"",IF(Team_Matches!J284&gt;Team_Matches!J286,MIN(Team_Matches!J284,Team_Matches!J286),-MIN(Team_Matches!J284,Team_Matches!J286))*IF(Team_Matches!$Q284="W",1,-1),"")</f>
        <v/>
      </c>
      <c r="I23" s="93" t="str">
        <f>IF(Team_Matches!$Q284&lt;&gt;"",IF(Team_Matches!K284=Team_Matches!K286,"",IF(Team_Matches!K284&gt;Team_Matches!K286,MIN(Team_Matches!K284,Team_Matches!K286),-MIN(Team_Matches!K284,Team_Matches!K286))*IF(Team_Matches!$Q284="W",1,-1)),"")</f>
        <v/>
      </c>
      <c r="J23" s="93" t="str">
        <f>IF(Team_Matches!$Q284&lt;&gt;"",IF(Team_Matches!L284=Team_Matches!L286,"",IF(Team_Matches!L284&gt;Team_Matches!L286,MIN(Team_Matches!L284,Team_Matches!L286),-MIN(Team_Matches!L284,Team_Matches!L286))*IF(Team_Matches!$Q284="W",1,-1)),"")</f>
        <v/>
      </c>
    </row>
    <row r="24" spans="1:10">
      <c r="A24" s="68" t="e">
        <f ca="1">$B24&amp;";"&amp;VLOOKUP($B24,Players!$C$4:$G$132,5,FALSE)&amp;";"&amp;IF(ISERROR(VLOOKUP($B24,Players!$C$4:$G$132,2,FALSE)),0,VLOOKUP($B24,Players!$C$4:$G$132,2,FALSE))&amp;";"&amp;$C24&amp;";"&amp;VLOOKUP($C24,Players!$C$4:$G$132,5,FALSE)&amp;";"&amp;IF(ISERROR(VLOOKUP($C24,Players!$C$4:$G$132,2,FALSE)),0,VLOOKUP($C24,Players!$C$4:$G$132,2,FALSE))&amp;"|"</f>
        <v>#N/A</v>
      </c>
      <c r="B24" t="str">
        <f ca="1">IF(Team_Matches!$Q291="W",Team_Matches!$B291,IF(Team_Matches!$Q293="W",Team_Matches!$B293,""))</f>
        <v/>
      </c>
      <c r="C24" t="str">
        <f ca="1">IF(Team_Matches!$Q291="L",Team_Matches!$B291,IF(Team_Matches!$Q293="L",Team_Matches!$B293,""))</f>
        <v/>
      </c>
      <c r="D24" t="str">
        <f>CONCATENATE(Team_Matches!$B264," vs ",Team_Matches!$K264)</f>
        <v>B vs C</v>
      </c>
      <c r="E24" t="str">
        <f>Team_Matches!$A289</f>
        <v>4th Singles</v>
      </c>
      <c r="F24" s="93" t="str">
        <f ca="1">IF(Team_Matches!$Q291&lt;&gt;"",IF(Team_Matches!H291&gt;Team_Matches!H293,MIN(Team_Matches!H291,Team_Matches!H293),-MIN(Team_Matches!H291,Team_Matches!H293))*IF(Team_Matches!$Q291="W",1,-1),"")</f>
        <v/>
      </c>
      <c r="G24" s="93" t="str">
        <f ca="1">IF(Team_Matches!$Q291&lt;&gt;"",IF(Team_Matches!I291&gt;Team_Matches!I293,MIN(Team_Matches!I291,Team_Matches!I293),-MIN(Team_Matches!I291,Team_Matches!I293))*IF(Team_Matches!$Q291="W",1,-1),"")</f>
        <v/>
      </c>
      <c r="H24" s="93" t="str">
        <f ca="1">IF(Team_Matches!$Q291&lt;&gt;"",IF(Team_Matches!J291&gt;Team_Matches!J293,MIN(Team_Matches!J291,Team_Matches!J293),-MIN(Team_Matches!J291,Team_Matches!J293))*IF(Team_Matches!$Q291="W",1,-1),"")</f>
        <v/>
      </c>
      <c r="I24" s="93" t="str">
        <f ca="1">IF(Team_Matches!$Q291&lt;&gt;"",IF(Team_Matches!K291=Team_Matches!K293,"",IF(Team_Matches!K291&gt;Team_Matches!K293,MIN(Team_Matches!K291,Team_Matches!K293),-MIN(Team_Matches!K291,Team_Matches!K293))*IF(Team_Matches!$Q291="W",1,-1)),"")</f>
        <v/>
      </c>
      <c r="J24" s="93" t="str">
        <f ca="1">IF(Team_Matches!$Q291&lt;&gt;"",IF(Team_Matches!L291=Team_Matches!L293,"",IF(Team_Matches!L291&gt;Team_Matches!L293,MIN(Team_Matches!L291,Team_Matches!L293),-MIN(Team_Matches!L291,Team_Matches!L293))*IF(Team_Matches!$Q291="W",1,-1)),"")</f>
        <v/>
      </c>
    </row>
    <row r="25" spans="1:10">
      <c r="A25" s="68" t="e">
        <f>$B25&amp;";"&amp;VLOOKUP($B25,Players!$C$4:$G$132,5,FALSE)&amp;";"&amp;IF(ISERROR(VLOOKUP($B25,Players!$C$4:$G$132,2,FALSE)),0,VLOOKUP($B25,Players!$C$4:$G$132,2,FALSE))&amp;";"&amp;$C25&amp;";"&amp;VLOOKUP($C25,Players!$C$4:$G$132,5,FALSE)&amp;";"&amp;IF(ISERROR(VLOOKUP($C25,Players!$C$4:$G$132,2,FALSE)),0,VLOOKUP($C25,Players!$C$4:$G$132,2,FALSE))&amp;"|"</f>
        <v>#N/A</v>
      </c>
      <c r="B25" t="str">
        <f>IF(Team_Matches!$Q321="W",Team_Matches!$B321,IF(Team_Matches!$Q323="W",Team_Matches!$B323,""))</f>
        <v/>
      </c>
      <c r="C25" t="str">
        <f>IF(Team_Matches!$Q321="L",Team_Matches!$B321,IF(Team_Matches!$Q323="L",Team_Matches!$B323,""))</f>
        <v/>
      </c>
      <c r="D25" t="str">
        <f>CONCATENATE(Team_Matches!$B315," vs ",Team_Matches!$K315)</f>
        <v>E vs G</v>
      </c>
      <c r="E25" t="str">
        <f>Team_Matches!A319</f>
        <v>1st Singles</v>
      </c>
      <c r="F25" s="93" t="str">
        <f>IF(Team_Matches!$Q321&lt;&gt;"",IF(Team_Matches!H321&gt;Team_Matches!H323,MIN(Team_Matches!H321,Team_Matches!H323),-MIN(Team_Matches!H321,Team_Matches!H323))*IF(Team_Matches!$Q321="W",1,-1),"")</f>
        <v/>
      </c>
      <c r="G25" s="93" t="str">
        <f>IF(Team_Matches!$Q321&lt;&gt;"",IF(Team_Matches!I321&gt;Team_Matches!I323,MIN(Team_Matches!I321,Team_Matches!I323),-MIN(Team_Matches!I321,Team_Matches!I323))*IF(Team_Matches!$Q321="W",1,-1),"")</f>
        <v/>
      </c>
      <c r="H25" s="93" t="str">
        <f>IF(Team_Matches!$Q321&lt;&gt;"",IF(Team_Matches!J321&gt;Team_Matches!J323,MIN(Team_Matches!J321,Team_Matches!J323),-MIN(Team_Matches!J321,Team_Matches!J323))*IF(Team_Matches!$Q321="W",1,-1),"")</f>
        <v/>
      </c>
      <c r="I25" s="93" t="str">
        <f>IF(Team_Matches!$Q321&lt;&gt;"",IF(Team_Matches!K321=Team_Matches!K323,"",IF(Team_Matches!K321&gt;Team_Matches!K323,MIN(Team_Matches!K321,Team_Matches!K323),-MIN(Team_Matches!K321,Team_Matches!K323))*IF(Team_Matches!$Q321="W",1,-1)),"")</f>
        <v/>
      </c>
      <c r="J25" s="93" t="str">
        <f>IF(Team_Matches!$Q321&lt;&gt;"",IF(Team_Matches!L321=Team_Matches!L323,"",IF(Team_Matches!L321&gt;Team_Matches!L323,MIN(Team_Matches!L321,Team_Matches!L323),-MIN(Team_Matches!L321,Team_Matches!L323))*IF(Team_Matches!$Q321="W",1,-1)),"")</f>
        <v/>
      </c>
    </row>
    <row r="26" spans="1:10">
      <c r="A26" s="68" t="e">
        <f>$B26&amp;";"&amp;VLOOKUP($B26,Players!$C$4:$G$132,5,FALSE)&amp;";"&amp;IF(ISERROR(VLOOKUP($B26,Players!$C$4:$G$132,2,FALSE)),0,VLOOKUP($B26,Players!$C$4:$G$132,2,FALSE))&amp;";"&amp;$C26&amp;";"&amp;VLOOKUP($C26,Players!$C$4:$G$132,5,FALSE)&amp;";"&amp;IF(ISERROR(VLOOKUP($C26,Players!$C$4:$G$132,2,FALSE)),0,VLOOKUP($C26,Players!$C$4:$G$132,2,FALSE))&amp;"|"</f>
        <v>#N/A</v>
      </c>
      <c r="B26" t="str">
        <f>IF(Team_Matches!$Q328="W",Team_Matches!$B328,IF(Team_Matches!$Q330="W",Team_Matches!$B330,""))</f>
        <v/>
      </c>
      <c r="C26" t="str">
        <f>IF(Team_Matches!$Q328="L",Team_Matches!$B328,IF(Team_Matches!$Q330="L",Team_Matches!$B330,""))</f>
        <v/>
      </c>
      <c r="D26" t="str">
        <f>CONCATENATE(Team_Matches!$B315," vs ",Team_Matches!$K315)</f>
        <v>E vs G</v>
      </c>
      <c r="E26" t="str">
        <f>Team_Matches!$A326</f>
        <v>2nd Singles</v>
      </c>
      <c r="F26" s="93" t="str">
        <f>IF(Team_Matches!$Q328&lt;&gt;"",IF(Team_Matches!H328&gt;Team_Matches!H330,MIN(Team_Matches!H328,Team_Matches!H330),-MIN(Team_Matches!H328,Team_Matches!H330))*IF(Team_Matches!$Q328="W",1,-1),"")</f>
        <v/>
      </c>
      <c r="G26" s="93" t="str">
        <f>IF(Team_Matches!$Q328&lt;&gt;"",IF(Team_Matches!I328&gt;Team_Matches!I330,MIN(Team_Matches!I328,Team_Matches!I330),-MIN(Team_Matches!I328,Team_Matches!I330))*IF(Team_Matches!$Q328="W",1,-1),"")</f>
        <v/>
      </c>
      <c r="H26" s="93" t="str">
        <f>IF(Team_Matches!$Q328&lt;&gt;"",IF(Team_Matches!J328&gt;Team_Matches!J330,MIN(Team_Matches!J328,Team_Matches!J330),-MIN(Team_Matches!J328,Team_Matches!J330))*IF(Team_Matches!$Q328="W",1,-1),"")</f>
        <v/>
      </c>
      <c r="I26" s="93" t="str">
        <f>IF(Team_Matches!$Q328&lt;&gt;"",IF(Team_Matches!K328=Team_Matches!K330,"",IF(Team_Matches!K328&gt;Team_Matches!K330,MIN(Team_Matches!K328,Team_Matches!K330),-MIN(Team_Matches!K328,Team_Matches!K330))*IF(Team_Matches!$Q328="W",1,-1)),"")</f>
        <v/>
      </c>
      <c r="J26" s="93" t="str">
        <f>IF(Team_Matches!$Q328&lt;&gt;"",IF(Team_Matches!L328=Team_Matches!L330,"",IF(Team_Matches!L328&gt;Team_Matches!L330,MIN(Team_Matches!L328,Team_Matches!L330),-MIN(Team_Matches!L328,Team_Matches!L330))*IF(Team_Matches!$Q328="W",1,-1)),"")</f>
        <v/>
      </c>
    </row>
    <row r="27" spans="1:10">
      <c r="A27" s="68" t="e">
        <f>$B27&amp;";"&amp;VLOOKUP($B27,Players!$C$4:$G$132,5,FALSE)&amp;";"&amp;IF(ISERROR(VLOOKUP($B27,Players!$C$4:$G$132,2,FALSE)),0,VLOOKUP($B27,Players!$C$4:$G$132,2,FALSE))&amp;";"&amp;$C27&amp;";"&amp;VLOOKUP($C27,Players!$C$4:$G$132,5,FALSE)&amp;";"&amp;IF(ISERROR(VLOOKUP($C27,Players!$C$4:$G$132,2,FALSE)),0,VLOOKUP($C27,Players!$C$4:$G$132,2,FALSE))&amp;"|"</f>
        <v>#N/A</v>
      </c>
      <c r="B27" t="str">
        <f>IF(Team_Matches!$Q335="W",Team_Matches!$B335,IF(Team_Matches!$Q337="W",Team_Matches!$B337,""))</f>
        <v/>
      </c>
      <c r="C27" t="str">
        <f>IF(Team_Matches!$Q335="L",Team_Matches!$B335,IF(Team_Matches!$Q337="L",Team_Matches!$B337,""))</f>
        <v/>
      </c>
      <c r="D27" t="str">
        <f>CONCATENATE(Team_Matches!$B315," vs ",Team_Matches!$K315)</f>
        <v>E vs G</v>
      </c>
      <c r="E27" t="str">
        <f>Team_Matches!$A333</f>
        <v>3rd Singles</v>
      </c>
      <c r="F27" s="93" t="str">
        <f>IF(Team_Matches!$Q335&lt;&gt;"",IF(Team_Matches!H335&gt;Team_Matches!H337,MIN(Team_Matches!H335,Team_Matches!H337),-MIN(Team_Matches!H335,Team_Matches!H337))*IF(Team_Matches!$Q335="W",1,-1),"")</f>
        <v/>
      </c>
      <c r="G27" s="93" t="str">
        <f>IF(Team_Matches!$Q335&lt;&gt;"",IF(Team_Matches!I335&gt;Team_Matches!I337,MIN(Team_Matches!I335,Team_Matches!I337),-MIN(Team_Matches!I335,Team_Matches!I337))*IF(Team_Matches!$Q335="W",1,-1),"")</f>
        <v/>
      </c>
      <c r="H27" s="93" t="str">
        <f>IF(Team_Matches!$Q335&lt;&gt;"",IF(Team_Matches!J335&gt;Team_Matches!J337,MIN(Team_Matches!J335,Team_Matches!J337),-MIN(Team_Matches!J335,Team_Matches!J337))*IF(Team_Matches!$Q335="W",1,-1),"")</f>
        <v/>
      </c>
      <c r="I27" s="93" t="str">
        <f>IF(Team_Matches!$Q335&lt;&gt;"",IF(Team_Matches!K335=Team_Matches!K337,"",IF(Team_Matches!K335&gt;Team_Matches!K337,MIN(Team_Matches!K335,Team_Matches!K337),-MIN(Team_Matches!K335,Team_Matches!K337))*IF(Team_Matches!$Q335="W",1,-1)),"")</f>
        <v/>
      </c>
      <c r="J27" s="93" t="str">
        <f>IF(Team_Matches!$Q335&lt;&gt;"",IF(Team_Matches!L335=Team_Matches!L337,"",IF(Team_Matches!L335&gt;Team_Matches!L337,MIN(Team_Matches!L335,Team_Matches!L337),-MIN(Team_Matches!L335,Team_Matches!L337))*IF(Team_Matches!$Q335="W",1,-1)),"")</f>
        <v/>
      </c>
    </row>
    <row r="28" spans="1:10">
      <c r="A28" s="68" t="e">
        <f ca="1">$B28&amp;";"&amp;VLOOKUP($B28,Players!$C$4:$G$132,5,FALSE)&amp;";"&amp;IF(ISERROR(VLOOKUP($B28,Players!$C$4:$G$132,2,FALSE)),0,VLOOKUP($B28,Players!$C$4:$G$132,2,FALSE))&amp;";"&amp;$C28&amp;";"&amp;VLOOKUP($C28,Players!$C$4:$G$132,5,FALSE)&amp;";"&amp;IF(ISERROR(VLOOKUP($C28,Players!$C$4:$G$132,2,FALSE)),0,VLOOKUP($C28,Players!$C$4:$G$132,2,FALSE))&amp;"|"</f>
        <v>#N/A</v>
      </c>
      <c r="B28" t="str">
        <f ca="1">IF(Team_Matches!$Q342="W",Team_Matches!$B342,IF(Team_Matches!$Q344="W",Team_Matches!$B344,""))</f>
        <v/>
      </c>
      <c r="C28" t="str">
        <f ca="1">IF(Team_Matches!$Q342="L",Team_Matches!$B342,IF(Team_Matches!$Q344="L",Team_Matches!$B344,""))</f>
        <v/>
      </c>
      <c r="D28" t="str">
        <f>CONCATENATE(Team_Matches!$B315," vs ",Team_Matches!$K315)</f>
        <v>E vs G</v>
      </c>
      <c r="E28" t="str">
        <f>Team_Matches!$A340</f>
        <v>4th Singles</v>
      </c>
      <c r="F28" s="93" t="str">
        <f ca="1">IF(Team_Matches!$Q342&lt;&gt;"",IF(Team_Matches!H342&gt;Team_Matches!H344,MIN(Team_Matches!H342,Team_Matches!H344),-MIN(Team_Matches!H342,Team_Matches!H344))*IF(Team_Matches!$Q342="W",1,-1),"")</f>
        <v/>
      </c>
      <c r="G28" s="93" t="str">
        <f ca="1">IF(Team_Matches!$Q342&lt;&gt;"",IF(Team_Matches!I342&gt;Team_Matches!I344,MIN(Team_Matches!I342,Team_Matches!I344),-MIN(Team_Matches!I342,Team_Matches!I344))*IF(Team_Matches!$Q342="W",1,-1),"")</f>
        <v/>
      </c>
      <c r="H28" s="93" t="str">
        <f ca="1">IF(Team_Matches!$Q342&lt;&gt;"",IF(Team_Matches!J342&gt;Team_Matches!J344,MIN(Team_Matches!J342,Team_Matches!J344),-MIN(Team_Matches!J342,Team_Matches!J344))*IF(Team_Matches!$Q342="W",1,-1),"")</f>
        <v/>
      </c>
      <c r="I28" s="93" t="str">
        <f ca="1">IF(Team_Matches!$Q342&lt;&gt;"",IF(Team_Matches!K342=Team_Matches!K344,"",IF(Team_Matches!K342&gt;Team_Matches!K344,MIN(Team_Matches!K342,Team_Matches!K344),-MIN(Team_Matches!K342,Team_Matches!K344))*IF(Team_Matches!$Q342="W",1,-1)),"")</f>
        <v/>
      </c>
      <c r="J28" s="93" t="str">
        <f ca="1">IF(Team_Matches!$Q342&lt;&gt;"",IF(Team_Matches!L342=Team_Matches!L344,"",IF(Team_Matches!L342&gt;Team_Matches!L344,MIN(Team_Matches!L342,Team_Matches!L344),-MIN(Team_Matches!L342,Team_Matches!L344))*IF(Team_Matches!$Q342="W",1,-1)),"")</f>
        <v/>
      </c>
    </row>
    <row r="29" spans="1:10">
      <c r="A29" s="68" t="e">
        <f>$B29&amp;";"&amp;VLOOKUP($B29,Players!$C$4:$G$132,5,FALSE)&amp;";"&amp;IF(ISERROR(VLOOKUP($B29,Players!$C$4:$G$132,2,FALSE)),0,VLOOKUP($B29,Players!$C$4:$G$132,2,FALSE))&amp;";"&amp;$C29&amp;";"&amp;VLOOKUP($C29,Players!$C$4:$G$132,5,FALSE)&amp;";"&amp;IF(ISERROR(VLOOKUP($C29,Players!$C$4:$G$132,2,FALSE)),0,VLOOKUP($C29,Players!$C$4:$G$132,2,FALSE))&amp;"|"</f>
        <v>#N/A</v>
      </c>
      <c r="B29" t="str">
        <f>IF(Team_Matches!$Q372="W",Team_Matches!$B372,IF(Team_Matches!$Q374="W",Team_Matches!$B374,""))</f>
        <v/>
      </c>
      <c r="C29" t="str">
        <f>IF(Team_Matches!$Q372="L",Team_Matches!$B372,IF(Team_Matches!$Q374="L",Team_Matches!$B374,""))</f>
        <v/>
      </c>
      <c r="D29" t="str">
        <f>CONCATENATE(Team_Matches!$B366," vs ",Team_Matches!$K366)</f>
        <v>F vs H</v>
      </c>
      <c r="E29" t="str">
        <f>Team_Matches!A370</f>
        <v>1st Singles</v>
      </c>
      <c r="F29" s="93" t="str">
        <f>IF(Team_Matches!$Q372&lt;&gt;"",IF(Team_Matches!H372&gt;Team_Matches!H374,MIN(Team_Matches!H372,Team_Matches!H374),-MIN(Team_Matches!H372,Team_Matches!H374))*IF(Team_Matches!$Q372="W",1,-1),"")</f>
        <v/>
      </c>
      <c r="G29" s="93" t="str">
        <f>IF(Team_Matches!$Q372&lt;&gt;"",IF(Team_Matches!I372&gt;Team_Matches!I374,MIN(Team_Matches!I372,Team_Matches!I374),-MIN(Team_Matches!I372,Team_Matches!I374))*IF(Team_Matches!$Q372="W",1,-1),"")</f>
        <v/>
      </c>
      <c r="H29" s="93" t="str">
        <f>IF(Team_Matches!$Q372&lt;&gt;"",IF(Team_Matches!J372&gt;Team_Matches!J374,MIN(Team_Matches!J372,Team_Matches!J374),-MIN(Team_Matches!J372,Team_Matches!J374))*IF(Team_Matches!$Q372="W",1,-1),"")</f>
        <v/>
      </c>
      <c r="I29" s="93" t="str">
        <f>IF(Team_Matches!$Q372&lt;&gt;"",IF(Team_Matches!K372=Team_Matches!K374,"",IF(Team_Matches!K372&gt;Team_Matches!K374,MIN(Team_Matches!K372,Team_Matches!K374),-MIN(Team_Matches!K372,Team_Matches!K374))*IF(Team_Matches!$Q372="W",1,-1)),"")</f>
        <v/>
      </c>
      <c r="J29" s="93" t="str">
        <f>IF(Team_Matches!$Q372&lt;&gt;"",IF(Team_Matches!L372=Team_Matches!L374,"",IF(Team_Matches!L372&gt;Team_Matches!L374,MIN(Team_Matches!L372,Team_Matches!L374),-MIN(Team_Matches!L372,Team_Matches!L374))*IF(Team_Matches!$Q372="W",1,-1)),"")</f>
        <v/>
      </c>
    </row>
    <row r="30" spans="1:10">
      <c r="A30" s="68" t="e">
        <f>$B30&amp;";"&amp;VLOOKUP($B30,Players!$C$4:$G$132,5,FALSE)&amp;";"&amp;IF(ISERROR(VLOOKUP($B30,Players!$C$4:$G$132,2,FALSE)),0,VLOOKUP($B30,Players!$C$4:$G$132,2,FALSE))&amp;";"&amp;$C30&amp;";"&amp;VLOOKUP($C30,Players!$C$4:$G$132,5,FALSE)&amp;";"&amp;IF(ISERROR(VLOOKUP($C30,Players!$C$4:$G$132,2,FALSE)),0,VLOOKUP($C30,Players!$C$4:$G$132,2,FALSE))&amp;"|"</f>
        <v>#N/A</v>
      </c>
      <c r="B30" t="str">
        <f>IF(Team_Matches!$Q379="W",Team_Matches!$B379,IF(Team_Matches!$Q381="W",Team_Matches!$B381,""))</f>
        <v/>
      </c>
      <c r="C30" t="str">
        <f>IF(Team_Matches!$Q379="L",Team_Matches!$B379,IF(Team_Matches!$Q381="L",Team_Matches!$B381,""))</f>
        <v/>
      </c>
      <c r="D30" t="str">
        <f>CONCATENATE(Team_Matches!$B366," vs ",Team_Matches!$K366)</f>
        <v>F vs H</v>
      </c>
      <c r="E30" t="str">
        <f>Team_Matches!$A377</f>
        <v>2nd Singles</v>
      </c>
      <c r="F30" s="93" t="str">
        <f>IF(Team_Matches!$Q379&lt;&gt;"",IF(Team_Matches!H379&gt;Team_Matches!H381,MIN(Team_Matches!H379,Team_Matches!H381),-MIN(Team_Matches!H379,Team_Matches!H381))*IF(Team_Matches!$Q379="W",1,-1),"")</f>
        <v/>
      </c>
      <c r="G30" s="93" t="str">
        <f>IF(Team_Matches!$Q379&lt;&gt;"",IF(Team_Matches!I379&gt;Team_Matches!I381,MIN(Team_Matches!I379,Team_Matches!I381),-MIN(Team_Matches!I379,Team_Matches!I381))*IF(Team_Matches!$Q379="W",1,-1),"")</f>
        <v/>
      </c>
      <c r="H30" s="93" t="str">
        <f>IF(Team_Matches!$Q379&lt;&gt;"",IF(Team_Matches!J379&gt;Team_Matches!J381,MIN(Team_Matches!J379,Team_Matches!J381),-MIN(Team_Matches!J379,Team_Matches!J381))*IF(Team_Matches!$Q379="W",1,-1),"")</f>
        <v/>
      </c>
      <c r="I30" s="93" t="str">
        <f>IF(Team_Matches!$Q379&lt;&gt;"",IF(Team_Matches!K379=Team_Matches!K381,"",IF(Team_Matches!K379&gt;Team_Matches!K381,MIN(Team_Matches!K379,Team_Matches!K381),-MIN(Team_Matches!K379,Team_Matches!K381))*IF(Team_Matches!$Q379="W",1,-1)),"")</f>
        <v/>
      </c>
      <c r="J30" s="93" t="str">
        <f>IF(Team_Matches!$Q379&lt;&gt;"",IF(Team_Matches!L379=Team_Matches!L381,"",IF(Team_Matches!L379&gt;Team_Matches!L381,MIN(Team_Matches!L379,Team_Matches!L381),-MIN(Team_Matches!L379,Team_Matches!L381))*IF(Team_Matches!$Q379="W",1,-1)),"")</f>
        <v/>
      </c>
    </row>
    <row r="31" spans="1:10">
      <c r="A31" s="68" t="e">
        <f>$B31&amp;";"&amp;VLOOKUP($B31,Players!$C$4:$G$132,5,FALSE)&amp;";"&amp;IF(ISERROR(VLOOKUP($B31,Players!$C$4:$G$132,2,FALSE)),0,VLOOKUP($B31,Players!$C$4:$G$132,2,FALSE))&amp;";"&amp;$C31&amp;";"&amp;VLOOKUP($C31,Players!$C$4:$G$132,5,FALSE)&amp;";"&amp;IF(ISERROR(VLOOKUP($C31,Players!$C$4:$G$132,2,FALSE)),0,VLOOKUP($C31,Players!$C$4:$G$132,2,FALSE))&amp;"|"</f>
        <v>#N/A</v>
      </c>
      <c r="B31" t="str">
        <f>IF(Team_Matches!$Q386="W",Team_Matches!$B386,IF(Team_Matches!$Q388="W",Team_Matches!$B388,""))</f>
        <v/>
      </c>
      <c r="C31" t="str">
        <f>IF(Team_Matches!$Q386="L",Team_Matches!$B386,IF(Team_Matches!$Q388="L",Team_Matches!$B388,""))</f>
        <v/>
      </c>
      <c r="D31" t="str">
        <f>CONCATENATE(Team_Matches!$B366," vs ",Team_Matches!$K366)</f>
        <v>F vs H</v>
      </c>
      <c r="E31" t="str">
        <f>Team_Matches!$A384</f>
        <v>3rd Singles</v>
      </c>
      <c r="F31" s="93" t="str">
        <f>IF(Team_Matches!$Q386&lt;&gt;"",IF(Team_Matches!H386&gt;Team_Matches!H388,MIN(Team_Matches!H386,Team_Matches!H388),-MIN(Team_Matches!H386,Team_Matches!H388))*IF(Team_Matches!$Q386="W",1,-1),"")</f>
        <v/>
      </c>
      <c r="G31" s="93" t="str">
        <f>IF(Team_Matches!$Q386&lt;&gt;"",IF(Team_Matches!I386&gt;Team_Matches!I388,MIN(Team_Matches!I386,Team_Matches!I388),-MIN(Team_Matches!I386,Team_Matches!I388))*IF(Team_Matches!$Q386="W",1,-1),"")</f>
        <v/>
      </c>
      <c r="H31" s="93" t="str">
        <f>IF(Team_Matches!$Q386&lt;&gt;"",IF(Team_Matches!J386&gt;Team_Matches!J388,MIN(Team_Matches!J386,Team_Matches!J388),-MIN(Team_Matches!J386,Team_Matches!J388))*IF(Team_Matches!$Q386="W",1,-1),"")</f>
        <v/>
      </c>
      <c r="I31" s="93" t="str">
        <f>IF(Team_Matches!$Q386&lt;&gt;"",IF(Team_Matches!K386=Team_Matches!K388,"",IF(Team_Matches!K386&gt;Team_Matches!K388,MIN(Team_Matches!K386,Team_Matches!K388),-MIN(Team_Matches!K386,Team_Matches!K388))*IF(Team_Matches!$Q386="W",1,-1)),"")</f>
        <v/>
      </c>
      <c r="J31" s="93" t="str">
        <f>IF(Team_Matches!$Q386&lt;&gt;"",IF(Team_Matches!L386=Team_Matches!L388,"",IF(Team_Matches!L386&gt;Team_Matches!L388,MIN(Team_Matches!L386,Team_Matches!L388),-MIN(Team_Matches!L386,Team_Matches!L388))*IF(Team_Matches!$Q386="W",1,-1)),"")</f>
        <v/>
      </c>
    </row>
    <row r="32" spans="1:10">
      <c r="A32" s="68" t="e">
        <f ca="1">$B32&amp;";"&amp;VLOOKUP($B32,Players!$C$4:$G$132,5,FALSE)&amp;";"&amp;IF(ISERROR(VLOOKUP($B32,Players!$C$4:$G$132,2,FALSE)),0,VLOOKUP($B32,Players!$C$4:$G$132,2,FALSE))&amp;";"&amp;$C32&amp;";"&amp;VLOOKUP($C32,Players!$C$4:$G$132,5,FALSE)&amp;";"&amp;IF(ISERROR(VLOOKUP($C32,Players!$C$4:$G$132,2,FALSE)),0,VLOOKUP($C32,Players!$C$4:$G$132,2,FALSE))&amp;"|"</f>
        <v>#N/A</v>
      </c>
      <c r="B32" t="str">
        <f ca="1">IF(Team_Matches!$Q393="W",Team_Matches!$B393,IF(Team_Matches!$Q395="W",Team_Matches!$B395,""))</f>
        <v/>
      </c>
      <c r="C32" t="str">
        <f ca="1">IF(Team_Matches!$Q393="L",Team_Matches!$B393,IF(Team_Matches!$Q395="L",Team_Matches!$B395,""))</f>
        <v/>
      </c>
      <c r="D32" t="str">
        <f>CONCATENATE(Team_Matches!$B366," vs ",Team_Matches!$K366)</f>
        <v>F vs H</v>
      </c>
      <c r="E32" t="str">
        <f>Team_Matches!$A391</f>
        <v>4th Singles</v>
      </c>
      <c r="F32" s="93" t="str">
        <f ca="1">IF(Team_Matches!$Q393&lt;&gt;"",IF(Team_Matches!H393&gt;Team_Matches!H395,MIN(Team_Matches!H393,Team_Matches!H395),-MIN(Team_Matches!H393,Team_Matches!H395))*IF(Team_Matches!$Q393="W",1,-1),"")</f>
        <v/>
      </c>
      <c r="G32" s="93" t="str">
        <f ca="1">IF(Team_Matches!$Q393&lt;&gt;"",IF(Team_Matches!I393&gt;Team_Matches!I395,MIN(Team_Matches!I393,Team_Matches!I395),-MIN(Team_Matches!I393,Team_Matches!I395))*IF(Team_Matches!$Q393="W",1,-1),"")</f>
        <v/>
      </c>
      <c r="H32" s="93" t="str">
        <f ca="1">IF(Team_Matches!$Q393&lt;&gt;"",IF(Team_Matches!J393&gt;Team_Matches!J395,MIN(Team_Matches!J393,Team_Matches!J395),-MIN(Team_Matches!J393,Team_Matches!J395))*IF(Team_Matches!$Q393="W",1,-1),"")</f>
        <v/>
      </c>
      <c r="I32" s="93" t="str">
        <f ca="1">IF(Team_Matches!$Q393&lt;&gt;"",IF(Team_Matches!K393=Team_Matches!K395,"",IF(Team_Matches!K393&gt;Team_Matches!K395,MIN(Team_Matches!K393,Team_Matches!K395),-MIN(Team_Matches!K393,Team_Matches!K395))*IF(Team_Matches!$Q393="W",1,-1)),"")</f>
        <v/>
      </c>
      <c r="J32" s="93" t="str">
        <f ca="1">IF(Team_Matches!$Q393&lt;&gt;"",IF(Team_Matches!L393=Team_Matches!L395,"",IF(Team_Matches!L393&gt;Team_Matches!L395,MIN(Team_Matches!L393,Team_Matches!L395),-MIN(Team_Matches!L393,Team_Matches!L395))*IF(Team_Matches!$Q393="W",1,-1)),"")</f>
        <v/>
      </c>
    </row>
    <row r="33" spans="1:10">
      <c r="A33" s="68" t="e">
        <f>$B33&amp;";"&amp;VLOOKUP($B33,Players!$C$4:$G$132,5,FALSE)&amp;";"&amp;IF(ISERROR(VLOOKUP($B33,Players!$C$4:$G$132,2,FALSE)),0,VLOOKUP($B33,Players!$C$4:$G$132,2,FALSE))&amp;";"&amp;$C33&amp;";"&amp;VLOOKUP($C33,Players!$C$4:$G$132,5,FALSE)&amp;";"&amp;IF(ISERROR(VLOOKUP($C33,Players!$C$4:$G$132,2,FALSE)),0,VLOOKUP($C33,Players!$C$4:$G$132,2,FALSE))&amp;"|"</f>
        <v>#N/A</v>
      </c>
      <c r="B33" t="str">
        <f>IF(Team_Matches!$Q423="W",Team_Matches!$B423,IF(Team_Matches!$Q425="W",Team_Matches!$B425,""))</f>
        <v/>
      </c>
      <c r="C33" t="str">
        <f>IF(Team_Matches!$Q423="L",Team_Matches!$B423,IF(Team_Matches!$Q425="L",Team_Matches!$B425,""))</f>
        <v/>
      </c>
      <c r="D33" t="str">
        <f>CONCATENATE(Team_Matches!$B417," vs ",Team_Matches!$K417)</f>
        <v>E vs F</v>
      </c>
      <c r="E33" t="str">
        <f>Team_Matches!A421</f>
        <v>1st Singles</v>
      </c>
      <c r="F33" s="93" t="str">
        <f>IF(Team_Matches!$Q423&lt;&gt;"",IF(Team_Matches!H423&gt;Team_Matches!H425,MIN(Team_Matches!H423,Team_Matches!H425),-MIN(Team_Matches!H423,Team_Matches!H425))*IF(Team_Matches!$Q423="W",1,-1),"")</f>
        <v/>
      </c>
      <c r="G33" s="93" t="str">
        <f>IF(Team_Matches!$Q423&lt;&gt;"",IF(Team_Matches!I423&gt;Team_Matches!I425,MIN(Team_Matches!I423,Team_Matches!I425),-MIN(Team_Matches!I423,Team_Matches!I425))*IF(Team_Matches!$Q423="W",1,-1),"")</f>
        <v/>
      </c>
      <c r="H33" s="93" t="str">
        <f>IF(Team_Matches!$Q423&lt;&gt;"",IF(Team_Matches!J423&gt;Team_Matches!J425,MIN(Team_Matches!J423,Team_Matches!J425),-MIN(Team_Matches!J423,Team_Matches!J425))*IF(Team_Matches!$Q423="W",1,-1),"")</f>
        <v/>
      </c>
      <c r="I33" s="93" t="str">
        <f>IF(Team_Matches!$Q423&lt;&gt;"",IF(Team_Matches!K423=Team_Matches!K425,"",IF(Team_Matches!K423&gt;Team_Matches!K425,MIN(Team_Matches!K423,Team_Matches!K425),-MIN(Team_Matches!K423,Team_Matches!K425))*IF(Team_Matches!$Q423="W",1,-1)),"")</f>
        <v/>
      </c>
      <c r="J33" s="93" t="str">
        <f>IF(Team_Matches!$Q423&lt;&gt;"",IF(Team_Matches!L423=Team_Matches!L425,"",IF(Team_Matches!L423&gt;Team_Matches!L425,MIN(Team_Matches!L423,Team_Matches!L425),-MIN(Team_Matches!L423,Team_Matches!L425))*IF(Team_Matches!$Q423="W",1,-1)),"")</f>
        <v/>
      </c>
    </row>
    <row r="34" spans="1:10">
      <c r="A34" s="68" t="e">
        <f>$B34&amp;";"&amp;VLOOKUP($B34,Players!$C$4:$G$132,5,FALSE)&amp;";"&amp;IF(ISERROR(VLOOKUP($B34,Players!$C$4:$G$132,2,FALSE)),0,VLOOKUP($B34,Players!$C$4:$G$132,2,FALSE))&amp;";"&amp;$C34&amp;";"&amp;VLOOKUP($C34,Players!$C$4:$G$132,5,FALSE)&amp;";"&amp;IF(ISERROR(VLOOKUP($C34,Players!$C$4:$G$132,2,FALSE)),0,VLOOKUP($C34,Players!$C$4:$G$132,2,FALSE))&amp;"|"</f>
        <v>#N/A</v>
      </c>
      <c r="B34" t="str">
        <f>IF(Team_Matches!$Q430="W",Team_Matches!$B430,IF(Team_Matches!$Q432="W",Team_Matches!$B432,""))</f>
        <v/>
      </c>
      <c r="C34" t="str">
        <f>IF(Team_Matches!$Q430="L",Team_Matches!$B430,IF(Team_Matches!$Q432="L",Team_Matches!$B432,""))</f>
        <v/>
      </c>
      <c r="D34" t="str">
        <f>CONCATENATE(Team_Matches!$B417," vs ",Team_Matches!$K417)</f>
        <v>E vs F</v>
      </c>
      <c r="E34" t="str">
        <f>Team_Matches!$A428</f>
        <v>2nd Singles</v>
      </c>
      <c r="F34" s="93" t="str">
        <f>IF(Team_Matches!$Q430&lt;&gt;"",IF(Team_Matches!H430&gt;Team_Matches!H432,MIN(Team_Matches!H430,Team_Matches!H432),-MIN(Team_Matches!H430,Team_Matches!H432))*IF(Team_Matches!$Q430="W",1,-1),"")</f>
        <v/>
      </c>
      <c r="G34" s="93" t="str">
        <f>IF(Team_Matches!$Q430&lt;&gt;"",IF(Team_Matches!I430&gt;Team_Matches!I432,MIN(Team_Matches!I430,Team_Matches!I432),-MIN(Team_Matches!I430,Team_Matches!I432))*IF(Team_Matches!$Q430="W",1,-1),"")</f>
        <v/>
      </c>
      <c r="H34" s="93" t="str">
        <f>IF(Team_Matches!$Q430&lt;&gt;"",IF(Team_Matches!J430&gt;Team_Matches!J432,MIN(Team_Matches!J430,Team_Matches!J432),-MIN(Team_Matches!J430,Team_Matches!J432))*IF(Team_Matches!$Q430="W",1,-1),"")</f>
        <v/>
      </c>
      <c r="I34" s="93" t="str">
        <f>IF(Team_Matches!$Q430&lt;&gt;"",IF(Team_Matches!K430=Team_Matches!K432,"",IF(Team_Matches!K430&gt;Team_Matches!K432,MIN(Team_Matches!K430,Team_Matches!K432),-MIN(Team_Matches!K430,Team_Matches!K432))*IF(Team_Matches!$Q430="W",1,-1)),"")</f>
        <v/>
      </c>
      <c r="J34" s="93" t="str">
        <f>IF(Team_Matches!$Q430&lt;&gt;"",IF(Team_Matches!L430=Team_Matches!L432,"",IF(Team_Matches!L430&gt;Team_Matches!L432,MIN(Team_Matches!L430,Team_Matches!L432),-MIN(Team_Matches!L430,Team_Matches!L432))*IF(Team_Matches!$Q430="W",1,-1)),"")</f>
        <v/>
      </c>
    </row>
    <row r="35" spans="1:10">
      <c r="A35" s="68" t="e">
        <f>$B35&amp;";"&amp;VLOOKUP($B35,Players!$C$4:$G$132,5,FALSE)&amp;";"&amp;IF(ISERROR(VLOOKUP($B35,Players!$C$4:$G$132,2,FALSE)),0,VLOOKUP($B35,Players!$C$4:$G$132,2,FALSE))&amp;";"&amp;$C35&amp;";"&amp;VLOOKUP($C35,Players!$C$4:$G$132,5,FALSE)&amp;";"&amp;IF(ISERROR(VLOOKUP($C35,Players!$C$4:$G$132,2,FALSE)),0,VLOOKUP($C35,Players!$C$4:$G$132,2,FALSE))&amp;"|"</f>
        <v>#N/A</v>
      </c>
      <c r="B35" t="str">
        <f>IF(Team_Matches!$Q437="W",Team_Matches!$B437,IF(Team_Matches!$Q439="W",Team_Matches!$B439,""))</f>
        <v/>
      </c>
      <c r="C35" t="str">
        <f>IF(Team_Matches!$Q437="L",Team_Matches!$B437,IF(Team_Matches!$Q439="L",Team_Matches!$B439,""))</f>
        <v/>
      </c>
      <c r="D35" t="str">
        <f>CONCATENATE(Team_Matches!$B417," vs ",Team_Matches!$K417)</f>
        <v>E vs F</v>
      </c>
      <c r="E35" t="str">
        <f>Team_Matches!$A435</f>
        <v>3rd Singles</v>
      </c>
      <c r="F35" s="93" t="str">
        <f>IF(Team_Matches!$Q437&lt;&gt;"",IF(Team_Matches!H437&gt;Team_Matches!H439,MIN(Team_Matches!H437,Team_Matches!H439),-MIN(Team_Matches!H437,Team_Matches!H439))*IF(Team_Matches!$Q437="W",1,-1),"")</f>
        <v/>
      </c>
      <c r="G35" s="93" t="str">
        <f>IF(Team_Matches!$Q437&lt;&gt;"",IF(Team_Matches!I437&gt;Team_Matches!I439,MIN(Team_Matches!I437,Team_Matches!I439),-MIN(Team_Matches!I437,Team_Matches!I439))*IF(Team_Matches!$Q437="W",1,-1),"")</f>
        <v/>
      </c>
      <c r="H35" s="93" t="str">
        <f>IF(Team_Matches!$Q437&lt;&gt;"",IF(Team_Matches!J437&gt;Team_Matches!J439,MIN(Team_Matches!J437,Team_Matches!J439),-MIN(Team_Matches!J437,Team_Matches!J439))*IF(Team_Matches!$Q437="W",1,-1),"")</f>
        <v/>
      </c>
      <c r="I35" s="93" t="str">
        <f>IF(Team_Matches!$Q437&lt;&gt;"",IF(Team_Matches!K437=Team_Matches!K439,"",IF(Team_Matches!K437&gt;Team_Matches!K439,MIN(Team_Matches!K437,Team_Matches!K439),-MIN(Team_Matches!K437,Team_Matches!K439))*IF(Team_Matches!$Q437="W",1,-1)),"")</f>
        <v/>
      </c>
      <c r="J35" s="93" t="str">
        <f>IF(Team_Matches!$Q437&lt;&gt;"",IF(Team_Matches!L437=Team_Matches!L439,"",IF(Team_Matches!L437&gt;Team_Matches!L439,MIN(Team_Matches!L437,Team_Matches!L439),-MIN(Team_Matches!L437,Team_Matches!L439))*IF(Team_Matches!$Q437="W",1,-1)),"")</f>
        <v/>
      </c>
    </row>
    <row r="36" spans="1:10">
      <c r="A36" s="68" t="e">
        <f ca="1">$B36&amp;";"&amp;VLOOKUP($B36,Players!$C$4:$G$132,5,FALSE)&amp;";"&amp;IF(ISERROR(VLOOKUP($B36,Players!$C$4:$G$132,2,FALSE)),0,VLOOKUP($B36,Players!$C$4:$G$132,2,FALSE))&amp;";"&amp;$C36&amp;";"&amp;VLOOKUP($C36,Players!$C$4:$G$132,5,FALSE)&amp;";"&amp;IF(ISERROR(VLOOKUP($C36,Players!$C$4:$G$132,2,FALSE)),0,VLOOKUP($C36,Players!$C$4:$G$132,2,FALSE))&amp;"|"</f>
        <v>#N/A</v>
      </c>
      <c r="B36" t="str">
        <f ca="1">IF(Team_Matches!$Q444="W",Team_Matches!$B444,IF(Team_Matches!$Q446="W",Team_Matches!$B446,""))</f>
        <v/>
      </c>
      <c r="C36" t="str">
        <f ca="1">IF(Team_Matches!$Q444="L",Team_Matches!$B444,IF(Team_Matches!$Q446="L",Team_Matches!$B446,""))</f>
        <v/>
      </c>
      <c r="D36" t="str">
        <f>CONCATENATE(Team_Matches!$B417," vs ",Team_Matches!$K417)</f>
        <v>E vs F</v>
      </c>
      <c r="E36" t="str">
        <f>Team_Matches!$A442</f>
        <v>4th Singles</v>
      </c>
      <c r="F36" s="93" t="str">
        <f ca="1">IF(Team_Matches!$Q444&lt;&gt;"",IF(Team_Matches!H444&gt;Team_Matches!H446,MIN(Team_Matches!H444,Team_Matches!H446),-MIN(Team_Matches!H444,Team_Matches!H446))*IF(Team_Matches!$Q444="W",1,-1),"")</f>
        <v/>
      </c>
      <c r="G36" s="93" t="str">
        <f ca="1">IF(Team_Matches!$Q444&lt;&gt;"",IF(Team_Matches!I444&gt;Team_Matches!I446,MIN(Team_Matches!I444,Team_Matches!I446),-MIN(Team_Matches!I444,Team_Matches!I446))*IF(Team_Matches!$Q444="W",1,-1),"")</f>
        <v/>
      </c>
      <c r="H36" s="93" t="str">
        <f ca="1">IF(Team_Matches!$Q444&lt;&gt;"",IF(Team_Matches!J444&gt;Team_Matches!J446,MIN(Team_Matches!J444,Team_Matches!J446),-MIN(Team_Matches!J444,Team_Matches!J446))*IF(Team_Matches!$Q444="W",1,-1),"")</f>
        <v/>
      </c>
      <c r="I36" s="93" t="str">
        <f ca="1">IF(Team_Matches!$Q444&lt;&gt;"",IF(Team_Matches!K444=Team_Matches!K446,"",IF(Team_Matches!K444&gt;Team_Matches!K446,MIN(Team_Matches!K444,Team_Matches!K446),-MIN(Team_Matches!K444,Team_Matches!K446))*IF(Team_Matches!$Q444="W",1,-1)),"")</f>
        <v/>
      </c>
      <c r="J36" s="93" t="str">
        <f ca="1">IF(Team_Matches!$Q444&lt;&gt;"",IF(Team_Matches!L444=Team_Matches!L446,"",IF(Team_Matches!L444&gt;Team_Matches!L446,MIN(Team_Matches!L444,Team_Matches!L446),-MIN(Team_Matches!L444,Team_Matches!L446))*IF(Team_Matches!$Q444="W",1,-1)),"")</f>
        <v/>
      </c>
    </row>
    <row r="37" spans="1:10">
      <c r="A37" s="68" t="e">
        <f>$B37&amp;";"&amp;VLOOKUP($B37,Players!$C$4:$G$132,5,FALSE)&amp;";"&amp;IF(ISERROR(VLOOKUP($B37,Players!$C$4:$G$132,2,FALSE)),0,VLOOKUP($B37,Players!$C$4:$G$132,2,FALSE))&amp;";"&amp;$C37&amp;";"&amp;VLOOKUP($C37,Players!$C$4:$G$132,5,FALSE)&amp;";"&amp;IF(ISERROR(VLOOKUP($C37,Players!$C$4:$G$132,2,FALSE)),0,VLOOKUP($C37,Players!$C$4:$G$132,2,FALSE))&amp;"|"</f>
        <v>#N/A</v>
      </c>
      <c r="B37" t="str">
        <f>IF(Team_Matches!$Q474="W",Team_Matches!$B474,IF(Team_Matches!$Q476="W",Team_Matches!$B476,""))</f>
        <v/>
      </c>
      <c r="C37" t="str">
        <f>IF(Team_Matches!$Q474="L",Team_Matches!$B474,IF(Team_Matches!$Q476="L",Team_Matches!$B476,""))</f>
        <v/>
      </c>
      <c r="D37" t="str">
        <f>CONCATENATE(Team_Matches!$B468," vs ",Team_Matches!$K468)</f>
        <v>G vs H</v>
      </c>
      <c r="E37" t="str">
        <f>Team_Matches!A472</f>
        <v>1st Singles</v>
      </c>
      <c r="F37" s="93" t="str">
        <f>IF(Team_Matches!$Q474&lt;&gt;"",IF(Team_Matches!H474&gt;Team_Matches!H476,MIN(Team_Matches!H474,Team_Matches!H476),-MIN(Team_Matches!H474,Team_Matches!H476))*IF(Team_Matches!$Q474="W",1,-1),"")</f>
        <v/>
      </c>
      <c r="G37" s="93" t="str">
        <f>IF(Team_Matches!$Q474&lt;&gt;"",IF(Team_Matches!I474&gt;Team_Matches!I476,MIN(Team_Matches!I474,Team_Matches!I476),-MIN(Team_Matches!I474,Team_Matches!I476))*IF(Team_Matches!$Q474="W",1,-1),"")</f>
        <v/>
      </c>
      <c r="H37" s="93" t="str">
        <f>IF(Team_Matches!$Q474&lt;&gt;"",IF(Team_Matches!J474&gt;Team_Matches!J476,MIN(Team_Matches!J474,Team_Matches!J476),-MIN(Team_Matches!J474,Team_Matches!J476))*IF(Team_Matches!$Q474="W",1,-1),"")</f>
        <v/>
      </c>
      <c r="I37" s="93" t="str">
        <f>IF(Team_Matches!$Q474&lt;&gt;"",IF(Team_Matches!K474=Team_Matches!K476,"",IF(Team_Matches!K474&gt;Team_Matches!K476,MIN(Team_Matches!K474,Team_Matches!K476),-MIN(Team_Matches!K474,Team_Matches!K476))*IF(Team_Matches!$Q474="W",1,-1)),"")</f>
        <v/>
      </c>
      <c r="J37" s="93" t="str">
        <f>IF(Team_Matches!$Q474&lt;&gt;"",IF(Team_Matches!L474=Team_Matches!L476,"",IF(Team_Matches!L474&gt;Team_Matches!L476,MIN(Team_Matches!L474,Team_Matches!L476),-MIN(Team_Matches!L474,Team_Matches!L476))*IF(Team_Matches!$Q474="W",1,-1)),"")</f>
        <v/>
      </c>
    </row>
    <row r="38" spans="1:10">
      <c r="A38" s="68" t="e">
        <f>$B38&amp;";"&amp;VLOOKUP($B38,Players!$C$4:$G$132,5,FALSE)&amp;";"&amp;IF(ISERROR(VLOOKUP($B38,Players!$C$4:$G$132,2,FALSE)),0,VLOOKUP($B38,Players!$C$4:$G$132,2,FALSE))&amp;";"&amp;$C38&amp;";"&amp;VLOOKUP($C38,Players!$C$4:$G$132,5,FALSE)&amp;";"&amp;IF(ISERROR(VLOOKUP($C38,Players!$C$4:$G$132,2,FALSE)),0,VLOOKUP($C38,Players!$C$4:$G$132,2,FALSE))&amp;"|"</f>
        <v>#N/A</v>
      </c>
      <c r="B38" t="str">
        <f>IF(Team_Matches!$Q481="W",Team_Matches!$B481,IF(Team_Matches!$Q483="W",Team_Matches!$B483,""))</f>
        <v/>
      </c>
      <c r="C38" t="str">
        <f>IF(Team_Matches!$Q481="L",Team_Matches!$B481,IF(Team_Matches!$Q483="L",Team_Matches!$B483,""))</f>
        <v/>
      </c>
      <c r="D38" t="str">
        <f>CONCATENATE(Team_Matches!$B468," vs ",Team_Matches!$K468)</f>
        <v>G vs H</v>
      </c>
      <c r="E38" t="str">
        <f>Team_Matches!$A479</f>
        <v>2nd Singles</v>
      </c>
      <c r="F38" s="93" t="str">
        <f>IF(Team_Matches!$Q481&lt;&gt;"",IF(Team_Matches!H481&gt;Team_Matches!H483,MIN(Team_Matches!H481,Team_Matches!H483),-MIN(Team_Matches!H481,Team_Matches!H483))*IF(Team_Matches!$Q481="W",1,-1),"")</f>
        <v/>
      </c>
      <c r="G38" s="93" t="str">
        <f>IF(Team_Matches!$Q481&lt;&gt;"",IF(Team_Matches!I481&gt;Team_Matches!I483,MIN(Team_Matches!I481,Team_Matches!I483),-MIN(Team_Matches!I481,Team_Matches!I483))*IF(Team_Matches!$Q481="W",1,-1),"")</f>
        <v/>
      </c>
      <c r="H38" s="93" t="str">
        <f>IF(Team_Matches!$Q481&lt;&gt;"",IF(Team_Matches!J481&gt;Team_Matches!J483,MIN(Team_Matches!J481,Team_Matches!J483),-MIN(Team_Matches!J481,Team_Matches!J483))*IF(Team_Matches!$Q481="W",1,-1),"")</f>
        <v/>
      </c>
      <c r="I38" s="93" t="str">
        <f>IF(Team_Matches!$Q481&lt;&gt;"",IF(Team_Matches!K481=Team_Matches!K483,"",IF(Team_Matches!K481&gt;Team_Matches!K483,MIN(Team_Matches!K481,Team_Matches!K483),-MIN(Team_Matches!K481,Team_Matches!K483))*IF(Team_Matches!$Q481="W",1,-1)),"")</f>
        <v/>
      </c>
      <c r="J38" s="93" t="str">
        <f>IF(Team_Matches!$Q481&lt;&gt;"",IF(Team_Matches!L481=Team_Matches!L483,"",IF(Team_Matches!L481&gt;Team_Matches!L483,MIN(Team_Matches!L481,Team_Matches!L483),-MIN(Team_Matches!L481,Team_Matches!L483))*IF(Team_Matches!$Q481="W",1,-1)),"")</f>
        <v/>
      </c>
    </row>
    <row r="39" spans="1:10">
      <c r="A39" s="68" t="e">
        <f>$B39&amp;";"&amp;VLOOKUP($B39,Players!$C$4:$G$132,5,FALSE)&amp;";"&amp;IF(ISERROR(VLOOKUP($B39,Players!$C$4:$G$132,2,FALSE)),0,VLOOKUP($B39,Players!$C$4:$G$132,2,FALSE))&amp;";"&amp;$C39&amp;";"&amp;VLOOKUP($C39,Players!$C$4:$G$132,5,FALSE)&amp;";"&amp;IF(ISERROR(VLOOKUP($C39,Players!$C$4:$G$132,2,FALSE)),0,VLOOKUP($C39,Players!$C$4:$G$132,2,FALSE))&amp;"|"</f>
        <v>#N/A</v>
      </c>
      <c r="B39" t="str">
        <f>IF(Team_Matches!$Q488="W",Team_Matches!$B488,IF(Team_Matches!$Q490="W",Team_Matches!$B490,""))</f>
        <v/>
      </c>
      <c r="C39" t="str">
        <f>IF(Team_Matches!$Q488="L",Team_Matches!$B488,IF(Team_Matches!$Q490="L",Team_Matches!$B490,""))</f>
        <v/>
      </c>
      <c r="D39" t="str">
        <f>CONCATENATE(Team_Matches!$B468," vs ",Team_Matches!$K468)</f>
        <v>G vs H</v>
      </c>
      <c r="E39" t="str">
        <f>Team_Matches!$A486</f>
        <v>3rd Singles</v>
      </c>
      <c r="F39" s="93" t="str">
        <f>IF(Team_Matches!$Q488&lt;&gt;"",IF(Team_Matches!H488&gt;Team_Matches!H490,MIN(Team_Matches!H488,Team_Matches!H490),-MIN(Team_Matches!H488,Team_Matches!H490))*IF(Team_Matches!$Q488="W",1,-1),"")</f>
        <v/>
      </c>
      <c r="G39" s="93" t="str">
        <f>IF(Team_Matches!$Q488&lt;&gt;"",IF(Team_Matches!I488&gt;Team_Matches!I490,MIN(Team_Matches!I488,Team_Matches!I490),-MIN(Team_Matches!I488,Team_Matches!I490))*IF(Team_Matches!$Q488="W",1,-1),"")</f>
        <v/>
      </c>
      <c r="H39" s="93" t="str">
        <f>IF(Team_Matches!$Q488&lt;&gt;"",IF(Team_Matches!J488&gt;Team_Matches!J490,MIN(Team_Matches!J488,Team_Matches!J490),-MIN(Team_Matches!J488,Team_Matches!J490))*IF(Team_Matches!$Q488="W",1,-1),"")</f>
        <v/>
      </c>
      <c r="I39" s="93" t="str">
        <f>IF(Team_Matches!$Q488&lt;&gt;"",IF(Team_Matches!K488=Team_Matches!K490,"",IF(Team_Matches!K488&gt;Team_Matches!K490,MIN(Team_Matches!K488,Team_Matches!K490),-MIN(Team_Matches!K488,Team_Matches!K490))*IF(Team_Matches!$Q488="W",1,-1)),"")</f>
        <v/>
      </c>
      <c r="J39" s="93" t="str">
        <f>IF(Team_Matches!$Q488&lt;&gt;"",IF(Team_Matches!L488=Team_Matches!L490,"",IF(Team_Matches!L488&gt;Team_Matches!L490,MIN(Team_Matches!L488,Team_Matches!L490),-MIN(Team_Matches!L488,Team_Matches!L490))*IF(Team_Matches!$Q488="W",1,-1)),"")</f>
        <v/>
      </c>
    </row>
    <row r="40" spans="1:10">
      <c r="A40" s="68" t="e">
        <f ca="1">$B40&amp;";"&amp;VLOOKUP($B40,Players!$C$4:$G$132,5,FALSE)&amp;";"&amp;IF(ISERROR(VLOOKUP($B40,Players!$C$4:$G$132,2,FALSE)),0,VLOOKUP($B40,Players!$C$4:$G$132,2,FALSE))&amp;";"&amp;$C40&amp;";"&amp;VLOOKUP($C40,Players!$C$4:$G$132,5,FALSE)&amp;";"&amp;IF(ISERROR(VLOOKUP($C40,Players!$C$4:$G$132,2,FALSE)),0,VLOOKUP($C40,Players!$C$4:$G$132,2,FALSE))&amp;"|"</f>
        <v>#N/A</v>
      </c>
      <c r="B40" t="str">
        <f ca="1">IF(Team_Matches!$Q495="W",Team_Matches!$B495,IF(Team_Matches!$Q497="W",Team_Matches!$B497,""))</f>
        <v/>
      </c>
      <c r="C40" t="str">
        <f ca="1">IF(Team_Matches!$Q495="L",Team_Matches!$B495,IF(Team_Matches!$Q497="L",Team_Matches!$B497,""))</f>
        <v/>
      </c>
      <c r="D40" t="str">
        <f>CONCATENATE(Team_Matches!$B468," vs ",Team_Matches!$K468)</f>
        <v>G vs H</v>
      </c>
      <c r="E40" t="str">
        <f>Team_Matches!$A493</f>
        <v>4th Singles</v>
      </c>
      <c r="F40" s="93" t="str">
        <f ca="1">IF(Team_Matches!$Q495&lt;&gt;"",IF(Team_Matches!H495&gt;Team_Matches!H497,MIN(Team_Matches!H495,Team_Matches!H497),-MIN(Team_Matches!H495,Team_Matches!H497))*IF(Team_Matches!$Q495="W",1,-1),"")</f>
        <v/>
      </c>
      <c r="G40" s="93" t="str">
        <f ca="1">IF(Team_Matches!$Q495&lt;&gt;"",IF(Team_Matches!I495&gt;Team_Matches!I497,MIN(Team_Matches!I495,Team_Matches!I497),-MIN(Team_Matches!I495,Team_Matches!I497))*IF(Team_Matches!$Q495="W",1,-1),"")</f>
        <v/>
      </c>
      <c r="H40" s="93" t="str">
        <f ca="1">IF(Team_Matches!$Q495&lt;&gt;"",IF(Team_Matches!J495&gt;Team_Matches!J497,MIN(Team_Matches!J495,Team_Matches!J497),-MIN(Team_Matches!J495,Team_Matches!J497))*IF(Team_Matches!$Q495="W",1,-1),"")</f>
        <v/>
      </c>
      <c r="I40" s="93" t="str">
        <f ca="1">IF(Team_Matches!$Q495&lt;&gt;"",IF(Team_Matches!K495=Team_Matches!K497,"",IF(Team_Matches!K495&gt;Team_Matches!K497,MIN(Team_Matches!K495,Team_Matches!K497),-MIN(Team_Matches!K495,Team_Matches!K497))*IF(Team_Matches!$Q495="W",1,-1)),"")</f>
        <v/>
      </c>
      <c r="J40" s="93" t="str">
        <f ca="1">IF(Team_Matches!$Q495&lt;&gt;"",IF(Team_Matches!L495=Team_Matches!L497,"",IF(Team_Matches!L495&gt;Team_Matches!L497,MIN(Team_Matches!L495,Team_Matches!L497),-MIN(Team_Matches!L495,Team_Matches!L497))*IF(Team_Matches!$Q495="W",1,-1)),"")</f>
        <v/>
      </c>
    </row>
    <row r="41" spans="1:10">
      <c r="A41" s="68" t="e">
        <f>$B41&amp;";"&amp;VLOOKUP($B41,Players!$C$4:$G$132,5,FALSE)&amp;";"&amp;IF(ISERROR(VLOOKUP($B41,Players!$C$4:$G$132,2,FALSE)),0,VLOOKUP($B41,Players!$C$4:$G$132,2,FALSE))&amp;";"&amp;$C41&amp;";"&amp;VLOOKUP($C41,Players!$C$4:$G$132,5,FALSE)&amp;";"&amp;IF(ISERROR(VLOOKUP($C41,Players!$C$4:$G$132,2,FALSE)),0,VLOOKUP($C41,Players!$C$4:$G$132,2,FALSE))&amp;"|"</f>
        <v>#N/A</v>
      </c>
      <c r="B41" t="str">
        <f>IF(Team_Matches!$Q525="W",Team_Matches!$B525,IF(Team_Matches!$Q527="W",Team_Matches!$B527,""))</f>
        <v/>
      </c>
      <c r="C41" t="str">
        <f>IF(Team_Matches!$Q525="L",Team_Matches!$B525,IF(Team_Matches!$Q527="L",Team_Matches!$B527,""))</f>
        <v/>
      </c>
      <c r="D41" t="str">
        <f>CONCATENATE(Team_Matches!$B519," vs ",Team_Matches!$K519)</f>
        <v>E vs H</v>
      </c>
      <c r="E41" t="str">
        <f>Team_Matches!A523</f>
        <v>1st Singles</v>
      </c>
      <c r="F41" s="93" t="str">
        <f>IF(Team_Matches!$Q525&lt;&gt;"",IF(Team_Matches!H525&gt;Team_Matches!H527,MIN(Team_Matches!H525,Team_Matches!H527),-MIN(Team_Matches!H525,Team_Matches!H527))*IF(Team_Matches!$Q525="W",1,-1),"")</f>
        <v/>
      </c>
      <c r="G41" s="93" t="str">
        <f>IF(Team_Matches!$Q525&lt;&gt;"",IF(Team_Matches!I525&gt;Team_Matches!I527,MIN(Team_Matches!I525,Team_Matches!I527),-MIN(Team_Matches!I525,Team_Matches!I527))*IF(Team_Matches!$Q525="W",1,-1),"")</f>
        <v/>
      </c>
      <c r="H41" s="93" t="str">
        <f>IF(Team_Matches!$Q525&lt;&gt;"",IF(Team_Matches!J525&gt;Team_Matches!J527,MIN(Team_Matches!J525,Team_Matches!J527),-MIN(Team_Matches!J525,Team_Matches!J527))*IF(Team_Matches!$Q525="W",1,-1),"")</f>
        <v/>
      </c>
      <c r="I41" s="93" t="str">
        <f>IF(Team_Matches!$Q525&lt;&gt;"",IF(Team_Matches!K525=Team_Matches!K527,"",IF(Team_Matches!K525&gt;Team_Matches!K527,MIN(Team_Matches!K525,Team_Matches!K527),-MIN(Team_Matches!K525,Team_Matches!K527))*IF(Team_Matches!$Q525="W",1,-1)),"")</f>
        <v/>
      </c>
      <c r="J41" s="93" t="str">
        <f>IF(Team_Matches!$Q525&lt;&gt;"",IF(Team_Matches!L525=Team_Matches!L527,"",IF(Team_Matches!L525&gt;Team_Matches!L527,MIN(Team_Matches!L525,Team_Matches!L527),-MIN(Team_Matches!L525,Team_Matches!L527))*IF(Team_Matches!$Q525="W",1,-1)),"")</f>
        <v/>
      </c>
    </row>
    <row r="42" spans="1:10">
      <c r="A42" s="68" t="e">
        <f>$B42&amp;";"&amp;VLOOKUP($B42,Players!$C$4:$G$132,5,FALSE)&amp;";"&amp;IF(ISERROR(VLOOKUP($B42,Players!$C$4:$G$132,2,FALSE)),0,VLOOKUP($B42,Players!$C$4:$G$132,2,FALSE))&amp;";"&amp;$C42&amp;";"&amp;VLOOKUP($C42,Players!$C$4:$G$132,5,FALSE)&amp;";"&amp;IF(ISERROR(VLOOKUP($C42,Players!$C$4:$G$132,2,FALSE)),0,VLOOKUP($C42,Players!$C$4:$G$132,2,FALSE))&amp;"|"</f>
        <v>#N/A</v>
      </c>
      <c r="B42" t="str">
        <f>IF(Team_Matches!$Q532="W",Team_Matches!$B532,IF(Team_Matches!$Q534="W",Team_Matches!$B534,""))</f>
        <v/>
      </c>
      <c r="C42" t="str">
        <f>IF(Team_Matches!$Q532="L",Team_Matches!$B532,IF(Team_Matches!$Q534="L",Team_Matches!$B534,""))</f>
        <v/>
      </c>
      <c r="D42" t="str">
        <f>CONCATENATE(Team_Matches!$B519," vs ",Team_Matches!$K519)</f>
        <v>E vs H</v>
      </c>
      <c r="E42" t="str">
        <f>Team_Matches!$A530</f>
        <v>2nd Singles</v>
      </c>
      <c r="F42" s="93" t="str">
        <f>IF(Team_Matches!$Q532&lt;&gt;"",IF(Team_Matches!H532&gt;Team_Matches!H534,MIN(Team_Matches!H532,Team_Matches!H534),-MIN(Team_Matches!H532,Team_Matches!H534))*IF(Team_Matches!$Q532="W",1,-1),"")</f>
        <v/>
      </c>
      <c r="G42" s="93" t="str">
        <f>IF(Team_Matches!$Q532&lt;&gt;"",IF(Team_Matches!I532&gt;Team_Matches!I534,MIN(Team_Matches!I532,Team_Matches!I534),-MIN(Team_Matches!I532,Team_Matches!I534))*IF(Team_Matches!$Q532="W",1,-1),"")</f>
        <v/>
      </c>
      <c r="H42" s="93" t="str">
        <f>IF(Team_Matches!$Q532&lt;&gt;"",IF(Team_Matches!J532&gt;Team_Matches!J534,MIN(Team_Matches!J532,Team_Matches!J534),-MIN(Team_Matches!J532,Team_Matches!J534))*IF(Team_Matches!$Q532="W",1,-1),"")</f>
        <v/>
      </c>
      <c r="I42" s="93" t="str">
        <f>IF(Team_Matches!$Q532&lt;&gt;"",IF(Team_Matches!K532=Team_Matches!K534,"",IF(Team_Matches!K532&gt;Team_Matches!K534,MIN(Team_Matches!K532,Team_Matches!K534),-MIN(Team_Matches!K532,Team_Matches!K534))*IF(Team_Matches!$Q532="W",1,-1)),"")</f>
        <v/>
      </c>
      <c r="J42" s="93" t="str">
        <f>IF(Team_Matches!$Q532&lt;&gt;"",IF(Team_Matches!L532=Team_Matches!L534,"",IF(Team_Matches!L532&gt;Team_Matches!L534,MIN(Team_Matches!L532,Team_Matches!L534),-MIN(Team_Matches!L532,Team_Matches!L534))*IF(Team_Matches!$Q532="W",1,-1)),"")</f>
        <v/>
      </c>
    </row>
    <row r="43" spans="1:10">
      <c r="A43" s="68" t="e">
        <f>$B43&amp;";"&amp;VLOOKUP($B43,Players!$C$4:$G$132,5,FALSE)&amp;";"&amp;IF(ISERROR(VLOOKUP($B43,Players!$C$4:$G$132,2,FALSE)),0,VLOOKUP($B43,Players!$C$4:$G$132,2,FALSE))&amp;";"&amp;$C43&amp;";"&amp;VLOOKUP($C43,Players!$C$4:$G$132,5,FALSE)&amp;";"&amp;IF(ISERROR(VLOOKUP($C43,Players!$C$4:$G$132,2,FALSE)),0,VLOOKUP($C43,Players!$C$4:$G$132,2,FALSE))&amp;"|"</f>
        <v>#N/A</v>
      </c>
      <c r="B43" t="str">
        <f>IF(Team_Matches!$Q539="W",Team_Matches!$B539,IF(Team_Matches!$Q541="W",Team_Matches!$B541,""))</f>
        <v/>
      </c>
      <c r="C43" t="str">
        <f>IF(Team_Matches!$Q539="L",Team_Matches!$B539,IF(Team_Matches!$Q541="L",Team_Matches!$B541,""))</f>
        <v/>
      </c>
      <c r="D43" t="str">
        <f>CONCATENATE(Team_Matches!$B519," vs ",Team_Matches!$K519)</f>
        <v>E vs H</v>
      </c>
      <c r="E43" t="str">
        <f>Team_Matches!$A537</f>
        <v>3rd Singles</v>
      </c>
      <c r="F43" s="93" t="str">
        <f>IF(Team_Matches!$Q539&lt;&gt;"",IF(Team_Matches!H539&gt;Team_Matches!H541,MIN(Team_Matches!H539,Team_Matches!H541),-MIN(Team_Matches!H539,Team_Matches!H541))*IF(Team_Matches!$Q539="W",1,-1),"")</f>
        <v/>
      </c>
      <c r="G43" s="93" t="str">
        <f>IF(Team_Matches!$Q539&lt;&gt;"",IF(Team_Matches!I539&gt;Team_Matches!I541,MIN(Team_Matches!I539,Team_Matches!I541),-MIN(Team_Matches!I539,Team_Matches!I541))*IF(Team_Matches!$Q539="W",1,-1),"")</f>
        <v/>
      </c>
      <c r="H43" s="93" t="str">
        <f>IF(Team_Matches!$Q539&lt;&gt;"",IF(Team_Matches!J539&gt;Team_Matches!J541,MIN(Team_Matches!J539,Team_Matches!J541),-MIN(Team_Matches!J539,Team_Matches!J541))*IF(Team_Matches!$Q539="W",1,-1),"")</f>
        <v/>
      </c>
      <c r="I43" s="93" t="str">
        <f>IF(Team_Matches!$Q539&lt;&gt;"",IF(Team_Matches!K539=Team_Matches!K541,"",IF(Team_Matches!K539&gt;Team_Matches!K541,MIN(Team_Matches!K539,Team_Matches!K541),-MIN(Team_Matches!K539,Team_Matches!K541))*IF(Team_Matches!$Q539="W",1,-1)),"")</f>
        <v/>
      </c>
      <c r="J43" s="93" t="str">
        <f>IF(Team_Matches!$Q539&lt;&gt;"",IF(Team_Matches!L539=Team_Matches!L541,"",IF(Team_Matches!L539&gt;Team_Matches!L541,MIN(Team_Matches!L539,Team_Matches!L541),-MIN(Team_Matches!L539,Team_Matches!L541))*IF(Team_Matches!$Q539="W",1,-1)),"")</f>
        <v/>
      </c>
    </row>
    <row r="44" spans="1:10">
      <c r="A44" s="68" t="e">
        <f ca="1">$B44&amp;";"&amp;VLOOKUP($B44,Players!$C$4:$G$132,5,FALSE)&amp;";"&amp;IF(ISERROR(VLOOKUP($B44,Players!$C$4:$G$132,2,FALSE)),0,VLOOKUP($B44,Players!$C$4:$G$132,2,FALSE))&amp;";"&amp;$C44&amp;";"&amp;VLOOKUP($C44,Players!$C$4:$G$132,5,FALSE)&amp;";"&amp;IF(ISERROR(VLOOKUP($C44,Players!$C$4:$G$132,2,FALSE)),0,VLOOKUP($C44,Players!$C$4:$G$132,2,FALSE))&amp;"|"</f>
        <v>#N/A</v>
      </c>
      <c r="B44" t="str">
        <f ca="1">IF(Team_Matches!$Q546="W",Team_Matches!$B546,IF(Team_Matches!$Q548="W",Team_Matches!$B548,""))</f>
        <v/>
      </c>
      <c r="C44" t="str">
        <f ca="1">IF(Team_Matches!$Q546="L",Team_Matches!$B546,IF(Team_Matches!$Q548="L",Team_Matches!$B548,""))</f>
        <v/>
      </c>
      <c r="D44" t="str">
        <f>CONCATENATE(Team_Matches!$B519," vs ",Team_Matches!$K519)</f>
        <v>E vs H</v>
      </c>
      <c r="E44" t="str">
        <f>Team_Matches!$A544</f>
        <v>4th Singles</v>
      </c>
      <c r="F44" s="93" t="str">
        <f ca="1">IF(Team_Matches!$Q546&lt;&gt;"",IF(Team_Matches!H546&gt;Team_Matches!H548,MIN(Team_Matches!H546,Team_Matches!H548),-MIN(Team_Matches!H546,Team_Matches!H548))*IF(Team_Matches!$Q546="W",1,-1),"")</f>
        <v/>
      </c>
      <c r="G44" s="93" t="str">
        <f ca="1">IF(Team_Matches!$Q546&lt;&gt;"",IF(Team_Matches!I546&gt;Team_Matches!I548,MIN(Team_Matches!I546,Team_Matches!I548),-MIN(Team_Matches!I546,Team_Matches!I548))*IF(Team_Matches!$Q546="W",1,-1),"")</f>
        <v/>
      </c>
      <c r="H44" s="93" t="str">
        <f ca="1">IF(Team_Matches!$Q546&lt;&gt;"",IF(Team_Matches!J546&gt;Team_Matches!J548,MIN(Team_Matches!J546,Team_Matches!J548),-MIN(Team_Matches!J546,Team_Matches!J548))*IF(Team_Matches!$Q546="W",1,-1),"")</f>
        <v/>
      </c>
      <c r="I44" s="93" t="str">
        <f ca="1">IF(Team_Matches!$Q546&lt;&gt;"",IF(Team_Matches!K546=Team_Matches!K548,"",IF(Team_Matches!K546&gt;Team_Matches!K548,MIN(Team_Matches!K546,Team_Matches!K548),-MIN(Team_Matches!K546,Team_Matches!K548))*IF(Team_Matches!$Q546="W",1,-1)),"")</f>
        <v/>
      </c>
      <c r="J44" s="93" t="str">
        <f ca="1">IF(Team_Matches!$Q546&lt;&gt;"",IF(Team_Matches!L546=Team_Matches!L548,"",IF(Team_Matches!L546&gt;Team_Matches!L548,MIN(Team_Matches!L546,Team_Matches!L548),-MIN(Team_Matches!L546,Team_Matches!L548))*IF(Team_Matches!$Q546="W",1,-1)),"")</f>
        <v/>
      </c>
    </row>
    <row r="45" spans="1:10">
      <c r="A45" s="68" t="e">
        <f>$B45&amp;";"&amp;VLOOKUP($B45,Players!$C$4:$G$132,5,FALSE)&amp;";"&amp;IF(ISERROR(VLOOKUP($B45,Players!$C$4:$G$132,2,FALSE)),0,VLOOKUP($B45,Players!$C$4:$G$132,2,FALSE))&amp;";"&amp;$C45&amp;";"&amp;VLOOKUP($C45,Players!$C$4:$G$132,5,FALSE)&amp;";"&amp;IF(ISERROR(VLOOKUP($C45,Players!$C$4:$G$132,2,FALSE)),0,VLOOKUP($C45,Players!$C$4:$G$132,2,FALSE))&amp;"|"</f>
        <v>#N/A</v>
      </c>
      <c r="B45" t="str">
        <f>IF(Team_Matches!$Q576="W",Team_Matches!$B576,IF(Team_Matches!$Q578="W",Team_Matches!$B578,""))</f>
        <v/>
      </c>
      <c r="C45" t="str">
        <f>IF(Team_Matches!$Q576="L",Team_Matches!$B576,IF(Team_Matches!$Q578="L",Team_Matches!$B578,""))</f>
        <v/>
      </c>
      <c r="D45" t="str">
        <f>CONCATENATE(Team_Matches!$B570," vs ",Team_Matches!$K570)</f>
        <v>F vs G</v>
      </c>
      <c r="E45" t="str">
        <f>Team_Matches!A574</f>
        <v>1st Singles</v>
      </c>
      <c r="F45" s="93" t="str">
        <f>IF(Team_Matches!$Q576&lt;&gt;"",IF(Team_Matches!H576&gt;Team_Matches!H578,MIN(Team_Matches!H576,Team_Matches!H578),-MIN(Team_Matches!H576,Team_Matches!H578))*IF(Team_Matches!$Q576="W",1,-1),"")</f>
        <v/>
      </c>
      <c r="G45" s="93" t="str">
        <f>IF(Team_Matches!$Q576&lt;&gt;"",IF(Team_Matches!I576&gt;Team_Matches!I578,MIN(Team_Matches!I576,Team_Matches!I578),-MIN(Team_Matches!I576,Team_Matches!I578))*IF(Team_Matches!$Q576="W",1,-1),"")</f>
        <v/>
      </c>
      <c r="H45" s="93" t="str">
        <f>IF(Team_Matches!$Q576&lt;&gt;"",IF(Team_Matches!J576&gt;Team_Matches!J578,MIN(Team_Matches!J576,Team_Matches!J578),-MIN(Team_Matches!J576,Team_Matches!J578))*IF(Team_Matches!$Q576="W",1,-1),"")</f>
        <v/>
      </c>
      <c r="I45" s="93" t="str">
        <f>IF(Team_Matches!$Q576&lt;&gt;"",IF(Team_Matches!K576=Team_Matches!K578,"",IF(Team_Matches!K576&gt;Team_Matches!K578,MIN(Team_Matches!K576,Team_Matches!K578),-MIN(Team_Matches!K576,Team_Matches!K578))*IF(Team_Matches!$Q576="W",1,-1)),"")</f>
        <v/>
      </c>
      <c r="J45" s="93" t="str">
        <f>IF(Team_Matches!$Q576&lt;&gt;"",IF(Team_Matches!L576=Team_Matches!L578,"",IF(Team_Matches!L576&gt;Team_Matches!L578,MIN(Team_Matches!L576,Team_Matches!L578),-MIN(Team_Matches!L576,Team_Matches!L578))*IF(Team_Matches!$Q576="W",1,-1)),"")</f>
        <v/>
      </c>
    </row>
    <row r="46" spans="1:10">
      <c r="A46" s="68" t="e">
        <f>$B46&amp;";"&amp;VLOOKUP($B46,Players!$C$4:$G$132,5,FALSE)&amp;";"&amp;IF(ISERROR(VLOOKUP($B46,Players!$C$4:$G$132,2,FALSE)),0,VLOOKUP($B46,Players!$C$4:$G$132,2,FALSE))&amp;";"&amp;$C46&amp;";"&amp;VLOOKUP($C46,Players!$C$4:$G$132,5,FALSE)&amp;";"&amp;IF(ISERROR(VLOOKUP($C46,Players!$C$4:$G$132,2,FALSE)),0,VLOOKUP($C46,Players!$C$4:$G$132,2,FALSE))&amp;"|"</f>
        <v>#N/A</v>
      </c>
      <c r="B46" t="str">
        <f>IF(Team_Matches!$Q583="W",Team_Matches!$B583,IF(Team_Matches!$Q585="W",Team_Matches!$B585,""))</f>
        <v/>
      </c>
      <c r="C46" t="str">
        <f>IF(Team_Matches!$Q583="L",Team_Matches!$B583,IF(Team_Matches!$Q585="L",Team_Matches!$B585,""))</f>
        <v/>
      </c>
      <c r="D46" t="str">
        <f>CONCATENATE(Team_Matches!$B570," vs ",Team_Matches!$K570)</f>
        <v>F vs G</v>
      </c>
      <c r="E46" t="str">
        <f>Team_Matches!$A581</f>
        <v>2nd Singles</v>
      </c>
      <c r="F46" s="93" t="str">
        <f>IF(Team_Matches!$Q583&lt;&gt;"",IF(Team_Matches!H583&gt;Team_Matches!H585,MIN(Team_Matches!H583,Team_Matches!H585),-MIN(Team_Matches!H583,Team_Matches!H585))*IF(Team_Matches!$Q583="W",1,-1),"")</f>
        <v/>
      </c>
      <c r="G46" s="93" t="str">
        <f>IF(Team_Matches!$Q583&lt;&gt;"",IF(Team_Matches!I583&gt;Team_Matches!I585,MIN(Team_Matches!I583,Team_Matches!I585),-MIN(Team_Matches!I583,Team_Matches!I585))*IF(Team_Matches!$Q583="W",1,-1),"")</f>
        <v/>
      </c>
      <c r="H46" s="93" t="str">
        <f>IF(Team_Matches!$Q583&lt;&gt;"",IF(Team_Matches!J583&gt;Team_Matches!J585,MIN(Team_Matches!J583,Team_Matches!J585),-MIN(Team_Matches!J583,Team_Matches!J585))*IF(Team_Matches!$Q583="W",1,-1),"")</f>
        <v/>
      </c>
      <c r="I46" s="93" t="str">
        <f>IF(Team_Matches!$Q583&lt;&gt;"",IF(Team_Matches!K583=Team_Matches!K585,"",IF(Team_Matches!K583&gt;Team_Matches!K585,MIN(Team_Matches!K583,Team_Matches!K585),-MIN(Team_Matches!K583,Team_Matches!K585))*IF(Team_Matches!$Q583="W",1,-1)),"")</f>
        <v/>
      </c>
      <c r="J46" s="93" t="str">
        <f>IF(Team_Matches!$Q583&lt;&gt;"",IF(Team_Matches!L583=Team_Matches!L585,"",IF(Team_Matches!L583&gt;Team_Matches!L585,MIN(Team_Matches!L583,Team_Matches!L585),-MIN(Team_Matches!L583,Team_Matches!L585))*IF(Team_Matches!$Q583="W",1,-1)),"")</f>
        <v/>
      </c>
    </row>
    <row r="47" spans="1:10">
      <c r="A47" s="68" t="e">
        <f>$B47&amp;";"&amp;VLOOKUP($B47,Players!$C$4:$G$132,5,FALSE)&amp;";"&amp;IF(ISERROR(VLOOKUP($B47,Players!$C$4:$G$132,2,FALSE)),0,VLOOKUP($B47,Players!$C$4:$G$132,2,FALSE))&amp;";"&amp;$C47&amp;";"&amp;VLOOKUP($C47,Players!$C$4:$G$132,5,FALSE)&amp;";"&amp;IF(ISERROR(VLOOKUP($C47,Players!$C$4:$G$132,2,FALSE)),0,VLOOKUP($C47,Players!$C$4:$G$132,2,FALSE))&amp;"|"</f>
        <v>#N/A</v>
      </c>
      <c r="B47" t="str">
        <f>IF(Team_Matches!$Q590="W",Team_Matches!$B590,IF(Team_Matches!$Q592="W",Team_Matches!$B592,""))</f>
        <v/>
      </c>
      <c r="C47" t="str">
        <f>IF(Team_Matches!$Q590="L",Team_Matches!$B590,IF(Team_Matches!$Q592="L",Team_Matches!$B592,""))</f>
        <v/>
      </c>
      <c r="D47" t="str">
        <f>CONCATENATE(Team_Matches!$B570," vs ",Team_Matches!$K570)</f>
        <v>F vs G</v>
      </c>
      <c r="E47" t="str">
        <f>Team_Matches!$A588</f>
        <v>3rd Singles</v>
      </c>
      <c r="F47" s="93" t="str">
        <f>IF(Team_Matches!$Q590&lt;&gt;"",IF(Team_Matches!H590&gt;Team_Matches!H592,MIN(Team_Matches!H590,Team_Matches!H592),-MIN(Team_Matches!H590,Team_Matches!H592))*IF(Team_Matches!$Q590="W",1,-1),"")</f>
        <v/>
      </c>
      <c r="G47" s="93" t="str">
        <f>IF(Team_Matches!$Q590&lt;&gt;"",IF(Team_Matches!I590&gt;Team_Matches!I592,MIN(Team_Matches!I590,Team_Matches!I592),-MIN(Team_Matches!I590,Team_Matches!I592))*IF(Team_Matches!$Q590="W",1,-1),"")</f>
        <v/>
      </c>
      <c r="H47" s="93" t="str">
        <f>IF(Team_Matches!$Q590&lt;&gt;"",IF(Team_Matches!J590&gt;Team_Matches!J592,MIN(Team_Matches!J590,Team_Matches!J592),-MIN(Team_Matches!J590,Team_Matches!J592))*IF(Team_Matches!$Q590="W",1,-1),"")</f>
        <v/>
      </c>
      <c r="I47" s="93" t="str">
        <f>IF(Team_Matches!$Q590&lt;&gt;"",IF(Team_Matches!K590=Team_Matches!K592,"",IF(Team_Matches!K590&gt;Team_Matches!K592,MIN(Team_Matches!K590,Team_Matches!K592),-MIN(Team_Matches!K590,Team_Matches!K592))*IF(Team_Matches!$Q590="W",1,-1)),"")</f>
        <v/>
      </c>
      <c r="J47" s="93" t="str">
        <f>IF(Team_Matches!$Q590&lt;&gt;"",IF(Team_Matches!L590=Team_Matches!L592,"",IF(Team_Matches!L590&gt;Team_Matches!L592,MIN(Team_Matches!L590,Team_Matches!L592),-MIN(Team_Matches!L590,Team_Matches!L592))*IF(Team_Matches!$Q590="W",1,-1)),"")</f>
        <v/>
      </c>
    </row>
    <row r="48" spans="1:10">
      <c r="A48" s="68" t="e">
        <f ca="1">$B48&amp;";"&amp;VLOOKUP($B48,Players!$C$4:$G$132,5,FALSE)&amp;";"&amp;IF(ISERROR(VLOOKUP($B48,Players!$C$4:$G$132,2,FALSE)),0,VLOOKUP($B48,Players!$C$4:$G$132,2,FALSE))&amp;";"&amp;$C48&amp;";"&amp;VLOOKUP($C48,Players!$C$4:$G$132,5,FALSE)&amp;";"&amp;IF(ISERROR(VLOOKUP($C48,Players!$C$4:$G$132,2,FALSE)),0,VLOOKUP($C48,Players!$C$4:$G$132,2,FALSE))&amp;"|"</f>
        <v>#N/A</v>
      </c>
      <c r="B48" t="str">
        <f ca="1">IF(Team_Matches!$Q597="W",Team_Matches!$B597,IF(Team_Matches!$Q599="W",Team_Matches!$B599,""))</f>
        <v/>
      </c>
      <c r="C48" t="str">
        <f ca="1">IF(Team_Matches!$Q597="L",Team_Matches!$B597,IF(Team_Matches!$Q599="L",Team_Matches!$B599,""))</f>
        <v/>
      </c>
      <c r="D48" t="str">
        <f>CONCATENATE(Team_Matches!$B570," vs ",Team_Matches!$K570)</f>
        <v>F vs G</v>
      </c>
      <c r="E48" t="str">
        <f>Team_Matches!$A595</f>
        <v>4th Singles</v>
      </c>
      <c r="F48" s="93" t="str">
        <f ca="1">IF(Team_Matches!$Q597&lt;&gt;"",IF(Team_Matches!H597&gt;Team_Matches!H599,MIN(Team_Matches!H597,Team_Matches!H599),-MIN(Team_Matches!H597,Team_Matches!H599))*IF(Team_Matches!$Q597="W",1,-1),"")</f>
        <v/>
      </c>
      <c r="G48" s="93" t="str">
        <f ca="1">IF(Team_Matches!$Q597&lt;&gt;"",IF(Team_Matches!I597&gt;Team_Matches!I599,MIN(Team_Matches!I597,Team_Matches!I599),-MIN(Team_Matches!I597,Team_Matches!I599))*IF(Team_Matches!$Q597="W",1,-1),"")</f>
        <v/>
      </c>
      <c r="H48" s="93" t="str">
        <f ca="1">IF(Team_Matches!$Q597&lt;&gt;"",IF(Team_Matches!J597&gt;Team_Matches!J599,MIN(Team_Matches!J597,Team_Matches!J599),-MIN(Team_Matches!J597,Team_Matches!J599))*IF(Team_Matches!$Q597="W",1,-1),"")</f>
        <v/>
      </c>
      <c r="I48" s="93" t="str">
        <f ca="1">IF(Team_Matches!$Q597&lt;&gt;"",IF(Team_Matches!K597=Team_Matches!K599,"",IF(Team_Matches!K597&gt;Team_Matches!K599,MIN(Team_Matches!K597,Team_Matches!K599),-MIN(Team_Matches!K597,Team_Matches!K599))*IF(Team_Matches!$Q597="W",1,-1)),"")</f>
        <v/>
      </c>
      <c r="J48" s="93" t="str">
        <f ca="1">IF(Team_Matches!$Q597&lt;&gt;"",IF(Team_Matches!L597=Team_Matches!L599,"",IF(Team_Matches!L597&gt;Team_Matches!L599,MIN(Team_Matches!L597,Team_Matches!L599),-MIN(Team_Matches!L597,Team_Matches!L599))*IF(Team_Matches!$Q597="W",1,-1)),"")</f>
        <v/>
      </c>
    </row>
    <row r="49" spans="1:10">
      <c r="A49" s="68" t="e">
        <f>$B49&amp;";"&amp;VLOOKUP($B49,Players!$C$4:$G$132,5,FALSE)&amp;";"&amp;IF(ISERROR(VLOOKUP($B49,Players!$C$4:$G$132,2,FALSE)),0,VLOOKUP($B49,Players!$C$4:$G$132,2,FALSE))&amp;";"&amp;$C49&amp;";"&amp;VLOOKUP($C49,Players!$C$4:$G$132,5,FALSE)&amp;";"&amp;IF(ISERROR(VLOOKUP($C49,Players!$C$4:$G$132,2,FALSE)),0,VLOOKUP($C49,Players!$C$4:$G$132,2,FALSE))&amp;"|"</f>
        <v>#N/A</v>
      </c>
      <c r="B49" t="str">
        <f>IF(Team_Matches!$Q627="W",Team_Matches!$B627,IF(Team_Matches!$Q629="W",Team_Matches!$B629,""))</f>
        <v/>
      </c>
      <c r="C49" t="str">
        <f>IF(Team_Matches!$Q627="L",Team_Matches!$B627,IF(Team_Matches!$Q629="L",Team_Matches!$B629,""))</f>
        <v/>
      </c>
      <c r="D49" t="str">
        <f>CONCATENATE(Team_Matches!$B621," vs ",Team_Matches!$K621)</f>
        <v>I vs K</v>
      </c>
      <c r="E49" t="str">
        <f>Team_Matches!A625</f>
        <v>1st Singles</v>
      </c>
      <c r="F49" s="93" t="str">
        <f>IF(Team_Matches!$Q627&lt;&gt;"",IF(Team_Matches!H627&gt;Team_Matches!H629,MIN(Team_Matches!H627,Team_Matches!H629),-MIN(Team_Matches!H627,Team_Matches!H629))*IF(Team_Matches!$Q627="W",1,-1),"")</f>
        <v/>
      </c>
      <c r="G49" s="93" t="str">
        <f>IF(Team_Matches!$Q627&lt;&gt;"",IF(Team_Matches!I627&gt;Team_Matches!I629,MIN(Team_Matches!I627,Team_Matches!I629),-MIN(Team_Matches!I627,Team_Matches!I629))*IF(Team_Matches!$Q627="W",1,-1),"")</f>
        <v/>
      </c>
      <c r="H49" s="93" t="str">
        <f>IF(Team_Matches!$Q627&lt;&gt;"",IF(Team_Matches!J627&gt;Team_Matches!J629,MIN(Team_Matches!J627,Team_Matches!J629),-MIN(Team_Matches!J627,Team_Matches!J629))*IF(Team_Matches!$Q627="W",1,-1),"")</f>
        <v/>
      </c>
      <c r="I49" s="93" t="str">
        <f>IF(Team_Matches!$Q627&lt;&gt;"",IF(Team_Matches!K627=Team_Matches!K629,"",IF(Team_Matches!K627&gt;Team_Matches!K629,MIN(Team_Matches!K627,Team_Matches!K629),-MIN(Team_Matches!K627,Team_Matches!K629))*IF(Team_Matches!$Q627="W",1,-1)),"")</f>
        <v/>
      </c>
      <c r="J49" s="93" t="str">
        <f>IF(Team_Matches!$Q627&lt;&gt;"",IF(Team_Matches!L627=Team_Matches!L629,"",IF(Team_Matches!L627&gt;Team_Matches!L629,MIN(Team_Matches!L627,Team_Matches!L629),-MIN(Team_Matches!L627,Team_Matches!L629))*IF(Team_Matches!$Q627="W",1,-1)),"")</f>
        <v/>
      </c>
    </row>
    <row r="50" spans="1:10">
      <c r="A50" s="68" t="e">
        <f>$B50&amp;";"&amp;VLOOKUP($B50,Players!$C$4:$G$132,5,FALSE)&amp;";"&amp;IF(ISERROR(VLOOKUP($B50,Players!$C$4:$G$132,2,FALSE)),0,VLOOKUP($B50,Players!$C$4:$G$132,2,FALSE))&amp;";"&amp;$C50&amp;";"&amp;VLOOKUP($C50,Players!$C$4:$G$132,5,FALSE)&amp;";"&amp;IF(ISERROR(VLOOKUP($C50,Players!$C$4:$G$132,2,FALSE)),0,VLOOKUP($C50,Players!$C$4:$G$132,2,FALSE))&amp;"|"</f>
        <v>#N/A</v>
      </c>
      <c r="B50" t="str">
        <f>IF(Team_Matches!$Q634="W",Team_Matches!$B634,IF(Team_Matches!$Q636="W",Team_Matches!$B636,""))</f>
        <v/>
      </c>
      <c r="C50" t="str">
        <f>IF(Team_Matches!$Q634="L",Team_Matches!$B634,IF(Team_Matches!$Q636="L",Team_Matches!$B636,""))</f>
        <v/>
      </c>
      <c r="D50" t="str">
        <f>CONCATENATE(Team_Matches!$B621," vs ",Team_Matches!$K621)</f>
        <v>I vs K</v>
      </c>
      <c r="E50" t="str">
        <f>Team_Matches!$A632</f>
        <v>2nd Singles</v>
      </c>
      <c r="F50" s="93" t="str">
        <f>IF(Team_Matches!$Q634&lt;&gt;"",IF(Team_Matches!H634&gt;Team_Matches!H636,MIN(Team_Matches!H634,Team_Matches!H636),-MIN(Team_Matches!H634,Team_Matches!H636))*IF(Team_Matches!$Q634="W",1,-1),"")</f>
        <v/>
      </c>
      <c r="G50" s="93" t="str">
        <f>IF(Team_Matches!$Q634&lt;&gt;"",IF(Team_Matches!I634&gt;Team_Matches!I636,MIN(Team_Matches!I634,Team_Matches!I636),-MIN(Team_Matches!I634,Team_Matches!I636))*IF(Team_Matches!$Q634="W",1,-1),"")</f>
        <v/>
      </c>
      <c r="H50" s="93" t="str">
        <f>IF(Team_Matches!$Q634&lt;&gt;"",IF(Team_Matches!J634&gt;Team_Matches!J636,MIN(Team_Matches!J634,Team_Matches!J636),-MIN(Team_Matches!J634,Team_Matches!J636))*IF(Team_Matches!$Q634="W",1,-1),"")</f>
        <v/>
      </c>
      <c r="I50" s="93" t="str">
        <f>IF(Team_Matches!$Q634&lt;&gt;"",IF(Team_Matches!K634=Team_Matches!K636,"",IF(Team_Matches!K634&gt;Team_Matches!K636,MIN(Team_Matches!K634,Team_Matches!K636),-MIN(Team_Matches!K634,Team_Matches!K636))*IF(Team_Matches!$Q634="W",1,-1)),"")</f>
        <v/>
      </c>
      <c r="J50" s="93" t="str">
        <f>IF(Team_Matches!$Q634&lt;&gt;"",IF(Team_Matches!L634=Team_Matches!L636,"",IF(Team_Matches!L634&gt;Team_Matches!L636,MIN(Team_Matches!L634,Team_Matches!L636),-MIN(Team_Matches!L634,Team_Matches!L636))*IF(Team_Matches!$Q634="W",1,-1)),"")</f>
        <v/>
      </c>
    </row>
    <row r="51" spans="1:10">
      <c r="A51" s="68" t="e">
        <f>$B51&amp;";"&amp;VLOOKUP($B51,Players!$C$4:$G$132,5,FALSE)&amp;";"&amp;IF(ISERROR(VLOOKUP($B51,Players!$C$4:$G$132,2,FALSE)),0,VLOOKUP($B51,Players!$C$4:$G$132,2,FALSE))&amp;";"&amp;$C51&amp;";"&amp;VLOOKUP($C51,Players!$C$4:$G$132,5,FALSE)&amp;";"&amp;IF(ISERROR(VLOOKUP($C51,Players!$C$4:$G$132,2,FALSE)),0,VLOOKUP($C51,Players!$C$4:$G$132,2,FALSE))&amp;"|"</f>
        <v>#N/A</v>
      </c>
      <c r="B51" t="str">
        <f>IF(Team_Matches!$Q641="W",Team_Matches!$B641,IF(Team_Matches!$Q643="W",Team_Matches!$B643,""))</f>
        <v/>
      </c>
      <c r="C51" t="str">
        <f>IF(Team_Matches!$Q641="L",Team_Matches!$B641,IF(Team_Matches!$Q643="L",Team_Matches!$B643,""))</f>
        <v/>
      </c>
      <c r="D51" t="str">
        <f>CONCATENATE(Team_Matches!$B621," vs ",Team_Matches!$K621)</f>
        <v>I vs K</v>
      </c>
      <c r="E51" t="str">
        <f>Team_Matches!$A639</f>
        <v>3rd Singles</v>
      </c>
      <c r="F51" s="93" t="str">
        <f>IF(Team_Matches!$Q641&lt;&gt;"",IF(Team_Matches!H641&gt;Team_Matches!H643,MIN(Team_Matches!H641,Team_Matches!H643),-MIN(Team_Matches!H641,Team_Matches!H643))*IF(Team_Matches!$Q641="W",1,-1),"")</f>
        <v/>
      </c>
      <c r="G51" s="93" t="str">
        <f>IF(Team_Matches!$Q641&lt;&gt;"",IF(Team_Matches!I641&gt;Team_Matches!I643,MIN(Team_Matches!I641,Team_Matches!I643),-MIN(Team_Matches!I641,Team_Matches!I643))*IF(Team_Matches!$Q641="W",1,-1),"")</f>
        <v/>
      </c>
      <c r="H51" s="93" t="str">
        <f>IF(Team_Matches!$Q641&lt;&gt;"",IF(Team_Matches!J641&gt;Team_Matches!J643,MIN(Team_Matches!J641,Team_Matches!J643),-MIN(Team_Matches!J641,Team_Matches!J643))*IF(Team_Matches!$Q641="W",1,-1),"")</f>
        <v/>
      </c>
      <c r="I51" s="93" t="str">
        <f>IF(Team_Matches!$Q641&lt;&gt;"",IF(Team_Matches!K641=Team_Matches!K643,"",IF(Team_Matches!K641&gt;Team_Matches!K643,MIN(Team_Matches!K641,Team_Matches!K643),-MIN(Team_Matches!K641,Team_Matches!K643))*IF(Team_Matches!$Q641="W",1,-1)),"")</f>
        <v/>
      </c>
      <c r="J51" s="93" t="str">
        <f>IF(Team_Matches!$Q641&lt;&gt;"",IF(Team_Matches!L641=Team_Matches!L643,"",IF(Team_Matches!L641&gt;Team_Matches!L643,MIN(Team_Matches!L641,Team_Matches!L643),-MIN(Team_Matches!L641,Team_Matches!L643))*IF(Team_Matches!$Q641="W",1,-1)),"")</f>
        <v/>
      </c>
    </row>
    <row r="52" spans="1:10">
      <c r="A52" s="68" t="e">
        <f ca="1">$B52&amp;";"&amp;VLOOKUP($B52,Players!$C$4:$G$132,5,FALSE)&amp;";"&amp;IF(ISERROR(VLOOKUP($B52,Players!$C$4:$G$132,2,FALSE)),0,VLOOKUP($B52,Players!$C$4:$G$132,2,FALSE))&amp;";"&amp;$C52&amp;";"&amp;VLOOKUP($C52,Players!$C$4:$G$132,5,FALSE)&amp;";"&amp;IF(ISERROR(VLOOKUP($C52,Players!$C$4:$G$132,2,FALSE)),0,VLOOKUP($C52,Players!$C$4:$G$132,2,FALSE))&amp;"|"</f>
        <v>#N/A</v>
      </c>
      <c r="B52" t="str">
        <f ca="1">IF(Team_Matches!$Q648="W",Team_Matches!$B648,IF(Team_Matches!$Q650="W",Team_Matches!$B650,""))</f>
        <v/>
      </c>
      <c r="C52" t="str">
        <f ca="1">IF(Team_Matches!$Q648="L",Team_Matches!$B648,IF(Team_Matches!$Q650="L",Team_Matches!$B650,""))</f>
        <v/>
      </c>
      <c r="D52" t="str">
        <f>CONCATENATE(Team_Matches!$B621," vs ",Team_Matches!$K621)</f>
        <v>I vs K</v>
      </c>
      <c r="E52" t="str">
        <f>Team_Matches!$A646</f>
        <v>4th Singles</v>
      </c>
      <c r="F52" s="93" t="str">
        <f ca="1">IF(Team_Matches!$Q648&lt;&gt;"",IF(Team_Matches!H648&gt;Team_Matches!H650,MIN(Team_Matches!H648,Team_Matches!H650),-MIN(Team_Matches!H648,Team_Matches!H650))*IF(Team_Matches!$Q648="W",1,-1),"")</f>
        <v/>
      </c>
      <c r="G52" s="93" t="str">
        <f ca="1">IF(Team_Matches!$Q648&lt;&gt;"",IF(Team_Matches!I648&gt;Team_Matches!I650,MIN(Team_Matches!I648,Team_Matches!I650),-MIN(Team_Matches!I648,Team_Matches!I650))*IF(Team_Matches!$Q648="W",1,-1),"")</f>
        <v/>
      </c>
      <c r="H52" s="93" t="str">
        <f ca="1">IF(Team_Matches!$Q648&lt;&gt;"",IF(Team_Matches!J648&gt;Team_Matches!J650,MIN(Team_Matches!J648,Team_Matches!J650),-MIN(Team_Matches!J648,Team_Matches!J650))*IF(Team_Matches!$Q648="W",1,-1),"")</f>
        <v/>
      </c>
      <c r="I52" s="93" t="str">
        <f ca="1">IF(Team_Matches!$Q648&lt;&gt;"",IF(Team_Matches!K648=Team_Matches!K650,"",IF(Team_Matches!K648&gt;Team_Matches!K650,MIN(Team_Matches!K648,Team_Matches!K650),-MIN(Team_Matches!K648,Team_Matches!K650))*IF(Team_Matches!$Q648="W",1,-1)),"")</f>
        <v/>
      </c>
      <c r="J52" s="93" t="str">
        <f ca="1">IF(Team_Matches!$Q648&lt;&gt;"",IF(Team_Matches!L648=Team_Matches!L650,"",IF(Team_Matches!L648&gt;Team_Matches!L650,MIN(Team_Matches!L648,Team_Matches!L650),-MIN(Team_Matches!L648,Team_Matches!L650))*IF(Team_Matches!$Q648="W",1,-1)),"")</f>
        <v/>
      </c>
    </row>
    <row r="53" spans="1:10">
      <c r="A53" s="68" t="e">
        <f>$B53&amp;";"&amp;VLOOKUP($B53,Players!$C$4:$G$132,5,FALSE)&amp;";"&amp;IF(ISERROR(VLOOKUP($B53,Players!$C$4:$G$132,2,FALSE)),0,VLOOKUP($B53,Players!$C$4:$G$132,2,FALSE))&amp;";"&amp;$C53&amp;";"&amp;VLOOKUP($C53,Players!$C$4:$G$132,5,FALSE)&amp;";"&amp;IF(ISERROR(VLOOKUP($C53,Players!$C$4:$G$132,2,FALSE)),0,VLOOKUP($C53,Players!$C$4:$G$132,2,FALSE))&amp;"|"</f>
        <v>#N/A</v>
      </c>
      <c r="B53" t="str">
        <f>IF(Team_Matches!$Q678="W",Team_Matches!$B678,IF(Team_Matches!$Q680="W",Team_Matches!$B680,""))</f>
        <v/>
      </c>
      <c r="C53" t="str">
        <f>IF(Team_Matches!$Q678="L",Team_Matches!$B678,IF(Team_Matches!$Q680="L",Team_Matches!$B680,""))</f>
        <v/>
      </c>
      <c r="D53" t="str">
        <f>CONCATENATE(Team_Matches!$B672," vs ",Team_Matches!$K672)</f>
        <v>J vs L</v>
      </c>
      <c r="E53" t="str">
        <f>Team_Matches!A676</f>
        <v>1st Singles</v>
      </c>
      <c r="F53" s="93" t="str">
        <f>IF(Team_Matches!$Q678&lt;&gt;"",IF(Team_Matches!H678&gt;Team_Matches!H680,MIN(Team_Matches!H678,Team_Matches!H680),-MIN(Team_Matches!H678,Team_Matches!H680))*IF(Team_Matches!$Q678="W",1,-1),"")</f>
        <v/>
      </c>
      <c r="G53" s="93" t="str">
        <f>IF(Team_Matches!$Q678&lt;&gt;"",IF(Team_Matches!I678&gt;Team_Matches!I680,MIN(Team_Matches!I678,Team_Matches!I680),-MIN(Team_Matches!I678,Team_Matches!I680))*IF(Team_Matches!$Q678="W",1,-1),"")</f>
        <v/>
      </c>
      <c r="H53" s="93" t="str">
        <f>IF(Team_Matches!$Q678&lt;&gt;"",IF(Team_Matches!J678&gt;Team_Matches!J680,MIN(Team_Matches!J678,Team_Matches!J680),-MIN(Team_Matches!J678,Team_Matches!J680))*IF(Team_Matches!$Q678="W",1,-1),"")</f>
        <v/>
      </c>
      <c r="I53" s="93" t="str">
        <f>IF(Team_Matches!$Q678&lt;&gt;"",IF(Team_Matches!K678=Team_Matches!K680,"",IF(Team_Matches!K678&gt;Team_Matches!K680,MIN(Team_Matches!K678,Team_Matches!K680),-MIN(Team_Matches!K678,Team_Matches!K680))*IF(Team_Matches!$Q678="W",1,-1)),"")</f>
        <v/>
      </c>
      <c r="J53" s="93" t="str">
        <f>IF(Team_Matches!$Q678&lt;&gt;"",IF(Team_Matches!L678=Team_Matches!L680,"",IF(Team_Matches!L678&gt;Team_Matches!L680,MIN(Team_Matches!L678,Team_Matches!L680),-MIN(Team_Matches!L678,Team_Matches!L680))*IF(Team_Matches!$Q678="W",1,-1)),"")</f>
        <v/>
      </c>
    </row>
    <row r="54" spans="1:10">
      <c r="A54" s="68" t="e">
        <f>$B54&amp;";"&amp;VLOOKUP($B54,Players!$C$4:$G$132,5,FALSE)&amp;";"&amp;IF(ISERROR(VLOOKUP($B54,Players!$C$4:$G$132,2,FALSE)),0,VLOOKUP($B54,Players!$C$4:$G$132,2,FALSE))&amp;";"&amp;$C54&amp;";"&amp;VLOOKUP($C54,Players!$C$4:$G$132,5,FALSE)&amp;";"&amp;IF(ISERROR(VLOOKUP($C54,Players!$C$4:$G$132,2,FALSE)),0,VLOOKUP($C54,Players!$C$4:$G$132,2,FALSE))&amp;"|"</f>
        <v>#N/A</v>
      </c>
      <c r="B54" t="str">
        <f>IF(Team_Matches!$Q685="W",Team_Matches!$B685,IF(Team_Matches!$Q687="W",Team_Matches!$B687,""))</f>
        <v/>
      </c>
      <c r="C54" t="str">
        <f>IF(Team_Matches!$Q685="L",Team_Matches!$B685,IF(Team_Matches!$Q687="L",Team_Matches!$B687,""))</f>
        <v/>
      </c>
      <c r="D54" t="str">
        <f>CONCATENATE(Team_Matches!$B672," vs ",Team_Matches!$K672)</f>
        <v>J vs L</v>
      </c>
      <c r="E54" t="str">
        <f>Team_Matches!$A683</f>
        <v>2nd Singles</v>
      </c>
      <c r="F54" s="93" t="str">
        <f>IF(Team_Matches!$Q685&lt;&gt;"",IF(Team_Matches!H685&gt;Team_Matches!H687,MIN(Team_Matches!H685,Team_Matches!H687),-MIN(Team_Matches!H685,Team_Matches!H687))*IF(Team_Matches!$Q685="W",1,-1),"")</f>
        <v/>
      </c>
      <c r="G54" s="93" t="str">
        <f>IF(Team_Matches!$Q685&lt;&gt;"",IF(Team_Matches!I685&gt;Team_Matches!I687,MIN(Team_Matches!I685,Team_Matches!I687),-MIN(Team_Matches!I685,Team_Matches!I687))*IF(Team_Matches!$Q685="W",1,-1),"")</f>
        <v/>
      </c>
      <c r="H54" s="93" t="str">
        <f>IF(Team_Matches!$Q685&lt;&gt;"",IF(Team_Matches!J685&gt;Team_Matches!J687,MIN(Team_Matches!J685,Team_Matches!J687),-MIN(Team_Matches!J685,Team_Matches!J687))*IF(Team_Matches!$Q685="W",1,-1),"")</f>
        <v/>
      </c>
      <c r="I54" s="93" t="str">
        <f>IF(Team_Matches!$Q685&lt;&gt;"",IF(Team_Matches!K685=Team_Matches!K687,"",IF(Team_Matches!K685&gt;Team_Matches!K687,MIN(Team_Matches!K685,Team_Matches!K687),-MIN(Team_Matches!K685,Team_Matches!K687))*IF(Team_Matches!$Q685="W",1,-1)),"")</f>
        <v/>
      </c>
      <c r="J54" s="93" t="str">
        <f>IF(Team_Matches!$Q685&lt;&gt;"",IF(Team_Matches!L685=Team_Matches!L687,"",IF(Team_Matches!L685&gt;Team_Matches!L687,MIN(Team_Matches!L685,Team_Matches!L687),-MIN(Team_Matches!L685,Team_Matches!L687))*IF(Team_Matches!$Q685="W",1,-1)),"")</f>
        <v/>
      </c>
    </row>
    <row r="55" spans="1:10">
      <c r="A55" s="68" t="e">
        <f>$B55&amp;";"&amp;VLOOKUP($B55,Players!$C$4:$G$132,5,FALSE)&amp;";"&amp;IF(ISERROR(VLOOKUP($B55,Players!$C$4:$G$132,2,FALSE)),0,VLOOKUP($B55,Players!$C$4:$G$132,2,FALSE))&amp;";"&amp;$C55&amp;";"&amp;VLOOKUP($C55,Players!$C$4:$G$132,5,FALSE)&amp;";"&amp;IF(ISERROR(VLOOKUP($C55,Players!$C$4:$G$132,2,FALSE)),0,VLOOKUP($C55,Players!$C$4:$G$132,2,FALSE))&amp;"|"</f>
        <v>#N/A</v>
      </c>
      <c r="B55" t="str">
        <f>IF(Team_Matches!$Q692="W",Team_Matches!$B692,IF(Team_Matches!$Q694="W",Team_Matches!$B694,""))</f>
        <v/>
      </c>
      <c r="C55" t="str">
        <f>IF(Team_Matches!$Q692="L",Team_Matches!$B692,IF(Team_Matches!$Q694="L",Team_Matches!$B694,""))</f>
        <v/>
      </c>
      <c r="D55" t="str">
        <f>CONCATENATE(Team_Matches!$B672," vs ",Team_Matches!$K672)</f>
        <v>J vs L</v>
      </c>
      <c r="E55" t="str">
        <f>Team_Matches!$A690</f>
        <v>3rd Singles</v>
      </c>
      <c r="F55" s="93" t="str">
        <f>IF(Team_Matches!$Q692&lt;&gt;"",IF(Team_Matches!H692&gt;Team_Matches!H694,MIN(Team_Matches!H692,Team_Matches!H694),-MIN(Team_Matches!H692,Team_Matches!H694))*IF(Team_Matches!$Q692="W",1,-1),"")</f>
        <v/>
      </c>
      <c r="G55" s="93" t="str">
        <f>IF(Team_Matches!$Q692&lt;&gt;"",IF(Team_Matches!I692&gt;Team_Matches!I694,MIN(Team_Matches!I692,Team_Matches!I694),-MIN(Team_Matches!I692,Team_Matches!I694))*IF(Team_Matches!$Q692="W",1,-1),"")</f>
        <v/>
      </c>
      <c r="H55" s="93" t="str">
        <f>IF(Team_Matches!$Q692&lt;&gt;"",IF(Team_Matches!J692&gt;Team_Matches!J694,MIN(Team_Matches!J692,Team_Matches!J694),-MIN(Team_Matches!J692,Team_Matches!J694))*IF(Team_Matches!$Q692="W",1,-1),"")</f>
        <v/>
      </c>
      <c r="I55" s="93" t="str">
        <f>IF(Team_Matches!$Q692&lt;&gt;"",IF(Team_Matches!K692=Team_Matches!K694,"",IF(Team_Matches!K692&gt;Team_Matches!K694,MIN(Team_Matches!K692,Team_Matches!K694),-MIN(Team_Matches!K692,Team_Matches!K694))*IF(Team_Matches!$Q692="W",1,-1)),"")</f>
        <v/>
      </c>
      <c r="J55" s="93" t="str">
        <f>IF(Team_Matches!$Q692&lt;&gt;"",IF(Team_Matches!L692=Team_Matches!L694,"",IF(Team_Matches!L692&gt;Team_Matches!L694,MIN(Team_Matches!L692,Team_Matches!L694),-MIN(Team_Matches!L692,Team_Matches!L694))*IF(Team_Matches!$Q692="W",1,-1)),"")</f>
        <v/>
      </c>
    </row>
    <row r="56" spans="1:10">
      <c r="A56" s="68" t="e">
        <f ca="1">$B56&amp;";"&amp;VLOOKUP($B56,Players!$C$4:$G$132,5,FALSE)&amp;";"&amp;IF(ISERROR(VLOOKUP($B56,Players!$C$4:$G$132,2,FALSE)),0,VLOOKUP($B56,Players!$C$4:$G$132,2,FALSE))&amp;";"&amp;$C56&amp;";"&amp;VLOOKUP($C56,Players!$C$4:$G$132,5,FALSE)&amp;";"&amp;IF(ISERROR(VLOOKUP($C56,Players!$C$4:$G$132,2,FALSE)),0,VLOOKUP($C56,Players!$C$4:$G$132,2,FALSE))&amp;"|"</f>
        <v>#N/A</v>
      </c>
      <c r="B56" t="str">
        <f ca="1">IF(Team_Matches!$Q699="W",Team_Matches!$B699,IF(Team_Matches!$Q701="W",Team_Matches!$B701,""))</f>
        <v/>
      </c>
      <c r="C56" t="str">
        <f ca="1">IF(Team_Matches!$Q699="L",Team_Matches!$B699,IF(Team_Matches!$Q701="L",Team_Matches!$B701,""))</f>
        <v/>
      </c>
      <c r="D56" t="str">
        <f>CONCATENATE(Team_Matches!$B672," vs ",Team_Matches!$K672)</f>
        <v>J vs L</v>
      </c>
      <c r="E56" t="str">
        <f>Team_Matches!$A697</f>
        <v>4th Singles</v>
      </c>
      <c r="F56" s="93" t="str">
        <f ca="1">IF(Team_Matches!$Q699&lt;&gt;"",IF(Team_Matches!H699&gt;Team_Matches!H701,MIN(Team_Matches!H699,Team_Matches!H701),-MIN(Team_Matches!H699,Team_Matches!H701))*IF(Team_Matches!$Q699="W",1,-1),"")</f>
        <v/>
      </c>
      <c r="G56" s="93" t="str">
        <f ca="1">IF(Team_Matches!$Q699&lt;&gt;"",IF(Team_Matches!I699&gt;Team_Matches!I701,MIN(Team_Matches!I699,Team_Matches!I701),-MIN(Team_Matches!I699,Team_Matches!I701))*IF(Team_Matches!$Q699="W",1,-1),"")</f>
        <v/>
      </c>
      <c r="H56" s="93" t="str">
        <f ca="1">IF(Team_Matches!$Q699&lt;&gt;"",IF(Team_Matches!J699&gt;Team_Matches!J701,MIN(Team_Matches!J699,Team_Matches!J701),-MIN(Team_Matches!J699,Team_Matches!J701))*IF(Team_Matches!$Q699="W",1,-1),"")</f>
        <v/>
      </c>
      <c r="I56" s="93" t="str">
        <f ca="1">IF(Team_Matches!$Q699&lt;&gt;"",IF(Team_Matches!K699=Team_Matches!K701,"",IF(Team_Matches!K699&gt;Team_Matches!K701,MIN(Team_Matches!K699,Team_Matches!K701),-MIN(Team_Matches!K699,Team_Matches!K701))*IF(Team_Matches!$Q699="W",1,-1)),"")</f>
        <v/>
      </c>
      <c r="J56" s="93" t="str">
        <f ca="1">IF(Team_Matches!$Q699&lt;&gt;"",IF(Team_Matches!L699=Team_Matches!L701,"",IF(Team_Matches!L699&gt;Team_Matches!L701,MIN(Team_Matches!L699,Team_Matches!L701),-MIN(Team_Matches!L699,Team_Matches!L701))*IF(Team_Matches!$Q699="W",1,-1)),"")</f>
        <v/>
      </c>
    </row>
    <row r="57" spans="1:10">
      <c r="A57" s="68" t="e">
        <f>$B57&amp;";"&amp;VLOOKUP($B57,Players!$C$4:$G$132,5,FALSE)&amp;";"&amp;IF(ISERROR(VLOOKUP($B57,Players!$C$4:$G$132,2,FALSE)),0,VLOOKUP($B57,Players!$C$4:$G$132,2,FALSE))&amp;";"&amp;$C57&amp;";"&amp;VLOOKUP($C57,Players!$C$4:$G$132,5,FALSE)&amp;";"&amp;IF(ISERROR(VLOOKUP($C57,Players!$C$4:$G$132,2,FALSE)),0,VLOOKUP($C57,Players!$C$4:$G$132,2,FALSE))&amp;"|"</f>
        <v>#N/A</v>
      </c>
      <c r="B57" t="str">
        <f>IF(Team_Matches!$Q729="W",Team_Matches!$B729,IF(Team_Matches!$Q731="W",Team_Matches!$B731,""))</f>
        <v/>
      </c>
      <c r="C57" t="str">
        <f>IF(Team_Matches!$Q729="L",Team_Matches!$B729,IF(Team_Matches!$Q731="L",Team_Matches!$B731,""))</f>
        <v/>
      </c>
      <c r="D57" t="str">
        <f>CONCATENATE(Team_Matches!$B723," vs ",Team_Matches!$K723)</f>
        <v>I vs J</v>
      </c>
      <c r="E57" t="str">
        <f>Team_Matches!A727</f>
        <v>1st Singles</v>
      </c>
      <c r="F57" s="93" t="str">
        <f>IF(Team_Matches!$Q729&lt;&gt;"",IF(Team_Matches!H729&gt;Team_Matches!H731,MIN(Team_Matches!H729,Team_Matches!H731),-MIN(Team_Matches!H729,Team_Matches!H731))*IF(Team_Matches!$Q729="W",1,-1),"")</f>
        <v/>
      </c>
      <c r="G57" s="93" t="str">
        <f>IF(Team_Matches!$Q729&lt;&gt;"",IF(Team_Matches!I729&gt;Team_Matches!I731,MIN(Team_Matches!I729,Team_Matches!I731),-MIN(Team_Matches!I729,Team_Matches!I731))*IF(Team_Matches!$Q729="W",1,-1),"")</f>
        <v/>
      </c>
      <c r="H57" s="93" t="str">
        <f>IF(Team_Matches!$Q729&lt;&gt;"",IF(Team_Matches!J729&gt;Team_Matches!J731,MIN(Team_Matches!J729,Team_Matches!J731),-MIN(Team_Matches!J729,Team_Matches!J731))*IF(Team_Matches!$Q729="W",1,-1),"")</f>
        <v/>
      </c>
      <c r="I57" s="93" t="str">
        <f>IF(Team_Matches!$Q729&lt;&gt;"",IF(Team_Matches!K729=Team_Matches!K731,"",IF(Team_Matches!K729&gt;Team_Matches!K731,MIN(Team_Matches!K729,Team_Matches!K731),-MIN(Team_Matches!K729,Team_Matches!K731))*IF(Team_Matches!$Q729="W",1,-1)),"")</f>
        <v/>
      </c>
      <c r="J57" s="93" t="str">
        <f>IF(Team_Matches!$Q729&lt;&gt;"",IF(Team_Matches!L729=Team_Matches!L731,"",IF(Team_Matches!L729&gt;Team_Matches!L731,MIN(Team_Matches!L729,Team_Matches!L731),-MIN(Team_Matches!L729,Team_Matches!L731))*IF(Team_Matches!$Q729="W",1,-1)),"")</f>
        <v/>
      </c>
    </row>
    <row r="58" spans="1:10">
      <c r="A58" s="68" t="e">
        <f>$B58&amp;";"&amp;VLOOKUP($B58,Players!$C$4:$G$132,5,FALSE)&amp;";"&amp;IF(ISERROR(VLOOKUP($B58,Players!$C$4:$G$132,2,FALSE)),0,VLOOKUP($B58,Players!$C$4:$G$132,2,FALSE))&amp;";"&amp;$C58&amp;";"&amp;VLOOKUP($C58,Players!$C$4:$G$132,5,FALSE)&amp;";"&amp;IF(ISERROR(VLOOKUP($C58,Players!$C$4:$G$132,2,FALSE)),0,VLOOKUP($C58,Players!$C$4:$G$132,2,FALSE))&amp;"|"</f>
        <v>#N/A</v>
      </c>
      <c r="B58" t="str">
        <f>IF(Team_Matches!$Q736="W",Team_Matches!$B736,IF(Team_Matches!$Q738="W",Team_Matches!$B738,""))</f>
        <v/>
      </c>
      <c r="C58" t="str">
        <f>IF(Team_Matches!$Q736="L",Team_Matches!$B736,IF(Team_Matches!$Q738="L",Team_Matches!$B738,""))</f>
        <v/>
      </c>
      <c r="D58" t="str">
        <f>CONCATENATE(Team_Matches!$B723," vs ",Team_Matches!$K723)</f>
        <v>I vs J</v>
      </c>
      <c r="E58" t="str">
        <f>Team_Matches!$A734</f>
        <v>2nd Singles</v>
      </c>
      <c r="F58" s="93" t="str">
        <f>IF(Team_Matches!$Q736&lt;&gt;"",IF(Team_Matches!H736&gt;Team_Matches!H738,MIN(Team_Matches!H736,Team_Matches!H738),-MIN(Team_Matches!H736,Team_Matches!H738))*IF(Team_Matches!$Q736="W",1,-1),"")</f>
        <v/>
      </c>
      <c r="G58" s="93" t="str">
        <f>IF(Team_Matches!$Q736&lt;&gt;"",IF(Team_Matches!I736&gt;Team_Matches!I738,MIN(Team_Matches!I736,Team_Matches!I738),-MIN(Team_Matches!I736,Team_Matches!I738))*IF(Team_Matches!$Q736="W",1,-1),"")</f>
        <v/>
      </c>
      <c r="H58" s="93" t="str">
        <f>IF(Team_Matches!$Q736&lt;&gt;"",IF(Team_Matches!J736&gt;Team_Matches!J738,MIN(Team_Matches!J736,Team_Matches!J738),-MIN(Team_Matches!J736,Team_Matches!J738))*IF(Team_Matches!$Q736="W",1,-1),"")</f>
        <v/>
      </c>
      <c r="I58" s="93" t="str">
        <f>IF(Team_Matches!$Q736&lt;&gt;"",IF(Team_Matches!K736=Team_Matches!K738,"",IF(Team_Matches!K736&gt;Team_Matches!K738,MIN(Team_Matches!K736,Team_Matches!K738),-MIN(Team_Matches!K736,Team_Matches!K738))*IF(Team_Matches!$Q736="W",1,-1)),"")</f>
        <v/>
      </c>
      <c r="J58" s="93" t="str">
        <f>IF(Team_Matches!$Q736&lt;&gt;"",IF(Team_Matches!L736=Team_Matches!L738,"",IF(Team_Matches!L736&gt;Team_Matches!L738,MIN(Team_Matches!L736,Team_Matches!L738),-MIN(Team_Matches!L736,Team_Matches!L738))*IF(Team_Matches!$Q736="W",1,-1)),"")</f>
        <v/>
      </c>
    </row>
    <row r="59" spans="1:10">
      <c r="A59" s="68" t="e">
        <f>$B59&amp;";"&amp;VLOOKUP($B59,Players!$C$4:$G$132,5,FALSE)&amp;";"&amp;IF(ISERROR(VLOOKUP($B59,Players!$C$4:$G$132,2,FALSE)),0,VLOOKUP($B59,Players!$C$4:$G$132,2,FALSE))&amp;";"&amp;$C59&amp;";"&amp;VLOOKUP($C59,Players!$C$4:$G$132,5,FALSE)&amp;";"&amp;IF(ISERROR(VLOOKUP($C59,Players!$C$4:$G$132,2,FALSE)),0,VLOOKUP($C59,Players!$C$4:$G$132,2,FALSE))&amp;"|"</f>
        <v>#N/A</v>
      </c>
      <c r="B59" t="str">
        <f>IF(Team_Matches!$Q743="W",Team_Matches!$B743,IF(Team_Matches!$Q745="W",Team_Matches!$B745,""))</f>
        <v/>
      </c>
      <c r="C59" t="str">
        <f>IF(Team_Matches!$Q743="L",Team_Matches!$B743,IF(Team_Matches!$Q745="L",Team_Matches!$B745,""))</f>
        <v/>
      </c>
      <c r="D59" t="str">
        <f>CONCATENATE(Team_Matches!$B723," vs ",Team_Matches!$K723)</f>
        <v>I vs J</v>
      </c>
      <c r="E59" t="str">
        <f>Team_Matches!$A741</f>
        <v>3rd Singles</v>
      </c>
      <c r="F59" s="93" t="str">
        <f>IF(Team_Matches!$Q743&lt;&gt;"",IF(Team_Matches!H743&gt;Team_Matches!H745,MIN(Team_Matches!H743,Team_Matches!H745),-MIN(Team_Matches!H743,Team_Matches!H745))*IF(Team_Matches!$Q743="W",1,-1),"")</f>
        <v/>
      </c>
      <c r="G59" s="93" t="str">
        <f>IF(Team_Matches!$Q743&lt;&gt;"",IF(Team_Matches!I743&gt;Team_Matches!I745,MIN(Team_Matches!I743,Team_Matches!I745),-MIN(Team_Matches!I743,Team_Matches!I745))*IF(Team_Matches!$Q743="W",1,-1),"")</f>
        <v/>
      </c>
      <c r="H59" s="93" t="str">
        <f>IF(Team_Matches!$Q743&lt;&gt;"",IF(Team_Matches!J743&gt;Team_Matches!J745,MIN(Team_Matches!J743,Team_Matches!J745),-MIN(Team_Matches!J743,Team_Matches!J745))*IF(Team_Matches!$Q743="W",1,-1),"")</f>
        <v/>
      </c>
      <c r="I59" s="93" t="str">
        <f>IF(Team_Matches!$Q743&lt;&gt;"",IF(Team_Matches!K743=Team_Matches!K745,"",IF(Team_Matches!K743&gt;Team_Matches!K745,MIN(Team_Matches!K743,Team_Matches!K745),-MIN(Team_Matches!K743,Team_Matches!K745))*IF(Team_Matches!$Q743="W",1,-1)),"")</f>
        <v/>
      </c>
      <c r="J59" s="93" t="str">
        <f>IF(Team_Matches!$Q743&lt;&gt;"",IF(Team_Matches!L743=Team_Matches!L745,"",IF(Team_Matches!L743&gt;Team_Matches!L745,MIN(Team_Matches!L743,Team_Matches!L745),-MIN(Team_Matches!L743,Team_Matches!L745))*IF(Team_Matches!$Q743="W",1,-1)),"")</f>
        <v/>
      </c>
    </row>
    <row r="60" spans="1:10">
      <c r="A60" s="68" t="e">
        <f ca="1">$B60&amp;";"&amp;VLOOKUP($B60,Players!$C$4:$G$132,5,FALSE)&amp;";"&amp;IF(ISERROR(VLOOKUP($B60,Players!$C$4:$G$132,2,FALSE)),0,VLOOKUP($B60,Players!$C$4:$G$132,2,FALSE))&amp;";"&amp;$C60&amp;";"&amp;VLOOKUP($C60,Players!$C$4:$G$132,5,FALSE)&amp;";"&amp;IF(ISERROR(VLOOKUP($C60,Players!$C$4:$G$132,2,FALSE)),0,VLOOKUP($C60,Players!$C$4:$G$132,2,FALSE))&amp;"|"</f>
        <v>#N/A</v>
      </c>
      <c r="B60" t="str">
        <f ca="1">IF(Team_Matches!$Q750="W",Team_Matches!$B750,IF(Team_Matches!$Q752="W",Team_Matches!$B752,""))</f>
        <v/>
      </c>
      <c r="C60" t="str">
        <f ca="1">IF(Team_Matches!$Q750="L",Team_Matches!$B750,IF(Team_Matches!$Q752="L",Team_Matches!$B752,""))</f>
        <v/>
      </c>
      <c r="D60" t="str">
        <f>CONCATENATE(Team_Matches!$B723," vs ",Team_Matches!$K723)</f>
        <v>I vs J</v>
      </c>
      <c r="E60" t="str">
        <f>Team_Matches!$A748</f>
        <v>4th Singles</v>
      </c>
      <c r="F60" s="93" t="str">
        <f ca="1">IF(Team_Matches!$Q750&lt;&gt;"",IF(Team_Matches!H750&gt;Team_Matches!H752,MIN(Team_Matches!H750,Team_Matches!H752),-MIN(Team_Matches!H750,Team_Matches!H752))*IF(Team_Matches!$Q750="W",1,-1),"")</f>
        <v/>
      </c>
      <c r="G60" s="93" t="str">
        <f ca="1">IF(Team_Matches!$Q750&lt;&gt;"",IF(Team_Matches!I750&gt;Team_Matches!I752,MIN(Team_Matches!I750,Team_Matches!I752),-MIN(Team_Matches!I750,Team_Matches!I752))*IF(Team_Matches!$Q750="W",1,-1),"")</f>
        <v/>
      </c>
      <c r="H60" s="93" t="str">
        <f ca="1">IF(Team_Matches!$Q750&lt;&gt;"",IF(Team_Matches!J750&gt;Team_Matches!J752,MIN(Team_Matches!J750,Team_Matches!J752),-MIN(Team_Matches!J750,Team_Matches!J752))*IF(Team_Matches!$Q750="W",1,-1),"")</f>
        <v/>
      </c>
      <c r="I60" s="93" t="str">
        <f ca="1">IF(Team_Matches!$Q750&lt;&gt;"",IF(Team_Matches!K750=Team_Matches!K752,"",IF(Team_Matches!K750&gt;Team_Matches!K752,MIN(Team_Matches!K750,Team_Matches!K752),-MIN(Team_Matches!K750,Team_Matches!K752))*IF(Team_Matches!$Q750="W",1,-1)),"")</f>
        <v/>
      </c>
      <c r="J60" s="93" t="str">
        <f ca="1">IF(Team_Matches!$Q750&lt;&gt;"",IF(Team_Matches!L750=Team_Matches!L752,"",IF(Team_Matches!L750&gt;Team_Matches!L752,MIN(Team_Matches!L750,Team_Matches!L752),-MIN(Team_Matches!L750,Team_Matches!L752))*IF(Team_Matches!$Q750="W",1,-1)),"")</f>
        <v/>
      </c>
    </row>
    <row r="61" spans="1:10">
      <c r="A61" s="68" t="e">
        <f>$B61&amp;";"&amp;VLOOKUP($B61,Players!$C$4:$G$132,5,FALSE)&amp;";"&amp;IF(ISERROR(VLOOKUP($B61,Players!$C$4:$G$132,2,FALSE)),0,VLOOKUP($B61,Players!$C$4:$G$132,2,FALSE))&amp;";"&amp;$C61&amp;";"&amp;VLOOKUP($C61,Players!$C$4:$G$132,5,FALSE)&amp;";"&amp;IF(ISERROR(VLOOKUP($C61,Players!$C$4:$G$132,2,FALSE)),0,VLOOKUP($C61,Players!$C$4:$G$132,2,FALSE))&amp;"|"</f>
        <v>#N/A</v>
      </c>
      <c r="B61" t="str">
        <f>IF(Team_Matches!$Q780="W",Team_Matches!$B780,IF(Team_Matches!$Q782="W",Team_Matches!$B782,""))</f>
        <v/>
      </c>
      <c r="C61" t="str">
        <f>IF(Team_Matches!$Q780="L",Team_Matches!$B780,IF(Team_Matches!$Q782="L",Team_Matches!$B782,""))</f>
        <v/>
      </c>
      <c r="D61" t="str">
        <f>CONCATENATE(Team_Matches!$B774," vs ",Team_Matches!$K774)</f>
        <v>K vs L</v>
      </c>
      <c r="E61" t="str">
        <f>Team_Matches!A778</f>
        <v>1st Singles</v>
      </c>
      <c r="F61" s="93" t="str">
        <f>IF(Team_Matches!$Q780&lt;&gt;"",IF(Team_Matches!H780&gt;Team_Matches!H782,MIN(Team_Matches!H780,Team_Matches!H782),-MIN(Team_Matches!H780,Team_Matches!H782))*IF(Team_Matches!$Q780="W",1,-1),"")</f>
        <v/>
      </c>
      <c r="G61" s="93" t="str">
        <f>IF(Team_Matches!$Q780&lt;&gt;"",IF(Team_Matches!I780&gt;Team_Matches!I782,MIN(Team_Matches!I780,Team_Matches!I782),-MIN(Team_Matches!I780,Team_Matches!I782))*IF(Team_Matches!$Q780="W",1,-1),"")</f>
        <v/>
      </c>
      <c r="H61" s="93" t="str">
        <f>IF(Team_Matches!$Q780&lt;&gt;"",IF(Team_Matches!J780&gt;Team_Matches!J782,MIN(Team_Matches!J780,Team_Matches!J782),-MIN(Team_Matches!J780,Team_Matches!J782))*IF(Team_Matches!$Q780="W",1,-1),"")</f>
        <v/>
      </c>
      <c r="I61" s="93" t="str">
        <f>IF(Team_Matches!$Q780&lt;&gt;"",IF(Team_Matches!K780=Team_Matches!K782,"",IF(Team_Matches!K780&gt;Team_Matches!K782,MIN(Team_Matches!K780,Team_Matches!K782),-MIN(Team_Matches!K780,Team_Matches!K782))*IF(Team_Matches!$Q780="W",1,-1)),"")</f>
        <v/>
      </c>
      <c r="J61" s="93" t="str">
        <f>IF(Team_Matches!$Q780&lt;&gt;"",IF(Team_Matches!L780=Team_Matches!L782,"",IF(Team_Matches!L780&gt;Team_Matches!L782,MIN(Team_Matches!L780,Team_Matches!L782),-MIN(Team_Matches!L780,Team_Matches!L782))*IF(Team_Matches!$Q780="W",1,-1)),"")</f>
        <v/>
      </c>
    </row>
    <row r="62" spans="1:10">
      <c r="A62" s="68" t="e">
        <f>$B62&amp;";"&amp;VLOOKUP($B62,Players!$C$4:$G$132,5,FALSE)&amp;";"&amp;IF(ISERROR(VLOOKUP($B62,Players!$C$4:$G$132,2,FALSE)),0,VLOOKUP($B62,Players!$C$4:$G$132,2,FALSE))&amp;";"&amp;$C62&amp;";"&amp;VLOOKUP($C62,Players!$C$4:$G$132,5,FALSE)&amp;";"&amp;IF(ISERROR(VLOOKUP($C62,Players!$C$4:$G$132,2,FALSE)),0,VLOOKUP($C62,Players!$C$4:$G$132,2,FALSE))&amp;"|"</f>
        <v>#N/A</v>
      </c>
      <c r="B62" t="str">
        <f>IF(Team_Matches!$Q787="W",Team_Matches!$B787,IF(Team_Matches!$Q789="W",Team_Matches!$B789,""))</f>
        <v/>
      </c>
      <c r="C62" t="str">
        <f>IF(Team_Matches!$Q787="L",Team_Matches!$B787,IF(Team_Matches!$Q789="L",Team_Matches!$B789,""))</f>
        <v/>
      </c>
      <c r="D62" t="str">
        <f>CONCATENATE(Team_Matches!$B774," vs ",Team_Matches!$K774)</f>
        <v>K vs L</v>
      </c>
      <c r="E62" t="str">
        <f>Team_Matches!$A785</f>
        <v>2nd Singles</v>
      </c>
      <c r="F62" s="93" t="str">
        <f>IF(Team_Matches!$Q787&lt;&gt;"",IF(Team_Matches!H787&gt;Team_Matches!H789,MIN(Team_Matches!H787,Team_Matches!H789),-MIN(Team_Matches!H787,Team_Matches!H789))*IF(Team_Matches!$Q787="W",1,-1),"")</f>
        <v/>
      </c>
      <c r="G62" s="93" t="str">
        <f>IF(Team_Matches!$Q787&lt;&gt;"",IF(Team_Matches!I787&gt;Team_Matches!I789,MIN(Team_Matches!I787,Team_Matches!I789),-MIN(Team_Matches!I787,Team_Matches!I789))*IF(Team_Matches!$Q787="W",1,-1),"")</f>
        <v/>
      </c>
      <c r="H62" s="93" t="str">
        <f>IF(Team_Matches!$Q787&lt;&gt;"",IF(Team_Matches!J787&gt;Team_Matches!J789,MIN(Team_Matches!J787,Team_Matches!J789),-MIN(Team_Matches!J787,Team_Matches!J789))*IF(Team_Matches!$Q787="W",1,-1),"")</f>
        <v/>
      </c>
      <c r="I62" s="93" t="str">
        <f>IF(Team_Matches!$Q787&lt;&gt;"",IF(Team_Matches!K787=Team_Matches!K789,"",IF(Team_Matches!K787&gt;Team_Matches!K789,MIN(Team_Matches!K787,Team_Matches!K789),-MIN(Team_Matches!K787,Team_Matches!K789))*IF(Team_Matches!$Q787="W",1,-1)),"")</f>
        <v/>
      </c>
      <c r="J62" s="93" t="str">
        <f>IF(Team_Matches!$Q787&lt;&gt;"",IF(Team_Matches!L787=Team_Matches!L789,"",IF(Team_Matches!L787&gt;Team_Matches!L789,MIN(Team_Matches!L787,Team_Matches!L789),-MIN(Team_Matches!L787,Team_Matches!L789))*IF(Team_Matches!$Q787="W",1,-1)),"")</f>
        <v/>
      </c>
    </row>
    <row r="63" spans="1:10">
      <c r="A63" s="68" t="e">
        <f>$B63&amp;";"&amp;VLOOKUP($B63,Players!$C$4:$G$132,5,FALSE)&amp;";"&amp;IF(ISERROR(VLOOKUP($B63,Players!$C$4:$G$132,2,FALSE)),0,VLOOKUP($B63,Players!$C$4:$G$132,2,FALSE))&amp;";"&amp;$C63&amp;";"&amp;VLOOKUP($C63,Players!$C$4:$G$132,5,FALSE)&amp;";"&amp;IF(ISERROR(VLOOKUP($C63,Players!$C$4:$G$132,2,FALSE)),0,VLOOKUP($C63,Players!$C$4:$G$132,2,FALSE))&amp;"|"</f>
        <v>#N/A</v>
      </c>
      <c r="B63" t="str">
        <f>IF(Team_Matches!$Q794="W",Team_Matches!$B794,IF(Team_Matches!$Q796="W",Team_Matches!$B796,""))</f>
        <v/>
      </c>
      <c r="C63" t="str">
        <f>IF(Team_Matches!$Q794="L",Team_Matches!$B794,IF(Team_Matches!$Q796="L",Team_Matches!$B796,""))</f>
        <v/>
      </c>
      <c r="D63" t="str">
        <f>CONCATENATE(Team_Matches!$B774," vs ",Team_Matches!$K774)</f>
        <v>K vs L</v>
      </c>
      <c r="E63" t="str">
        <f>Team_Matches!$A792</f>
        <v>3rd Singles</v>
      </c>
      <c r="F63" s="93" t="str">
        <f>IF(Team_Matches!$Q794&lt;&gt;"",IF(Team_Matches!H794&gt;Team_Matches!H796,MIN(Team_Matches!H794,Team_Matches!H796),-MIN(Team_Matches!H794,Team_Matches!H796))*IF(Team_Matches!$Q794="W",1,-1),"")</f>
        <v/>
      </c>
      <c r="G63" s="93" t="str">
        <f>IF(Team_Matches!$Q794&lt;&gt;"",IF(Team_Matches!I794&gt;Team_Matches!I796,MIN(Team_Matches!I794,Team_Matches!I796),-MIN(Team_Matches!I794,Team_Matches!I796))*IF(Team_Matches!$Q794="W",1,-1),"")</f>
        <v/>
      </c>
      <c r="H63" s="93" t="str">
        <f>IF(Team_Matches!$Q794&lt;&gt;"",IF(Team_Matches!J794&gt;Team_Matches!J796,MIN(Team_Matches!J794,Team_Matches!J796),-MIN(Team_Matches!J794,Team_Matches!J796))*IF(Team_Matches!$Q794="W",1,-1),"")</f>
        <v/>
      </c>
      <c r="I63" s="93" t="str">
        <f>IF(Team_Matches!$Q794&lt;&gt;"",IF(Team_Matches!K794=Team_Matches!K796,"",IF(Team_Matches!K794&gt;Team_Matches!K796,MIN(Team_Matches!K794,Team_Matches!K796),-MIN(Team_Matches!K794,Team_Matches!K796))*IF(Team_Matches!$Q794="W",1,-1)),"")</f>
        <v/>
      </c>
      <c r="J63" s="93" t="str">
        <f>IF(Team_Matches!$Q794&lt;&gt;"",IF(Team_Matches!L794=Team_Matches!L796,"",IF(Team_Matches!L794&gt;Team_Matches!L796,MIN(Team_Matches!L794,Team_Matches!L796),-MIN(Team_Matches!L794,Team_Matches!L796))*IF(Team_Matches!$Q794="W",1,-1)),"")</f>
        <v/>
      </c>
    </row>
    <row r="64" spans="1:10">
      <c r="A64" s="68" t="e">
        <f ca="1">$B64&amp;";"&amp;VLOOKUP($B64,Players!$C$4:$G$132,5,FALSE)&amp;";"&amp;IF(ISERROR(VLOOKUP($B64,Players!$C$4:$G$132,2,FALSE)),0,VLOOKUP($B64,Players!$C$4:$G$132,2,FALSE))&amp;";"&amp;$C64&amp;";"&amp;VLOOKUP($C64,Players!$C$4:$G$132,5,FALSE)&amp;";"&amp;IF(ISERROR(VLOOKUP($C64,Players!$C$4:$G$132,2,FALSE)),0,VLOOKUP($C64,Players!$C$4:$G$132,2,FALSE))&amp;"|"</f>
        <v>#N/A</v>
      </c>
      <c r="B64" t="str">
        <f ca="1">IF(Team_Matches!$Q801="W",Team_Matches!$B801,IF(Team_Matches!$Q803="W",Team_Matches!$B803,""))</f>
        <v/>
      </c>
      <c r="C64" t="str">
        <f ca="1">IF(Team_Matches!$Q801="L",Team_Matches!$B801,IF(Team_Matches!$Q803="L",Team_Matches!$B803,""))</f>
        <v/>
      </c>
      <c r="D64" t="str">
        <f>CONCATENATE(Team_Matches!$B774," vs ",Team_Matches!$K774)</f>
        <v>K vs L</v>
      </c>
      <c r="E64" t="str">
        <f>Team_Matches!$A799</f>
        <v>4th Singles</v>
      </c>
      <c r="F64" s="93" t="str">
        <f ca="1">IF(Team_Matches!$Q801&lt;&gt;"",IF(Team_Matches!H801&gt;Team_Matches!H803,MIN(Team_Matches!H801,Team_Matches!H803),-MIN(Team_Matches!H801,Team_Matches!H803))*IF(Team_Matches!$Q801="W",1,-1),"")</f>
        <v/>
      </c>
      <c r="G64" s="93" t="str">
        <f ca="1">IF(Team_Matches!$Q801&lt;&gt;"",IF(Team_Matches!I801&gt;Team_Matches!I803,MIN(Team_Matches!I801,Team_Matches!I803),-MIN(Team_Matches!I801,Team_Matches!I803))*IF(Team_Matches!$Q801="W",1,-1),"")</f>
        <v/>
      </c>
      <c r="H64" s="93" t="str">
        <f ca="1">IF(Team_Matches!$Q801&lt;&gt;"",IF(Team_Matches!J801&gt;Team_Matches!J803,MIN(Team_Matches!J801,Team_Matches!J803),-MIN(Team_Matches!J801,Team_Matches!J803))*IF(Team_Matches!$Q801="W",1,-1),"")</f>
        <v/>
      </c>
      <c r="I64" s="93" t="str">
        <f ca="1">IF(Team_Matches!$Q801&lt;&gt;"",IF(Team_Matches!K801=Team_Matches!K803,"",IF(Team_Matches!K801&gt;Team_Matches!K803,MIN(Team_Matches!K801,Team_Matches!K803),-MIN(Team_Matches!K801,Team_Matches!K803))*IF(Team_Matches!$Q801="W",1,-1)),"")</f>
        <v/>
      </c>
      <c r="J64" s="93" t="str">
        <f ca="1">IF(Team_Matches!$Q801&lt;&gt;"",IF(Team_Matches!L801=Team_Matches!L803,"",IF(Team_Matches!L801&gt;Team_Matches!L803,MIN(Team_Matches!L801,Team_Matches!L803),-MIN(Team_Matches!L801,Team_Matches!L803))*IF(Team_Matches!$Q801="W",1,-1)),"")</f>
        <v/>
      </c>
    </row>
    <row r="65" spans="1:10">
      <c r="A65" s="68" t="e">
        <f>$B65&amp;";"&amp;VLOOKUP($B65,Players!$C$4:$G$132,5,FALSE)&amp;";"&amp;IF(ISERROR(VLOOKUP($B65,Players!$C$4:$G$132,2,FALSE)),0,VLOOKUP($B65,Players!$C$4:$G$132,2,FALSE))&amp;";"&amp;$C65&amp;";"&amp;VLOOKUP($C65,Players!$C$4:$G$132,5,FALSE)&amp;";"&amp;IF(ISERROR(VLOOKUP($C65,Players!$C$4:$G$132,2,FALSE)),0,VLOOKUP($C65,Players!$C$4:$G$132,2,FALSE))&amp;"|"</f>
        <v>#N/A</v>
      </c>
      <c r="B65" t="str">
        <f>IF(Team_Matches!$Q831="W",Team_Matches!$B831,IF(Team_Matches!$Q833="W",Team_Matches!$B833,""))</f>
        <v/>
      </c>
      <c r="C65" t="str">
        <f>IF(Team_Matches!$Q831="L",Team_Matches!$B831,IF(Team_Matches!$Q833="L",Team_Matches!$B833,""))</f>
        <v/>
      </c>
      <c r="D65" t="str">
        <f>CONCATENATE(Team_Matches!$B825," vs ",Team_Matches!$K825)</f>
        <v>I vs L</v>
      </c>
      <c r="E65" t="str">
        <f>Team_Matches!A829</f>
        <v>1st Singles</v>
      </c>
      <c r="F65" s="93" t="str">
        <f>IF(Team_Matches!$Q831&lt;&gt;"",IF(Team_Matches!H831&gt;Team_Matches!H833,MIN(Team_Matches!H831,Team_Matches!H833),-MIN(Team_Matches!H831,Team_Matches!H833))*IF(Team_Matches!$Q831="W",1,-1),"")</f>
        <v/>
      </c>
      <c r="G65" s="93" t="str">
        <f>IF(Team_Matches!$Q831&lt;&gt;"",IF(Team_Matches!I831&gt;Team_Matches!I833,MIN(Team_Matches!I831,Team_Matches!I833),-MIN(Team_Matches!I831,Team_Matches!I833))*IF(Team_Matches!$Q831="W",1,-1),"")</f>
        <v/>
      </c>
      <c r="H65" s="93" t="str">
        <f>IF(Team_Matches!$Q831&lt;&gt;"",IF(Team_Matches!J831&gt;Team_Matches!J833,MIN(Team_Matches!J831,Team_Matches!J833),-MIN(Team_Matches!J831,Team_Matches!J833))*IF(Team_Matches!$Q831="W",1,-1),"")</f>
        <v/>
      </c>
      <c r="I65" s="93" t="str">
        <f>IF(Team_Matches!$Q831&lt;&gt;"",IF(Team_Matches!K831=Team_Matches!K833,"",IF(Team_Matches!K831&gt;Team_Matches!K833,MIN(Team_Matches!K831,Team_Matches!K833),-MIN(Team_Matches!K831,Team_Matches!K833))*IF(Team_Matches!$Q831="W",1,-1)),"")</f>
        <v/>
      </c>
      <c r="J65" s="93" t="str">
        <f>IF(Team_Matches!$Q831&lt;&gt;"",IF(Team_Matches!L831=Team_Matches!L833,"",IF(Team_Matches!L831&gt;Team_Matches!L833,MIN(Team_Matches!L831,Team_Matches!L833),-MIN(Team_Matches!L831,Team_Matches!L833))*IF(Team_Matches!$Q831="W",1,-1)),"")</f>
        <v/>
      </c>
    </row>
    <row r="66" spans="1:10">
      <c r="A66" s="68" t="e">
        <f>$B66&amp;";"&amp;VLOOKUP($B66,Players!$C$4:$G$132,5,FALSE)&amp;";"&amp;IF(ISERROR(VLOOKUP($B66,Players!$C$4:$G$132,2,FALSE)),0,VLOOKUP($B66,Players!$C$4:$G$132,2,FALSE))&amp;";"&amp;$C66&amp;";"&amp;VLOOKUP($C66,Players!$C$4:$G$132,5,FALSE)&amp;";"&amp;IF(ISERROR(VLOOKUP($C66,Players!$C$4:$G$132,2,FALSE)),0,VLOOKUP($C66,Players!$C$4:$G$132,2,FALSE))&amp;"|"</f>
        <v>#N/A</v>
      </c>
      <c r="B66" t="str">
        <f>IF(Team_Matches!$Q838="W",Team_Matches!$B838,IF(Team_Matches!$Q840="W",Team_Matches!$B840,""))</f>
        <v/>
      </c>
      <c r="C66" t="str">
        <f>IF(Team_Matches!$Q838="L",Team_Matches!$B838,IF(Team_Matches!$Q840="L",Team_Matches!$B840,""))</f>
        <v/>
      </c>
      <c r="D66" t="str">
        <f>CONCATENATE(Team_Matches!$B825," vs ",Team_Matches!$K825)</f>
        <v>I vs L</v>
      </c>
      <c r="E66" t="str">
        <f>Team_Matches!$A836</f>
        <v>2nd Singles</v>
      </c>
      <c r="F66" s="93" t="str">
        <f>IF(Team_Matches!$Q838&lt;&gt;"",IF(Team_Matches!H838&gt;Team_Matches!H840,MIN(Team_Matches!H838,Team_Matches!H840),-MIN(Team_Matches!H838,Team_Matches!H840))*IF(Team_Matches!$Q838="W",1,-1),"")</f>
        <v/>
      </c>
      <c r="G66" s="93" t="str">
        <f>IF(Team_Matches!$Q838&lt;&gt;"",IF(Team_Matches!I838&gt;Team_Matches!I840,MIN(Team_Matches!I838,Team_Matches!I840),-MIN(Team_Matches!I838,Team_Matches!I840))*IF(Team_Matches!$Q838="W",1,-1),"")</f>
        <v/>
      </c>
      <c r="H66" s="93" t="str">
        <f>IF(Team_Matches!$Q838&lt;&gt;"",IF(Team_Matches!J838&gt;Team_Matches!J840,MIN(Team_Matches!J838,Team_Matches!J840),-MIN(Team_Matches!J838,Team_Matches!J840))*IF(Team_Matches!$Q838="W",1,-1),"")</f>
        <v/>
      </c>
      <c r="I66" s="93" t="str">
        <f>IF(Team_Matches!$Q838&lt;&gt;"",IF(Team_Matches!K838=Team_Matches!K840,"",IF(Team_Matches!K838&gt;Team_Matches!K840,MIN(Team_Matches!K838,Team_Matches!K840),-MIN(Team_Matches!K838,Team_Matches!K840))*IF(Team_Matches!$Q838="W",1,-1)),"")</f>
        <v/>
      </c>
      <c r="J66" s="93" t="str">
        <f>IF(Team_Matches!$Q838&lt;&gt;"",IF(Team_Matches!L838=Team_Matches!L840,"",IF(Team_Matches!L838&gt;Team_Matches!L840,MIN(Team_Matches!L838,Team_Matches!L840),-MIN(Team_Matches!L838,Team_Matches!L840))*IF(Team_Matches!$Q838="W",1,-1)),"")</f>
        <v/>
      </c>
    </row>
    <row r="67" spans="1:10">
      <c r="A67" s="68" t="e">
        <f>$B67&amp;";"&amp;VLOOKUP($B67,Players!$C$4:$G$132,5,FALSE)&amp;";"&amp;IF(ISERROR(VLOOKUP($B67,Players!$C$4:$G$132,2,FALSE)),0,VLOOKUP($B67,Players!$C$4:$G$132,2,FALSE))&amp;";"&amp;$C67&amp;";"&amp;VLOOKUP($C67,Players!$C$4:$G$132,5,FALSE)&amp;";"&amp;IF(ISERROR(VLOOKUP($C67,Players!$C$4:$G$132,2,FALSE)),0,VLOOKUP($C67,Players!$C$4:$G$132,2,FALSE))&amp;"|"</f>
        <v>#N/A</v>
      </c>
      <c r="B67" t="str">
        <f>IF(Team_Matches!$Q845="W",Team_Matches!$B845,IF(Team_Matches!$Q847="W",Team_Matches!$B847,""))</f>
        <v/>
      </c>
      <c r="C67" t="str">
        <f>IF(Team_Matches!$Q845="L",Team_Matches!$B845,IF(Team_Matches!$Q847="L",Team_Matches!$B847,""))</f>
        <v/>
      </c>
      <c r="D67" t="str">
        <f>CONCATENATE(Team_Matches!$B825," vs ",Team_Matches!$K825)</f>
        <v>I vs L</v>
      </c>
      <c r="E67" t="str">
        <f>Team_Matches!$A843</f>
        <v>3rd Singles</v>
      </c>
      <c r="F67" s="93" t="str">
        <f>IF(Team_Matches!$Q845&lt;&gt;"",IF(Team_Matches!H845&gt;Team_Matches!H847,MIN(Team_Matches!H845,Team_Matches!H847),-MIN(Team_Matches!H845,Team_Matches!H847))*IF(Team_Matches!$Q845="W",1,-1),"")</f>
        <v/>
      </c>
      <c r="G67" s="93" t="str">
        <f>IF(Team_Matches!$Q845&lt;&gt;"",IF(Team_Matches!I845&gt;Team_Matches!I847,MIN(Team_Matches!I845,Team_Matches!I847),-MIN(Team_Matches!I845,Team_Matches!I847))*IF(Team_Matches!$Q845="W",1,-1),"")</f>
        <v/>
      </c>
      <c r="H67" s="93" t="str">
        <f>IF(Team_Matches!$Q845&lt;&gt;"",IF(Team_Matches!J845&gt;Team_Matches!J847,MIN(Team_Matches!J845,Team_Matches!J847),-MIN(Team_Matches!J845,Team_Matches!J847))*IF(Team_Matches!$Q845="W",1,-1),"")</f>
        <v/>
      </c>
      <c r="I67" s="93" t="str">
        <f>IF(Team_Matches!$Q845&lt;&gt;"",IF(Team_Matches!K845=Team_Matches!K847,"",IF(Team_Matches!K845&gt;Team_Matches!K847,MIN(Team_Matches!K845,Team_Matches!K847),-MIN(Team_Matches!K845,Team_Matches!K847))*IF(Team_Matches!$Q845="W",1,-1)),"")</f>
        <v/>
      </c>
      <c r="J67" s="93" t="str">
        <f>IF(Team_Matches!$Q845&lt;&gt;"",IF(Team_Matches!L845=Team_Matches!L847,"",IF(Team_Matches!L845&gt;Team_Matches!L847,MIN(Team_Matches!L845,Team_Matches!L847),-MIN(Team_Matches!L845,Team_Matches!L847))*IF(Team_Matches!$Q845="W",1,-1)),"")</f>
        <v/>
      </c>
    </row>
    <row r="68" spans="1:10">
      <c r="A68" s="68" t="e">
        <f ca="1">$B68&amp;";"&amp;VLOOKUP($B68,Players!$C$4:$G$132,5,FALSE)&amp;";"&amp;IF(ISERROR(VLOOKUP($B68,Players!$C$4:$G$132,2,FALSE)),0,VLOOKUP($B68,Players!$C$4:$G$132,2,FALSE))&amp;";"&amp;$C68&amp;";"&amp;VLOOKUP($C68,Players!$C$4:$G$132,5,FALSE)&amp;";"&amp;IF(ISERROR(VLOOKUP($C68,Players!$C$4:$G$132,2,FALSE)),0,VLOOKUP($C68,Players!$C$4:$G$132,2,FALSE))&amp;"|"</f>
        <v>#N/A</v>
      </c>
      <c r="B68" t="str">
        <f ca="1">IF(Team_Matches!$Q852="W",Team_Matches!$B852,IF(Team_Matches!$Q854="W",Team_Matches!$B854,""))</f>
        <v/>
      </c>
      <c r="C68" t="str">
        <f ca="1">IF(Team_Matches!$Q852="L",Team_Matches!$B852,IF(Team_Matches!$Q854="L",Team_Matches!$B854,""))</f>
        <v/>
      </c>
      <c r="D68" t="str">
        <f>CONCATENATE(Team_Matches!$B825," vs ",Team_Matches!$K825)</f>
        <v>I vs L</v>
      </c>
      <c r="E68" t="str">
        <f>Team_Matches!$A850</f>
        <v>4th Singles</v>
      </c>
      <c r="F68" s="93" t="str">
        <f ca="1">IF(Team_Matches!$Q852&lt;&gt;"",IF(Team_Matches!H852&gt;Team_Matches!H854,MIN(Team_Matches!H852,Team_Matches!H854),-MIN(Team_Matches!H852,Team_Matches!H854))*IF(Team_Matches!$Q852="W",1,-1),"")</f>
        <v/>
      </c>
      <c r="G68" s="93" t="str">
        <f ca="1">IF(Team_Matches!$Q852&lt;&gt;"",IF(Team_Matches!I852&gt;Team_Matches!I854,MIN(Team_Matches!I852,Team_Matches!I854),-MIN(Team_Matches!I852,Team_Matches!I854))*IF(Team_Matches!$Q852="W",1,-1),"")</f>
        <v/>
      </c>
      <c r="H68" s="93" t="str">
        <f ca="1">IF(Team_Matches!$Q852&lt;&gt;"",IF(Team_Matches!J852&gt;Team_Matches!J854,MIN(Team_Matches!J852,Team_Matches!J854),-MIN(Team_Matches!J852,Team_Matches!J854))*IF(Team_Matches!$Q852="W",1,-1),"")</f>
        <v/>
      </c>
      <c r="I68" s="93" t="str">
        <f ca="1">IF(Team_Matches!$Q852&lt;&gt;"",IF(Team_Matches!K852=Team_Matches!K854,"",IF(Team_Matches!K852&gt;Team_Matches!K854,MIN(Team_Matches!K852,Team_Matches!K854),-MIN(Team_Matches!K852,Team_Matches!K854))*IF(Team_Matches!$Q852="W",1,-1)),"")</f>
        <v/>
      </c>
      <c r="J68" s="93" t="str">
        <f ca="1">IF(Team_Matches!$Q852&lt;&gt;"",IF(Team_Matches!L852=Team_Matches!L854,"",IF(Team_Matches!L852&gt;Team_Matches!L854,MIN(Team_Matches!L852,Team_Matches!L854),-MIN(Team_Matches!L852,Team_Matches!L854))*IF(Team_Matches!$Q852="W",1,-1)),"")</f>
        <v/>
      </c>
    </row>
    <row r="69" spans="1:10">
      <c r="A69" s="68" t="e">
        <f>$B69&amp;";"&amp;VLOOKUP($B69,Players!$C$4:$G$132,5,FALSE)&amp;";"&amp;IF(ISERROR(VLOOKUP($B69,Players!$C$4:$G$132,2,FALSE)),0,VLOOKUP($B69,Players!$C$4:$G$132,2,FALSE))&amp;";"&amp;$C69&amp;";"&amp;VLOOKUP($C69,Players!$C$4:$G$132,5,FALSE)&amp;";"&amp;IF(ISERROR(VLOOKUP($C69,Players!$C$4:$G$132,2,FALSE)),0,VLOOKUP($C69,Players!$C$4:$G$132,2,FALSE))&amp;"|"</f>
        <v>#N/A</v>
      </c>
      <c r="B69" t="str">
        <f>IF(Team_Matches!$Q882="W",Team_Matches!$B882,IF(Team_Matches!$Q884="W",Team_Matches!$B884,""))</f>
        <v/>
      </c>
      <c r="C69" t="str">
        <f>IF(Team_Matches!$Q882="L",Team_Matches!$B882,IF(Team_Matches!$Q884="L",Team_Matches!$B884,""))</f>
        <v/>
      </c>
      <c r="D69" t="str">
        <f>CONCATENATE(Team_Matches!$B876," vs ",Team_Matches!$K876)</f>
        <v>J vs K</v>
      </c>
      <c r="E69" t="str">
        <f>Team_Matches!A880</f>
        <v>1st Singles</v>
      </c>
      <c r="F69" s="93" t="str">
        <f>IF(Team_Matches!$Q882&lt;&gt;"",IF(Team_Matches!H882&gt;Team_Matches!H884,MIN(Team_Matches!H882,Team_Matches!H884),-MIN(Team_Matches!H882,Team_Matches!H884))*IF(Team_Matches!$Q882="W",1,-1),"")</f>
        <v/>
      </c>
      <c r="G69" s="93" t="str">
        <f>IF(Team_Matches!$Q882&lt;&gt;"",IF(Team_Matches!I882&gt;Team_Matches!I884,MIN(Team_Matches!I882,Team_Matches!I884),-MIN(Team_Matches!I882,Team_Matches!I884))*IF(Team_Matches!$Q882="W",1,-1),"")</f>
        <v/>
      </c>
      <c r="H69" s="93" t="str">
        <f>IF(Team_Matches!$Q882&lt;&gt;"",IF(Team_Matches!J882&gt;Team_Matches!J884,MIN(Team_Matches!J882,Team_Matches!J884),-MIN(Team_Matches!J882,Team_Matches!J884))*IF(Team_Matches!$Q882="W",1,-1),"")</f>
        <v/>
      </c>
      <c r="I69" s="93" t="str">
        <f>IF(Team_Matches!$Q882&lt;&gt;"",IF(Team_Matches!K882=Team_Matches!K884,"",IF(Team_Matches!K882&gt;Team_Matches!K884,MIN(Team_Matches!K882,Team_Matches!K884),-MIN(Team_Matches!K882,Team_Matches!K884))*IF(Team_Matches!$Q882="W",1,-1)),"")</f>
        <v/>
      </c>
      <c r="J69" s="93" t="str">
        <f>IF(Team_Matches!$Q882&lt;&gt;"",IF(Team_Matches!L882=Team_Matches!L884,"",IF(Team_Matches!L882&gt;Team_Matches!L884,MIN(Team_Matches!L882,Team_Matches!L884),-MIN(Team_Matches!L882,Team_Matches!L884))*IF(Team_Matches!$Q882="W",1,-1)),"")</f>
        <v/>
      </c>
    </row>
    <row r="70" spans="1:10">
      <c r="A70" s="68" t="e">
        <f>$B70&amp;";"&amp;VLOOKUP($B70,Players!$C$4:$G$132,5,FALSE)&amp;";"&amp;IF(ISERROR(VLOOKUP($B70,Players!$C$4:$G$132,2,FALSE)),0,VLOOKUP($B70,Players!$C$4:$G$132,2,FALSE))&amp;";"&amp;$C70&amp;";"&amp;VLOOKUP($C70,Players!$C$4:$G$132,5,FALSE)&amp;";"&amp;IF(ISERROR(VLOOKUP($C70,Players!$C$4:$G$132,2,FALSE)),0,VLOOKUP($C70,Players!$C$4:$G$132,2,FALSE))&amp;"|"</f>
        <v>#N/A</v>
      </c>
      <c r="B70" t="str">
        <f>IF(Team_Matches!$Q889="W",Team_Matches!$B889,IF(Team_Matches!$Q891="W",Team_Matches!$B891,""))</f>
        <v/>
      </c>
      <c r="C70" t="str">
        <f>IF(Team_Matches!$Q889="L",Team_Matches!$B889,IF(Team_Matches!$Q891="L",Team_Matches!$B891,""))</f>
        <v/>
      </c>
      <c r="D70" t="str">
        <f>CONCATENATE(Team_Matches!$B876," vs ",Team_Matches!$K876)</f>
        <v>J vs K</v>
      </c>
      <c r="E70" t="str">
        <f>Team_Matches!$A887</f>
        <v>2nd Singles</v>
      </c>
      <c r="F70" s="93" t="str">
        <f>IF(Team_Matches!$Q889&lt;&gt;"",IF(Team_Matches!H889&gt;Team_Matches!H891,MIN(Team_Matches!H889,Team_Matches!H891),-MIN(Team_Matches!H889,Team_Matches!H891))*IF(Team_Matches!$Q889="W",1,-1),"")</f>
        <v/>
      </c>
      <c r="G70" s="93" t="str">
        <f>IF(Team_Matches!$Q889&lt;&gt;"",IF(Team_Matches!I889&gt;Team_Matches!I891,MIN(Team_Matches!I889,Team_Matches!I891),-MIN(Team_Matches!I889,Team_Matches!I891))*IF(Team_Matches!$Q889="W",1,-1),"")</f>
        <v/>
      </c>
      <c r="H70" s="93" t="str">
        <f>IF(Team_Matches!$Q889&lt;&gt;"",IF(Team_Matches!J889&gt;Team_Matches!J891,MIN(Team_Matches!J889,Team_Matches!J891),-MIN(Team_Matches!J889,Team_Matches!J891))*IF(Team_Matches!$Q889="W",1,-1),"")</f>
        <v/>
      </c>
      <c r="I70" s="93" t="str">
        <f>IF(Team_Matches!$Q889&lt;&gt;"",IF(Team_Matches!K889=Team_Matches!K891,"",IF(Team_Matches!K889&gt;Team_Matches!K891,MIN(Team_Matches!K889,Team_Matches!K891),-MIN(Team_Matches!K889,Team_Matches!K891))*IF(Team_Matches!$Q889="W",1,-1)),"")</f>
        <v/>
      </c>
      <c r="J70" s="93" t="str">
        <f>IF(Team_Matches!$Q889&lt;&gt;"",IF(Team_Matches!L889=Team_Matches!L891,"",IF(Team_Matches!L889&gt;Team_Matches!L891,MIN(Team_Matches!L889,Team_Matches!L891),-MIN(Team_Matches!L889,Team_Matches!L891))*IF(Team_Matches!$Q889="W",1,-1)),"")</f>
        <v/>
      </c>
    </row>
    <row r="71" spans="1:10">
      <c r="A71" s="68" t="e">
        <f>$B71&amp;";"&amp;VLOOKUP($B71,Players!$C$4:$G$132,5,FALSE)&amp;";"&amp;IF(ISERROR(VLOOKUP($B71,Players!$C$4:$G$132,2,FALSE)),0,VLOOKUP($B71,Players!$C$4:$G$132,2,FALSE))&amp;";"&amp;$C71&amp;";"&amp;VLOOKUP($C71,Players!$C$4:$G$132,5,FALSE)&amp;";"&amp;IF(ISERROR(VLOOKUP($C71,Players!$C$4:$G$132,2,FALSE)),0,VLOOKUP($C71,Players!$C$4:$G$132,2,FALSE))&amp;"|"</f>
        <v>#N/A</v>
      </c>
      <c r="B71" t="str">
        <f>IF(Team_Matches!$Q896="W",Team_Matches!$B896,IF(Team_Matches!$Q898="W",Team_Matches!$B898,""))</f>
        <v/>
      </c>
      <c r="C71" t="str">
        <f>IF(Team_Matches!$Q896="L",Team_Matches!$B896,IF(Team_Matches!$Q898="L",Team_Matches!$B898,""))</f>
        <v/>
      </c>
      <c r="D71" t="str">
        <f>CONCATENATE(Team_Matches!$B876," vs ",Team_Matches!$K876)</f>
        <v>J vs K</v>
      </c>
      <c r="E71" t="str">
        <f>Team_Matches!$A894</f>
        <v>3rd Singles</v>
      </c>
      <c r="F71" s="93" t="str">
        <f>IF(Team_Matches!$Q896&lt;&gt;"",IF(Team_Matches!H896&gt;Team_Matches!H898,MIN(Team_Matches!H896,Team_Matches!H898),-MIN(Team_Matches!H896,Team_Matches!H898))*IF(Team_Matches!$Q896="W",1,-1),"")</f>
        <v/>
      </c>
      <c r="G71" s="93" t="str">
        <f>IF(Team_Matches!$Q896&lt;&gt;"",IF(Team_Matches!I896&gt;Team_Matches!I898,MIN(Team_Matches!I896,Team_Matches!I898),-MIN(Team_Matches!I896,Team_Matches!I898))*IF(Team_Matches!$Q896="W",1,-1),"")</f>
        <v/>
      </c>
      <c r="H71" s="93" t="str">
        <f>IF(Team_Matches!$Q896&lt;&gt;"",IF(Team_Matches!J896&gt;Team_Matches!J898,MIN(Team_Matches!J896,Team_Matches!J898),-MIN(Team_Matches!J896,Team_Matches!J898))*IF(Team_Matches!$Q896="W",1,-1),"")</f>
        <v/>
      </c>
      <c r="I71" s="93" t="str">
        <f>IF(Team_Matches!$Q896&lt;&gt;"",IF(Team_Matches!K896=Team_Matches!K898,"",IF(Team_Matches!K896&gt;Team_Matches!K898,MIN(Team_Matches!K896,Team_Matches!K898),-MIN(Team_Matches!K896,Team_Matches!K898))*IF(Team_Matches!$Q896="W",1,-1)),"")</f>
        <v/>
      </c>
      <c r="J71" s="93" t="str">
        <f>IF(Team_Matches!$Q896&lt;&gt;"",IF(Team_Matches!L896=Team_Matches!L898,"",IF(Team_Matches!L896&gt;Team_Matches!L898,MIN(Team_Matches!L896,Team_Matches!L898),-MIN(Team_Matches!L896,Team_Matches!L898))*IF(Team_Matches!$Q896="W",1,-1)),"")</f>
        <v/>
      </c>
    </row>
    <row r="72" spans="1:10">
      <c r="A72" s="68" t="e">
        <f ca="1">$B72&amp;";"&amp;VLOOKUP($B72,Players!$C$4:$G$132,5,FALSE)&amp;";"&amp;IF(ISERROR(VLOOKUP($B72,Players!$C$4:$G$132,2,FALSE)),0,VLOOKUP($B72,Players!$C$4:$G$132,2,FALSE))&amp;";"&amp;$C72&amp;";"&amp;VLOOKUP($C72,Players!$C$4:$G$132,5,FALSE)&amp;";"&amp;IF(ISERROR(VLOOKUP($C72,Players!$C$4:$G$132,2,FALSE)),0,VLOOKUP($C72,Players!$C$4:$G$132,2,FALSE))&amp;"|"</f>
        <v>#N/A</v>
      </c>
      <c r="B72" t="str">
        <f ca="1">IF(Team_Matches!$Q903="W",Team_Matches!$B903,IF(Team_Matches!$Q905="W",Team_Matches!$B905,""))</f>
        <v/>
      </c>
      <c r="C72" t="str">
        <f ca="1">IF(Team_Matches!$Q903="L",Team_Matches!$B903,IF(Team_Matches!$Q905="L",Team_Matches!$B905,""))</f>
        <v/>
      </c>
      <c r="D72" t="str">
        <f>CONCATENATE(Team_Matches!$B876," vs ",Team_Matches!$K876)</f>
        <v>J vs K</v>
      </c>
      <c r="E72" t="str">
        <f>Team_Matches!$A901</f>
        <v>4th Singles</v>
      </c>
      <c r="F72" s="93" t="str">
        <f ca="1">IF(Team_Matches!$Q903&lt;&gt;"",IF(Team_Matches!H903&gt;Team_Matches!H905,MIN(Team_Matches!H903,Team_Matches!H905),-MIN(Team_Matches!H903,Team_Matches!H905))*IF(Team_Matches!$Q903="W",1,-1),"")</f>
        <v/>
      </c>
      <c r="G72" s="93" t="str">
        <f ca="1">IF(Team_Matches!$Q903&lt;&gt;"",IF(Team_Matches!I903&gt;Team_Matches!I905,MIN(Team_Matches!I903,Team_Matches!I905),-MIN(Team_Matches!I903,Team_Matches!I905))*IF(Team_Matches!$Q903="W",1,-1),"")</f>
        <v/>
      </c>
      <c r="H72" s="93" t="str">
        <f ca="1">IF(Team_Matches!$Q903&lt;&gt;"",IF(Team_Matches!J903&gt;Team_Matches!J905,MIN(Team_Matches!J903,Team_Matches!J905),-MIN(Team_Matches!J903,Team_Matches!J905))*IF(Team_Matches!$Q903="W",1,-1),"")</f>
        <v/>
      </c>
      <c r="I72" s="93" t="str">
        <f ca="1">IF(Team_Matches!$Q903&lt;&gt;"",IF(Team_Matches!K903=Team_Matches!K905,"",IF(Team_Matches!K903&gt;Team_Matches!K905,MIN(Team_Matches!K903,Team_Matches!K905),-MIN(Team_Matches!K903,Team_Matches!K905))*IF(Team_Matches!$Q903="W",1,-1)),"")</f>
        <v/>
      </c>
      <c r="J72" s="93" t="str">
        <f ca="1">IF(Team_Matches!$Q903&lt;&gt;"",IF(Team_Matches!L903=Team_Matches!L905,"",IF(Team_Matches!L903&gt;Team_Matches!L905,MIN(Team_Matches!L903,Team_Matches!L905),-MIN(Team_Matches!L903,Team_Matches!L905))*IF(Team_Matches!$Q903="W",1,-1)),"")</f>
        <v/>
      </c>
    </row>
    <row r="73" spans="1:10">
      <c r="A73" s="68" t="e">
        <f>$B73&amp;";"&amp;VLOOKUP($B73,Players!$C$4:$G$132,5,FALSE)&amp;";"&amp;IF(ISERROR(VLOOKUP($B73,Players!$C$4:$G$132,2,FALSE)),0,VLOOKUP($B73,Players!$C$4:$G$132,2,FALSE))&amp;";"&amp;$C73&amp;";"&amp;VLOOKUP($C73,Players!$C$4:$G$132,5,FALSE)&amp;";"&amp;IF(ISERROR(VLOOKUP($C73,Players!$C$4:$G$132,2,FALSE)),0,VLOOKUP($C73,Players!$C$4:$G$132,2,FALSE))&amp;"|"</f>
        <v>#N/A</v>
      </c>
      <c r="B73" t="str">
        <f>IF(Team_Matches!$Q933="W",Team_Matches!$B933,IF(Team_Matches!$Q935="W",Team_Matches!$B935,""))</f>
        <v/>
      </c>
      <c r="C73" t="str">
        <f>IF(Team_Matches!$Q933="L",Team_Matches!$B933,IF(Team_Matches!$Q935="L",Team_Matches!$B935,""))</f>
        <v/>
      </c>
      <c r="D73" t="str">
        <f>CONCATENATE(Team_Matches!$B927," vs ",Team_Matches!$K927)</f>
        <v>A vs E</v>
      </c>
      <c r="E73" t="str">
        <f>Team_Matches!A931</f>
        <v>1st Singles</v>
      </c>
      <c r="F73" s="93" t="str">
        <f>IF(Team_Matches!$Q933&lt;&gt;"",IF(Team_Matches!H933&gt;Team_Matches!H935,MIN(Team_Matches!H933,Team_Matches!H935),-MIN(Team_Matches!H933,Team_Matches!H935))*IF(Team_Matches!$Q933="W",1,-1),"")</f>
        <v/>
      </c>
      <c r="G73" s="93" t="str">
        <f>IF(Team_Matches!$Q933&lt;&gt;"",IF(Team_Matches!I933&gt;Team_Matches!I935,MIN(Team_Matches!I933,Team_Matches!I935),-MIN(Team_Matches!I933,Team_Matches!I935))*IF(Team_Matches!$Q933="W",1,-1),"")</f>
        <v/>
      </c>
      <c r="H73" s="93" t="str">
        <f>IF(Team_Matches!$Q933&lt;&gt;"",IF(Team_Matches!J933&gt;Team_Matches!J935,MIN(Team_Matches!J933,Team_Matches!J935),-MIN(Team_Matches!J933,Team_Matches!J935))*IF(Team_Matches!$Q933="W",1,-1),"")</f>
        <v/>
      </c>
      <c r="I73" s="93" t="str">
        <f>IF(Team_Matches!$Q933&lt;&gt;"",IF(Team_Matches!K933=Team_Matches!K935,"",IF(Team_Matches!K933&gt;Team_Matches!K935,MIN(Team_Matches!K933,Team_Matches!K935),-MIN(Team_Matches!K933,Team_Matches!K935))*IF(Team_Matches!$Q933="W",1,-1)),"")</f>
        <v/>
      </c>
      <c r="J73" s="93" t="str">
        <f>IF(Team_Matches!$Q933&lt;&gt;"",IF(Team_Matches!L933=Team_Matches!L935,"",IF(Team_Matches!L933&gt;Team_Matches!L935,MIN(Team_Matches!L933,Team_Matches!L935),-MIN(Team_Matches!L933,Team_Matches!L935))*IF(Team_Matches!$Q933="W",1,-1)),"")</f>
        <v/>
      </c>
    </row>
    <row r="74" spans="1:10">
      <c r="A74" s="68" t="e">
        <f>$B74&amp;";"&amp;VLOOKUP($B74,Players!$C$4:$G$132,5,FALSE)&amp;";"&amp;IF(ISERROR(VLOOKUP($B74,Players!$C$4:$G$132,2,FALSE)),0,VLOOKUP($B74,Players!$C$4:$G$132,2,FALSE))&amp;";"&amp;$C74&amp;";"&amp;VLOOKUP($C74,Players!$C$4:$G$132,5,FALSE)&amp;";"&amp;IF(ISERROR(VLOOKUP($C74,Players!$C$4:$G$132,2,FALSE)),0,VLOOKUP($C74,Players!$C$4:$G$132,2,FALSE))&amp;"|"</f>
        <v>#N/A</v>
      </c>
      <c r="B74" t="str">
        <f>IF(Team_Matches!$Q940="W",Team_Matches!$B940,IF(Team_Matches!$Q942="W",Team_Matches!$B942,""))</f>
        <v/>
      </c>
      <c r="C74" t="str">
        <f>IF(Team_Matches!$Q940="L",Team_Matches!$B940,IF(Team_Matches!$Q942="L",Team_Matches!$B942,""))</f>
        <v/>
      </c>
      <c r="D74" t="str">
        <f>CONCATENATE(Team_Matches!$B927," vs ",Team_Matches!$K927)</f>
        <v>A vs E</v>
      </c>
      <c r="E74" t="str">
        <f>Team_Matches!$A938</f>
        <v>2nd Singles</v>
      </c>
      <c r="F74" s="93" t="str">
        <f>IF(Team_Matches!$Q940&lt;&gt;"",IF(Team_Matches!H940&gt;Team_Matches!H942,MIN(Team_Matches!H940,Team_Matches!H942),-MIN(Team_Matches!H940,Team_Matches!H942))*IF(Team_Matches!$Q940="W",1,-1),"")</f>
        <v/>
      </c>
      <c r="G74" s="93" t="str">
        <f>IF(Team_Matches!$Q940&lt;&gt;"",IF(Team_Matches!I940&gt;Team_Matches!I942,MIN(Team_Matches!I940,Team_Matches!I942),-MIN(Team_Matches!I940,Team_Matches!I942))*IF(Team_Matches!$Q940="W",1,-1),"")</f>
        <v/>
      </c>
      <c r="H74" s="93" t="str">
        <f>IF(Team_Matches!$Q940&lt;&gt;"",IF(Team_Matches!J940&gt;Team_Matches!J942,MIN(Team_Matches!J940,Team_Matches!J942),-MIN(Team_Matches!J940,Team_Matches!J942))*IF(Team_Matches!$Q940="W",1,-1),"")</f>
        <v/>
      </c>
      <c r="I74" s="93" t="str">
        <f>IF(Team_Matches!$Q940&lt;&gt;"",IF(Team_Matches!K940=Team_Matches!K942,"",IF(Team_Matches!K940&gt;Team_Matches!K942,MIN(Team_Matches!K940,Team_Matches!K942),-MIN(Team_Matches!K940,Team_Matches!K942))*IF(Team_Matches!$Q940="W",1,-1)),"")</f>
        <v/>
      </c>
      <c r="J74" s="93" t="str">
        <f>IF(Team_Matches!$Q940&lt;&gt;"",IF(Team_Matches!L940=Team_Matches!L942,"",IF(Team_Matches!L940&gt;Team_Matches!L942,MIN(Team_Matches!L940,Team_Matches!L942),-MIN(Team_Matches!L940,Team_Matches!L942))*IF(Team_Matches!$Q940="W",1,-1)),"")</f>
        <v/>
      </c>
    </row>
    <row r="75" spans="1:10">
      <c r="A75" s="68" t="e">
        <f>$B75&amp;";"&amp;VLOOKUP($B75,Players!$C$4:$G$132,5,FALSE)&amp;";"&amp;IF(ISERROR(VLOOKUP($B75,Players!$C$4:$G$132,2,FALSE)),0,VLOOKUP($B75,Players!$C$4:$G$132,2,FALSE))&amp;";"&amp;$C75&amp;";"&amp;VLOOKUP($C75,Players!$C$4:$G$132,5,FALSE)&amp;";"&amp;IF(ISERROR(VLOOKUP($C75,Players!$C$4:$G$132,2,FALSE)),0,VLOOKUP($C75,Players!$C$4:$G$132,2,FALSE))&amp;"|"</f>
        <v>#N/A</v>
      </c>
      <c r="B75" t="str">
        <f>IF(Team_Matches!$Q947="W",Team_Matches!$B947,IF(Team_Matches!$Q949="W",Team_Matches!$B949,""))</f>
        <v/>
      </c>
      <c r="C75" t="str">
        <f>IF(Team_Matches!$Q947="L",Team_Matches!$B947,IF(Team_Matches!$Q949="L",Team_Matches!$B949,""))</f>
        <v/>
      </c>
      <c r="D75" t="str">
        <f>CONCATENATE(Team_Matches!$B927," vs ",Team_Matches!$K927)</f>
        <v>A vs E</v>
      </c>
      <c r="E75" t="str">
        <f>Team_Matches!$A945</f>
        <v>3rd Singles</v>
      </c>
      <c r="F75" s="93" t="str">
        <f>IF(Team_Matches!$Q947&lt;&gt;"",IF(Team_Matches!H947&gt;Team_Matches!H949,MIN(Team_Matches!H947,Team_Matches!H949),-MIN(Team_Matches!H947,Team_Matches!H949))*IF(Team_Matches!$Q947="W",1,-1),"")</f>
        <v/>
      </c>
      <c r="G75" s="93" t="str">
        <f>IF(Team_Matches!$Q947&lt;&gt;"",IF(Team_Matches!I947&gt;Team_Matches!I949,MIN(Team_Matches!I947,Team_Matches!I949),-MIN(Team_Matches!I947,Team_Matches!I949))*IF(Team_Matches!$Q947="W",1,-1),"")</f>
        <v/>
      </c>
      <c r="H75" s="93" t="str">
        <f>IF(Team_Matches!$Q947&lt;&gt;"",IF(Team_Matches!J947&gt;Team_Matches!J949,MIN(Team_Matches!J947,Team_Matches!J949),-MIN(Team_Matches!J947,Team_Matches!J949))*IF(Team_Matches!$Q947="W",1,-1),"")</f>
        <v/>
      </c>
      <c r="I75" s="93" t="str">
        <f>IF(Team_Matches!$Q947&lt;&gt;"",IF(Team_Matches!K947=Team_Matches!K949,"",IF(Team_Matches!K947&gt;Team_Matches!K949,MIN(Team_Matches!K947,Team_Matches!K949),-MIN(Team_Matches!K947,Team_Matches!K949))*IF(Team_Matches!$Q947="W",1,-1)),"")</f>
        <v/>
      </c>
      <c r="J75" s="93" t="str">
        <f>IF(Team_Matches!$Q947&lt;&gt;"",IF(Team_Matches!L947=Team_Matches!L949,"",IF(Team_Matches!L947&gt;Team_Matches!L949,MIN(Team_Matches!L947,Team_Matches!L949),-MIN(Team_Matches!L947,Team_Matches!L949))*IF(Team_Matches!$Q947="W",1,-1)),"")</f>
        <v/>
      </c>
    </row>
    <row r="76" spans="1:10">
      <c r="A76" s="68" t="e">
        <f ca="1">$B76&amp;";"&amp;VLOOKUP($B76,Players!$C$4:$G$132,5,FALSE)&amp;";"&amp;IF(ISERROR(VLOOKUP($B76,Players!$C$4:$G$132,2,FALSE)),0,VLOOKUP($B76,Players!$C$4:$G$132,2,FALSE))&amp;";"&amp;$C76&amp;";"&amp;VLOOKUP($C76,Players!$C$4:$G$132,5,FALSE)&amp;";"&amp;IF(ISERROR(VLOOKUP($C76,Players!$C$4:$G$132,2,FALSE)),0,VLOOKUP($C76,Players!$C$4:$G$132,2,FALSE))&amp;"|"</f>
        <v>#N/A</v>
      </c>
      <c r="B76" t="str">
        <f ca="1">IF(Team_Matches!$Q954="W",Team_Matches!$B954,IF(Team_Matches!$Q956="W",Team_Matches!$B956,""))</f>
        <v/>
      </c>
      <c r="C76" t="str">
        <f ca="1">IF(Team_Matches!$Q954="L",Team_Matches!$B954,IF(Team_Matches!$Q956="L",Team_Matches!$B956,""))</f>
        <v/>
      </c>
      <c r="D76" t="str">
        <f>CONCATENATE(Team_Matches!$B927," vs ",Team_Matches!$K927)</f>
        <v>A vs E</v>
      </c>
      <c r="E76" t="str">
        <f>Team_Matches!$A952</f>
        <v>4th Singles</v>
      </c>
      <c r="F76" s="93" t="str">
        <f ca="1">IF(Team_Matches!$Q954&lt;&gt;"",IF(Team_Matches!H954&gt;Team_Matches!H956,MIN(Team_Matches!H954,Team_Matches!H956),-MIN(Team_Matches!H954,Team_Matches!H956))*IF(Team_Matches!$Q954="W",1,-1),"")</f>
        <v/>
      </c>
      <c r="G76" s="93" t="str">
        <f ca="1">IF(Team_Matches!$Q954&lt;&gt;"",IF(Team_Matches!I954&gt;Team_Matches!I956,MIN(Team_Matches!I954,Team_Matches!I956),-MIN(Team_Matches!I954,Team_Matches!I956))*IF(Team_Matches!$Q954="W",1,-1),"")</f>
        <v/>
      </c>
      <c r="H76" s="93" t="str">
        <f ca="1">IF(Team_Matches!$Q954&lt;&gt;"",IF(Team_Matches!J954&gt;Team_Matches!J956,MIN(Team_Matches!J954,Team_Matches!J956),-MIN(Team_Matches!J954,Team_Matches!J956))*IF(Team_Matches!$Q954="W",1,-1),"")</f>
        <v/>
      </c>
      <c r="I76" s="93" t="str">
        <f ca="1">IF(Team_Matches!$Q954&lt;&gt;"",IF(Team_Matches!K954=Team_Matches!K956,"",IF(Team_Matches!K954&gt;Team_Matches!K956,MIN(Team_Matches!K954,Team_Matches!K956),-MIN(Team_Matches!K954,Team_Matches!K956))*IF(Team_Matches!$Q954="W",1,-1)),"")</f>
        <v/>
      </c>
      <c r="J76" s="93" t="str">
        <f ca="1">IF(Team_Matches!$Q954&lt;&gt;"",IF(Team_Matches!L954=Team_Matches!L956,"",IF(Team_Matches!L954&gt;Team_Matches!L956,MIN(Team_Matches!L954,Team_Matches!L956),-MIN(Team_Matches!L954,Team_Matches!L956))*IF(Team_Matches!$Q954="W",1,-1)),"")</f>
        <v/>
      </c>
    </row>
    <row r="77" spans="1:10">
      <c r="A77" s="68" t="e">
        <f>$B77&amp;";"&amp;VLOOKUP($B77,Players!$C$4:$G$132,5,FALSE)&amp;";"&amp;IF(ISERROR(VLOOKUP($B77,Players!$C$4:$G$132,2,FALSE)),0,VLOOKUP($B77,Players!$C$4:$G$132,2,FALSE))&amp;";"&amp;$C77&amp;";"&amp;VLOOKUP($C77,Players!$C$4:$G$132,5,FALSE)&amp;";"&amp;IF(ISERROR(VLOOKUP($C77,Players!$C$4:$G$132,2,FALSE)),0,VLOOKUP($C77,Players!$C$4:$G$132,2,FALSE))&amp;"|"</f>
        <v>#N/A</v>
      </c>
      <c r="B77" t="str">
        <f>IF(Team_Matches!$Q984="W",Team_Matches!$B984,IF(Team_Matches!$Q986="W",Team_Matches!$B986,""))</f>
        <v/>
      </c>
      <c r="C77" t="str">
        <f>IF(Team_Matches!$Q984="L",Team_Matches!$B984,IF(Team_Matches!$Q986="L",Team_Matches!$B986,""))</f>
        <v/>
      </c>
      <c r="D77" t="str">
        <f>CONCATENATE(Team_Matches!$B978," vs ",Team_Matches!$K978)</f>
        <v>A vs F</v>
      </c>
      <c r="E77" t="str">
        <f>Team_Matches!A982</f>
        <v>1st Singles</v>
      </c>
      <c r="F77" s="93" t="str">
        <f>IF(Team_Matches!$Q984&lt;&gt;"",IF(Team_Matches!H984&gt;Team_Matches!H986,MIN(Team_Matches!H984,Team_Matches!H986),-MIN(Team_Matches!H984,Team_Matches!H986))*IF(Team_Matches!$Q984="W",1,-1),"")</f>
        <v/>
      </c>
      <c r="G77" s="93" t="str">
        <f>IF(Team_Matches!$Q984&lt;&gt;"",IF(Team_Matches!I984&gt;Team_Matches!I986,MIN(Team_Matches!I984,Team_Matches!I986),-MIN(Team_Matches!I984,Team_Matches!I986))*IF(Team_Matches!$Q984="W",1,-1),"")</f>
        <v/>
      </c>
      <c r="H77" s="93" t="str">
        <f>IF(Team_Matches!$Q984&lt;&gt;"",IF(Team_Matches!J984&gt;Team_Matches!J986,MIN(Team_Matches!J984,Team_Matches!J986),-MIN(Team_Matches!J984,Team_Matches!J986))*IF(Team_Matches!$Q984="W",1,-1),"")</f>
        <v/>
      </c>
      <c r="I77" s="93" t="str">
        <f>IF(Team_Matches!$Q984&lt;&gt;"",IF(Team_Matches!K984=Team_Matches!K986,"",IF(Team_Matches!K984&gt;Team_Matches!K986,MIN(Team_Matches!K984,Team_Matches!K986),-MIN(Team_Matches!K984,Team_Matches!K986))*IF(Team_Matches!$Q984="W",1,-1)),"")</f>
        <v/>
      </c>
      <c r="J77" s="93" t="str">
        <f>IF(Team_Matches!$Q984&lt;&gt;"",IF(Team_Matches!L984=Team_Matches!L986,"",IF(Team_Matches!L984&gt;Team_Matches!L986,MIN(Team_Matches!L984,Team_Matches!L986),-MIN(Team_Matches!L984,Team_Matches!L986))*IF(Team_Matches!$Q984="W",1,-1)),"")</f>
        <v/>
      </c>
    </row>
    <row r="78" spans="1:10">
      <c r="A78" s="68" t="e">
        <f>$B78&amp;";"&amp;VLOOKUP($B78,Players!$C$4:$G$132,5,FALSE)&amp;";"&amp;IF(ISERROR(VLOOKUP($B78,Players!$C$4:$G$132,2,FALSE)),0,VLOOKUP($B78,Players!$C$4:$G$132,2,FALSE))&amp;";"&amp;$C78&amp;";"&amp;VLOOKUP($C78,Players!$C$4:$G$132,5,FALSE)&amp;";"&amp;IF(ISERROR(VLOOKUP($C78,Players!$C$4:$G$132,2,FALSE)),0,VLOOKUP($C78,Players!$C$4:$G$132,2,FALSE))&amp;"|"</f>
        <v>#N/A</v>
      </c>
      <c r="B78" t="str">
        <f>IF(Team_Matches!$Q991="W",Team_Matches!$B991,IF(Team_Matches!$Q993="W",Team_Matches!$B993,""))</f>
        <v/>
      </c>
      <c r="C78" t="str">
        <f>IF(Team_Matches!$Q991="L",Team_Matches!$B991,IF(Team_Matches!$Q993="L",Team_Matches!$B993,""))</f>
        <v/>
      </c>
      <c r="D78" t="str">
        <f>CONCATENATE(Team_Matches!$B978," vs ",Team_Matches!$K978)</f>
        <v>A vs F</v>
      </c>
      <c r="E78" t="str">
        <f>Team_Matches!$A989</f>
        <v>2nd Singles</v>
      </c>
      <c r="F78" s="93" t="str">
        <f>IF(Team_Matches!$Q991&lt;&gt;"",IF(Team_Matches!H991&gt;Team_Matches!H993,MIN(Team_Matches!H991,Team_Matches!H993),-MIN(Team_Matches!H991,Team_Matches!H993))*IF(Team_Matches!$Q991="W",1,-1),"")</f>
        <v/>
      </c>
      <c r="G78" s="93" t="str">
        <f>IF(Team_Matches!$Q991&lt;&gt;"",IF(Team_Matches!I991&gt;Team_Matches!I993,MIN(Team_Matches!I991,Team_Matches!I993),-MIN(Team_Matches!I991,Team_Matches!I993))*IF(Team_Matches!$Q991="W",1,-1),"")</f>
        <v/>
      </c>
      <c r="H78" s="93" t="str">
        <f>IF(Team_Matches!$Q991&lt;&gt;"",IF(Team_Matches!J991&gt;Team_Matches!J993,MIN(Team_Matches!J991,Team_Matches!J993),-MIN(Team_Matches!J991,Team_Matches!J993))*IF(Team_Matches!$Q991="W",1,-1),"")</f>
        <v/>
      </c>
      <c r="I78" s="93" t="str">
        <f>IF(Team_Matches!$Q991&lt;&gt;"",IF(Team_Matches!K991=Team_Matches!K993,"",IF(Team_Matches!K991&gt;Team_Matches!K993,MIN(Team_Matches!K991,Team_Matches!K993),-MIN(Team_Matches!K991,Team_Matches!K993))*IF(Team_Matches!$Q991="W",1,-1)),"")</f>
        <v/>
      </c>
      <c r="J78" s="93" t="str">
        <f>IF(Team_Matches!$Q991&lt;&gt;"",IF(Team_Matches!L991=Team_Matches!L993,"",IF(Team_Matches!L991&gt;Team_Matches!L993,MIN(Team_Matches!L991,Team_Matches!L993),-MIN(Team_Matches!L991,Team_Matches!L993))*IF(Team_Matches!$Q991="W",1,-1)),"")</f>
        <v/>
      </c>
    </row>
    <row r="79" spans="1:10">
      <c r="A79" s="68" t="e">
        <f>$B79&amp;";"&amp;VLOOKUP($B79,Players!$C$4:$G$132,5,FALSE)&amp;";"&amp;IF(ISERROR(VLOOKUP($B79,Players!$C$4:$G$132,2,FALSE)),0,VLOOKUP($B79,Players!$C$4:$G$132,2,FALSE))&amp;";"&amp;$C79&amp;";"&amp;VLOOKUP($C79,Players!$C$4:$G$132,5,FALSE)&amp;";"&amp;IF(ISERROR(VLOOKUP($C79,Players!$C$4:$G$132,2,FALSE)),0,VLOOKUP($C79,Players!$C$4:$G$132,2,FALSE))&amp;"|"</f>
        <v>#N/A</v>
      </c>
      <c r="B79" t="str">
        <f>IF(Team_Matches!$Q998="W",Team_Matches!$B998,IF(Team_Matches!$Q1000="W",Team_Matches!$B1000,""))</f>
        <v/>
      </c>
      <c r="C79" t="str">
        <f>IF(Team_Matches!$Q998="L",Team_Matches!$B998,IF(Team_Matches!$Q1000="L",Team_Matches!$B1000,""))</f>
        <v/>
      </c>
      <c r="D79" t="str">
        <f>CONCATENATE(Team_Matches!$B978," vs ",Team_Matches!$K978)</f>
        <v>A vs F</v>
      </c>
      <c r="E79" t="str">
        <f>Team_Matches!$A996</f>
        <v>3rd Singles</v>
      </c>
      <c r="F79" s="93" t="str">
        <f>IF(Team_Matches!$Q998&lt;&gt;"",IF(Team_Matches!H998&gt;Team_Matches!H1000,MIN(Team_Matches!H998,Team_Matches!H1000),-MIN(Team_Matches!H998,Team_Matches!H1000))*IF(Team_Matches!$Q998="W",1,-1),"")</f>
        <v/>
      </c>
      <c r="G79" s="93" t="str">
        <f>IF(Team_Matches!$Q998&lt;&gt;"",IF(Team_Matches!I998&gt;Team_Matches!I1000,MIN(Team_Matches!I998,Team_Matches!I1000),-MIN(Team_Matches!I998,Team_Matches!I1000))*IF(Team_Matches!$Q998="W",1,-1),"")</f>
        <v/>
      </c>
      <c r="H79" s="93" t="str">
        <f>IF(Team_Matches!$Q998&lt;&gt;"",IF(Team_Matches!J998&gt;Team_Matches!J1000,MIN(Team_Matches!J998,Team_Matches!J1000),-MIN(Team_Matches!J998,Team_Matches!J1000))*IF(Team_Matches!$Q998="W",1,-1),"")</f>
        <v/>
      </c>
      <c r="I79" s="93" t="str">
        <f>IF(Team_Matches!$Q998&lt;&gt;"",IF(Team_Matches!K998=Team_Matches!K1000,"",IF(Team_Matches!K998&gt;Team_Matches!K1000,MIN(Team_Matches!K998,Team_Matches!K1000),-MIN(Team_Matches!K998,Team_Matches!K1000))*IF(Team_Matches!$Q998="W",1,-1)),"")</f>
        <v/>
      </c>
      <c r="J79" s="93" t="str">
        <f>IF(Team_Matches!$Q998&lt;&gt;"",IF(Team_Matches!L998=Team_Matches!L1000,"",IF(Team_Matches!L998&gt;Team_Matches!L1000,MIN(Team_Matches!L998,Team_Matches!L1000),-MIN(Team_Matches!L998,Team_Matches!L1000))*IF(Team_Matches!$Q998="W",1,-1)),"")</f>
        <v/>
      </c>
    </row>
    <row r="80" spans="1:10">
      <c r="A80" s="68" t="e">
        <f ca="1">$B80&amp;";"&amp;VLOOKUP($B80,Players!$C$4:$G$132,5,FALSE)&amp;";"&amp;IF(ISERROR(VLOOKUP($B80,Players!$C$4:$G$132,2,FALSE)),0,VLOOKUP($B80,Players!$C$4:$G$132,2,FALSE))&amp;";"&amp;$C80&amp;";"&amp;VLOOKUP($C80,Players!$C$4:$G$132,5,FALSE)&amp;";"&amp;IF(ISERROR(VLOOKUP($C80,Players!$C$4:$G$132,2,FALSE)),0,VLOOKUP($C80,Players!$C$4:$G$132,2,FALSE))&amp;"|"</f>
        <v>#N/A</v>
      </c>
      <c r="B80" t="str">
        <f ca="1">IF(Team_Matches!$Q1005="W",Team_Matches!$B1005,IF(Team_Matches!$Q1007="W",Team_Matches!$B1007,""))</f>
        <v/>
      </c>
      <c r="C80" t="str">
        <f ca="1">IF(Team_Matches!$Q1005="L",Team_Matches!$B1005,IF(Team_Matches!$Q1007="L",Team_Matches!$B1007,""))</f>
        <v/>
      </c>
      <c r="D80" t="str">
        <f>CONCATENATE(Team_Matches!$B978," vs ",Team_Matches!$K978)</f>
        <v>A vs F</v>
      </c>
      <c r="E80" t="str">
        <f>Team_Matches!$A1003</f>
        <v>4th Singles</v>
      </c>
      <c r="F80" s="93" t="str">
        <f ca="1">IF(Team_Matches!$Q1005&lt;&gt;"",IF(Team_Matches!H1005&gt;Team_Matches!H1007,MIN(Team_Matches!H1005,Team_Matches!H1007),-MIN(Team_Matches!H1005,Team_Matches!H1007))*IF(Team_Matches!$Q1005="W",1,-1),"")</f>
        <v/>
      </c>
      <c r="G80" s="93" t="str">
        <f ca="1">IF(Team_Matches!$Q1005&lt;&gt;"",IF(Team_Matches!I1005&gt;Team_Matches!I1007,MIN(Team_Matches!I1005,Team_Matches!I1007),-MIN(Team_Matches!I1005,Team_Matches!I1007))*IF(Team_Matches!$Q1005="W",1,-1),"")</f>
        <v/>
      </c>
      <c r="H80" s="93" t="str">
        <f ca="1">IF(Team_Matches!$Q1005&lt;&gt;"",IF(Team_Matches!J1005&gt;Team_Matches!J1007,MIN(Team_Matches!J1005,Team_Matches!J1007),-MIN(Team_Matches!J1005,Team_Matches!J1007))*IF(Team_Matches!$Q1005="W",1,-1),"")</f>
        <v/>
      </c>
      <c r="I80" s="93" t="str">
        <f ca="1">IF(Team_Matches!$Q1005&lt;&gt;"",IF(Team_Matches!K1005=Team_Matches!K1007,"",IF(Team_Matches!K1005&gt;Team_Matches!K1007,MIN(Team_Matches!K1005,Team_Matches!K1007),-MIN(Team_Matches!K1005,Team_Matches!K1007))*IF(Team_Matches!$Q1005="W",1,-1)),"")</f>
        <v/>
      </c>
      <c r="J80" s="93" t="str">
        <f ca="1">IF(Team_Matches!$Q1005&lt;&gt;"",IF(Team_Matches!L1005=Team_Matches!L1007,"",IF(Team_Matches!L1005&gt;Team_Matches!L1007,MIN(Team_Matches!L1005,Team_Matches!L1007),-MIN(Team_Matches!L1005,Team_Matches!L1007))*IF(Team_Matches!$Q1005="W",1,-1)),"")</f>
        <v/>
      </c>
    </row>
    <row r="81" spans="1:10">
      <c r="A81" s="68" t="e">
        <f>$B81&amp;";"&amp;VLOOKUP($B81,Players!$C$4:$G$132,5,FALSE)&amp;";"&amp;IF(ISERROR(VLOOKUP($B81,Players!$C$4:$G$132,2,FALSE)),0,VLOOKUP($B81,Players!$C$4:$G$132,2,FALSE))&amp;";"&amp;$C81&amp;";"&amp;VLOOKUP($C81,Players!$C$4:$G$132,5,FALSE)&amp;";"&amp;IF(ISERROR(VLOOKUP($C81,Players!$C$4:$G$132,2,FALSE)),0,VLOOKUP($C81,Players!$C$4:$G$132,2,FALSE))&amp;"|"</f>
        <v>#N/A</v>
      </c>
      <c r="B81" t="str">
        <f>IF(Team_Matches!$Q1035="W",Team_Matches!$B1035,IF(Team_Matches!$Q1037="W",Team_Matches!$B1037,""))</f>
        <v/>
      </c>
      <c r="C81" t="str">
        <f>IF(Team_Matches!$Q1035="L",Team_Matches!$B1035,IF(Team_Matches!$Q1037="L",Team_Matches!$B1037,""))</f>
        <v/>
      </c>
      <c r="D81" t="str">
        <f>CONCATENATE(Team_Matches!$B1029," vs ",Team_Matches!$K1029)</f>
        <v>A vs G</v>
      </c>
      <c r="E81" t="str">
        <f>Team_Matches!A1033</f>
        <v>1st Singles</v>
      </c>
      <c r="F81" s="93" t="str">
        <f>IF(Team_Matches!$Q1035&lt;&gt;"",IF(Team_Matches!H1035&gt;Team_Matches!H1037,MIN(Team_Matches!H1035,Team_Matches!H1037),-MIN(Team_Matches!H1035,Team_Matches!H1037))*IF(Team_Matches!$Q1035="W",1,-1),"")</f>
        <v/>
      </c>
      <c r="G81" s="93" t="str">
        <f>IF(Team_Matches!$Q1035&lt;&gt;"",IF(Team_Matches!I1035&gt;Team_Matches!I1037,MIN(Team_Matches!I1035,Team_Matches!I1037),-MIN(Team_Matches!I1035,Team_Matches!I1037))*IF(Team_Matches!$Q1035="W",1,-1),"")</f>
        <v/>
      </c>
      <c r="H81" s="93" t="str">
        <f>IF(Team_Matches!$Q1035&lt;&gt;"",IF(Team_Matches!J1035&gt;Team_Matches!J1037,MIN(Team_Matches!J1035,Team_Matches!J1037),-MIN(Team_Matches!J1035,Team_Matches!J1037))*IF(Team_Matches!$Q1035="W",1,-1),"")</f>
        <v/>
      </c>
      <c r="I81" s="93" t="str">
        <f>IF(Team_Matches!$Q1035&lt;&gt;"",IF(Team_Matches!K1035=Team_Matches!K1037,"",IF(Team_Matches!K1035&gt;Team_Matches!K1037,MIN(Team_Matches!K1035,Team_Matches!K1037),-MIN(Team_Matches!K1035,Team_Matches!K1037))*IF(Team_Matches!$Q1035="W",1,-1)),"")</f>
        <v/>
      </c>
      <c r="J81" s="93" t="str">
        <f>IF(Team_Matches!$Q1035&lt;&gt;"",IF(Team_Matches!L1035=Team_Matches!L1037,"",IF(Team_Matches!L1035&gt;Team_Matches!L1037,MIN(Team_Matches!L1035,Team_Matches!L1037),-MIN(Team_Matches!L1035,Team_Matches!L1037))*IF(Team_Matches!$Q1035="W",1,-1)),"")</f>
        <v/>
      </c>
    </row>
    <row r="82" spans="1:10">
      <c r="A82" s="68" t="e">
        <f>$B82&amp;";"&amp;VLOOKUP($B82,Players!$C$4:$G$132,5,FALSE)&amp;";"&amp;IF(ISERROR(VLOOKUP($B82,Players!$C$4:$G$132,2,FALSE)),0,VLOOKUP($B82,Players!$C$4:$G$132,2,FALSE))&amp;";"&amp;$C82&amp;";"&amp;VLOOKUP($C82,Players!$C$4:$G$132,5,FALSE)&amp;";"&amp;IF(ISERROR(VLOOKUP($C82,Players!$C$4:$G$132,2,FALSE)),0,VLOOKUP($C82,Players!$C$4:$G$132,2,FALSE))&amp;"|"</f>
        <v>#N/A</v>
      </c>
      <c r="B82" t="str">
        <f>IF(Team_Matches!$Q1042="W",Team_Matches!$B1042,IF(Team_Matches!$Q1044="W",Team_Matches!$B1044,""))</f>
        <v/>
      </c>
      <c r="C82" t="str">
        <f>IF(Team_Matches!$Q1042="L",Team_Matches!$B1042,IF(Team_Matches!$Q1044="L",Team_Matches!$B1044,""))</f>
        <v/>
      </c>
      <c r="D82" t="str">
        <f>CONCATENATE(Team_Matches!$B1029," vs ",Team_Matches!$K1029)</f>
        <v>A vs G</v>
      </c>
      <c r="E82" t="str">
        <f>Team_Matches!$A1040</f>
        <v>2nd Singles</v>
      </c>
      <c r="F82" s="93" t="str">
        <f>IF(Team_Matches!$Q1042&lt;&gt;"",IF(Team_Matches!H1042&gt;Team_Matches!H1044,MIN(Team_Matches!H1042,Team_Matches!H1044),-MIN(Team_Matches!H1042,Team_Matches!H1044))*IF(Team_Matches!$Q1042="W",1,-1),"")</f>
        <v/>
      </c>
      <c r="G82" s="93" t="str">
        <f>IF(Team_Matches!$Q1042&lt;&gt;"",IF(Team_Matches!I1042&gt;Team_Matches!I1044,MIN(Team_Matches!I1042,Team_Matches!I1044),-MIN(Team_Matches!I1042,Team_Matches!I1044))*IF(Team_Matches!$Q1042="W",1,-1),"")</f>
        <v/>
      </c>
      <c r="H82" s="93" t="str">
        <f>IF(Team_Matches!$Q1042&lt;&gt;"",IF(Team_Matches!J1042&gt;Team_Matches!J1044,MIN(Team_Matches!J1042,Team_Matches!J1044),-MIN(Team_Matches!J1042,Team_Matches!J1044))*IF(Team_Matches!$Q1042="W",1,-1),"")</f>
        <v/>
      </c>
      <c r="I82" s="93" t="str">
        <f>IF(Team_Matches!$Q1042&lt;&gt;"",IF(Team_Matches!K1042=Team_Matches!K1044,"",IF(Team_Matches!K1042&gt;Team_Matches!K1044,MIN(Team_Matches!K1042,Team_Matches!K1044),-MIN(Team_Matches!K1042,Team_Matches!K1044))*IF(Team_Matches!$Q1042="W",1,-1)),"")</f>
        <v/>
      </c>
      <c r="J82" s="93" t="str">
        <f>IF(Team_Matches!$Q1042&lt;&gt;"",IF(Team_Matches!L1042=Team_Matches!L1044,"",IF(Team_Matches!L1042&gt;Team_Matches!L1044,MIN(Team_Matches!L1042,Team_Matches!L1044),-MIN(Team_Matches!L1042,Team_Matches!L1044))*IF(Team_Matches!$Q1042="W",1,-1)),"")</f>
        <v/>
      </c>
    </row>
    <row r="83" spans="1:10">
      <c r="A83" s="68" t="e">
        <f>$B83&amp;";"&amp;VLOOKUP($B83,Players!$C$4:$G$132,5,FALSE)&amp;";"&amp;IF(ISERROR(VLOOKUP($B83,Players!$C$4:$G$132,2,FALSE)),0,VLOOKUP($B83,Players!$C$4:$G$132,2,FALSE))&amp;";"&amp;$C83&amp;";"&amp;VLOOKUP($C83,Players!$C$4:$G$132,5,FALSE)&amp;";"&amp;IF(ISERROR(VLOOKUP($C83,Players!$C$4:$G$132,2,FALSE)),0,VLOOKUP($C83,Players!$C$4:$G$132,2,FALSE))&amp;"|"</f>
        <v>#N/A</v>
      </c>
      <c r="B83" t="str">
        <f>IF(Team_Matches!$Q1049="W",Team_Matches!$B1049,IF(Team_Matches!$Q1051="W",Team_Matches!$B1051,""))</f>
        <v/>
      </c>
      <c r="C83" t="str">
        <f>IF(Team_Matches!$Q1049="L",Team_Matches!$B1049,IF(Team_Matches!$Q1051="L",Team_Matches!$B1051,""))</f>
        <v/>
      </c>
      <c r="D83" t="str">
        <f>CONCATENATE(Team_Matches!$B1029," vs ",Team_Matches!$K1029)</f>
        <v>A vs G</v>
      </c>
      <c r="E83" t="str">
        <f>Team_Matches!$A1047</f>
        <v>3rd Singles</v>
      </c>
      <c r="F83" s="93" t="str">
        <f>IF(Team_Matches!$Q1049&lt;&gt;"",IF(Team_Matches!H1049&gt;Team_Matches!H1051,MIN(Team_Matches!H1049,Team_Matches!H1051),-MIN(Team_Matches!H1049,Team_Matches!H1051))*IF(Team_Matches!$Q1049="W",1,-1),"")</f>
        <v/>
      </c>
      <c r="G83" s="93" t="str">
        <f>IF(Team_Matches!$Q1049&lt;&gt;"",IF(Team_Matches!I1049&gt;Team_Matches!I1051,MIN(Team_Matches!I1049,Team_Matches!I1051),-MIN(Team_Matches!I1049,Team_Matches!I1051))*IF(Team_Matches!$Q1049="W",1,-1),"")</f>
        <v/>
      </c>
      <c r="H83" s="93" t="str">
        <f>IF(Team_Matches!$Q1049&lt;&gt;"",IF(Team_Matches!J1049&gt;Team_Matches!J1051,MIN(Team_Matches!J1049,Team_Matches!J1051),-MIN(Team_Matches!J1049,Team_Matches!J1051))*IF(Team_Matches!$Q1049="W",1,-1),"")</f>
        <v/>
      </c>
      <c r="I83" s="93" t="str">
        <f>IF(Team_Matches!$Q1049&lt;&gt;"",IF(Team_Matches!K1049=Team_Matches!K1051,"",IF(Team_Matches!K1049&gt;Team_Matches!K1051,MIN(Team_Matches!K1049,Team_Matches!K1051),-MIN(Team_Matches!K1049,Team_Matches!K1051))*IF(Team_Matches!$Q1049="W",1,-1)),"")</f>
        <v/>
      </c>
      <c r="J83" s="93" t="str">
        <f>IF(Team_Matches!$Q1049&lt;&gt;"",IF(Team_Matches!L1049=Team_Matches!L1051,"",IF(Team_Matches!L1049&gt;Team_Matches!L1051,MIN(Team_Matches!L1049,Team_Matches!L1051),-MIN(Team_Matches!L1049,Team_Matches!L1051))*IF(Team_Matches!$Q1049="W",1,-1)),"")</f>
        <v/>
      </c>
    </row>
    <row r="84" spans="1:10">
      <c r="A84" s="68" t="e">
        <f ca="1">$B84&amp;";"&amp;VLOOKUP($B84,Players!$C$4:$G$132,5,FALSE)&amp;";"&amp;IF(ISERROR(VLOOKUP($B84,Players!$C$4:$G$132,2,FALSE)),0,VLOOKUP($B84,Players!$C$4:$G$132,2,FALSE))&amp;";"&amp;$C84&amp;";"&amp;VLOOKUP($C84,Players!$C$4:$G$132,5,FALSE)&amp;";"&amp;IF(ISERROR(VLOOKUP($C84,Players!$C$4:$G$132,2,FALSE)),0,VLOOKUP($C84,Players!$C$4:$G$132,2,FALSE))&amp;"|"</f>
        <v>#N/A</v>
      </c>
      <c r="B84" t="str">
        <f ca="1">IF(Team_Matches!$Q1056="W",Team_Matches!$B1056,IF(Team_Matches!$Q1058="W",Team_Matches!$B1058,""))</f>
        <v/>
      </c>
      <c r="C84" t="str">
        <f ca="1">IF(Team_Matches!$Q1056="L",Team_Matches!$B1056,IF(Team_Matches!$Q1058="L",Team_Matches!$B1058,""))</f>
        <v/>
      </c>
      <c r="D84" t="str">
        <f>CONCATENATE(Team_Matches!$B1029," vs ",Team_Matches!$K1029)</f>
        <v>A vs G</v>
      </c>
      <c r="E84" t="str">
        <f>Team_Matches!$A1054</f>
        <v>4th Singles</v>
      </c>
      <c r="F84" s="93" t="str">
        <f ca="1">IF(Team_Matches!$Q1056&lt;&gt;"",IF(Team_Matches!H1056&gt;Team_Matches!H1058,MIN(Team_Matches!H1056,Team_Matches!H1058),-MIN(Team_Matches!H1056,Team_Matches!H1058))*IF(Team_Matches!$Q1056="W",1,-1),"")</f>
        <v/>
      </c>
      <c r="G84" s="93" t="str">
        <f ca="1">IF(Team_Matches!$Q1056&lt;&gt;"",IF(Team_Matches!I1056&gt;Team_Matches!I1058,MIN(Team_Matches!I1056,Team_Matches!I1058),-MIN(Team_Matches!I1056,Team_Matches!I1058))*IF(Team_Matches!$Q1056="W",1,-1),"")</f>
        <v/>
      </c>
      <c r="H84" s="93" t="str">
        <f ca="1">IF(Team_Matches!$Q1056&lt;&gt;"",IF(Team_Matches!J1056&gt;Team_Matches!J1058,MIN(Team_Matches!J1056,Team_Matches!J1058),-MIN(Team_Matches!J1056,Team_Matches!J1058))*IF(Team_Matches!$Q1056="W",1,-1),"")</f>
        <v/>
      </c>
      <c r="I84" s="93" t="str">
        <f ca="1">IF(Team_Matches!$Q1056&lt;&gt;"",IF(Team_Matches!K1056=Team_Matches!K1058,"",IF(Team_Matches!K1056&gt;Team_Matches!K1058,MIN(Team_Matches!K1056,Team_Matches!K1058),-MIN(Team_Matches!K1056,Team_Matches!K1058))*IF(Team_Matches!$Q1056="W",1,-1)),"")</f>
        <v/>
      </c>
      <c r="J84" s="93" t="str">
        <f ca="1">IF(Team_Matches!$Q1056&lt;&gt;"",IF(Team_Matches!L1056=Team_Matches!L1058,"",IF(Team_Matches!L1056&gt;Team_Matches!L1058,MIN(Team_Matches!L1056,Team_Matches!L1058),-MIN(Team_Matches!L1056,Team_Matches!L1058))*IF(Team_Matches!$Q1056="W",1,-1)),"")</f>
        <v/>
      </c>
    </row>
    <row r="85" spans="1:10">
      <c r="A85" s="68" t="e">
        <f>$B85&amp;";"&amp;VLOOKUP($B85,Players!$C$4:$G$132,5,FALSE)&amp;";"&amp;IF(ISERROR(VLOOKUP($B85,Players!$C$4:$G$132,2,FALSE)),0,VLOOKUP($B85,Players!$C$4:$G$132,2,FALSE))&amp;";"&amp;$C85&amp;";"&amp;VLOOKUP($C85,Players!$C$4:$G$132,5,FALSE)&amp;";"&amp;IF(ISERROR(VLOOKUP($C85,Players!$C$4:$G$132,2,FALSE)),0,VLOOKUP($C85,Players!$C$4:$G$132,2,FALSE))&amp;"|"</f>
        <v>#N/A</v>
      </c>
      <c r="B85" t="str">
        <f>IF(Team_Matches!$Q1086="W",Team_Matches!$B1086,IF(Team_Matches!$Q1088="W",Team_Matches!$B1088,""))</f>
        <v/>
      </c>
      <c r="C85" t="str">
        <f>IF(Team_Matches!$Q1086="L",Team_Matches!$B1086,IF(Team_Matches!$Q1088="L",Team_Matches!$B1088,""))</f>
        <v/>
      </c>
      <c r="D85" t="str">
        <f>CONCATENATE(Team_Matches!$B1080," vs ",Team_Matches!$K1080)</f>
        <v>A vs H</v>
      </c>
      <c r="E85" t="str">
        <f>Team_Matches!A1084</f>
        <v>1st Singles</v>
      </c>
      <c r="F85" s="93" t="str">
        <f>IF(Team_Matches!$Q1086&lt;&gt;"",IF(Team_Matches!H1086&gt;Team_Matches!H1088,MIN(Team_Matches!H1086,Team_Matches!H1088),-MIN(Team_Matches!H1086,Team_Matches!H1088))*IF(Team_Matches!$Q1086="W",1,-1),"")</f>
        <v/>
      </c>
      <c r="G85" s="93" t="str">
        <f>IF(Team_Matches!$Q1086&lt;&gt;"",IF(Team_Matches!I1086&gt;Team_Matches!I1088,MIN(Team_Matches!I1086,Team_Matches!I1088),-MIN(Team_Matches!I1086,Team_Matches!I1088))*IF(Team_Matches!$Q1086="W",1,-1),"")</f>
        <v/>
      </c>
      <c r="H85" s="93" t="str">
        <f>IF(Team_Matches!$Q1086&lt;&gt;"",IF(Team_Matches!J1086&gt;Team_Matches!J1088,MIN(Team_Matches!J1086,Team_Matches!J1088),-MIN(Team_Matches!J1086,Team_Matches!J1088))*IF(Team_Matches!$Q1086="W",1,-1),"")</f>
        <v/>
      </c>
      <c r="I85" s="93" t="str">
        <f>IF(Team_Matches!$Q1086&lt;&gt;"",IF(Team_Matches!K1086=Team_Matches!K1088,"",IF(Team_Matches!K1086&gt;Team_Matches!K1088,MIN(Team_Matches!K1086,Team_Matches!K1088),-MIN(Team_Matches!K1086,Team_Matches!K1088))*IF(Team_Matches!$Q1086="W",1,-1)),"")</f>
        <v/>
      </c>
      <c r="J85" s="93" t="str">
        <f>IF(Team_Matches!$Q1086&lt;&gt;"",IF(Team_Matches!L1086=Team_Matches!L1088,"",IF(Team_Matches!L1086&gt;Team_Matches!L1088,MIN(Team_Matches!L1086,Team_Matches!L1088),-MIN(Team_Matches!L1086,Team_Matches!L1088))*IF(Team_Matches!$Q1086="W",1,-1)),"")</f>
        <v/>
      </c>
    </row>
    <row r="86" spans="1:10">
      <c r="A86" s="68" t="e">
        <f>$B86&amp;";"&amp;VLOOKUP($B86,Players!$C$4:$G$132,5,FALSE)&amp;";"&amp;IF(ISERROR(VLOOKUP($B86,Players!$C$4:$G$132,2,FALSE)),0,VLOOKUP($B86,Players!$C$4:$G$132,2,FALSE))&amp;";"&amp;$C86&amp;";"&amp;VLOOKUP($C86,Players!$C$4:$G$132,5,FALSE)&amp;";"&amp;IF(ISERROR(VLOOKUP($C86,Players!$C$4:$G$132,2,FALSE)),0,VLOOKUP($C86,Players!$C$4:$G$132,2,FALSE))&amp;"|"</f>
        <v>#N/A</v>
      </c>
      <c r="B86" t="str">
        <f>IF(Team_Matches!$Q1093="W",Team_Matches!$B1093,IF(Team_Matches!$Q1095="W",Team_Matches!$B1095,""))</f>
        <v/>
      </c>
      <c r="C86" t="str">
        <f>IF(Team_Matches!$Q1093="L",Team_Matches!$B1093,IF(Team_Matches!$Q1095="L",Team_Matches!$B1095,""))</f>
        <v/>
      </c>
      <c r="D86" t="str">
        <f>CONCATENATE(Team_Matches!$B1080," vs ",Team_Matches!$K1080)</f>
        <v>A vs H</v>
      </c>
      <c r="E86" t="str">
        <f>Team_Matches!$A1091</f>
        <v>2nd Singles</v>
      </c>
      <c r="F86" s="93" t="str">
        <f>IF(Team_Matches!$Q1093&lt;&gt;"",IF(Team_Matches!H1093&gt;Team_Matches!H1095,MIN(Team_Matches!H1093,Team_Matches!H1095),-MIN(Team_Matches!H1093,Team_Matches!H1095))*IF(Team_Matches!$Q1093="W",1,-1),"")</f>
        <v/>
      </c>
      <c r="G86" s="93" t="str">
        <f>IF(Team_Matches!$Q1093&lt;&gt;"",IF(Team_Matches!I1093&gt;Team_Matches!I1095,MIN(Team_Matches!I1093,Team_Matches!I1095),-MIN(Team_Matches!I1093,Team_Matches!I1095))*IF(Team_Matches!$Q1093="W",1,-1),"")</f>
        <v/>
      </c>
      <c r="H86" s="93" t="str">
        <f>IF(Team_Matches!$Q1093&lt;&gt;"",IF(Team_Matches!J1093&gt;Team_Matches!J1095,MIN(Team_Matches!J1093,Team_Matches!J1095),-MIN(Team_Matches!J1093,Team_Matches!J1095))*IF(Team_Matches!$Q1093="W",1,-1),"")</f>
        <v/>
      </c>
      <c r="I86" s="93" t="str">
        <f>IF(Team_Matches!$Q1093&lt;&gt;"",IF(Team_Matches!K1093=Team_Matches!K1095,"",IF(Team_Matches!K1093&gt;Team_Matches!K1095,MIN(Team_Matches!K1093,Team_Matches!K1095),-MIN(Team_Matches!K1093,Team_Matches!K1095))*IF(Team_Matches!$Q1093="W",1,-1)),"")</f>
        <v/>
      </c>
      <c r="J86" s="93" t="str">
        <f>IF(Team_Matches!$Q1093&lt;&gt;"",IF(Team_Matches!L1093=Team_Matches!L1095,"",IF(Team_Matches!L1093&gt;Team_Matches!L1095,MIN(Team_Matches!L1093,Team_Matches!L1095),-MIN(Team_Matches!L1093,Team_Matches!L1095))*IF(Team_Matches!$Q1093="W",1,-1)),"")</f>
        <v/>
      </c>
    </row>
    <row r="87" spans="1:10">
      <c r="A87" s="68" t="e">
        <f>$B87&amp;";"&amp;VLOOKUP($B87,Players!$C$4:$G$132,5,FALSE)&amp;";"&amp;IF(ISERROR(VLOOKUP($B87,Players!$C$4:$G$132,2,FALSE)),0,VLOOKUP($B87,Players!$C$4:$G$132,2,FALSE))&amp;";"&amp;$C87&amp;";"&amp;VLOOKUP($C87,Players!$C$4:$G$132,5,FALSE)&amp;";"&amp;IF(ISERROR(VLOOKUP($C87,Players!$C$4:$G$132,2,FALSE)),0,VLOOKUP($C87,Players!$C$4:$G$132,2,FALSE))&amp;"|"</f>
        <v>#N/A</v>
      </c>
      <c r="B87" t="str">
        <f>IF(Team_Matches!$Q1100="W",Team_Matches!$B1100,IF(Team_Matches!$Q1102="W",Team_Matches!$B1102,""))</f>
        <v/>
      </c>
      <c r="C87" t="str">
        <f>IF(Team_Matches!$Q1100="L",Team_Matches!$B1100,IF(Team_Matches!$Q1102="L",Team_Matches!$B1102,""))</f>
        <v/>
      </c>
      <c r="D87" t="str">
        <f>CONCATENATE(Team_Matches!$B1080," vs ",Team_Matches!$K1080)</f>
        <v>A vs H</v>
      </c>
      <c r="E87" t="str">
        <f>Team_Matches!$A1098</f>
        <v>3rd Singles</v>
      </c>
      <c r="F87" s="93" t="str">
        <f>IF(Team_Matches!$Q1100&lt;&gt;"",IF(Team_Matches!H1100&gt;Team_Matches!H1102,MIN(Team_Matches!H1100,Team_Matches!H1102),-MIN(Team_Matches!H1100,Team_Matches!H1102))*IF(Team_Matches!$Q1100="W",1,-1),"")</f>
        <v/>
      </c>
      <c r="G87" s="93" t="str">
        <f>IF(Team_Matches!$Q1100&lt;&gt;"",IF(Team_Matches!I1100&gt;Team_Matches!I1102,MIN(Team_Matches!I1100,Team_Matches!I1102),-MIN(Team_Matches!I1100,Team_Matches!I1102))*IF(Team_Matches!$Q1100="W",1,-1),"")</f>
        <v/>
      </c>
      <c r="H87" s="93" t="str">
        <f>IF(Team_Matches!$Q1100&lt;&gt;"",IF(Team_Matches!J1100&gt;Team_Matches!J1102,MIN(Team_Matches!J1100,Team_Matches!J1102),-MIN(Team_Matches!J1100,Team_Matches!J1102))*IF(Team_Matches!$Q1100="W",1,-1),"")</f>
        <v/>
      </c>
      <c r="I87" s="93" t="str">
        <f>IF(Team_Matches!$Q1100&lt;&gt;"",IF(Team_Matches!K1100=Team_Matches!K1102,"",IF(Team_Matches!K1100&gt;Team_Matches!K1102,MIN(Team_Matches!K1100,Team_Matches!K1102),-MIN(Team_Matches!K1100,Team_Matches!K1102))*IF(Team_Matches!$Q1100="W",1,-1)),"")</f>
        <v/>
      </c>
      <c r="J87" s="93" t="str">
        <f>IF(Team_Matches!$Q1100&lt;&gt;"",IF(Team_Matches!L1100=Team_Matches!L1102,"",IF(Team_Matches!L1100&gt;Team_Matches!L1102,MIN(Team_Matches!L1100,Team_Matches!L1102),-MIN(Team_Matches!L1100,Team_Matches!L1102))*IF(Team_Matches!$Q1100="W",1,-1)),"")</f>
        <v/>
      </c>
    </row>
    <row r="88" spans="1:10">
      <c r="A88" s="68" t="e">
        <f ca="1">$B88&amp;";"&amp;VLOOKUP($B88,Players!$C$4:$G$132,5,FALSE)&amp;";"&amp;IF(ISERROR(VLOOKUP($B88,Players!$C$4:$G$132,2,FALSE)),0,VLOOKUP($B88,Players!$C$4:$G$132,2,FALSE))&amp;";"&amp;$C88&amp;";"&amp;VLOOKUP($C88,Players!$C$4:$G$132,5,FALSE)&amp;";"&amp;IF(ISERROR(VLOOKUP($C88,Players!$C$4:$G$132,2,FALSE)),0,VLOOKUP($C88,Players!$C$4:$G$132,2,FALSE))&amp;"|"</f>
        <v>#N/A</v>
      </c>
      <c r="B88" t="str">
        <f ca="1">IF(Team_Matches!$Q1107="W",Team_Matches!$B1107,IF(Team_Matches!$Q1109="W",Team_Matches!$B1109,""))</f>
        <v/>
      </c>
      <c r="C88" t="str">
        <f ca="1">IF(Team_Matches!$Q1107="L",Team_Matches!$B1107,IF(Team_Matches!$Q1109="L",Team_Matches!$B1109,""))</f>
        <v/>
      </c>
      <c r="D88" t="str">
        <f>CONCATENATE(Team_Matches!$B1080," vs ",Team_Matches!$K1080)</f>
        <v>A vs H</v>
      </c>
      <c r="E88" t="str">
        <f>Team_Matches!$A1105</f>
        <v>4th Singles</v>
      </c>
      <c r="F88" s="93" t="str">
        <f ca="1">IF(Team_Matches!$Q1107&lt;&gt;"",IF(Team_Matches!H1107&gt;Team_Matches!H1109,MIN(Team_Matches!H1107,Team_Matches!H1109),-MIN(Team_Matches!H1107,Team_Matches!H1109))*IF(Team_Matches!$Q1107="W",1,-1),"")</f>
        <v/>
      </c>
      <c r="G88" s="93" t="str">
        <f ca="1">IF(Team_Matches!$Q1107&lt;&gt;"",IF(Team_Matches!I1107&gt;Team_Matches!I1109,MIN(Team_Matches!I1107,Team_Matches!I1109),-MIN(Team_Matches!I1107,Team_Matches!I1109))*IF(Team_Matches!$Q1107="W",1,-1),"")</f>
        <v/>
      </c>
      <c r="H88" s="93" t="str">
        <f ca="1">IF(Team_Matches!$Q1107&lt;&gt;"",IF(Team_Matches!J1107&gt;Team_Matches!J1109,MIN(Team_Matches!J1107,Team_Matches!J1109),-MIN(Team_Matches!J1107,Team_Matches!J1109))*IF(Team_Matches!$Q1107="W",1,-1),"")</f>
        <v/>
      </c>
      <c r="I88" s="93" t="str">
        <f ca="1">IF(Team_Matches!$Q1107&lt;&gt;"",IF(Team_Matches!K1107=Team_Matches!K1109,"",IF(Team_Matches!K1107&gt;Team_Matches!K1109,MIN(Team_Matches!K1107,Team_Matches!K1109),-MIN(Team_Matches!K1107,Team_Matches!K1109))*IF(Team_Matches!$Q1107="W",1,-1)),"")</f>
        <v/>
      </c>
      <c r="J88" s="93" t="str">
        <f ca="1">IF(Team_Matches!$Q1107&lt;&gt;"",IF(Team_Matches!L1107=Team_Matches!L1109,"",IF(Team_Matches!L1107&gt;Team_Matches!L1109,MIN(Team_Matches!L1107,Team_Matches!L1109),-MIN(Team_Matches!L1107,Team_Matches!L1109))*IF(Team_Matches!$Q1107="W",1,-1)),"")</f>
        <v/>
      </c>
    </row>
    <row r="89" spans="1:10">
      <c r="A89" s="68" t="e">
        <f>$B89&amp;";"&amp;VLOOKUP($B89,Players!$C$4:$G$132,5,FALSE)&amp;";"&amp;IF(ISERROR(VLOOKUP($B89,Players!$C$4:$G$132,2,FALSE)),0,VLOOKUP($B89,Players!$C$4:$G$132,2,FALSE))&amp;";"&amp;$C89&amp;";"&amp;VLOOKUP($C89,Players!$C$4:$G$132,5,FALSE)&amp;";"&amp;IF(ISERROR(VLOOKUP($C89,Players!$C$4:$G$132,2,FALSE)),0,VLOOKUP($C89,Players!$C$4:$G$132,2,FALSE))&amp;"|"</f>
        <v>#N/A</v>
      </c>
      <c r="B89" t="str">
        <f>IF(Team_Matches!$Q1137="W",Team_Matches!$B1137,IF(Team_Matches!$Q1139="W",Team_Matches!$B1139,""))</f>
        <v/>
      </c>
      <c r="C89" t="str">
        <f>IF(Team_Matches!$Q1137="L",Team_Matches!$B1137,IF(Team_Matches!$Q1139="L",Team_Matches!$B1139,""))</f>
        <v/>
      </c>
      <c r="D89" t="str">
        <f>CONCATENATE(Team_Matches!$B1131," vs ",Team_Matches!$K1131)</f>
        <v>A vs I</v>
      </c>
      <c r="E89" t="str">
        <f>Team_Matches!A1135</f>
        <v>1st Singles</v>
      </c>
      <c r="F89" s="93" t="str">
        <f>IF(Team_Matches!$Q1137&lt;&gt;"",IF(Team_Matches!H1137&gt;Team_Matches!H1139,MIN(Team_Matches!H1137,Team_Matches!H1139),-MIN(Team_Matches!H1137,Team_Matches!H1139))*IF(Team_Matches!$Q1137="W",1,-1),"")</f>
        <v/>
      </c>
      <c r="G89" s="93" t="str">
        <f>IF(Team_Matches!$Q1137&lt;&gt;"",IF(Team_Matches!I1137&gt;Team_Matches!I1139,MIN(Team_Matches!I1137,Team_Matches!I1139),-MIN(Team_Matches!I1137,Team_Matches!I1139))*IF(Team_Matches!$Q1137="W",1,-1),"")</f>
        <v/>
      </c>
      <c r="H89" s="93" t="str">
        <f>IF(Team_Matches!$Q1137&lt;&gt;"",IF(Team_Matches!J1137&gt;Team_Matches!J1139,MIN(Team_Matches!J1137,Team_Matches!J1139),-MIN(Team_Matches!J1137,Team_Matches!J1139))*IF(Team_Matches!$Q1137="W",1,-1),"")</f>
        <v/>
      </c>
      <c r="I89" s="93" t="str">
        <f>IF(Team_Matches!$Q1137&lt;&gt;"",IF(Team_Matches!K1137=Team_Matches!K1139,"",IF(Team_Matches!K1137&gt;Team_Matches!K1139,MIN(Team_Matches!K1137,Team_Matches!K1139),-MIN(Team_Matches!K1137,Team_Matches!K1139))*IF(Team_Matches!$Q1137="W",1,-1)),"")</f>
        <v/>
      </c>
      <c r="J89" s="93" t="str">
        <f>IF(Team_Matches!$Q1137&lt;&gt;"",IF(Team_Matches!L1137=Team_Matches!L1139,"",IF(Team_Matches!L1137&gt;Team_Matches!L1139,MIN(Team_Matches!L1137,Team_Matches!L1139),-MIN(Team_Matches!L1137,Team_Matches!L1139))*IF(Team_Matches!$Q1137="W",1,-1)),"")</f>
        <v/>
      </c>
    </row>
    <row r="90" spans="1:10">
      <c r="A90" s="68" t="e">
        <f>$B90&amp;";"&amp;VLOOKUP($B90,Players!$C$4:$G$132,5,FALSE)&amp;";"&amp;IF(ISERROR(VLOOKUP($B90,Players!$C$4:$G$132,2,FALSE)),0,VLOOKUP($B90,Players!$C$4:$G$132,2,FALSE))&amp;";"&amp;$C90&amp;";"&amp;VLOOKUP($C90,Players!$C$4:$G$132,5,FALSE)&amp;";"&amp;IF(ISERROR(VLOOKUP($C90,Players!$C$4:$G$132,2,FALSE)),0,VLOOKUP($C90,Players!$C$4:$G$132,2,FALSE))&amp;"|"</f>
        <v>#N/A</v>
      </c>
      <c r="B90" t="str">
        <f>IF(Team_Matches!$Q1144="W",Team_Matches!$B1144,IF(Team_Matches!$Q1146="W",Team_Matches!$B1146,""))</f>
        <v/>
      </c>
      <c r="C90" t="str">
        <f>IF(Team_Matches!$Q1144="L",Team_Matches!$B1144,IF(Team_Matches!$Q1146="L",Team_Matches!$B1146,""))</f>
        <v/>
      </c>
      <c r="D90" t="str">
        <f>CONCATENATE(Team_Matches!$B1131," vs ",Team_Matches!$K1131)</f>
        <v>A vs I</v>
      </c>
      <c r="E90" t="str">
        <f>Team_Matches!$A1142</f>
        <v>2nd Singles</v>
      </c>
      <c r="F90" s="93" t="str">
        <f>IF(Team_Matches!$Q1144&lt;&gt;"",IF(Team_Matches!H1144&gt;Team_Matches!H1146,MIN(Team_Matches!H1144,Team_Matches!H1146),-MIN(Team_Matches!H1144,Team_Matches!H1146))*IF(Team_Matches!$Q1144="W",1,-1),"")</f>
        <v/>
      </c>
      <c r="G90" s="93" t="str">
        <f>IF(Team_Matches!$Q1144&lt;&gt;"",IF(Team_Matches!I1144&gt;Team_Matches!I1146,MIN(Team_Matches!I1144,Team_Matches!I1146),-MIN(Team_Matches!I1144,Team_Matches!I1146))*IF(Team_Matches!$Q1144="W",1,-1),"")</f>
        <v/>
      </c>
      <c r="H90" s="93" t="str">
        <f>IF(Team_Matches!$Q1144&lt;&gt;"",IF(Team_Matches!J1144&gt;Team_Matches!J1146,MIN(Team_Matches!J1144,Team_Matches!J1146),-MIN(Team_Matches!J1144,Team_Matches!J1146))*IF(Team_Matches!$Q1144="W",1,-1),"")</f>
        <v/>
      </c>
      <c r="I90" s="93" t="str">
        <f>IF(Team_Matches!$Q1144&lt;&gt;"",IF(Team_Matches!K1144=Team_Matches!K1146,"",IF(Team_Matches!K1144&gt;Team_Matches!K1146,MIN(Team_Matches!K1144,Team_Matches!K1146),-MIN(Team_Matches!K1144,Team_Matches!K1146))*IF(Team_Matches!$Q1144="W",1,-1)),"")</f>
        <v/>
      </c>
      <c r="J90" s="93" t="str">
        <f>IF(Team_Matches!$Q1144&lt;&gt;"",IF(Team_Matches!L1144=Team_Matches!L1146,"",IF(Team_Matches!L1144&gt;Team_Matches!L1146,MIN(Team_Matches!L1144,Team_Matches!L1146),-MIN(Team_Matches!L1144,Team_Matches!L1146))*IF(Team_Matches!$Q1144="W",1,-1)),"")</f>
        <v/>
      </c>
    </row>
    <row r="91" spans="1:10">
      <c r="A91" s="68" t="e">
        <f>$B91&amp;";"&amp;VLOOKUP($B91,Players!$C$4:$G$132,5,FALSE)&amp;";"&amp;IF(ISERROR(VLOOKUP($B91,Players!$C$4:$G$132,2,FALSE)),0,VLOOKUP($B91,Players!$C$4:$G$132,2,FALSE))&amp;";"&amp;$C91&amp;";"&amp;VLOOKUP($C91,Players!$C$4:$G$132,5,FALSE)&amp;";"&amp;IF(ISERROR(VLOOKUP($C91,Players!$C$4:$G$132,2,FALSE)),0,VLOOKUP($C91,Players!$C$4:$G$132,2,FALSE))&amp;"|"</f>
        <v>#N/A</v>
      </c>
      <c r="B91" t="str">
        <f>IF(Team_Matches!$Q1151="W",Team_Matches!$B1151,IF(Team_Matches!$Q1153="W",Team_Matches!$B1153,""))</f>
        <v/>
      </c>
      <c r="C91" t="str">
        <f>IF(Team_Matches!$Q1151="L",Team_Matches!$B1151,IF(Team_Matches!$Q1153="L",Team_Matches!$B1153,""))</f>
        <v/>
      </c>
      <c r="D91" t="str">
        <f>CONCATENATE(Team_Matches!$B1131," vs ",Team_Matches!$K1131)</f>
        <v>A vs I</v>
      </c>
      <c r="E91" t="str">
        <f>Team_Matches!$A1149</f>
        <v>3rd Singles</v>
      </c>
      <c r="F91" s="93" t="str">
        <f>IF(Team_Matches!$Q1151&lt;&gt;"",IF(Team_Matches!H1151&gt;Team_Matches!H1153,MIN(Team_Matches!H1151,Team_Matches!H1153),-MIN(Team_Matches!H1151,Team_Matches!H1153))*IF(Team_Matches!$Q1151="W",1,-1),"")</f>
        <v/>
      </c>
      <c r="G91" s="93" t="str">
        <f>IF(Team_Matches!$Q1151&lt;&gt;"",IF(Team_Matches!I1151&gt;Team_Matches!I1153,MIN(Team_Matches!I1151,Team_Matches!I1153),-MIN(Team_Matches!I1151,Team_Matches!I1153))*IF(Team_Matches!$Q1151="W",1,-1),"")</f>
        <v/>
      </c>
      <c r="H91" s="93" t="str">
        <f>IF(Team_Matches!$Q1151&lt;&gt;"",IF(Team_Matches!J1151&gt;Team_Matches!J1153,MIN(Team_Matches!J1151,Team_Matches!J1153),-MIN(Team_Matches!J1151,Team_Matches!J1153))*IF(Team_Matches!$Q1151="W",1,-1),"")</f>
        <v/>
      </c>
      <c r="I91" s="93" t="str">
        <f>IF(Team_Matches!$Q1151&lt;&gt;"",IF(Team_Matches!K1151=Team_Matches!K1153,"",IF(Team_Matches!K1151&gt;Team_Matches!K1153,MIN(Team_Matches!K1151,Team_Matches!K1153),-MIN(Team_Matches!K1151,Team_Matches!K1153))*IF(Team_Matches!$Q1151="W",1,-1)),"")</f>
        <v/>
      </c>
      <c r="J91" s="93" t="str">
        <f>IF(Team_Matches!$Q1151&lt;&gt;"",IF(Team_Matches!L1151=Team_Matches!L1153,"",IF(Team_Matches!L1151&gt;Team_Matches!L1153,MIN(Team_Matches!L1151,Team_Matches!L1153),-MIN(Team_Matches!L1151,Team_Matches!L1153))*IF(Team_Matches!$Q1151="W",1,-1)),"")</f>
        <v/>
      </c>
    </row>
    <row r="92" spans="1:10">
      <c r="A92" s="68" t="e">
        <f ca="1">$B92&amp;";"&amp;VLOOKUP($B92,Players!$C$4:$G$132,5,FALSE)&amp;";"&amp;IF(ISERROR(VLOOKUP($B92,Players!$C$4:$G$132,2,FALSE)),0,VLOOKUP($B92,Players!$C$4:$G$132,2,FALSE))&amp;";"&amp;$C92&amp;";"&amp;VLOOKUP($C92,Players!$C$4:$G$132,5,FALSE)&amp;";"&amp;IF(ISERROR(VLOOKUP($C92,Players!$C$4:$G$132,2,FALSE)),0,VLOOKUP($C92,Players!$C$4:$G$132,2,FALSE))&amp;"|"</f>
        <v>#N/A</v>
      </c>
      <c r="B92" t="str">
        <f ca="1">IF(Team_Matches!$Q1158="W",Team_Matches!$B1158,IF(Team_Matches!$Q1160="W",Team_Matches!$B1160,""))</f>
        <v/>
      </c>
      <c r="C92" t="str">
        <f ca="1">IF(Team_Matches!$Q1158="L",Team_Matches!$B1158,IF(Team_Matches!$Q1160="L",Team_Matches!$B1160,""))</f>
        <v/>
      </c>
      <c r="D92" t="str">
        <f>CONCATENATE(Team_Matches!$B1131," vs ",Team_Matches!$K1131)</f>
        <v>A vs I</v>
      </c>
      <c r="E92" t="str">
        <f>Team_Matches!$A1156</f>
        <v>4th Singles</v>
      </c>
      <c r="F92" s="93" t="str">
        <f ca="1">IF(Team_Matches!$Q1158&lt;&gt;"",IF(Team_Matches!H1158&gt;Team_Matches!H1160,MIN(Team_Matches!H1158,Team_Matches!H1160),-MIN(Team_Matches!H1158,Team_Matches!H1160))*IF(Team_Matches!$Q1158="W",1,-1),"")</f>
        <v/>
      </c>
      <c r="G92" s="93" t="str">
        <f ca="1">IF(Team_Matches!$Q1158&lt;&gt;"",IF(Team_Matches!I1158&gt;Team_Matches!I1160,MIN(Team_Matches!I1158,Team_Matches!I1160),-MIN(Team_Matches!I1158,Team_Matches!I1160))*IF(Team_Matches!$Q1158="W",1,-1),"")</f>
        <v/>
      </c>
      <c r="H92" s="93" t="str">
        <f ca="1">IF(Team_Matches!$Q1158&lt;&gt;"",IF(Team_Matches!J1158&gt;Team_Matches!J1160,MIN(Team_Matches!J1158,Team_Matches!J1160),-MIN(Team_Matches!J1158,Team_Matches!J1160))*IF(Team_Matches!$Q1158="W",1,-1),"")</f>
        <v/>
      </c>
      <c r="I92" s="93" t="str">
        <f ca="1">IF(Team_Matches!$Q1158&lt;&gt;"",IF(Team_Matches!K1158=Team_Matches!K1160,"",IF(Team_Matches!K1158&gt;Team_Matches!K1160,MIN(Team_Matches!K1158,Team_Matches!K1160),-MIN(Team_Matches!K1158,Team_Matches!K1160))*IF(Team_Matches!$Q1158="W",1,-1)),"")</f>
        <v/>
      </c>
      <c r="J92" s="93" t="str">
        <f ca="1">IF(Team_Matches!$Q1158&lt;&gt;"",IF(Team_Matches!L1158=Team_Matches!L1160,"",IF(Team_Matches!L1158&gt;Team_Matches!L1160,MIN(Team_Matches!L1158,Team_Matches!L1160),-MIN(Team_Matches!L1158,Team_Matches!L1160))*IF(Team_Matches!$Q1158="W",1,-1)),"")</f>
        <v/>
      </c>
    </row>
    <row r="93" spans="1:10">
      <c r="A93" s="68" t="e">
        <f>$B93&amp;";"&amp;VLOOKUP($B93,Players!$C$4:$G$132,5,FALSE)&amp;";"&amp;IF(ISERROR(VLOOKUP($B93,Players!$C$4:$G$132,2,FALSE)),0,VLOOKUP($B93,Players!$C$4:$G$132,2,FALSE))&amp;";"&amp;$C93&amp;";"&amp;VLOOKUP($C93,Players!$C$4:$G$132,5,FALSE)&amp;";"&amp;IF(ISERROR(VLOOKUP($C93,Players!$C$4:$G$132,2,FALSE)),0,VLOOKUP($C93,Players!$C$4:$G$132,2,FALSE))&amp;"|"</f>
        <v>#N/A</v>
      </c>
      <c r="B93" t="str">
        <f>IF(Team_Matches!$Q1188="W",Team_Matches!$B1188,IF(Team_Matches!$Q1190="W",Team_Matches!$B1190,""))</f>
        <v/>
      </c>
      <c r="C93" t="str">
        <f>IF(Team_Matches!$Q1188="L",Team_Matches!$B1188,IF(Team_Matches!$Q1190="L",Team_Matches!$B1190,""))</f>
        <v/>
      </c>
      <c r="D93" t="str">
        <f>CONCATENATE(Team_Matches!$B1182," vs ",Team_Matches!$K1182)</f>
        <v>A vs J</v>
      </c>
      <c r="E93" t="str">
        <f>Team_Matches!A1186</f>
        <v>1st Singles</v>
      </c>
      <c r="F93" s="93" t="str">
        <f>IF(Team_Matches!$Q1188&lt;&gt;"",IF(Team_Matches!H1188&gt;Team_Matches!H1190,MIN(Team_Matches!H1188,Team_Matches!H1190),-MIN(Team_Matches!H1188,Team_Matches!H1190))*IF(Team_Matches!$Q1188="W",1,-1),"")</f>
        <v/>
      </c>
      <c r="G93" s="93" t="str">
        <f>IF(Team_Matches!$Q1188&lt;&gt;"",IF(Team_Matches!I1188&gt;Team_Matches!I1190,MIN(Team_Matches!I1188,Team_Matches!I1190),-MIN(Team_Matches!I1188,Team_Matches!I1190))*IF(Team_Matches!$Q1188="W",1,-1),"")</f>
        <v/>
      </c>
      <c r="H93" s="93" t="str">
        <f>IF(Team_Matches!$Q1188&lt;&gt;"",IF(Team_Matches!J1188&gt;Team_Matches!J1190,MIN(Team_Matches!J1188,Team_Matches!J1190),-MIN(Team_Matches!J1188,Team_Matches!J1190))*IF(Team_Matches!$Q1188="W",1,-1),"")</f>
        <v/>
      </c>
      <c r="I93" s="93" t="str">
        <f>IF(Team_Matches!$Q1188&lt;&gt;"",IF(Team_Matches!K1188=Team_Matches!K1190,"",IF(Team_Matches!K1188&gt;Team_Matches!K1190,MIN(Team_Matches!K1188,Team_Matches!K1190),-MIN(Team_Matches!K1188,Team_Matches!K1190))*IF(Team_Matches!$Q1188="W",1,-1)),"")</f>
        <v/>
      </c>
      <c r="J93" s="93" t="str">
        <f>IF(Team_Matches!$Q1188&lt;&gt;"",IF(Team_Matches!L1188=Team_Matches!L1190,"",IF(Team_Matches!L1188&gt;Team_Matches!L1190,MIN(Team_Matches!L1188,Team_Matches!L1190),-MIN(Team_Matches!L1188,Team_Matches!L1190))*IF(Team_Matches!$Q1188="W",1,-1)),"")</f>
        <v/>
      </c>
    </row>
    <row r="94" spans="1:10">
      <c r="A94" s="68" t="e">
        <f>$B94&amp;";"&amp;VLOOKUP($B94,Players!$C$4:$G$132,5,FALSE)&amp;";"&amp;IF(ISERROR(VLOOKUP($B94,Players!$C$4:$G$132,2,FALSE)),0,VLOOKUP($B94,Players!$C$4:$G$132,2,FALSE))&amp;";"&amp;$C94&amp;";"&amp;VLOOKUP($C94,Players!$C$4:$G$132,5,FALSE)&amp;";"&amp;IF(ISERROR(VLOOKUP($C94,Players!$C$4:$G$132,2,FALSE)),0,VLOOKUP($C94,Players!$C$4:$G$132,2,FALSE))&amp;"|"</f>
        <v>#N/A</v>
      </c>
      <c r="B94" t="str">
        <f>IF(Team_Matches!$Q1195="W",Team_Matches!$B1195,IF(Team_Matches!$Q1197="W",Team_Matches!$B1197,""))</f>
        <v/>
      </c>
      <c r="C94" t="str">
        <f>IF(Team_Matches!$Q1195="L",Team_Matches!$B1195,IF(Team_Matches!$Q1197="L",Team_Matches!$B1197,""))</f>
        <v/>
      </c>
      <c r="D94" t="str">
        <f>CONCATENATE(Team_Matches!$B1182," vs ",Team_Matches!$K1182)</f>
        <v>A vs J</v>
      </c>
      <c r="E94" t="str">
        <f>Team_Matches!$A1193</f>
        <v>2nd Singles</v>
      </c>
      <c r="F94" s="93" t="str">
        <f>IF(Team_Matches!$Q1195&lt;&gt;"",IF(Team_Matches!H1195&gt;Team_Matches!H1197,MIN(Team_Matches!H1195,Team_Matches!H1197),-MIN(Team_Matches!H1195,Team_Matches!H1197))*IF(Team_Matches!$Q1195="W",1,-1),"")</f>
        <v/>
      </c>
      <c r="G94" s="93" t="str">
        <f>IF(Team_Matches!$Q1195&lt;&gt;"",IF(Team_Matches!I1195&gt;Team_Matches!I1197,MIN(Team_Matches!I1195,Team_Matches!I1197),-MIN(Team_Matches!I1195,Team_Matches!I1197))*IF(Team_Matches!$Q1195="W",1,-1),"")</f>
        <v/>
      </c>
      <c r="H94" s="93" t="str">
        <f>IF(Team_Matches!$Q1195&lt;&gt;"",IF(Team_Matches!J1195&gt;Team_Matches!J1197,MIN(Team_Matches!J1195,Team_Matches!J1197),-MIN(Team_Matches!J1195,Team_Matches!J1197))*IF(Team_Matches!$Q1195="W",1,-1),"")</f>
        <v/>
      </c>
      <c r="I94" s="93" t="str">
        <f>IF(Team_Matches!$Q1195&lt;&gt;"",IF(Team_Matches!K1195=Team_Matches!K1197,"",IF(Team_Matches!K1195&gt;Team_Matches!K1197,MIN(Team_Matches!K1195,Team_Matches!K1197),-MIN(Team_Matches!K1195,Team_Matches!K1197))*IF(Team_Matches!$Q1195="W",1,-1)),"")</f>
        <v/>
      </c>
      <c r="J94" s="93" t="str">
        <f>IF(Team_Matches!$Q1195&lt;&gt;"",IF(Team_Matches!L1195=Team_Matches!L1197,"",IF(Team_Matches!L1195&gt;Team_Matches!L1197,MIN(Team_Matches!L1195,Team_Matches!L1197),-MIN(Team_Matches!L1195,Team_Matches!L1197))*IF(Team_Matches!$Q1195="W",1,-1)),"")</f>
        <v/>
      </c>
    </row>
    <row r="95" spans="1:10">
      <c r="A95" s="68" t="e">
        <f>$B95&amp;";"&amp;VLOOKUP($B95,Players!$C$4:$G$132,5,FALSE)&amp;";"&amp;IF(ISERROR(VLOOKUP($B95,Players!$C$4:$G$132,2,FALSE)),0,VLOOKUP($B95,Players!$C$4:$G$132,2,FALSE))&amp;";"&amp;$C95&amp;";"&amp;VLOOKUP($C95,Players!$C$4:$G$132,5,FALSE)&amp;";"&amp;IF(ISERROR(VLOOKUP($C95,Players!$C$4:$G$132,2,FALSE)),0,VLOOKUP($C95,Players!$C$4:$G$132,2,FALSE))&amp;"|"</f>
        <v>#N/A</v>
      </c>
      <c r="B95" t="str">
        <f>IF(Team_Matches!$Q1202="W",Team_Matches!$B1202,IF(Team_Matches!$Q1204="W",Team_Matches!$B1204,""))</f>
        <v/>
      </c>
      <c r="C95" t="str">
        <f>IF(Team_Matches!$Q1202="L",Team_Matches!$B1202,IF(Team_Matches!$Q1204="L",Team_Matches!$B1204,""))</f>
        <v/>
      </c>
      <c r="D95" t="str">
        <f>CONCATENATE(Team_Matches!$B1182," vs ",Team_Matches!$K1182)</f>
        <v>A vs J</v>
      </c>
      <c r="E95" t="str">
        <f>Team_Matches!$A1200</f>
        <v>3rd Singles</v>
      </c>
      <c r="F95" s="93" t="str">
        <f>IF(Team_Matches!$Q1202&lt;&gt;"",IF(Team_Matches!H1202&gt;Team_Matches!H1204,MIN(Team_Matches!H1202,Team_Matches!H1204),-MIN(Team_Matches!H1202,Team_Matches!H1204))*IF(Team_Matches!$Q1202="W",1,-1),"")</f>
        <v/>
      </c>
      <c r="G95" s="93" t="str">
        <f>IF(Team_Matches!$Q1202&lt;&gt;"",IF(Team_Matches!I1202&gt;Team_Matches!I1204,MIN(Team_Matches!I1202,Team_Matches!I1204),-MIN(Team_Matches!I1202,Team_Matches!I1204))*IF(Team_Matches!$Q1202="W",1,-1),"")</f>
        <v/>
      </c>
      <c r="H95" s="93" t="str">
        <f>IF(Team_Matches!$Q1202&lt;&gt;"",IF(Team_Matches!J1202&gt;Team_Matches!J1204,MIN(Team_Matches!J1202,Team_Matches!J1204),-MIN(Team_Matches!J1202,Team_Matches!J1204))*IF(Team_Matches!$Q1202="W",1,-1),"")</f>
        <v/>
      </c>
      <c r="I95" s="93" t="str">
        <f>IF(Team_Matches!$Q1202&lt;&gt;"",IF(Team_Matches!K1202=Team_Matches!K1204,"",IF(Team_Matches!K1202&gt;Team_Matches!K1204,MIN(Team_Matches!K1202,Team_Matches!K1204),-MIN(Team_Matches!K1202,Team_Matches!K1204))*IF(Team_Matches!$Q1202="W",1,-1)),"")</f>
        <v/>
      </c>
      <c r="J95" s="93" t="str">
        <f>IF(Team_Matches!$Q1202&lt;&gt;"",IF(Team_Matches!L1202=Team_Matches!L1204,"",IF(Team_Matches!L1202&gt;Team_Matches!L1204,MIN(Team_Matches!L1202,Team_Matches!L1204),-MIN(Team_Matches!L1202,Team_Matches!L1204))*IF(Team_Matches!$Q1202="W",1,-1)),"")</f>
        <v/>
      </c>
    </row>
    <row r="96" spans="1:10">
      <c r="A96" s="68" t="e">
        <f ca="1">$B96&amp;";"&amp;VLOOKUP($B96,Players!$C$4:$G$132,5,FALSE)&amp;";"&amp;IF(ISERROR(VLOOKUP($B96,Players!$C$4:$G$132,2,FALSE)),0,VLOOKUP($B96,Players!$C$4:$G$132,2,FALSE))&amp;";"&amp;$C96&amp;";"&amp;VLOOKUP($C96,Players!$C$4:$G$132,5,FALSE)&amp;";"&amp;IF(ISERROR(VLOOKUP($C96,Players!$C$4:$G$132,2,FALSE)),0,VLOOKUP($C96,Players!$C$4:$G$132,2,FALSE))&amp;"|"</f>
        <v>#N/A</v>
      </c>
      <c r="B96" t="str">
        <f ca="1">IF(Team_Matches!$Q1209="W",Team_Matches!$B1209,IF(Team_Matches!$Q1211="W",Team_Matches!$B1211,""))</f>
        <v/>
      </c>
      <c r="C96" t="str">
        <f ca="1">IF(Team_Matches!$Q1209="L",Team_Matches!$B1209,IF(Team_Matches!$Q1211="L",Team_Matches!$B1211,""))</f>
        <v/>
      </c>
      <c r="D96" t="str">
        <f>CONCATENATE(Team_Matches!$B1182," vs ",Team_Matches!$K1182)</f>
        <v>A vs J</v>
      </c>
      <c r="E96" t="str">
        <f>Team_Matches!$A1207</f>
        <v>4th Singles</v>
      </c>
      <c r="F96" s="93" t="str">
        <f ca="1">IF(Team_Matches!$Q1209&lt;&gt;"",IF(Team_Matches!H1209&gt;Team_Matches!H1211,MIN(Team_Matches!H1209,Team_Matches!H1211),-MIN(Team_Matches!H1209,Team_Matches!H1211))*IF(Team_Matches!$Q1209="W",1,-1),"")</f>
        <v/>
      </c>
      <c r="G96" s="93" t="str">
        <f ca="1">IF(Team_Matches!$Q1209&lt;&gt;"",IF(Team_Matches!I1209&gt;Team_Matches!I1211,MIN(Team_Matches!I1209,Team_Matches!I1211),-MIN(Team_Matches!I1209,Team_Matches!I1211))*IF(Team_Matches!$Q1209="W",1,-1),"")</f>
        <v/>
      </c>
      <c r="H96" s="93" t="str">
        <f ca="1">IF(Team_Matches!$Q1209&lt;&gt;"",IF(Team_Matches!J1209&gt;Team_Matches!J1211,MIN(Team_Matches!J1209,Team_Matches!J1211),-MIN(Team_Matches!J1209,Team_Matches!J1211))*IF(Team_Matches!$Q1209="W",1,-1),"")</f>
        <v/>
      </c>
      <c r="I96" s="93" t="str">
        <f ca="1">IF(Team_Matches!$Q1209&lt;&gt;"",IF(Team_Matches!K1209=Team_Matches!K1211,"",IF(Team_Matches!K1209&gt;Team_Matches!K1211,MIN(Team_Matches!K1209,Team_Matches!K1211),-MIN(Team_Matches!K1209,Team_Matches!K1211))*IF(Team_Matches!$Q1209="W",1,-1)),"")</f>
        <v/>
      </c>
      <c r="J96" s="93" t="str">
        <f ca="1">IF(Team_Matches!$Q1209&lt;&gt;"",IF(Team_Matches!L1209=Team_Matches!L1211,"",IF(Team_Matches!L1209&gt;Team_Matches!L1211,MIN(Team_Matches!L1209,Team_Matches!L1211),-MIN(Team_Matches!L1209,Team_Matches!L1211))*IF(Team_Matches!$Q1209="W",1,-1)),"")</f>
        <v/>
      </c>
    </row>
    <row r="97" spans="1:10">
      <c r="A97" s="68" t="e">
        <f>$B97&amp;";"&amp;VLOOKUP($B97,Players!$C$4:$G$132,5,FALSE)&amp;";"&amp;IF(ISERROR(VLOOKUP($B97,Players!$C$4:$G$132,2,FALSE)),0,VLOOKUP($B97,Players!$C$4:$G$132,2,FALSE))&amp;";"&amp;$C97&amp;";"&amp;VLOOKUP($C97,Players!$C$4:$G$132,5,FALSE)&amp;";"&amp;IF(ISERROR(VLOOKUP($C97,Players!$C$4:$G$132,2,FALSE)),0,VLOOKUP($C97,Players!$C$4:$G$132,2,FALSE))&amp;"|"</f>
        <v>#N/A</v>
      </c>
      <c r="B97" t="str">
        <f>IF(Team_Matches!$Q1239="W",Team_Matches!$B1239,IF(Team_Matches!$Q1241="W",Team_Matches!$B1241,""))</f>
        <v/>
      </c>
      <c r="C97" t="str">
        <f>IF(Team_Matches!$Q1239="L",Team_Matches!$B1239,IF(Team_Matches!$Q1241="L",Team_Matches!$B1241,""))</f>
        <v/>
      </c>
      <c r="D97" t="str">
        <f>CONCATENATE(Team_Matches!$B1233," vs ",Team_Matches!$K1233)</f>
        <v>A vs K</v>
      </c>
      <c r="E97" t="str">
        <f>Team_Matches!A1237</f>
        <v>1st Singles</v>
      </c>
      <c r="F97" s="93" t="str">
        <f>IF(Team_Matches!$Q1239&lt;&gt;"",IF(Team_Matches!H1239&gt;Team_Matches!H1241,MIN(Team_Matches!H1239,Team_Matches!H1241),-MIN(Team_Matches!H1239,Team_Matches!H1241))*IF(Team_Matches!$Q1239="W",1,-1),"")</f>
        <v/>
      </c>
      <c r="G97" s="93" t="str">
        <f>IF(Team_Matches!$Q1239&lt;&gt;"",IF(Team_Matches!I1239&gt;Team_Matches!I1241,MIN(Team_Matches!I1239,Team_Matches!I1241),-MIN(Team_Matches!I1239,Team_Matches!I1241))*IF(Team_Matches!$Q1239="W",1,-1),"")</f>
        <v/>
      </c>
      <c r="H97" s="93" t="str">
        <f>IF(Team_Matches!$Q1239&lt;&gt;"",IF(Team_Matches!J1239&gt;Team_Matches!J1241,MIN(Team_Matches!J1239,Team_Matches!J1241),-MIN(Team_Matches!J1239,Team_Matches!J1241))*IF(Team_Matches!$Q1239="W",1,-1),"")</f>
        <v/>
      </c>
      <c r="I97" s="93" t="str">
        <f>IF(Team_Matches!$Q1239&lt;&gt;"",IF(Team_Matches!K1239=Team_Matches!K1241,"",IF(Team_Matches!K1239&gt;Team_Matches!K1241,MIN(Team_Matches!K1239,Team_Matches!K1241),-MIN(Team_Matches!K1239,Team_Matches!K1241))*IF(Team_Matches!$Q1239="W",1,-1)),"")</f>
        <v/>
      </c>
      <c r="J97" s="93" t="str">
        <f>IF(Team_Matches!$Q1239&lt;&gt;"",IF(Team_Matches!L1239=Team_Matches!L1241,"",IF(Team_Matches!L1239&gt;Team_Matches!L1241,MIN(Team_Matches!L1239,Team_Matches!L1241),-MIN(Team_Matches!L1239,Team_Matches!L1241))*IF(Team_Matches!$Q1239="W",1,-1)),"")</f>
        <v/>
      </c>
    </row>
    <row r="98" spans="1:10">
      <c r="A98" s="68" t="e">
        <f>$B98&amp;";"&amp;VLOOKUP($B98,Players!$C$4:$G$132,5,FALSE)&amp;";"&amp;IF(ISERROR(VLOOKUP($B98,Players!$C$4:$G$132,2,FALSE)),0,VLOOKUP($B98,Players!$C$4:$G$132,2,FALSE))&amp;";"&amp;$C98&amp;";"&amp;VLOOKUP($C98,Players!$C$4:$G$132,5,FALSE)&amp;";"&amp;IF(ISERROR(VLOOKUP($C98,Players!$C$4:$G$132,2,FALSE)),0,VLOOKUP($C98,Players!$C$4:$G$132,2,FALSE))&amp;"|"</f>
        <v>#N/A</v>
      </c>
      <c r="B98" t="str">
        <f>IF(Team_Matches!$Q1246="W",Team_Matches!$B1246,IF(Team_Matches!$Q1248="W",Team_Matches!$B1248,""))</f>
        <v/>
      </c>
      <c r="C98" t="str">
        <f>IF(Team_Matches!$Q1246="L",Team_Matches!$B1246,IF(Team_Matches!$Q1248="L",Team_Matches!$B1248,""))</f>
        <v/>
      </c>
      <c r="D98" t="str">
        <f>CONCATENATE(Team_Matches!$B1233," vs ",Team_Matches!$K1233)</f>
        <v>A vs K</v>
      </c>
      <c r="E98" t="str">
        <f>Team_Matches!$A1244</f>
        <v>2nd Singles</v>
      </c>
      <c r="F98" s="93" t="str">
        <f>IF(Team_Matches!$Q1246&lt;&gt;"",IF(Team_Matches!H1246&gt;Team_Matches!H1248,MIN(Team_Matches!H1246,Team_Matches!H1248),-MIN(Team_Matches!H1246,Team_Matches!H1248))*IF(Team_Matches!$Q1246="W",1,-1),"")</f>
        <v/>
      </c>
      <c r="G98" s="93" t="str">
        <f>IF(Team_Matches!$Q1246&lt;&gt;"",IF(Team_Matches!I1246&gt;Team_Matches!I1248,MIN(Team_Matches!I1246,Team_Matches!I1248),-MIN(Team_Matches!I1246,Team_Matches!I1248))*IF(Team_Matches!$Q1246="W",1,-1),"")</f>
        <v/>
      </c>
      <c r="H98" s="93" t="str">
        <f>IF(Team_Matches!$Q1246&lt;&gt;"",IF(Team_Matches!J1246&gt;Team_Matches!J1248,MIN(Team_Matches!J1246,Team_Matches!J1248),-MIN(Team_Matches!J1246,Team_Matches!J1248))*IF(Team_Matches!$Q1246="W",1,-1),"")</f>
        <v/>
      </c>
      <c r="I98" s="93" t="str">
        <f>IF(Team_Matches!$Q1246&lt;&gt;"",IF(Team_Matches!K1246=Team_Matches!K1248,"",IF(Team_Matches!K1246&gt;Team_Matches!K1248,MIN(Team_Matches!K1246,Team_Matches!K1248),-MIN(Team_Matches!K1246,Team_Matches!K1248))*IF(Team_Matches!$Q1246="W",1,-1)),"")</f>
        <v/>
      </c>
      <c r="J98" s="93" t="str">
        <f>IF(Team_Matches!$Q1246&lt;&gt;"",IF(Team_Matches!L1246=Team_Matches!L1248,"",IF(Team_Matches!L1246&gt;Team_Matches!L1248,MIN(Team_Matches!L1246,Team_Matches!L1248),-MIN(Team_Matches!L1246,Team_Matches!L1248))*IF(Team_Matches!$Q1246="W",1,-1)),"")</f>
        <v/>
      </c>
    </row>
    <row r="99" spans="1:10">
      <c r="A99" s="68" t="e">
        <f>$B99&amp;";"&amp;VLOOKUP($B99,Players!$C$4:$G$132,5,FALSE)&amp;";"&amp;IF(ISERROR(VLOOKUP($B99,Players!$C$4:$G$132,2,FALSE)),0,VLOOKUP($B99,Players!$C$4:$G$132,2,FALSE))&amp;";"&amp;$C99&amp;";"&amp;VLOOKUP($C99,Players!$C$4:$G$132,5,FALSE)&amp;";"&amp;IF(ISERROR(VLOOKUP($C99,Players!$C$4:$G$132,2,FALSE)),0,VLOOKUP($C99,Players!$C$4:$G$132,2,FALSE))&amp;"|"</f>
        <v>#N/A</v>
      </c>
      <c r="B99" t="str">
        <f>IF(Team_Matches!$Q1253="W",Team_Matches!$B1253,IF(Team_Matches!$Q1255="W",Team_Matches!$B1255,""))</f>
        <v/>
      </c>
      <c r="C99" t="str">
        <f>IF(Team_Matches!$Q1253="L",Team_Matches!$B1253,IF(Team_Matches!$Q1255="L",Team_Matches!$B1255,""))</f>
        <v/>
      </c>
      <c r="D99" t="str">
        <f>CONCATENATE(Team_Matches!$B1233," vs ",Team_Matches!$K1233)</f>
        <v>A vs K</v>
      </c>
      <c r="E99" t="str">
        <f>Team_Matches!$A1251</f>
        <v>3rd Singles</v>
      </c>
      <c r="F99" s="93" t="str">
        <f>IF(Team_Matches!$Q1253&lt;&gt;"",IF(Team_Matches!H1253&gt;Team_Matches!H1255,MIN(Team_Matches!H1253,Team_Matches!H1255),-MIN(Team_Matches!H1253,Team_Matches!H1255))*IF(Team_Matches!$Q1253="W",1,-1),"")</f>
        <v/>
      </c>
      <c r="G99" s="93" t="str">
        <f>IF(Team_Matches!$Q1253&lt;&gt;"",IF(Team_Matches!I1253&gt;Team_Matches!I1255,MIN(Team_Matches!I1253,Team_Matches!I1255),-MIN(Team_Matches!I1253,Team_Matches!I1255))*IF(Team_Matches!$Q1253="W",1,-1),"")</f>
        <v/>
      </c>
      <c r="H99" s="93" t="str">
        <f>IF(Team_Matches!$Q1253&lt;&gt;"",IF(Team_Matches!J1253&gt;Team_Matches!J1255,MIN(Team_Matches!J1253,Team_Matches!J1255),-MIN(Team_Matches!J1253,Team_Matches!J1255))*IF(Team_Matches!$Q1253="W",1,-1),"")</f>
        <v/>
      </c>
      <c r="I99" s="93" t="str">
        <f>IF(Team_Matches!$Q1253&lt;&gt;"",IF(Team_Matches!K1253=Team_Matches!K1255,"",IF(Team_Matches!K1253&gt;Team_Matches!K1255,MIN(Team_Matches!K1253,Team_Matches!K1255),-MIN(Team_Matches!K1253,Team_Matches!K1255))*IF(Team_Matches!$Q1253="W",1,-1)),"")</f>
        <v/>
      </c>
      <c r="J99" s="93" t="str">
        <f>IF(Team_Matches!$Q1253&lt;&gt;"",IF(Team_Matches!L1253=Team_Matches!L1255,"",IF(Team_Matches!L1253&gt;Team_Matches!L1255,MIN(Team_Matches!L1253,Team_Matches!L1255),-MIN(Team_Matches!L1253,Team_Matches!L1255))*IF(Team_Matches!$Q1253="W",1,-1)),"")</f>
        <v/>
      </c>
    </row>
    <row r="100" spans="1:10">
      <c r="A100" s="68" t="e">
        <f ca="1">$B100&amp;";"&amp;VLOOKUP($B100,Players!$C$4:$G$132,5,FALSE)&amp;";"&amp;IF(ISERROR(VLOOKUP($B100,Players!$C$4:$G$132,2,FALSE)),0,VLOOKUP($B100,Players!$C$4:$G$132,2,FALSE))&amp;";"&amp;$C100&amp;";"&amp;VLOOKUP($C100,Players!$C$4:$G$132,5,FALSE)&amp;";"&amp;IF(ISERROR(VLOOKUP($C100,Players!$C$4:$G$132,2,FALSE)),0,VLOOKUP($C100,Players!$C$4:$G$132,2,FALSE))&amp;"|"</f>
        <v>#N/A</v>
      </c>
      <c r="B100" t="str">
        <f ca="1">IF(Team_Matches!$Q1260="W",Team_Matches!$B1260,IF(Team_Matches!$Q1262="W",Team_Matches!$B1262,""))</f>
        <v/>
      </c>
      <c r="C100" t="str">
        <f ca="1">IF(Team_Matches!$Q1260="L",Team_Matches!$B1260,IF(Team_Matches!$Q1262="L",Team_Matches!$B1262,""))</f>
        <v/>
      </c>
      <c r="D100" t="str">
        <f>CONCATENATE(Team_Matches!$B1233," vs ",Team_Matches!$K1233)</f>
        <v>A vs K</v>
      </c>
      <c r="E100" t="str">
        <f>Team_Matches!$A1258</f>
        <v>4th Singles</v>
      </c>
      <c r="F100" s="93" t="str">
        <f ca="1">IF(Team_Matches!$Q1260&lt;&gt;"",IF(Team_Matches!H1260&gt;Team_Matches!H1262,MIN(Team_Matches!H1260,Team_Matches!H1262),-MIN(Team_Matches!H1260,Team_Matches!H1262))*IF(Team_Matches!$Q1260="W",1,-1),"")</f>
        <v/>
      </c>
      <c r="G100" s="93" t="str">
        <f ca="1">IF(Team_Matches!$Q1260&lt;&gt;"",IF(Team_Matches!I1260&gt;Team_Matches!I1262,MIN(Team_Matches!I1260,Team_Matches!I1262),-MIN(Team_Matches!I1260,Team_Matches!I1262))*IF(Team_Matches!$Q1260="W",1,-1),"")</f>
        <v/>
      </c>
      <c r="H100" s="93" t="str">
        <f ca="1">IF(Team_Matches!$Q1260&lt;&gt;"",IF(Team_Matches!J1260&gt;Team_Matches!J1262,MIN(Team_Matches!J1260,Team_Matches!J1262),-MIN(Team_Matches!J1260,Team_Matches!J1262))*IF(Team_Matches!$Q1260="W",1,-1),"")</f>
        <v/>
      </c>
      <c r="I100" s="93" t="str">
        <f ca="1">IF(Team_Matches!$Q1260&lt;&gt;"",IF(Team_Matches!K1260=Team_Matches!K1262,"",IF(Team_Matches!K1260&gt;Team_Matches!K1262,MIN(Team_Matches!K1260,Team_Matches!K1262),-MIN(Team_Matches!K1260,Team_Matches!K1262))*IF(Team_Matches!$Q1260="W",1,-1)),"")</f>
        <v/>
      </c>
      <c r="J100" s="93" t="str">
        <f ca="1">IF(Team_Matches!$Q1260&lt;&gt;"",IF(Team_Matches!L1260=Team_Matches!L1262,"",IF(Team_Matches!L1260&gt;Team_Matches!L1262,MIN(Team_Matches!L1260,Team_Matches!L1262),-MIN(Team_Matches!L1260,Team_Matches!L1262))*IF(Team_Matches!$Q1260="W",1,-1)),"")</f>
        <v/>
      </c>
    </row>
    <row r="101" spans="1:10">
      <c r="A101" s="68" t="e">
        <f>$B101&amp;";"&amp;VLOOKUP($B101,Players!$C$4:$G$132,5,FALSE)&amp;";"&amp;IF(ISERROR(VLOOKUP($B101,Players!$C$4:$G$132,2,FALSE)),0,VLOOKUP($B101,Players!$C$4:$G$132,2,FALSE))&amp;";"&amp;$C101&amp;";"&amp;VLOOKUP($C101,Players!$C$4:$G$132,5,FALSE)&amp;";"&amp;IF(ISERROR(VLOOKUP($C101,Players!$C$4:$G$132,2,FALSE)),0,VLOOKUP($C101,Players!$C$4:$G$132,2,FALSE))&amp;"|"</f>
        <v>#N/A</v>
      </c>
      <c r="B101" t="str">
        <f>IF(Team_Matches!$Q1290="W",Team_Matches!$B1290,IF(Team_Matches!$Q1292="W",Team_Matches!$B1292,""))</f>
        <v/>
      </c>
      <c r="C101" t="str">
        <f>IF(Team_Matches!$Q1290="L",Team_Matches!$B1290,IF(Team_Matches!$Q1292="L",Team_Matches!$B1292,""))</f>
        <v/>
      </c>
      <c r="D101" t="str">
        <f>CONCATENATE(Team_Matches!$B1284," vs ",Team_Matches!$K1284)</f>
        <v>A vs L</v>
      </c>
      <c r="E101" t="str">
        <f>Team_Matches!A1288</f>
        <v>1st Singles</v>
      </c>
      <c r="F101" s="93" t="str">
        <f>IF(Team_Matches!$Q1290&lt;&gt;"",IF(Team_Matches!H1290&gt;Team_Matches!H1292,MIN(Team_Matches!H1290,Team_Matches!H1292),-MIN(Team_Matches!H1290,Team_Matches!H1292))*IF(Team_Matches!$Q1290="W",1,-1),"")</f>
        <v/>
      </c>
      <c r="G101" s="93" t="str">
        <f>IF(Team_Matches!$Q1290&lt;&gt;"",IF(Team_Matches!I1290&gt;Team_Matches!I1292,MIN(Team_Matches!I1290,Team_Matches!I1292),-MIN(Team_Matches!I1290,Team_Matches!I1292))*IF(Team_Matches!$Q1290="W",1,-1),"")</f>
        <v/>
      </c>
      <c r="H101" s="93" t="str">
        <f>IF(Team_Matches!$Q1290&lt;&gt;"",IF(Team_Matches!J1290&gt;Team_Matches!J1292,MIN(Team_Matches!J1290,Team_Matches!J1292),-MIN(Team_Matches!J1290,Team_Matches!J1292))*IF(Team_Matches!$Q1290="W",1,-1),"")</f>
        <v/>
      </c>
      <c r="I101" s="93" t="str">
        <f>IF(Team_Matches!$Q1290&lt;&gt;"",IF(Team_Matches!K1290=Team_Matches!K1292,"",IF(Team_Matches!K1290&gt;Team_Matches!K1292,MIN(Team_Matches!K1290,Team_Matches!K1292),-MIN(Team_Matches!K1290,Team_Matches!K1292))*IF(Team_Matches!$Q1290="W",1,-1)),"")</f>
        <v/>
      </c>
      <c r="J101" s="93" t="str">
        <f>IF(Team_Matches!$Q1290&lt;&gt;"",IF(Team_Matches!L1290=Team_Matches!L1292,"",IF(Team_Matches!L1290&gt;Team_Matches!L1292,MIN(Team_Matches!L1290,Team_Matches!L1292),-MIN(Team_Matches!L1290,Team_Matches!L1292))*IF(Team_Matches!$Q1290="W",1,-1)),"")</f>
        <v/>
      </c>
    </row>
    <row r="102" spans="1:10">
      <c r="A102" s="68" t="e">
        <f>$B102&amp;";"&amp;VLOOKUP($B102,Players!$C$4:$G$132,5,FALSE)&amp;";"&amp;IF(ISERROR(VLOOKUP($B102,Players!$C$4:$G$132,2,FALSE)),0,VLOOKUP($B102,Players!$C$4:$G$132,2,FALSE))&amp;";"&amp;$C102&amp;";"&amp;VLOOKUP($C102,Players!$C$4:$G$132,5,FALSE)&amp;";"&amp;IF(ISERROR(VLOOKUP($C102,Players!$C$4:$G$132,2,FALSE)),0,VLOOKUP($C102,Players!$C$4:$G$132,2,FALSE))&amp;"|"</f>
        <v>#N/A</v>
      </c>
      <c r="B102" t="str">
        <f>IF(Team_Matches!$Q1297="W",Team_Matches!$B1297,IF(Team_Matches!$Q1299="W",Team_Matches!$B1299,""))</f>
        <v/>
      </c>
      <c r="C102" t="str">
        <f>IF(Team_Matches!$Q1297="L",Team_Matches!$B1297,IF(Team_Matches!$Q1299="L",Team_Matches!$B1299,""))</f>
        <v/>
      </c>
      <c r="D102" t="str">
        <f>CONCATENATE(Team_Matches!$B1284," vs ",Team_Matches!$K1284)</f>
        <v>A vs L</v>
      </c>
      <c r="E102" t="str">
        <f>Team_Matches!$A1295</f>
        <v>2nd Singles</v>
      </c>
      <c r="F102" s="93" t="str">
        <f>IF(Team_Matches!$Q1297&lt;&gt;"",IF(Team_Matches!H1297&gt;Team_Matches!H1299,MIN(Team_Matches!H1297,Team_Matches!H1299),-MIN(Team_Matches!H1297,Team_Matches!H1299))*IF(Team_Matches!$Q1297="W",1,-1),"")</f>
        <v/>
      </c>
      <c r="G102" s="93" t="str">
        <f>IF(Team_Matches!$Q1297&lt;&gt;"",IF(Team_Matches!I1297&gt;Team_Matches!I1299,MIN(Team_Matches!I1297,Team_Matches!I1299),-MIN(Team_Matches!I1297,Team_Matches!I1299))*IF(Team_Matches!$Q1297="W",1,-1),"")</f>
        <v/>
      </c>
      <c r="H102" s="93" t="str">
        <f>IF(Team_Matches!$Q1297&lt;&gt;"",IF(Team_Matches!J1297&gt;Team_Matches!J1299,MIN(Team_Matches!J1297,Team_Matches!J1299),-MIN(Team_Matches!J1297,Team_Matches!J1299))*IF(Team_Matches!$Q1297="W",1,-1),"")</f>
        <v/>
      </c>
      <c r="I102" s="93" t="str">
        <f>IF(Team_Matches!$Q1297&lt;&gt;"",IF(Team_Matches!K1297=Team_Matches!K1299,"",IF(Team_Matches!K1297&gt;Team_Matches!K1299,MIN(Team_Matches!K1297,Team_Matches!K1299),-MIN(Team_Matches!K1297,Team_Matches!K1299))*IF(Team_Matches!$Q1297="W",1,-1)),"")</f>
        <v/>
      </c>
      <c r="J102" s="93" t="str">
        <f>IF(Team_Matches!$Q1297&lt;&gt;"",IF(Team_Matches!L1297=Team_Matches!L1299,"",IF(Team_Matches!L1297&gt;Team_Matches!L1299,MIN(Team_Matches!L1297,Team_Matches!L1299),-MIN(Team_Matches!L1297,Team_Matches!L1299))*IF(Team_Matches!$Q1297="W",1,-1)),"")</f>
        <v/>
      </c>
    </row>
    <row r="103" spans="1:10">
      <c r="A103" s="68" t="e">
        <f>$B103&amp;";"&amp;VLOOKUP($B103,Players!$C$4:$G$132,5,FALSE)&amp;";"&amp;IF(ISERROR(VLOOKUP($B103,Players!$C$4:$G$132,2,FALSE)),0,VLOOKUP($B103,Players!$C$4:$G$132,2,FALSE))&amp;";"&amp;$C103&amp;";"&amp;VLOOKUP($C103,Players!$C$4:$G$132,5,FALSE)&amp;";"&amp;IF(ISERROR(VLOOKUP($C103,Players!$C$4:$G$132,2,FALSE)),0,VLOOKUP($C103,Players!$C$4:$G$132,2,FALSE))&amp;"|"</f>
        <v>#N/A</v>
      </c>
      <c r="B103" t="str">
        <f>IF(Team_Matches!$Q1304="W",Team_Matches!$B1304,IF(Team_Matches!$Q1306="W",Team_Matches!$B1306,""))</f>
        <v/>
      </c>
      <c r="C103" t="str">
        <f>IF(Team_Matches!$Q1304="L",Team_Matches!$B1304,IF(Team_Matches!$Q1306="L",Team_Matches!$B1306,""))</f>
        <v/>
      </c>
      <c r="D103" t="str">
        <f>CONCATENATE(Team_Matches!$B1284," vs ",Team_Matches!$K1284)</f>
        <v>A vs L</v>
      </c>
      <c r="E103" t="str">
        <f>Team_Matches!$A1302</f>
        <v>3rd Singles</v>
      </c>
      <c r="F103" s="93" t="str">
        <f>IF(Team_Matches!$Q1304&lt;&gt;"",IF(Team_Matches!H1304&gt;Team_Matches!H1306,MIN(Team_Matches!H1304,Team_Matches!H1306),-MIN(Team_Matches!H1304,Team_Matches!H1306))*IF(Team_Matches!$Q1304="W",1,-1),"")</f>
        <v/>
      </c>
      <c r="G103" s="93" t="str">
        <f>IF(Team_Matches!$Q1304&lt;&gt;"",IF(Team_Matches!I1304&gt;Team_Matches!I1306,MIN(Team_Matches!I1304,Team_Matches!I1306),-MIN(Team_Matches!I1304,Team_Matches!I1306))*IF(Team_Matches!$Q1304="W",1,-1),"")</f>
        <v/>
      </c>
      <c r="H103" s="93" t="str">
        <f>IF(Team_Matches!$Q1304&lt;&gt;"",IF(Team_Matches!J1304&gt;Team_Matches!J1306,MIN(Team_Matches!J1304,Team_Matches!J1306),-MIN(Team_Matches!J1304,Team_Matches!J1306))*IF(Team_Matches!$Q1304="W",1,-1),"")</f>
        <v/>
      </c>
      <c r="I103" s="93" t="str">
        <f>IF(Team_Matches!$Q1304&lt;&gt;"",IF(Team_Matches!K1304=Team_Matches!K1306,"",IF(Team_Matches!K1304&gt;Team_Matches!K1306,MIN(Team_Matches!K1304,Team_Matches!K1306),-MIN(Team_Matches!K1304,Team_Matches!K1306))*IF(Team_Matches!$Q1304="W",1,-1)),"")</f>
        <v/>
      </c>
      <c r="J103" s="93" t="str">
        <f>IF(Team_Matches!$Q1304&lt;&gt;"",IF(Team_Matches!L1304=Team_Matches!L1306,"",IF(Team_Matches!L1304&gt;Team_Matches!L1306,MIN(Team_Matches!L1304,Team_Matches!L1306),-MIN(Team_Matches!L1304,Team_Matches!L1306))*IF(Team_Matches!$Q1304="W",1,-1)),"")</f>
        <v/>
      </c>
    </row>
    <row r="104" spans="1:10">
      <c r="A104" s="68" t="e">
        <f ca="1">$B104&amp;";"&amp;VLOOKUP($B104,Players!$C$4:$G$132,5,FALSE)&amp;";"&amp;IF(ISERROR(VLOOKUP($B104,Players!$C$4:$G$132,2,FALSE)),0,VLOOKUP($B104,Players!$C$4:$G$132,2,FALSE))&amp;";"&amp;$C104&amp;";"&amp;VLOOKUP($C104,Players!$C$4:$G$132,5,FALSE)&amp;";"&amp;IF(ISERROR(VLOOKUP($C104,Players!$C$4:$G$132,2,FALSE)),0,VLOOKUP($C104,Players!$C$4:$G$132,2,FALSE))&amp;"|"</f>
        <v>#N/A</v>
      </c>
      <c r="B104" t="str">
        <f ca="1">IF(Team_Matches!$Q1311="W",Team_Matches!$B1311,IF(Team_Matches!$Q1313="W",Team_Matches!$B1313,""))</f>
        <v/>
      </c>
      <c r="C104" t="str">
        <f ca="1">IF(Team_Matches!$Q1311="L",Team_Matches!$B1311,IF(Team_Matches!$Q1313="L",Team_Matches!$B1313,""))</f>
        <v/>
      </c>
      <c r="D104" t="str">
        <f>CONCATENATE(Team_Matches!$B1284," vs ",Team_Matches!$K1284)</f>
        <v>A vs L</v>
      </c>
      <c r="E104" t="str">
        <f>Team_Matches!$A1309</f>
        <v>4th Singles</v>
      </c>
      <c r="F104" s="93" t="str">
        <f ca="1">IF(Team_Matches!$Q1311&lt;&gt;"",IF(Team_Matches!H1311&gt;Team_Matches!H1313,MIN(Team_Matches!H1311,Team_Matches!H1313),-MIN(Team_Matches!H1311,Team_Matches!H1313))*IF(Team_Matches!$Q1311="W",1,-1),"")</f>
        <v/>
      </c>
      <c r="G104" s="93" t="str">
        <f ca="1">IF(Team_Matches!$Q1311&lt;&gt;"",IF(Team_Matches!I1311&gt;Team_Matches!I1313,MIN(Team_Matches!I1311,Team_Matches!I1313),-MIN(Team_Matches!I1311,Team_Matches!I1313))*IF(Team_Matches!$Q1311="W",1,-1),"")</f>
        <v/>
      </c>
      <c r="H104" s="93" t="str">
        <f ca="1">IF(Team_Matches!$Q1311&lt;&gt;"",IF(Team_Matches!J1311&gt;Team_Matches!J1313,MIN(Team_Matches!J1311,Team_Matches!J1313),-MIN(Team_Matches!J1311,Team_Matches!J1313))*IF(Team_Matches!$Q1311="W",1,-1),"")</f>
        <v/>
      </c>
      <c r="I104" s="93" t="str">
        <f ca="1">IF(Team_Matches!$Q1311&lt;&gt;"",IF(Team_Matches!K1311=Team_Matches!K1313,"",IF(Team_Matches!K1311&gt;Team_Matches!K1313,MIN(Team_Matches!K1311,Team_Matches!K1313),-MIN(Team_Matches!K1311,Team_Matches!K1313))*IF(Team_Matches!$Q1311="W",1,-1)),"")</f>
        <v/>
      </c>
      <c r="J104" s="93" t="str">
        <f ca="1">IF(Team_Matches!$Q1311&lt;&gt;"",IF(Team_Matches!L1311=Team_Matches!L1313,"",IF(Team_Matches!L1311&gt;Team_Matches!L1313,MIN(Team_Matches!L1311,Team_Matches!L1313),-MIN(Team_Matches!L1311,Team_Matches!L1313))*IF(Team_Matches!$Q1311="W",1,-1)),"")</f>
        <v/>
      </c>
    </row>
    <row r="105" spans="1:10">
      <c r="A105" s="68" t="e">
        <f>$B105&amp;";"&amp;VLOOKUP($B105,Players!$C$4:$G$132,5,FALSE)&amp;";"&amp;IF(ISERROR(VLOOKUP($B105,Players!$C$4:$G$132,2,FALSE)),0,VLOOKUP($B105,Players!$C$4:$G$132,2,FALSE))&amp;";"&amp;$C105&amp;";"&amp;VLOOKUP($C105,Players!$C$4:$G$132,5,FALSE)&amp;";"&amp;IF(ISERROR(VLOOKUP($C105,Players!$C$4:$G$132,2,FALSE)),0,VLOOKUP($C105,Players!$C$4:$G$132,2,FALSE))&amp;"|"</f>
        <v>#N/A</v>
      </c>
      <c r="B105" t="str">
        <f>IF(Team_Matches!$Q1341="W",Team_Matches!$B1341,IF(Team_Matches!$Q1343="W",Team_Matches!$B1343,""))</f>
        <v/>
      </c>
      <c r="C105" t="str">
        <f>IF(Team_Matches!$Q1341="L",Team_Matches!$B1341,IF(Team_Matches!$Q1343="L",Team_Matches!$B1343,""))</f>
        <v/>
      </c>
      <c r="D105" t="str">
        <f>CONCATENATE(Team_Matches!$B1335," vs ",Team_Matches!$K1335)</f>
        <v>B vs E</v>
      </c>
      <c r="E105" t="str">
        <f>Team_Matches!A1339</f>
        <v>1st Singles</v>
      </c>
      <c r="F105" s="93" t="str">
        <f>IF(Team_Matches!$Q1341&lt;&gt;"",IF(Team_Matches!H1341&gt;Team_Matches!H1343,MIN(Team_Matches!H1341,Team_Matches!H1343),-MIN(Team_Matches!H1341,Team_Matches!H1343))*IF(Team_Matches!$Q1341="W",1,-1),"")</f>
        <v/>
      </c>
      <c r="G105" s="93" t="str">
        <f>IF(Team_Matches!$Q1341&lt;&gt;"",IF(Team_Matches!I1341&gt;Team_Matches!I1343,MIN(Team_Matches!I1341,Team_Matches!I1343),-MIN(Team_Matches!I1341,Team_Matches!I1343))*IF(Team_Matches!$Q1341="W",1,-1),"")</f>
        <v/>
      </c>
      <c r="H105" s="93" t="str">
        <f>IF(Team_Matches!$Q1341&lt;&gt;"",IF(Team_Matches!J1341&gt;Team_Matches!J1343,MIN(Team_Matches!J1341,Team_Matches!J1343),-MIN(Team_Matches!J1341,Team_Matches!J1343))*IF(Team_Matches!$Q1341="W",1,-1),"")</f>
        <v/>
      </c>
      <c r="I105" s="93" t="str">
        <f>IF(Team_Matches!$Q1341&lt;&gt;"",IF(Team_Matches!K1341=Team_Matches!K1343,"",IF(Team_Matches!K1341&gt;Team_Matches!K1343,MIN(Team_Matches!K1341,Team_Matches!K1343),-MIN(Team_Matches!K1341,Team_Matches!K1343))*IF(Team_Matches!$Q1341="W",1,-1)),"")</f>
        <v/>
      </c>
      <c r="J105" s="93" t="str">
        <f>IF(Team_Matches!$Q1341&lt;&gt;"",IF(Team_Matches!L1341=Team_Matches!L1343,"",IF(Team_Matches!L1341&gt;Team_Matches!L1343,MIN(Team_Matches!L1341,Team_Matches!L1343),-MIN(Team_Matches!L1341,Team_Matches!L1343))*IF(Team_Matches!$Q1341="W",1,-1)),"")</f>
        <v/>
      </c>
    </row>
    <row r="106" spans="1:10">
      <c r="A106" s="68" t="e">
        <f>$B106&amp;";"&amp;VLOOKUP($B106,Players!$C$4:$G$132,5,FALSE)&amp;";"&amp;IF(ISERROR(VLOOKUP($B106,Players!$C$4:$G$132,2,FALSE)),0,VLOOKUP($B106,Players!$C$4:$G$132,2,FALSE))&amp;";"&amp;$C106&amp;";"&amp;VLOOKUP($C106,Players!$C$4:$G$132,5,FALSE)&amp;";"&amp;IF(ISERROR(VLOOKUP($C106,Players!$C$4:$G$132,2,FALSE)),0,VLOOKUP($C106,Players!$C$4:$G$132,2,FALSE))&amp;"|"</f>
        <v>#N/A</v>
      </c>
      <c r="B106" t="str">
        <f>IF(Team_Matches!$Q1348="W",Team_Matches!$B1348,IF(Team_Matches!$Q1350="W",Team_Matches!$B1350,""))</f>
        <v/>
      </c>
      <c r="C106" t="str">
        <f>IF(Team_Matches!$Q1348="L",Team_Matches!$B1348,IF(Team_Matches!$Q1350="L",Team_Matches!$B1350,""))</f>
        <v/>
      </c>
      <c r="D106" t="str">
        <f>CONCATENATE(Team_Matches!$B1335," vs ",Team_Matches!$K1335)</f>
        <v>B vs E</v>
      </c>
      <c r="E106" t="str">
        <f>Team_Matches!$A1346</f>
        <v>2nd Singles</v>
      </c>
      <c r="F106" s="93" t="str">
        <f>IF(Team_Matches!$Q1348&lt;&gt;"",IF(Team_Matches!H1348&gt;Team_Matches!H1350,MIN(Team_Matches!H1348,Team_Matches!H1350),-MIN(Team_Matches!H1348,Team_Matches!H1350))*IF(Team_Matches!$Q1348="W",1,-1),"")</f>
        <v/>
      </c>
      <c r="G106" s="93" t="str">
        <f>IF(Team_Matches!$Q1348&lt;&gt;"",IF(Team_Matches!I1348&gt;Team_Matches!I1350,MIN(Team_Matches!I1348,Team_Matches!I1350),-MIN(Team_Matches!I1348,Team_Matches!I1350))*IF(Team_Matches!$Q1348="W",1,-1),"")</f>
        <v/>
      </c>
      <c r="H106" s="93" t="str">
        <f>IF(Team_Matches!$Q1348&lt;&gt;"",IF(Team_Matches!J1348&gt;Team_Matches!J1350,MIN(Team_Matches!J1348,Team_Matches!J1350),-MIN(Team_Matches!J1348,Team_Matches!J1350))*IF(Team_Matches!$Q1348="W",1,-1),"")</f>
        <v/>
      </c>
      <c r="I106" s="93" t="str">
        <f>IF(Team_Matches!$Q1348&lt;&gt;"",IF(Team_Matches!K1348=Team_Matches!K1350,"",IF(Team_Matches!K1348&gt;Team_Matches!K1350,MIN(Team_Matches!K1348,Team_Matches!K1350),-MIN(Team_Matches!K1348,Team_Matches!K1350))*IF(Team_Matches!$Q1348="W",1,-1)),"")</f>
        <v/>
      </c>
      <c r="J106" s="93" t="str">
        <f>IF(Team_Matches!$Q1348&lt;&gt;"",IF(Team_Matches!L1348=Team_Matches!L1350,"",IF(Team_Matches!L1348&gt;Team_Matches!L1350,MIN(Team_Matches!L1348,Team_Matches!L1350),-MIN(Team_Matches!L1348,Team_Matches!L1350))*IF(Team_Matches!$Q1348="W",1,-1)),"")</f>
        <v/>
      </c>
    </row>
    <row r="107" spans="1:10">
      <c r="A107" s="68" t="e">
        <f>$B107&amp;";"&amp;VLOOKUP($B107,Players!$C$4:$G$132,5,FALSE)&amp;";"&amp;IF(ISERROR(VLOOKUP($B107,Players!$C$4:$G$132,2,FALSE)),0,VLOOKUP($B107,Players!$C$4:$G$132,2,FALSE))&amp;";"&amp;$C107&amp;";"&amp;VLOOKUP($C107,Players!$C$4:$G$132,5,FALSE)&amp;";"&amp;IF(ISERROR(VLOOKUP($C107,Players!$C$4:$G$132,2,FALSE)),0,VLOOKUP($C107,Players!$C$4:$G$132,2,FALSE))&amp;"|"</f>
        <v>#N/A</v>
      </c>
      <c r="B107" t="str">
        <f>IF(Team_Matches!$Q1355="W",Team_Matches!$B1355,IF(Team_Matches!$Q1357="W",Team_Matches!$B1357,""))</f>
        <v/>
      </c>
      <c r="C107" t="str">
        <f>IF(Team_Matches!$Q1355="L",Team_Matches!$B1355,IF(Team_Matches!$Q1357="L",Team_Matches!$B1357,""))</f>
        <v/>
      </c>
      <c r="D107" t="str">
        <f>CONCATENATE(Team_Matches!$B1335," vs ",Team_Matches!$K1335)</f>
        <v>B vs E</v>
      </c>
      <c r="E107" t="str">
        <f>Team_Matches!$A1353</f>
        <v>3rd Singles</v>
      </c>
      <c r="F107" s="93" t="str">
        <f>IF(Team_Matches!$Q1355&lt;&gt;"",IF(Team_Matches!H1355&gt;Team_Matches!H1357,MIN(Team_Matches!H1355,Team_Matches!H1357),-MIN(Team_Matches!H1355,Team_Matches!H1357))*IF(Team_Matches!$Q1355="W",1,-1),"")</f>
        <v/>
      </c>
      <c r="G107" s="93" t="str">
        <f>IF(Team_Matches!$Q1355&lt;&gt;"",IF(Team_Matches!I1355&gt;Team_Matches!I1357,MIN(Team_Matches!I1355,Team_Matches!I1357),-MIN(Team_Matches!I1355,Team_Matches!I1357))*IF(Team_Matches!$Q1355="W",1,-1),"")</f>
        <v/>
      </c>
      <c r="H107" s="93" t="str">
        <f>IF(Team_Matches!$Q1355&lt;&gt;"",IF(Team_Matches!J1355&gt;Team_Matches!J1357,MIN(Team_Matches!J1355,Team_Matches!J1357),-MIN(Team_Matches!J1355,Team_Matches!J1357))*IF(Team_Matches!$Q1355="W",1,-1),"")</f>
        <v/>
      </c>
      <c r="I107" s="93" t="str">
        <f>IF(Team_Matches!$Q1355&lt;&gt;"",IF(Team_Matches!K1355=Team_Matches!K1357,"",IF(Team_Matches!K1355&gt;Team_Matches!K1357,MIN(Team_Matches!K1355,Team_Matches!K1357),-MIN(Team_Matches!K1355,Team_Matches!K1357))*IF(Team_Matches!$Q1355="W",1,-1)),"")</f>
        <v/>
      </c>
      <c r="J107" s="93" t="str">
        <f>IF(Team_Matches!$Q1355&lt;&gt;"",IF(Team_Matches!L1355=Team_Matches!L1357,"",IF(Team_Matches!L1355&gt;Team_Matches!L1357,MIN(Team_Matches!L1355,Team_Matches!L1357),-MIN(Team_Matches!L1355,Team_Matches!L1357))*IF(Team_Matches!$Q1355="W",1,-1)),"")</f>
        <v/>
      </c>
    </row>
    <row r="108" spans="1:10">
      <c r="A108" s="68" t="e">
        <f ca="1">$B108&amp;";"&amp;VLOOKUP($B108,Players!$C$4:$G$132,5,FALSE)&amp;";"&amp;IF(ISERROR(VLOOKUP($B108,Players!$C$4:$G$132,2,FALSE)),0,VLOOKUP($B108,Players!$C$4:$G$132,2,FALSE))&amp;";"&amp;$C108&amp;";"&amp;VLOOKUP($C108,Players!$C$4:$G$132,5,FALSE)&amp;";"&amp;IF(ISERROR(VLOOKUP($C108,Players!$C$4:$G$132,2,FALSE)),0,VLOOKUP($C108,Players!$C$4:$G$132,2,FALSE))&amp;"|"</f>
        <v>#N/A</v>
      </c>
      <c r="B108" t="str">
        <f ca="1">IF(Team_Matches!$Q1362="W",Team_Matches!$B1362,IF(Team_Matches!$Q1364="W",Team_Matches!$B1364,""))</f>
        <v/>
      </c>
      <c r="C108" t="str">
        <f ca="1">IF(Team_Matches!$Q1362="L",Team_Matches!$B1362,IF(Team_Matches!$Q1364="L",Team_Matches!$B1364,""))</f>
        <v/>
      </c>
      <c r="D108" t="str">
        <f>CONCATENATE(Team_Matches!$B1335," vs ",Team_Matches!$K1335)</f>
        <v>B vs E</v>
      </c>
      <c r="E108" t="str">
        <f>Team_Matches!$A1360</f>
        <v>4th Singles</v>
      </c>
      <c r="F108" s="93" t="str">
        <f ca="1">IF(Team_Matches!$Q1362&lt;&gt;"",IF(Team_Matches!H1362&gt;Team_Matches!H1364,MIN(Team_Matches!H1362,Team_Matches!H1364),-MIN(Team_Matches!H1362,Team_Matches!H1364))*IF(Team_Matches!$Q1362="W",1,-1),"")</f>
        <v/>
      </c>
      <c r="G108" s="93" t="str">
        <f ca="1">IF(Team_Matches!$Q1362&lt;&gt;"",IF(Team_Matches!I1362&gt;Team_Matches!I1364,MIN(Team_Matches!I1362,Team_Matches!I1364),-MIN(Team_Matches!I1362,Team_Matches!I1364))*IF(Team_Matches!$Q1362="W",1,-1),"")</f>
        <v/>
      </c>
      <c r="H108" s="93" t="str">
        <f ca="1">IF(Team_Matches!$Q1362&lt;&gt;"",IF(Team_Matches!J1362&gt;Team_Matches!J1364,MIN(Team_Matches!J1362,Team_Matches!J1364),-MIN(Team_Matches!J1362,Team_Matches!J1364))*IF(Team_Matches!$Q1362="W",1,-1),"")</f>
        <v/>
      </c>
      <c r="I108" s="93" t="str">
        <f ca="1">IF(Team_Matches!$Q1362&lt;&gt;"",IF(Team_Matches!K1362=Team_Matches!K1364,"",IF(Team_Matches!K1362&gt;Team_Matches!K1364,MIN(Team_Matches!K1362,Team_Matches!K1364),-MIN(Team_Matches!K1362,Team_Matches!K1364))*IF(Team_Matches!$Q1362="W",1,-1)),"")</f>
        <v/>
      </c>
      <c r="J108" s="93" t="str">
        <f ca="1">IF(Team_Matches!$Q1362&lt;&gt;"",IF(Team_Matches!L1362=Team_Matches!L1364,"",IF(Team_Matches!L1362&gt;Team_Matches!L1364,MIN(Team_Matches!L1362,Team_Matches!L1364),-MIN(Team_Matches!L1362,Team_Matches!L1364))*IF(Team_Matches!$Q1362="W",1,-1)),"")</f>
        <v/>
      </c>
    </row>
    <row r="109" spans="1:10">
      <c r="A109" s="68" t="e">
        <f>$B109&amp;";"&amp;VLOOKUP($B109,Players!$C$4:$G$132,5,FALSE)&amp;";"&amp;IF(ISERROR(VLOOKUP($B109,Players!$C$4:$G$132,2,FALSE)),0,VLOOKUP($B109,Players!$C$4:$G$132,2,FALSE))&amp;";"&amp;$C109&amp;";"&amp;VLOOKUP($C109,Players!$C$4:$G$132,5,FALSE)&amp;";"&amp;IF(ISERROR(VLOOKUP($C109,Players!$C$4:$G$132,2,FALSE)),0,VLOOKUP($C109,Players!$C$4:$G$132,2,FALSE))&amp;"|"</f>
        <v>#N/A</v>
      </c>
      <c r="B109" t="str">
        <f>IF(Team_Matches!$Q1392="W",Team_Matches!$B1392,IF(Team_Matches!$Q1394="W",Team_Matches!$B1394,""))</f>
        <v/>
      </c>
      <c r="C109" t="str">
        <f>IF(Team_Matches!$Q1392="L",Team_Matches!$B1392,IF(Team_Matches!$Q1394="L",Team_Matches!$B1394,""))</f>
        <v/>
      </c>
      <c r="D109" t="str">
        <f>CONCATENATE(Team_Matches!$B1386," vs ",Team_Matches!$K1386)</f>
        <v>B vs F</v>
      </c>
      <c r="E109" t="str">
        <f>Team_Matches!A1390</f>
        <v>1st Singles</v>
      </c>
      <c r="F109" s="93" t="str">
        <f>IF(Team_Matches!$Q1392&lt;&gt;"",IF(Team_Matches!H1392&gt;Team_Matches!H1394,MIN(Team_Matches!H1392,Team_Matches!H1394),-MIN(Team_Matches!H1392,Team_Matches!H1394))*IF(Team_Matches!$Q1392="W",1,-1),"")</f>
        <v/>
      </c>
      <c r="G109" s="93" t="str">
        <f>IF(Team_Matches!$Q1392&lt;&gt;"",IF(Team_Matches!I1392&gt;Team_Matches!I1394,MIN(Team_Matches!I1392,Team_Matches!I1394),-MIN(Team_Matches!I1392,Team_Matches!I1394))*IF(Team_Matches!$Q1392="W",1,-1),"")</f>
        <v/>
      </c>
      <c r="H109" s="93" t="str">
        <f>IF(Team_Matches!$Q1392&lt;&gt;"",IF(Team_Matches!J1392&gt;Team_Matches!J1394,MIN(Team_Matches!J1392,Team_Matches!J1394),-MIN(Team_Matches!J1392,Team_Matches!J1394))*IF(Team_Matches!$Q1392="W",1,-1),"")</f>
        <v/>
      </c>
      <c r="I109" s="93" t="str">
        <f>IF(Team_Matches!$Q1392&lt;&gt;"",IF(Team_Matches!K1392=Team_Matches!K1394,"",IF(Team_Matches!K1392&gt;Team_Matches!K1394,MIN(Team_Matches!K1392,Team_Matches!K1394),-MIN(Team_Matches!K1392,Team_Matches!K1394))*IF(Team_Matches!$Q1392="W",1,-1)),"")</f>
        <v/>
      </c>
      <c r="J109" s="93" t="str">
        <f>IF(Team_Matches!$Q1392&lt;&gt;"",IF(Team_Matches!L1392=Team_Matches!L1394,"",IF(Team_Matches!L1392&gt;Team_Matches!L1394,MIN(Team_Matches!L1392,Team_Matches!L1394),-MIN(Team_Matches!L1392,Team_Matches!L1394))*IF(Team_Matches!$Q1392="W",1,-1)),"")</f>
        <v/>
      </c>
    </row>
    <row r="110" spans="1:10">
      <c r="A110" s="68" t="e">
        <f>$B110&amp;";"&amp;VLOOKUP($B110,Players!$C$4:$G$132,5,FALSE)&amp;";"&amp;IF(ISERROR(VLOOKUP($B110,Players!$C$4:$G$132,2,FALSE)),0,VLOOKUP($B110,Players!$C$4:$G$132,2,FALSE))&amp;";"&amp;$C110&amp;";"&amp;VLOOKUP($C110,Players!$C$4:$G$132,5,FALSE)&amp;";"&amp;IF(ISERROR(VLOOKUP($C110,Players!$C$4:$G$132,2,FALSE)),0,VLOOKUP($C110,Players!$C$4:$G$132,2,FALSE))&amp;"|"</f>
        <v>#N/A</v>
      </c>
      <c r="B110" t="str">
        <f>IF(Team_Matches!$Q1399="W",Team_Matches!$B1399,IF(Team_Matches!$Q1401="W",Team_Matches!$B1401,""))</f>
        <v/>
      </c>
      <c r="C110" t="str">
        <f>IF(Team_Matches!$Q1399="L",Team_Matches!$B1399,IF(Team_Matches!$Q1401="L",Team_Matches!$B1401,""))</f>
        <v/>
      </c>
      <c r="D110" t="str">
        <f>CONCATENATE(Team_Matches!$B1386," vs ",Team_Matches!$K1386)</f>
        <v>B vs F</v>
      </c>
      <c r="E110" t="str">
        <f>Team_Matches!$A1397</f>
        <v>2nd Singles</v>
      </c>
      <c r="F110" s="93" t="str">
        <f>IF(Team_Matches!$Q1399&lt;&gt;"",IF(Team_Matches!H1399&gt;Team_Matches!H1401,MIN(Team_Matches!H1399,Team_Matches!H1401),-MIN(Team_Matches!H1399,Team_Matches!H1401))*IF(Team_Matches!$Q1399="W",1,-1),"")</f>
        <v/>
      </c>
      <c r="G110" s="93" t="str">
        <f>IF(Team_Matches!$Q1399&lt;&gt;"",IF(Team_Matches!I1399&gt;Team_Matches!I1401,MIN(Team_Matches!I1399,Team_Matches!I1401),-MIN(Team_Matches!I1399,Team_Matches!I1401))*IF(Team_Matches!$Q1399="W",1,-1),"")</f>
        <v/>
      </c>
      <c r="H110" s="93" t="str">
        <f>IF(Team_Matches!$Q1399&lt;&gt;"",IF(Team_Matches!J1399&gt;Team_Matches!J1401,MIN(Team_Matches!J1399,Team_Matches!J1401),-MIN(Team_Matches!J1399,Team_Matches!J1401))*IF(Team_Matches!$Q1399="W",1,-1),"")</f>
        <v/>
      </c>
      <c r="I110" s="93" t="str">
        <f>IF(Team_Matches!$Q1399&lt;&gt;"",IF(Team_Matches!K1399=Team_Matches!K1401,"",IF(Team_Matches!K1399&gt;Team_Matches!K1401,MIN(Team_Matches!K1399,Team_Matches!K1401),-MIN(Team_Matches!K1399,Team_Matches!K1401))*IF(Team_Matches!$Q1399="W",1,-1)),"")</f>
        <v/>
      </c>
      <c r="J110" s="93" t="str">
        <f>IF(Team_Matches!$Q1399&lt;&gt;"",IF(Team_Matches!L1399=Team_Matches!L1401,"",IF(Team_Matches!L1399&gt;Team_Matches!L1401,MIN(Team_Matches!L1399,Team_Matches!L1401),-MIN(Team_Matches!L1399,Team_Matches!L1401))*IF(Team_Matches!$Q1399="W",1,-1)),"")</f>
        <v/>
      </c>
    </row>
    <row r="111" spans="1:10">
      <c r="A111" s="68" t="e">
        <f>$B111&amp;";"&amp;VLOOKUP($B111,Players!$C$4:$G$132,5,FALSE)&amp;";"&amp;IF(ISERROR(VLOOKUP($B111,Players!$C$4:$G$132,2,FALSE)),0,VLOOKUP($B111,Players!$C$4:$G$132,2,FALSE))&amp;";"&amp;$C111&amp;";"&amp;VLOOKUP($C111,Players!$C$4:$G$132,5,FALSE)&amp;";"&amp;IF(ISERROR(VLOOKUP($C111,Players!$C$4:$G$132,2,FALSE)),0,VLOOKUP($C111,Players!$C$4:$G$132,2,FALSE))&amp;"|"</f>
        <v>#N/A</v>
      </c>
      <c r="B111" t="str">
        <f>IF(Team_Matches!$Q1406="W",Team_Matches!$B1406,IF(Team_Matches!$Q1408="W",Team_Matches!$B1408,""))</f>
        <v/>
      </c>
      <c r="C111" t="str">
        <f>IF(Team_Matches!$Q1406="L",Team_Matches!$B1406,IF(Team_Matches!$Q1408="L",Team_Matches!$B1408,""))</f>
        <v/>
      </c>
      <c r="D111" t="str">
        <f>CONCATENATE(Team_Matches!$B1386," vs ",Team_Matches!$K1386)</f>
        <v>B vs F</v>
      </c>
      <c r="E111" t="str">
        <f>Team_Matches!$A1404</f>
        <v>3rd Singles</v>
      </c>
      <c r="F111" s="93" t="str">
        <f>IF(Team_Matches!$Q1406&lt;&gt;"",IF(Team_Matches!H1406&gt;Team_Matches!H1408,MIN(Team_Matches!H1406,Team_Matches!H1408),-MIN(Team_Matches!H1406,Team_Matches!H1408))*IF(Team_Matches!$Q1406="W",1,-1),"")</f>
        <v/>
      </c>
      <c r="G111" s="93" t="str">
        <f>IF(Team_Matches!$Q1406&lt;&gt;"",IF(Team_Matches!I1406&gt;Team_Matches!I1408,MIN(Team_Matches!I1406,Team_Matches!I1408),-MIN(Team_Matches!I1406,Team_Matches!I1408))*IF(Team_Matches!$Q1406="W",1,-1),"")</f>
        <v/>
      </c>
      <c r="H111" s="93" t="str">
        <f>IF(Team_Matches!$Q1406&lt;&gt;"",IF(Team_Matches!J1406&gt;Team_Matches!J1408,MIN(Team_Matches!J1406,Team_Matches!J1408),-MIN(Team_Matches!J1406,Team_Matches!J1408))*IF(Team_Matches!$Q1406="W",1,-1),"")</f>
        <v/>
      </c>
      <c r="I111" s="93" t="str">
        <f>IF(Team_Matches!$Q1406&lt;&gt;"",IF(Team_Matches!K1406=Team_Matches!K1408,"",IF(Team_Matches!K1406&gt;Team_Matches!K1408,MIN(Team_Matches!K1406,Team_Matches!K1408),-MIN(Team_Matches!K1406,Team_Matches!K1408))*IF(Team_Matches!$Q1406="W",1,-1)),"")</f>
        <v/>
      </c>
      <c r="J111" s="93" t="str">
        <f>IF(Team_Matches!$Q1406&lt;&gt;"",IF(Team_Matches!L1406=Team_Matches!L1408,"",IF(Team_Matches!L1406&gt;Team_Matches!L1408,MIN(Team_Matches!L1406,Team_Matches!L1408),-MIN(Team_Matches!L1406,Team_Matches!L1408))*IF(Team_Matches!$Q1406="W",1,-1)),"")</f>
        <v/>
      </c>
    </row>
    <row r="112" spans="1:10">
      <c r="A112" s="68" t="e">
        <f ca="1">$B112&amp;";"&amp;VLOOKUP($B112,Players!$C$4:$G$132,5,FALSE)&amp;";"&amp;IF(ISERROR(VLOOKUP($B112,Players!$C$4:$G$132,2,FALSE)),0,VLOOKUP($B112,Players!$C$4:$G$132,2,FALSE))&amp;";"&amp;$C112&amp;";"&amp;VLOOKUP($C112,Players!$C$4:$G$132,5,FALSE)&amp;";"&amp;IF(ISERROR(VLOOKUP($C112,Players!$C$4:$G$132,2,FALSE)),0,VLOOKUP($C112,Players!$C$4:$G$132,2,FALSE))&amp;"|"</f>
        <v>#N/A</v>
      </c>
      <c r="B112" t="str">
        <f ca="1">IF(Team_Matches!$Q1413="W",Team_Matches!$B1413,IF(Team_Matches!$Q1415="W",Team_Matches!$B1415,""))</f>
        <v/>
      </c>
      <c r="C112" t="str">
        <f ca="1">IF(Team_Matches!$Q1413="L",Team_Matches!$B1413,IF(Team_Matches!$Q1415="L",Team_Matches!$B1415,""))</f>
        <v/>
      </c>
      <c r="D112" t="str">
        <f>CONCATENATE(Team_Matches!$B1386," vs ",Team_Matches!$K1386)</f>
        <v>B vs F</v>
      </c>
      <c r="E112" t="str">
        <f>Team_Matches!$A1411</f>
        <v>4th Singles</v>
      </c>
      <c r="F112" s="93" t="str">
        <f ca="1">IF(Team_Matches!$Q1413&lt;&gt;"",IF(Team_Matches!H1413&gt;Team_Matches!H1415,MIN(Team_Matches!H1413,Team_Matches!H1415),-MIN(Team_Matches!H1413,Team_Matches!H1415))*IF(Team_Matches!$Q1413="W",1,-1),"")</f>
        <v/>
      </c>
      <c r="G112" s="93" t="str">
        <f ca="1">IF(Team_Matches!$Q1413&lt;&gt;"",IF(Team_Matches!I1413&gt;Team_Matches!I1415,MIN(Team_Matches!I1413,Team_Matches!I1415),-MIN(Team_Matches!I1413,Team_Matches!I1415))*IF(Team_Matches!$Q1413="W",1,-1),"")</f>
        <v/>
      </c>
      <c r="H112" s="93" t="str">
        <f ca="1">IF(Team_Matches!$Q1413&lt;&gt;"",IF(Team_Matches!J1413&gt;Team_Matches!J1415,MIN(Team_Matches!J1413,Team_Matches!J1415),-MIN(Team_Matches!J1413,Team_Matches!J1415))*IF(Team_Matches!$Q1413="W",1,-1),"")</f>
        <v/>
      </c>
      <c r="I112" s="93" t="str">
        <f ca="1">IF(Team_Matches!$Q1413&lt;&gt;"",IF(Team_Matches!K1413=Team_Matches!K1415,"",IF(Team_Matches!K1413&gt;Team_Matches!K1415,MIN(Team_Matches!K1413,Team_Matches!K1415),-MIN(Team_Matches!K1413,Team_Matches!K1415))*IF(Team_Matches!$Q1413="W",1,-1)),"")</f>
        <v/>
      </c>
      <c r="J112" s="93" t="str">
        <f ca="1">IF(Team_Matches!$Q1413&lt;&gt;"",IF(Team_Matches!L1413=Team_Matches!L1415,"",IF(Team_Matches!L1413&gt;Team_Matches!L1415,MIN(Team_Matches!L1413,Team_Matches!L1415),-MIN(Team_Matches!L1413,Team_Matches!L1415))*IF(Team_Matches!$Q1413="W",1,-1)),"")</f>
        <v/>
      </c>
    </row>
    <row r="113" spans="1:10">
      <c r="A113" s="68" t="e">
        <f>$B113&amp;";"&amp;VLOOKUP($B113,Players!$C$4:$G$132,5,FALSE)&amp;";"&amp;IF(ISERROR(VLOOKUP($B113,Players!$C$4:$G$132,2,FALSE)),0,VLOOKUP($B113,Players!$C$4:$G$132,2,FALSE))&amp;";"&amp;$C113&amp;";"&amp;VLOOKUP($C113,Players!$C$4:$G$132,5,FALSE)&amp;";"&amp;IF(ISERROR(VLOOKUP($C113,Players!$C$4:$G$132,2,FALSE)),0,VLOOKUP($C113,Players!$C$4:$G$132,2,FALSE))&amp;"|"</f>
        <v>#N/A</v>
      </c>
      <c r="B113" t="str">
        <f>IF(Team_Matches!$Q1443="W",Team_Matches!$B1443,IF(Team_Matches!$Q1445="W",Team_Matches!$B1445,""))</f>
        <v/>
      </c>
      <c r="C113" t="str">
        <f>IF(Team_Matches!$Q1443="L",Team_Matches!$B1443,IF(Team_Matches!$Q1445="L",Team_Matches!$B1445,""))</f>
        <v/>
      </c>
      <c r="D113" t="str">
        <f>CONCATENATE(Team_Matches!$B1437," vs ",Team_Matches!$K1437)</f>
        <v>B vs G</v>
      </c>
      <c r="E113" t="str">
        <f>Team_Matches!A1441</f>
        <v>1st Singles</v>
      </c>
      <c r="F113" s="93" t="str">
        <f>IF(Team_Matches!$Q1443&lt;&gt;"",IF(Team_Matches!H1443&gt;Team_Matches!H1445,MIN(Team_Matches!H1443,Team_Matches!H1445),-MIN(Team_Matches!H1443,Team_Matches!H1445))*IF(Team_Matches!$Q1443="W",1,-1),"")</f>
        <v/>
      </c>
      <c r="G113" s="93" t="str">
        <f>IF(Team_Matches!$Q1443&lt;&gt;"",IF(Team_Matches!I1443&gt;Team_Matches!I1445,MIN(Team_Matches!I1443,Team_Matches!I1445),-MIN(Team_Matches!I1443,Team_Matches!I1445))*IF(Team_Matches!$Q1443="W",1,-1),"")</f>
        <v/>
      </c>
      <c r="H113" s="93" t="str">
        <f>IF(Team_Matches!$Q1443&lt;&gt;"",IF(Team_Matches!J1443&gt;Team_Matches!J1445,MIN(Team_Matches!J1443,Team_Matches!J1445),-MIN(Team_Matches!J1443,Team_Matches!J1445))*IF(Team_Matches!$Q1443="W",1,-1),"")</f>
        <v/>
      </c>
      <c r="I113" s="93" t="str">
        <f>IF(Team_Matches!$Q1443&lt;&gt;"",IF(Team_Matches!K1443=Team_Matches!K1445,"",IF(Team_Matches!K1443&gt;Team_Matches!K1445,MIN(Team_Matches!K1443,Team_Matches!K1445),-MIN(Team_Matches!K1443,Team_Matches!K1445))*IF(Team_Matches!$Q1443="W",1,-1)),"")</f>
        <v/>
      </c>
      <c r="J113" s="93" t="str">
        <f>IF(Team_Matches!$Q1443&lt;&gt;"",IF(Team_Matches!L1443=Team_Matches!L1445,"",IF(Team_Matches!L1443&gt;Team_Matches!L1445,MIN(Team_Matches!L1443,Team_Matches!L1445),-MIN(Team_Matches!L1443,Team_Matches!L1445))*IF(Team_Matches!$Q1443="W",1,-1)),"")</f>
        <v/>
      </c>
    </row>
    <row r="114" spans="1:10">
      <c r="A114" s="68" t="e">
        <f>$B114&amp;";"&amp;VLOOKUP($B114,Players!$C$4:$G$132,5,FALSE)&amp;";"&amp;IF(ISERROR(VLOOKUP($B114,Players!$C$4:$G$132,2,FALSE)),0,VLOOKUP($B114,Players!$C$4:$G$132,2,FALSE))&amp;";"&amp;$C114&amp;";"&amp;VLOOKUP($C114,Players!$C$4:$G$132,5,FALSE)&amp;";"&amp;IF(ISERROR(VLOOKUP($C114,Players!$C$4:$G$132,2,FALSE)),0,VLOOKUP($C114,Players!$C$4:$G$132,2,FALSE))&amp;"|"</f>
        <v>#N/A</v>
      </c>
      <c r="B114" t="str">
        <f>IF(Team_Matches!$Q1450="W",Team_Matches!$B1450,IF(Team_Matches!$Q1452="W",Team_Matches!$B1452,""))</f>
        <v/>
      </c>
      <c r="C114" t="str">
        <f>IF(Team_Matches!$Q1450="L",Team_Matches!$B1450,IF(Team_Matches!$Q1452="L",Team_Matches!$B1452,""))</f>
        <v/>
      </c>
      <c r="D114" t="str">
        <f>CONCATENATE(Team_Matches!$B1437," vs ",Team_Matches!$K1437)</f>
        <v>B vs G</v>
      </c>
      <c r="E114" t="str">
        <f>Team_Matches!$A1448</f>
        <v>2nd Singles</v>
      </c>
      <c r="F114" s="93" t="str">
        <f>IF(Team_Matches!$Q1450&lt;&gt;"",IF(Team_Matches!H1450&gt;Team_Matches!H1452,MIN(Team_Matches!H1450,Team_Matches!H1452),-MIN(Team_Matches!H1450,Team_Matches!H1452))*IF(Team_Matches!$Q1450="W",1,-1),"")</f>
        <v/>
      </c>
      <c r="G114" s="93" t="str">
        <f>IF(Team_Matches!$Q1450&lt;&gt;"",IF(Team_Matches!I1450&gt;Team_Matches!I1452,MIN(Team_Matches!I1450,Team_Matches!I1452),-MIN(Team_Matches!I1450,Team_Matches!I1452))*IF(Team_Matches!$Q1450="W",1,-1),"")</f>
        <v/>
      </c>
      <c r="H114" s="93" t="str">
        <f>IF(Team_Matches!$Q1450&lt;&gt;"",IF(Team_Matches!J1450&gt;Team_Matches!J1452,MIN(Team_Matches!J1450,Team_Matches!J1452),-MIN(Team_Matches!J1450,Team_Matches!J1452))*IF(Team_Matches!$Q1450="W",1,-1),"")</f>
        <v/>
      </c>
      <c r="I114" s="93" t="str">
        <f>IF(Team_Matches!$Q1450&lt;&gt;"",IF(Team_Matches!K1450=Team_Matches!K1452,"",IF(Team_Matches!K1450&gt;Team_Matches!K1452,MIN(Team_Matches!K1450,Team_Matches!K1452),-MIN(Team_Matches!K1450,Team_Matches!K1452))*IF(Team_Matches!$Q1450="W",1,-1)),"")</f>
        <v/>
      </c>
      <c r="J114" s="93" t="str">
        <f>IF(Team_Matches!$Q1450&lt;&gt;"",IF(Team_Matches!L1450=Team_Matches!L1452,"",IF(Team_Matches!L1450&gt;Team_Matches!L1452,MIN(Team_Matches!L1450,Team_Matches!L1452),-MIN(Team_Matches!L1450,Team_Matches!L1452))*IF(Team_Matches!$Q1450="W",1,-1)),"")</f>
        <v/>
      </c>
    </row>
    <row r="115" spans="1:10">
      <c r="A115" s="68" t="e">
        <f>$B115&amp;";"&amp;VLOOKUP($B115,Players!$C$4:$G$132,5,FALSE)&amp;";"&amp;IF(ISERROR(VLOOKUP($B115,Players!$C$4:$G$132,2,FALSE)),0,VLOOKUP($B115,Players!$C$4:$G$132,2,FALSE))&amp;";"&amp;$C115&amp;";"&amp;VLOOKUP($C115,Players!$C$4:$G$132,5,FALSE)&amp;";"&amp;IF(ISERROR(VLOOKUP($C115,Players!$C$4:$G$132,2,FALSE)),0,VLOOKUP($C115,Players!$C$4:$G$132,2,FALSE))&amp;"|"</f>
        <v>#N/A</v>
      </c>
      <c r="B115" t="str">
        <f>IF(Team_Matches!$Q1457="W",Team_Matches!$B1457,IF(Team_Matches!$Q1459="W",Team_Matches!$B1459,""))</f>
        <v/>
      </c>
      <c r="C115" t="str">
        <f>IF(Team_Matches!$Q1457="L",Team_Matches!$B1457,IF(Team_Matches!$Q1459="L",Team_Matches!$B1459,""))</f>
        <v/>
      </c>
      <c r="D115" t="str">
        <f>CONCATENATE(Team_Matches!$B1437," vs ",Team_Matches!$K1437)</f>
        <v>B vs G</v>
      </c>
      <c r="E115" t="str">
        <f>Team_Matches!$A1455</f>
        <v>3rd Singles</v>
      </c>
      <c r="F115" s="93" t="str">
        <f>IF(Team_Matches!$Q1457&lt;&gt;"",IF(Team_Matches!H1457&gt;Team_Matches!H1459,MIN(Team_Matches!H1457,Team_Matches!H1459),-MIN(Team_Matches!H1457,Team_Matches!H1459))*IF(Team_Matches!$Q1457="W",1,-1),"")</f>
        <v/>
      </c>
      <c r="G115" s="93" t="str">
        <f>IF(Team_Matches!$Q1457&lt;&gt;"",IF(Team_Matches!I1457&gt;Team_Matches!I1459,MIN(Team_Matches!I1457,Team_Matches!I1459),-MIN(Team_Matches!I1457,Team_Matches!I1459))*IF(Team_Matches!$Q1457="W",1,-1),"")</f>
        <v/>
      </c>
      <c r="H115" s="93" t="str">
        <f>IF(Team_Matches!$Q1457&lt;&gt;"",IF(Team_Matches!J1457&gt;Team_Matches!J1459,MIN(Team_Matches!J1457,Team_Matches!J1459),-MIN(Team_Matches!J1457,Team_Matches!J1459))*IF(Team_Matches!$Q1457="W",1,-1),"")</f>
        <v/>
      </c>
      <c r="I115" s="93" t="str">
        <f>IF(Team_Matches!$Q1457&lt;&gt;"",IF(Team_Matches!K1457=Team_Matches!K1459,"",IF(Team_Matches!K1457&gt;Team_Matches!K1459,MIN(Team_Matches!K1457,Team_Matches!K1459),-MIN(Team_Matches!K1457,Team_Matches!K1459))*IF(Team_Matches!$Q1457="W",1,-1)),"")</f>
        <v/>
      </c>
      <c r="J115" s="93" t="str">
        <f>IF(Team_Matches!$Q1457&lt;&gt;"",IF(Team_Matches!L1457=Team_Matches!L1459,"",IF(Team_Matches!L1457&gt;Team_Matches!L1459,MIN(Team_Matches!L1457,Team_Matches!L1459),-MIN(Team_Matches!L1457,Team_Matches!L1459))*IF(Team_Matches!$Q1457="W",1,-1)),"")</f>
        <v/>
      </c>
    </row>
    <row r="116" spans="1:10">
      <c r="A116" s="68" t="e">
        <f ca="1">$B116&amp;";"&amp;VLOOKUP($B116,Players!$C$4:$G$132,5,FALSE)&amp;";"&amp;IF(ISERROR(VLOOKUP($B116,Players!$C$4:$G$132,2,FALSE)),0,VLOOKUP($B116,Players!$C$4:$G$132,2,FALSE))&amp;";"&amp;$C116&amp;";"&amp;VLOOKUP($C116,Players!$C$4:$G$132,5,FALSE)&amp;";"&amp;IF(ISERROR(VLOOKUP($C116,Players!$C$4:$G$132,2,FALSE)),0,VLOOKUP($C116,Players!$C$4:$G$132,2,FALSE))&amp;"|"</f>
        <v>#N/A</v>
      </c>
      <c r="B116" t="str">
        <f ca="1">IF(Team_Matches!$Q1464="W",Team_Matches!$B1464,IF(Team_Matches!$Q1466="W",Team_Matches!$B1466,""))</f>
        <v/>
      </c>
      <c r="C116" t="str">
        <f ca="1">IF(Team_Matches!$Q1464="L",Team_Matches!$B1464,IF(Team_Matches!$Q1466="L",Team_Matches!$B1466,""))</f>
        <v/>
      </c>
      <c r="D116" t="str">
        <f>CONCATENATE(Team_Matches!$B1437," vs ",Team_Matches!$K1437)</f>
        <v>B vs G</v>
      </c>
      <c r="E116" t="str">
        <f>Team_Matches!$A1462</f>
        <v>4th Singles</v>
      </c>
      <c r="F116" s="93" t="str">
        <f ca="1">IF(Team_Matches!$Q1464&lt;&gt;"",IF(Team_Matches!H1464&gt;Team_Matches!H1466,MIN(Team_Matches!H1464,Team_Matches!H1466),-MIN(Team_Matches!H1464,Team_Matches!H1466))*IF(Team_Matches!$Q1464="W",1,-1),"")</f>
        <v/>
      </c>
      <c r="G116" s="93" t="str">
        <f ca="1">IF(Team_Matches!$Q1464&lt;&gt;"",IF(Team_Matches!I1464&gt;Team_Matches!I1466,MIN(Team_Matches!I1464,Team_Matches!I1466),-MIN(Team_Matches!I1464,Team_Matches!I1466))*IF(Team_Matches!$Q1464="W",1,-1),"")</f>
        <v/>
      </c>
      <c r="H116" s="93" t="str">
        <f ca="1">IF(Team_Matches!$Q1464&lt;&gt;"",IF(Team_Matches!J1464&gt;Team_Matches!J1466,MIN(Team_Matches!J1464,Team_Matches!J1466),-MIN(Team_Matches!J1464,Team_Matches!J1466))*IF(Team_Matches!$Q1464="W",1,-1),"")</f>
        <v/>
      </c>
      <c r="I116" s="93" t="str">
        <f ca="1">IF(Team_Matches!$Q1464&lt;&gt;"",IF(Team_Matches!K1464=Team_Matches!K1466,"",IF(Team_Matches!K1464&gt;Team_Matches!K1466,MIN(Team_Matches!K1464,Team_Matches!K1466),-MIN(Team_Matches!K1464,Team_Matches!K1466))*IF(Team_Matches!$Q1464="W",1,-1)),"")</f>
        <v/>
      </c>
      <c r="J116" s="93" t="str">
        <f ca="1">IF(Team_Matches!$Q1464&lt;&gt;"",IF(Team_Matches!L1464=Team_Matches!L1466,"",IF(Team_Matches!L1464&gt;Team_Matches!L1466,MIN(Team_Matches!L1464,Team_Matches!L1466),-MIN(Team_Matches!L1464,Team_Matches!L1466))*IF(Team_Matches!$Q1464="W",1,-1)),"")</f>
        <v/>
      </c>
    </row>
    <row r="117" spans="1:10">
      <c r="A117" s="68" t="e">
        <f>$B117&amp;";"&amp;VLOOKUP($B117,Players!$C$4:$G$132,5,FALSE)&amp;";"&amp;IF(ISERROR(VLOOKUP($B117,Players!$C$4:$G$132,2,FALSE)),0,VLOOKUP($B117,Players!$C$4:$G$132,2,FALSE))&amp;";"&amp;$C117&amp;";"&amp;VLOOKUP($C117,Players!$C$4:$G$132,5,FALSE)&amp;";"&amp;IF(ISERROR(VLOOKUP($C117,Players!$C$4:$G$132,2,FALSE)),0,VLOOKUP($C117,Players!$C$4:$G$132,2,FALSE))&amp;"|"</f>
        <v>#N/A</v>
      </c>
      <c r="B117" t="str">
        <f>IF(Team_Matches!$Q1494="W",Team_Matches!$B1494,IF(Team_Matches!$Q1496="W",Team_Matches!$B1496,""))</f>
        <v/>
      </c>
      <c r="C117" t="str">
        <f>IF(Team_Matches!$Q1494="L",Team_Matches!$B1494,IF(Team_Matches!$Q1496="L",Team_Matches!$B1496,""))</f>
        <v/>
      </c>
      <c r="D117" t="str">
        <f>CONCATENATE(Team_Matches!$B1488," vs ",Team_Matches!$K1488)</f>
        <v>B vs H</v>
      </c>
      <c r="E117" t="str">
        <f>Team_Matches!A1492</f>
        <v>1st Singles</v>
      </c>
      <c r="F117" s="93" t="str">
        <f>IF(Team_Matches!$Q1494&lt;&gt;"",IF(Team_Matches!H1494&gt;Team_Matches!H1496,MIN(Team_Matches!H1494,Team_Matches!H1496),-MIN(Team_Matches!H1494,Team_Matches!H1496))*IF(Team_Matches!$Q1494="W",1,-1),"")</f>
        <v/>
      </c>
      <c r="G117" s="93" t="str">
        <f>IF(Team_Matches!$Q1494&lt;&gt;"",IF(Team_Matches!I1494&gt;Team_Matches!I1496,MIN(Team_Matches!I1494,Team_Matches!I1496),-MIN(Team_Matches!I1494,Team_Matches!I1496))*IF(Team_Matches!$Q1494="W",1,-1),"")</f>
        <v/>
      </c>
      <c r="H117" s="93" t="str">
        <f>IF(Team_Matches!$Q1494&lt;&gt;"",IF(Team_Matches!J1494&gt;Team_Matches!J1496,MIN(Team_Matches!J1494,Team_Matches!J1496),-MIN(Team_Matches!J1494,Team_Matches!J1496))*IF(Team_Matches!$Q1494="W",1,-1),"")</f>
        <v/>
      </c>
      <c r="I117" s="93" t="str">
        <f>IF(Team_Matches!$Q1494&lt;&gt;"",IF(Team_Matches!K1494=Team_Matches!K1496,"",IF(Team_Matches!K1494&gt;Team_Matches!K1496,MIN(Team_Matches!K1494,Team_Matches!K1496),-MIN(Team_Matches!K1494,Team_Matches!K1496))*IF(Team_Matches!$Q1494="W",1,-1)),"")</f>
        <v/>
      </c>
      <c r="J117" s="93" t="str">
        <f>IF(Team_Matches!$Q1494&lt;&gt;"",IF(Team_Matches!L1494=Team_Matches!L1496,"",IF(Team_Matches!L1494&gt;Team_Matches!L1496,MIN(Team_Matches!L1494,Team_Matches!L1496),-MIN(Team_Matches!L1494,Team_Matches!L1496))*IF(Team_Matches!$Q1494="W",1,-1)),"")</f>
        <v/>
      </c>
    </row>
    <row r="118" spans="1:10">
      <c r="A118" s="68" t="e">
        <f>$B118&amp;";"&amp;VLOOKUP($B118,Players!$C$4:$G$132,5,FALSE)&amp;";"&amp;IF(ISERROR(VLOOKUP($B118,Players!$C$4:$G$132,2,FALSE)),0,VLOOKUP($B118,Players!$C$4:$G$132,2,FALSE))&amp;";"&amp;$C118&amp;";"&amp;VLOOKUP($C118,Players!$C$4:$G$132,5,FALSE)&amp;";"&amp;IF(ISERROR(VLOOKUP($C118,Players!$C$4:$G$132,2,FALSE)),0,VLOOKUP($C118,Players!$C$4:$G$132,2,FALSE))&amp;"|"</f>
        <v>#N/A</v>
      </c>
      <c r="B118" t="str">
        <f>IF(Team_Matches!$Q1501="W",Team_Matches!$B1501,IF(Team_Matches!$Q1503="W",Team_Matches!$B1503,""))</f>
        <v/>
      </c>
      <c r="C118" t="str">
        <f>IF(Team_Matches!$Q1501="L",Team_Matches!$B1501,IF(Team_Matches!$Q1503="L",Team_Matches!$B1503,""))</f>
        <v/>
      </c>
      <c r="D118" t="str">
        <f>CONCATENATE(Team_Matches!$B1488," vs ",Team_Matches!$K1488)</f>
        <v>B vs H</v>
      </c>
      <c r="E118" t="str">
        <f>Team_Matches!$A1499</f>
        <v>2nd Singles</v>
      </c>
      <c r="F118" s="93" t="str">
        <f>IF(Team_Matches!$Q1501&lt;&gt;"",IF(Team_Matches!H1501&gt;Team_Matches!H1503,MIN(Team_Matches!H1501,Team_Matches!H1503),-MIN(Team_Matches!H1501,Team_Matches!H1503))*IF(Team_Matches!$Q1501="W",1,-1),"")</f>
        <v/>
      </c>
      <c r="G118" s="93" t="str">
        <f>IF(Team_Matches!$Q1501&lt;&gt;"",IF(Team_Matches!I1501&gt;Team_Matches!I1503,MIN(Team_Matches!I1501,Team_Matches!I1503),-MIN(Team_Matches!I1501,Team_Matches!I1503))*IF(Team_Matches!$Q1501="W",1,-1),"")</f>
        <v/>
      </c>
      <c r="H118" s="93" t="str">
        <f>IF(Team_Matches!$Q1501&lt;&gt;"",IF(Team_Matches!J1501&gt;Team_Matches!J1503,MIN(Team_Matches!J1501,Team_Matches!J1503),-MIN(Team_Matches!J1501,Team_Matches!J1503))*IF(Team_Matches!$Q1501="W",1,-1),"")</f>
        <v/>
      </c>
      <c r="I118" s="93" t="str">
        <f>IF(Team_Matches!$Q1501&lt;&gt;"",IF(Team_Matches!K1501=Team_Matches!K1503,"",IF(Team_Matches!K1501&gt;Team_Matches!K1503,MIN(Team_Matches!K1501,Team_Matches!K1503),-MIN(Team_Matches!K1501,Team_Matches!K1503))*IF(Team_Matches!$Q1501="W",1,-1)),"")</f>
        <v/>
      </c>
      <c r="J118" s="93" t="str">
        <f>IF(Team_Matches!$Q1501&lt;&gt;"",IF(Team_Matches!L1501=Team_Matches!L1503,"",IF(Team_Matches!L1501&gt;Team_Matches!L1503,MIN(Team_Matches!L1501,Team_Matches!L1503),-MIN(Team_Matches!L1501,Team_Matches!L1503))*IF(Team_Matches!$Q1501="W",1,-1)),"")</f>
        <v/>
      </c>
    </row>
    <row r="119" spans="1:10">
      <c r="A119" s="68" t="e">
        <f>$B119&amp;";"&amp;VLOOKUP($B119,Players!$C$4:$G$132,5,FALSE)&amp;";"&amp;IF(ISERROR(VLOOKUP($B119,Players!$C$4:$G$132,2,FALSE)),0,VLOOKUP($B119,Players!$C$4:$G$132,2,FALSE))&amp;";"&amp;$C119&amp;";"&amp;VLOOKUP($C119,Players!$C$4:$G$132,5,FALSE)&amp;";"&amp;IF(ISERROR(VLOOKUP($C119,Players!$C$4:$G$132,2,FALSE)),0,VLOOKUP($C119,Players!$C$4:$G$132,2,FALSE))&amp;"|"</f>
        <v>#N/A</v>
      </c>
      <c r="B119" t="str">
        <f>IF(Team_Matches!$Q1508="W",Team_Matches!$B1508,IF(Team_Matches!$Q1510="W",Team_Matches!$B1510,""))</f>
        <v/>
      </c>
      <c r="C119" t="str">
        <f>IF(Team_Matches!$Q1508="L",Team_Matches!$B1508,IF(Team_Matches!$Q1510="L",Team_Matches!$B1510,""))</f>
        <v/>
      </c>
      <c r="D119" t="str">
        <f>CONCATENATE(Team_Matches!$B1488," vs ",Team_Matches!$K1488)</f>
        <v>B vs H</v>
      </c>
      <c r="E119" t="str">
        <f>Team_Matches!$A1506</f>
        <v>3rd Singles</v>
      </c>
      <c r="F119" s="93" t="str">
        <f>IF(Team_Matches!$Q1508&lt;&gt;"",IF(Team_Matches!H1508&gt;Team_Matches!H1510,MIN(Team_Matches!H1508,Team_Matches!H1510),-MIN(Team_Matches!H1508,Team_Matches!H1510))*IF(Team_Matches!$Q1508="W",1,-1),"")</f>
        <v/>
      </c>
      <c r="G119" s="93" t="str">
        <f>IF(Team_Matches!$Q1508&lt;&gt;"",IF(Team_Matches!I1508&gt;Team_Matches!I1510,MIN(Team_Matches!I1508,Team_Matches!I1510),-MIN(Team_Matches!I1508,Team_Matches!I1510))*IF(Team_Matches!$Q1508="W",1,-1),"")</f>
        <v/>
      </c>
      <c r="H119" s="93" t="str">
        <f>IF(Team_Matches!$Q1508&lt;&gt;"",IF(Team_Matches!J1508&gt;Team_Matches!J1510,MIN(Team_Matches!J1508,Team_Matches!J1510),-MIN(Team_Matches!J1508,Team_Matches!J1510))*IF(Team_Matches!$Q1508="W",1,-1),"")</f>
        <v/>
      </c>
      <c r="I119" s="93" t="str">
        <f>IF(Team_Matches!$Q1508&lt;&gt;"",IF(Team_Matches!K1508=Team_Matches!K1510,"",IF(Team_Matches!K1508&gt;Team_Matches!K1510,MIN(Team_Matches!K1508,Team_Matches!K1510),-MIN(Team_Matches!K1508,Team_Matches!K1510))*IF(Team_Matches!$Q1508="W",1,-1)),"")</f>
        <v/>
      </c>
      <c r="J119" s="93" t="str">
        <f>IF(Team_Matches!$Q1508&lt;&gt;"",IF(Team_Matches!L1508=Team_Matches!L1510,"",IF(Team_Matches!L1508&gt;Team_Matches!L1510,MIN(Team_Matches!L1508,Team_Matches!L1510),-MIN(Team_Matches!L1508,Team_Matches!L1510))*IF(Team_Matches!$Q1508="W",1,-1)),"")</f>
        <v/>
      </c>
    </row>
    <row r="120" spans="1:10">
      <c r="A120" s="68" t="e">
        <f ca="1">$B120&amp;";"&amp;VLOOKUP($B120,Players!$C$4:$G$132,5,FALSE)&amp;";"&amp;IF(ISERROR(VLOOKUP($B120,Players!$C$4:$G$132,2,FALSE)),0,VLOOKUP($B120,Players!$C$4:$G$132,2,FALSE))&amp;";"&amp;$C120&amp;";"&amp;VLOOKUP($C120,Players!$C$4:$G$132,5,FALSE)&amp;";"&amp;IF(ISERROR(VLOOKUP($C120,Players!$C$4:$G$132,2,FALSE)),0,VLOOKUP($C120,Players!$C$4:$G$132,2,FALSE))&amp;"|"</f>
        <v>#N/A</v>
      </c>
      <c r="B120" t="str">
        <f ca="1">IF(Team_Matches!$Q1515="W",Team_Matches!$B1515,IF(Team_Matches!$Q1517="W",Team_Matches!$B1517,""))</f>
        <v/>
      </c>
      <c r="C120" t="str">
        <f ca="1">IF(Team_Matches!$Q1515="L",Team_Matches!$B1515,IF(Team_Matches!$Q1517="L",Team_Matches!$B1517,""))</f>
        <v/>
      </c>
      <c r="D120" t="str">
        <f>CONCATENATE(Team_Matches!$B1488," vs ",Team_Matches!$K1488)</f>
        <v>B vs H</v>
      </c>
      <c r="E120" t="str">
        <f>Team_Matches!$A1513</f>
        <v>4th Singles</v>
      </c>
      <c r="F120" s="93" t="str">
        <f ca="1">IF(Team_Matches!$Q1515&lt;&gt;"",IF(Team_Matches!H1515&gt;Team_Matches!H1517,MIN(Team_Matches!H1515,Team_Matches!H1517),-MIN(Team_Matches!H1515,Team_Matches!H1517))*IF(Team_Matches!$Q1515="W",1,-1),"")</f>
        <v/>
      </c>
      <c r="G120" s="93" t="str">
        <f ca="1">IF(Team_Matches!$Q1515&lt;&gt;"",IF(Team_Matches!I1515&gt;Team_Matches!I1517,MIN(Team_Matches!I1515,Team_Matches!I1517),-MIN(Team_Matches!I1515,Team_Matches!I1517))*IF(Team_Matches!$Q1515="W",1,-1),"")</f>
        <v/>
      </c>
      <c r="H120" s="93" t="str">
        <f ca="1">IF(Team_Matches!$Q1515&lt;&gt;"",IF(Team_Matches!J1515&gt;Team_Matches!J1517,MIN(Team_Matches!J1515,Team_Matches!J1517),-MIN(Team_Matches!J1515,Team_Matches!J1517))*IF(Team_Matches!$Q1515="W",1,-1),"")</f>
        <v/>
      </c>
      <c r="I120" s="93" t="str">
        <f ca="1">IF(Team_Matches!$Q1515&lt;&gt;"",IF(Team_Matches!K1515=Team_Matches!K1517,"",IF(Team_Matches!K1515&gt;Team_Matches!K1517,MIN(Team_Matches!K1515,Team_Matches!K1517),-MIN(Team_Matches!K1515,Team_Matches!K1517))*IF(Team_Matches!$Q1515="W",1,-1)),"")</f>
        <v/>
      </c>
      <c r="J120" s="93" t="str">
        <f ca="1">IF(Team_Matches!$Q1515&lt;&gt;"",IF(Team_Matches!L1515=Team_Matches!L1517,"",IF(Team_Matches!L1515&gt;Team_Matches!L1517,MIN(Team_Matches!L1515,Team_Matches!L1517),-MIN(Team_Matches!L1515,Team_Matches!L1517))*IF(Team_Matches!$Q1515="W",1,-1)),"")</f>
        <v/>
      </c>
    </row>
    <row r="121" spans="1:10">
      <c r="A121" s="68" t="e">
        <f>$B121&amp;";"&amp;VLOOKUP($B121,Players!$C$4:$G$132,5,FALSE)&amp;";"&amp;IF(ISERROR(VLOOKUP($B121,Players!$C$4:$G$132,2,FALSE)),0,VLOOKUP($B121,Players!$C$4:$G$132,2,FALSE))&amp;";"&amp;$C121&amp;";"&amp;VLOOKUP($C121,Players!$C$4:$G$132,5,FALSE)&amp;";"&amp;IF(ISERROR(VLOOKUP($C121,Players!$C$4:$G$132,2,FALSE)),0,VLOOKUP($C121,Players!$C$4:$G$132,2,FALSE))&amp;"|"</f>
        <v>#N/A</v>
      </c>
      <c r="B121" t="str">
        <f>IF(Team_Matches!$Q1545="W",Team_Matches!$B1545,IF(Team_Matches!$Q1547="W",Team_Matches!$B1547,""))</f>
        <v/>
      </c>
      <c r="C121" t="str">
        <f>IF(Team_Matches!$Q1545="L",Team_Matches!$B1545,IF(Team_Matches!$Q1547="L",Team_Matches!$B1547,""))</f>
        <v/>
      </c>
      <c r="D121" t="str">
        <f>CONCATENATE(Team_Matches!$B1539," vs ",Team_Matches!$K1539)</f>
        <v>B vs I</v>
      </c>
      <c r="E121" t="str">
        <f>Team_Matches!A1543</f>
        <v>1st Singles</v>
      </c>
      <c r="F121" s="93" t="str">
        <f>IF(Team_Matches!$Q1545&lt;&gt;"",IF(Team_Matches!H1545&gt;Team_Matches!H1547,MIN(Team_Matches!H1545,Team_Matches!H1547),-MIN(Team_Matches!H1545,Team_Matches!H1547))*IF(Team_Matches!$Q1545="W",1,-1),"")</f>
        <v/>
      </c>
      <c r="G121" s="93" t="str">
        <f>IF(Team_Matches!$Q1545&lt;&gt;"",IF(Team_Matches!I1545&gt;Team_Matches!I1547,MIN(Team_Matches!I1545,Team_Matches!I1547),-MIN(Team_Matches!I1545,Team_Matches!I1547))*IF(Team_Matches!$Q1545="W",1,-1),"")</f>
        <v/>
      </c>
      <c r="H121" s="93" t="str">
        <f>IF(Team_Matches!$Q1545&lt;&gt;"",IF(Team_Matches!J1545&gt;Team_Matches!J1547,MIN(Team_Matches!J1545,Team_Matches!J1547),-MIN(Team_Matches!J1545,Team_Matches!J1547))*IF(Team_Matches!$Q1545="W",1,-1),"")</f>
        <v/>
      </c>
      <c r="I121" s="93" t="str">
        <f>IF(Team_Matches!$Q1545&lt;&gt;"",IF(Team_Matches!K1545=Team_Matches!K1547,"",IF(Team_Matches!K1545&gt;Team_Matches!K1547,MIN(Team_Matches!K1545,Team_Matches!K1547),-MIN(Team_Matches!K1545,Team_Matches!K1547))*IF(Team_Matches!$Q1545="W",1,-1)),"")</f>
        <v/>
      </c>
      <c r="J121" s="93" t="str">
        <f>IF(Team_Matches!$Q1545&lt;&gt;"",IF(Team_Matches!L1545=Team_Matches!L1547,"",IF(Team_Matches!L1545&gt;Team_Matches!L1547,MIN(Team_Matches!L1545,Team_Matches!L1547),-MIN(Team_Matches!L1545,Team_Matches!L1547))*IF(Team_Matches!$Q1545="W",1,-1)),"")</f>
        <v/>
      </c>
    </row>
    <row r="122" spans="1:10">
      <c r="A122" s="68" t="e">
        <f>$B122&amp;";"&amp;VLOOKUP($B122,Players!$C$4:$G$132,5,FALSE)&amp;";"&amp;IF(ISERROR(VLOOKUP($B122,Players!$C$4:$G$132,2,FALSE)),0,VLOOKUP($B122,Players!$C$4:$G$132,2,FALSE))&amp;";"&amp;$C122&amp;";"&amp;VLOOKUP($C122,Players!$C$4:$G$132,5,FALSE)&amp;";"&amp;IF(ISERROR(VLOOKUP($C122,Players!$C$4:$G$132,2,FALSE)),0,VLOOKUP($C122,Players!$C$4:$G$132,2,FALSE))&amp;"|"</f>
        <v>#N/A</v>
      </c>
      <c r="B122" t="str">
        <f>IF(Team_Matches!$Q1552="W",Team_Matches!$B1552,IF(Team_Matches!$Q1554="W",Team_Matches!$B1554,""))</f>
        <v/>
      </c>
      <c r="C122" t="str">
        <f>IF(Team_Matches!$Q1552="L",Team_Matches!$B1552,IF(Team_Matches!$Q1554="L",Team_Matches!$B1554,""))</f>
        <v/>
      </c>
      <c r="D122" t="str">
        <f>CONCATENATE(Team_Matches!$B1539," vs ",Team_Matches!$K1539)</f>
        <v>B vs I</v>
      </c>
      <c r="E122" t="str">
        <f>Team_Matches!$A1550</f>
        <v>2nd Singles</v>
      </c>
      <c r="F122" s="93" t="str">
        <f>IF(Team_Matches!$Q1552&lt;&gt;"",IF(Team_Matches!H1552&gt;Team_Matches!H1554,MIN(Team_Matches!H1552,Team_Matches!H1554),-MIN(Team_Matches!H1552,Team_Matches!H1554))*IF(Team_Matches!$Q1552="W",1,-1),"")</f>
        <v/>
      </c>
      <c r="G122" s="93" t="str">
        <f>IF(Team_Matches!$Q1552&lt;&gt;"",IF(Team_Matches!I1552&gt;Team_Matches!I1554,MIN(Team_Matches!I1552,Team_Matches!I1554),-MIN(Team_Matches!I1552,Team_Matches!I1554))*IF(Team_Matches!$Q1552="W",1,-1),"")</f>
        <v/>
      </c>
      <c r="H122" s="93" t="str">
        <f>IF(Team_Matches!$Q1552&lt;&gt;"",IF(Team_Matches!J1552&gt;Team_Matches!J1554,MIN(Team_Matches!J1552,Team_Matches!J1554),-MIN(Team_Matches!J1552,Team_Matches!J1554))*IF(Team_Matches!$Q1552="W",1,-1),"")</f>
        <v/>
      </c>
      <c r="I122" s="93" t="str">
        <f>IF(Team_Matches!$Q1552&lt;&gt;"",IF(Team_Matches!K1552=Team_Matches!K1554,"",IF(Team_Matches!K1552&gt;Team_Matches!K1554,MIN(Team_Matches!K1552,Team_Matches!K1554),-MIN(Team_Matches!K1552,Team_Matches!K1554))*IF(Team_Matches!$Q1552="W",1,-1)),"")</f>
        <v/>
      </c>
      <c r="J122" s="93" t="str">
        <f>IF(Team_Matches!$Q1552&lt;&gt;"",IF(Team_Matches!L1552=Team_Matches!L1554,"",IF(Team_Matches!L1552&gt;Team_Matches!L1554,MIN(Team_Matches!L1552,Team_Matches!L1554),-MIN(Team_Matches!L1552,Team_Matches!L1554))*IF(Team_Matches!$Q1552="W",1,-1)),"")</f>
        <v/>
      </c>
    </row>
    <row r="123" spans="1:10">
      <c r="A123" s="68" t="e">
        <f>$B123&amp;";"&amp;VLOOKUP($B123,Players!$C$4:$G$132,5,FALSE)&amp;";"&amp;IF(ISERROR(VLOOKUP($B123,Players!$C$4:$G$132,2,FALSE)),0,VLOOKUP($B123,Players!$C$4:$G$132,2,FALSE))&amp;";"&amp;$C123&amp;";"&amp;VLOOKUP($C123,Players!$C$4:$G$132,5,FALSE)&amp;";"&amp;IF(ISERROR(VLOOKUP($C123,Players!$C$4:$G$132,2,FALSE)),0,VLOOKUP($C123,Players!$C$4:$G$132,2,FALSE))&amp;"|"</f>
        <v>#N/A</v>
      </c>
      <c r="B123" t="str">
        <f>IF(Team_Matches!$Q1559="W",Team_Matches!$B1559,IF(Team_Matches!$Q1561="W",Team_Matches!$B1561,""))</f>
        <v/>
      </c>
      <c r="C123" t="str">
        <f>IF(Team_Matches!$Q1559="L",Team_Matches!$B1559,IF(Team_Matches!$Q1561="L",Team_Matches!$B1561,""))</f>
        <v/>
      </c>
      <c r="D123" t="str">
        <f>CONCATENATE(Team_Matches!$B1539," vs ",Team_Matches!$K1539)</f>
        <v>B vs I</v>
      </c>
      <c r="E123" t="str">
        <f>Team_Matches!$A1557</f>
        <v>3rd Singles</v>
      </c>
      <c r="F123" s="93" t="str">
        <f>IF(Team_Matches!$Q1559&lt;&gt;"",IF(Team_Matches!H1559&gt;Team_Matches!H1561,MIN(Team_Matches!H1559,Team_Matches!H1561),-MIN(Team_Matches!H1559,Team_Matches!H1561))*IF(Team_Matches!$Q1559="W",1,-1),"")</f>
        <v/>
      </c>
      <c r="G123" s="93" t="str">
        <f>IF(Team_Matches!$Q1559&lt;&gt;"",IF(Team_Matches!I1559&gt;Team_Matches!I1561,MIN(Team_Matches!I1559,Team_Matches!I1561),-MIN(Team_Matches!I1559,Team_Matches!I1561))*IF(Team_Matches!$Q1559="W",1,-1),"")</f>
        <v/>
      </c>
      <c r="H123" s="93" t="str">
        <f>IF(Team_Matches!$Q1559&lt;&gt;"",IF(Team_Matches!J1559&gt;Team_Matches!J1561,MIN(Team_Matches!J1559,Team_Matches!J1561),-MIN(Team_Matches!J1559,Team_Matches!J1561))*IF(Team_Matches!$Q1559="W",1,-1),"")</f>
        <v/>
      </c>
      <c r="I123" s="93" t="str">
        <f>IF(Team_Matches!$Q1559&lt;&gt;"",IF(Team_Matches!K1559=Team_Matches!K1561,"",IF(Team_Matches!K1559&gt;Team_Matches!K1561,MIN(Team_Matches!K1559,Team_Matches!K1561),-MIN(Team_Matches!K1559,Team_Matches!K1561))*IF(Team_Matches!$Q1559="W",1,-1)),"")</f>
        <v/>
      </c>
      <c r="J123" s="93" t="str">
        <f>IF(Team_Matches!$Q1559&lt;&gt;"",IF(Team_Matches!L1559=Team_Matches!L1561,"",IF(Team_Matches!L1559&gt;Team_Matches!L1561,MIN(Team_Matches!L1559,Team_Matches!L1561),-MIN(Team_Matches!L1559,Team_Matches!L1561))*IF(Team_Matches!$Q1559="W",1,-1)),"")</f>
        <v/>
      </c>
    </row>
    <row r="124" spans="1:10">
      <c r="A124" s="68" t="e">
        <f ca="1">$B124&amp;";"&amp;VLOOKUP($B124,Players!$C$4:$G$132,5,FALSE)&amp;";"&amp;IF(ISERROR(VLOOKUP($B124,Players!$C$4:$G$132,2,FALSE)),0,VLOOKUP($B124,Players!$C$4:$G$132,2,FALSE))&amp;";"&amp;$C124&amp;";"&amp;VLOOKUP($C124,Players!$C$4:$G$132,5,FALSE)&amp;";"&amp;IF(ISERROR(VLOOKUP($C124,Players!$C$4:$G$132,2,FALSE)),0,VLOOKUP($C124,Players!$C$4:$G$132,2,FALSE))&amp;"|"</f>
        <v>#N/A</v>
      </c>
      <c r="B124" t="str">
        <f ca="1">IF(Team_Matches!$Q1566="W",Team_Matches!$B1566,IF(Team_Matches!$Q1568="W",Team_Matches!$B1568,""))</f>
        <v/>
      </c>
      <c r="C124" t="str">
        <f ca="1">IF(Team_Matches!$Q1566="L",Team_Matches!$B1566,IF(Team_Matches!$Q1568="L",Team_Matches!$B1568,""))</f>
        <v/>
      </c>
      <c r="D124" t="str">
        <f>CONCATENATE(Team_Matches!$B1539," vs ",Team_Matches!$K1539)</f>
        <v>B vs I</v>
      </c>
      <c r="E124" t="str">
        <f>Team_Matches!$A1564</f>
        <v>4th Singles</v>
      </c>
      <c r="F124" s="93" t="str">
        <f ca="1">IF(Team_Matches!$Q1566&lt;&gt;"",IF(Team_Matches!H1566&gt;Team_Matches!H1568,MIN(Team_Matches!H1566,Team_Matches!H1568),-MIN(Team_Matches!H1566,Team_Matches!H1568))*IF(Team_Matches!$Q1566="W",1,-1),"")</f>
        <v/>
      </c>
      <c r="G124" s="93" t="str">
        <f ca="1">IF(Team_Matches!$Q1566&lt;&gt;"",IF(Team_Matches!I1566&gt;Team_Matches!I1568,MIN(Team_Matches!I1566,Team_Matches!I1568),-MIN(Team_Matches!I1566,Team_Matches!I1568))*IF(Team_Matches!$Q1566="W",1,-1),"")</f>
        <v/>
      </c>
      <c r="H124" s="93" t="str">
        <f ca="1">IF(Team_Matches!$Q1566&lt;&gt;"",IF(Team_Matches!J1566&gt;Team_Matches!J1568,MIN(Team_Matches!J1566,Team_Matches!J1568),-MIN(Team_Matches!J1566,Team_Matches!J1568))*IF(Team_Matches!$Q1566="W",1,-1),"")</f>
        <v/>
      </c>
      <c r="I124" s="93" t="str">
        <f ca="1">IF(Team_Matches!$Q1566&lt;&gt;"",IF(Team_Matches!K1566=Team_Matches!K1568,"",IF(Team_Matches!K1566&gt;Team_Matches!K1568,MIN(Team_Matches!K1566,Team_Matches!K1568),-MIN(Team_Matches!K1566,Team_Matches!K1568))*IF(Team_Matches!$Q1566="W",1,-1)),"")</f>
        <v/>
      </c>
      <c r="J124" s="93" t="str">
        <f ca="1">IF(Team_Matches!$Q1566&lt;&gt;"",IF(Team_Matches!L1566=Team_Matches!L1568,"",IF(Team_Matches!L1566&gt;Team_Matches!L1568,MIN(Team_Matches!L1566,Team_Matches!L1568),-MIN(Team_Matches!L1566,Team_Matches!L1568))*IF(Team_Matches!$Q1566="W",1,-1)),"")</f>
        <v/>
      </c>
    </row>
    <row r="125" spans="1:10">
      <c r="A125" s="68" t="e">
        <f>$B125&amp;";"&amp;VLOOKUP($B125,Players!$C$4:$G$132,5,FALSE)&amp;";"&amp;IF(ISERROR(VLOOKUP($B125,Players!$C$4:$G$132,2,FALSE)),0,VLOOKUP($B125,Players!$C$4:$G$132,2,FALSE))&amp;";"&amp;$C125&amp;";"&amp;VLOOKUP($C125,Players!$C$4:$G$132,5,FALSE)&amp;";"&amp;IF(ISERROR(VLOOKUP($C125,Players!$C$4:$G$132,2,FALSE)),0,VLOOKUP($C125,Players!$C$4:$G$132,2,FALSE))&amp;"|"</f>
        <v>#N/A</v>
      </c>
      <c r="B125" t="str">
        <f>IF(Team_Matches!$Q1596="W",Team_Matches!$B1596,IF(Team_Matches!$Q1598="W",Team_Matches!$B1598,""))</f>
        <v/>
      </c>
      <c r="C125" t="str">
        <f>IF(Team_Matches!$Q1596="L",Team_Matches!$B1596,IF(Team_Matches!$Q1598="L",Team_Matches!$B1598,""))</f>
        <v/>
      </c>
      <c r="D125" t="str">
        <f>CONCATENATE(Team_Matches!$B1590," vs ",Team_Matches!$K1590)</f>
        <v>B vs J</v>
      </c>
      <c r="E125" t="str">
        <f>Team_Matches!A1594</f>
        <v>1st Singles</v>
      </c>
      <c r="F125" s="93" t="str">
        <f>IF(Team_Matches!$Q1596&lt;&gt;"",IF(Team_Matches!H1596&gt;Team_Matches!H1598,MIN(Team_Matches!H1596,Team_Matches!H1598),-MIN(Team_Matches!H1596,Team_Matches!H1598))*IF(Team_Matches!$Q1596="W",1,-1),"")</f>
        <v/>
      </c>
      <c r="G125" s="93" t="str">
        <f>IF(Team_Matches!$Q1596&lt;&gt;"",IF(Team_Matches!I1596&gt;Team_Matches!I1598,MIN(Team_Matches!I1596,Team_Matches!I1598),-MIN(Team_Matches!I1596,Team_Matches!I1598))*IF(Team_Matches!$Q1596="W",1,-1),"")</f>
        <v/>
      </c>
      <c r="H125" s="93" t="str">
        <f>IF(Team_Matches!$Q1596&lt;&gt;"",IF(Team_Matches!J1596&gt;Team_Matches!J1598,MIN(Team_Matches!J1596,Team_Matches!J1598),-MIN(Team_Matches!J1596,Team_Matches!J1598))*IF(Team_Matches!$Q1596="W",1,-1),"")</f>
        <v/>
      </c>
      <c r="I125" s="93" t="str">
        <f>IF(Team_Matches!$Q1596&lt;&gt;"",IF(Team_Matches!K1596=Team_Matches!K1598,"",IF(Team_Matches!K1596&gt;Team_Matches!K1598,MIN(Team_Matches!K1596,Team_Matches!K1598),-MIN(Team_Matches!K1596,Team_Matches!K1598))*IF(Team_Matches!$Q1596="W",1,-1)),"")</f>
        <v/>
      </c>
      <c r="J125" s="93" t="str">
        <f>IF(Team_Matches!$Q1596&lt;&gt;"",IF(Team_Matches!L1596=Team_Matches!L1598,"",IF(Team_Matches!L1596&gt;Team_Matches!L1598,MIN(Team_Matches!L1596,Team_Matches!L1598),-MIN(Team_Matches!L1596,Team_Matches!L1598))*IF(Team_Matches!$Q1596="W",1,-1)),"")</f>
        <v/>
      </c>
    </row>
    <row r="126" spans="1:10">
      <c r="A126" s="68" t="e">
        <f>$B126&amp;";"&amp;VLOOKUP($B126,Players!$C$4:$G$132,5,FALSE)&amp;";"&amp;IF(ISERROR(VLOOKUP($B126,Players!$C$4:$G$132,2,FALSE)),0,VLOOKUP($B126,Players!$C$4:$G$132,2,FALSE))&amp;";"&amp;$C126&amp;";"&amp;VLOOKUP($C126,Players!$C$4:$G$132,5,FALSE)&amp;";"&amp;IF(ISERROR(VLOOKUP($C126,Players!$C$4:$G$132,2,FALSE)),0,VLOOKUP($C126,Players!$C$4:$G$132,2,FALSE))&amp;"|"</f>
        <v>#N/A</v>
      </c>
      <c r="B126" t="str">
        <f>IF(Team_Matches!$Q1603="W",Team_Matches!$B1603,IF(Team_Matches!$Q1605="W",Team_Matches!$B1605,""))</f>
        <v/>
      </c>
      <c r="C126" t="str">
        <f>IF(Team_Matches!$Q1603="L",Team_Matches!$B1603,IF(Team_Matches!$Q1605="L",Team_Matches!$B1605,""))</f>
        <v/>
      </c>
      <c r="D126" t="str">
        <f>CONCATENATE(Team_Matches!$B1590," vs ",Team_Matches!$K1590)</f>
        <v>B vs J</v>
      </c>
      <c r="E126" t="str">
        <f>Team_Matches!$A1601</f>
        <v>2nd Singles</v>
      </c>
      <c r="F126" s="93" t="str">
        <f>IF(Team_Matches!$Q1603&lt;&gt;"",IF(Team_Matches!H1603&gt;Team_Matches!H1605,MIN(Team_Matches!H1603,Team_Matches!H1605),-MIN(Team_Matches!H1603,Team_Matches!H1605))*IF(Team_Matches!$Q1603="W",1,-1),"")</f>
        <v/>
      </c>
      <c r="G126" s="93" t="str">
        <f>IF(Team_Matches!$Q1603&lt;&gt;"",IF(Team_Matches!I1603&gt;Team_Matches!I1605,MIN(Team_Matches!I1603,Team_Matches!I1605),-MIN(Team_Matches!I1603,Team_Matches!I1605))*IF(Team_Matches!$Q1603="W",1,-1),"")</f>
        <v/>
      </c>
      <c r="H126" s="93" t="str">
        <f>IF(Team_Matches!$Q1603&lt;&gt;"",IF(Team_Matches!J1603&gt;Team_Matches!J1605,MIN(Team_Matches!J1603,Team_Matches!J1605),-MIN(Team_Matches!J1603,Team_Matches!J1605))*IF(Team_Matches!$Q1603="W",1,-1),"")</f>
        <v/>
      </c>
      <c r="I126" s="93" t="str">
        <f>IF(Team_Matches!$Q1603&lt;&gt;"",IF(Team_Matches!K1603=Team_Matches!K1605,"",IF(Team_Matches!K1603&gt;Team_Matches!K1605,MIN(Team_Matches!K1603,Team_Matches!K1605),-MIN(Team_Matches!K1603,Team_Matches!K1605))*IF(Team_Matches!$Q1603="W",1,-1)),"")</f>
        <v/>
      </c>
      <c r="J126" s="93" t="str">
        <f>IF(Team_Matches!$Q1603&lt;&gt;"",IF(Team_Matches!L1603=Team_Matches!L1605,"",IF(Team_Matches!L1603&gt;Team_Matches!L1605,MIN(Team_Matches!L1603,Team_Matches!L1605),-MIN(Team_Matches!L1603,Team_Matches!L1605))*IF(Team_Matches!$Q1603="W",1,-1)),"")</f>
        <v/>
      </c>
    </row>
    <row r="127" spans="1:10">
      <c r="A127" s="68" t="e">
        <f>$B127&amp;";"&amp;VLOOKUP($B127,Players!$C$4:$G$132,5,FALSE)&amp;";"&amp;IF(ISERROR(VLOOKUP($B127,Players!$C$4:$G$132,2,FALSE)),0,VLOOKUP($B127,Players!$C$4:$G$132,2,FALSE))&amp;";"&amp;$C127&amp;";"&amp;VLOOKUP($C127,Players!$C$4:$G$132,5,FALSE)&amp;";"&amp;IF(ISERROR(VLOOKUP($C127,Players!$C$4:$G$132,2,FALSE)),0,VLOOKUP($C127,Players!$C$4:$G$132,2,FALSE))&amp;"|"</f>
        <v>#N/A</v>
      </c>
      <c r="B127" t="str">
        <f>IF(Team_Matches!$Q1610="W",Team_Matches!$B1610,IF(Team_Matches!$Q1612="W",Team_Matches!$B1612,""))</f>
        <v/>
      </c>
      <c r="C127" t="str">
        <f>IF(Team_Matches!$Q1610="L",Team_Matches!$B1610,IF(Team_Matches!$Q1612="L",Team_Matches!$B1612,""))</f>
        <v/>
      </c>
      <c r="D127" t="str">
        <f>CONCATENATE(Team_Matches!$B1590," vs ",Team_Matches!$K1590)</f>
        <v>B vs J</v>
      </c>
      <c r="E127" t="str">
        <f>Team_Matches!$A1608</f>
        <v>3rd Singles</v>
      </c>
      <c r="F127" s="93" t="str">
        <f>IF(Team_Matches!$Q1610&lt;&gt;"",IF(Team_Matches!H1610&gt;Team_Matches!H1612,MIN(Team_Matches!H1610,Team_Matches!H1612),-MIN(Team_Matches!H1610,Team_Matches!H1612))*IF(Team_Matches!$Q1610="W",1,-1),"")</f>
        <v/>
      </c>
      <c r="G127" s="93" t="str">
        <f>IF(Team_Matches!$Q1610&lt;&gt;"",IF(Team_Matches!I1610&gt;Team_Matches!I1612,MIN(Team_Matches!I1610,Team_Matches!I1612),-MIN(Team_Matches!I1610,Team_Matches!I1612))*IF(Team_Matches!$Q1610="W",1,-1),"")</f>
        <v/>
      </c>
      <c r="H127" s="93" t="str">
        <f>IF(Team_Matches!$Q1610&lt;&gt;"",IF(Team_Matches!J1610&gt;Team_Matches!J1612,MIN(Team_Matches!J1610,Team_Matches!J1612),-MIN(Team_Matches!J1610,Team_Matches!J1612))*IF(Team_Matches!$Q1610="W",1,-1),"")</f>
        <v/>
      </c>
      <c r="I127" s="93" t="str">
        <f>IF(Team_Matches!$Q1610&lt;&gt;"",IF(Team_Matches!K1610=Team_Matches!K1612,"",IF(Team_Matches!K1610&gt;Team_Matches!K1612,MIN(Team_Matches!K1610,Team_Matches!K1612),-MIN(Team_Matches!K1610,Team_Matches!K1612))*IF(Team_Matches!$Q1610="W",1,-1)),"")</f>
        <v/>
      </c>
      <c r="J127" s="93" t="str">
        <f>IF(Team_Matches!$Q1610&lt;&gt;"",IF(Team_Matches!L1610=Team_Matches!L1612,"",IF(Team_Matches!L1610&gt;Team_Matches!L1612,MIN(Team_Matches!L1610,Team_Matches!L1612),-MIN(Team_Matches!L1610,Team_Matches!L1612))*IF(Team_Matches!$Q1610="W",1,-1)),"")</f>
        <v/>
      </c>
    </row>
    <row r="128" spans="1:10">
      <c r="A128" s="68" t="e">
        <f ca="1">$B128&amp;";"&amp;VLOOKUP($B128,Players!$C$4:$G$132,5,FALSE)&amp;";"&amp;IF(ISERROR(VLOOKUP($B128,Players!$C$4:$G$132,2,FALSE)),0,VLOOKUP($B128,Players!$C$4:$G$132,2,FALSE))&amp;";"&amp;$C128&amp;";"&amp;VLOOKUP($C128,Players!$C$4:$G$132,5,FALSE)&amp;";"&amp;IF(ISERROR(VLOOKUP($C128,Players!$C$4:$G$132,2,FALSE)),0,VLOOKUP($C128,Players!$C$4:$G$132,2,FALSE))&amp;"|"</f>
        <v>#N/A</v>
      </c>
      <c r="B128" t="str">
        <f ca="1">IF(Team_Matches!$Q1617="W",Team_Matches!$B1617,IF(Team_Matches!$Q1619="W",Team_Matches!$B1619,""))</f>
        <v/>
      </c>
      <c r="C128" t="str">
        <f ca="1">IF(Team_Matches!$Q1617="L",Team_Matches!$B1617,IF(Team_Matches!$Q1619="L",Team_Matches!$B1619,""))</f>
        <v/>
      </c>
      <c r="D128" t="str">
        <f>CONCATENATE(Team_Matches!$B1590," vs ",Team_Matches!$K1590)</f>
        <v>B vs J</v>
      </c>
      <c r="E128" t="str">
        <f>Team_Matches!$A1615</f>
        <v>4th Singles</v>
      </c>
      <c r="F128" s="93" t="str">
        <f ca="1">IF(Team_Matches!$Q1617&lt;&gt;"",IF(Team_Matches!H1617&gt;Team_Matches!H1619,MIN(Team_Matches!H1617,Team_Matches!H1619),-MIN(Team_Matches!H1617,Team_Matches!H1619))*IF(Team_Matches!$Q1617="W",1,-1),"")</f>
        <v/>
      </c>
      <c r="G128" s="93" t="str">
        <f ca="1">IF(Team_Matches!$Q1617&lt;&gt;"",IF(Team_Matches!I1617&gt;Team_Matches!I1619,MIN(Team_Matches!I1617,Team_Matches!I1619),-MIN(Team_Matches!I1617,Team_Matches!I1619))*IF(Team_Matches!$Q1617="W",1,-1),"")</f>
        <v/>
      </c>
      <c r="H128" s="93" t="str">
        <f ca="1">IF(Team_Matches!$Q1617&lt;&gt;"",IF(Team_Matches!J1617&gt;Team_Matches!J1619,MIN(Team_Matches!J1617,Team_Matches!J1619),-MIN(Team_Matches!J1617,Team_Matches!J1619))*IF(Team_Matches!$Q1617="W",1,-1),"")</f>
        <v/>
      </c>
      <c r="I128" s="93" t="str">
        <f ca="1">IF(Team_Matches!$Q1617&lt;&gt;"",IF(Team_Matches!K1617=Team_Matches!K1619,"",IF(Team_Matches!K1617&gt;Team_Matches!K1619,MIN(Team_Matches!K1617,Team_Matches!K1619),-MIN(Team_Matches!K1617,Team_Matches!K1619))*IF(Team_Matches!$Q1617="W",1,-1)),"")</f>
        <v/>
      </c>
      <c r="J128" s="93" t="str">
        <f ca="1">IF(Team_Matches!$Q1617&lt;&gt;"",IF(Team_Matches!L1617=Team_Matches!L1619,"",IF(Team_Matches!L1617&gt;Team_Matches!L1619,MIN(Team_Matches!L1617,Team_Matches!L1619),-MIN(Team_Matches!L1617,Team_Matches!L1619))*IF(Team_Matches!$Q1617="W",1,-1)),"")</f>
        <v/>
      </c>
    </row>
    <row r="129" spans="1:10">
      <c r="A129" s="68" t="e">
        <f>$B129&amp;";"&amp;VLOOKUP($B129,Players!$C$4:$G$132,5,FALSE)&amp;";"&amp;IF(ISERROR(VLOOKUP($B129,Players!$C$4:$G$132,2,FALSE)),0,VLOOKUP($B129,Players!$C$4:$G$132,2,FALSE))&amp;";"&amp;$C129&amp;";"&amp;VLOOKUP($C129,Players!$C$4:$G$132,5,FALSE)&amp;";"&amp;IF(ISERROR(VLOOKUP($C129,Players!$C$4:$G$132,2,FALSE)),0,VLOOKUP($C129,Players!$C$4:$G$132,2,FALSE))&amp;"|"</f>
        <v>#N/A</v>
      </c>
      <c r="B129" t="str">
        <f>IF(Team_Matches!$Q1647="W",Team_Matches!$B1647,IF(Team_Matches!$Q1649="W",Team_Matches!$B1649,""))</f>
        <v/>
      </c>
      <c r="C129" t="str">
        <f>IF(Team_Matches!$Q1647="L",Team_Matches!$B1647,IF(Team_Matches!$Q1649="L",Team_Matches!$B1649,""))</f>
        <v/>
      </c>
      <c r="D129" t="str">
        <f>CONCATENATE(Team_Matches!$B1641," vs ",Team_Matches!$K1641)</f>
        <v>B vs K</v>
      </c>
      <c r="E129" t="str">
        <f>Team_Matches!A1645</f>
        <v>1st Singles</v>
      </c>
      <c r="F129" s="93" t="str">
        <f>IF(Team_Matches!$Q1647&lt;&gt;"",IF(Team_Matches!H1647&gt;Team_Matches!H1649,MIN(Team_Matches!H1647,Team_Matches!H1649),-MIN(Team_Matches!H1647,Team_Matches!H1649))*IF(Team_Matches!$Q1647="W",1,-1),"")</f>
        <v/>
      </c>
      <c r="G129" s="93" t="str">
        <f>IF(Team_Matches!$Q1647&lt;&gt;"",IF(Team_Matches!I1647&gt;Team_Matches!I1649,MIN(Team_Matches!I1647,Team_Matches!I1649),-MIN(Team_Matches!I1647,Team_Matches!I1649))*IF(Team_Matches!$Q1647="W",1,-1),"")</f>
        <v/>
      </c>
      <c r="H129" s="93" t="str">
        <f>IF(Team_Matches!$Q1647&lt;&gt;"",IF(Team_Matches!J1647&gt;Team_Matches!J1649,MIN(Team_Matches!J1647,Team_Matches!J1649),-MIN(Team_Matches!J1647,Team_Matches!J1649))*IF(Team_Matches!$Q1647="W",1,-1),"")</f>
        <v/>
      </c>
      <c r="I129" s="93" t="str">
        <f>IF(Team_Matches!$Q1647&lt;&gt;"",IF(Team_Matches!K1647=Team_Matches!K1649,"",IF(Team_Matches!K1647&gt;Team_Matches!K1649,MIN(Team_Matches!K1647,Team_Matches!K1649),-MIN(Team_Matches!K1647,Team_Matches!K1649))*IF(Team_Matches!$Q1647="W",1,-1)),"")</f>
        <v/>
      </c>
      <c r="J129" s="93" t="str">
        <f>IF(Team_Matches!$Q1647&lt;&gt;"",IF(Team_Matches!L1647=Team_Matches!L1649,"",IF(Team_Matches!L1647&gt;Team_Matches!L1649,MIN(Team_Matches!L1647,Team_Matches!L1649),-MIN(Team_Matches!L1647,Team_Matches!L1649))*IF(Team_Matches!$Q1647="W",1,-1)),"")</f>
        <v/>
      </c>
    </row>
    <row r="130" spans="1:10">
      <c r="A130" s="68" t="e">
        <f>$B130&amp;";"&amp;VLOOKUP($B130,Players!$C$4:$G$132,5,FALSE)&amp;";"&amp;IF(ISERROR(VLOOKUP($B130,Players!$C$4:$G$132,2,FALSE)),0,VLOOKUP($B130,Players!$C$4:$G$132,2,FALSE))&amp;";"&amp;$C130&amp;";"&amp;VLOOKUP($C130,Players!$C$4:$G$132,5,FALSE)&amp;";"&amp;IF(ISERROR(VLOOKUP($C130,Players!$C$4:$G$132,2,FALSE)),0,VLOOKUP($C130,Players!$C$4:$G$132,2,FALSE))&amp;"|"</f>
        <v>#N/A</v>
      </c>
      <c r="B130" t="str">
        <f>IF(Team_Matches!$Q1654="W",Team_Matches!$B1654,IF(Team_Matches!$Q1656="W",Team_Matches!$B1656,""))</f>
        <v/>
      </c>
      <c r="C130" t="str">
        <f>IF(Team_Matches!$Q1654="L",Team_Matches!$B1654,IF(Team_Matches!$Q1656="L",Team_Matches!$B1656,""))</f>
        <v/>
      </c>
      <c r="D130" t="str">
        <f>CONCATENATE(Team_Matches!$B1641," vs ",Team_Matches!$K1641)</f>
        <v>B vs K</v>
      </c>
      <c r="E130" t="str">
        <f>Team_Matches!$A1652</f>
        <v>2nd Singles</v>
      </c>
      <c r="F130" s="93" t="str">
        <f>IF(Team_Matches!$Q1654&lt;&gt;"",IF(Team_Matches!H1654&gt;Team_Matches!H1656,MIN(Team_Matches!H1654,Team_Matches!H1656),-MIN(Team_Matches!H1654,Team_Matches!H1656))*IF(Team_Matches!$Q1654="W",1,-1),"")</f>
        <v/>
      </c>
      <c r="G130" s="93" t="str">
        <f>IF(Team_Matches!$Q1654&lt;&gt;"",IF(Team_Matches!I1654&gt;Team_Matches!I1656,MIN(Team_Matches!I1654,Team_Matches!I1656),-MIN(Team_Matches!I1654,Team_Matches!I1656))*IF(Team_Matches!$Q1654="W",1,-1),"")</f>
        <v/>
      </c>
      <c r="H130" s="93" t="str">
        <f>IF(Team_Matches!$Q1654&lt;&gt;"",IF(Team_Matches!J1654&gt;Team_Matches!J1656,MIN(Team_Matches!J1654,Team_Matches!J1656),-MIN(Team_Matches!J1654,Team_Matches!J1656))*IF(Team_Matches!$Q1654="W",1,-1),"")</f>
        <v/>
      </c>
      <c r="I130" s="93" t="str">
        <f>IF(Team_Matches!$Q1654&lt;&gt;"",IF(Team_Matches!K1654=Team_Matches!K1656,"",IF(Team_Matches!K1654&gt;Team_Matches!K1656,MIN(Team_Matches!K1654,Team_Matches!K1656),-MIN(Team_Matches!K1654,Team_Matches!K1656))*IF(Team_Matches!$Q1654="W",1,-1)),"")</f>
        <v/>
      </c>
      <c r="J130" s="93" t="str">
        <f>IF(Team_Matches!$Q1654&lt;&gt;"",IF(Team_Matches!L1654=Team_Matches!L1656,"",IF(Team_Matches!L1654&gt;Team_Matches!L1656,MIN(Team_Matches!L1654,Team_Matches!L1656),-MIN(Team_Matches!L1654,Team_Matches!L1656))*IF(Team_Matches!$Q1654="W",1,-1)),"")</f>
        <v/>
      </c>
    </row>
    <row r="131" spans="1:10">
      <c r="A131" s="68" t="e">
        <f>$B131&amp;";"&amp;VLOOKUP($B131,Players!$C$4:$G$132,5,FALSE)&amp;";"&amp;IF(ISERROR(VLOOKUP($B131,Players!$C$4:$G$132,2,FALSE)),0,VLOOKUP($B131,Players!$C$4:$G$132,2,FALSE))&amp;";"&amp;$C131&amp;";"&amp;VLOOKUP($C131,Players!$C$4:$G$132,5,FALSE)&amp;";"&amp;IF(ISERROR(VLOOKUP($C131,Players!$C$4:$G$132,2,FALSE)),0,VLOOKUP($C131,Players!$C$4:$G$132,2,FALSE))&amp;"|"</f>
        <v>#N/A</v>
      </c>
      <c r="B131" t="str">
        <f>IF(Team_Matches!$Q1661="W",Team_Matches!$B1661,IF(Team_Matches!$Q1663="W",Team_Matches!$B1663,""))</f>
        <v/>
      </c>
      <c r="C131" t="str">
        <f>IF(Team_Matches!$Q1661="L",Team_Matches!$B1661,IF(Team_Matches!$Q1663="L",Team_Matches!$B1663,""))</f>
        <v/>
      </c>
      <c r="D131" t="str">
        <f>CONCATENATE(Team_Matches!$B1641," vs ",Team_Matches!$K1641)</f>
        <v>B vs K</v>
      </c>
      <c r="E131" t="str">
        <f>Team_Matches!$A1659</f>
        <v>3rd Singles</v>
      </c>
      <c r="F131" s="93" t="str">
        <f>IF(Team_Matches!$Q1661&lt;&gt;"",IF(Team_Matches!H1661&gt;Team_Matches!H1663,MIN(Team_Matches!H1661,Team_Matches!H1663),-MIN(Team_Matches!H1661,Team_Matches!H1663))*IF(Team_Matches!$Q1661="W",1,-1),"")</f>
        <v/>
      </c>
      <c r="G131" s="93" t="str">
        <f>IF(Team_Matches!$Q1661&lt;&gt;"",IF(Team_Matches!I1661&gt;Team_Matches!I1663,MIN(Team_Matches!I1661,Team_Matches!I1663),-MIN(Team_Matches!I1661,Team_Matches!I1663))*IF(Team_Matches!$Q1661="W",1,-1),"")</f>
        <v/>
      </c>
      <c r="H131" s="93" t="str">
        <f>IF(Team_Matches!$Q1661&lt;&gt;"",IF(Team_Matches!J1661&gt;Team_Matches!J1663,MIN(Team_Matches!J1661,Team_Matches!J1663),-MIN(Team_Matches!J1661,Team_Matches!J1663))*IF(Team_Matches!$Q1661="W",1,-1),"")</f>
        <v/>
      </c>
      <c r="I131" s="93" t="str">
        <f>IF(Team_Matches!$Q1661&lt;&gt;"",IF(Team_Matches!K1661=Team_Matches!K1663,"",IF(Team_Matches!K1661&gt;Team_Matches!K1663,MIN(Team_Matches!K1661,Team_Matches!K1663),-MIN(Team_Matches!K1661,Team_Matches!K1663))*IF(Team_Matches!$Q1661="W",1,-1)),"")</f>
        <v/>
      </c>
      <c r="J131" s="93" t="str">
        <f>IF(Team_Matches!$Q1661&lt;&gt;"",IF(Team_Matches!L1661=Team_Matches!L1663,"",IF(Team_Matches!L1661&gt;Team_Matches!L1663,MIN(Team_Matches!L1661,Team_Matches!L1663),-MIN(Team_Matches!L1661,Team_Matches!L1663))*IF(Team_Matches!$Q1661="W",1,-1)),"")</f>
        <v/>
      </c>
    </row>
    <row r="132" spans="1:10">
      <c r="A132" s="68" t="e">
        <f ca="1">$B132&amp;";"&amp;VLOOKUP($B132,Players!$C$4:$G$132,5,FALSE)&amp;";"&amp;IF(ISERROR(VLOOKUP($B132,Players!$C$4:$G$132,2,FALSE)),0,VLOOKUP($B132,Players!$C$4:$G$132,2,FALSE))&amp;";"&amp;$C132&amp;";"&amp;VLOOKUP($C132,Players!$C$4:$G$132,5,FALSE)&amp;";"&amp;IF(ISERROR(VLOOKUP($C132,Players!$C$4:$G$132,2,FALSE)),0,VLOOKUP($C132,Players!$C$4:$G$132,2,FALSE))&amp;"|"</f>
        <v>#N/A</v>
      </c>
      <c r="B132" t="str">
        <f ca="1">IF(Team_Matches!$Q1668="W",Team_Matches!$B1668,IF(Team_Matches!$Q1670="W",Team_Matches!$B1670,""))</f>
        <v/>
      </c>
      <c r="C132" t="str">
        <f ca="1">IF(Team_Matches!$Q1668="L",Team_Matches!$B1668,IF(Team_Matches!$Q1670="L",Team_Matches!$B1670,""))</f>
        <v/>
      </c>
      <c r="D132" t="str">
        <f>CONCATENATE(Team_Matches!$B1641," vs ",Team_Matches!$K1641)</f>
        <v>B vs K</v>
      </c>
      <c r="E132" t="str">
        <f>Team_Matches!$A1666</f>
        <v>4th Singles</v>
      </c>
      <c r="F132" s="93" t="str">
        <f ca="1">IF(Team_Matches!$Q1668&lt;&gt;"",IF(Team_Matches!H1668&gt;Team_Matches!H1670,MIN(Team_Matches!H1668,Team_Matches!H1670),-MIN(Team_Matches!H1668,Team_Matches!H1670))*IF(Team_Matches!$Q1668="W",1,-1),"")</f>
        <v/>
      </c>
      <c r="G132" s="93" t="str">
        <f ca="1">IF(Team_Matches!$Q1668&lt;&gt;"",IF(Team_Matches!I1668&gt;Team_Matches!I1670,MIN(Team_Matches!I1668,Team_Matches!I1670),-MIN(Team_Matches!I1668,Team_Matches!I1670))*IF(Team_Matches!$Q1668="W",1,-1),"")</f>
        <v/>
      </c>
      <c r="H132" s="93" t="str">
        <f ca="1">IF(Team_Matches!$Q1668&lt;&gt;"",IF(Team_Matches!J1668&gt;Team_Matches!J1670,MIN(Team_Matches!J1668,Team_Matches!J1670),-MIN(Team_Matches!J1668,Team_Matches!J1670))*IF(Team_Matches!$Q1668="W",1,-1),"")</f>
        <v/>
      </c>
      <c r="I132" s="93" t="str">
        <f ca="1">IF(Team_Matches!$Q1668&lt;&gt;"",IF(Team_Matches!K1668=Team_Matches!K1670,"",IF(Team_Matches!K1668&gt;Team_Matches!K1670,MIN(Team_Matches!K1668,Team_Matches!K1670),-MIN(Team_Matches!K1668,Team_Matches!K1670))*IF(Team_Matches!$Q1668="W",1,-1)),"")</f>
        <v/>
      </c>
      <c r="J132" s="93" t="str">
        <f ca="1">IF(Team_Matches!$Q1668&lt;&gt;"",IF(Team_Matches!L1668=Team_Matches!L1670,"",IF(Team_Matches!L1668&gt;Team_Matches!L1670,MIN(Team_Matches!L1668,Team_Matches!L1670),-MIN(Team_Matches!L1668,Team_Matches!L1670))*IF(Team_Matches!$Q1668="W",1,-1)),"")</f>
        <v/>
      </c>
    </row>
    <row r="133" spans="1:10">
      <c r="A133" s="68" t="e">
        <f>$B133&amp;";"&amp;VLOOKUP($B133,Players!$C$4:$G$132,5,FALSE)&amp;";"&amp;IF(ISERROR(VLOOKUP($B133,Players!$C$4:$G$132,2,FALSE)),0,VLOOKUP($B133,Players!$C$4:$G$132,2,FALSE))&amp;";"&amp;$C133&amp;";"&amp;VLOOKUP($C133,Players!$C$4:$G$132,5,FALSE)&amp;";"&amp;IF(ISERROR(VLOOKUP($C133,Players!$C$4:$G$132,2,FALSE)),0,VLOOKUP($C133,Players!$C$4:$G$132,2,FALSE))&amp;"|"</f>
        <v>#N/A</v>
      </c>
      <c r="B133" t="str">
        <f>IF(Team_Matches!$Q1698="W",Team_Matches!$B1698,IF(Team_Matches!$Q1700="W",Team_Matches!$B1700,""))</f>
        <v/>
      </c>
      <c r="C133" t="str">
        <f>IF(Team_Matches!$Q1698="L",Team_Matches!$B1698,IF(Team_Matches!$Q1700="L",Team_Matches!$B1700,""))</f>
        <v/>
      </c>
      <c r="D133" t="str">
        <f>CONCATENATE(Team_Matches!$B1692," vs ",Team_Matches!$K1692)</f>
        <v>B vs L</v>
      </c>
      <c r="E133" t="str">
        <f>Team_Matches!A1696</f>
        <v>1st Singles</v>
      </c>
      <c r="F133" s="93" t="str">
        <f>IF(Team_Matches!$Q1698&lt;&gt;"",IF(Team_Matches!H1698&gt;Team_Matches!H1700,MIN(Team_Matches!H1698,Team_Matches!H1700),-MIN(Team_Matches!H1698,Team_Matches!H1700))*IF(Team_Matches!$Q1698="W",1,-1),"")</f>
        <v/>
      </c>
      <c r="G133" s="93" t="str">
        <f>IF(Team_Matches!$Q1698&lt;&gt;"",IF(Team_Matches!I1698&gt;Team_Matches!I1700,MIN(Team_Matches!I1698,Team_Matches!I1700),-MIN(Team_Matches!I1698,Team_Matches!I1700))*IF(Team_Matches!$Q1698="W",1,-1),"")</f>
        <v/>
      </c>
      <c r="H133" s="93" t="str">
        <f>IF(Team_Matches!$Q1698&lt;&gt;"",IF(Team_Matches!J1698&gt;Team_Matches!J1700,MIN(Team_Matches!J1698,Team_Matches!J1700),-MIN(Team_Matches!J1698,Team_Matches!J1700))*IF(Team_Matches!$Q1698="W",1,-1),"")</f>
        <v/>
      </c>
      <c r="I133" s="93" t="str">
        <f>IF(Team_Matches!$Q1698&lt;&gt;"",IF(Team_Matches!K1698=Team_Matches!K1700,"",IF(Team_Matches!K1698&gt;Team_Matches!K1700,MIN(Team_Matches!K1698,Team_Matches!K1700),-MIN(Team_Matches!K1698,Team_Matches!K1700))*IF(Team_Matches!$Q1698="W",1,-1)),"")</f>
        <v/>
      </c>
      <c r="J133" s="93" t="str">
        <f>IF(Team_Matches!$Q1698&lt;&gt;"",IF(Team_Matches!L1698=Team_Matches!L1700,"",IF(Team_Matches!L1698&gt;Team_Matches!L1700,MIN(Team_Matches!L1698,Team_Matches!L1700),-MIN(Team_Matches!L1698,Team_Matches!L1700))*IF(Team_Matches!$Q1698="W",1,-1)),"")</f>
        <v/>
      </c>
    </row>
    <row r="134" spans="1:10">
      <c r="A134" s="68" t="e">
        <f>$B134&amp;";"&amp;VLOOKUP($B134,Players!$C$4:$G$132,5,FALSE)&amp;";"&amp;IF(ISERROR(VLOOKUP($B134,Players!$C$4:$G$132,2,FALSE)),0,VLOOKUP($B134,Players!$C$4:$G$132,2,FALSE))&amp;";"&amp;$C134&amp;";"&amp;VLOOKUP($C134,Players!$C$4:$G$132,5,FALSE)&amp;";"&amp;IF(ISERROR(VLOOKUP($C134,Players!$C$4:$G$132,2,FALSE)),0,VLOOKUP($C134,Players!$C$4:$G$132,2,FALSE))&amp;"|"</f>
        <v>#N/A</v>
      </c>
      <c r="B134" t="str">
        <f>IF(Team_Matches!$Q1705="W",Team_Matches!$B1705,IF(Team_Matches!$Q1707="W",Team_Matches!$B1707,""))</f>
        <v/>
      </c>
      <c r="C134" t="str">
        <f>IF(Team_Matches!$Q1705="L",Team_Matches!$B1705,IF(Team_Matches!$Q1707="L",Team_Matches!$B1707,""))</f>
        <v/>
      </c>
      <c r="D134" t="str">
        <f>CONCATENATE(Team_Matches!$B1692," vs ",Team_Matches!$K1692)</f>
        <v>B vs L</v>
      </c>
      <c r="E134" t="str">
        <f>Team_Matches!$A1703</f>
        <v>2nd Singles</v>
      </c>
      <c r="F134" s="93" t="str">
        <f>IF(Team_Matches!$Q1705&lt;&gt;"",IF(Team_Matches!H1705&gt;Team_Matches!H1707,MIN(Team_Matches!H1705,Team_Matches!H1707),-MIN(Team_Matches!H1705,Team_Matches!H1707))*IF(Team_Matches!$Q1705="W",1,-1),"")</f>
        <v/>
      </c>
      <c r="G134" s="93" t="str">
        <f>IF(Team_Matches!$Q1705&lt;&gt;"",IF(Team_Matches!I1705&gt;Team_Matches!I1707,MIN(Team_Matches!I1705,Team_Matches!I1707),-MIN(Team_Matches!I1705,Team_Matches!I1707))*IF(Team_Matches!$Q1705="W",1,-1),"")</f>
        <v/>
      </c>
      <c r="H134" s="93" t="str">
        <f>IF(Team_Matches!$Q1705&lt;&gt;"",IF(Team_Matches!J1705&gt;Team_Matches!J1707,MIN(Team_Matches!J1705,Team_Matches!J1707),-MIN(Team_Matches!J1705,Team_Matches!J1707))*IF(Team_Matches!$Q1705="W",1,-1),"")</f>
        <v/>
      </c>
      <c r="I134" s="93" t="str">
        <f>IF(Team_Matches!$Q1705&lt;&gt;"",IF(Team_Matches!K1705=Team_Matches!K1707,"",IF(Team_Matches!K1705&gt;Team_Matches!K1707,MIN(Team_Matches!K1705,Team_Matches!K1707),-MIN(Team_Matches!K1705,Team_Matches!K1707))*IF(Team_Matches!$Q1705="W",1,-1)),"")</f>
        <v/>
      </c>
      <c r="J134" s="93" t="str">
        <f>IF(Team_Matches!$Q1705&lt;&gt;"",IF(Team_Matches!L1705=Team_Matches!L1707,"",IF(Team_Matches!L1705&gt;Team_Matches!L1707,MIN(Team_Matches!L1705,Team_Matches!L1707),-MIN(Team_Matches!L1705,Team_Matches!L1707))*IF(Team_Matches!$Q1705="W",1,-1)),"")</f>
        <v/>
      </c>
    </row>
    <row r="135" spans="1:10">
      <c r="A135" s="68" t="e">
        <f>$B135&amp;";"&amp;VLOOKUP($B135,Players!$C$4:$G$132,5,FALSE)&amp;";"&amp;IF(ISERROR(VLOOKUP($B135,Players!$C$4:$G$132,2,FALSE)),0,VLOOKUP($B135,Players!$C$4:$G$132,2,FALSE))&amp;";"&amp;$C135&amp;";"&amp;VLOOKUP($C135,Players!$C$4:$G$132,5,FALSE)&amp;";"&amp;IF(ISERROR(VLOOKUP($C135,Players!$C$4:$G$132,2,FALSE)),0,VLOOKUP($C135,Players!$C$4:$G$132,2,FALSE))&amp;"|"</f>
        <v>#N/A</v>
      </c>
      <c r="B135" t="str">
        <f>IF(Team_Matches!$Q1712="W",Team_Matches!$B1712,IF(Team_Matches!$Q1714="W",Team_Matches!$B1714,""))</f>
        <v/>
      </c>
      <c r="C135" t="str">
        <f>IF(Team_Matches!$Q1712="L",Team_Matches!$B1712,IF(Team_Matches!$Q1714="L",Team_Matches!$B1714,""))</f>
        <v/>
      </c>
      <c r="D135" t="str">
        <f>CONCATENATE(Team_Matches!$B1692," vs ",Team_Matches!$K1692)</f>
        <v>B vs L</v>
      </c>
      <c r="E135" t="str">
        <f>Team_Matches!$A1710</f>
        <v>3rd Singles</v>
      </c>
      <c r="F135" s="93" t="str">
        <f>IF(Team_Matches!$Q1712&lt;&gt;"",IF(Team_Matches!H1712&gt;Team_Matches!H1714,MIN(Team_Matches!H1712,Team_Matches!H1714),-MIN(Team_Matches!H1712,Team_Matches!H1714))*IF(Team_Matches!$Q1712="W",1,-1),"")</f>
        <v/>
      </c>
      <c r="G135" s="93" t="str">
        <f>IF(Team_Matches!$Q1712&lt;&gt;"",IF(Team_Matches!I1712&gt;Team_Matches!I1714,MIN(Team_Matches!I1712,Team_Matches!I1714),-MIN(Team_Matches!I1712,Team_Matches!I1714))*IF(Team_Matches!$Q1712="W",1,-1),"")</f>
        <v/>
      </c>
      <c r="H135" s="93" t="str">
        <f>IF(Team_Matches!$Q1712&lt;&gt;"",IF(Team_Matches!J1712&gt;Team_Matches!J1714,MIN(Team_Matches!J1712,Team_Matches!J1714),-MIN(Team_Matches!J1712,Team_Matches!J1714))*IF(Team_Matches!$Q1712="W",1,-1),"")</f>
        <v/>
      </c>
      <c r="I135" s="93" t="str">
        <f>IF(Team_Matches!$Q1712&lt;&gt;"",IF(Team_Matches!K1712=Team_Matches!K1714,"",IF(Team_Matches!K1712&gt;Team_Matches!K1714,MIN(Team_Matches!K1712,Team_Matches!K1714),-MIN(Team_Matches!K1712,Team_Matches!K1714))*IF(Team_Matches!$Q1712="W",1,-1)),"")</f>
        <v/>
      </c>
      <c r="J135" s="93" t="str">
        <f>IF(Team_Matches!$Q1712&lt;&gt;"",IF(Team_Matches!L1712=Team_Matches!L1714,"",IF(Team_Matches!L1712&gt;Team_Matches!L1714,MIN(Team_Matches!L1712,Team_Matches!L1714),-MIN(Team_Matches!L1712,Team_Matches!L1714))*IF(Team_Matches!$Q1712="W",1,-1)),"")</f>
        <v/>
      </c>
    </row>
    <row r="136" spans="1:10">
      <c r="A136" s="68" t="e">
        <f ca="1">$B136&amp;";"&amp;VLOOKUP($B136,Players!$C$4:$G$132,5,FALSE)&amp;";"&amp;IF(ISERROR(VLOOKUP($B136,Players!$C$4:$G$132,2,FALSE)),0,VLOOKUP($B136,Players!$C$4:$G$132,2,FALSE))&amp;";"&amp;$C136&amp;";"&amp;VLOOKUP($C136,Players!$C$4:$G$132,5,FALSE)&amp;";"&amp;IF(ISERROR(VLOOKUP($C136,Players!$C$4:$G$132,2,FALSE)),0,VLOOKUP($C136,Players!$C$4:$G$132,2,FALSE))&amp;"|"</f>
        <v>#N/A</v>
      </c>
      <c r="B136" t="str">
        <f ca="1">IF(Team_Matches!$Q1719="W",Team_Matches!$B1719,IF(Team_Matches!$Q1721="W",Team_Matches!$B1721,""))</f>
        <v/>
      </c>
      <c r="C136" t="str">
        <f ca="1">IF(Team_Matches!$Q1719="L",Team_Matches!$B1719,IF(Team_Matches!$Q1721="L",Team_Matches!$B1721,""))</f>
        <v/>
      </c>
      <c r="D136" t="str">
        <f>CONCATENATE(Team_Matches!$B1692," vs ",Team_Matches!$K1692)</f>
        <v>B vs L</v>
      </c>
      <c r="E136" t="str">
        <f>Team_Matches!$A1717</f>
        <v>4th Singles</v>
      </c>
      <c r="F136" s="93" t="str">
        <f ca="1">IF(Team_Matches!$Q1719&lt;&gt;"",IF(Team_Matches!H1719&gt;Team_Matches!H1721,MIN(Team_Matches!H1719,Team_Matches!H1721),-MIN(Team_Matches!H1719,Team_Matches!H1721))*IF(Team_Matches!$Q1719="W",1,-1),"")</f>
        <v/>
      </c>
      <c r="G136" s="93" t="str">
        <f ca="1">IF(Team_Matches!$Q1719&lt;&gt;"",IF(Team_Matches!I1719&gt;Team_Matches!I1721,MIN(Team_Matches!I1719,Team_Matches!I1721),-MIN(Team_Matches!I1719,Team_Matches!I1721))*IF(Team_Matches!$Q1719="W",1,-1),"")</f>
        <v/>
      </c>
      <c r="H136" s="93" t="str">
        <f ca="1">IF(Team_Matches!$Q1719&lt;&gt;"",IF(Team_Matches!J1719&gt;Team_Matches!J1721,MIN(Team_Matches!J1719,Team_Matches!J1721),-MIN(Team_Matches!J1719,Team_Matches!J1721))*IF(Team_Matches!$Q1719="W",1,-1),"")</f>
        <v/>
      </c>
      <c r="I136" s="93" t="str">
        <f ca="1">IF(Team_Matches!$Q1719&lt;&gt;"",IF(Team_Matches!K1719=Team_Matches!K1721,"",IF(Team_Matches!K1719&gt;Team_Matches!K1721,MIN(Team_Matches!K1719,Team_Matches!K1721),-MIN(Team_Matches!K1719,Team_Matches!K1721))*IF(Team_Matches!$Q1719="W",1,-1)),"")</f>
        <v/>
      </c>
      <c r="J136" s="93" t="str">
        <f ca="1">IF(Team_Matches!$Q1719&lt;&gt;"",IF(Team_Matches!L1719=Team_Matches!L1721,"",IF(Team_Matches!L1719&gt;Team_Matches!L1721,MIN(Team_Matches!L1719,Team_Matches!L1721),-MIN(Team_Matches!L1719,Team_Matches!L1721))*IF(Team_Matches!$Q1719="W",1,-1)),"")</f>
        <v/>
      </c>
    </row>
    <row r="137" spans="1:10">
      <c r="A137" s="68" t="e">
        <f>$B137&amp;";"&amp;VLOOKUP($B137,Players!$C$4:$G$132,5,FALSE)&amp;";"&amp;IF(ISERROR(VLOOKUP($B137,Players!$C$4:$G$132,2,FALSE)),0,VLOOKUP($B137,Players!$C$4:$G$132,2,FALSE))&amp;";"&amp;$C137&amp;";"&amp;VLOOKUP($C137,Players!$C$4:$G$132,5,FALSE)&amp;";"&amp;IF(ISERROR(VLOOKUP($C137,Players!$C$4:$G$132,2,FALSE)),0,VLOOKUP($C137,Players!$C$4:$G$132,2,FALSE))&amp;"|"</f>
        <v>#N/A</v>
      </c>
      <c r="B137" t="str">
        <f>IF(Team_Matches!$Q1749="W",Team_Matches!$B1749,IF(Team_Matches!$Q1751="W",Team_Matches!$B1751,""))</f>
        <v/>
      </c>
      <c r="C137" t="str">
        <f>IF(Team_Matches!$Q1749="L",Team_Matches!$B1749,IF(Team_Matches!$Q1751="L",Team_Matches!$B1751,""))</f>
        <v/>
      </c>
      <c r="D137" t="str">
        <f>CONCATENATE(Team_Matches!$B1743," vs ",Team_Matches!$K1743)</f>
        <v>C vs E</v>
      </c>
      <c r="E137" t="str">
        <f>Team_Matches!A1747</f>
        <v>1st Singles</v>
      </c>
      <c r="F137" s="93" t="str">
        <f>IF(Team_Matches!$Q1749&lt;&gt;"",IF(Team_Matches!H1749&gt;Team_Matches!H1751,MIN(Team_Matches!H1749,Team_Matches!H1751),-MIN(Team_Matches!H1749,Team_Matches!H1751))*IF(Team_Matches!$Q1749="W",1,-1),"")</f>
        <v/>
      </c>
      <c r="G137" s="93" t="str">
        <f>IF(Team_Matches!$Q1749&lt;&gt;"",IF(Team_Matches!I1749&gt;Team_Matches!I1751,MIN(Team_Matches!I1749,Team_Matches!I1751),-MIN(Team_Matches!I1749,Team_Matches!I1751))*IF(Team_Matches!$Q1749="W",1,-1),"")</f>
        <v/>
      </c>
      <c r="H137" s="93" t="str">
        <f>IF(Team_Matches!$Q1749&lt;&gt;"",IF(Team_Matches!J1749&gt;Team_Matches!J1751,MIN(Team_Matches!J1749,Team_Matches!J1751),-MIN(Team_Matches!J1749,Team_Matches!J1751))*IF(Team_Matches!$Q1749="W",1,-1),"")</f>
        <v/>
      </c>
      <c r="I137" s="93" t="str">
        <f>IF(Team_Matches!$Q1749&lt;&gt;"",IF(Team_Matches!K1749=Team_Matches!K1751,"",IF(Team_Matches!K1749&gt;Team_Matches!K1751,MIN(Team_Matches!K1749,Team_Matches!K1751),-MIN(Team_Matches!K1749,Team_Matches!K1751))*IF(Team_Matches!$Q1749="W",1,-1)),"")</f>
        <v/>
      </c>
      <c r="J137" s="93" t="str">
        <f>IF(Team_Matches!$Q1749&lt;&gt;"",IF(Team_Matches!L1749=Team_Matches!L1751,"",IF(Team_Matches!L1749&gt;Team_Matches!L1751,MIN(Team_Matches!L1749,Team_Matches!L1751),-MIN(Team_Matches!L1749,Team_Matches!L1751))*IF(Team_Matches!$Q1749="W",1,-1)),"")</f>
        <v/>
      </c>
    </row>
    <row r="138" spans="1:10">
      <c r="A138" s="68" t="e">
        <f>$B138&amp;";"&amp;VLOOKUP($B138,Players!$C$4:$G$132,5,FALSE)&amp;";"&amp;IF(ISERROR(VLOOKUP($B138,Players!$C$4:$G$132,2,FALSE)),0,VLOOKUP($B138,Players!$C$4:$G$132,2,FALSE))&amp;";"&amp;$C138&amp;";"&amp;VLOOKUP($C138,Players!$C$4:$G$132,5,FALSE)&amp;";"&amp;IF(ISERROR(VLOOKUP($C138,Players!$C$4:$G$132,2,FALSE)),0,VLOOKUP($C138,Players!$C$4:$G$132,2,FALSE))&amp;"|"</f>
        <v>#N/A</v>
      </c>
      <c r="B138" t="str">
        <f>IF(Team_Matches!$Q1756="W",Team_Matches!$B1756,IF(Team_Matches!$Q1758="W",Team_Matches!$B1758,""))</f>
        <v/>
      </c>
      <c r="C138" t="str">
        <f>IF(Team_Matches!$Q1756="L",Team_Matches!$B1756,IF(Team_Matches!$Q1758="L",Team_Matches!$B1758,""))</f>
        <v/>
      </c>
      <c r="D138" t="str">
        <f>CONCATENATE(Team_Matches!$B1743," vs ",Team_Matches!$K1743)</f>
        <v>C vs E</v>
      </c>
      <c r="E138" t="str">
        <f>Team_Matches!$A1754</f>
        <v>2nd Singles</v>
      </c>
      <c r="F138" s="93" t="str">
        <f>IF(Team_Matches!$Q1756&lt;&gt;"",IF(Team_Matches!H1756&gt;Team_Matches!H1758,MIN(Team_Matches!H1756,Team_Matches!H1758),-MIN(Team_Matches!H1756,Team_Matches!H1758))*IF(Team_Matches!$Q1756="W",1,-1),"")</f>
        <v/>
      </c>
      <c r="G138" s="93" t="str">
        <f>IF(Team_Matches!$Q1756&lt;&gt;"",IF(Team_Matches!I1756&gt;Team_Matches!I1758,MIN(Team_Matches!I1756,Team_Matches!I1758),-MIN(Team_Matches!I1756,Team_Matches!I1758))*IF(Team_Matches!$Q1756="W",1,-1),"")</f>
        <v/>
      </c>
      <c r="H138" s="93" t="str">
        <f>IF(Team_Matches!$Q1756&lt;&gt;"",IF(Team_Matches!J1756&gt;Team_Matches!J1758,MIN(Team_Matches!J1756,Team_Matches!J1758),-MIN(Team_Matches!J1756,Team_Matches!J1758))*IF(Team_Matches!$Q1756="W",1,-1),"")</f>
        <v/>
      </c>
      <c r="I138" s="93" t="str">
        <f>IF(Team_Matches!$Q1756&lt;&gt;"",IF(Team_Matches!K1756=Team_Matches!K1758,"",IF(Team_Matches!K1756&gt;Team_Matches!K1758,MIN(Team_Matches!K1756,Team_Matches!K1758),-MIN(Team_Matches!K1756,Team_Matches!K1758))*IF(Team_Matches!$Q1756="W",1,-1)),"")</f>
        <v/>
      </c>
      <c r="J138" s="93" t="str">
        <f>IF(Team_Matches!$Q1756&lt;&gt;"",IF(Team_Matches!L1756=Team_Matches!L1758,"",IF(Team_Matches!L1756&gt;Team_Matches!L1758,MIN(Team_Matches!L1756,Team_Matches!L1758),-MIN(Team_Matches!L1756,Team_Matches!L1758))*IF(Team_Matches!$Q1756="W",1,-1)),"")</f>
        <v/>
      </c>
    </row>
    <row r="139" spans="1:10">
      <c r="A139" s="68" t="e">
        <f>$B139&amp;";"&amp;VLOOKUP($B139,Players!$C$4:$G$132,5,FALSE)&amp;";"&amp;IF(ISERROR(VLOOKUP($B139,Players!$C$4:$G$132,2,FALSE)),0,VLOOKUP($B139,Players!$C$4:$G$132,2,FALSE))&amp;";"&amp;$C139&amp;";"&amp;VLOOKUP($C139,Players!$C$4:$G$132,5,FALSE)&amp;";"&amp;IF(ISERROR(VLOOKUP($C139,Players!$C$4:$G$132,2,FALSE)),0,VLOOKUP($C139,Players!$C$4:$G$132,2,FALSE))&amp;"|"</f>
        <v>#N/A</v>
      </c>
      <c r="B139" t="str">
        <f>IF(Team_Matches!$Q1763="W",Team_Matches!$B1763,IF(Team_Matches!$Q1765="W",Team_Matches!$B1765,""))</f>
        <v/>
      </c>
      <c r="C139" t="str">
        <f>IF(Team_Matches!$Q1763="L",Team_Matches!$B1763,IF(Team_Matches!$Q1765="L",Team_Matches!$B1765,""))</f>
        <v/>
      </c>
      <c r="D139" t="str">
        <f>CONCATENATE(Team_Matches!$B1743," vs ",Team_Matches!$K1743)</f>
        <v>C vs E</v>
      </c>
      <c r="E139" t="str">
        <f>Team_Matches!$A1761</f>
        <v>3rd Singles</v>
      </c>
      <c r="F139" s="93" t="str">
        <f>IF(Team_Matches!$Q1763&lt;&gt;"",IF(Team_Matches!H1763&gt;Team_Matches!H1765,MIN(Team_Matches!H1763,Team_Matches!H1765),-MIN(Team_Matches!H1763,Team_Matches!H1765))*IF(Team_Matches!$Q1763="W",1,-1),"")</f>
        <v/>
      </c>
      <c r="G139" s="93" t="str">
        <f>IF(Team_Matches!$Q1763&lt;&gt;"",IF(Team_Matches!I1763&gt;Team_Matches!I1765,MIN(Team_Matches!I1763,Team_Matches!I1765),-MIN(Team_Matches!I1763,Team_Matches!I1765))*IF(Team_Matches!$Q1763="W",1,-1),"")</f>
        <v/>
      </c>
      <c r="H139" s="93" t="str">
        <f>IF(Team_Matches!$Q1763&lt;&gt;"",IF(Team_Matches!J1763&gt;Team_Matches!J1765,MIN(Team_Matches!J1763,Team_Matches!J1765),-MIN(Team_Matches!J1763,Team_Matches!J1765))*IF(Team_Matches!$Q1763="W",1,-1),"")</f>
        <v/>
      </c>
      <c r="I139" s="93" t="str">
        <f>IF(Team_Matches!$Q1763&lt;&gt;"",IF(Team_Matches!K1763=Team_Matches!K1765,"",IF(Team_Matches!K1763&gt;Team_Matches!K1765,MIN(Team_Matches!K1763,Team_Matches!K1765),-MIN(Team_Matches!K1763,Team_Matches!K1765))*IF(Team_Matches!$Q1763="W",1,-1)),"")</f>
        <v/>
      </c>
      <c r="J139" s="93" t="str">
        <f>IF(Team_Matches!$Q1763&lt;&gt;"",IF(Team_Matches!L1763=Team_Matches!L1765,"",IF(Team_Matches!L1763&gt;Team_Matches!L1765,MIN(Team_Matches!L1763,Team_Matches!L1765),-MIN(Team_Matches!L1763,Team_Matches!L1765))*IF(Team_Matches!$Q1763="W",1,-1)),"")</f>
        <v/>
      </c>
    </row>
    <row r="140" spans="1:10">
      <c r="A140" s="68" t="e">
        <f ca="1">$B140&amp;";"&amp;VLOOKUP($B140,Players!$C$4:$G$132,5,FALSE)&amp;";"&amp;IF(ISERROR(VLOOKUP($B140,Players!$C$4:$G$132,2,FALSE)),0,VLOOKUP($B140,Players!$C$4:$G$132,2,FALSE))&amp;";"&amp;$C140&amp;";"&amp;VLOOKUP($C140,Players!$C$4:$G$132,5,FALSE)&amp;";"&amp;IF(ISERROR(VLOOKUP($C140,Players!$C$4:$G$132,2,FALSE)),0,VLOOKUP($C140,Players!$C$4:$G$132,2,FALSE))&amp;"|"</f>
        <v>#N/A</v>
      </c>
      <c r="B140" t="str">
        <f ca="1">IF(Team_Matches!$Q1770="W",Team_Matches!$B1770,IF(Team_Matches!$Q1772="W",Team_Matches!$B1772,""))</f>
        <v/>
      </c>
      <c r="C140" t="str">
        <f ca="1">IF(Team_Matches!$Q1770="L",Team_Matches!$B1770,IF(Team_Matches!$Q1772="L",Team_Matches!$B1772,""))</f>
        <v/>
      </c>
      <c r="D140" t="str">
        <f>CONCATENATE(Team_Matches!$B1743," vs ",Team_Matches!$K1743)</f>
        <v>C vs E</v>
      </c>
      <c r="E140" t="str">
        <f>Team_Matches!$A1768</f>
        <v>4th Singles</v>
      </c>
      <c r="F140" s="93" t="str">
        <f ca="1">IF(Team_Matches!$Q1770&lt;&gt;"",IF(Team_Matches!H1770&gt;Team_Matches!H1772,MIN(Team_Matches!H1770,Team_Matches!H1772),-MIN(Team_Matches!H1770,Team_Matches!H1772))*IF(Team_Matches!$Q1770="W",1,-1),"")</f>
        <v/>
      </c>
      <c r="G140" s="93" t="str">
        <f ca="1">IF(Team_Matches!$Q1770&lt;&gt;"",IF(Team_Matches!I1770&gt;Team_Matches!I1772,MIN(Team_Matches!I1770,Team_Matches!I1772),-MIN(Team_Matches!I1770,Team_Matches!I1772))*IF(Team_Matches!$Q1770="W",1,-1),"")</f>
        <v/>
      </c>
      <c r="H140" s="93" t="str">
        <f ca="1">IF(Team_Matches!$Q1770&lt;&gt;"",IF(Team_Matches!J1770&gt;Team_Matches!J1772,MIN(Team_Matches!J1770,Team_Matches!J1772),-MIN(Team_Matches!J1770,Team_Matches!J1772))*IF(Team_Matches!$Q1770="W",1,-1),"")</f>
        <v/>
      </c>
      <c r="I140" s="93" t="str">
        <f ca="1">IF(Team_Matches!$Q1770&lt;&gt;"",IF(Team_Matches!K1770=Team_Matches!K1772,"",IF(Team_Matches!K1770&gt;Team_Matches!K1772,MIN(Team_Matches!K1770,Team_Matches!K1772),-MIN(Team_Matches!K1770,Team_Matches!K1772))*IF(Team_Matches!$Q1770="W",1,-1)),"")</f>
        <v/>
      </c>
      <c r="J140" s="93" t="str">
        <f ca="1">IF(Team_Matches!$Q1770&lt;&gt;"",IF(Team_Matches!L1770=Team_Matches!L1772,"",IF(Team_Matches!L1770&gt;Team_Matches!L1772,MIN(Team_Matches!L1770,Team_Matches!L1772),-MIN(Team_Matches!L1770,Team_Matches!L1772))*IF(Team_Matches!$Q1770="W",1,-1)),"")</f>
        <v/>
      </c>
    </row>
    <row r="141" spans="1:10">
      <c r="A141" s="68" t="e">
        <f>$B141&amp;";"&amp;VLOOKUP($B141,Players!$C$4:$G$132,5,FALSE)&amp;";"&amp;IF(ISERROR(VLOOKUP($B141,Players!$C$4:$G$132,2,FALSE)),0,VLOOKUP($B141,Players!$C$4:$G$132,2,FALSE))&amp;";"&amp;$C141&amp;";"&amp;VLOOKUP($C141,Players!$C$4:$G$132,5,FALSE)&amp;";"&amp;IF(ISERROR(VLOOKUP($C141,Players!$C$4:$G$132,2,FALSE)),0,VLOOKUP($C141,Players!$C$4:$G$132,2,FALSE))&amp;"|"</f>
        <v>#N/A</v>
      </c>
      <c r="B141" t="str">
        <f>IF(Team_Matches!$Q1800="W",Team_Matches!$B1800,IF(Team_Matches!$Q1802="W",Team_Matches!$B1802,""))</f>
        <v/>
      </c>
      <c r="C141" t="str">
        <f>IF(Team_Matches!$Q1800="L",Team_Matches!$B1800,IF(Team_Matches!$Q1802="L",Team_Matches!$B1802,""))</f>
        <v/>
      </c>
      <c r="D141" t="str">
        <f>CONCATENATE(Team_Matches!$B1794," vs ",Team_Matches!$K1794)</f>
        <v>C vs F</v>
      </c>
      <c r="E141" t="str">
        <f>Team_Matches!A1798</f>
        <v>1st Singles</v>
      </c>
      <c r="F141" s="93" t="str">
        <f>IF(Team_Matches!$Q1800&lt;&gt;"",IF(Team_Matches!H1800&gt;Team_Matches!H1802,MIN(Team_Matches!H1800,Team_Matches!H1802),-MIN(Team_Matches!H1800,Team_Matches!H1802))*IF(Team_Matches!$Q1800="W",1,-1),"")</f>
        <v/>
      </c>
      <c r="G141" s="93" t="str">
        <f>IF(Team_Matches!$Q1800&lt;&gt;"",IF(Team_Matches!I1800&gt;Team_Matches!I1802,MIN(Team_Matches!I1800,Team_Matches!I1802),-MIN(Team_Matches!I1800,Team_Matches!I1802))*IF(Team_Matches!$Q1800="W",1,-1),"")</f>
        <v/>
      </c>
      <c r="H141" s="93" t="str">
        <f>IF(Team_Matches!$Q1800&lt;&gt;"",IF(Team_Matches!J1800&gt;Team_Matches!J1802,MIN(Team_Matches!J1800,Team_Matches!J1802),-MIN(Team_Matches!J1800,Team_Matches!J1802))*IF(Team_Matches!$Q1800="W",1,-1),"")</f>
        <v/>
      </c>
      <c r="I141" s="93" t="str">
        <f>IF(Team_Matches!$Q1800&lt;&gt;"",IF(Team_Matches!K1800=Team_Matches!K1802,"",IF(Team_Matches!K1800&gt;Team_Matches!K1802,MIN(Team_Matches!K1800,Team_Matches!K1802),-MIN(Team_Matches!K1800,Team_Matches!K1802))*IF(Team_Matches!$Q1800="W",1,-1)),"")</f>
        <v/>
      </c>
      <c r="J141" s="93" t="str">
        <f>IF(Team_Matches!$Q1800&lt;&gt;"",IF(Team_Matches!L1800=Team_Matches!L1802,"",IF(Team_Matches!L1800&gt;Team_Matches!L1802,MIN(Team_Matches!L1800,Team_Matches!L1802),-MIN(Team_Matches!L1800,Team_Matches!L1802))*IF(Team_Matches!$Q1800="W",1,-1)),"")</f>
        <v/>
      </c>
    </row>
    <row r="142" spans="1:10">
      <c r="A142" s="68" t="e">
        <f>$B142&amp;";"&amp;VLOOKUP($B142,Players!$C$4:$G$132,5,FALSE)&amp;";"&amp;IF(ISERROR(VLOOKUP($B142,Players!$C$4:$G$132,2,FALSE)),0,VLOOKUP($B142,Players!$C$4:$G$132,2,FALSE))&amp;";"&amp;$C142&amp;";"&amp;VLOOKUP($C142,Players!$C$4:$G$132,5,FALSE)&amp;";"&amp;IF(ISERROR(VLOOKUP($C142,Players!$C$4:$G$132,2,FALSE)),0,VLOOKUP($C142,Players!$C$4:$G$132,2,FALSE))&amp;"|"</f>
        <v>#N/A</v>
      </c>
      <c r="B142" t="str">
        <f>IF(Team_Matches!$Q1807="W",Team_Matches!$B1807,IF(Team_Matches!$Q1809="W",Team_Matches!$B1809,""))</f>
        <v/>
      </c>
      <c r="C142" t="str">
        <f>IF(Team_Matches!$Q1807="L",Team_Matches!$B1807,IF(Team_Matches!$Q1809="L",Team_Matches!$B1809,""))</f>
        <v/>
      </c>
      <c r="D142" t="str">
        <f>CONCATENATE(Team_Matches!$B1794," vs ",Team_Matches!$K1794)</f>
        <v>C vs F</v>
      </c>
      <c r="E142" t="str">
        <f>Team_Matches!$A1805</f>
        <v>2nd Singles</v>
      </c>
      <c r="F142" s="93" t="str">
        <f>IF(Team_Matches!$Q1807&lt;&gt;"",IF(Team_Matches!H1807&gt;Team_Matches!H1809,MIN(Team_Matches!H1807,Team_Matches!H1809),-MIN(Team_Matches!H1807,Team_Matches!H1809))*IF(Team_Matches!$Q1807="W",1,-1),"")</f>
        <v/>
      </c>
      <c r="G142" s="93" t="str">
        <f>IF(Team_Matches!$Q1807&lt;&gt;"",IF(Team_Matches!I1807&gt;Team_Matches!I1809,MIN(Team_Matches!I1807,Team_Matches!I1809),-MIN(Team_Matches!I1807,Team_Matches!I1809))*IF(Team_Matches!$Q1807="W",1,-1),"")</f>
        <v/>
      </c>
      <c r="H142" s="93" t="str">
        <f>IF(Team_Matches!$Q1807&lt;&gt;"",IF(Team_Matches!J1807&gt;Team_Matches!J1809,MIN(Team_Matches!J1807,Team_Matches!J1809),-MIN(Team_Matches!J1807,Team_Matches!J1809))*IF(Team_Matches!$Q1807="W",1,-1),"")</f>
        <v/>
      </c>
      <c r="I142" s="93" t="str">
        <f>IF(Team_Matches!$Q1807&lt;&gt;"",IF(Team_Matches!K1807=Team_Matches!K1809,"",IF(Team_Matches!K1807&gt;Team_Matches!K1809,MIN(Team_Matches!K1807,Team_Matches!K1809),-MIN(Team_Matches!K1807,Team_Matches!K1809))*IF(Team_Matches!$Q1807="W",1,-1)),"")</f>
        <v/>
      </c>
      <c r="J142" s="93" t="str">
        <f>IF(Team_Matches!$Q1807&lt;&gt;"",IF(Team_Matches!L1807=Team_Matches!L1809,"",IF(Team_Matches!L1807&gt;Team_Matches!L1809,MIN(Team_Matches!L1807,Team_Matches!L1809),-MIN(Team_Matches!L1807,Team_Matches!L1809))*IF(Team_Matches!$Q1807="W",1,-1)),"")</f>
        <v/>
      </c>
    </row>
    <row r="143" spans="1:10">
      <c r="A143" s="68" t="e">
        <f>$B143&amp;";"&amp;VLOOKUP($B143,Players!$C$4:$G$132,5,FALSE)&amp;";"&amp;IF(ISERROR(VLOOKUP($B143,Players!$C$4:$G$132,2,FALSE)),0,VLOOKUP($B143,Players!$C$4:$G$132,2,FALSE))&amp;";"&amp;$C143&amp;";"&amp;VLOOKUP($C143,Players!$C$4:$G$132,5,FALSE)&amp;";"&amp;IF(ISERROR(VLOOKUP($C143,Players!$C$4:$G$132,2,FALSE)),0,VLOOKUP($C143,Players!$C$4:$G$132,2,FALSE))&amp;"|"</f>
        <v>#N/A</v>
      </c>
      <c r="B143" t="str">
        <f>IF(Team_Matches!$Q1814="W",Team_Matches!$B1814,IF(Team_Matches!$Q1816="W",Team_Matches!$B1816,""))</f>
        <v/>
      </c>
      <c r="C143" t="str">
        <f>IF(Team_Matches!$Q1814="L",Team_Matches!$B1814,IF(Team_Matches!$Q1816="L",Team_Matches!$B1816,""))</f>
        <v/>
      </c>
      <c r="D143" t="str">
        <f>CONCATENATE(Team_Matches!$B1794," vs ",Team_Matches!$K1794)</f>
        <v>C vs F</v>
      </c>
      <c r="E143" t="str">
        <f>Team_Matches!$A1812</f>
        <v>3rd Singles</v>
      </c>
      <c r="F143" s="93" t="str">
        <f>IF(Team_Matches!$Q1814&lt;&gt;"",IF(Team_Matches!H1814&gt;Team_Matches!H1816,MIN(Team_Matches!H1814,Team_Matches!H1816),-MIN(Team_Matches!H1814,Team_Matches!H1816))*IF(Team_Matches!$Q1814="W",1,-1),"")</f>
        <v/>
      </c>
      <c r="G143" s="93" t="str">
        <f>IF(Team_Matches!$Q1814&lt;&gt;"",IF(Team_Matches!I1814&gt;Team_Matches!I1816,MIN(Team_Matches!I1814,Team_Matches!I1816),-MIN(Team_Matches!I1814,Team_Matches!I1816))*IF(Team_Matches!$Q1814="W",1,-1),"")</f>
        <v/>
      </c>
      <c r="H143" s="93" t="str">
        <f>IF(Team_Matches!$Q1814&lt;&gt;"",IF(Team_Matches!J1814&gt;Team_Matches!J1816,MIN(Team_Matches!J1814,Team_Matches!J1816),-MIN(Team_Matches!J1814,Team_Matches!J1816))*IF(Team_Matches!$Q1814="W",1,-1),"")</f>
        <v/>
      </c>
      <c r="I143" s="93" t="str">
        <f>IF(Team_Matches!$Q1814&lt;&gt;"",IF(Team_Matches!K1814=Team_Matches!K1816,"",IF(Team_Matches!K1814&gt;Team_Matches!K1816,MIN(Team_Matches!K1814,Team_Matches!K1816),-MIN(Team_Matches!K1814,Team_Matches!K1816))*IF(Team_Matches!$Q1814="W",1,-1)),"")</f>
        <v/>
      </c>
      <c r="J143" s="93" t="str">
        <f>IF(Team_Matches!$Q1814&lt;&gt;"",IF(Team_Matches!L1814=Team_Matches!L1816,"",IF(Team_Matches!L1814&gt;Team_Matches!L1816,MIN(Team_Matches!L1814,Team_Matches!L1816),-MIN(Team_Matches!L1814,Team_Matches!L1816))*IF(Team_Matches!$Q1814="W",1,-1)),"")</f>
        <v/>
      </c>
    </row>
    <row r="144" spans="1:10">
      <c r="A144" s="68" t="e">
        <f ca="1">$B144&amp;";"&amp;VLOOKUP($B144,Players!$C$4:$G$132,5,FALSE)&amp;";"&amp;IF(ISERROR(VLOOKUP($B144,Players!$C$4:$G$132,2,FALSE)),0,VLOOKUP($B144,Players!$C$4:$G$132,2,FALSE))&amp;";"&amp;$C144&amp;";"&amp;VLOOKUP($C144,Players!$C$4:$G$132,5,FALSE)&amp;";"&amp;IF(ISERROR(VLOOKUP($C144,Players!$C$4:$G$132,2,FALSE)),0,VLOOKUP($C144,Players!$C$4:$G$132,2,FALSE))&amp;"|"</f>
        <v>#N/A</v>
      </c>
      <c r="B144" t="str">
        <f ca="1">IF(Team_Matches!$Q1821="W",Team_Matches!$B1821,IF(Team_Matches!$Q1823="W",Team_Matches!$B1823,""))</f>
        <v/>
      </c>
      <c r="C144" t="str">
        <f ca="1">IF(Team_Matches!$Q1821="L",Team_Matches!$B1821,IF(Team_Matches!$Q1823="L",Team_Matches!$B1823,""))</f>
        <v/>
      </c>
      <c r="D144" t="str">
        <f>CONCATENATE(Team_Matches!$B1794," vs ",Team_Matches!$K1794)</f>
        <v>C vs F</v>
      </c>
      <c r="E144" t="str">
        <f>Team_Matches!$A1819</f>
        <v>4th Singles</v>
      </c>
      <c r="F144" s="93" t="str">
        <f ca="1">IF(Team_Matches!$Q1821&lt;&gt;"",IF(Team_Matches!H1821&gt;Team_Matches!H1823,MIN(Team_Matches!H1821,Team_Matches!H1823),-MIN(Team_Matches!H1821,Team_Matches!H1823))*IF(Team_Matches!$Q1821="W",1,-1),"")</f>
        <v/>
      </c>
      <c r="G144" s="93" t="str">
        <f ca="1">IF(Team_Matches!$Q1821&lt;&gt;"",IF(Team_Matches!I1821&gt;Team_Matches!I1823,MIN(Team_Matches!I1821,Team_Matches!I1823),-MIN(Team_Matches!I1821,Team_Matches!I1823))*IF(Team_Matches!$Q1821="W",1,-1),"")</f>
        <v/>
      </c>
      <c r="H144" s="93" t="str">
        <f ca="1">IF(Team_Matches!$Q1821&lt;&gt;"",IF(Team_Matches!J1821&gt;Team_Matches!J1823,MIN(Team_Matches!J1821,Team_Matches!J1823),-MIN(Team_Matches!J1821,Team_Matches!J1823))*IF(Team_Matches!$Q1821="W",1,-1),"")</f>
        <v/>
      </c>
      <c r="I144" s="93" t="str">
        <f ca="1">IF(Team_Matches!$Q1821&lt;&gt;"",IF(Team_Matches!K1821=Team_Matches!K1823,"",IF(Team_Matches!K1821&gt;Team_Matches!K1823,MIN(Team_Matches!K1821,Team_Matches!K1823),-MIN(Team_Matches!K1821,Team_Matches!K1823))*IF(Team_Matches!$Q1821="W",1,-1)),"")</f>
        <v/>
      </c>
      <c r="J144" s="93" t="str">
        <f ca="1">IF(Team_Matches!$Q1821&lt;&gt;"",IF(Team_Matches!L1821=Team_Matches!L1823,"",IF(Team_Matches!L1821&gt;Team_Matches!L1823,MIN(Team_Matches!L1821,Team_Matches!L1823),-MIN(Team_Matches!L1821,Team_Matches!L1823))*IF(Team_Matches!$Q1821="W",1,-1)),"")</f>
        <v/>
      </c>
    </row>
    <row r="145" spans="1:10">
      <c r="A145" s="68" t="e">
        <f>$B145&amp;";"&amp;VLOOKUP($B145,Players!$C$4:$G$132,5,FALSE)&amp;";"&amp;IF(ISERROR(VLOOKUP($B145,Players!$C$4:$G$132,2,FALSE)),0,VLOOKUP($B145,Players!$C$4:$G$132,2,FALSE))&amp;";"&amp;$C145&amp;";"&amp;VLOOKUP($C145,Players!$C$4:$G$132,5,FALSE)&amp;";"&amp;IF(ISERROR(VLOOKUP($C145,Players!$C$4:$G$132,2,FALSE)),0,VLOOKUP($C145,Players!$C$4:$G$132,2,FALSE))&amp;"|"</f>
        <v>#N/A</v>
      </c>
      <c r="B145" t="str">
        <f>IF(Team_Matches!$Q1851="W",Team_Matches!$B1851,IF(Team_Matches!$Q1853="W",Team_Matches!$B1853,""))</f>
        <v/>
      </c>
      <c r="C145" t="str">
        <f>IF(Team_Matches!$Q1851="L",Team_Matches!$B1851,IF(Team_Matches!$Q1853="L",Team_Matches!$B1853,""))</f>
        <v/>
      </c>
      <c r="D145" t="str">
        <f>CONCATENATE(Team_Matches!$B1845," vs ",Team_Matches!$K1845)</f>
        <v>C vs G</v>
      </c>
      <c r="E145" t="str">
        <f>Team_Matches!A1849</f>
        <v>1st Singles</v>
      </c>
      <c r="F145" s="93" t="str">
        <f>IF(Team_Matches!$Q1851&lt;&gt;"",IF(Team_Matches!H1851&gt;Team_Matches!H1853,MIN(Team_Matches!H1851,Team_Matches!H1853),-MIN(Team_Matches!H1851,Team_Matches!H1853))*IF(Team_Matches!$Q1851="W",1,-1),"")</f>
        <v/>
      </c>
      <c r="G145" s="93" t="str">
        <f>IF(Team_Matches!$Q1851&lt;&gt;"",IF(Team_Matches!I1851&gt;Team_Matches!I1853,MIN(Team_Matches!I1851,Team_Matches!I1853),-MIN(Team_Matches!I1851,Team_Matches!I1853))*IF(Team_Matches!$Q1851="W",1,-1),"")</f>
        <v/>
      </c>
      <c r="H145" s="93" t="str">
        <f>IF(Team_Matches!$Q1851&lt;&gt;"",IF(Team_Matches!J1851&gt;Team_Matches!J1853,MIN(Team_Matches!J1851,Team_Matches!J1853),-MIN(Team_Matches!J1851,Team_Matches!J1853))*IF(Team_Matches!$Q1851="W",1,-1),"")</f>
        <v/>
      </c>
      <c r="I145" s="93" t="str">
        <f>IF(Team_Matches!$Q1851&lt;&gt;"",IF(Team_Matches!K1851=Team_Matches!K1853,"",IF(Team_Matches!K1851&gt;Team_Matches!K1853,MIN(Team_Matches!K1851,Team_Matches!K1853),-MIN(Team_Matches!K1851,Team_Matches!K1853))*IF(Team_Matches!$Q1851="W",1,-1)),"")</f>
        <v/>
      </c>
      <c r="J145" s="93" t="str">
        <f>IF(Team_Matches!$Q1851&lt;&gt;"",IF(Team_Matches!L1851=Team_Matches!L1853,"",IF(Team_Matches!L1851&gt;Team_Matches!L1853,MIN(Team_Matches!L1851,Team_Matches!L1853),-MIN(Team_Matches!L1851,Team_Matches!L1853))*IF(Team_Matches!$Q1851="W",1,-1)),"")</f>
        <v/>
      </c>
    </row>
    <row r="146" spans="1:10">
      <c r="A146" s="68" t="e">
        <f>$B146&amp;";"&amp;VLOOKUP($B146,Players!$C$4:$G$132,5,FALSE)&amp;";"&amp;IF(ISERROR(VLOOKUP($B146,Players!$C$4:$G$132,2,FALSE)),0,VLOOKUP($B146,Players!$C$4:$G$132,2,FALSE))&amp;";"&amp;$C146&amp;";"&amp;VLOOKUP($C146,Players!$C$4:$G$132,5,FALSE)&amp;";"&amp;IF(ISERROR(VLOOKUP($C146,Players!$C$4:$G$132,2,FALSE)),0,VLOOKUP($C146,Players!$C$4:$G$132,2,FALSE))&amp;"|"</f>
        <v>#N/A</v>
      </c>
      <c r="B146" t="str">
        <f>IF(Team_Matches!$Q1858="W",Team_Matches!$B1858,IF(Team_Matches!$Q1860="W",Team_Matches!$B1860,""))</f>
        <v/>
      </c>
      <c r="C146" t="str">
        <f>IF(Team_Matches!$Q1858="L",Team_Matches!$B1858,IF(Team_Matches!$Q1860="L",Team_Matches!$B1860,""))</f>
        <v/>
      </c>
      <c r="D146" t="str">
        <f>CONCATENATE(Team_Matches!$B1845," vs ",Team_Matches!$K1845)</f>
        <v>C vs G</v>
      </c>
      <c r="E146" t="str">
        <f>Team_Matches!$A1856</f>
        <v>2nd Singles</v>
      </c>
      <c r="F146" s="93" t="str">
        <f>IF(Team_Matches!$Q1858&lt;&gt;"",IF(Team_Matches!H1858&gt;Team_Matches!H1860,MIN(Team_Matches!H1858,Team_Matches!H1860),-MIN(Team_Matches!H1858,Team_Matches!H1860))*IF(Team_Matches!$Q1858="W",1,-1),"")</f>
        <v/>
      </c>
      <c r="G146" s="93" t="str">
        <f>IF(Team_Matches!$Q1858&lt;&gt;"",IF(Team_Matches!I1858&gt;Team_Matches!I1860,MIN(Team_Matches!I1858,Team_Matches!I1860),-MIN(Team_Matches!I1858,Team_Matches!I1860))*IF(Team_Matches!$Q1858="W",1,-1),"")</f>
        <v/>
      </c>
      <c r="H146" s="93" t="str">
        <f>IF(Team_Matches!$Q1858&lt;&gt;"",IF(Team_Matches!J1858&gt;Team_Matches!J1860,MIN(Team_Matches!J1858,Team_Matches!J1860),-MIN(Team_Matches!J1858,Team_Matches!J1860))*IF(Team_Matches!$Q1858="W",1,-1),"")</f>
        <v/>
      </c>
      <c r="I146" s="93" t="str">
        <f>IF(Team_Matches!$Q1858&lt;&gt;"",IF(Team_Matches!K1858=Team_Matches!K1860,"",IF(Team_Matches!K1858&gt;Team_Matches!K1860,MIN(Team_Matches!K1858,Team_Matches!K1860),-MIN(Team_Matches!K1858,Team_Matches!K1860))*IF(Team_Matches!$Q1858="W",1,-1)),"")</f>
        <v/>
      </c>
      <c r="J146" s="93" t="str">
        <f>IF(Team_Matches!$Q1858&lt;&gt;"",IF(Team_Matches!L1858=Team_Matches!L1860,"",IF(Team_Matches!L1858&gt;Team_Matches!L1860,MIN(Team_Matches!L1858,Team_Matches!L1860),-MIN(Team_Matches!L1858,Team_Matches!L1860))*IF(Team_Matches!$Q1858="W",1,-1)),"")</f>
        <v/>
      </c>
    </row>
    <row r="147" spans="1:10">
      <c r="A147" s="68" t="e">
        <f>$B147&amp;";"&amp;VLOOKUP($B147,Players!$C$4:$G$132,5,FALSE)&amp;";"&amp;IF(ISERROR(VLOOKUP($B147,Players!$C$4:$G$132,2,FALSE)),0,VLOOKUP($B147,Players!$C$4:$G$132,2,FALSE))&amp;";"&amp;$C147&amp;";"&amp;VLOOKUP($C147,Players!$C$4:$G$132,5,FALSE)&amp;";"&amp;IF(ISERROR(VLOOKUP($C147,Players!$C$4:$G$132,2,FALSE)),0,VLOOKUP($C147,Players!$C$4:$G$132,2,FALSE))&amp;"|"</f>
        <v>#N/A</v>
      </c>
      <c r="B147" t="str">
        <f>IF(Team_Matches!$Q1865="W",Team_Matches!$B1865,IF(Team_Matches!$Q1867="W",Team_Matches!$B1867,""))</f>
        <v/>
      </c>
      <c r="C147" t="str">
        <f>IF(Team_Matches!$Q1865="L",Team_Matches!$B1865,IF(Team_Matches!$Q1867="L",Team_Matches!$B1867,""))</f>
        <v/>
      </c>
      <c r="D147" t="str">
        <f>CONCATENATE(Team_Matches!$B1845," vs ",Team_Matches!$K1845)</f>
        <v>C vs G</v>
      </c>
      <c r="E147" t="str">
        <f>Team_Matches!$A1863</f>
        <v>3rd Singles</v>
      </c>
      <c r="F147" s="93" t="str">
        <f>IF(Team_Matches!$Q1865&lt;&gt;"",IF(Team_Matches!H1865&gt;Team_Matches!H1867,MIN(Team_Matches!H1865,Team_Matches!H1867),-MIN(Team_Matches!H1865,Team_Matches!H1867))*IF(Team_Matches!$Q1865="W",1,-1),"")</f>
        <v/>
      </c>
      <c r="G147" s="93" t="str">
        <f>IF(Team_Matches!$Q1865&lt;&gt;"",IF(Team_Matches!I1865&gt;Team_Matches!I1867,MIN(Team_Matches!I1865,Team_Matches!I1867),-MIN(Team_Matches!I1865,Team_Matches!I1867))*IF(Team_Matches!$Q1865="W",1,-1),"")</f>
        <v/>
      </c>
      <c r="H147" s="93" t="str">
        <f>IF(Team_Matches!$Q1865&lt;&gt;"",IF(Team_Matches!J1865&gt;Team_Matches!J1867,MIN(Team_Matches!J1865,Team_Matches!J1867),-MIN(Team_Matches!J1865,Team_Matches!J1867))*IF(Team_Matches!$Q1865="W",1,-1),"")</f>
        <v/>
      </c>
      <c r="I147" s="93" t="str">
        <f>IF(Team_Matches!$Q1865&lt;&gt;"",IF(Team_Matches!K1865=Team_Matches!K1867,"",IF(Team_Matches!K1865&gt;Team_Matches!K1867,MIN(Team_Matches!K1865,Team_Matches!K1867),-MIN(Team_Matches!K1865,Team_Matches!K1867))*IF(Team_Matches!$Q1865="W",1,-1)),"")</f>
        <v/>
      </c>
      <c r="J147" s="93" t="str">
        <f>IF(Team_Matches!$Q1865&lt;&gt;"",IF(Team_Matches!L1865=Team_Matches!L1867,"",IF(Team_Matches!L1865&gt;Team_Matches!L1867,MIN(Team_Matches!L1865,Team_Matches!L1867),-MIN(Team_Matches!L1865,Team_Matches!L1867))*IF(Team_Matches!$Q1865="W",1,-1)),"")</f>
        <v/>
      </c>
    </row>
    <row r="148" spans="1:10">
      <c r="A148" s="68" t="e">
        <f ca="1">$B148&amp;";"&amp;VLOOKUP($B148,Players!$C$4:$G$132,5,FALSE)&amp;";"&amp;IF(ISERROR(VLOOKUP($B148,Players!$C$4:$G$132,2,FALSE)),0,VLOOKUP($B148,Players!$C$4:$G$132,2,FALSE))&amp;";"&amp;$C148&amp;";"&amp;VLOOKUP($C148,Players!$C$4:$G$132,5,FALSE)&amp;";"&amp;IF(ISERROR(VLOOKUP($C148,Players!$C$4:$G$132,2,FALSE)),0,VLOOKUP($C148,Players!$C$4:$G$132,2,FALSE))&amp;"|"</f>
        <v>#N/A</v>
      </c>
      <c r="B148" t="str">
        <f ca="1">IF(Team_Matches!$Q1872="W",Team_Matches!$B1872,IF(Team_Matches!$Q1874="W",Team_Matches!$B1874,""))</f>
        <v/>
      </c>
      <c r="C148" t="str">
        <f ca="1">IF(Team_Matches!$Q1872="L",Team_Matches!$B1872,IF(Team_Matches!$Q1874="L",Team_Matches!$B1874,""))</f>
        <v/>
      </c>
      <c r="D148" t="str">
        <f>CONCATENATE(Team_Matches!$B1845," vs ",Team_Matches!$K1845)</f>
        <v>C vs G</v>
      </c>
      <c r="E148" t="str">
        <f>Team_Matches!$A1870</f>
        <v>4th Singles</v>
      </c>
      <c r="F148" s="93" t="str">
        <f ca="1">IF(Team_Matches!$Q1872&lt;&gt;"",IF(Team_Matches!H1872&gt;Team_Matches!H1874,MIN(Team_Matches!H1872,Team_Matches!H1874),-MIN(Team_Matches!H1872,Team_Matches!H1874))*IF(Team_Matches!$Q1872="W",1,-1),"")</f>
        <v/>
      </c>
      <c r="G148" s="93" t="str">
        <f ca="1">IF(Team_Matches!$Q1872&lt;&gt;"",IF(Team_Matches!I1872&gt;Team_Matches!I1874,MIN(Team_Matches!I1872,Team_Matches!I1874),-MIN(Team_Matches!I1872,Team_Matches!I1874))*IF(Team_Matches!$Q1872="W",1,-1),"")</f>
        <v/>
      </c>
      <c r="H148" s="93" t="str">
        <f ca="1">IF(Team_Matches!$Q1872&lt;&gt;"",IF(Team_Matches!J1872&gt;Team_Matches!J1874,MIN(Team_Matches!J1872,Team_Matches!J1874),-MIN(Team_Matches!J1872,Team_Matches!J1874))*IF(Team_Matches!$Q1872="W",1,-1),"")</f>
        <v/>
      </c>
      <c r="I148" s="93" t="str">
        <f ca="1">IF(Team_Matches!$Q1872&lt;&gt;"",IF(Team_Matches!K1872=Team_Matches!K1874,"",IF(Team_Matches!K1872&gt;Team_Matches!K1874,MIN(Team_Matches!K1872,Team_Matches!K1874),-MIN(Team_Matches!K1872,Team_Matches!K1874))*IF(Team_Matches!$Q1872="W",1,-1)),"")</f>
        <v/>
      </c>
      <c r="J148" s="93" t="str">
        <f ca="1">IF(Team_Matches!$Q1872&lt;&gt;"",IF(Team_Matches!L1872=Team_Matches!L1874,"",IF(Team_Matches!L1872&gt;Team_Matches!L1874,MIN(Team_Matches!L1872,Team_Matches!L1874),-MIN(Team_Matches!L1872,Team_Matches!L1874))*IF(Team_Matches!$Q1872="W",1,-1)),"")</f>
        <v/>
      </c>
    </row>
    <row r="149" spans="1:10">
      <c r="A149" s="68" t="e">
        <f>$B149&amp;";"&amp;VLOOKUP($B149,Players!$C$4:$G$132,5,FALSE)&amp;";"&amp;IF(ISERROR(VLOOKUP($B149,Players!$C$4:$G$132,2,FALSE)),0,VLOOKUP($B149,Players!$C$4:$G$132,2,FALSE))&amp;";"&amp;$C149&amp;";"&amp;VLOOKUP($C149,Players!$C$4:$G$132,5,FALSE)&amp;";"&amp;IF(ISERROR(VLOOKUP($C149,Players!$C$4:$G$132,2,FALSE)),0,VLOOKUP($C149,Players!$C$4:$G$132,2,FALSE))&amp;"|"</f>
        <v>#N/A</v>
      </c>
      <c r="B149" t="str">
        <f>IF(Team_Matches!$Q1902="W",Team_Matches!$B1902,IF(Team_Matches!$Q1904="W",Team_Matches!$B1904,""))</f>
        <v/>
      </c>
      <c r="C149" t="str">
        <f>IF(Team_Matches!$Q1902="L",Team_Matches!$B1902,IF(Team_Matches!$Q1904="L",Team_Matches!$B1904,""))</f>
        <v/>
      </c>
      <c r="D149" t="str">
        <f>CONCATENATE(Team_Matches!$B1896," vs ",Team_Matches!$K1896)</f>
        <v>C vs H</v>
      </c>
      <c r="E149" t="str">
        <f>Team_Matches!A1900</f>
        <v>1st Singles</v>
      </c>
      <c r="F149" s="93" t="str">
        <f>IF(Team_Matches!$Q1902&lt;&gt;"",IF(Team_Matches!H1902&gt;Team_Matches!H1904,MIN(Team_Matches!H1902,Team_Matches!H1904),-MIN(Team_Matches!H1902,Team_Matches!H1904))*IF(Team_Matches!$Q1902="W",1,-1),"")</f>
        <v/>
      </c>
      <c r="G149" s="93" t="str">
        <f>IF(Team_Matches!$Q1902&lt;&gt;"",IF(Team_Matches!I1902&gt;Team_Matches!I1904,MIN(Team_Matches!I1902,Team_Matches!I1904),-MIN(Team_Matches!I1902,Team_Matches!I1904))*IF(Team_Matches!$Q1902="W",1,-1),"")</f>
        <v/>
      </c>
      <c r="H149" s="93" t="str">
        <f>IF(Team_Matches!$Q1902&lt;&gt;"",IF(Team_Matches!J1902&gt;Team_Matches!J1904,MIN(Team_Matches!J1902,Team_Matches!J1904),-MIN(Team_Matches!J1902,Team_Matches!J1904))*IF(Team_Matches!$Q1902="W",1,-1),"")</f>
        <v/>
      </c>
      <c r="I149" s="93" t="str">
        <f>IF(Team_Matches!$Q1902&lt;&gt;"",IF(Team_Matches!K1902=Team_Matches!K1904,"",IF(Team_Matches!K1902&gt;Team_Matches!K1904,MIN(Team_Matches!K1902,Team_Matches!K1904),-MIN(Team_Matches!K1902,Team_Matches!K1904))*IF(Team_Matches!$Q1902="W",1,-1)),"")</f>
        <v/>
      </c>
      <c r="J149" s="93" t="str">
        <f>IF(Team_Matches!$Q1902&lt;&gt;"",IF(Team_Matches!L1902=Team_Matches!L1904,"",IF(Team_Matches!L1902&gt;Team_Matches!L1904,MIN(Team_Matches!L1902,Team_Matches!L1904),-MIN(Team_Matches!L1902,Team_Matches!L1904))*IF(Team_Matches!$Q1902="W",1,-1)),"")</f>
        <v/>
      </c>
    </row>
    <row r="150" spans="1:10">
      <c r="A150" s="68" t="e">
        <f>$B150&amp;";"&amp;VLOOKUP($B150,Players!$C$4:$G$132,5,FALSE)&amp;";"&amp;IF(ISERROR(VLOOKUP($B150,Players!$C$4:$G$132,2,FALSE)),0,VLOOKUP($B150,Players!$C$4:$G$132,2,FALSE))&amp;";"&amp;$C150&amp;";"&amp;VLOOKUP($C150,Players!$C$4:$G$132,5,FALSE)&amp;";"&amp;IF(ISERROR(VLOOKUP($C150,Players!$C$4:$G$132,2,FALSE)),0,VLOOKUP($C150,Players!$C$4:$G$132,2,FALSE))&amp;"|"</f>
        <v>#N/A</v>
      </c>
      <c r="B150" t="str">
        <f>IF(Team_Matches!$Q1909="W",Team_Matches!$B1909,IF(Team_Matches!$Q1911="W",Team_Matches!$B1911,""))</f>
        <v/>
      </c>
      <c r="C150" t="str">
        <f>IF(Team_Matches!$Q1909="L",Team_Matches!$B1909,IF(Team_Matches!$Q1911="L",Team_Matches!$B1911,""))</f>
        <v/>
      </c>
      <c r="D150" t="str">
        <f>CONCATENATE(Team_Matches!$B1896," vs ",Team_Matches!$K1896)</f>
        <v>C vs H</v>
      </c>
      <c r="E150" t="str">
        <f>Team_Matches!$A1907</f>
        <v>2nd Singles</v>
      </c>
      <c r="F150" s="93" t="str">
        <f>IF(Team_Matches!$Q1909&lt;&gt;"",IF(Team_Matches!H1909&gt;Team_Matches!H1911,MIN(Team_Matches!H1909,Team_Matches!H1911),-MIN(Team_Matches!H1909,Team_Matches!H1911))*IF(Team_Matches!$Q1909="W",1,-1),"")</f>
        <v/>
      </c>
      <c r="G150" s="93" t="str">
        <f>IF(Team_Matches!$Q1909&lt;&gt;"",IF(Team_Matches!I1909&gt;Team_Matches!I1911,MIN(Team_Matches!I1909,Team_Matches!I1911),-MIN(Team_Matches!I1909,Team_Matches!I1911))*IF(Team_Matches!$Q1909="W",1,-1),"")</f>
        <v/>
      </c>
      <c r="H150" s="93" t="str">
        <f>IF(Team_Matches!$Q1909&lt;&gt;"",IF(Team_Matches!J1909&gt;Team_Matches!J1911,MIN(Team_Matches!J1909,Team_Matches!J1911),-MIN(Team_Matches!J1909,Team_Matches!J1911))*IF(Team_Matches!$Q1909="W",1,-1),"")</f>
        <v/>
      </c>
      <c r="I150" s="93" t="str">
        <f>IF(Team_Matches!$Q1909&lt;&gt;"",IF(Team_Matches!K1909=Team_Matches!K1911,"",IF(Team_Matches!K1909&gt;Team_Matches!K1911,MIN(Team_Matches!K1909,Team_Matches!K1911),-MIN(Team_Matches!K1909,Team_Matches!K1911))*IF(Team_Matches!$Q1909="W",1,-1)),"")</f>
        <v/>
      </c>
      <c r="J150" s="93" t="str">
        <f>IF(Team_Matches!$Q1909&lt;&gt;"",IF(Team_Matches!L1909=Team_Matches!L1911,"",IF(Team_Matches!L1909&gt;Team_Matches!L1911,MIN(Team_Matches!L1909,Team_Matches!L1911),-MIN(Team_Matches!L1909,Team_Matches!L1911))*IF(Team_Matches!$Q1909="W",1,-1)),"")</f>
        <v/>
      </c>
    </row>
    <row r="151" spans="1:10">
      <c r="A151" s="68" t="e">
        <f>$B151&amp;";"&amp;VLOOKUP($B151,Players!$C$4:$G$132,5,FALSE)&amp;";"&amp;IF(ISERROR(VLOOKUP($B151,Players!$C$4:$G$132,2,FALSE)),0,VLOOKUP($B151,Players!$C$4:$G$132,2,FALSE))&amp;";"&amp;$C151&amp;";"&amp;VLOOKUP($C151,Players!$C$4:$G$132,5,FALSE)&amp;";"&amp;IF(ISERROR(VLOOKUP($C151,Players!$C$4:$G$132,2,FALSE)),0,VLOOKUP($C151,Players!$C$4:$G$132,2,FALSE))&amp;"|"</f>
        <v>#N/A</v>
      </c>
      <c r="B151" t="str">
        <f>IF(Team_Matches!$Q1916="W",Team_Matches!$B1916,IF(Team_Matches!$Q1918="W",Team_Matches!$B1918,""))</f>
        <v/>
      </c>
      <c r="C151" t="str">
        <f>IF(Team_Matches!$Q1916="L",Team_Matches!$B1916,IF(Team_Matches!$Q1918="L",Team_Matches!$B1918,""))</f>
        <v/>
      </c>
      <c r="D151" t="str">
        <f>CONCATENATE(Team_Matches!$B1896," vs ",Team_Matches!$K1896)</f>
        <v>C vs H</v>
      </c>
      <c r="E151" t="str">
        <f>Team_Matches!$A1914</f>
        <v>3rd Singles</v>
      </c>
      <c r="F151" s="93" t="str">
        <f>IF(Team_Matches!$Q1916&lt;&gt;"",IF(Team_Matches!H1916&gt;Team_Matches!H1918,MIN(Team_Matches!H1916,Team_Matches!H1918),-MIN(Team_Matches!H1916,Team_Matches!H1918))*IF(Team_Matches!$Q1916="W",1,-1),"")</f>
        <v/>
      </c>
      <c r="G151" s="93" t="str">
        <f>IF(Team_Matches!$Q1916&lt;&gt;"",IF(Team_Matches!I1916&gt;Team_Matches!I1918,MIN(Team_Matches!I1916,Team_Matches!I1918),-MIN(Team_Matches!I1916,Team_Matches!I1918))*IF(Team_Matches!$Q1916="W",1,-1),"")</f>
        <v/>
      </c>
      <c r="H151" s="93" t="str">
        <f>IF(Team_Matches!$Q1916&lt;&gt;"",IF(Team_Matches!J1916&gt;Team_Matches!J1918,MIN(Team_Matches!J1916,Team_Matches!J1918),-MIN(Team_Matches!J1916,Team_Matches!J1918))*IF(Team_Matches!$Q1916="W",1,-1),"")</f>
        <v/>
      </c>
      <c r="I151" s="93" t="str">
        <f>IF(Team_Matches!$Q1916&lt;&gt;"",IF(Team_Matches!K1916=Team_Matches!K1918,"",IF(Team_Matches!K1916&gt;Team_Matches!K1918,MIN(Team_Matches!K1916,Team_Matches!K1918),-MIN(Team_Matches!K1916,Team_Matches!K1918))*IF(Team_Matches!$Q1916="W",1,-1)),"")</f>
        <v/>
      </c>
      <c r="J151" s="93" t="str">
        <f>IF(Team_Matches!$Q1916&lt;&gt;"",IF(Team_Matches!L1916=Team_Matches!L1918,"",IF(Team_Matches!L1916&gt;Team_Matches!L1918,MIN(Team_Matches!L1916,Team_Matches!L1918),-MIN(Team_Matches!L1916,Team_Matches!L1918))*IF(Team_Matches!$Q1916="W",1,-1)),"")</f>
        <v/>
      </c>
    </row>
    <row r="152" spans="1:10">
      <c r="A152" s="68" t="e">
        <f ca="1">$B152&amp;";"&amp;VLOOKUP($B152,Players!$C$4:$G$132,5,FALSE)&amp;";"&amp;IF(ISERROR(VLOOKUP($B152,Players!$C$4:$G$132,2,FALSE)),0,VLOOKUP($B152,Players!$C$4:$G$132,2,FALSE))&amp;";"&amp;$C152&amp;";"&amp;VLOOKUP($C152,Players!$C$4:$G$132,5,FALSE)&amp;";"&amp;IF(ISERROR(VLOOKUP($C152,Players!$C$4:$G$132,2,FALSE)),0,VLOOKUP($C152,Players!$C$4:$G$132,2,FALSE))&amp;"|"</f>
        <v>#N/A</v>
      </c>
      <c r="B152" t="str">
        <f ca="1">IF(Team_Matches!$Q1923="W",Team_Matches!$B1923,IF(Team_Matches!$Q1925="W",Team_Matches!$B1925,""))</f>
        <v/>
      </c>
      <c r="C152" t="str">
        <f ca="1">IF(Team_Matches!$Q1923="L",Team_Matches!$B1923,IF(Team_Matches!$Q1925="L",Team_Matches!$B1925,""))</f>
        <v/>
      </c>
      <c r="D152" t="str">
        <f>CONCATENATE(Team_Matches!$B1896," vs ",Team_Matches!$K1896)</f>
        <v>C vs H</v>
      </c>
      <c r="E152" t="str">
        <f>Team_Matches!$A1921</f>
        <v>4th Singles</v>
      </c>
      <c r="F152" s="93" t="str">
        <f ca="1">IF(Team_Matches!$Q1923&lt;&gt;"",IF(Team_Matches!H1923&gt;Team_Matches!H1925,MIN(Team_Matches!H1923,Team_Matches!H1925),-MIN(Team_Matches!H1923,Team_Matches!H1925))*IF(Team_Matches!$Q1923="W",1,-1),"")</f>
        <v/>
      </c>
      <c r="G152" s="93" t="str">
        <f ca="1">IF(Team_Matches!$Q1923&lt;&gt;"",IF(Team_Matches!I1923&gt;Team_Matches!I1925,MIN(Team_Matches!I1923,Team_Matches!I1925),-MIN(Team_Matches!I1923,Team_Matches!I1925))*IF(Team_Matches!$Q1923="W",1,-1),"")</f>
        <v/>
      </c>
      <c r="H152" s="93" t="str">
        <f ca="1">IF(Team_Matches!$Q1923&lt;&gt;"",IF(Team_Matches!J1923&gt;Team_Matches!J1925,MIN(Team_Matches!J1923,Team_Matches!J1925),-MIN(Team_Matches!J1923,Team_Matches!J1925))*IF(Team_Matches!$Q1923="W",1,-1),"")</f>
        <v/>
      </c>
      <c r="I152" s="93" t="str">
        <f ca="1">IF(Team_Matches!$Q1923&lt;&gt;"",IF(Team_Matches!K1923=Team_Matches!K1925,"",IF(Team_Matches!K1923&gt;Team_Matches!K1925,MIN(Team_Matches!K1923,Team_Matches!K1925),-MIN(Team_Matches!K1923,Team_Matches!K1925))*IF(Team_Matches!$Q1923="W",1,-1)),"")</f>
        <v/>
      </c>
      <c r="J152" s="93" t="str">
        <f ca="1">IF(Team_Matches!$Q1923&lt;&gt;"",IF(Team_Matches!L1923=Team_Matches!L1925,"",IF(Team_Matches!L1923&gt;Team_Matches!L1925,MIN(Team_Matches!L1923,Team_Matches!L1925),-MIN(Team_Matches!L1923,Team_Matches!L1925))*IF(Team_Matches!$Q1923="W",1,-1)),"")</f>
        <v/>
      </c>
    </row>
    <row r="153" spans="1:10">
      <c r="A153" s="68" t="e">
        <f>$B153&amp;";"&amp;VLOOKUP($B153,Players!$C$4:$G$132,5,FALSE)&amp;";"&amp;IF(ISERROR(VLOOKUP($B153,Players!$C$4:$G$132,2,FALSE)),0,VLOOKUP($B153,Players!$C$4:$G$132,2,FALSE))&amp;";"&amp;$C153&amp;";"&amp;VLOOKUP($C153,Players!$C$4:$G$132,5,FALSE)&amp;";"&amp;IF(ISERROR(VLOOKUP($C153,Players!$C$4:$G$132,2,FALSE)),0,VLOOKUP($C153,Players!$C$4:$G$132,2,FALSE))&amp;"|"</f>
        <v>#N/A</v>
      </c>
      <c r="B153" t="str">
        <f>IF(Team_Matches!$Q1953="W",Team_Matches!$B1953,IF(Team_Matches!$Q1955="W",Team_Matches!$B1955,""))</f>
        <v/>
      </c>
      <c r="C153" t="str">
        <f>IF(Team_Matches!$Q1953="L",Team_Matches!$B1953,IF(Team_Matches!$Q1955="L",Team_Matches!$B1955,""))</f>
        <v/>
      </c>
      <c r="D153" t="str">
        <f>CONCATENATE(Team_Matches!$B1947," vs ",Team_Matches!$K1947)</f>
        <v>C vs I</v>
      </c>
      <c r="E153" t="str">
        <f>Team_Matches!A1951</f>
        <v>1st Singles</v>
      </c>
      <c r="F153" s="93" t="str">
        <f>IF(Team_Matches!$Q1953&lt;&gt;"",IF(Team_Matches!H1953&gt;Team_Matches!H1955,MIN(Team_Matches!H1953,Team_Matches!H1955),-MIN(Team_Matches!H1953,Team_Matches!H1955))*IF(Team_Matches!$Q1953="W",1,-1),"")</f>
        <v/>
      </c>
      <c r="G153" s="93" t="str">
        <f>IF(Team_Matches!$Q1953&lt;&gt;"",IF(Team_Matches!I1953&gt;Team_Matches!I1955,MIN(Team_Matches!I1953,Team_Matches!I1955),-MIN(Team_Matches!I1953,Team_Matches!I1955))*IF(Team_Matches!$Q1953="W",1,-1),"")</f>
        <v/>
      </c>
      <c r="H153" s="93" t="str">
        <f>IF(Team_Matches!$Q1953&lt;&gt;"",IF(Team_Matches!J1953&gt;Team_Matches!J1955,MIN(Team_Matches!J1953,Team_Matches!J1955),-MIN(Team_Matches!J1953,Team_Matches!J1955))*IF(Team_Matches!$Q1953="W",1,-1),"")</f>
        <v/>
      </c>
      <c r="I153" s="93" t="str">
        <f>IF(Team_Matches!$Q1953&lt;&gt;"",IF(Team_Matches!K1953=Team_Matches!K1955,"",IF(Team_Matches!K1953&gt;Team_Matches!K1955,MIN(Team_Matches!K1953,Team_Matches!K1955),-MIN(Team_Matches!K1953,Team_Matches!K1955))*IF(Team_Matches!$Q1953="W",1,-1)),"")</f>
        <v/>
      </c>
      <c r="J153" s="93" t="str">
        <f>IF(Team_Matches!$Q1953&lt;&gt;"",IF(Team_Matches!L1953=Team_Matches!L1955,"",IF(Team_Matches!L1953&gt;Team_Matches!L1955,MIN(Team_Matches!L1953,Team_Matches!L1955),-MIN(Team_Matches!L1953,Team_Matches!L1955))*IF(Team_Matches!$Q1953="W",1,-1)),"")</f>
        <v/>
      </c>
    </row>
    <row r="154" spans="1:10">
      <c r="A154" s="68" t="e">
        <f>$B154&amp;";"&amp;VLOOKUP($B154,Players!$C$4:$G$132,5,FALSE)&amp;";"&amp;IF(ISERROR(VLOOKUP($B154,Players!$C$4:$G$132,2,FALSE)),0,VLOOKUP($B154,Players!$C$4:$G$132,2,FALSE))&amp;";"&amp;$C154&amp;";"&amp;VLOOKUP($C154,Players!$C$4:$G$132,5,FALSE)&amp;";"&amp;IF(ISERROR(VLOOKUP($C154,Players!$C$4:$G$132,2,FALSE)),0,VLOOKUP($C154,Players!$C$4:$G$132,2,FALSE))&amp;"|"</f>
        <v>#N/A</v>
      </c>
      <c r="B154" t="str">
        <f>IF(Team_Matches!$Q1960="W",Team_Matches!$B1960,IF(Team_Matches!$Q1962="W",Team_Matches!$B1962,""))</f>
        <v/>
      </c>
      <c r="C154" t="str">
        <f>IF(Team_Matches!$Q1960="L",Team_Matches!$B1960,IF(Team_Matches!$Q1962="L",Team_Matches!$B1962,""))</f>
        <v/>
      </c>
      <c r="D154" t="str">
        <f>CONCATENATE(Team_Matches!$B1947," vs ",Team_Matches!$K1947)</f>
        <v>C vs I</v>
      </c>
      <c r="E154" t="str">
        <f>Team_Matches!$A1958</f>
        <v>2nd Singles</v>
      </c>
      <c r="F154" s="93" t="str">
        <f>IF(Team_Matches!$Q1960&lt;&gt;"",IF(Team_Matches!H1960&gt;Team_Matches!H1962,MIN(Team_Matches!H1960,Team_Matches!H1962),-MIN(Team_Matches!H1960,Team_Matches!H1962))*IF(Team_Matches!$Q1960="W",1,-1),"")</f>
        <v/>
      </c>
      <c r="G154" s="93" t="str">
        <f>IF(Team_Matches!$Q1960&lt;&gt;"",IF(Team_Matches!I1960&gt;Team_Matches!I1962,MIN(Team_Matches!I1960,Team_Matches!I1962),-MIN(Team_Matches!I1960,Team_Matches!I1962))*IF(Team_Matches!$Q1960="W",1,-1),"")</f>
        <v/>
      </c>
      <c r="H154" s="93" t="str">
        <f>IF(Team_Matches!$Q1960&lt;&gt;"",IF(Team_Matches!J1960&gt;Team_Matches!J1962,MIN(Team_Matches!J1960,Team_Matches!J1962),-MIN(Team_Matches!J1960,Team_Matches!J1962))*IF(Team_Matches!$Q1960="W",1,-1),"")</f>
        <v/>
      </c>
      <c r="I154" s="93" t="str">
        <f>IF(Team_Matches!$Q1960&lt;&gt;"",IF(Team_Matches!K1960=Team_Matches!K1962,"",IF(Team_Matches!K1960&gt;Team_Matches!K1962,MIN(Team_Matches!K1960,Team_Matches!K1962),-MIN(Team_Matches!K1960,Team_Matches!K1962))*IF(Team_Matches!$Q1960="W",1,-1)),"")</f>
        <v/>
      </c>
      <c r="J154" s="93" t="str">
        <f>IF(Team_Matches!$Q1960&lt;&gt;"",IF(Team_Matches!L1960=Team_Matches!L1962,"",IF(Team_Matches!L1960&gt;Team_Matches!L1962,MIN(Team_Matches!L1960,Team_Matches!L1962),-MIN(Team_Matches!L1960,Team_Matches!L1962))*IF(Team_Matches!$Q1960="W",1,-1)),"")</f>
        <v/>
      </c>
    </row>
    <row r="155" spans="1:10">
      <c r="A155" s="68" t="e">
        <f>$B155&amp;";"&amp;VLOOKUP($B155,Players!$C$4:$G$132,5,FALSE)&amp;";"&amp;IF(ISERROR(VLOOKUP($B155,Players!$C$4:$G$132,2,FALSE)),0,VLOOKUP($B155,Players!$C$4:$G$132,2,FALSE))&amp;";"&amp;$C155&amp;";"&amp;VLOOKUP($C155,Players!$C$4:$G$132,5,FALSE)&amp;";"&amp;IF(ISERROR(VLOOKUP($C155,Players!$C$4:$G$132,2,FALSE)),0,VLOOKUP($C155,Players!$C$4:$G$132,2,FALSE))&amp;"|"</f>
        <v>#N/A</v>
      </c>
      <c r="B155" t="str">
        <f>IF(Team_Matches!$Q1967="W",Team_Matches!$B1967,IF(Team_Matches!$Q1969="W",Team_Matches!$B1969,""))</f>
        <v/>
      </c>
      <c r="C155" t="str">
        <f>IF(Team_Matches!$Q1967="L",Team_Matches!$B1967,IF(Team_Matches!$Q1969="L",Team_Matches!$B1969,""))</f>
        <v/>
      </c>
      <c r="D155" t="str">
        <f>CONCATENATE(Team_Matches!$B1947," vs ",Team_Matches!$K1947)</f>
        <v>C vs I</v>
      </c>
      <c r="E155" t="str">
        <f>Team_Matches!$A1965</f>
        <v>3rd Singles</v>
      </c>
      <c r="F155" s="93" t="str">
        <f>IF(Team_Matches!$Q1967&lt;&gt;"",IF(Team_Matches!H1967&gt;Team_Matches!H1969,MIN(Team_Matches!H1967,Team_Matches!H1969),-MIN(Team_Matches!H1967,Team_Matches!H1969))*IF(Team_Matches!$Q1967="W",1,-1),"")</f>
        <v/>
      </c>
      <c r="G155" s="93" t="str">
        <f>IF(Team_Matches!$Q1967&lt;&gt;"",IF(Team_Matches!I1967&gt;Team_Matches!I1969,MIN(Team_Matches!I1967,Team_Matches!I1969),-MIN(Team_Matches!I1967,Team_Matches!I1969))*IF(Team_Matches!$Q1967="W",1,-1),"")</f>
        <v/>
      </c>
      <c r="H155" s="93" t="str">
        <f>IF(Team_Matches!$Q1967&lt;&gt;"",IF(Team_Matches!J1967&gt;Team_Matches!J1969,MIN(Team_Matches!J1967,Team_Matches!J1969),-MIN(Team_Matches!J1967,Team_Matches!J1969))*IF(Team_Matches!$Q1967="W",1,-1),"")</f>
        <v/>
      </c>
      <c r="I155" s="93" t="str">
        <f>IF(Team_Matches!$Q1967&lt;&gt;"",IF(Team_Matches!K1967=Team_Matches!K1969,"",IF(Team_Matches!K1967&gt;Team_Matches!K1969,MIN(Team_Matches!K1967,Team_Matches!K1969),-MIN(Team_Matches!K1967,Team_Matches!K1969))*IF(Team_Matches!$Q1967="W",1,-1)),"")</f>
        <v/>
      </c>
      <c r="J155" s="93" t="str">
        <f>IF(Team_Matches!$Q1967&lt;&gt;"",IF(Team_Matches!L1967=Team_Matches!L1969,"",IF(Team_Matches!L1967&gt;Team_Matches!L1969,MIN(Team_Matches!L1967,Team_Matches!L1969),-MIN(Team_Matches!L1967,Team_Matches!L1969))*IF(Team_Matches!$Q1967="W",1,-1)),"")</f>
        <v/>
      </c>
    </row>
    <row r="156" spans="1:10">
      <c r="A156" s="68" t="e">
        <f ca="1">$B156&amp;";"&amp;VLOOKUP($B156,Players!$C$4:$G$132,5,FALSE)&amp;";"&amp;IF(ISERROR(VLOOKUP($B156,Players!$C$4:$G$132,2,FALSE)),0,VLOOKUP($B156,Players!$C$4:$G$132,2,FALSE))&amp;";"&amp;$C156&amp;";"&amp;VLOOKUP($C156,Players!$C$4:$G$132,5,FALSE)&amp;";"&amp;IF(ISERROR(VLOOKUP($C156,Players!$C$4:$G$132,2,FALSE)),0,VLOOKUP($C156,Players!$C$4:$G$132,2,FALSE))&amp;"|"</f>
        <v>#N/A</v>
      </c>
      <c r="B156" t="str">
        <f ca="1">IF(Team_Matches!$Q1974="W",Team_Matches!$B1974,IF(Team_Matches!$Q1976="W",Team_Matches!$B1976,""))</f>
        <v/>
      </c>
      <c r="C156" t="str">
        <f ca="1">IF(Team_Matches!$Q1974="L",Team_Matches!$B1974,IF(Team_Matches!$Q1976="L",Team_Matches!$B1976,""))</f>
        <v/>
      </c>
      <c r="D156" t="str">
        <f>CONCATENATE(Team_Matches!$B1947," vs ",Team_Matches!$K1947)</f>
        <v>C vs I</v>
      </c>
      <c r="E156" t="str">
        <f>Team_Matches!$A1972</f>
        <v>4th Singles</v>
      </c>
      <c r="F156" s="93" t="str">
        <f ca="1">IF(Team_Matches!$Q1974&lt;&gt;"",IF(Team_Matches!H1974&gt;Team_Matches!H1976,MIN(Team_Matches!H1974,Team_Matches!H1976),-MIN(Team_Matches!H1974,Team_Matches!H1976))*IF(Team_Matches!$Q1974="W",1,-1),"")</f>
        <v/>
      </c>
      <c r="G156" s="93" t="str">
        <f ca="1">IF(Team_Matches!$Q1974&lt;&gt;"",IF(Team_Matches!I1974&gt;Team_Matches!I1976,MIN(Team_Matches!I1974,Team_Matches!I1976),-MIN(Team_Matches!I1974,Team_Matches!I1976))*IF(Team_Matches!$Q1974="W",1,-1),"")</f>
        <v/>
      </c>
      <c r="H156" s="93" t="str">
        <f ca="1">IF(Team_Matches!$Q1974&lt;&gt;"",IF(Team_Matches!J1974&gt;Team_Matches!J1976,MIN(Team_Matches!J1974,Team_Matches!J1976),-MIN(Team_Matches!J1974,Team_Matches!J1976))*IF(Team_Matches!$Q1974="W",1,-1),"")</f>
        <v/>
      </c>
      <c r="I156" s="93" t="str">
        <f ca="1">IF(Team_Matches!$Q1974&lt;&gt;"",IF(Team_Matches!K1974=Team_Matches!K1976,"",IF(Team_Matches!K1974&gt;Team_Matches!K1976,MIN(Team_Matches!K1974,Team_Matches!K1976),-MIN(Team_Matches!K1974,Team_Matches!K1976))*IF(Team_Matches!$Q1974="W",1,-1)),"")</f>
        <v/>
      </c>
      <c r="J156" s="93" t="str">
        <f ca="1">IF(Team_Matches!$Q1974&lt;&gt;"",IF(Team_Matches!L1974=Team_Matches!L1976,"",IF(Team_Matches!L1974&gt;Team_Matches!L1976,MIN(Team_Matches!L1974,Team_Matches!L1976),-MIN(Team_Matches!L1974,Team_Matches!L1976))*IF(Team_Matches!$Q1974="W",1,-1)),"")</f>
        <v/>
      </c>
    </row>
    <row r="157" spans="1:10">
      <c r="A157" s="68" t="e">
        <f>$B157&amp;";"&amp;VLOOKUP($B157,Players!$C$4:$G$132,5,FALSE)&amp;";"&amp;IF(ISERROR(VLOOKUP($B157,Players!$C$4:$G$132,2,FALSE)),0,VLOOKUP($B157,Players!$C$4:$G$132,2,FALSE))&amp;";"&amp;$C157&amp;";"&amp;VLOOKUP($C157,Players!$C$4:$G$132,5,FALSE)&amp;";"&amp;IF(ISERROR(VLOOKUP($C157,Players!$C$4:$G$132,2,FALSE)),0,VLOOKUP($C157,Players!$C$4:$G$132,2,FALSE))&amp;"|"</f>
        <v>#N/A</v>
      </c>
      <c r="B157" t="str">
        <f>IF(Team_Matches!$Q2004="W",Team_Matches!$B2004,IF(Team_Matches!$Q2006="W",Team_Matches!$B2006,""))</f>
        <v/>
      </c>
      <c r="C157" t="str">
        <f>IF(Team_Matches!$Q2004="L",Team_Matches!$B2004,IF(Team_Matches!$Q2006="L",Team_Matches!$B2006,""))</f>
        <v/>
      </c>
      <c r="D157" t="str">
        <f>CONCATENATE(Team_Matches!$B1998," vs ",Team_Matches!$K1998)</f>
        <v>C vs J</v>
      </c>
      <c r="E157" t="str">
        <f>Team_Matches!A2002</f>
        <v>1st Singles</v>
      </c>
      <c r="F157" s="93" t="str">
        <f>IF(Team_Matches!$Q2004&lt;&gt;"",IF(Team_Matches!H2004&gt;Team_Matches!H2006,MIN(Team_Matches!H2004,Team_Matches!H2006),-MIN(Team_Matches!H2004,Team_Matches!H2006))*IF(Team_Matches!$Q2004="W",1,-1),"")</f>
        <v/>
      </c>
      <c r="G157" s="93" t="str">
        <f>IF(Team_Matches!$Q2004&lt;&gt;"",IF(Team_Matches!I2004&gt;Team_Matches!I2006,MIN(Team_Matches!I2004,Team_Matches!I2006),-MIN(Team_Matches!I2004,Team_Matches!I2006))*IF(Team_Matches!$Q2004="W",1,-1),"")</f>
        <v/>
      </c>
      <c r="H157" s="93" t="str">
        <f>IF(Team_Matches!$Q2004&lt;&gt;"",IF(Team_Matches!J2004&gt;Team_Matches!J2006,MIN(Team_Matches!J2004,Team_Matches!J2006),-MIN(Team_Matches!J2004,Team_Matches!J2006))*IF(Team_Matches!$Q2004="W",1,-1),"")</f>
        <v/>
      </c>
      <c r="I157" s="93" t="str">
        <f>IF(Team_Matches!$Q2004&lt;&gt;"",IF(Team_Matches!K2004=Team_Matches!K2006,"",IF(Team_Matches!K2004&gt;Team_Matches!K2006,MIN(Team_Matches!K2004,Team_Matches!K2006),-MIN(Team_Matches!K2004,Team_Matches!K2006))*IF(Team_Matches!$Q2004="W",1,-1)),"")</f>
        <v/>
      </c>
      <c r="J157" s="93" t="str">
        <f>IF(Team_Matches!$Q2004&lt;&gt;"",IF(Team_Matches!L2004=Team_Matches!L2006,"",IF(Team_Matches!L2004&gt;Team_Matches!L2006,MIN(Team_Matches!L2004,Team_Matches!L2006),-MIN(Team_Matches!L2004,Team_Matches!L2006))*IF(Team_Matches!$Q2004="W",1,-1)),"")</f>
        <v/>
      </c>
    </row>
    <row r="158" spans="1:10">
      <c r="A158" s="68" t="e">
        <f>$B158&amp;";"&amp;VLOOKUP($B158,Players!$C$4:$G$132,5,FALSE)&amp;";"&amp;IF(ISERROR(VLOOKUP($B158,Players!$C$4:$G$132,2,FALSE)),0,VLOOKUP($B158,Players!$C$4:$G$132,2,FALSE))&amp;";"&amp;$C158&amp;";"&amp;VLOOKUP($C158,Players!$C$4:$G$132,5,FALSE)&amp;";"&amp;IF(ISERROR(VLOOKUP($C158,Players!$C$4:$G$132,2,FALSE)),0,VLOOKUP($C158,Players!$C$4:$G$132,2,FALSE))&amp;"|"</f>
        <v>#N/A</v>
      </c>
      <c r="B158" t="str">
        <f>IF(Team_Matches!$Q2011="W",Team_Matches!$B2011,IF(Team_Matches!$Q2013="W",Team_Matches!$B2013,""))</f>
        <v/>
      </c>
      <c r="C158" t="str">
        <f>IF(Team_Matches!$Q2011="L",Team_Matches!$B2011,IF(Team_Matches!$Q2013="L",Team_Matches!$B2013,""))</f>
        <v/>
      </c>
      <c r="D158" t="str">
        <f>CONCATENATE(Team_Matches!$B1998," vs ",Team_Matches!$K1998)</f>
        <v>C vs J</v>
      </c>
      <c r="E158" t="str">
        <f>Team_Matches!$A2009</f>
        <v>2nd Singles</v>
      </c>
      <c r="F158" s="93" t="str">
        <f>IF(Team_Matches!$Q2011&lt;&gt;"",IF(Team_Matches!H2011&gt;Team_Matches!H2013,MIN(Team_Matches!H2011,Team_Matches!H2013),-MIN(Team_Matches!H2011,Team_Matches!H2013))*IF(Team_Matches!$Q2011="W",1,-1),"")</f>
        <v/>
      </c>
      <c r="G158" s="93" t="str">
        <f>IF(Team_Matches!$Q2011&lt;&gt;"",IF(Team_Matches!I2011&gt;Team_Matches!I2013,MIN(Team_Matches!I2011,Team_Matches!I2013),-MIN(Team_Matches!I2011,Team_Matches!I2013))*IF(Team_Matches!$Q2011="W",1,-1),"")</f>
        <v/>
      </c>
      <c r="H158" s="93" t="str">
        <f>IF(Team_Matches!$Q2011&lt;&gt;"",IF(Team_Matches!J2011&gt;Team_Matches!J2013,MIN(Team_Matches!J2011,Team_Matches!J2013),-MIN(Team_Matches!J2011,Team_Matches!J2013))*IF(Team_Matches!$Q2011="W",1,-1),"")</f>
        <v/>
      </c>
      <c r="I158" s="93" t="str">
        <f>IF(Team_Matches!$Q2011&lt;&gt;"",IF(Team_Matches!K2011=Team_Matches!K2013,"",IF(Team_Matches!K2011&gt;Team_Matches!K2013,MIN(Team_Matches!K2011,Team_Matches!K2013),-MIN(Team_Matches!K2011,Team_Matches!K2013))*IF(Team_Matches!$Q2011="W",1,-1)),"")</f>
        <v/>
      </c>
      <c r="J158" s="93" t="str">
        <f>IF(Team_Matches!$Q2011&lt;&gt;"",IF(Team_Matches!L2011=Team_Matches!L2013,"",IF(Team_Matches!L2011&gt;Team_Matches!L2013,MIN(Team_Matches!L2011,Team_Matches!L2013),-MIN(Team_Matches!L2011,Team_Matches!L2013))*IF(Team_Matches!$Q2011="W",1,-1)),"")</f>
        <v/>
      </c>
    </row>
    <row r="159" spans="1:10">
      <c r="A159" s="68" t="e">
        <f>$B159&amp;";"&amp;VLOOKUP($B159,Players!$C$4:$G$132,5,FALSE)&amp;";"&amp;IF(ISERROR(VLOOKUP($B159,Players!$C$4:$G$132,2,FALSE)),0,VLOOKUP($B159,Players!$C$4:$G$132,2,FALSE))&amp;";"&amp;$C159&amp;";"&amp;VLOOKUP($C159,Players!$C$4:$G$132,5,FALSE)&amp;";"&amp;IF(ISERROR(VLOOKUP($C159,Players!$C$4:$G$132,2,FALSE)),0,VLOOKUP($C159,Players!$C$4:$G$132,2,FALSE))&amp;"|"</f>
        <v>#N/A</v>
      </c>
      <c r="B159" t="str">
        <f>IF(Team_Matches!$Q2018="W",Team_Matches!$B2018,IF(Team_Matches!$Q2020="W",Team_Matches!$B2020,""))</f>
        <v/>
      </c>
      <c r="C159" t="str">
        <f>IF(Team_Matches!$Q2018="L",Team_Matches!$B2018,IF(Team_Matches!$Q2020="L",Team_Matches!$B2020,""))</f>
        <v/>
      </c>
      <c r="D159" t="str">
        <f>CONCATENATE(Team_Matches!$B1998," vs ",Team_Matches!$K1998)</f>
        <v>C vs J</v>
      </c>
      <c r="E159" t="str">
        <f>Team_Matches!$A2016</f>
        <v>3rd Singles</v>
      </c>
      <c r="F159" s="93" t="str">
        <f>IF(Team_Matches!$Q2018&lt;&gt;"",IF(Team_Matches!H2018&gt;Team_Matches!H2020,MIN(Team_Matches!H2018,Team_Matches!H2020),-MIN(Team_Matches!H2018,Team_Matches!H2020))*IF(Team_Matches!$Q2018="W",1,-1),"")</f>
        <v/>
      </c>
      <c r="G159" s="93" t="str">
        <f>IF(Team_Matches!$Q2018&lt;&gt;"",IF(Team_Matches!I2018&gt;Team_Matches!I2020,MIN(Team_Matches!I2018,Team_Matches!I2020),-MIN(Team_Matches!I2018,Team_Matches!I2020))*IF(Team_Matches!$Q2018="W",1,-1),"")</f>
        <v/>
      </c>
      <c r="H159" s="93" t="str">
        <f>IF(Team_Matches!$Q2018&lt;&gt;"",IF(Team_Matches!J2018&gt;Team_Matches!J2020,MIN(Team_Matches!J2018,Team_Matches!J2020),-MIN(Team_Matches!J2018,Team_Matches!J2020))*IF(Team_Matches!$Q2018="W",1,-1),"")</f>
        <v/>
      </c>
      <c r="I159" s="93" t="str">
        <f>IF(Team_Matches!$Q2018&lt;&gt;"",IF(Team_Matches!K2018=Team_Matches!K2020,"",IF(Team_Matches!K2018&gt;Team_Matches!K2020,MIN(Team_Matches!K2018,Team_Matches!K2020),-MIN(Team_Matches!K2018,Team_Matches!K2020))*IF(Team_Matches!$Q2018="W",1,-1)),"")</f>
        <v/>
      </c>
      <c r="J159" s="93" t="str">
        <f>IF(Team_Matches!$Q2018&lt;&gt;"",IF(Team_Matches!L2018=Team_Matches!L2020,"",IF(Team_Matches!L2018&gt;Team_Matches!L2020,MIN(Team_Matches!L2018,Team_Matches!L2020),-MIN(Team_Matches!L2018,Team_Matches!L2020))*IF(Team_Matches!$Q2018="W",1,-1)),"")</f>
        <v/>
      </c>
    </row>
    <row r="160" spans="1:10">
      <c r="A160" s="68" t="e">
        <f ca="1">$B160&amp;";"&amp;VLOOKUP($B160,Players!$C$4:$G$132,5,FALSE)&amp;";"&amp;IF(ISERROR(VLOOKUP($B160,Players!$C$4:$G$132,2,FALSE)),0,VLOOKUP($B160,Players!$C$4:$G$132,2,FALSE))&amp;";"&amp;$C160&amp;";"&amp;VLOOKUP($C160,Players!$C$4:$G$132,5,FALSE)&amp;";"&amp;IF(ISERROR(VLOOKUP($C160,Players!$C$4:$G$132,2,FALSE)),0,VLOOKUP($C160,Players!$C$4:$G$132,2,FALSE))&amp;"|"</f>
        <v>#N/A</v>
      </c>
      <c r="B160" t="str">
        <f ca="1">IF(Team_Matches!$Q2025="W",Team_Matches!$B2025,IF(Team_Matches!$Q2027="W",Team_Matches!$B2027,""))</f>
        <v/>
      </c>
      <c r="C160" t="str">
        <f ca="1">IF(Team_Matches!$Q2025="L",Team_Matches!$B2025,IF(Team_Matches!$Q2027="L",Team_Matches!$B2027,""))</f>
        <v/>
      </c>
      <c r="D160" t="str">
        <f>CONCATENATE(Team_Matches!$B1998," vs ",Team_Matches!$K1998)</f>
        <v>C vs J</v>
      </c>
      <c r="E160" t="str">
        <f>Team_Matches!$A2023</f>
        <v>4th Singles</v>
      </c>
      <c r="F160" s="93" t="str">
        <f ca="1">IF(Team_Matches!$Q2025&lt;&gt;"",IF(Team_Matches!H2025&gt;Team_Matches!H2027,MIN(Team_Matches!H2025,Team_Matches!H2027),-MIN(Team_Matches!H2025,Team_Matches!H2027))*IF(Team_Matches!$Q2025="W",1,-1),"")</f>
        <v/>
      </c>
      <c r="G160" s="93" t="str">
        <f ca="1">IF(Team_Matches!$Q2025&lt;&gt;"",IF(Team_Matches!I2025&gt;Team_Matches!I2027,MIN(Team_Matches!I2025,Team_Matches!I2027),-MIN(Team_Matches!I2025,Team_Matches!I2027))*IF(Team_Matches!$Q2025="W",1,-1),"")</f>
        <v/>
      </c>
      <c r="H160" s="93" t="str">
        <f ca="1">IF(Team_Matches!$Q2025&lt;&gt;"",IF(Team_Matches!J2025&gt;Team_Matches!J2027,MIN(Team_Matches!J2025,Team_Matches!J2027),-MIN(Team_Matches!J2025,Team_Matches!J2027))*IF(Team_Matches!$Q2025="W",1,-1),"")</f>
        <v/>
      </c>
      <c r="I160" s="93" t="str">
        <f ca="1">IF(Team_Matches!$Q2025&lt;&gt;"",IF(Team_Matches!K2025=Team_Matches!K2027,"",IF(Team_Matches!K2025&gt;Team_Matches!K2027,MIN(Team_Matches!K2025,Team_Matches!K2027),-MIN(Team_Matches!K2025,Team_Matches!K2027))*IF(Team_Matches!$Q2025="W",1,-1)),"")</f>
        <v/>
      </c>
      <c r="J160" s="93" t="str">
        <f ca="1">IF(Team_Matches!$Q2025&lt;&gt;"",IF(Team_Matches!L2025=Team_Matches!L2027,"",IF(Team_Matches!L2025&gt;Team_Matches!L2027,MIN(Team_Matches!L2025,Team_Matches!L2027),-MIN(Team_Matches!L2025,Team_Matches!L2027))*IF(Team_Matches!$Q2025="W",1,-1)),"")</f>
        <v/>
      </c>
    </row>
    <row r="161" spans="1:10">
      <c r="A161" s="68" t="e">
        <f>$B161&amp;";"&amp;VLOOKUP($B161,Players!$C$4:$G$132,5,FALSE)&amp;";"&amp;IF(ISERROR(VLOOKUP($B161,Players!$C$4:$G$132,2,FALSE)),0,VLOOKUP($B161,Players!$C$4:$G$132,2,FALSE))&amp;";"&amp;$C161&amp;";"&amp;VLOOKUP($C161,Players!$C$4:$G$132,5,FALSE)&amp;";"&amp;IF(ISERROR(VLOOKUP($C161,Players!$C$4:$G$132,2,FALSE)),0,VLOOKUP($C161,Players!$C$4:$G$132,2,FALSE))&amp;"|"</f>
        <v>#N/A</v>
      </c>
      <c r="B161" t="str">
        <f>IF(Team_Matches!$Q2055="W",Team_Matches!$B2055,IF(Team_Matches!$Q2057="W",Team_Matches!$B2057,""))</f>
        <v/>
      </c>
      <c r="C161" t="str">
        <f>IF(Team_Matches!$Q2055="L",Team_Matches!$B2055,IF(Team_Matches!$Q2057="L",Team_Matches!$B2057,""))</f>
        <v/>
      </c>
      <c r="D161" t="str">
        <f>CONCATENATE(Team_Matches!$B2049," vs ",Team_Matches!$K2049)</f>
        <v>C vs K</v>
      </c>
      <c r="E161" t="str">
        <f>Team_Matches!A2053</f>
        <v>1st Singles</v>
      </c>
      <c r="F161" s="93" t="str">
        <f>IF(Team_Matches!$Q2055&lt;&gt;"",IF(Team_Matches!H2055&gt;Team_Matches!H2057,MIN(Team_Matches!H2055,Team_Matches!H2057),-MIN(Team_Matches!H2055,Team_Matches!H2057))*IF(Team_Matches!$Q2055="W",1,-1),"")</f>
        <v/>
      </c>
      <c r="G161" s="93" t="str">
        <f>IF(Team_Matches!$Q2055&lt;&gt;"",IF(Team_Matches!I2055&gt;Team_Matches!I2057,MIN(Team_Matches!I2055,Team_Matches!I2057),-MIN(Team_Matches!I2055,Team_Matches!I2057))*IF(Team_Matches!$Q2055="W",1,-1),"")</f>
        <v/>
      </c>
      <c r="H161" s="93" t="str">
        <f>IF(Team_Matches!$Q2055&lt;&gt;"",IF(Team_Matches!J2055&gt;Team_Matches!J2057,MIN(Team_Matches!J2055,Team_Matches!J2057),-MIN(Team_Matches!J2055,Team_Matches!J2057))*IF(Team_Matches!$Q2055="W",1,-1),"")</f>
        <v/>
      </c>
      <c r="I161" s="93" t="str">
        <f>IF(Team_Matches!$Q2055&lt;&gt;"",IF(Team_Matches!K2055=Team_Matches!K2057,"",IF(Team_Matches!K2055&gt;Team_Matches!K2057,MIN(Team_Matches!K2055,Team_Matches!K2057),-MIN(Team_Matches!K2055,Team_Matches!K2057))*IF(Team_Matches!$Q2055="W",1,-1)),"")</f>
        <v/>
      </c>
      <c r="J161" s="93" t="str">
        <f>IF(Team_Matches!$Q2055&lt;&gt;"",IF(Team_Matches!L2055=Team_Matches!L2057,"",IF(Team_Matches!L2055&gt;Team_Matches!L2057,MIN(Team_Matches!L2055,Team_Matches!L2057),-MIN(Team_Matches!L2055,Team_Matches!L2057))*IF(Team_Matches!$Q2055="W",1,-1)),"")</f>
        <v/>
      </c>
    </row>
    <row r="162" spans="1:10">
      <c r="A162" s="68" t="e">
        <f>$B162&amp;";"&amp;VLOOKUP($B162,Players!$C$4:$G$132,5,FALSE)&amp;";"&amp;IF(ISERROR(VLOOKUP($B162,Players!$C$4:$G$132,2,FALSE)),0,VLOOKUP($B162,Players!$C$4:$G$132,2,FALSE))&amp;";"&amp;$C162&amp;";"&amp;VLOOKUP($C162,Players!$C$4:$G$132,5,FALSE)&amp;";"&amp;IF(ISERROR(VLOOKUP($C162,Players!$C$4:$G$132,2,FALSE)),0,VLOOKUP($C162,Players!$C$4:$G$132,2,FALSE))&amp;"|"</f>
        <v>#N/A</v>
      </c>
      <c r="B162" t="str">
        <f>IF(Team_Matches!$Q2062="W",Team_Matches!$B2062,IF(Team_Matches!$Q2064="W",Team_Matches!$B2064,""))</f>
        <v/>
      </c>
      <c r="C162" t="str">
        <f>IF(Team_Matches!$Q2062="L",Team_Matches!$B2062,IF(Team_Matches!$Q2064="L",Team_Matches!$B2064,""))</f>
        <v/>
      </c>
      <c r="D162" t="str">
        <f>CONCATENATE(Team_Matches!$B2049," vs ",Team_Matches!$K2049)</f>
        <v>C vs K</v>
      </c>
      <c r="E162" t="str">
        <f>Team_Matches!$A2060</f>
        <v>2nd Singles</v>
      </c>
      <c r="F162" s="93" t="str">
        <f>IF(Team_Matches!$Q2062&lt;&gt;"",IF(Team_Matches!H2062&gt;Team_Matches!H2064,MIN(Team_Matches!H2062,Team_Matches!H2064),-MIN(Team_Matches!H2062,Team_Matches!H2064))*IF(Team_Matches!$Q2062="W",1,-1),"")</f>
        <v/>
      </c>
      <c r="G162" s="93" t="str">
        <f>IF(Team_Matches!$Q2062&lt;&gt;"",IF(Team_Matches!I2062&gt;Team_Matches!I2064,MIN(Team_Matches!I2062,Team_Matches!I2064),-MIN(Team_Matches!I2062,Team_Matches!I2064))*IF(Team_Matches!$Q2062="W",1,-1),"")</f>
        <v/>
      </c>
      <c r="H162" s="93" t="str">
        <f>IF(Team_Matches!$Q2062&lt;&gt;"",IF(Team_Matches!J2062&gt;Team_Matches!J2064,MIN(Team_Matches!J2062,Team_Matches!J2064),-MIN(Team_Matches!J2062,Team_Matches!J2064))*IF(Team_Matches!$Q2062="W",1,-1),"")</f>
        <v/>
      </c>
      <c r="I162" s="93" t="str">
        <f>IF(Team_Matches!$Q2062&lt;&gt;"",IF(Team_Matches!K2062=Team_Matches!K2064,"",IF(Team_Matches!K2062&gt;Team_Matches!K2064,MIN(Team_Matches!K2062,Team_Matches!K2064),-MIN(Team_Matches!K2062,Team_Matches!K2064))*IF(Team_Matches!$Q2062="W",1,-1)),"")</f>
        <v/>
      </c>
      <c r="J162" s="93" t="str">
        <f>IF(Team_Matches!$Q2062&lt;&gt;"",IF(Team_Matches!L2062=Team_Matches!L2064,"",IF(Team_Matches!L2062&gt;Team_Matches!L2064,MIN(Team_Matches!L2062,Team_Matches!L2064),-MIN(Team_Matches!L2062,Team_Matches!L2064))*IF(Team_Matches!$Q2062="W",1,-1)),"")</f>
        <v/>
      </c>
    </row>
    <row r="163" spans="1:10">
      <c r="A163" s="68" t="e">
        <f>$B163&amp;";"&amp;VLOOKUP($B163,Players!$C$4:$G$132,5,FALSE)&amp;";"&amp;IF(ISERROR(VLOOKUP($B163,Players!$C$4:$G$132,2,FALSE)),0,VLOOKUP($B163,Players!$C$4:$G$132,2,FALSE))&amp;";"&amp;$C163&amp;";"&amp;VLOOKUP($C163,Players!$C$4:$G$132,5,FALSE)&amp;";"&amp;IF(ISERROR(VLOOKUP($C163,Players!$C$4:$G$132,2,FALSE)),0,VLOOKUP($C163,Players!$C$4:$G$132,2,FALSE))&amp;"|"</f>
        <v>#N/A</v>
      </c>
      <c r="B163" t="str">
        <f>IF(Team_Matches!$Q2069="W",Team_Matches!$B2069,IF(Team_Matches!$Q2071="W",Team_Matches!$B2071,""))</f>
        <v/>
      </c>
      <c r="C163" t="str">
        <f>IF(Team_Matches!$Q2069="L",Team_Matches!$B2069,IF(Team_Matches!$Q2071="L",Team_Matches!$B2071,""))</f>
        <v/>
      </c>
      <c r="D163" t="str">
        <f>CONCATENATE(Team_Matches!$B2049," vs ",Team_Matches!$K2049)</f>
        <v>C vs K</v>
      </c>
      <c r="E163" t="str">
        <f>Team_Matches!$A2067</f>
        <v>3rd Singles</v>
      </c>
      <c r="F163" s="93" t="str">
        <f>IF(Team_Matches!$Q2069&lt;&gt;"",IF(Team_Matches!H2069&gt;Team_Matches!H2071,MIN(Team_Matches!H2069,Team_Matches!H2071),-MIN(Team_Matches!H2069,Team_Matches!H2071))*IF(Team_Matches!$Q2069="W",1,-1),"")</f>
        <v/>
      </c>
      <c r="G163" s="93" t="str">
        <f>IF(Team_Matches!$Q2069&lt;&gt;"",IF(Team_Matches!I2069&gt;Team_Matches!I2071,MIN(Team_Matches!I2069,Team_Matches!I2071),-MIN(Team_Matches!I2069,Team_Matches!I2071))*IF(Team_Matches!$Q2069="W",1,-1),"")</f>
        <v/>
      </c>
      <c r="H163" s="93" t="str">
        <f>IF(Team_Matches!$Q2069&lt;&gt;"",IF(Team_Matches!J2069&gt;Team_Matches!J2071,MIN(Team_Matches!J2069,Team_Matches!J2071),-MIN(Team_Matches!J2069,Team_Matches!J2071))*IF(Team_Matches!$Q2069="W",1,-1),"")</f>
        <v/>
      </c>
      <c r="I163" s="93" t="str">
        <f>IF(Team_Matches!$Q2069&lt;&gt;"",IF(Team_Matches!K2069=Team_Matches!K2071,"",IF(Team_Matches!K2069&gt;Team_Matches!K2071,MIN(Team_Matches!K2069,Team_Matches!K2071),-MIN(Team_Matches!K2069,Team_Matches!K2071))*IF(Team_Matches!$Q2069="W",1,-1)),"")</f>
        <v/>
      </c>
      <c r="J163" s="93" t="str">
        <f>IF(Team_Matches!$Q2069&lt;&gt;"",IF(Team_Matches!L2069=Team_Matches!L2071,"",IF(Team_Matches!L2069&gt;Team_Matches!L2071,MIN(Team_Matches!L2069,Team_Matches!L2071),-MIN(Team_Matches!L2069,Team_Matches!L2071))*IF(Team_Matches!$Q2069="W",1,-1)),"")</f>
        <v/>
      </c>
    </row>
    <row r="164" spans="1:10">
      <c r="A164" s="68" t="e">
        <f ca="1">$B164&amp;";"&amp;VLOOKUP($B164,Players!$C$4:$G$132,5,FALSE)&amp;";"&amp;IF(ISERROR(VLOOKUP($B164,Players!$C$4:$G$132,2,FALSE)),0,VLOOKUP($B164,Players!$C$4:$G$132,2,FALSE))&amp;";"&amp;$C164&amp;";"&amp;VLOOKUP($C164,Players!$C$4:$G$132,5,FALSE)&amp;";"&amp;IF(ISERROR(VLOOKUP($C164,Players!$C$4:$G$132,2,FALSE)),0,VLOOKUP($C164,Players!$C$4:$G$132,2,FALSE))&amp;"|"</f>
        <v>#N/A</v>
      </c>
      <c r="B164" t="str">
        <f ca="1">IF(Team_Matches!$Q2076="W",Team_Matches!$B2076,IF(Team_Matches!$Q2078="W",Team_Matches!$B2078,""))</f>
        <v/>
      </c>
      <c r="C164" t="str">
        <f ca="1">IF(Team_Matches!$Q2076="L",Team_Matches!$B2076,IF(Team_Matches!$Q2078="L",Team_Matches!$B2078,""))</f>
        <v/>
      </c>
      <c r="D164" t="str">
        <f>CONCATENATE(Team_Matches!$B2049," vs ",Team_Matches!$K2049)</f>
        <v>C vs K</v>
      </c>
      <c r="E164" t="str">
        <f>Team_Matches!$A2074</f>
        <v>4th Singles</v>
      </c>
      <c r="F164" s="93" t="str">
        <f ca="1">IF(Team_Matches!$Q2076&lt;&gt;"",IF(Team_Matches!H2076&gt;Team_Matches!H2078,MIN(Team_Matches!H2076,Team_Matches!H2078),-MIN(Team_Matches!H2076,Team_Matches!H2078))*IF(Team_Matches!$Q2076="W",1,-1),"")</f>
        <v/>
      </c>
      <c r="G164" s="93" t="str">
        <f ca="1">IF(Team_Matches!$Q2076&lt;&gt;"",IF(Team_Matches!I2076&gt;Team_Matches!I2078,MIN(Team_Matches!I2076,Team_Matches!I2078),-MIN(Team_Matches!I2076,Team_Matches!I2078))*IF(Team_Matches!$Q2076="W",1,-1),"")</f>
        <v/>
      </c>
      <c r="H164" s="93" t="str">
        <f ca="1">IF(Team_Matches!$Q2076&lt;&gt;"",IF(Team_Matches!J2076&gt;Team_Matches!J2078,MIN(Team_Matches!J2076,Team_Matches!J2078),-MIN(Team_Matches!J2076,Team_Matches!J2078))*IF(Team_Matches!$Q2076="W",1,-1),"")</f>
        <v/>
      </c>
      <c r="I164" s="93" t="str">
        <f ca="1">IF(Team_Matches!$Q2076&lt;&gt;"",IF(Team_Matches!K2076=Team_Matches!K2078,"",IF(Team_Matches!K2076&gt;Team_Matches!K2078,MIN(Team_Matches!K2076,Team_Matches!K2078),-MIN(Team_Matches!K2076,Team_Matches!K2078))*IF(Team_Matches!$Q2076="W",1,-1)),"")</f>
        <v/>
      </c>
      <c r="J164" s="93" t="str">
        <f ca="1">IF(Team_Matches!$Q2076&lt;&gt;"",IF(Team_Matches!L2076=Team_Matches!L2078,"",IF(Team_Matches!L2076&gt;Team_Matches!L2078,MIN(Team_Matches!L2076,Team_Matches!L2078),-MIN(Team_Matches!L2076,Team_Matches!L2078))*IF(Team_Matches!$Q2076="W",1,-1)),"")</f>
        <v/>
      </c>
    </row>
    <row r="165" spans="1:10">
      <c r="A165" s="68" t="e">
        <f>$B165&amp;";"&amp;VLOOKUP($B165,Players!$C$4:$G$132,5,FALSE)&amp;";"&amp;IF(ISERROR(VLOOKUP($B165,Players!$C$4:$G$132,2,FALSE)),0,VLOOKUP($B165,Players!$C$4:$G$132,2,FALSE))&amp;";"&amp;$C165&amp;";"&amp;VLOOKUP($C165,Players!$C$4:$G$132,5,FALSE)&amp;";"&amp;IF(ISERROR(VLOOKUP($C165,Players!$C$4:$G$132,2,FALSE)),0,VLOOKUP($C165,Players!$C$4:$G$132,2,FALSE))&amp;"|"</f>
        <v>#N/A</v>
      </c>
      <c r="B165" t="str">
        <f>IF(Team_Matches!$Q2106="W",Team_Matches!$B2106,IF(Team_Matches!$Q2108="W",Team_Matches!$B2108,""))</f>
        <v/>
      </c>
      <c r="C165" t="str">
        <f>IF(Team_Matches!$Q2106="L",Team_Matches!$B2106,IF(Team_Matches!$Q2108="L",Team_Matches!$B2108,""))</f>
        <v/>
      </c>
      <c r="D165" t="str">
        <f>CONCATENATE(Team_Matches!$B2100," vs ",Team_Matches!$K2100)</f>
        <v>C vs L</v>
      </c>
      <c r="E165" t="str">
        <f>Team_Matches!A2104</f>
        <v>1st Singles</v>
      </c>
      <c r="F165" s="93" t="str">
        <f>IF(Team_Matches!$Q2106&lt;&gt;"",IF(Team_Matches!H2106&gt;Team_Matches!H2108,MIN(Team_Matches!H2106,Team_Matches!H2108),-MIN(Team_Matches!H2106,Team_Matches!H2108))*IF(Team_Matches!$Q2106="W",1,-1),"")</f>
        <v/>
      </c>
      <c r="G165" s="93" t="str">
        <f>IF(Team_Matches!$Q2106&lt;&gt;"",IF(Team_Matches!I2106&gt;Team_Matches!I2108,MIN(Team_Matches!I2106,Team_Matches!I2108),-MIN(Team_Matches!I2106,Team_Matches!I2108))*IF(Team_Matches!$Q2106="W",1,-1),"")</f>
        <v/>
      </c>
      <c r="H165" s="93" t="str">
        <f>IF(Team_Matches!$Q2106&lt;&gt;"",IF(Team_Matches!J2106&gt;Team_Matches!J2108,MIN(Team_Matches!J2106,Team_Matches!J2108),-MIN(Team_Matches!J2106,Team_Matches!J2108))*IF(Team_Matches!$Q2106="W",1,-1),"")</f>
        <v/>
      </c>
      <c r="I165" s="93" t="str">
        <f>IF(Team_Matches!$Q2106&lt;&gt;"",IF(Team_Matches!K2106=Team_Matches!K2108,"",IF(Team_Matches!K2106&gt;Team_Matches!K2108,MIN(Team_Matches!K2106,Team_Matches!K2108),-MIN(Team_Matches!K2106,Team_Matches!K2108))*IF(Team_Matches!$Q2106="W",1,-1)),"")</f>
        <v/>
      </c>
      <c r="J165" s="93" t="str">
        <f>IF(Team_Matches!$Q2106&lt;&gt;"",IF(Team_Matches!L2106=Team_Matches!L2108,"",IF(Team_Matches!L2106&gt;Team_Matches!L2108,MIN(Team_Matches!L2106,Team_Matches!L2108),-MIN(Team_Matches!L2106,Team_Matches!L2108))*IF(Team_Matches!$Q2106="W",1,-1)),"")</f>
        <v/>
      </c>
    </row>
    <row r="166" spans="1:10">
      <c r="A166" s="68" t="e">
        <f>$B166&amp;";"&amp;VLOOKUP($B166,Players!$C$4:$G$132,5,FALSE)&amp;";"&amp;IF(ISERROR(VLOOKUP($B166,Players!$C$4:$G$132,2,FALSE)),0,VLOOKUP($B166,Players!$C$4:$G$132,2,FALSE))&amp;";"&amp;$C166&amp;";"&amp;VLOOKUP($C166,Players!$C$4:$G$132,5,FALSE)&amp;";"&amp;IF(ISERROR(VLOOKUP($C166,Players!$C$4:$G$132,2,FALSE)),0,VLOOKUP($C166,Players!$C$4:$G$132,2,FALSE))&amp;"|"</f>
        <v>#N/A</v>
      </c>
      <c r="B166" t="str">
        <f>IF(Team_Matches!$Q2113="W",Team_Matches!$B2113,IF(Team_Matches!$Q2115="W",Team_Matches!$B2115,""))</f>
        <v/>
      </c>
      <c r="C166" t="str">
        <f>IF(Team_Matches!$Q2113="L",Team_Matches!$B2113,IF(Team_Matches!$Q2115="L",Team_Matches!$B2115,""))</f>
        <v/>
      </c>
      <c r="D166" t="str">
        <f>CONCATENATE(Team_Matches!$B2100," vs ",Team_Matches!$K2100)</f>
        <v>C vs L</v>
      </c>
      <c r="E166" t="str">
        <f>Team_Matches!$A2111</f>
        <v>2nd Singles</v>
      </c>
      <c r="F166" s="93" t="str">
        <f>IF(Team_Matches!$Q2113&lt;&gt;"",IF(Team_Matches!H2113&gt;Team_Matches!H2115,MIN(Team_Matches!H2113,Team_Matches!H2115),-MIN(Team_Matches!H2113,Team_Matches!H2115))*IF(Team_Matches!$Q2113="W",1,-1),"")</f>
        <v/>
      </c>
      <c r="G166" s="93" t="str">
        <f>IF(Team_Matches!$Q2113&lt;&gt;"",IF(Team_Matches!I2113&gt;Team_Matches!I2115,MIN(Team_Matches!I2113,Team_Matches!I2115),-MIN(Team_Matches!I2113,Team_Matches!I2115))*IF(Team_Matches!$Q2113="W",1,-1),"")</f>
        <v/>
      </c>
      <c r="H166" s="93" t="str">
        <f>IF(Team_Matches!$Q2113&lt;&gt;"",IF(Team_Matches!J2113&gt;Team_Matches!J2115,MIN(Team_Matches!J2113,Team_Matches!J2115),-MIN(Team_Matches!J2113,Team_Matches!J2115))*IF(Team_Matches!$Q2113="W",1,-1),"")</f>
        <v/>
      </c>
      <c r="I166" s="93" t="str">
        <f>IF(Team_Matches!$Q2113&lt;&gt;"",IF(Team_Matches!K2113=Team_Matches!K2115,"",IF(Team_Matches!K2113&gt;Team_Matches!K2115,MIN(Team_Matches!K2113,Team_Matches!K2115),-MIN(Team_Matches!K2113,Team_Matches!K2115))*IF(Team_Matches!$Q2113="W",1,-1)),"")</f>
        <v/>
      </c>
      <c r="J166" s="93" t="str">
        <f>IF(Team_Matches!$Q2113&lt;&gt;"",IF(Team_Matches!L2113=Team_Matches!L2115,"",IF(Team_Matches!L2113&gt;Team_Matches!L2115,MIN(Team_Matches!L2113,Team_Matches!L2115),-MIN(Team_Matches!L2113,Team_Matches!L2115))*IF(Team_Matches!$Q2113="W",1,-1)),"")</f>
        <v/>
      </c>
    </row>
    <row r="167" spans="1:10">
      <c r="A167" s="68" t="e">
        <f>$B167&amp;";"&amp;VLOOKUP($B167,Players!$C$4:$G$132,5,FALSE)&amp;";"&amp;IF(ISERROR(VLOOKUP($B167,Players!$C$4:$G$132,2,FALSE)),0,VLOOKUP($B167,Players!$C$4:$G$132,2,FALSE))&amp;";"&amp;$C167&amp;";"&amp;VLOOKUP($C167,Players!$C$4:$G$132,5,FALSE)&amp;";"&amp;IF(ISERROR(VLOOKUP($C167,Players!$C$4:$G$132,2,FALSE)),0,VLOOKUP($C167,Players!$C$4:$G$132,2,FALSE))&amp;"|"</f>
        <v>#N/A</v>
      </c>
      <c r="B167" t="str">
        <f>IF(Team_Matches!$Q2120="W",Team_Matches!$B2120,IF(Team_Matches!$Q2122="W",Team_Matches!$B2122,""))</f>
        <v/>
      </c>
      <c r="C167" t="str">
        <f>IF(Team_Matches!$Q2120="L",Team_Matches!$B2120,IF(Team_Matches!$Q2122="L",Team_Matches!$B2122,""))</f>
        <v/>
      </c>
      <c r="D167" t="str">
        <f>CONCATENATE(Team_Matches!$B2100," vs ",Team_Matches!$K2100)</f>
        <v>C vs L</v>
      </c>
      <c r="E167" t="str">
        <f>Team_Matches!$A2118</f>
        <v>3rd Singles</v>
      </c>
      <c r="F167" s="93" t="str">
        <f>IF(Team_Matches!$Q2120&lt;&gt;"",IF(Team_Matches!H2120&gt;Team_Matches!H2122,MIN(Team_Matches!H2120,Team_Matches!H2122),-MIN(Team_Matches!H2120,Team_Matches!H2122))*IF(Team_Matches!$Q2120="W",1,-1),"")</f>
        <v/>
      </c>
      <c r="G167" s="93" t="str">
        <f>IF(Team_Matches!$Q2120&lt;&gt;"",IF(Team_Matches!I2120&gt;Team_Matches!I2122,MIN(Team_Matches!I2120,Team_Matches!I2122),-MIN(Team_Matches!I2120,Team_Matches!I2122))*IF(Team_Matches!$Q2120="W",1,-1),"")</f>
        <v/>
      </c>
      <c r="H167" s="93" t="str">
        <f>IF(Team_Matches!$Q2120&lt;&gt;"",IF(Team_Matches!J2120&gt;Team_Matches!J2122,MIN(Team_Matches!J2120,Team_Matches!J2122),-MIN(Team_Matches!J2120,Team_Matches!J2122))*IF(Team_Matches!$Q2120="W",1,-1),"")</f>
        <v/>
      </c>
      <c r="I167" s="93" t="str">
        <f>IF(Team_Matches!$Q2120&lt;&gt;"",IF(Team_Matches!K2120=Team_Matches!K2122,"",IF(Team_Matches!K2120&gt;Team_Matches!K2122,MIN(Team_Matches!K2120,Team_Matches!K2122),-MIN(Team_Matches!K2120,Team_Matches!K2122))*IF(Team_Matches!$Q2120="W",1,-1)),"")</f>
        <v/>
      </c>
      <c r="J167" s="93" t="str">
        <f>IF(Team_Matches!$Q2120&lt;&gt;"",IF(Team_Matches!L2120=Team_Matches!L2122,"",IF(Team_Matches!L2120&gt;Team_Matches!L2122,MIN(Team_Matches!L2120,Team_Matches!L2122),-MIN(Team_Matches!L2120,Team_Matches!L2122))*IF(Team_Matches!$Q2120="W",1,-1)),"")</f>
        <v/>
      </c>
    </row>
    <row r="168" spans="1:10">
      <c r="A168" s="68" t="e">
        <f ca="1">$B168&amp;";"&amp;VLOOKUP($B168,Players!$C$4:$G$132,5,FALSE)&amp;";"&amp;IF(ISERROR(VLOOKUP($B168,Players!$C$4:$G$132,2,FALSE)),0,VLOOKUP($B168,Players!$C$4:$G$132,2,FALSE))&amp;";"&amp;$C168&amp;";"&amp;VLOOKUP($C168,Players!$C$4:$G$132,5,FALSE)&amp;";"&amp;IF(ISERROR(VLOOKUP($C168,Players!$C$4:$G$132,2,FALSE)),0,VLOOKUP($C168,Players!$C$4:$G$132,2,FALSE))&amp;"|"</f>
        <v>#N/A</v>
      </c>
      <c r="B168" t="str">
        <f ca="1">IF(Team_Matches!$Q2127="W",Team_Matches!$B2127,IF(Team_Matches!$Q2129="W",Team_Matches!$B2129,""))</f>
        <v/>
      </c>
      <c r="C168" t="str">
        <f ca="1">IF(Team_Matches!$Q2127="L",Team_Matches!$B2127,IF(Team_Matches!$Q2129="L",Team_Matches!$B2129,""))</f>
        <v/>
      </c>
      <c r="D168" t="str">
        <f>CONCATENATE(Team_Matches!$B2100," vs ",Team_Matches!$K2100)</f>
        <v>C vs L</v>
      </c>
      <c r="E168" t="str">
        <f>Team_Matches!$A2125</f>
        <v>4th Singles</v>
      </c>
      <c r="F168" s="93" t="str">
        <f ca="1">IF(Team_Matches!$Q2127&lt;&gt;"",IF(Team_Matches!H2127&gt;Team_Matches!H2129,MIN(Team_Matches!H2127,Team_Matches!H2129),-MIN(Team_Matches!H2127,Team_Matches!H2129))*IF(Team_Matches!$Q2127="W",1,-1),"")</f>
        <v/>
      </c>
      <c r="G168" s="93" t="str">
        <f ca="1">IF(Team_Matches!$Q2127&lt;&gt;"",IF(Team_Matches!I2127&gt;Team_Matches!I2129,MIN(Team_Matches!I2127,Team_Matches!I2129),-MIN(Team_Matches!I2127,Team_Matches!I2129))*IF(Team_Matches!$Q2127="W",1,-1),"")</f>
        <v/>
      </c>
      <c r="H168" s="93" t="str">
        <f ca="1">IF(Team_Matches!$Q2127&lt;&gt;"",IF(Team_Matches!J2127&gt;Team_Matches!J2129,MIN(Team_Matches!J2127,Team_Matches!J2129),-MIN(Team_Matches!J2127,Team_Matches!J2129))*IF(Team_Matches!$Q2127="W",1,-1),"")</f>
        <v/>
      </c>
      <c r="I168" s="93" t="str">
        <f ca="1">IF(Team_Matches!$Q2127&lt;&gt;"",IF(Team_Matches!K2127=Team_Matches!K2129,"",IF(Team_Matches!K2127&gt;Team_Matches!K2129,MIN(Team_Matches!K2127,Team_Matches!K2129),-MIN(Team_Matches!K2127,Team_Matches!K2129))*IF(Team_Matches!$Q2127="W",1,-1)),"")</f>
        <v/>
      </c>
      <c r="J168" s="93" t="str">
        <f ca="1">IF(Team_Matches!$Q2127&lt;&gt;"",IF(Team_Matches!L2127=Team_Matches!L2129,"",IF(Team_Matches!L2127&gt;Team_Matches!L2129,MIN(Team_Matches!L2127,Team_Matches!L2129),-MIN(Team_Matches!L2127,Team_Matches!L2129))*IF(Team_Matches!$Q2127="W",1,-1)),"")</f>
        <v/>
      </c>
    </row>
    <row r="169" spans="1:10">
      <c r="A169" s="68" t="e">
        <f>$B169&amp;";"&amp;VLOOKUP($B169,Players!$C$4:$G$132,5,FALSE)&amp;";"&amp;IF(ISERROR(VLOOKUP($B169,Players!$C$4:$G$132,2,FALSE)),0,VLOOKUP($B169,Players!$C$4:$G$132,2,FALSE))&amp;";"&amp;$C169&amp;";"&amp;VLOOKUP($C169,Players!$C$4:$G$132,5,FALSE)&amp;";"&amp;IF(ISERROR(VLOOKUP($C169,Players!$C$4:$G$132,2,FALSE)),0,VLOOKUP($C169,Players!$C$4:$G$132,2,FALSE))&amp;"|"</f>
        <v>#N/A</v>
      </c>
      <c r="B169" t="str">
        <f>IF(Team_Matches!$Q2157="W",Team_Matches!$B2157,IF(Team_Matches!$Q2159="W",Team_Matches!$B2159,""))</f>
        <v/>
      </c>
      <c r="C169" t="str">
        <f>IF(Team_Matches!$Q2157="L",Team_Matches!$B2157,IF(Team_Matches!$Q2159="L",Team_Matches!$B2159,""))</f>
        <v/>
      </c>
      <c r="D169" t="str">
        <f>CONCATENATE(Team_Matches!$B2151," vs ",Team_Matches!$K2151)</f>
        <v>D vs E</v>
      </c>
      <c r="E169" t="str">
        <f>Team_Matches!A2155</f>
        <v>1st Singles</v>
      </c>
      <c r="F169" s="93" t="str">
        <f>IF(Team_Matches!$Q2157&lt;&gt;"",IF(Team_Matches!H2157&gt;Team_Matches!H2159,MIN(Team_Matches!H2157,Team_Matches!H2159),-MIN(Team_Matches!H2157,Team_Matches!H2159))*IF(Team_Matches!$Q2157="W",1,-1),"")</f>
        <v/>
      </c>
      <c r="G169" s="93" t="str">
        <f>IF(Team_Matches!$Q2157&lt;&gt;"",IF(Team_Matches!I2157&gt;Team_Matches!I2159,MIN(Team_Matches!I2157,Team_Matches!I2159),-MIN(Team_Matches!I2157,Team_Matches!I2159))*IF(Team_Matches!$Q2157="W",1,-1),"")</f>
        <v/>
      </c>
      <c r="H169" s="93" t="str">
        <f>IF(Team_Matches!$Q2157&lt;&gt;"",IF(Team_Matches!J2157&gt;Team_Matches!J2159,MIN(Team_Matches!J2157,Team_Matches!J2159),-MIN(Team_Matches!J2157,Team_Matches!J2159))*IF(Team_Matches!$Q2157="W",1,-1),"")</f>
        <v/>
      </c>
      <c r="I169" s="93" t="str">
        <f>IF(Team_Matches!$Q2157&lt;&gt;"",IF(Team_Matches!K2157=Team_Matches!K2159,"",IF(Team_Matches!K2157&gt;Team_Matches!K2159,MIN(Team_Matches!K2157,Team_Matches!K2159),-MIN(Team_Matches!K2157,Team_Matches!K2159))*IF(Team_Matches!$Q2157="W",1,-1)),"")</f>
        <v/>
      </c>
      <c r="J169" s="93" t="str">
        <f>IF(Team_Matches!$Q2157&lt;&gt;"",IF(Team_Matches!L2157=Team_Matches!L2159,"",IF(Team_Matches!L2157&gt;Team_Matches!L2159,MIN(Team_Matches!L2157,Team_Matches!L2159),-MIN(Team_Matches!L2157,Team_Matches!L2159))*IF(Team_Matches!$Q2157="W",1,-1)),"")</f>
        <v/>
      </c>
    </row>
    <row r="170" spans="1:10">
      <c r="A170" s="68" t="e">
        <f>$B170&amp;";"&amp;VLOOKUP($B170,Players!$C$4:$G$132,5,FALSE)&amp;";"&amp;IF(ISERROR(VLOOKUP($B170,Players!$C$4:$G$132,2,FALSE)),0,VLOOKUP($B170,Players!$C$4:$G$132,2,FALSE))&amp;";"&amp;$C170&amp;";"&amp;VLOOKUP($C170,Players!$C$4:$G$132,5,FALSE)&amp;";"&amp;IF(ISERROR(VLOOKUP($C170,Players!$C$4:$G$132,2,FALSE)),0,VLOOKUP($C170,Players!$C$4:$G$132,2,FALSE))&amp;"|"</f>
        <v>#N/A</v>
      </c>
      <c r="B170" t="str">
        <f>IF(Team_Matches!$Q2164="W",Team_Matches!$B2164,IF(Team_Matches!$Q2166="W",Team_Matches!$B2166,""))</f>
        <v/>
      </c>
      <c r="C170" t="str">
        <f>IF(Team_Matches!$Q2164="L",Team_Matches!$B2164,IF(Team_Matches!$Q2166="L",Team_Matches!$B2166,""))</f>
        <v/>
      </c>
      <c r="D170" t="str">
        <f>CONCATENATE(Team_Matches!$B2151," vs ",Team_Matches!$K2151)</f>
        <v>D vs E</v>
      </c>
      <c r="E170" t="str">
        <f>Team_Matches!$A2162</f>
        <v>2nd Singles</v>
      </c>
      <c r="F170" s="93" t="str">
        <f>IF(Team_Matches!$Q2164&lt;&gt;"",IF(Team_Matches!H2164&gt;Team_Matches!H2166,MIN(Team_Matches!H2164,Team_Matches!H2166),-MIN(Team_Matches!H2164,Team_Matches!H2166))*IF(Team_Matches!$Q2164="W",1,-1),"")</f>
        <v/>
      </c>
      <c r="G170" s="93" t="str">
        <f>IF(Team_Matches!$Q2164&lt;&gt;"",IF(Team_Matches!I2164&gt;Team_Matches!I2166,MIN(Team_Matches!I2164,Team_Matches!I2166),-MIN(Team_Matches!I2164,Team_Matches!I2166))*IF(Team_Matches!$Q2164="W",1,-1),"")</f>
        <v/>
      </c>
      <c r="H170" s="93" t="str">
        <f>IF(Team_Matches!$Q2164&lt;&gt;"",IF(Team_Matches!J2164&gt;Team_Matches!J2166,MIN(Team_Matches!J2164,Team_Matches!J2166),-MIN(Team_Matches!J2164,Team_Matches!J2166))*IF(Team_Matches!$Q2164="W",1,-1),"")</f>
        <v/>
      </c>
      <c r="I170" s="93" t="str">
        <f>IF(Team_Matches!$Q2164&lt;&gt;"",IF(Team_Matches!K2164=Team_Matches!K2166,"",IF(Team_Matches!K2164&gt;Team_Matches!K2166,MIN(Team_Matches!K2164,Team_Matches!K2166),-MIN(Team_Matches!K2164,Team_Matches!K2166))*IF(Team_Matches!$Q2164="W",1,-1)),"")</f>
        <v/>
      </c>
      <c r="J170" s="93" t="str">
        <f>IF(Team_Matches!$Q2164&lt;&gt;"",IF(Team_Matches!L2164=Team_Matches!L2166,"",IF(Team_Matches!L2164&gt;Team_Matches!L2166,MIN(Team_Matches!L2164,Team_Matches!L2166),-MIN(Team_Matches!L2164,Team_Matches!L2166))*IF(Team_Matches!$Q2164="W",1,-1)),"")</f>
        <v/>
      </c>
    </row>
    <row r="171" spans="1:10">
      <c r="A171" s="68" t="e">
        <f>$B171&amp;";"&amp;VLOOKUP($B171,Players!$C$4:$G$132,5,FALSE)&amp;";"&amp;IF(ISERROR(VLOOKUP($B171,Players!$C$4:$G$132,2,FALSE)),0,VLOOKUP($B171,Players!$C$4:$G$132,2,FALSE))&amp;";"&amp;$C171&amp;";"&amp;VLOOKUP($C171,Players!$C$4:$G$132,5,FALSE)&amp;";"&amp;IF(ISERROR(VLOOKUP($C171,Players!$C$4:$G$132,2,FALSE)),0,VLOOKUP($C171,Players!$C$4:$G$132,2,FALSE))&amp;"|"</f>
        <v>#N/A</v>
      </c>
      <c r="B171" t="str">
        <f>IF(Team_Matches!$Q2171="W",Team_Matches!$B2171,IF(Team_Matches!$Q2173="W",Team_Matches!$B2173,""))</f>
        <v/>
      </c>
      <c r="C171" t="str">
        <f>IF(Team_Matches!$Q2171="L",Team_Matches!$B2171,IF(Team_Matches!$Q2173="L",Team_Matches!$B2173,""))</f>
        <v/>
      </c>
      <c r="D171" t="str">
        <f>CONCATENATE(Team_Matches!$B2151," vs ",Team_Matches!$K2151)</f>
        <v>D vs E</v>
      </c>
      <c r="E171" t="str">
        <f>Team_Matches!$A2169</f>
        <v>3rd Singles</v>
      </c>
      <c r="F171" s="93" t="str">
        <f>IF(Team_Matches!$Q2171&lt;&gt;"",IF(Team_Matches!H2171&gt;Team_Matches!H2173,MIN(Team_Matches!H2171,Team_Matches!H2173),-MIN(Team_Matches!H2171,Team_Matches!H2173))*IF(Team_Matches!$Q2171="W",1,-1),"")</f>
        <v/>
      </c>
      <c r="G171" s="93" t="str">
        <f>IF(Team_Matches!$Q2171&lt;&gt;"",IF(Team_Matches!I2171&gt;Team_Matches!I2173,MIN(Team_Matches!I2171,Team_Matches!I2173),-MIN(Team_Matches!I2171,Team_Matches!I2173))*IF(Team_Matches!$Q2171="W",1,-1),"")</f>
        <v/>
      </c>
      <c r="H171" s="93" t="str">
        <f>IF(Team_Matches!$Q2171&lt;&gt;"",IF(Team_Matches!J2171&gt;Team_Matches!J2173,MIN(Team_Matches!J2171,Team_Matches!J2173),-MIN(Team_Matches!J2171,Team_Matches!J2173))*IF(Team_Matches!$Q2171="W",1,-1),"")</f>
        <v/>
      </c>
      <c r="I171" s="93" t="str">
        <f>IF(Team_Matches!$Q2171&lt;&gt;"",IF(Team_Matches!K2171=Team_Matches!K2173,"",IF(Team_Matches!K2171&gt;Team_Matches!K2173,MIN(Team_Matches!K2171,Team_Matches!K2173),-MIN(Team_Matches!K2171,Team_Matches!K2173))*IF(Team_Matches!$Q2171="W",1,-1)),"")</f>
        <v/>
      </c>
      <c r="J171" s="93" t="str">
        <f>IF(Team_Matches!$Q2171&lt;&gt;"",IF(Team_Matches!L2171=Team_Matches!L2173,"",IF(Team_Matches!L2171&gt;Team_Matches!L2173,MIN(Team_Matches!L2171,Team_Matches!L2173),-MIN(Team_Matches!L2171,Team_Matches!L2173))*IF(Team_Matches!$Q2171="W",1,-1)),"")</f>
        <v/>
      </c>
    </row>
    <row r="172" spans="1:10">
      <c r="A172" s="68" t="e">
        <f ca="1">$B172&amp;";"&amp;VLOOKUP($B172,Players!$C$4:$G$132,5,FALSE)&amp;";"&amp;IF(ISERROR(VLOOKUP($B172,Players!$C$4:$G$132,2,FALSE)),0,VLOOKUP($B172,Players!$C$4:$G$132,2,FALSE))&amp;";"&amp;$C172&amp;";"&amp;VLOOKUP($C172,Players!$C$4:$G$132,5,FALSE)&amp;";"&amp;IF(ISERROR(VLOOKUP($C172,Players!$C$4:$G$132,2,FALSE)),0,VLOOKUP($C172,Players!$C$4:$G$132,2,FALSE))&amp;"|"</f>
        <v>#N/A</v>
      </c>
      <c r="B172" t="str">
        <f ca="1">IF(Team_Matches!$Q2178="W",Team_Matches!$B2178,IF(Team_Matches!$Q2180="W",Team_Matches!$B2180,""))</f>
        <v/>
      </c>
      <c r="C172" t="str">
        <f ca="1">IF(Team_Matches!$Q2178="L",Team_Matches!$B2178,IF(Team_Matches!$Q2180="L",Team_Matches!$B2180,""))</f>
        <v/>
      </c>
      <c r="D172" t="str">
        <f>CONCATENATE(Team_Matches!$B2151," vs ",Team_Matches!$K2151)</f>
        <v>D vs E</v>
      </c>
      <c r="E172" t="str">
        <f>Team_Matches!$A2176</f>
        <v>4th Singles</v>
      </c>
      <c r="F172" s="93" t="str">
        <f ca="1">IF(Team_Matches!$Q2178&lt;&gt;"",IF(Team_Matches!H2178&gt;Team_Matches!H2180,MIN(Team_Matches!H2178,Team_Matches!H2180),-MIN(Team_Matches!H2178,Team_Matches!H2180))*IF(Team_Matches!$Q2178="W",1,-1),"")</f>
        <v/>
      </c>
      <c r="G172" s="93" t="str">
        <f ca="1">IF(Team_Matches!$Q2178&lt;&gt;"",IF(Team_Matches!I2178&gt;Team_Matches!I2180,MIN(Team_Matches!I2178,Team_Matches!I2180),-MIN(Team_Matches!I2178,Team_Matches!I2180))*IF(Team_Matches!$Q2178="W",1,-1),"")</f>
        <v/>
      </c>
      <c r="H172" s="93" t="str">
        <f ca="1">IF(Team_Matches!$Q2178&lt;&gt;"",IF(Team_Matches!J2178&gt;Team_Matches!J2180,MIN(Team_Matches!J2178,Team_Matches!J2180),-MIN(Team_Matches!J2178,Team_Matches!J2180))*IF(Team_Matches!$Q2178="W",1,-1),"")</f>
        <v/>
      </c>
      <c r="I172" s="93" t="str">
        <f ca="1">IF(Team_Matches!$Q2178&lt;&gt;"",IF(Team_Matches!K2178=Team_Matches!K2180,"",IF(Team_Matches!K2178&gt;Team_Matches!K2180,MIN(Team_Matches!K2178,Team_Matches!K2180),-MIN(Team_Matches!K2178,Team_Matches!K2180))*IF(Team_Matches!$Q2178="W",1,-1)),"")</f>
        <v/>
      </c>
      <c r="J172" s="93" t="str">
        <f ca="1">IF(Team_Matches!$Q2178&lt;&gt;"",IF(Team_Matches!L2178=Team_Matches!L2180,"",IF(Team_Matches!L2178&gt;Team_Matches!L2180,MIN(Team_Matches!L2178,Team_Matches!L2180),-MIN(Team_Matches!L2178,Team_Matches!L2180))*IF(Team_Matches!$Q2178="W",1,-1)),"")</f>
        <v/>
      </c>
    </row>
    <row r="173" spans="1:10">
      <c r="A173" s="68" t="e">
        <f>$B173&amp;";"&amp;VLOOKUP($B173,Players!$C$4:$G$132,5,FALSE)&amp;";"&amp;IF(ISERROR(VLOOKUP($B173,Players!$C$4:$G$132,2,FALSE)),0,VLOOKUP($B173,Players!$C$4:$G$132,2,FALSE))&amp;";"&amp;$C173&amp;";"&amp;VLOOKUP($C173,Players!$C$4:$G$132,5,FALSE)&amp;";"&amp;IF(ISERROR(VLOOKUP($C173,Players!$C$4:$G$132,2,FALSE)),0,VLOOKUP($C173,Players!$C$4:$G$132,2,FALSE))&amp;"|"</f>
        <v>#N/A</v>
      </c>
      <c r="B173" t="str">
        <f>IF(Team_Matches!$Q2208="W",Team_Matches!$B2208,IF(Team_Matches!$Q2210="W",Team_Matches!$B2210,""))</f>
        <v/>
      </c>
      <c r="C173" t="str">
        <f>IF(Team_Matches!$Q2208="L",Team_Matches!$B2208,IF(Team_Matches!$Q2210="L",Team_Matches!$B2210,""))</f>
        <v/>
      </c>
      <c r="D173" t="str">
        <f>CONCATENATE(Team_Matches!$B2202," vs ",Team_Matches!$K2202)</f>
        <v>D vs F</v>
      </c>
      <c r="E173" t="str">
        <f>Team_Matches!A2206</f>
        <v>1st Singles</v>
      </c>
      <c r="F173" s="93" t="str">
        <f>IF(Team_Matches!$Q2208&lt;&gt;"",IF(Team_Matches!H2208&gt;Team_Matches!H2210,MIN(Team_Matches!H2208,Team_Matches!H2210),-MIN(Team_Matches!H2208,Team_Matches!H2210))*IF(Team_Matches!$Q2208="W",1,-1),"")</f>
        <v/>
      </c>
      <c r="G173" s="93" t="str">
        <f>IF(Team_Matches!$Q2208&lt;&gt;"",IF(Team_Matches!I2208&gt;Team_Matches!I2210,MIN(Team_Matches!I2208,Team_Matches!I2210),-MIN(Team_Matches!I2208,Team_Matches!I2210))*IF(Team_Matches!$Q2208="W",1,-1),"")</f>
        <v/>
      </c>
      <c r="H173" s="93" t="str">
        <f>IF(Team_Matches!$Q2208&lt;&gt;"",IF(Team_Matches!J2208&gt;Team_Matches!J2210,MIN(Team_Matches!J2208,Team_Matches!J2210),-MIN(Team_Matches!J2208,Team_Matches!J2210))*IF(Team_Matches!$Q2208="W",1,-1),"")</f>
        <v/>
      </c>
      <c r="I173" s="93" t="str">
        <f>IF(Team_Matches!$Q2208&lt;&gt;"",IF(Team_Matches!K2208=Team_Matches!K2210,"",IF(Team_Matches!K2208&gt;Team_Matches!K2210,MIN(Team_Matches!K2208,Team_Matches!K2210),-MIN(Team_Matches!K2208,Team_Matches!K2210))*IF(Team_Matches!$Q2208="W",1,-1)),"")</f>
        <v/>
      </c>
      <c r="J173" s="93" t="str">
        <f>IF(Team_Matches!$Q2208&lt;&gt;"",IF(Team_Matches!L2208=Team_Matches!L2210,"",IF(Team_Matches!L2208&gt;Team_Matches!L2210,MIN(Team_Matches!L2208,Team_Matches!L2210),-MIN(Team_Matches!L2208,Team_Matches!L2210))*IF(Team_Matches!$Q2208="W",1,-1)),"")</f>
        <v/>
      </c>
    </row>
    <row r="174" spans="1:10">
      <c r="A174" s="68" t="e">
        <f>$B174&amp;";"&amp;VLOOKUP($B174,Players!$C$4:$G$132,5,FALSE)&amp;";"&amp;IF(ISERROR(VLOOKUP($B174,Players!$C$4:$G$132,2,FALSE)),0,VLOOKUP($B174,Players!$C$4:$G$132,2,FALSE))&amp;";"&amp;$C174&amp;";"&amp;VLOOKUP($C174,Players!$C$4:$G$132,5,FALSE)&amp;";"&amp;IF(ISERROR(VLOOKUP($C174,Players!$C$4:$G$132,2,FALSE)),0,VLOOKUP($C174,Players!$C$4:$G$132,2,FALSE))&amp;"|"</f>
        <v>#N/A</v>
      </c>
      <c r="B174" t="str">
        <f>IF(Team_Matches!$Q2215="W",Team_Matches!$B2215,IF(Team_Matches!$Q2217="W",Team_Matches!$B2217,""))</f>
        <v/>
      </c>
      <c r="C174" t="str">
        <f>IF(Team_Matches!$Q2215="L",Team_Matches!$B2215,IF(Team_Matches!$Q2217="L",Team_Matches!$B2217,""))</f>
        <v/>
      </c>
      <c r="D174" t="str">
        <f>CONCATENATE(Team_Matches!$B2202," vs ",Team_Matches!$K2202)</f>
        <v>D vs F</v>
      </c>
      <c r="E174" t="str">
        <f>Team_Matches!$A2213</f>
        <v>2nd Singles</v>
      </c>
      <c r="F174" s="93" t="str">
        <f>IF(Team_Matches!$Q2215&lt;&gt;"",IF(Team_Matches!H2215&gt;Team_Matches!H2217,MIN(Team_Matches!H2215,Team_Matches!H2217),-MIN(Team_Matches!H2215,Team_Matches!H2217))*IF(Team_Matches!$Q2215="W",1,-1),"")</f>
        <v/>
      </c>
      <c r="G174" s="93" t="str">
        <f>IF(Team_Matches!$Q2215&lt;&gt;"",IF(Team_Matches!I2215&gt;Team_Matches!I2217,MIN(Team_Matches!I2215,Team_Matches!I2217),-MIN(Team_Matches!I2215,Team_Matches!I2217))*IF(Team_Matches!$Q2215="W",1,-1),"")</f>
        <v/>
      </c>
      <c r="H174" s="93" t="str">
        <f>IF(Team_Matches!$Q2215&lt;&gt;"",IF(Team_Matches!J2215&gt;Team_Matches!J2217,MIN(Team_Matches!J2215,Team_Matches!J2217),-MIN(Team_Matches!J2215,Team_Matches!J2217))*IF(Team_Matches!$Q2215="W",1,-1),"")</f>
        <v/>
      </c>
      <c r="I174" s="93" t="str">
        <f>IF(Team_Matches!$Q2215&lt;&gt;"",IF(Team_Matches!K2215=Team_Matches!K2217,"",IF(Team_Matches!K2215&gt;Team_Matches!K2217,MIN(Team_Matches!K2215,Team_Matches!K2217),-MIN(Team_Matches!K2215,Team_Matches!K2217))*IF(Team_Matches!$Q2215="W",1,-1)),"")</f>
        <v/>
      </c>
      <c r="J174" s="93" t="str">
        <f>IF(Team_Matches!$Q2215&lt;&gt;"",IF(Team_Matches!L2215=Team_Matches!L2217,"",IF(Team_Matches!L2215&gt;Team_Matches!L2217,MIN(Team_Matches!L2215,Team_Matches!L2217),-MIN(Team_Matches!L2215,Team_Matches!L2217))*IF(Team_Matches!$Q2215="W",1,-1)),"")</f>
        <v/>
      </c>
    </row>
    <row r="175" spans="1:10">
      <c r="A175" s="68" t="e">
        <f>$B175&amp;";"&amp;VLOOKUP($B175,Players!$C$4:$G$132,5,FALSE)&amp;";"&amp;IF(ISERROR(VLOOKUP($B175,Players!$C$4:$G$132,2,FALSE)),0,VLOOKUP($B175,Players!$C$4:$G$132,2,FALSE))&amp;";"&amp;$C175&amp;";"&amp;VLOOKUP($C175,Players!$C$4:$G$132,5,FALSE)&amp;";"&amp;IF(ISERROR(VLOOKUP($C175,Players!$C$4:$G$132,2,FALSE)),0,VLOOKUP($C175,Players!$C$4:$G$132,2,FALSE))&amp;"|"</f>
        <v>#N/A</v>
      </c>
      <c r="B175" t="str">
        <f>IF(Team_Matches!$Q2222="W",Team_Matches!$B2222,IF(Team_Matches!$Q2224="W",Team_Matches!$B2224,""))</f>
        <v/>
      </c>
      <c r="C175" t="str">
        <f>IF(Team_Matches!$Q2222="L",Team_Matches!$B2222,IF(Team_Matches!$Q2224="L",Team_Matches!$B2224,""))</f>
        <v/>
      </c>
      <c r="D175" t="str">
        <f>CONCATENATE(Team_Matches!$B2202," vs ",Team_Matches!$K2202)</f>
        <v>D vs F</v>
      </c>
      <c r="E175" t="str">
        <f>Team_Matches!$A2220</f>
        <v>3rd Singles</v>
      </c>
      <c r="F175" s="93" t="str">
        <f>IF(Team_Matches!$Q2222&lt;&gt;"",IF(Team_Matches!H2222&gt;Team_Matches!H2224,MIN(Team_Matches!H2222,Team_Matches!H2224),-MIN(Team_Matches!H2222,Team_Matches!H2224))*IF(Team_Matches!$Q2222="W",1,-1),"")</f>
        <v/>
      </c>
      <c r="G175" s="93" t="str">
        <f>IF(Team_Matches!$Q2222&lt;&gt;"",IF(Team_Matches!I2222&gt;Team_Matches!I2224,MIN(Team_Matches!I2222,Team_Matches!I2224),-MIN(Team_Matches!I2222,Team_Matches!I2224))*IF(Team_Matches!$Q2222="W",1,-1),"")</f>
        <v/>
      </c>
      <c r="H175" s="93" t="str">
        <f>IF(Team_Matches!$Q2222&lt;&gt;"",IF(Team_Matches!J2222&gt;Team_Matches!J2224,MIN(Team_Matches!J2222,Team_Matches!J2224),-MIN(Team_Matches!J2222,Team_Matches!J2224))*IF(Team_Matches!$Q2222="W",1,-1),"")</f>
        <v/>
      </c>
      <c r="I175" s="93" t="str">
        <f>IF(Team_Matches!$Q2222&lt;&gt;"",IF(Team_Matches!K2222=Team_Matches!K2224,"",IF(Team_Matches!K2222&gt;Team_Matches!K2224,MIN(Team_Matches!K2222,Team_Matches!K2224),-MIN(Team_Matches!K2222,Team_Matches!K2224))*IF(Team_Matches!$Q2222="W",1,-1)),"")</f>
        <v/>
      </c>
      <c r="J175" s="93" t="str">
        <f>IF(Team_Matches!$Q2222&lt;&gt;"",IF(Team_Matches!L2222=Team_Matches!L2224,"",IF(Team_Matches!L2222&gt;Team_Matches!L2224,MIN(Team_Matches!L2222,Team_Matches!L2224),-MIN(Team_Matches!L2222,Team_Matches!L2224))*IF(Team_Matches!$Q2222="W",1,-1)),"")</f>
        <v/>
      </c>
    </row>
    <row r="176" spans="1:10">
      <c r="A176" s="68" t="e">
        <f ca="1">$B176&amp;";"&amp;VLOOKUP($B176,Players!$C$4:$G$132,5,FALSE)&amp;";"&amp;IF(ISERROR(VLOOKUP($B176,Players!$C$4:$G$132,2,FALSE)),0,VLOOKUP($B176,Players!$C$4:$G$132,2,FALSE))&amp;";"&amp;$C176&amp;";"&amp;VLOOKUP($C176,Players!$C$4:$G$132,5,FALSE)&amp;";"&amp;IF(ISERROR(VLOOKUP($C176,Players!$C$4:$G$132,2,FALSE)),0,VLOOKUP($C176,Players!$C$4:$G$132,2,FALSE))&amp;"|"</f>
        <v>#N/A</v>
      </c>
      <c r="B176" t="str">
        <f ca="1">IF(Team_Matches!$Q2229="W",Team_Matches!$B2229,IF(Team_Matches!$Q2231="W",Team_Matches!$B2231,""))</f>
        <v/>
      </c>
      <c r="C176" t="str">
        <f ca="1">IF(Team_Matches!$Q2229="L",Team_Matches!$B2229,IF(Team_Matches!$Q2231="L",Team_Matches!$B2231,""))</f>
        <v/>
      </c>
      <c r="D176" t="str">
        <f>CONCATENATE(Team_Matches!$B2202," vs ",Team_Matches!$K2202)</f>
        <v>D vs F</v>
      </c>
      <c r="E176" t="str">
        <f>Team_Matches!$A2227</f>
        <v>4th Singles</v>
      </c>
      <c r="F176" s="93" t="str">
        <f ca="1">IF(Team_Matches!$Q2229&lt;&gt;"",IF(Team_Matches!H2229&gt;Team_Matches!H2231,MIN(Team_Matches!H2229,Team_Matches!H2231),-MIN(Team_Matches!H2229,Team_Matches!H2231))*IF(Team_Matches!$Q2229="W",1,-1),"")</f>
        <v/>
      </c>
      <c r="G176" s="93" t="str">
        <f ca="1">IF(Team_Matches!$Q2229&lt;&gt;"",IF(Team_Matches!I2229&gt;Team_Matches!I2231,MIN(Team_Matches!I2229,Team_Matches!I2231),-MIN(Team_Matches!I2229,Team_Matches!I2231))*IF(Team_Matches!$Q2229="W",1,-1),"")</f>
        <v/>
      </c>
      <c r="H176" s="93" t="str">
        <f ca="1">IF(Team_Matches!$Q2229&lt;&gt;"",IF(Team_Matches!J2229&gt;Team_Matches!J2231,MIN(Team_Matches!J2229,Team_Matches!J2231),-MIN(Team_Matches!J2229,Team_Matches!J2231))*IF(Team_Matches!$Q2229="W",1,-1),"")</f>
        <v/>
      </c>
      <c r="I176" s="93" t="str">
        <f ca="1">IF(Team_Matches!$Q2229&lt;&gt;"",IF(Team_Matches!K2229=Team_Matches!K2231,"",IF(Team_Matches!K2229&gt;Team_Matches!K2231,MIN(Team_Matches!K2229,Team_Matches!K2231),-MIN(Team_Matches!K2229,Team_Matches!K2231))*IF(Team_Matches!$Q2229="W",1,-1)),"")</f>
        <v/>
      </c>
      <c r="J176" s="93" t="str">
        <f ca="1">IF(Team_Matches!$Q2229&lt;&gt;"",IF(Team_Matches!L2229=Team_Matches!L2231,"",IF(Team_Matches!L2229&gt;Team_Matches!L2231,MIN(Team_Matches!L2229,Team_Matches!L2231),-MIN(Team_Matches!L2229,Team_Matches!L2231))*IF(Team_Matches!$Q2229="W",1,-1)),"")</f>
        <v/>
      </c>
    </row>
    <row r="177" spans="1:10">
      <c r="A177" s="68" t="e">
        <f>$B177&amp;";"&amp;VLOOKUP($B177,Players!$C$4:$G$132,5,FALSE)&amp;";"&amp;IF(ISERROR(VLOOKUP($B177,Players!$C$4:$G$132,2,FALSE)),0,VLOOKUP($B177,Players!$C$4:$G$132,2,FALSE))&amp;";"&amp;$C177&amp;";"&amp;VLOOKUP($C177,Players!$C$4:$G$132,5,FALSE)&amp;";"&amp;IF(ISERROR(VLOOKUP($C177,Players!$C$4:$G$132,2,FALSE)),0,VLOOKUP($C177,Players!$C$4:$G$132,2,FALSE))&amp;"|"</f>
        <v>#N/A</v>
      </c>
      <c r="B177" t="str">
        <f>IF(Team_Matches!$Q2259="W",Team_Matches!$B2259,IF(Team_Matches!$Q2261="W",Team_Matches!$B2261,""))</f>
        <v/>
      </c>
      <c r="C177" t="str">
        <f>IF(Team_Matches!$Q2259="L",Team_Matches!$B2259,IF(Team_Matches!$Q2261="L",Team_Matches!$B2261,""))</f>
        <v/>
      </c>
      <c r="D177" t="str">
        <f>CONCATENATE(Team_Matches!$B2253," vs ",Team_Matches!$K2253)</f>
        <v>D vs G</v>
      </c>
      <c r="E177" t="str">
        <f>Team_Matches!A2257</f>
        <v>1st Singles</v>
      </c>
      <c r="F177" s="93" t="str">
        <f>IF(Team_Matches!$Q2259&lt;&gt;"",IF(Team_Matches!H2259&gt;Team_Matches!H2261,MIN(Team_Matches!H2259,Team_Matches!H2261),-MIN(Team_Matches!H2259,Team_Matches!H2261))*IF(Team_Matches!$Q2259="W",1,-1),"")</f>
        <v/>
      </c>
      <c r="G177" s="93" t="str">
        <f>IF(Team_Matches!$Q2259&lt;&gt;"",IF(Team_Matches!I2259&gt;Team_Matches!I2261,MIN(Team_Matches!I2259,Team_Matches!I2261),-MIN(Team_Matches!I2259,Team_Matches!I2261))*IF(Team_Matches!$Q2259="W",1,-1),"")</f>
        <v/>
      </c>
      <c r="H177" s="93" t="str">
        <f>IF(Team_Matches!$Q2259&lt;&gt;"",IF(Team_Matches!J2259&gt;Team_Matches!J2261,MIN(Team_Matches!J2259,Team_Matches!J2261),-MIN(Team_Matches!J2259,Team_Matches!J2261))*IF(Team_Matches!$Q2259="W",1,-1),"")</f>
        <v/>
      </c>
      <c r="I177" s="93" t="str">
        <f>IF(Team_Matches!$Q2259&lt;&gt;"",IF(Team_Matches!K2259=Team_Matches!K2261,"",IF(Team_Matches!K2259&gt;Team_Matches!K2261,MIN(Team_Matches!K2259,Team_Matches!K2261),-MIN(Team_Matches!K2259,Team_Matches!K2261))*IF(Team_Matches!$Q2259="W",1,-1)),"")</f>
        <v/>
      </c>
      <c r="J177" s="93" t="str">
        <f>IF(Team_Matches!$Q2259&lt;&gt;"",IF(Team_Matches!L2259=Team_Matches!L2261,"",IF(Team_Matches!L2259&gt;Team_Matches!L2261,MIN(Team_Matches!L2259,Team_Matches!L2261),-MIN(Team_Matches!L2259,Team_Matches!L2261))*IF(Team_Matches!$Q2259="W",1,-1)),"")</f>
        <v/>
      </c>
    </row>
    <row r="178" spans="1:10">
      <c r="A178" s="68" t="e">
        <f>$B178&amp;";"&amp;VLOOKUP($B178,Players!$C$4:$G$132,5,FALSE)&amp;";"&amp;IF(ISERROR(VLOOKUP($B178,Players!$C$4:$G$132,2,FALSE)),0,VLOOKUP($B178,Players!$C$4:$G$132,2,FALSE))&amp;";"&amp;$C178&amp;";"&amp;VLOOKUP($C178,Players!$C$4:$G$132,5,FALSE)&amp;";"&amp;IF(ISERROR(VLOOKUP($C178,Players!$C$4:$G$132,2,FALSE)),0,VLOOKUP($C178,Players!$C$4:$G$132,2,FALSE))&amp;"|"</f>
        <v>#N/A</v>
      </c>
      <c r="B178" t="str">
        <f>IF(Team_Matches!$Q2266="W",Team_Matches!$B2266,IF(Team_Matches!$Q2268="W",Team_Matches!$B2268,""))</f>
        <v/>
      </c>
      <c r="C178" t="str">
        <f>IF(Team_Matches!$Q2266="L",Team_Matches!$B2266,IF(Team_Matches!$Q2268="L",Team_Matches!$B2268,""))</f>
        <v/>
      </c>
      <c r="D178" t="str">
        <f>CONCATENATE(Team_Matches!$B2253," vs ",Team_Matches!$K2253)</f>
        <v>D vs G</v>
      </c>
      <c r="E178" t="str">
        <f>Team_Matches!$A2264</f>
        <v>2nd Singles</v>
      </c>
      <c r="F178" s="93" t="str">
        <f>IF(Team_Matches!$Q2266&lt;&gt;"",IF(Team_Matches!H2266&gt;Team_Matches!H2268,MIN(Team_Matches!H2266,Team_Matches!H2268),-MIN(Team_Matches!H2266,Team_Matches!H2268))*IF(Team_Matches!$Q2266="W",1,-1),"")</f>
        <v/>
      </c>
      <c r="G178" s="93" t="str">
        <f>IF(Team_Matches!$Q2266&lt;&gt;"",IF(Team_Matches!I2266&gt;Team_Matches!I2268,MIN(Team_Matches!I2266,Team_Matches!I2268),-MIN(Team_Matches!I2266,Team_Matches!I2268))*IF(Team_Matches!$Q2266="W",1,-1),"")</f>
        <v/>
      </c>
      <c r="H178" s="93" t="str">
        <f>IF(Team_Matches!$Q2266&lt;&gt;"",IF(Team_Matches!J2266&gt;Team_Matches!J2268,MIN(Team_Matches!J2266,Team_Matches!J2268),-MIN(Team_Matches!J2266,Team_Matches!J2268))*IF(Team_Matches!$Q2266="W",1,-1),"")</f>
        <v/>
      </c>
      <c r="I178" s="93" t="str">
        <f>IF(Team_Matches!$Q2266&lt;&gt;"",IF(Team_Matches!K2266=Team_Matches!K2268,"",IF(Team_Matches!K2266&gt;Team_Matches!K2268,MIN(Team_Matches!K2266,Team_Matches!K2268),-MIN(Team_Matches!K2266,Team_Matches!K2268))*IF(Team_Matches!$Q2266="W",1,-1)),"")</f>
        <v/>
      </c>
      <c r="J178" s="93" t="str">
        <f>IF(Team_Matches!$Q2266&lt;&gt;"",IF(Team_Matches!L2266=Team_Matches!L2268,"",IF(Team_Matches!L2266&gt;Team_Matches!L2268,MIN(Team_Matches!L2266,Team_Matches!L2268),-MIN(Team_Matches!L2266,Team_Matches!L2268))*IF(Team_Matches!$Q2266="W",1,-1)),"")</f>
        <v/>
      </c>
    </row>
    <row r="179" spans="1:10">
      <c r="A179" s="68" t="e">
        <f>$B179&amp;";"&amp;VLOOKUP($B179,Players!$C$4:$G$132,5,FALSE)&amp;";"&amp;IF(ISERROR(VLOOKUP($B179,Players!$C$4:$G$132,2,FALSE)),0,VLOOKUP($B179,Players!$C$4:$G$132,2,FALSE))&amp;";"&amp;$C179&amp;";"&amp;VLOOKUP($C179,Players!$C$4:$G$132,5,FALSE)&amp;";"&amp;IF(ISERROR(VLOOKUP($C179,Players!$C$4:$G$132,2,FALSE)),0,VLOOKUP($C179,Players!$C$4:$G$132,2,FALSE))&amp;"|"</f>
        <v>#N/A</v>
      </c>
      <c r="B179" t="str">
        <f>IF(Team_Matches!$Q2273="W",Team_Matches!$B2273,IF(Team_Matches!$Q2275="W",Team_Matches!$B2275,""))</f>
        <v/>
      </c>
      <c r="C179" t="str">
        <f>IF(Team_Matches!$Q2273="L",Team_Matches!$B2273,IF(Team_Matches!$Q2275="L",Team_Matches!$B2275,""))</f>
        <v/>
      </c>
      <c r="D179" t="str">
        <f>CONCATENATE(Team_Matches!$B2253," vs ",Team_Matches!$K2253)</f>
        <v>D vs G</v>
      </c>
      <c r="E179" t="str">
        <f>Team_Matches!$A2271</f>
        <v>3rd Singles</v>
      </c>
      <c r="F179" s="93" t="str">
        <f>IF(Team_Matches!$Q2273&lt;&gt;"",IF(Team_Matches!H2273&gt;Team_Matches!H2275,MIN(Team_Matches!H2273,Team_Matches!H2275),-MIN(Team_Matches!H2273,Team_Matches!H2275))*IF(Team_Matches!$Q2273="W",1,-1),"")</f>
        <v/>
      </c>
      <c r="G179" s="93" t="str">
        <f>IF(Team_Matches!$Q2273&lt;&gt;"",IF(Team_Matches!I2273&gt;Team_Matches!I2275,MIN(Team_Matches!I2273,Team_Matches!I2275),-MIN(Team_Matches!I2273,Team_Matches!I2275))*IF(Team_Matches!$Q2273="W",1,-1),"")</f>
        <v/>
      </c>
      <c r="H179" s="93" t="str">
        <f>IF(Team_Matches!$Q2273&lt;&gt;"",IF(Team_Matches!J2273&gt;Team_Matches!J2275,MIN(Team_Matches!J2273,Team_Matches!J2275),-MIN(Team_Matches!J2273,Team_Matches!J2275))*IF(Team_Matches!$Q2273="W",1,-1),"")</f>
        <v/>
      </c>
      <c r="I179" s="93" t="str">
        <f>IF(Team_Matches!$Q2273&lt;&gt;"",IF(Team_Matches!K2273=Team_Matches!K2275,"",IF(Team_Matches!K2273&gt;Team_Matches!K2275,MIN(Team_Matches!K2273,Team_Matches!K2275),-MIN(Team_Matches!K2273,Team_Matches!K2275))*IF(Team_Matches!$Q2273="W",1,-1)),"")</f>
        <v/>
      </c>
      <c r="J179" s="93" t="str">
        <f>IF(Team_Matches!$Q2273&lt;&gt;"",IF(Team_Matches!L2273=Team_Matches!L2275,"",IF(Team_Matches!L2273&gt;Team_Matches!L2275,MIN(Team_Matches!L2273,Team_Matches!L2275),-MIN(Team_Matches!L2273,Team_Matches!L2275))*IF(Team_Matches!$Q2273="W",1,-1)),"")</f>
        <v/>
      </c>
    </row>
    <row r="180" spans="1:10">
      <c r="A180" s="68" t="e">
        <f ca="1">$B180&amp;";"&amp;VLOOKUP($B180,Players!$C$4:$G$132,5,FALSE)&amp;";"&amp;IF(ISERROR(VLOOKUP($B180,Players!$C$4:$G$132,2,FALSE)),0,VLOOKUP($B180,Players!$C$4:$G$132,2,FALSE))&amp;";"&amp;$C180&amp;";"&amp;VLOOKUP($C180,Players!$C$4:$G$132,5,FALSE)&amp;";"&amp;IF(ISERROR(VLOOKUP($C180,Players!$C$4:$G$132,2,FALSE)),0,VLOOKUP($C180,Players!$C$4:$G$132,2,FALSE))&amp;"|"</f>
        <v>#N/A</v>
      </c>
      <c r="B180" t="str">
        <f ca="1">IF(Team_Matches!$Q2280="W",Team_Matches!$B2280,IF(Team_Matches!$Q2282="W",Team_Matches!$B2282,""))</f>
        <v/>
      </c>
      <c r="C180" t="str">
        <f ca="1">IF(Team_Matches!$Q2280="L",Team_Matches!$B2280,IF(Team_Matches!$Q2282="L",Team_Matches!$B2282,""))</f>
        <v/>
      </c>
      <c r="D180" t="str">
        <f>CONCATENATE(Team_Matches!$B2253," vs ",Team_Matches!$K2253)</f>
        <v>D vs G</v>
      </c>
      <c r="E180" t="str">
        <f>Team_Matches!$A2278</f>
        <v>4th Singles</v>
      </c>
      <c r="F180" s="93" t="str">
        <f ca="1">IF(Team_Matches!$Q2280&lt;&gt;"",IF(Team_Matches!H2280&gt;Team_Matches!H2282,MIN(Team_Matches!H2280,Team_Matches!H2282),-MIN(Team_Matches!H2280,Team_Matches!H2282))*IF(Team_Matches!$Q2280="W",1,-1),"")</f>
        <v/>
      </c>
      <c r="G180" s="93" t="str">
        <f ca="1">IF(Team_Matches!$Q2280&lt;&gt;"",IF(Team_Matches!I2280&gt;Team_Matches!I2282,MIN(Team_Matches!I2280,Team_Matches!I2282),-MIN(Team_Matches!I2280,Team_Matches!I2282))*IF(Team_Matches!$Q2280="W",1,-1),"")</f>
        <v/>
      </c>
      <c r="H180" s="93" t="str">
        <f ca="1">IF(Team_Matches!$Q2280&lt;&gt;"",IF(Team_Matches!J2280&gt;Team_Matches!J2282,MIN(Team_Matches!J2280,Team_Matches!J2282),-MIN(Team_Matches!J2280,Team_Matches!J2282))*IF(Team_Matches!$Q2280="W",1,-1),"")</f>
        <v/>
      </c>
      <c r="I180" s="93" t="str">
        <f ca="1">IF(Team_Matches!$Q2280&lt;&gt;"",IF(Team_Matches!K2280=Team_Matches!K2282,"",IF(Team_Matches!K2280&gt;Team_Matches!K2282,MIN(Team_Matches!K2280,Team_Matches!K2282),-MIN(Team_Matches!K2280,Team_Matches!K2282))*IF(Team_Matches!$Q2280="W",1,-1)),"")</f>
        <v/>
      </c>
      <c r="J180" s="93" t="str">
        <f ca="1">IF(Team_Matches!$Q2280&lt;&gt;"",IF(Team_Matches!L2280=Team_Matches!L2282,"",IF(Team_Matches!L2280&gt;Team_Matches!L2282,MIN(Team_Matches!L2280,Team_Matches!L2282),-MIN(Team_Matches!L2280,Team_Matches!L2282))*IF(Team_Matches!$Q2280="W",1,-1)),"")</f>
        <v/>
      </c>
    </row>
    <row r="181" spans="1:10">
      <c r="A181" s="68" t="e">
        <f>$B181&amp;";"&amp;VLOOKUP($B181,Players!$C$4:$G$132,5,FALSE)&amp;";"&amp;IF(ISERROR(VLOOKUP($B181,Players!$C$4:$G$132,2,FALSE)),0,VLOOKUP($B181,Players!$C$4:$G$132,2,FALSE))&amp;";"&amp;$C181&amp;";"&amp;VLOOKUP($C181,Players!$C$4:$G$132,5,FALSE)&amp;";"&amp;IF(ISERROR(VLOOKUP($C181,Players!$C$4:$G$132,2,FALSE)),0,VLOOKUP($C181,Players!$C$4:$G$132,2,FALSE))&amp;"|"</f>
        <v>#N/A</v>
      </c>
      <c r="B181" t="str">
        <f>IF(Team_Matches!$Q2310="W",Team_Matches!$B2310,IF(Team_Matches!$Q2312="W",Team_Matches!$B2312,""))</f>
        <v/>
      </c>
      <c r="C181" t="str">
        <f>IF(Team_Matches!$Q2310="L",Team_Matches!$B2310,IF(Team_Matches!$Q2312="L",Team_Matches!$B2312,""))</f>
        <v/>
      </c>
      <c r="D181" t="str">
        <f>CONCATENATE(Team_Matches!$B2304," vs ",Team_Matches!$K2304)</f>
        <v>D vs H</v>
      </c>
      <c r="E181" t="str">
        <f>Team_Matches!A2308</f>
        <v>1st Singles</v>
      </c>
      <c r="F181" s="93" t="str">
        <f>IF(Team_Matches!$Q2310&lt;&gt;"",IF(Team_Matches!H2310&gt;Team_Matches!H2312,MIN(Team_Matches!H2310,Team_Matches!H2312),-MIN(Team_Matches!H2310,Team_Matches!H2312))*IF(Team_Matches!$Q2310="W",1,-1),"")</f>
        <v/>
      </c>
      <c r="G181" s="93" t="str">
        <f>IF(Team_Matches!$Q2310&lt;&gt;"",IF(Team_Matches!I2310&gt;Team_Matches!I2312,MIN(Team_Matches!I2310,Team_Matches!I2312),-MIN(Team_Matches!I2310,Team_Matches!I2312))*IF(Team_Matches!$Q2310="W",1,-1),"")</f>
        <v/>
      </c>
      <c r="H181" s="93" t="str">
        <f>IF(Team_Matches!$Q2310&lt;&gt;"",IF(Team_Matches!J2310&gt;Team_Matches!J2312,MIN(Team_Matches!J2310,Team_Matches!J2312),-MIN(Team_Matches!J2310,Team_Matches!J2312))*IF(Team_Matches!$Q2310="W",1,-1),"")</f>
        <v/>
      </c>
      <c r="I181" s="93" t="str">
        <f>IF(Team_Matches!$Q2310&lt;&gt;"",IF(Team_Matches!K2310=Team_Matches!K2312,"",IF(Team_Matches!K2310&gt;Team_Matches!K2312,MIN(Team_Matches!K2310,Team_Matches!K2312),-MIN(Team_Matches!K2310,Team_Matches!K2312))*IF(Team_Matches!$Q2310="W",1,-1)),"")</f>
        <v/>
      </c>
      <c r="J181" s="93" t="str">
        <f>IF(Team_Matches!$Q2310&lt;&gt;"",IF(Team_Matches!L2310=Team_Matches!L2312,"",IF(Team_Matches!L2310&gt;Team_Matches!L2312,MIN(Team_Matches!L2310,Team_Matches!L2312),-MIN(Team_Matches!L2310,Team_Matches!L2312))*IF(Team_Matches!$Q2310="W",1,-1)),"")</f>
        <v/>
      </c>
    </row>
    <row r="182" spans="1:10">
      <c r="A182" s="68" t="e">
        <f>$B182&amp;";"&amp;VLOOKUP($B182,Players!$C$4:$G$132,5,FALSE)&amp;";"&amp;IF(ISERROR(VLOOKUP($B182,Players!$C$4:$G$132,2,FALSE)),0,VLOOKUP($B182,Players!$C$4:$G$132,2,FALSE))&amp;";"&amp;$C182&amp;";"&amp;VLOOKUP($C182,Players!$C$4:$G$132,5,FALSE)&amp;";"&amp;IF(ISERROR(VLOOKUP($C182,Players!$C$4:$G$132,2,FALSE)),0,VLOOKUP($C182,Players!$C$4:$G$132,2,FALSE))&amp;"|"</f>
        <v>#N/A</v>
      </c>
      <c r="B182" t="str">
        <f>IF(Team_Matches!$Q2317="W",Team_Matches!$B2317,IF(Team_Matches!$Q2319="W",Team_Matches!$B2319,""))</f>
        <v/>
      </c>
      <c r="C182" t="str">
        <f>IF(Team_Matches!$Q2317="L",Team_Matches!$B2317,IF(Team_Matches!$Q2319="L",Team_Matches!$B2319,""))</f>
        <v/>
      </c>
      <c r="D182" t="str">
        <f>CONCATENATE(Team_Matches!$B2304," vs ",Team_Matches!$K2304)</f>
        <v>D vs H</v>
      </c>
      <c r="E182" t="str">
        <f>Team_Matches!$A2315</f>
        <v>2nd Singles</v>
      </c>
      <c r="F182" s="93" t="str">
        <f>IF(Team_Matches!$Q2317&lt;&gt;"",IF(Team_Matches!H2317&gt;Team_Matches!H2319,MIN(Team_Matches!H2317,Team_Matches!H2319),-MIN(Team_Matches!H2317,Team_Matches!H2319))*IF(Team_Matches!$Q2317="W",1,-1),"")</f>
        <v/>
      </c>
      <c r="G182" s="93" t="str">
        <f>IF(Team_Matches!$Q2317&lt;&gt;"",IF(Team_Matches!I2317&gt;Team_Matches!I2319,MIN(Team_Matches!I2317,Team_Matches!I2319),-MIN(Team_Matches!I2317,Team_Matches!I2319))*IF(Team_Matches!$Q2317="W",1,-1),"")</f>
        <v/>
      </c>
      <c r="H182" s="93" t="str">
        <f>IF(Team_Matches!$Q2317&lt;&gt;"",IF(Team_Matches!J2317&gt;Team_Matches!J2319,MIN(Team_Matches!J2317,Team_Matches!J2319),-MIN(Team_Matches!J2317,Team_Matches!J2319))*IF(Team_Matches!$Q2317="W",1,-1),"")</f>
        <v/>
      </c>
      <c r="I182" s="93" t="str">
        <f>IF(Team_Matches!$Q2317&lt;&gt;"",IF(Team_Matches!K2317=Team_Matches!K2319,"",IF(Team_Matches!K2317&gt;Team_Matches!K2319,MIN(Team_Matches!K2317,Team_Matches!K2319),-MIN(Team_Matches!K2317,Team_Matches!K2319))*IF(Team_Matches!$Q2317="W",1,-1)),"")</f>
        <v/>
      </c>
      <c r="J182" s="93" t="str">
        <f>IF(Team_Matches!$Q2317&lt;&gt;"",IF(Team_Matches!L2317=Team_Matches!L2319,"",IF(Team_Matches!L2317&gt;Team_Matches!L2319,MIN(Team_Matches!L2317,Team_Matches!L2319),-MIN(Team_Matches!L2317,Team_Matches!L2319))*IF(Team_Matches!$Q2317="W",1,-1)),"")</f>
        <v/>
      </c>
    </row>
    <row r="183" spans="1:10">
      <c r="A183" s="68" t="e">
        <f>$B183&amp;";"&amp;VLOOKUP($B183,Players!$C$4:$G$132,5,FALSE)&amp;";"&amp;IF(ISERROR(VLOOKUP($B183,Players!$C$4:$G$132,2,FALSE)),0,VLOOKUP($B183,Players!$C$4:$G$132,2,FALSE))&amp;";"&amp;$C183&amp;";"&amp;VLOOKUP($C183,Players!$C$4:$G$132,5,FALSE)&amp;";"&amp;IF(ISERROR(VLOOKUP($C183,Players!$C$4:$G$132,2,FALSE)),0,VLOOKUP($C183,Players!$C$4:$G$132,2,FALSE))&amp;"|"</f>
        <v>#N/A</v>
      </c>
      <c r="B183" t="str">
        <f>IF(Team_Matches!$Q2324="W",Team_Matches!$B2324,IF(Team_Matches!$Q2326="W",Team_Matches!$B2326,""))</f>
        <v/>
      </c>
      <c r="C183" t="str">
        <f>IF(Team_Matches!$Q2324="L",Team_Matches!$B2324,IF(Team_Matches!$Q2326="L",Team_Matches!$B2326,""))</f>
        <v/>
      </c>
      <c r="D183" t="str">
        <f>CONCATENATE(Team_Matches!$B2304," vs ",Team_Matches!$K2304)</f>
        <v>D vs H</v>
      </c>
      <c r="E183" t="str">
        <f>Team_Matches!$A2322</f>
        <v>3rd Singles</v>
      </c>
      <c r="F183" s="93" t="str">
        <f>IF(Team_Matches!$Q2324&lt;&gt;"",IF(Team_Matches!H2324&gt;Team_Matches!H2326,MIN(Team_Matches!H2324,Team_Matches!H2326),-MIN(Team_Matches!H2324,Team_Matches!H2326))*IF(Team_Matches!$Q2324="W",1,-1),"")</f>
        <v/>
      </c>
      <c r="G183" s="93" t="str">
        <f>IF(Team_Matches!$Q2324&lt;&gt;"",IF(Team_Matches!I2324&gt;Team_Matches!I2326,MIN(Team_Matches!I2324,Team_Matches!I2326),-MIN(Team_Matches!I2324,Team_Matches!I2326))*IF(Team_Matches!$Q2324="W",1,-1),"")</f>
        <v/>
      </c>
      <c r="H183" s="93" t="str">
        <f>IF(Team_Matches!$Q2324&lt;&gt;"",IF(Team_Matches!J2324&gt;Team_Matches!J2326,MIN(Team_Matches!J2324,Team_Matches!J2326),-MIN(Team_Matches!J2324,Team_Matches!J2326))*IF(Team_Matches!$Q2324="W",1,-1),"")</f>
        <v/>
      </c>
      <c r="I183" s="93" t="str">
        <f>IF(Team_Matches!$Q2324&lt;&gt;"",IF(Team_Matches!K2324=Team_Matches!K2326,"",IF(Team_Matches!K2324&gt;Team_Matches!K2326,MIN(Team_Matches!K2324,Team_Matches!K2326),-MIN(Team_Matches!K2324,Team_Matches!K2326))*IF(Team_Matches!$Q2324="W",1,-1)),"")</f>
        <v/>
      </c>
      <c r="J183" s="93" t="str">
        <f>IF(Team_Matches!$Q2324&lt;&gt;"",IF(Team_Matches!L2324=Team_Matches!L2326,"",IF(Team_Matches!L2324&gt;Team_Matches!L2326,MIN(Team_Matches!L2324,Team_Matches!L2326),-MIN(Team_Matches!L2324,Team_Matches!L2326))*IF(Team_Matches!$Q2324="W",1,-1)),"")</f>
        <v/>
      </c>
    </row>
    <row r="184" spans="1:10">
      <c r="A184" s="68" t="e">
        <f ca="1">$B184&amp;";"&amp;VLOOKUP($B184,Players!$C$4:$G$132,5,FALSE)&amp;";"&amp;IF(ISERROR(VLOOKUP($B184,Players!$C$4:$G$132,2,FALSE)),0,VLOOKUP($B184,Players!$C$4:$G$132,2,FALSE))&amp;";"&amp;$C184&amp;";"&amp;VLOOKUP($C184,Players!$C$4:$G$132,5,FALSE)&amp;";"&amp;IF(ISERROR(VLOOKUP($C184,Players!$C$4:$G$132,2,FALSE)),0,VLOOKUP($C184,Players!$C$4:$G$132,2,FALSE))&amp;"|"</f>
        <v>#N/A</v>
      </c>
      <c r="B184" t="str">
        <f ca="1">IF(Team_Matches!$Q2331="W",Team_Matches!$B2331,IF(Team_Matches!$Q2333="W",Team_Matches!$B2333,""))</f>
        <v/>
      </c>
      <c r="C184" t="str">
        <f ca="1">IF(Team_Matches!$Q2331="L",Team_Matches!$B2331,IF(Team_Matches!$Q2333="L",Team_Matches!$B2333,""))</f>
        <v/>
      </c>
      <c r="D184" t="str">
        <f>CONCATENATE(Team_Matches!$B2304," vs ",Team_Matches!$K2304)</f>
        <v>D vs H</v>
      </c>
      <c r="E184" t="str">
        <f>Team_Matches!$A2329</f>
        <v>4th Singles</v>
      </c>
      <c r="F184" s="93" t="str">
        <f ca="1">IF(Team_Matches!$Q2331&lt;&gt;"",IF(Team_Matches!H2331&gt;Team_Matches!H2333,MIN(Team_Matches!H2331,Team_Matches!H2333),-MIN(Team_Matches!H2331,Team_Matches!H2333))*IF(Team_Matches!$Q2331="W",1,-1),"")</f>
        <v/>
      </c>
      <c r="G184" s="93" t="str">
        <f ca="1">IF(Team_Matches!$Q2331&lt;&gt;"",IF(Team_Matches!I2331&gt;Team_Matches!I2333,MIN(Team_Matches!I2331,Team_Matches!I2333),-MIN(Team_Matches!I2331,Team_Matches!I2333))*IF(Team_Matches!$Q2331="W",1,-1),"")</f>
        <v/>
      </c>
      <c r="H184" s="93" t="str">
        <f ca="1">IF(Team_Matches!$Q2331&lt;&gt;"",IF(Team_Matches!J2331&gt;Team_Matches!J2333,MIN(Team_Matches!J2331,Team_Matches!J2333),-MIN(Team_Matches!J2331,Team_Matches!J2333))*IF(Team_Matches!$Q2331="W",1,-1),"")</f>
        <v/>
      </c>
      <c r="I184" s="93" t="str">
        <f ca="1">IF(Team_Matches!$Q2331&lt;&gt;"",IF(Team_Matches!K2331=Team_Matches!K2333,"",IF(Team_Matches!K2331&gt;Team_Matches!K2333,MIN(Team_Matches!K2331,Team_Matches!K2333),-MIN(Team_Matches!K2331,Team_Matches!K2333))*IF(Team_Matches!$Q2331="W",1,-1)),"")</f>
        <v/>
      </c>
      <c r="J184" s="93" t="str">
        <f ca="1">IF(Team_Matches!$Q2331&lt;&gt;"",IF(Team_Matches!L2331=Team_Matches!L2333,"",IF(Team_Matches!L2331&gt;Team_Matches!L2333,MIN(Team_Matches!L2331,Team_Matches!L2333),-MIN(Team_Matches!L2331,Team_Matches!L2333))*IF(Team_Matches!$Q2331="W",1,-1)),"")</f>
        <v/>
      </c>
    </row>
    <row r="185" spans="1:10">
      <c r="A185" s="68" t="e">
        <f>$B185&amp;";"&amp;VLOOKUP($B185,Players!$C$4:$G$132,5,FALSE)&amp;";"&amp;IF(ISERROR(VLOOKUP($B185,Players!$C$4:$G$132,2,FALSE)),0,VLOOKUP($B185,Players!$C$4:$G$132,2,FALSE))&amp;";"&amp;$C185&amp;";"&amp;VLOOKUP($C185,Players!$C$4:$G$132,5,FALSE)&amp;";"&amp;IF(ISERROR(VLOOKUP($C185,Players!$C$4:$G$132,2,FALSE)),0,VLOOKUP($C185,Players!$C$4:$G$132,2,FALSE))&amp;"|"</f>
        <v>#N/A</v>
      </c>
      <c r="B185" t="str">
        <f>IF(Team_Matches!$Q2361="W",Team_Matches!$B2361,IF(Team_Matches!$Q2363="W",Team_Matches!$B2363,""))</f>
        <v/>
      </c>
      <c r="C185" t="str">
        <f>IF(Team_Matches!$Q2361="L",Team_Matches!$B2361,IF(Team_Matches!$Q2363="L",Team_Matches!$B2363,""))</f>
        <v/>
      </c>
      <c r="D185" t="str">
        <f>CONCATENATE(Team_Matches!$B2355," vs ",Team_Matches!$K2355)</f>
        <v>D vs I</v>
      </c>
      <c r="E185" t="str">
        <f>Team_Matches!A2359</f>
        <v>1st Singles</v>
      </c>
      <c r="F185" s="93" t="str">
        <f>IF(Team_Matches!$Q2361&lt;&gt;"",IF(Team_Matches!H2361&gt;Team_Matches!H2363,MIN(Team_Matches!H2361,Team_Matches!H2363),-MIN(Team_Matches!H2361,Team_Matches!H2363))*IF(Team_Matches!$Q2361="W",1,-1),"")</f>
        <v/>
      </c>
      <c r="G185" s="93" t="str">
        <f>IF(Team_Matches!$Q2361&lt;&gt;"",IF(Team_Matches!I2361&gt;Team_Matches!I2363,MIN(Team_Matches!I2361,Team_Matches!I2363),-MIN(Team_Matches!I2361,Team_Matches!I2363))*IF(Team_Matches!$Q2361="W",1,-1),"")</f>
        <v/>
      </c>
      <c r="H185" s="93" t="str">
        <f>IF(Team_Matches!$Q2361&lt;&gt;"",IF(Team_Matches!J2361&gt;Team_Matches!J2363,MIN(Team_Matches!J2361,Team_Matches!J2363),-MIN(Team_Matches!J2361,Team_Matches!J2363))*IF(Team_Matches!$Q2361="W",1,-1),"")</f>
        <v/>
      </c>
      <c r="I185" s="93" t="str">
        <f>IF(Team_Matches!$Q2361&lt;&gt;"",IF(Team_Matches!K2361=Team_Matches!K2363,"",IF(Team_Matches!K2361&gt;Team_Matches!K2363,MIN(Team_Matches!K2361,Team_Matches!K2363),-MIN(Team_Matches!K2361,Team_Matches!K2363))*IF(Team_Matches!$Q2361="W",1,-1)),"")</f>
        <v/>
      </c>
      <c r="J185" s="93" t="str">
        <f>IF(Team_Matches!$Q2361&lt;&gt;"",IF(Team_Matches!L2361=Team_Matches!L2363,"",IF(Team_Matches!L2361&gt;Team_Matches!L2363,MIN(Team_Matches!L2361,Team_Matches!L2363),-MIN(Team_Matches!L2361,Team_Matches!L2363))*IF(Team_Matches!$Q2361="W",1,-1)),"")</f>
        <v/>
      </c>
    </row>
    <row r="186" spans="1:10">
      <c r="A186" s="68" t="e">
        <f>$B186&amp;";"&amp;VLOOKUP($B186,Players!$C$4:$G$132,5,FALSE)&amp;";"&amp;IF(ISERROR(VLOOKUP($B186,Players!$C$4:$G$132,2,FALSE)),0,VLOOKUP($B186,Players!$C$4:$G$132,2,FALSE))&amp;";"&amp;$C186&amp;";"&amp;VLOOKUP($C186,Players!$C$4:$G$132,5,FALSE)&amp;";"&amp;IF(ISERROR(VLOOKUP($C186,Players!$C$4:$G$132,2,FALSE)),0,VLOOKUP($C186,Players!$C$4:$G$132,2,FALSE))&amp;"|"</f>
        <v>#N/A</v>
      </c>
      <c r="B186" t="str">
        <f>IF(Team_Matches!$Q2368="W",Team_Matches!$B2368,IF(Team_Matches!$Q2370="W",Team_Matches!$B2370,""))</f>
        <v/>
      </c>
      <c r="C186" t="str">
        <f>IF(Team_Matches!$Q2368="L",Team_Matches!$B2368,IF(Team_Matches!$Q2370="L",Team_Matches!$B2370,""))</f>
        <v/>
      </c>
      <c r="D186" t="str">
        <f>CONCATENATE(Team_Matches!$B2355," vs ",Team_Matches!$K2355)</f>
        <v>D vs I</v>
      </c>
      <c r="E186" t="str">
        <f>Team_Matches!$A2366</f>
        <v>2nd Singles</v>
      </c>
      <c r="F186" s="93" t="str">
        <f>IF(Team_Matches!$Q2368&lt;&gt;"",IF(Team_Matches!H2368&gt;Team_Matches!H2370,MIN(Team_Matches!H2368,Team_Matches!H2370),-MIN(Team_Matches!H2368,Team_Matches!H2370))*IF(Team_Matches!$Q2368="W",1,-1),"")</f>
        <v/>
      </c>
      <c r="G186" s="93" t="str">
        <f>IF(Team_Matches!$Q2368&lt;&gt;"",IF(Team_Matches!I2368&gt;Team_Matches!I2370,MIN(Team_Matches!I2368,Team_Matches!I2370),-MIN(Team_Matches!I2368,Team_Matches!I2370))*IF(Team_Matches!$Q2368="W",1,-1),"")</f>
        <v/>
      </c>
      <c r="H186" s="93" t="str">
        <f>IF(Team_Matches!$Q2368&lt;&gt;"",IF(Team_Matches!J2368&gt;Team_Matches!J2370,MIN(Team_Matches!J2368,Team_Matches!J2370),-MIN(Team_Matches!J2368,Team_Matches!J2370))*IF(Team_Matches!$Q2368="W",1,-1),"")</f>
        <v/>
      </c>
      <c r="I186" s="93" t="str">
        <f>IF(Team_Matches!$Q2368&lt;&gt;"",IF(Team_Matches!K2368=Team_Matches!K2370,"",IF(Team_Matches!K2368&gt;Team_Matches!K2370,MIN(Team_Matches!K2368,Team_Matches!K2370),-MIN(Team_Matches!K2368,Team_Matches!K2370))*IF(Team_Matches!$Q2368="W",1,-1)),"")</f>
        <v/>
      </c>
      <c r="J186" s="93" t="str">
        <f>IF(Team_Matches!$Q2368&lt;&gt;"",IF(Team_Matches!L2368=Team_Matches!L2370,"",IF(Team_Matches!L2368&gt;Team_Matches!L2370,MIN(Team_Matches!L2368,Team_Matches!L2370),-MIN(Team_Matches!L2368,Team_Matches!L2370))*IF(Team_Matches!$Q2368="W",1,-1)),"")</f>
        <v/>
      </c>
    </row>
    <row r="187" spans="1:10">
      <c r="A187" s="68" t="e">
        <f>$B187&amp;";"&amp;VLOOKUP($B187,Players!$C$4:$G$132,5,FALSE)&amp;";"&amp;IF(ISERROR(VLOOKUP($B187,Players!$C$4:$G$132,2,FALSE)),0,VLOOKUP($B187,Players!$C$4:$G$132,2,FALSE))&amp;";"&amp;$C187&amp;";"&amp;VLOOKUP($C187,Players!$C$4:$G$132,5,FALSE)&amp;";"&amp;IF(ISERROR(VLOOKUP($C187,Players!$C$4:$G$132,2,FALSE)),0,VLOOKUP($C187,Players!$C$4:$G$132,2,FALSE))&amp;"|"</f>
        <v>#N/A</v>
      </c>
      <c r="B187" t="str">
        <f>IF(Team_Matches!$Q2375="W",Team_Matches!$B2375,IF(Team_Matches!$Q2377="W",Team_Matches!$B2377,""))</f>
        <v/>
      </c>
      <c r="C187" t="str">
        <f>IF(Team_Matches!$Q2375="L",Team_Matches!$B2375,IF(Team_Matches!$Q2377="L",Team_Matches!$B2377,""))</f>
        <v/>
      </c>
      <c r="D187" t="str">
        <f>CONCATENATE(Team_Matches!$B2355," vs ",Team_Matches!$K2355)</f>
        <v>D vs I</v>
      </c>
      <c r="E187" t="str">
        <f>Team_Matches!$A2373</f>
        <v>3rd Singles</v>
      </c>
      <c r="F187" s="93" t="str">
        <f>IF(Team_Matches!$Q2375&lt;&gt;"",IF(Team_Matches!H2375&gt;Team_Matches!H2377,MIN(Team_Matches!H2375,Team_Matches!H2377),-MIN(Team_Matches!H2375,Team_Matches!H2377))*IF(Team_Matches!$Q2375="W",1,-1),"")</f>
        <v/>
      </c>
      <c r="G187" s="93" t="str">
        <f>IF(Team_Matches!$Q2375&lt;&gt;"",IF(Team_Matches!I2375&gt;Team_Matches!I2377,MIN(Team_Matches!I2375,Team_Matches!I2377),-MIN(Team_Matches!I2375,Team_Matches!I2377))*IF(Team_Matches!$Q2375="W",1,-1),"")</f>
        <v/>
      </c>
      <c r="H187" s="93" t="str">
        <f>IF(Team_Matches!$Q2375&lt;&gt;"",IF(Team_Matches!J2375&gt;Team_Matches!J2377,MIN(Team_Matches!J2375,Team_Matches!J2377),-MIN(Team_Matches!J2375,Team_Matches!J2377))*IF(Team_Matches!$Q2375="W",1,-1),"")</f>
        <v/>
      </c>
      <c r="I187" s="93" t="str">
        <f>IF(Team_Matches!$Q2375&lt;&gt;"",IF(Team_Matches!K2375=Team_Matches!K2377,"",IF(Team_Matches!K2375&gt;Team_Matches!K2377,MIN(Team_Matches!K2375,Team_Matches!K2377),-MIN(Team_Matches!K2375,Team_Matches!K2377))*IF(Team_Matches!$Q2375="W",1,-1)),"")</f>
        <v/>
      </c>
      <c r="J187" s="93" t="str">
        <f>IF(Team_Matches!$Q2375&lt;&gt;"",IF(Team_Matches!L2375=Team_Matches!L2377,"",IF(Team_Matches!L2375&gt;Team_Matches!L2377,MIN(Team_Matches!L2375,Team_Matches!L2377),-MIN(Team_Matches!L2375,Team_Matches!L2377))*IF(Team_Matches!$Q2375="W",1,-1)),"")</f>
        <v/>
      </c>
    </row>
    <row r="188" spans="1:10">
      <c r="A188" s="68" t="e">
        <f ca="1">$B188&amp;";"&amp;VLOOKUP($B188,Players!$C$4:$G$132,5,FALSE)&amp;";"&amp;IF(ISERROR(VLOOKUP($B188,Players!$C$4:$G$132,2,FALSE)),0,VLOOKUP($B188,Players!$C$4:$G$132,2,FALSE))&amp;";"&amp;$C188&amp;";"&amp;VLOOKUP($C188,Players!$C$4:$G$132,5,FALSE)&amp;";"&amp;IF(ISERROR(VLOOKUP($C188,Players!$C$4:$G$132,2,FALSE)),0,VLOOKUP($C188,Players!$C$4:$G$132,2,FALSE))&amp;"|"</f>
        <v>#N/A</v>
      </c>
      <c r="B188" t="str">
        <f ca="1">IF(Team_Matches!$Q2382="W",Team_Matches!$B2382,IF(Team_Matches!$Q2384="W",Team_Matches!$B2384,""))</f>
        <v/>
      </c>
      <c r="C188" t="str">
        <f ca="1">IF(Team_Matches!$Q2382="L",Team_Matches!$B2382,IF(Team_Matches!$Q2384="L",Team_Matches!$B2384,""))</f>
        <v/>
      </c>
      <c r="D188" t="str">
        <f>CONCATENATE(Team_Matches!$B2355," vs ",Team_Matches!$K2355)</f>
        <v>D vs I</v>
      </c>
      <c r="E188" t="str">
        <f>Team_Matches!$A2380</f>
        <v>4th Singles</v>
      </c>
      <c r="F188" s="93" t="str">
        <f ca="1">IF(Team_Matches!$Q2382&lt;&gt;"",IF(Team_Matches!H2382&gt;Team_Matches!H2384,MIN(Team_Matches!H2382,Team_Matches!H2384),-MIN(Team_Matches!H2382,Team_Matches!H2384))*IF(Team_Matches!$Q2382="W",1,-1),"")</f>
        <v/>
      </c>
      <c r="G188" s="93" t="str">
        <f ca="1">IF(Team_Matches!$Q2382&lt;&gt;"",IF(Team_Matches!I2382&gt;Team_Matches!I2384,MIN(Team_Matches!I2382,Team_Matches!I2384),-MIN(Team_Matches!I2382,Team_Matches!I2384))*IF(Team_Matches!$Q2382="W",1,-1),"")</f>
        <v/>
      </c>
      <c r="H188" s="93" t="str">
        <f ca="1">IF(Team_Matches!$Q2382&lt;&gt;"",IF(Team_Matches!J2382&gt;Team_Matches!J2384,MIN(Team_Matches!J2382,Team_Matches!J2384),-MIN(Team_Matches!J2382,Team_Matches!J2384))*IF(Team_Matches!$Q2382="W",1,-1),"")</f>
        <v/>
      </c>
      <c r="I188" s="93" t="str">
        <f ca="1">IF(Team_Matches!$Q2382&lt;&gt;"",IF(Team_Matches!K2382=Team_Matches!K2384,"",IF(Team_Matches!K2382&gt;Team_Matches!K2384,MIN(Team_Matches!K2382,Team_Matches!K2384),-MIN(Team_Matches!K2382,Team_Matches!K2384))*IF(Team_Matches!$Q2382="W",1,-1)),"")</f>
        <v/>
      </c>
      <c r="J188" s="93" t="str">
        <f ca="1">IF(Team_Matches!$Q2382&lt;&gt;"",IF(Team_Matches!L2382=Team_Matches!L2384,"",IF(Team_Matches!L2382&gt;Team_Matches!L2384,MIN(Team_Matches!L2382,Team_Matches!L2384),-MIN(Team_Matches!L2382,Team_Matches!L2384))*IF(Team_Matches!$Q2382="W",1,-1)),"")</f>
        <v/>
      </c>
    </row>
    <row r="189" spans="1:10">
      <c r="A189" s="68" t="e">
        <f>$B189&amp;";"&amp;VLOOKUP($B189,Players!$C$4:$G$132,5,FALSE)&amp;";"&amp;IF(ISERROR(VLOOKUP($B189,Players!$C$4:$G$132,2,FALSE)),0,VLOOKUP($B189,Players!$C$4:$G$132,2,FALSE))&amp;";"&amp;$C189&amp;";"&amp;VLOOKUP($C189,Players!$C$4:$G$132,5,FALSE)&amp;";"&amp;IF(ISERROR(VLOOKUP($C189,Players!$C$4:$G$132,2,FALSE)),0,VLOOKUP($C189,Players!$C$4:$G$132,2,FALSE))&amp;"|"</f>
        <v>#N/A</v>
      </c>
      <c r="B189" t="str">
        <f>IF(Team_Matches!$Q2412="W",Team_Matches!$B2412,IF(Team_Matches!$Q2414="W",Team_Matches!$B2414,""))</f>
        <v/>
      </c>
      <c r="C189" t="str">
        <f>IF(Team_Matches!$Q2412="L",Team_Matches!$B2412,IF(Team_Matches!$Q2414="L",Team_Matches!$B2414,""))</f>
        <v/>
      </c>
      <c r="D189" t="str">
        <f>CONCATENATE(Team_Matches!$B2406," vs ",Team_Matches!$K2406)</f>
        <v>D vs J</v>
      </c>
      <c r="E189" t="str">
        <f>Team_Matches!A2410</f>
        <v>1st Singles</v>
      </c>
      <c r="F189" s="93" t="str">
        <f>IF(Team_Matches!$Q2412&lt;&gt;"",IF(Team_Matches!H2412&gt;Team_Matches!H2414,MIN(Team_Matches!H2412,Team_Matches!H2414),-MIN(Team_Matches!H2412,Team_Matches!H2414))*IF(Team_Matches!$Q2412="W",1,-1),"")</f>
        <v/>
      </c>
      <c r="G189" s="93" t="str">
        <f>IF(Team_Matches!$Q2412&lt;&gt;"",IF(Team_Matches!I2412&gt;Team_Matches!I2414,MIN(Team_Matches!I2412,Team_Matches!I2414),-MIN(Team_Matches!I2412,Team_Matches!I2414))*IF(Team_Matches!$Q2412="W",1,-1),"")</f>
        <v/>
      </c>
      <c r="H189" s="93" t="str">
        <f>IF(Team_Matches!$Q2412&lt;&gt;"",IF(Team_Matches!J2412&gt;Team_Matches!J2414,MIN(Team_Matches!J2412,Team_Matches!J2414),-MIN(Team_Matches!J2412,Team_Matches!J2414))*IF(Team_Matches!$Q2412="W",1,-1),"")</f>
        <v/>
      </c>
      <c r="I189" s="93" t="str">
        <f>IF(Team_Matches!$Q2412&lt;&gt;"",IF(Team_Matches!K2412=Team_Matches!K2414,"",IF(Team_Matches!K2412&gt;Team_Matches!K2414,MIN(Team_Matches!K2412,Team_Matches!K2414),-MIN(Team_Matches!K2412,Team_Matches!K2414))*IF(Team_Matches!$Q2412="W",1,-1)),"")</f>
        <v/>
      </c>
      <c r="J189" s="93" t="str">
        <f>IF(Team_Matches!$Q2412&lt;&gt;"",IF(Team_Matches!L2412=Team_Matches!L2414,"",IF(Team_Matches!L2412&gt;Team_Matches!L2414,MIN(Team_Matches!L2412,Team_Matches!L2414),-MIN(Team_Matches!L2412,Team_Matches!L2414))*IF(Team_Matches!$Q2412="W",1,-1)),"")</f>
        <v/>
      </c>
    </row>
    <row r="190" spans="1:10">
      <c r="A190" s="68" t="e">
        <f>$B190&amp;";"&amp;VLOOKUP($B190,Players!$C$4:$G$132,5,FALSE)&amp;";"&amp;IF(ISERROR(VLOOKUP($B190,Players!$C$4:$G$132,2,FALSE)),0,VLOOKUP($B190,Players!$C$4:$G$132,2,FALSE))&amp;";"&amp;$C190&amp;";"&amp;VLOOKUP($C190,Players!$C$4:$G$132,5,FALSE)&amp;";"&amp;IF(ISERROR(VLOOKUP($C190,Players!$C$4:$G$132,2,FALSE)),0,VLOOKUP($C190,Players!$C$4:$G$132,2,FALSE))&amp;"|"</f>
        <v>#N/A</v>
      </c>
      <c r="B190" t="str">
        <f>IF(Team_Matches!$Q2419="W",Team_Matches!$B2419,IF(Team_Matches!$Q2421="W",Team_Matches!$B2421,""))</f>
        <v/>
      </c>
      <c r="C190" t="str">
        <f>IF(Team_Matches!$Q2419="L",Team_Matches!$B2419,IF(Team_Matches!$Q2421="L",Team_Matches!$B2421,""))</f>
        <v/>
      </c>
      <c r="D190" t="str">
        <f>CONCATENATE(Team_Matches!$B2406," vs ",Team_Matches!$K2406)</f>
        <v>D vs J</v>
      </c>
      <c r="E190" t="str">
        <f>Team_Matches!$A2417</f>
        <v>2nd Singles</v>
      </c>
      <c r="F190" s="93" t="str">
        <f>IF(Team_Matches!$Q2419&lt;&gt;"",IF(Team_Matches!H2419&gt;Team_Matches!H2421,MIN(Team_Matches!H2419,Team_Matches!H2421),-MIN(Team_Matches!H2419,Team_Matches!H2421))*IF(Team_Matches!$Q2419="W",1,-1),"")</f>
        <v/>
      </c>
      <c r="G190" s="93" t="str">
        <f>IF(Team_Matches!$Q2419&lt;&gt;"",IF(Team_Matches!I2419&gt;Team_Matches!I2421,MIN(Team_Matches!I2419,Team_Matches!I2421),-MIN(Team_Matches!I2419,Team_Matches!I2421))*IF(Team_Matches!$Q2419="W",1,-1),"")</f>
        <v/>
      </c>
      <c r="H190" s="93" t="str">
        <f>IF(Team_Matches!$Q2419&lt;&gt;"",IF(Team_Matches!J2419&gt;Team_Matches!J2421,MIN(Team_Matches!J2419,Team_Matches!J2421),-MIN(Team_Matches!J2419,Team_Matches!J2421))*IF(Team_Matches!$Q2419="W",1,-1),"")</f>
        <v/>
      </c>
      <c r="I190" s="93" t="str">
        <f>IF(Team_Matches!$Q2419&lt;&gt;"",IF(Team_Matches!K2419=Team_Matches!K2421,"",IF(Team_Matches!K2419&gt;Team_Matches!K2421,MIN(Team_Matches!K2419,Team_Matches!K2421),-MIN(Team_Matches!K2419,Team_Matches!K2421))*IF(Team_Matches!$Q2419="W",1,-1)),"")</f>
        <v/>
      </c>
      <c r="J190" s="93" t="str">
        <f>IF(Team_Matches!$Q2419&lt;&gt;"",IF(Team_Matches!L2419=Team_Matches!L2421,"",IF(Team_Matches!L2419&gt;Team_Matches!L2421,MIN(Team_Matches!L2419,Team_Matches!L2421),-MIN(Team_Matches!L2419,Team_Matches!L2421))*IF(Team_Matches!$Q2419="W",1,-1)),"")</f>
        <v/>
      </c>
    </row>
    <row r="191" spans="1:10">
      <c r="A191" s="68" t="e">
        <f>$B191&amp;";"&amp;VLOOKUP($B191,Players!$C$4:$G$132,5,FALSE)&amp;";"&amp;IF(ISERROR(VLOOKUP($B191,Players!$C$4:$G$132,2,FALSE)),0,VLOOKUP($B191,Players!$C$4:$G$132,2,FALSE))&amp;";"&amp;$C191&amp;";"&amp;VLOOKUP($C191,Players!$C$4:$G$132,5,FALSE)&amp;";"&amp;IF(ISERROR(VLOOKUP($C191,Players!$C$4:$G$132,2,FALSE)),0,VLOOKUP($C191,Players!$C$4:$G$132,2,FALSE))&amp;"|"</f>
        <v>#N/A</v>
      </c>
      <c r="B191" t="str">
        <f>IF(Team_Matches!$Q2426="W",Team_Matches!$B2426,IF(Team_Matches!$Q2428="W",Team_Matches!$B2428,""))</f>
        <v/>
      </c>
      <c r="C191" t="str">
        <f>IF(Team_Matches!$Q2426="L",Team_Matches!$B2426,IF(Team_Matches!$Q2428="L",Team_Matches!$B2428,""))</f>
        <v/>
      </c>
      <c r="D191" t="str">
        <f>CONCATENATE(Team_Matches!$B2406," vs ",Team_Matches!$K2406)</f>
        <v>D vs J</v>
      </c>
      <c r="E191" t="str">
        <f>Team_Matches!$A2424</f>
        <v>3rd Singles</v>
      </c>
      <c r="F191" s="93" t="str">
        <f>IF(Team_Matches!$Q2426&lt;&gt;"",IF(Team_Matches!H2426&gt;Team_Matches!H2428,MIN(Team_Matches!H2426,Team_Matches!H2428),-MIN(Team_Matches!H2426,Team_Matches!H2428))*IF(Team_Matches!$Q2426="W",1,-1),"")</f>
        <v/>
      </c>
      <c r="G191" s="93" t="str">
        <f>IF(Team_Matches!$Q2426&lt;&gt;"",IF(Team_Matches!I2426&gt;Team_Matches!I2428,MIN(Team_Matches!I2426,Team_Matches!I2428),-MIN(Team_Matches!I2426,Team_Matches!I2428))*IF(Team_Matches!$Q2426="W",1,-1),"")</f>
        <v/>
      </c>
      <c r="H191" s="93" t="str">
        <f>IF(Team_Matches!$Q2426&lt;&gt;"",IF(Team_Matches!J2426&gt;Team_Matches!J2428,MIN(Team_Matches!J2426,Team_Matches!J2428),-MIN(Team_Matches!J2426,Team_Matches!J2428))*IF(Team_Matches!$Q2426="W",1,-1),"")</f>
        <v/>
      </c>
      <c r="I191" s="93" t="str">
        <f>IF(Team_Matches!$Q2426&lt;&gt;"",IF(Team_Matches!K2426=Team_Matches!K2428,"",IF(Team_Matches!K2426&gt;Team_Matches!K2428,MIN(Team_Matches!K2426,Team_Matches!K2428),-MIN(Team_Matches!K2426,Team_Matches!K2428))*IF(Team_Matches!$Q2426="W",1,-1)),"")</f>
        <v/>
      </c>
      <c r="J191" s="93" t="str">
        <f>IF(Team_Matches!$Q2426&lt;&gt;"",IF(Team_Matches!L2426=Team_Matches!L2428,"",IF(Team_Matches!L2426&gt;Team_Matches!L2428,MIN(Team_Matches!L2426,Team_Matches!L2428),-MIN(Team_Matches!L2426,Team_Matches!L2428))*IF(Team_Matches!$Q2426="W",1,-1)),"")</f>
        <v/>
      </c>
    </row>
    <row r="192" spans="1:10">
      <c r="A192" s="68" t="e">
        <f ca="1">$B192&amp;";"&amp;VLOOKUP($B192,Players!$C$4:$G$132,5,FALSE)&amp;";"&amp;IF(ISERROR(VLOOKUP($B192,Players!$C$4:$G$132,2,FALSE)),0,VLOOKUP($B192,Players!$C$4:$G$132,2,FALSE))&amp;";"&amp;$C192&amp;";"&amp;VLOOKUP($C192,Players!$C$4:$G$132,5,FALSE)&amp;";"&amp;IF(ISERROR(VLOOKUP($C192,Players!$C$4:$G$132,2,FALSE)),0,VLOOKUP($C192,Players!$C$4:$G$132,2,FALSE))&amp;"|"</f>
        <v>#N/A</v>
      </c>
      <c r="B192" t="str">
        <f ca="1">IF(Team_Matches!$Q2433="W",Team_Matches!$B2433,IF(Team_Matches!$Q2435="W",Team_Matches!$B2435,""))</f>
        <v/>
      </c>
      <c r="C192" t="str">
        <f ca="1">IF(Team_Matches!$Q2433="L",Team_Matches!$B2433,IF(Team_Matches!$Q2435="L",Team_Matches!$B2435,""))</f>
        <v/>
      </c>
      <c r="D192" t="str">
        <f>CONCATENATE(Team_Matches!$B2406," vs ",Team_Matches!$K2406)</f>
        <v>D vs J</v>
      </c>
      <c r="E192" t="str">
        <f>Team_Matches!$A2431</f>
        <v>4th Singles</v>
      </c>
      <c r="F192" s="93" t="str">
        <f ca="1">IF(Team_Matches!$Q2433&lt;&gt;"",IF(Team_Matches!H2433&gt;Team_Matches!H2435,MIN(Team_Matches!H2433,Team_Matches!H2435),-MIN(Team_Matches!H2433,Team_Matches!H2435))*IF(Team_Matches!$Q2433="W",1,-1),"")</f>
        <v/>
      </c>
      <c r="G192" s="93" t="str">
        <f ca="1">IF(Team_Matches!$Q2433&lt;&gt;"",IF(Team_Matches!I2433&gt;Team_Matches!I2435,MIN(Team_Matches!I2433,Team_Matches!I2435),-MIN(Team_Matches!I2433,Team_Matches!I2435))*IF(Team_Matches!$Q2433="W",1,-1),"")</f>
        <v/>
      </c>
      <c r="H192" s="93" t="str">
        <f ca="1">IF(Team_Matches!$Q2433&lt;&gt;"",IF(Team_Matches!J2433&gt;Team_Matches!J2435,MIN(Team_Matches!J2433,Team_Matches!J2435),-MIN(Team_Matches!J2433,Team_Matches!J2435))*IF(Team_Matches!$Q2433="W",1,-1),"")</f>
        <v/>
      </c>
      <c r="I192" s="93" t="str">
        <f ca="1">IF(Team_Matches!$Q2433&lt;&gt;"",IF(Team_Matches!K2433=Team_Matches!K2435,"",IF(Team_Matches!K2433&gt;Team_Matches!K2435,MIN(Team_Matches!K2433,Team_Matches!K2435),-MIN(Team_Matches!K2433,Team_Matches!K2435))*IF(Team_Matches!$Q2433="W",1,-1)),"")</f>
        <v/>
      </c>
      <c r="J192" s="93" t="str">
        <f ca="1">IF(Team_Matches!$Q2433&lt;&gt;"",IF(Team_Matches!L2433=Team_Matches!L2435,"",IF(Team_Matches!L2433&gt;Team_Matches!L2435,MIN(Team_Matches!L2433,Team_Matches!L2435),-MIN(Team_Matches!L2433,Team_Matches!L2435))*IF(Team_Matches!$Q2433="W",1,-1)),"")</f>
        <v/>
      </c>
    </row>
    <row r="193" spans="1:10">
      <c r="A193" s="68" t="e">
        <f>$B193&amp;";"&amp;VLOOKUP($B193,Players!$C$4:$G$132,5,FALSE)&amp;";"&amp;IF(ISERROR(VLOOKUP($B193,Players!$C$4:$G$132,2,FALSE)),0,VLOOKUP($B193,Players!$C$4:$G$132,2,FALSE))&amp;";"&amp;$C193&amp;";"&amp;VLOOKUP($C193,Players!$C$4:$G$132,5,FALSE)&amp;";"&amp;IF(ISERROR(VLOOKUP($C193,Players!$C$4:$G$132,2,FALSE)),0,VLOOKUP($C193,Players!$C$4:$G$132,2,FALSE))&amp;"|"</f>
        <v>#N/A</v>
      </c>
      <c r="B193" t="str">
        <f>IF(Team_Matches!$Q2463="W",Team_Matches!$B2463,IF(Team_Matches!$Q2465="W",Team_Matches!$B2465,""))</f>
        <v/>
      </c>
      <c r="C193" t="str">
        <f>IF(Team_Matches!$Q2463="L",Team_Matches!$B2463,IF(Team_Matches!$Q2465="L",Team_Matches!$B2465,""))</f>
        <v/>
      </c>
      <c r="D193" t="str">
        <f>CONCATENATE(Team_Matches!$B2457," vs ",Team_Matches!$K2457)</f>
        <v>D vs K</v>
      </c>
      <c r="E193" t="str">
        <f>Team_Matches!A2461</f>
        <v>1st Singles</v>
      </c>
      <c r="F193" s="93" t="str">
        <f>IF(Team_Matches!$Q2463&lt;&gt;"",IF(Team_Matches!H2463&gt;Team_Matches!H2465,MIN(Team_Matches!H2463,Team_Matches!H2465),-MIN(Team_Matches!H2463,Team_Matches!H2465))*IF(Team_Matches!$Q2463="W",1,-1),"")</f>
        <v/>
      </c>
      <c r="G193" s="93" t="str">
        <f>IF(Team_Matches!$Q2463&lt;&gt;"",IF(Team_Matches!I2463&gt;Team_Matches!I2465,MIN(Team_Matches!I2463,Team_Matches!I2465),-MIN(Team_Matches!I2463,Team_Matches!I2465))*IF(Team_Matches!$Q2463="W",1,-1),"")</f>
        <v/>
      </c>
      <c r="H193" s="93" t="str">
        <f>IF(Team_Matches!$Q2463&lt;&gt;"",IF(Team_Matches!J2463&gt;Team_Matches!J2465,MIN(Team_Matches!J2463,Team_Matches!J2465),-MIN(Team_Matches!J2463,Team_Matches!J2465))*IF(Team_Matches!$Q2463="W",1,-1),"")</f>
        <v/>
      </c>
      <c r="I193" s="93" t="str">
        <f>IF(Team_Matches!$Q2463&lt;&gt;"",IF(Team_Matches!K2463=Team_Matches!K2465,"",IF(Team_Matches!K2463&gt;Team_Matches!K2465,MIN(Team_Matches!K2463,Team_Matches!K2465),-MIN(Team_Matches!K2463,Team_Matches!K2465))*IF(Team_Matches!$Q2463="W",1,-1)),"")</f>
        <v/>
      </c>
      <c r="J193" s="93" t="str">
        <f>IF(Team_Matches!$Q2463&lt;&gt;"",IF(Team_Matches!L2463=Team_Matches!L2465,"",IF(Team_Matches!L2463&gt;Team_Matches!L2465,MIN(Team_Matches!L2463,Team_Matches!L2465),-MIN(Team_Matches!L2463,Team_Matches!L2465))*IF(Team_Matches!$Q2463="W",1,-1)),"")</f>
        <v/>
      </c>
    </row>
    <row r="194" spans="1:10">
      <c r="A194" s="68" t="e">
        <f>$B194&amp;";"&amp;VLOOKUP($B194,Players!$C$4:$G$132,5,FALSE)&amp;";"&amp;IF(ISERROR(VLOOKUP($B194,Players!$C$4:$G$132,2,FALSE)),0,VLOOKUP($B194,Players!$C$4:$G$132,2,FALSE))&amp;";"&amp;$C194&amp;";"&amp;VLOOKUP($C194,Players!$C$4:$G$132,5,FALSE)&amp;";"&amp;IF(ISERROR(VLOOKUP($C194,Players!$C$4:$G$132,2,FALSE)),0,VLOOKUP($C194,Players!$C$4:$G$132,2,FALSE))&amp;"|"</f>
        <v>#N/A</v>
      </c>
      <c r="B194" t="str">
        <f>IF(Team_Matches!$Q2470="W",Team_Matches!$B2470,IF(Team_Matches!$Q2472="W",Team_Matches!$B2472,""))</f>
        <v/>
      </c>
      <c r="C194" t="str">
        <f>IF(Team_Matches!$Q2470="L",Team_Matches!$B2470,IF(Team_Matches!$Q2472="L",Team_Matches!$B2472,""))</f>
        <v/>
      </c>
      <c r="D194" t="str">
        <f>CONCATENATE(Team_Matches!$B2457," vs ",Team_Matches!$K2457)</f>
        <v>D vs K</v>
      </c>
      <c r="E194" t="str">
        <f>Team_Matches!$A2468</f>
        <v>2nd Singles</v>
      </c>
      <c r="F194" s="93" t="str">
        <f>IF(Team_Matches!$Q2470&lt;&gt;"",IF(Team_Matches!H2470&gt;Team_Matches!H2472,MIN(Team_Matches!H2470,Team_Matches!H2472),-MIN(Team_Matches!H2470,Team_Matches!H2472))*IF(Team_Matches!$Q2470="W",1,-1),"")</f>
        <v/>
      </c>
      <c r="G194" s="93" t="str">
        <f>IF(Team_Matches!$Q2470&lt;&gt;"",IF(Team_Matches!I2470&gt;Team_Matches!I2472,MIN(Team_Matches!I2470,Team_Matches!I2472),-MIN(Team_Matches!I2470,Team_Matches!I2472))*IF(Team_Matches!$Q2470="W",1,-1),"")</f>
        <v/>
      </c>
      <c r="H194" s="93" t="str">
        <f>IF(Team_Matches!$Q2470&lt;&gt;"",IF(Team_Matches!J2470&gt;Team_Matches!J2472,MIN(Team_Matches!J2470,Team_Matches!J2472),-MIN(Team_Matches!J2470,Team_Matches!J2472))*IF(Team_Matches!$Q2470="W",1,-1),"")</f>
        <v/>
      </c>
      <c r="I194" s="93" t="str">
        <f>IF(Team_Matches!$Q2470&lt;&gt;"",IF(Team_Matches!K2470=Team_Matches!K2472,"",IF(Team_Matches!K2470&gt;Team_Matches!K2472,MIN(Team_Matches!K2470,Team_Matches!K2472),-MIN(Team_Matches!K2470,Team_Matches!K2472))*IF(Team_Matches!$Q2470="W",1,-1)),"")</f>
        <v/>
      </c>
      <c r="J194" s="93" t="str">
        <f>IF(Team_Matches!$Q2470&lt;&gt;"",IF(Team_Matches!L2470=Team_Matches!L2472,"",IF(Team_Matches!L2470&gt;Team_Matches!L2472,MIN(Team_Matches!L2470,Team_Matches!L2472),-MIN(Team_Matches!L2470,Team_Matches!L2472))*IF(Team_Matches!$Q2470="W",1,-1)),"")</f>
        <v/>
      </c>
    </row>
    <row r="195" spans="1:10">
      <c r="A195" s="68" t="e">
        <f>$B195&amp;";"&amp;VLOOKUP($B195,Players!$C$4:$G$132,5,FALSE)&amp;";"&amp;IF(ISERROR(VLOOKUP($B195,Players!$C$4:$G$132,2,FALSE)),0,VLOOKUP($B195,Players!$C$4:$G$132,2,FALSE))&amp;";"&amp;$C195&amp;";"&amp;VLOOKUP($C195,Players!$C$4:$G$132,5,FALSE)&amp;";"&amp;IF(ISERROR(VLOOKUP($C195,Players!$C$4:$G$132,2,FALSE)),0,VLOOKUP($C195,Players!$C$4:$G$132,2,FALSE))&amp;"|"</f>
        <v>#N/A</v>
      </c>
      <c r="B195" t="str">
        <f>IF(Team_Matches!$Q2477="W",Team_Matches!$B2477,IF(Team_Matches!$Q2479="W",Team_Matches!$B2479,""))</f>
        <v/>
      </c>
      <c r="C195" t="str">
        <f>IF(Team_Matches!$Q2477="L",Team_Matches!$B2477,IF(Team_Matches!$Q2479="L",Team_Matches!$B2479,""))</f>
        <v/>
      </c>
      <c r="D195" t="str">
        <f>CONCATENATE(Team_Matches!$B2457," vs ",Team_Matches!$K2457)</f>
        <v>D vs K</v>
      </c>
      <c r="E195" t="str">
        <f>Team_Matches!$A2475</f>
        <v>3rd Singles</v>
      </c>
      <c r="F195" s="93" t="str">
        <f>IF(Team_Matches!$Q2477&lt;&gt;"",IF(Team_Matches!H2477&gt;Team_Matches!H2479,MIN(Team_Matches!H2477,Team_Matches!H2479),-MIN(Team_Matches!H2477,Team_Matches!H2479))*IF(Team_Matches!$Q2477="W",1,-1),"")</f>
        <v/>
      </c>
      <c r="G195" s="93" t="str">
        <f>IF(Team_Matches!$Q2477&lt;&gt;"",IF(Team_Matches!I2477&gt;Team_Matches!I2479,MIN(Team_Matches!I2477,Team_Matches!I2479),-MIN(Team_Matches!I2477,Team_Matches!I2479))*IF(Team_Matches!$Q2477="W",1,-1),"")</f>
        <v/>
      </c>
      <c r="H195" s="93" t="str">
        <f>IF(Team_Matches!$Q2477&lt;&gt;"",IF(Team_Matches!J2477&gt;Team_Matches!J2479,MIN(Team_Matches!J2477,Team_Matches!J2479),-MIN(Team_Matches!J2477,Team_Matches!J2479))*IF(Team_Matches!$Q2477="W",1,-1),"")</f>
        <v/>
      </c>
      <c r="I195" s="93" t="str">
        <f>IF(Team_Matches!$Q2477&lt;&gt;"",IF(Team_Matches!K2477=Team_Matches!K2479,"",IF(Team_Matches!K2477&gt;Team_Matches!K2479,MIN(Team_Matches!K2477,Team_Matches!K2479),-MIN(Team_Matches!K2477,Team_Matches!K2479))*IF(Team_Matches!$Q2477="W",1,-1)),"")</f>
        <v/>
      </c>
      <c r="J195" s="93" t="str">
        <f>IF(Team_Matches!$Q2477&lt;&gt;"",IF(Team_Matches!L2477=Team_Matches!L2479,"",IF(Team_Matches!L2477&gt;Team_Matches!L2479,MIN(Team_Matches!L2477,Team_Matches!L2479),-MIN(Team_Matches!L2477,Team_Matches!L2479))*IF(Team_Matches!$Q2477="W",1,-1)),"")</f>
        <v/>
      </c>
    </row>
    <row r="196" spans="1:10">
      <c r="A196" s="68" t="e">
        <f ca="1">$B196&amp;";"&amp;VLOOKUP($B196,Players!$C$4:$G$132,5,FALSE)&amp;";"&amp;IF(ISERROR(VLOOKUP($B196,Players!$C$4:$G$132,2,FALSE)),0,VLOOKUP($B196,Players!$C$4:$G$132,2,FALSE))&amp;";"&amp;$C196&amp;";"&amp;VLOOKUP($C196,Players!$C$4:$G$132,5,FALSE)&amp;";"&amp;IF(ISERROR(VLOOKUP($C196,Players!$C$4:$G$132,2,FALSE)),0,VLOOKUP($C196,Players!$C$4:$G$132,2,FALSE))&amp;"|"</f>
        <v>#N/A</v>
      </c>
      <c r="B196" t="str">
        <f ca="1">IF(Team_Matches!$Q2484="W",Team_Matches!$B2484,IF(Team_Matches!$Q2486="W",Team_Matches!$B2486,""))</f>
        <v/>
      </c>
      <c r="C196" t="str">
        <f ca="1">IF(Team_Matches!$Q2484="L",Team_Matches!$B2484,IF(Team_Matches!$Q2486="L",Team_Matches!$B2486,""))</f>
        <v/>
      </c>
      <c r="D196" t="str">
        <f>CONCATENATE(Team_Matches!$B2457," vs ",Team_Matches!$K2457)</f>
        <v>D vs K</v>
      </c>
      <c r="E196" t="str">
        <f>Team_Matches!$A2482</f>
        <v>4th Singles</v>
      </c>
      <c r="F196" s="93" t="str">
        <f ca="1">IF(Team_Matches!$Q2484&lt;&gt;"",IF(Team_Matches!H2484&gt;Team_Matches!H2486,MIN(Team_Matches!H2484,Team_Matches!H2486),-MIN(Team_Matches!H2484,Team_Matches!H2486))*IF(Team_Matches!$Q2484="W",1,-1),"")</f>
        <v/>
      </c>
      <c r="G196" s="93" t="str">
        <f ca="1">IF(Team_Matches!$Q2484&lt;&gt;"",IF(Team_Matches!I2484&gt;Team_Matches!I2486,MIN(Team_Matches!I2484,Team_Matches!I2486),-MIN(Team_Matches!I2484,Team_Matches!I2486))*IF(Team_Matches!$Q2484="W",1,-1),"")</f>
        <v/>
      </c>
      <c r="H196" s="93" t="str">
        <f ca="1">IF(Team_Matches!$Q2484&lt;&gt;"",IF(Team_Matches!J2484&gt;Team_Matches!J2486,MIN(Team_Matches!J2484,Team_Matches!J2486),-MIN(Team_Matches!J2484,Team_Matches!J2486))*IF(Team_Matches!$Q2484="W",1,-1),"")</f>
        <v/>
      </c>
      <c r="I196" s="93" t="str">
        <f ca="1">IF(Team_Matches!$Q2484&lt;&gt;"",IF(Team_Matches!K2484=Team_Matches!K2486,"",IF(Team_Matches!K2484&gt;Team_Matches!K2486,MIN(Team_Matches!K2484,Team_Matches!K2486),-MIN(Team_Matches!K2484,Team_Matches!K2486))*IF(Team_Matches!$Q2484="W",1,-1)),"")</f>
        <v/>
      </c>
      <c r="J196" s="93" t="str">
        <f ca="1">IF(Team_Matches!$Q2484&lt;&gt;"",IF(Team_Matches!L2484=Team_Matches!L2486,"",IF(Team_Matches!L2484&gt;Team_Matches!L2486,MIN(Team_Matches!L2484,Team_Matches!L2486),-MIN(Team_Matches!L2484,Team_Matches!L2486))*IF(Team_Matches!$Q2484="W",1,-1)),"")</f>
        <v/>
      </c>
    </row>
    <row r="197" spans="1:10">
      <c r="A197" s="68" t="e">
        <f>$B197&amp;";"&amp;VLOOKUP($B197,Players!$C$4:$G$132,5,FALSE)&amp;";"&amp;IF(ISERROR(VLOOKUP($B197,Players!$C$4:$G$132,2,FALSE)),0,VLOOKUP($B197,Players!$C$4:$G$132,2,FALSE))&amp;";"&amp;$C197&amp;";"&amp;VLOOKUP($C197,Players!$C$4:$G$132,5,FALSE)&amp;";"&amp;IF(ISERROR(VLOOKUP($C197,Players!$C$4:$G$132,2,FALSE)),0,VLOOKUP($C197,Players!$C$4:$G$132,2,FALSE))&amp;"|"</f>
        <v>#N/A</v>
      </c>
      <c r="B197" t="str">
        <f>IF(Team_Matches!$Q2514="W",Team_Matches!$B2514,IF(Team_Matches!$Q2516="W",Team_Matches!$B2516,""))</f>
        <v/>
      </c>
      <c r="C197" t="str">
        <f>IF(Team_Matches!$Q2514="L",Team_Matches!$B2514,IF(Team_Matches!$Q2516="L",Team_Matches!$B2516,""))</f>
        <v/>
      </c>
      <c r="D197" t="str">
        <f>CONCATENATE(Team_Matches!$B2508," vs ",Team_Matches!$K2508)</f>
        <v>D vs L</v>
      </c>
      <c r="E197" t="str">
        <f>Team_Matches!A2512</f>
        <v>1st Singles</v>
      </c>
      <c r="F197" s="93" t="str">
        <f>IF(Team_Matches!$Q2514&lt;&gt;"",IF(Team_Matches!H2514&gt;Team_Matches!H2516,MIN(Team_Matches!H2514,Team_Matches!H2516),-MIN(Team_Matches!H2514,Team_Matches!H2516))*IF(Team_Matches!$Q2514="W",1,-1),"")</f>
        <v/>
      </c>
      <c r="G197" s="93" t="str">
        <f>IF(Team_Matches!$Q2514&lt;&gt;"",IF(Team_Matches!I2514&gt;Team_Matches!I2516,MIN(Team_Matches!I2514,Team_Matches!I2516),-MIN(Team_Matches!I2514,Team_Matches!I2516))*IF(Team_Matches!$Q2514="W",1,-1),"")</f>
        <v/>
      </c>
      <c r="H197" s="93" t="str">
        <f>IF(Team_Matches!$Q2514&lt;&gt;"",IF(Team_Matches!J2514&gt;Team_Matches!J2516,MIN(Team_Matches!J2514,Team_Matches!J2516),-MIN(Team_Matches!J2514,Team_Matches!J2516))*IF(Team_Matches!$Q2514="W",1,-1),"")</f>
        <v/>
      </c>
      <c r="I197" s="93" t="str">
        <f>IF(Team_Matches!$Q2514&lt;&gt;"",IF(Team_Matches!K2514=Team_Matches!K2516,"",IF(Team_Matches!K2514&gt;Team_Matches!K2516,MIN(Team_Matches!K2514,Team_Matches!K2516),-MIN(Team_Matches!K2514,Team_Matches!K2516))*IF(Team_Matches!$Q2514="W",1,-1)),"")</f>
        <v/>
      </c>
      <c r="J197" s="93" t="str">
        <f>IF(Team_Matches!$Q2514&lt;&gt;"",IF(Team_Matches!L2514=Team_Matches!L2516,"",IF(Team_Matches!L2514&gt;Team_Matches!L2516,MIN(Team_Matches!L2514,Team_Matches!L2516),-MIN(Team_Matches!L2514,Team_Matches!L2516))*IF(Team_Matches!$Q2514="W",1,-1)),"")</f>
        <v/>
      </c>
    </row>
    <row r="198" spans="1:10">
      <c r="A198" s="68" t="e">
        <f>$B198&amp;";"&amp;VLOOKUP($B198,Players!$C$4:$G$132,5,FALSE)&amp;";"&amp;IF(ISERROR(VLOOKUP($B198,Players!$C$4:$G$132,2,FALSE)),0,VLOOKUP($B198,Players!$C$4:$G$132,2,FALSE))&amp;";"&amp;$C198&amp;";"&amp;VLOOKUP($C198,Players!$C$4:$G$132,5,FALSE)&amp;";"&amp;IF(ISERROR(VLOOKUP($C198,Players!$C$4:$G$132,2,FALSE)),0,VLOOKUP($C198,Players!$C$4:$G$132,2,FALSE))&amp;"|"</f>
        <v>#N/A</v>
      </c>
      <c r="B198" t="str">
        <f>IF(Team_Matches!$Q2521="W",Team_Matches!$B2521,IF(Team_Matches!$Q2523="W",Team_Matches!$B2523,""))</f>
        <v/>
      </c>
      <c r="C198" t="str">
        <f>IF(Team_Matches!$Q2521="L",Team_Matches!$B2521,IF(Team_Matches!$Q2523="L",Team_Matches!$B2523,""))</f>
        <v/>
      </c>
      <c r="D198" t="str">
        <f>CONCATENATE(Team_Matches!$B2508," vs ",Team_Matches!$K2508)</f>
        <v>D vs L</v>
      </c>
      <c r="E198" t="str">
        <f>Team_Matches!$A2519</f>
        <v>2nd Singles</v>
      </c>
      <c r="F198" s="93" t="str">
        <f>IF(Team_Matches!$Q2521&lt;&gt;"",IF(Team_Matches!H2521&gt;Team_Matches!H2523,MIN(Team_Matches!H2521,Team_Matches!H2523),-MIN(Team_Matches!H2521,Team_Matches!H2523))*IF(Team_Matches!$Q2521="W",1,-1),"")</f>
        <v/>
      </c>
      <c r="G198" s="93" t="str">
        <f>IF(Team_Matches!$Q2521&lt;&gt;"",IF(Team_Matches!I2521&gt;Team_Matches!I2523,MIN(Team_Matches!I2521,Team_Matches!I2523),-MIN(Team_Matches!I2521,Team_Matches!I2523))*IF(Team_Matches!$Q2521="W",1,-1),"")</f>
        <v/>
      </c>
      <c r="H198" s="93" t="str">
        <f>IF(Team_Matches!$Q2521&lt;&gt;"",IF(Team_Matches!J2521&gt;Team_Matches!J2523,MIN(Team_Matches!J2521,Team_Matches!J2523),-MIN(Team_Matches!J2521,Team_Matches!J2523))*IF(Team_Matches!$Q2521="W",1,-1),"")</f>
        <v/>
      </c>
      <c r="I198" s="93" t="str">
        <f>IF(Team_Matches!$Q2521&lt;&gt;"",IF(Team_Matches!K2521=Team_Matches!K2523,"",IF(Team_Matches!K2521&gt;Team_Matches!K2523,MIN(Team_Matches!K2521,Team_Matches!K2523),-MIN(Team_Matches!K2521,Team_Matches!K2523))*IF(Team_Matches!$Q2521="W",1,-1)),"")</f>
        <v/>
      </c>
      <c r="J198" s="93" t="str">
        <f>IF(Team_Matches!$Q2521&lt;&gt;"",IF(Team_Matches!L2521=Team_Matches!L2523,"",IF(Team_Matches!L2521&gt;Team_Matches!L2523,MIN(Team_Matches!L2521,Team_Matches!L2523),-MIN(Team_Matches!L2521,Team_Matches!L2523))*IF(Team_Matches!$Q2521="W",1,-1)),"")</f>
        <v/>
      </c>
    </row>
    <row r="199" spans="1:10">
      <c r="A199" s="68" t="e">
        <f>$B199&amp;";"&amp;VLOOKUP($B199,Players!$C$4:$G$132,5,FALSE)&amp;";"&amp;IF(ISERROR(VLOOKUP($B199,Players!$C$4:$G$132,2,FALSE)),0,VLOOKUP($B199,Players!$C$4:$G$132,2,FALSE))&amp;";"&amp;$C199&amp;";"&amp;VLOOKUP($C199,Players!$C$4:$G$132,5,FALSE)&amp;";"&amp;IF(ISERROR(VLOOKUP($C199,Players!$C$4:$G$132,2,FALSE)),0,VLOOKUP($C199,Players!$C$4:$G$132,2,FALSE))&amp;"|"</f>
        <v>#N/A</v>
      </c>
      <c r="B199" t="str">
        <f>IF(Team_Matches!$Q2528="W",Team_Matches!$B2528,IF(Team_Matches!$Q2530="W",Team_Matches!$B2530,""))</f>
        <v/>
      </c>
      <c r="C199" t="str">
        <f>IF(Team_Matches!$Q2528="L",Team_Matches!$B2528,IF(Team_Matches!$Q2530="L",Team_Matches!$B2530,""))</f>
        <v/>
      </c>
      <c r="D199" t="str">
        <f>CONCATENATE(Team_Matches!$B2508," vs ",Team_Matches!$K2508)</f>
        <v>D vs L</v>
      </c>
      <c r="E199" t="str">
        <f>Team_Matches!$A2526</f>
        <v>3rd Singles</v>
      </c>
      <c r="F199" s="93" t="str">
        <f>IF(Team_Matches!$Q2528&lt;&gt;"",IF(Team_Matches!H2528&gt;Team_Matches!H2530,MIN(Team_Matches!H2528,Team_Matches!H2530),-MIN(Team_Matches!H2528,Team_Matches!H2530))*IF(Team_Matches!$Q2528="W",1,-1),"")</f>
        <v/>
      </c>
      <c r="G199" s="93" t="str">
        <f>IF(Team_Matches!$Q2528&lt;&gt;"",IF(Team_Matches!I2528&gt;Team_Matches!I2530,MIN(Team_Matches!I2528,Team_Matches!I2530),-MIN(Team_Matches!I2528,Team_Matches!I2530))*IF(Team_Matches!$Q2528="W",1,-1),"")</f>
        <v/>
      </c>
      <c r="H199" s="93" t="str">
        <f>IF(Team_Matches!$Q2528&lt;&gt;"",IF(Team_Matches!J2528&gt;Team_Matches!J2530,MIN(Team_Matches!J2528,Team_Matches!J2530),-MIN(Team_Matches!J2528,Team_Matches!J2530))*IF(Team_Matches!$Q2528="W",1,-1),"")</f>
        <v/>
      </c>
      <c r="I199" s="93" t="str">
        <f>IF(Team_Matches!$Q2528&lt;&gt;"",IF(Team_Matches!K2528=Team_Matches!K2530,"",IF(Team_Matches!K2528&gt;Team_Matches!K2530,MIN(Team_Matches!K2528,Team_Matches!K2530),-MIN(Team_Matches!K2528,Team_Matches!K2530))*IF(Team_Matches!$Q2528="W",1,-1)),"")</f>
        <v/>
      </c>
      <c r="J199" s="93" t="str">
        <f>IF(Team_Matches!$Q2528&lt;&gt;"",IF(Team_Matches!L2528=Team_Matches!L2530,"",IF(Team_Matches!L2528&gt;Team_Matches!L2530,MIN(Team_Matches!L2528,Team_Matches!L2530),-MIN(Team_Matches!L2528,Team_Matches!L2530))*IF(Team_Matches!$Q2528="W",1,-1)),"")</f>
        <v/>
      </c>
    </row>
    <row r="200" spans="1:10">
      <c r="A200" s="68" t="e">
        <f ca="1">$B200&amp;";"&amp;VLOOKUP($B200,Players!$C$4:$G$132,5,FALSE)&amp;";"&amp;IF(ISERROR(VLOOKUP($B200,Players!$C$4:$G$132,2,FALSE)),0,VLOOKUP($B200,Players!$C$4:$G$132,2,FALSE))&amp;";"&amp;$C200&amp;";"&amp;VLOOKUP($C200,Players!$C$4:$G$132,5,FALSE)&amp;";"&amp;IF(ISERROR(VLOOKUP($C200,Players!$C$4:$G$132,2,FALSE)),0,VLOOKUP($C200,Players!$C$4:$G$132,2,FALSE))&amp;"|"</f>
        <v>#N/A</v>
      </c>
      <c r="B200" t="str">
        <f ca="1">IF(Team_Matches!$Q2535="W",Team_Matches!$B2535,IF(Team_Matches!$Q2537="W",Team_Matches!$B2537,""))</f>
        <v/>
      </c>
      <c r="C200" t="str">
        <f ca="1">IF(Team_Matches!$Q2535="L",Team_Matches!$B2535,IF(Team_Matches!$Q2537="L",Team_Matches!$B2537,""))</f>
        <v/>
      </c>
      <c r="D200" t="str">
        <f>CONCATENATE(Team_Matches!$B2508," vs ",Team_Matches!$K2508)</f>
        <v>D vs L</v>
      </c>
      <c r="E200" t="str">
        <f>Team_Matches!$A2533</f>
        <v>4th Singles</v>
      </c>
      <c r="F200" s="93" t="str">
        <f ca="1">IF(Team_Matches!$Q2535&lt;&gt;"",IF(Team_Matches!H2535&gt;Team_Matches!H2537,MIN(Team_Matches!H2535,Team_Matches!H2537),-MIN(Team_Matches!H2535,Team_Matches!H2537))*IF(Team_Matches!$Q2535="W",1,-1),"")</f>
        <v/>
      </c>
      <c r="G200" s="93" t="str">
        <f ca="1">IF(Team_Matches!$Q2535&lt;&gt;"",IF(Team_Matches!I2535&gt;Team_Matches!I2537,MIN(Team_Matches!I2535,Team_Matches!I2537),-MIN(Team_Matches!I2535,Team_Matches!I2537))*IF(Team_Matches!$Q2535="W",1,-1),"")</f>
        <v/>
      </c>
      <c r="H200" s="93" t="str">
        <f ca="1">IF(Team_Matches!$Q2535&lt;&gt;"",IF(Team_Matches!J2535&gt;Team_Matches!J2537,MIN(Team_Matches!J2535,Team_Matches!J2537),-MIN(Team_Matches!J2535,Team_Matches!J2537))*IF(Team_Matches!$Q2535="W",1,-1),"")</f>
        <v/>
      </c>
      <c r="I200" s="93" t="str">
        <f ca="1">IF(Team_Matches!$Q2535&lt;&gt;"",IF(Team_Matches!K2535=Team_Matches!K2537,"",IF(Team_Matches!K2535&gt;Team_Matches!K2537,MIN(Team_Matches!K2535,Team_Matches!K2537),-MIN(Team_Matches!K2535,Team_Matches!K2537))*IF(Team_Matches!$Q2535="W",1,-1)),"")</f>
        <v/>
      </c>
      <c r="J200" s="93" t="str">
        <f ca="1">IF(Team_Matches!$Q2535&lt;&gt;"",IF(Team_Matches!L2535=Team_Matches!L2537,"",IF(Team_Matches!L2535&gt;Team_Matches!L2537,MIN(Team_Matches!L2535,Team_Matches!L2537),-MIN(Team_Matches!L2535,Team_Matches!L2537))*IF(Team_Matches!$Q2535="W",1,-1)),"")</f>
        <v/>
      </c>
    </row>
    <row r="201" spans="1:10">
      <c r="A201" s="68" t="e">
        <f>$B201&amp;";"&amp;VLOOKUP($B201,Players!$C$4:$G$132,5,FALSE)&amp;";"&amp;IF(ISERROR(VLOOKUP($B201,Players!$C$4:$G$132,2,FALSE)),0,VLOOKUP($B201,Players!$C$4:$G$132,2,FALSE))&amp;";"&amp;$C201&amp;";"&amp;VLOOKUP($C201,Players!$C$4:$G$132,5,FALSE)&amp;";"&amp;IF(ISERROR(VLOOKUP($C201,Players!$C$4:$G$132,2,FALSE)),0,VLOOKUP($C201,Players!$C$4:$G$132,2,FALSE))&amp;"|"</f>
        <v>#N/A</v>
      </c>
      <c r="B201" t="str">
        <f>IF(Team_Matches!$Q2565="W",Team_Matches!$B2565,IF(Team_Matches!$Q2567="W",Team_Matches!$B2567,""))</f>
        <v/>
      </c>
      <c r="C201" t="str">
        <f>IF(Team_Matches!$Q2565="L",Team_Matches!$B2565,IF(Team_Matches!$Q2567="L",Team_Matches!$B2567,""))</f>
        <v/>
      </c>
      <c r="D201" t="str">
        <f>CONCATENATE(Team_Matches!$B2559," vs ",Team_Matches!$K2559)</f>
        <v>E vs I</v>
      </c>
      <c r="E201" t="str">
        <f>Team_Matches!A2563</f>
        <v>1st Singles</v>
      </c>
      <c r="F201" s="93" t="str">
        <f>IF(Team_Matches!$Q2565&lt;&gt;"",IF(Team_Matches!H2565&gt;Team_Matches!H2567,MIN(Team_Matches!H2565,Team_Matches!H2567),-MIN(Team_Matches!H2565,Team_Matches!H2567))*IF(Team_Matches!$Q2565="W",1,-1),"")</f>
        <v/>
      </c>
      <c r="G201" s="93" t="str">
        <f>IF(Team_Matches!$Q2565&lt;&gt;"",IF(Team_Matches!I2565&gt;Team_Matches!I2567,MIN(Team_Matches!I2565,Team_Matches!I2567),-MIN(Team_Matches!I2565,Team_Matches!I2567))*IF(Team_Matches!$Q2565="W",1,-1),"")</f>
        <v/>
      </c>
      <c r="H201" s="93" t="str">
        <f>IF(Team_Matches!$Q2565&lt;&gt;"",IF(Team_Matches!J2565&gt;Team_Matches!J2567,MIN(Team_Matches!J2565,Team_Matches!J2567),-MIN(Team_Matches!J2565,Team_Matches!J2567))*IF(Team_Matches!$Q2565="W",1,-1),"")</f>
        <v/>
      </c>
      <c r="I201" s="93" t="str">
        <f>IF(Team_Matches!$Q2565&lt;&gt;"",IF(Team_Matches!K2565=Team_Matches!K2567,"",IF(Team_Matches!K2565&gt;Team_Matches!K2567,MIN(Team_Matches!K2565,Team_Matches!K2567),-MIN(Team_Matches!K2565,Team_Matches!K2567))*IF(Team_Matches!$Q2565="W",1,-1)),"")</f>
        <v/>
      </c>
      <c r="J201" s="93" t="str">
        <f>IF(Team_Matches!$Q2565&lt;&gt;"",IF(Team_Matches!L2565=Team_Matches!L2567,"",IF(Team_Matches!L2565&gt;Team_Matches!L2567,MIN(Team_Matches!L2565,Team_Matches!L2567),-MIN(Team_Matches!L2565,Team_Matches!L2567))*IF(Team_Matches!$Q2565="W",1,-1)),"")</f>
        <v/>
      </c>
    </row>
    <row r="202" spans="1:10">
      <c r="A202" s="68" t="e">
        <f>$B202&amp;";"&amp;VLOOKUP($B202,Players!$C$4:$G$132,5,FALSE)&amp;";"&amp;IF(ISERROR(VLOOKUP($B202,Players!$C$4:$G$132,2,FALSE)),0,VLOOKUP($B202,Players!$C$4:$G$132,2,FALSE))&amp;";"&amp;$C202&amp;";"&amp;VLOOKUP($C202,Players!$C$4:$G$132,5,FALSE)&amp;";"&amp;IF(ISERROR(VLOOKUP($C202,Players!$C$4:$G$132,2,FALSE)),0,VLOOKUP($C202,Players!$C$4:$G$132,2,FALSE))&amp;"|"</f>
        <v>#N/A</v>
      </c>
      <c r="B202" t="str">
        <f>IF(Team_Matches!$Q2572="W",Team_Matches!$B2572,IF(Team_Matches!$Q2574="W",Team_Matches!$B2574,""))</f>
        <v/>
      </c>
      <c r="C202" t="str">
        <f>IF(Team_Matches!$Q2572="L",Team_Matches!$B2572,IF(Team_Matches!$Q2574="L",Team_Matches!$B2574,""))</f>
        <v/>
      </c>
      <c r="D202" t="str">
        <f>CONCATENATE(Team_Matches!$B2559," vs ",Team_Matches!$K2559)</f>
        <v>E vs I</v>
      </c>
      <c r="E202" t="str">
        <f>Team_Matches!$A2570</f>
        <v>2nd Singles</v>
      </c>
      <c r="F202" s="93" t="str">
        <f>IF(Team_Matches!$Q2572&lt;&gt;"",IF(Team_Matches!H2572&gt;Team_Matches!H2574,MIN(Team_Matches!H2572,Team_Matches!H2574),-MIN(Team_Matches!H2572,Team_Matches!H2574))*IF(Team_Matches!$Q2572="W",1,-1),"")</f>
        <v/>
      </c>
      <c r="G202" s="93" t="str">
        <f>IF(Team_Matches!$Q2572&lt;&gt;"",IF(Team_Matches!I2572&gt;Team_Matches!I2574,MIN(Team_Matches!I2572,Team_Matches!I2574),-MIN(Team_Matches!I2572,Team_Matches!I2574))*IF(Team_Matches!$Q2572="W",1,-1),"")</f>
        <v/>
      </c>
      <c r="H202" s="93" t="str">
        <f>IF(Team_Matches!$Q2572&lt;&gt;"",IF(Team_Matches!J2572&gt;Team_Matches!J2574,MIN(Team_Matches!J2572,Team_Matches!J2574),-MIN(Team_Matches!J2572,Team_Matches!J2574))*IF(Team_Matches!$Q2572="W",1,-1),"")</f>
        <v/>
      </c>
      <c r="I202" s="93" t="str">
        <f>IF(Team_Matches!$Q2572&lt;&gt;"",IF(Team_Matches!K2572=Team_Matches!K2574,"",IF(Team_Matches!K2572&gt;Team_Matches!K2574,MIN(Team_Matches!K2572,Team_Matches!K2574),-MIN(Team_Matches!K2572,Team_Matches!K2574))*IF(Team_Matches!$Q2572="W",1,-1)),"")</f>
        <v/>
      </c>
      <c r="J202" s="93" t="str">
        <f>IF(Team_Matches!$Q2572&lt;&gt;"",IF(Team_Matches!L2572=Team_Matches!L2574,"",IF(Team_Matches!L2572&gt;Team_Matches!L2574,MIN(Team_Matches!L2572,Team_Matches!L2574),-MIN(Team_Matches!L2572,Team_Matches!L2574))*IF(Team_Matches!$Q2572="W",1,-1)),"")</f>
        <v/>
      </c>
    </row>
    <row r="203" spans="1:10">
      <c r="A203" s="68" t="e">
        <f>$B203&amp;";"&amp;VLOOKUP($B203,Players!$C$4:$G$132,5,FALSE)&amp;";"&amp;IF(ISERROR(VLOOKUP($B203,Players!$C$4:$G$132,2,FALSE)),0,VLOOKUP($B203,Players!$C$4:$G$132,2,FALSE))&amp;";"&amp;$C203&amp;";"&amp;VLOOKUP($C203,Players!$C$4:$G$132,5,FALSE)&amp;";"&amp;IF(ISERROR(VLOOKUP($C203,Players!$C$4:$G$132,2,FALSE)),0,VLOOKUP($C203,Players!$C$4:$G$132,2,FALSE))&amp;"|"</f>
        <v>#N/A</v>
      </c>
      <c r="B203" t="str">
        <f>IF(Team_Matches!$Q2579="W",Team_Matches!$B2579,IF(Team_Matches!$Q2581="W",Team_Matches!$B2581,""))</f>
        <v/>
      </c>
      <c r="C203" t="str">
        <f>IF(Team_Matches!$Q2579="L",Team_Matches!$B2579,IF(Team_Matches!$Q2581="L",Team_Matches!$B2581,""))</f>
        <v/>
      </c>
      <c r="D203" t="str">
        <f>CONCATENATE(Team_Matches!$B2559," vs ",Team_Matches!$K2559)</f>
        <v>E vs I</v>
      </c>
      <c r="E203" t="str">
        <f>Team_Matches!$A2577</f>
        <v>3rd Singles</v>
      </c>
      <c r="F203" s="93" t="str">
        <f>IF(Team_Matches!$Q2579&lt;&gt;"",IF(Team_Matches!H2579&gt;Team_Matches!H2581,MIN(Team_Matches!H2579,Team_Matches!H2581),-MIN(Team_Matches!H2579,Team_Matches!H2581))*IF(Team_Matches!$Q2579="W",1,-1),"")</f>
        <v/>
      </c>
      <c r="G203" s="93" t="str">
        <f>IF(Team_Matches!$Q2579&lt;&gt;"",IF(Team_Matches!I2579&gt;Team_Matches!I2581,MIN(Team_Matches!I2579,Team_Matches!I2581),-MIN(Team_Matches!I2579,Team_Matches!I2581))*IF(Team_Matches!$Q2579="W",1,-1),"")</f>
        <v/>
      </c>
      <c r="H203" s="93" t="str">
        <f>IF(Team_Matches!$Q2579&lt;&gt;"",IF(Team_Matches!J2579&gt;Team_Matches!J2581,MIN(Team_Matches!J2579,Team_Matches!J2581),-MIN(Team_Matches!J2579,Team_Matches!J2581))*IF(Team_Matches!$Q2579="W",1,-1),"")</f>
        <v/>
      </c>
      <c r="I203" s="93" t="str">
        <f>IF(Team_Matches!$Q2579&lt;&gt;"",IF(Team_Matches!K2579=Team_Matches!K2581,"",IF(Team_Matches!K2579&gt;Team_Matches!K2581,MIN(Team_Matches!K2579,Team_Matches!K2581),-MIN(Team_Matches!K2579,Team_Matches!K2581))*IF(Team_Matches!$Q2579="W",1,-1)),"")</f>
        <v/>
      </c>
      <c r="J203" s="93" t="str">
        <f>IF(Team_Matches!$Q2579&lt;&gt;"",IF(Team_Matches!L2579=Team_Matches!L2581,"",IF(Team_Matches!L2579&gt;Team_Matches!L2581,MIN(Team_Matches!L2579,Team_Matches!L2581),-MIN(Team_Matches!L2579,Team_Matches!L2581))*IF(Team_Matches!$Q2579="W",1,-1)),"")</f>
        <v/>
      </c>
    </row>
    <row r="204" spans="1:10">
      <c r="A204" s="68" t="e">
        <f ca="1">$B204&amp;";"&amp;VLOOKUP($B204,Players!$C$4:$G$132,5,FALSE)&amp;";"&amp;IF(ISERROR(VLOOKUP($B204,Players!$C$4:$G$132,2,FALSE)),0,VLOOKUP($B204,Players!$C$4:$G$132,2,FALSE))&amp;";"&amp;$C204&amp;";"&amp;VLOOKUP($C204,Players!$C$4:$G$132,5,FALSE)&amp;";"&amp;IF(ISERROR(VLOOKUP($C204,Players!$C$4:$G$132,2,FALSE)),0,VLOOKUP($C204,Players!$C$4:$G$132,2,FALSE))&amp;"|"</f>
        <v>#N/A</v>
      </c>
      <c r="B204" t="str">
        <f ca="1">IF(Team_Matches!$Q2586="W",Team_Matches!$B2586,IF(Team_Matches!$Q2588="W",Team_Matches!$B2588,""))</f>
        <v/>
      </c>
      <c r="C204" t="str">
        <f ca="1">IF(Team_Matches!$Q2586="L",Team_Matches!$B2586,IF(Team_Matches!$Q2588="L",Team_Matches!$B2588,""))</f>
        <v/>
      </c>
      <c r="D204" t="str">
        <f>CONCATENATE(Team_Matches!$B2559," vs ",Team_Matches!$K2559)</f>
        <v>E vs I</v>
      </c>
      <c r="E204" t="str">
        <f>Team_Matches!$A2584</f>
        <v>4th Singles</v>
      </c>
      <c r="F204" s="93" t="str">
        <f ca="1">IF(Team_Matches!$Q2586&lt;&gt;"",IF(Team_Matches!H2586&gt;Team_Matches!H2588,MIN(Team_Matches!H2586,Team_Matches!H2588),-MIN(Team_Matches!H2586,Team_Matches!H2588))*IF(Team_Matches!$Q2586="W",1,-1),"")</f>
        <v/>
      </c>
      <c r="G204" s="93" t="str">
        <f ca="1">IF(Team_Matches!$Q2586&lt;&gt;"",IF(Team_Matches!I2586&gt;Team_Matches!I2588,MIN(Team_Matches!I2586,Team_Matches!I2588),-MIN(Team_Matches!I2586,Team_Matches!I2588))*IF(Team_Matches!$Q2586="W",1,-1),"")</f>
        <v/>
      </c>
      <c r="H204" s="93" t="str">
        <f ca="1">IF(Team_Matches!$Q2586&lt;&gt;"",IF(Team_Matches!J2586&gt;Team_Matches!J2588,MIN(Team_Matches!J2586,Team_Matches!J2588),-MIN(Team_Matches!J2586,Team_Matches!J2588))*IF(Team_Matches!$Q2586="W",1,-1),"")</f>
        <v/>
      </c>
      <c r="I204" s="93" t="str">
        <f ca="1">IF(Team_Matches!$Q2586&lt;&gt;"",IF(Team_Matches!K2586=Team_Matches!K2588,"",IF(Team_Matches!K2586&gt;Team_Matches!K2588,MIN(Team_Matches!K2586,Team_Matches!K2588),-MIN(Team_Matches!K2586,Team_Matches!K2588))*IF(Team_Matches!$Q2586="W",1,-1)),"")</f>
        <v/>
      </c>
      <c r="J204" s="93" t="str">
        <f ca="1">IF(Team_Matches!$Q2586&lt;&gt;"",IF(Team_Matches!L2586=Team_Matches!L2588,"",IF(Team_Matches!L2586&gt;Team_Matches!L2588,MIN(Team_Matches!L2586,Team_Matches!L2588),-MIN(Team_Matches!L2586,Team_Matches!L2588))*IF(Team_Matches!$Q2586="W",1,-1)),"")</f>
        <v/>
      </c>
    </row>
    <row r="205" spans="1:10">
      <c r="A205" s="68" t="e">
        <f>$B205&amp;";"&amp;VLOOKUP($B205,Players!$C$4:$G$132,5,FALSE)&amp;";"&amp;IF(ISERROR(VLOOKUP($B205,Players!$C$4:$G$132,2,FALSE)),0,VLOOKUP($B205,Players!$C$4:$G$132,2,FALSE))&amp;";"&amp;$C205&amp;";"&amp;VLOOKUP($C205,Players!$C$4:$G$132,5,FALSE)&amp;";"&amp;IF(ISERROR(VLOOKUP($C205,Players!$C$4:$G$132,2,FALSE)),0,VLOOKUP($C205,Players!$C$4:$G$132,2,FALSE))&amp;"|"</f>
        <v>#N/A</v>
      </c>
      <c r="B205" t="str">
        <f>IF(Team_Matches!$Q2616="W",Team_Matches!$B2616,IF(Team_Matches!$Q2618="W",Team_Matches!$B2618,""))</f>
        <v/>
      </c>
      <c r="C205" t="str">
        <f>IF(Team_Matches!$Q2616="L",Team_Matches!$B2616,IF(Team_Matches!$Q2618="L",Team_Matches!$B2618,""))</f>
        <v/>
      </c>
      <c r="D205" t="str">
        <f>CONCATENATE(Team_Matches!$B2610," vs ",Team_Matches!$K2610)</f>
        <v>E vs J</v>
      </c>
      <c r="E205" t="str">
        <f>Team_Matches!A2614</f>
        <v>1st Singles</v>
      </c>
      <c r="F205" s="93" t="str">
        <f>IF(Team_Matches!$Q2616&lt;&gt;"",IF(Team_Matches!H2616&gt;Team_Matches!H2618,MIN(Team_Matches!H2616,Team_Matches!H2618),-MIN(Team_Matches!H2616,Team_Matches!H2618))*IF(Team_Matches!$Q2616="W",1,-1),"")</f>
        <v/>
      </c>
      <c r="G205" s="93" t="str">
        <f>IF(Team_Matches!$Q2616&lt;&gt;"",IF(Team_Matches!I2616&gt;Team_Matches!I2618,MIN(Team_Matches!I2616,Team_Matches!I2618),-MIN(Team_Matches!I2616,Team_Matches!I2618))*IF(Team_Matches!$Q2616="W",1,-1),"")</f>
        <v/>
      </c>
      <c r="H205" s="93" t="str">
        <f>IF(Team_Matches!$Q2616&lt;&gt;"",IF(Team_Matches!J2616&gt;Team_Matches!J2618,MIN(Team_Matches!J2616,Team_Matches!J2618),-MIN(Team_Matches!J2616,Team_Matches!J2618))*IF(Team_Matches!$Q2616="W",1,-1),"")</f>
        <v/>
      </c>
      <c r="I205" s="93" t="str">
        <f>IF(Team_Matches!$Q2616&lt;&gt;"",IF(Team_Matches!K2616=Team_Matches!K2618,"",IF(Team_Matches!K2616&gt;Team_Matches!K2618,MIN(Team_Matches!K2616,Team_Matches!K2618),-MIN(Team_Matches!K2616,Team_Matches!K2618))*IF(Team_Matches!$Q2616="W",1,-1)),"")</f>
        <v/>
      </c>
      <c r="J205" s="93" t="str">
        <f>IF(Team_Matches!$Q2616&lt;&gt;"",IF(Team_Matches!L2616=Team_Matches!L2618,"",IF(Team_Matches!L2616&gt;Team_Matches!L2618,MIN(Team_Matches!L2616,Team_Matches!L2618),-MIN(Team_Matches!L2616,Team_Matches!L2618))*IF(Team_Matches!$Q2616="W",1,-1)),"")</f>
        <v/>
      </c>
    </row>
    <row r="206" spans="1:10">
      <c r="A206" s="68" t="e">
        <f>$B206&amp;";"&amp;VLOOKUP($B206,Players!$C$4:$G$132,5,FALSE)&amp;";"&amp;IF(ISERROR(VLOOKUP($B206,Players!$C$4:$G$132,2,FALSE)),0,VLOOKUP($B206,Players!$C$4:$G$132,2,FALSE))&amp;";"&amp;$C206&amp;";"&amp;VLOOKUP($C206,Players!$C$4:$G$132,5,FALSE)&amp;";"&amp;IF(ISERROR(VLOOKUP($C206,Players!$C$4:$G$132,2,FALSE)),0,VLOOKUP($C206,Players!$C$4:$G$132,2,FALSE))&amp;"|"</f>
        <v>#N/A</v>
      </c>
      <c r="B206" t="str">
        <f>IF(Team_Matches!$Q2623="W",Team_Matches!$B2623,IF(Team_Matches!$Q2625="W",Team_Matches!$B2625,""))</f>
        <v/>
      </c>
      <c r="C206" t="str">
        <f>IF(Team_Matches!$Q2623="L",Team_Matches!$B2623,IF(Team_Matches!$Q2625="L",Team_Matches!$B2625,""))</f>
        <v/>
      </c>
      <c r="D206" t="str">
        <f>CONCATENATE(Team_Matches!$B2610," vs ",Team_Matches!$K2610)</f>
        <v>E vs J</v>
      </c>
      <c r="E206" t="str">
        <f>Team_Matches!$A2621</f>
        <v>2nd Singles</v>
      </c>
      <c r="F206" s="93" t="str">
        <f>IF(Team_Matches!$Q2623&lt;&gt;"",IF(Team_Matches!H2623&gt;Team_Matches!H2625,MIN(Team_Matches!H2623,Team_Matches!H2625),-MIN(Team_Matches!H2623,Team_Matches!H2625))*IF(Team_Matches!$Q2623="W",1,-1),"")</f>
        <v/>
      </c>
      <c r="G206" s="93" t="str">
        <f>IF(Team_Matches!$Q2623&lt;&gt;"",IF(Team_Matches!I2623&gt;Team_Matches!I2625,MIN(Team_Matches!I2623,Team_Matches!I2625),-MIN(Team_Matches!I2623,Team_Matches!I2625))*IF(Team_Matches!$Q2623="W",1,-1),"")</f>
        <v/>
      </c>
      <c r="H206" s="93" t="str">
        <f>IF(Team_Matches!$Q2623&lt;&gt;"",IF(Team_Matches!J2623&gt;Team_Matches!J2625,MIN(Team_Matches!J2623,Team_Matches!J2625),-MIN(Team_Matches!J2623,Team_Matches!J2625))*IF(Team_Matches!$Q2623="W",1,-1),"")</f>
        <v/>
      </c>
      <c r="I206" s="93" t="str">
        <f>IF(Team_Matches!$Q2623&lt;&gt;"",IF(Team_Matches!K2623=Team_Matches!K2625,"",IF(Team_Matches!K2623&gt;Team_Matches!K2625,MIN(Team_Matches!K2623,Team_Matches!K2625),-MIN(Team_Matches!K2623,Team_Matches!K2625))*IF(Team_Matches!$Q2623="W",1,-1)),"")</f>
        <v/>
      </c>
      <c r="J206" s="93" t="str">
        <f>IF(Team_Matches!$Q2623&lt;&gt;"",IF(Team_Matches!L2623=Team_Matches!L2625,"",IF(Team_Matches!L2623&gt;Team_Matches!L2625,MIN(Team_Matches!L2623,Team_Matches!L2625),-MIN(Team_Matches!L2623,Team_Matches!L2625))*IF(Team_Matches!$Q2623="W",1,-1)),"")</f>
        <v/>
      </c>
    </row>
    <row r="207" spans="1:10">
      <c r="A207" s="68" t="e">
        <f>$B207&amp;";"&amp;VLOOKUP($B207,Players!$C$4:$G$132,5,FALSE)&amp;";"&amp;IF(ISERROR(VLOOKUP($B207,Players!$C$4:$G$132,2,FALSE)),0,VLOOKUP($B207,Players!$C$4:$G$132,2,FALSE))&amp;";"&amp;$C207&amp;";"&amp;VLOOKUP($C207,Players!$C$4:$G$132,5,FALSE)&amp;";"&amp;IF(ISERROR(VLOOKUP($C207,Players!$C$4:$G$132,2,FALSE)),0,VLOOKUP($C207,Players!$C$4:$G$132,2,FALSE))&amp;"|"</f>
        <v>#N/A</v>
      </c>
      <c r="B207" t="str">
        <f>IF(Team_Matches!$Q2630="W",Team_Matches!$B2630,IF(Team_Matches!$Q2632="W",Team_Matches!$B2632,""))</f>
        <v/>
      </c>
      <c r="C207" t="str">
        <f>IF(Team_Matches!$Q2630="L",Team_Matches!$B2630,IF(Team_Matches!$Q2632="L",Team_Matches!$B2632,""))</f>
        <v/>
      </c>
      <c r="D207" t="str">
        <f>CONCATENATE(Team_Matches!$B2610," vs ",Team_Matches!$K2610)</f>
        <v>E vs J</v>
      </c>
      <c r="E207" t="str">
        <f>Team_Matches!$A2628</f>
        <v>3rd Singles</v>
      </c>
      <c r="F207" s="93" t="str">
        <f>IF(Team_Matches!$Q2630&lt;&gt;"",IF(Team_Matches!H2630&gt;Team_Matches!H2632,MIN(Team_Matches!H2630,Team_Matches!H2632),-MIN(Team_Matches!H2630,Team_Matches!H2632))*IF(Team_Matches!$Q2630="W",1,-1),"")</f>
        <v/>
      </c>
      <c r="G207" s="93" t="str">
        <f>IF(Team_Matches!$Q2630&lt;&gt;"",IF(Team_Matches!I2630&gt;Team_Matches!I2632,MIN(Team_Matches!I2630,Team_Matches!I2632),-MIN(Team_Matches!I2630,Team_Matches!I2632))*IF(Team_Matches!$Q2630="W",1,-1),"")</f>
        <v/>
      </c>
      <c r="H207" s="93" t="str">
        <f>IF(Team_Matches!$Q2630&lt;&gt;"",IF(Team_Matches!J2630&gt;Team_Matches!J2632,MIN(Team_Matches!J2630,Team_Matches!J2632),-MIN(Team_Matches!J2630,Team_Matches!J2632))*IF(Team_Matches!$Q2630="W",1,-1),"")</f>
        <v/>
      </c>
      <c r="I207" s="93" t="str">
        <f>IF(Team_Matches!$Q2630&lt;&gt;"",IF(Team_Matches!K2630=Team_Matches!K2632,"",IF(Team_Matches!K2630&gt;Team_Matches!K2632,MIN(Team_Matches!K2630,Team_Matches!K2632),-MIN(Team_Matches!K2630,Team_Matches!K2632))*IF(Team_Matches!$Q2630="W",1,-1)),"")</f>
        <v/>
      </c>
      <c r="J207" s="93" t="str">
        <f>IF(Team_Matches!$Q2630&lt;&gt;"",IF(Team_Matches!L2630=Team_Matches!L2632,"",IF(Team_Matches!L2630&gt;Team_Matches!L2632,MIN(Team_Matches!L2630,Team_Matches!L2632),-MIN(Team_Matches!L2630,Team_Matches!L2632))*IF(Team_Matches!$Q2630="W",1,-1)),"")</f>
        <v/>
      </c>
    </row>
    <row r="208" spans="1:10">
      <c r="A208" s="68" t="e">
        <f ca="1">$B208&amp;";"&amp;VLOOKUP($B208,Players!$C$4:$G$132,5,FALSE)&amp;";"&amp;IF(ISERROR(VLOOKUP($B208,Players!$C$4:$G$132,2,FALSE)),0,VLOOKUP($B208,Players!$C$4:$G$132,2,FALSE))&amp;";"&amp;$C208&amp;";"&amp;VLOOKUP($C208,Players!$C$4:$G$132,5,FALSE)&amp;";"&amp;IF(ISERROR(VLOOKUP($C208,Players!$C$4:$G$132,2,FALSE)),0,VLOOKUP($C208,Players!$C$4:$G$132,2,FALSE))&amp;"|"</f>
        <v>#N/A</v>
      </c>
      <c r="B208" t="str">
        <f ca="1">IF(Team_Matches!$Q2637="W",Team_Matches!$B2637,IF(Team_Matches!$Q2639="W",Team_Matches!$B2639,""))</f>
        <v/>
      </c>
      <c r="C208" t="str">
        <f ca="1">IF(Team_Matches!$Q2637="L",Team_Matches!$B2637,IF(Team_Matches!$Q2639="L",Team_Matches!$B2639,""))</f>
        <v/>
      </c>
      <c r="D208" t="str">
        <f>CONCATENATE(Team_Matches!$B2610," vs ",Team_Matches!$K2610)</f>
        <v>E vs J</v>
      </c>
      <c r="E208" t="str">
        <f>Team_Matches!$A2635</f>
        <v>4th Singles</v>
      </c>
      <c r="F208" s="93" t="str">
        <f ca="1">IF(Team_Matches!$Q2637&lt;&gt;"",IF(Team_Matches!H2637&gt;Team_Matches!H2639,MIN(Team_Matches!H2637,Team_Matches!H2639),-MIN(Team_Matches!H2637,Team_Matches!H2639))*IF(Team_Matches!$Q2637="W",1,-1),"")</f>
        <v/>
      </c>
      <c r="G208" s="93" t="str">
        <f ca="1">IF(Team_Matches!$Q2637&lt;&gt;"",IF(Team_Matches!I2637&gt;Team_Matches!I2639,MIN(Team_Matches!I2637,Team_Matches!I2639),-MIN(Team_Matches!I2637,Team_Matches!I2639))*IF(Team_Matches!$Q2637="W",1,-1),"")</f>
        <v/>
      </c>
      <c r="H208" s="93" t="str">
        <f ca="1">IF(Team_Matches!$Q2637&lt;&gt;"",IF(Team_Matches!J2637&gt;Team_Matches!J2639,MIN(Team_Matches!J2637,Team_Matches!J2639),-MIN(Team_Matches!J2637,Team_Matches!J2639))*IF(Team_Matches!$Q2637="W",1,-1),"")</f>
        <v/>
      </c>
      <c r="I208" s="93" t="str">
        <f ca="1">IF(Team_Matches!$Q2637&lt;&gt;"",IF(Team_Matches!K2637=Team_Matches!K2639,"",IF(Team_Matches!K2637&gt;Team_Matches!K2639,MIN(Team_Matches!K2637,Team_Matches!K2639),-MIN(Team_Matches!K2637,Team_Matches!K2639))*IF(Team_Matches!$Q2637="W",1,-1)),"")</f>
        <v/>
      </c>
      <c r="J208" s="93" t="str">
        <f ca="1">IF(Team_Matches!$Q2637&lt;&gt;"",IF(Team_Matches!L2637=Team_Matches!L2639,"",IF(Team_Matches!L2637&gt;Team_Matches!L2639,MIN(Team_Matches!L2637,Team_Matches!L2639),-MIN(Team_Matches!L2637,Team_Matches!L2639))*IF(Team_Matches!$Q2637="W",1,-1)),"")</f>
        <v/>
      </c>
    </row>
    <row r="209" spans="1:10">
      <c r="A209" s="68" t="e">
        <f>$B209&amp;";"&amp;VLOOKUP($B209,Players!$C$4:$G$132,5,FALSE)&amp;";"&amp;IF(ISERROR(VLOOKUP($B209,Players!$C$4:$G$132,2,FALSE)),0,VLOOKUP($B209,Players!$C$4:$G$132,2,FALSE))&amp;";"&amp;$C209&amp;";"&amp;VLOOKUP($C209,Players!$C$4:$G$132,5,FALSE)&amp;";"&amp;IF(ISERROR(VLOOKUP($C209,Players!$C$4:$G$132,2,FALSE)),0,VLOOKUP($C209,Players!$C$4:$G$132,2,FALSE))&amp;"|"</f>
        <v>#N/A</v>
      </c>
      <c r="B209" t="str">
        <f>IF(Team_Matches!$Q2667="W",Team_Matches!$B2667,IF(Team_Matches!$Q2669="W",Team_Matches!$B2669,""))</f>
        <v/>
      </c>
      <c r="C209" t="str">
        <f>IF(Team_Matches!$Q2667="L",Team_Matches!$B2667,IF(Team_Matches!$Q2669="L",Team_Matches!$B2669,""))</f>
        <v/>
      </c>
      <c r="D209" t="str">
        <f>CONCATENATE(Team_Matches!$B2661," vs ",Team_Matches!$K2661)</f>
        <v>E vs K</v>
      </c>
      <c r="E209" t="str">
        <f>Team_Matches!A2665</f>
        <v>1st Singles</v>
      </c>
      <c r="F209" s="93" t="str">
        <f>IF(Team_Matches!$Q2667&lt;&gt;"",IF(Team_Matches!H2667&gt;Team_Matches!H2669,MIN(Team_Matches!H2667,Team_Matches!H2669),-MIN(Team_Matches!H2667,Team_Matches!H2669))*IF(Team_Matches!$Q2667="W",1,-1),"")</f>
        <v/>
      </c>
      <c r="G209" s="93" t="str">
        <f>IF(Team_Matches!$Q2667&lt;&gt;"",IF(Team_Matches!I2667&gt;Team_Matches!I2669,MIN(Team_Matches!I2667,Team_Matches!I2669),-MIN(Team_Matches!I2667,Team_Matches!I2669))*IF(Team_Matches!$Q2667="W",1,-1),"")</f>
        <v/>
      </c>
      <c r="H209" s="93" t="str">
        <f>IF(Team_Matches!$Q2667&lt;&gt;"",IF(Team_Matches!J2667&gt;Team_Matches!J2669,MIN(Team_Matches!J2667,Team_Matches!J2669),-MIN(Team_Matches!J2667,Team_Matches!J2669))*IF(Team_Matches!$Q2667="W",1,-1),"")</f>
        <v/>
      </c>
      <c r="I209" s="93" t="str">
        <f>IF(Team_Matches!$Q2667&lt;&gt;"",IF(Team_Matches!K2667=Team_Matches!K2669,"",IF(Team_Matches!K2667&gt;Team_Matches!K2669,MIN(Team_Matches!K2667,Team_Matches!K2669),-MIN(Team_Matches!K2667,Team_Matches!K2669))*IF(Team_Matches!$Q2667="W",1,-1)),"")</f>
        <v/>
      </c>
      <c r="J209" s="93" t="str">
        <f>IF(Team_Matches!$Q2667&lt;&gt;"",IF(Team_Matches!L2667=Team_Matches!L2669,"",IF(Team_Matches!L2667&gt;Team_Matches!L2669,MIN(Team_Matches!L2667,Team_Matches!L2669),-MIN(Team_Matches!L2667,Team_Matches!L2669))*IF(Team_Matches!$Q2667="W",1,-1)),"")</f>
        <v/>
      </c>
    </row>
    <row r="210" spans="1:10">
      <c r="A210" s="68" t="e">
        <f>$B210&amp;";"&amp;VLOOKUP($B210,Players!$C$4:$G$132,5,FALSE)&amp;";"&amp;IF(ISERROR(VLOOKUP($B210,Players!$C$4:$G$132,2,FALSE)),0,VLOOKUP($B210,Players!$C$4:$G$132,2,FALSE))&amp;";"&amp;$C210&amp;";"&amp;VLOOKUP($C210,Players!$C$4:$G$132,5,FALSE)&amp;";"&amp;IF(ISERROR(VLOOKUP($C210,Players!$C$4:$G$132,2,FALSE)),0,VLOOKUP($C210,Players!$C$4:$G$132,2,FALSE))&amp;"|"</f>
        <v>#N/A</v>
      </c>
      <c r="B210" t="str">
        <f>IF(Team_Matches!$Q2674="W",Team_Matches!$B2674,IF(Team_Matches!$Q2676="W",Team_Matches!$B2676,""))</f>
        <v/>
      </c>
      <c r="C210" t="str">
        <f>IF(Team_Matches!$Q2674="L",Team_Matches!$B2674,IF(Team_Matches!$Q2676="L",Team_Matches!$B2676,""))</f>
        <v/>
      </c>
      <c r="D210" t="str">
        <f>CONCATENATE(Team_Matches!$B2661," vs ",Team_Matches!$K2661)</f>
        <v>E vs K</v>
      </c>
      <c r="E210" t="str">
        <f>Team_Matches!$A2672</f>
        <v>2nd Singles</v>
      </c>
      <c r="F210" s="93" t="str">
        <f>IF(Team_Matches!$Q2674&lt;&gt;"",IF(Team_Matches!H2674&gt;Team_Matches!H2676,MIN(Team_Matches!H2674,Team_Matches!H2676),-MIN(Team_Matches!H2674,Team_Matches!H2676))*IF(Team_Matches!$Q2674="W",1,-1),"")</f>
        <v/>
      </c>
      <c r="G210" s="93" t="str">
        <f>IF(Team_Matches!$Q2674&lt;&gt;"",IF(Team_Matches!I2674&gt;Team_Matches!I2676,MIN(Team_Matches!I2674,Team_Matches!I2676),-MIN(Team_Matches!I2674,Team_Matches!I2676))*IF(Team_Matches!$Q2674="W",1,-1),"")</f>
        <v/>
      </c>
      <c r="H210" s="93" t="str">
        <f>IF(Team_Matches!$Q2674&lt;&gt;"",IF(Team_Matches!J2674&gt;Team_Matches!J2676,MIN(Team_Matches!J2674,Team_Matches!J2676),-MIN(Team_Matches!J2674,Team_Matches!J2676))*IF(Team_Matches!$Q2674="W",1,-1),"")</f>
        <v/>
      </c>
      <c r="I210" s="93" t="str">
        <f>IF(Team_Matches!$Q2674&lt;&gt;"",IF(Team_Matches!K2674=Team_Matches!K2676,"",IF(Team_Matches!K2674&gt;Team_Matches!K2676,MIN(Team_Matches!K2674,Team_Matches!K2676),-MIN(Team_Matches!K2674,Team_Matches!K2676))*IF(Team_Matches!$Q2674="W",1,-1)),"")</f>
        <v/>
      </c>
      <c r="J210" s="93" t="str">
        <f>IF(Team_Matches!$Q2674&lt;&gt;"",IF(Team_Matches!L2674=Team_Matches!L2676,"",IF(Team_Matches!L2674&gt;Team_Matches!L2676,MIN(Team_Matches!L2674,Team_Matches!L2676),-MIN(Team_Matches!L2674,Team_Matches!L2676))*IF(Team_Matches!$Q2674="W",1,-1)),"")</f>
        <v/>
      </c>
    </row>
    <row r="211" spans="1:10">
      <c r="A211" s="68" t="e">
        <f>$B211&amp;";"&amp;VLOOKUP($B211,Players!$C$4:$G$132,5,FALSE)&amp;";"&amp;IF(ISERROR(VLOOKUP($B211,Players!$C$4:$G$132,2,FALSE)),0,VLOOKUP($B211,Players!$C$4:$G$132,2,FALSE))&amp;";"&amp;$C211&amp;";"&amp;VLOOKUP($C211,Players!$C$4:$G$132,5,FALSE)&amp;";"&amp;IF(ISERROR(VLOOKUP($C211,Players!$C$4:$G$132,2,FALSE)),0,VLOOKUP($C211,Players!$C$4:$G$132,2,FALSE))&amp;"|"</f>
        <v>#N/A</v>
      </c>
      <c r="B211" t="str">
        <f>IF(Team_Matches!$Q2681="W",Team_Matches!$B2681,IF(Team_Matches!$Q2683="W",Team_Matches!$B2683,""))</f>
        <v/>
      </c>
      <c r="C211" t="str">
        <f>IF(Team_Matches!$Q2681="L",Team_Matches!$B2681,IF(Team_Matches!$Q2683="L",Team_Matches!$B2683,""))</f>
        <v/>
      </c>
      <c r="D211" t="str">
        <f>CONCATENATE(Team_Matches!$B2661," vs ",Team_Matches!$K2661)</f>
        <v>E vs K</v>
      </c>
      <c r="E211" t="str">
        <f>Team_Matches!$A2679</f>
        <v>3rd Singles</v>
      </c>
      <c r="F211" s="93" t="str">
        <f>IF(Team_Matches!$Q2681&lt;&gt;"",IF(Team_Matches!H2681&gt;Team_Matches!H2683,MIN(Team_Matches!H2681,Team_Matches!H2683),-MIN(Team_Matches!H2681,Team_Matches!H2683))*IF(Team_Matches!$Q2681="W",1,-1),"")</f>
        <v/>
      </c>
      <c r="G211" s="93" t="str">
        <f>IF(Team_Matches!$Q2681&lt;&gt;"",IF(Team_Matches!I2681&gt;Team_Matches!I2683,MIN(Team_Matches!I2681,Team_Matches!I2683),-MIN(Team_Matches!I2681,Team_Matches!I2683))*IF(Team_Matches!$Q2681="W",1,-1),"")</f>
        <v/>
      </c>
      <c r="H211" s="93" t="str">
        <f>IF(Team_Matches!$Q2681&lt;&gt;"",IF(Team_Matches!J2681&gt;Team_Matches!J2683,MIN(Team_Matches!J2681,Team_Matches!J2683),-MIN(Team_Matches!J2681,Team_Matches!J2683))*IF(Team_Matches!$Q2681="W",1,-1),"")</f>
        <v/>
      </c>
      <c r="I211" s="93" t="str">
        <f>IF(Team_Matches!$Q2681&lt;&gt;"",IF(Team_Matches!K2681=Team_Matches!K2683,"",IF(Team_Matches!K2681&gt;Team_Matches!K2683,MIN(Team_Matches!K2681,Team_Matches!K2683),-MIN(Team_Matches!K2681,Team_Matches!K2683))*IF(Team_Matches!$Q2681="W",1,-1)),"")</f>
        <v/>
      </c>
      <c r="J211" s="93" t="str">
        <f>IF(Team_Matches!$Q2681&lt;&gt;"",IF(Team_Matches!L2681=Team_Matches!L2683,"",IF(Team_Matches!L2681&gt;Team_Matches!L2683,MIN(Team_Matches!L2681,Team_Matches!L2683),-MIN(Team_Matches!L2681,Team_Matches!L2683))*IF(Team_Matches!$Q2681="W",1,-1)),"")</f>
        <v/>
      </c>
    </row>
    <row r="212" spans="1:10">
      <c r="A212" s="68" t="e">
        <f ca="1">$B212&amp;";"&amp;VLOOKUP($B212,Players!$C$4:$G$132,5,FALSE)&amp;";"&amp;IF(ISERROR(VLOOKUP($B212,Players!$C$4:$G$132,2,FALSE)),0,VLOOKUP($B212,Players!$C$4:$G$132,2,FALSE))&amp;";"&amp;$C212&amp;";"&amp;VLOOKUP($C212,Players!$C$4:$G$132,5,FALSE)&amp;";"&amp;IF(ISERROR(VLOOKUP($C212,Players!$C$4:$G$132,2,FALSE)),0,VLOOKUP($C212,Players!$C$4:$G$132,2,FALSE))&amp;"|"</f>
        <v>#N/A</v>
      </c>
      <c r="B212" t="str">
        <f ca="1">IF(Team_Matches!$Q2688="W",Team_Matches!$B2688,IF(Team_Matches!$Q2690="W",Team_Matches!$B2690,""))</f>
        <v/>
      </c>
      <c r="C212" t="str">
        <f ca="1">IF(Team_Matches!$Q2688="L",Team_Matches!$B2688,IF(Team_Matches!$Q2690="L",Team_Matches!$B2690,""))</f>
        <v/>
      </c>
      <c r="D212" t="str">
        <f>CONCATENATE(Team_Matches!$B2661," vs ",Team_Matches!$K2661)</f>
        <v>E vs K</v>
      </c>
      <c r="E212" t="str">
        <f>Team_Matches!$A2686</f>
        <v>4th Singles</v>
      </c>
      <c r="F212" s="93" t="str">
        <f ca="1">IF(Team_Matches!$Q2688&lt;&gt;"",IF(Team_Matches!H2688&gt;Team_Matches!H2690,MIN(Team_Matches!H2688,Team_Matches!H2690),-MIN(Team_Matches!H2688,Team_Matches!H2690))*IF(Team_Matches!$Q2688="W",1,-1),"")</f>
        <v/>
      </c>
      <c r="G212" s="93" t="str">
        <f ca="1">IF(Team_Matches!$Q2688&lt;&gt;"",IF(Team_Matches!I2688&gt;Team_Matches!I2690,MIN(Team_Matches!I2688,Team_Matches!I2690),-MIN(Team_Matches!I2688,Team_Matches!I2690))*IF(Team_Matches!$Q2688="W",1,-1),"")</f>
        <v/>
      </c>
      <c r="H212" s="93" t="str">
        <f ca="1">IF(Team_Matches!$Q2688&lt;&gt;"",IF(Team_Matches!J2688&gt;Team_Matches!J2690,MIN(Team_Matches!J2688,Team_Matches!J2690),-MIN(Team_Matches!J2688,Team_Matches!J2690))*IF(Team_Matches!$Q2688="W",1,-1),"")</f>
        <v/>
      </c>
      <c r="I212" s="93" t="str">
        <f ca="1">IF(Team_Matches!$Q2688&lt;&gt;"",IF(Team_Matches!K2688=Team_Matches!K2690,"",IF(Team_Matches!K2688&gt;Team_Matches!K2690,MIN(Team_Matches!K2688,Team_Matches!K2690),-MIN(Team_Matches!K2688,Team_Matches!K2690))*IF(Team_Matches!$Q2688="W",1,-1)),"")</f>
        <v/>
      </c>
      <c r="J212" s="93" t="str">
        <f ca="1">IF(Team_Matches!$Q2688&lt;&gt;"",IF(Team_Matches!L2688=Team_Matches!L2690,"",IF(Team_Matches!L2688&gt;Team_Matches!L2690,MIN(Team_Matches!L2688,Team_Matches!L2690),-MIN(Team_Matches!L2688,Team_Matches!L2690))*IF(Team_Matches!$Q2688="W",1,-1)),"")</f>
        <v/>
      </c>
    </row>
    <row r="213" spans="1:10">
      <c r="A213" s="68" t="e">
        <f>$B213&amp;";"&amp;VLOOKUP($B213,Players!$C$4:$G$132,5,FALSE)&amp;";"&amp;IF(ISERROR(VLOOKUP($B213,Players!$C$4:$G$132,2,FALSE)),0,VLOOKUP($B213,Players!$C$4:$G$132,2,FALSE))&amp;";"&amp;$C213&amp;";"&amp;VLOOKUP($C213,Players!$C$4:$G$132,5,FALSE)&amp;";"&amp;IF(ISERROR(VLOOKUP($C213,Players!$C$4:$G$132,2,FALSE)),0,VLOOKUP($C213,Players!$C$4:$G$132,2,FALSE))&amp;"|"</f>
        <v>#N/A</v>
      </c>
      <c r="B213" t="str">
        <f>IF(Team_Matches!$Q2718="W",Team_Matches!$B2718,IF(Team_Matches!$Q2720="W",Team_Matches!$B2720,""))</f>
        <v/>
      </c>
      <c r="C213" t="str">
        <f>IF(Team_Matches!$Q2718="L",Team_Matches!$B2718,IF(Team_Matches!$Q2720="L",Team_Matches!$B2720,""))</f>
        <v/>
      </c>
      <c r="D213" t="str">
        <f>CONCATENATE(Team_Matches!$B2712," vs ",Team_Matches!$K2712)</f>
        <v>E vs L</v>
      </c>
      <c r="E213" t="str">
        <f>Team_Matches!A2716</f>
        <v>1st Singles</v>
      </c>
      <c r="F213" s="93" t="str">
        <f>IF(Team_Matches!$Q2718&lt;&gt;"",IF(Team_Matches!H2718&gt;Team_Matches!H2720,MIN(Team_Matches!H2718,Team_Matches!H2720),-MIN(Team_Matches!H2718,Team_Matches!H2720))*IF(Team_Matches!$Q2718="W",1,-1),"")</f>
        <v/>
      </c>
      <c r="G213" s="93" t="str">
        <f>IF(Team_Matches!$Q2718&lt;&gt;"",IF(Team_Matches!I2718&gt;Team_Matches!I2720,MIN(Team_Matches!I2718,Team_Matches!I2720),-MIN(Team_Matches!I2718,Team_Matches!I2720))*IF(Team_Matches!$Q2718="W",1,-1),"")</f>
        <v/>
      </c>
      <c r="H213" s="93" t="str">
        <f>IF(Team_Matches!$Q2718&lt;&gt;"",IF(Team_Matches!J2718&gt;Team_Matches!J2720,MIN(Team_Matches!J2718,Team_Matches!J2720),-MIN(Team_Matches!J2718,Team_Matches!J2720))*IF(Team_Matches!$Q2718="W",1,-1),"")</f>
        <v/>
      </c>
      <c r="I213" s="93" t="str">
        <f>IF(Team_Matches!$Q2718&lt;&gt;"",IF(Team_Matches!K2718=Team_Matches!K2720,"",IF(Team_Matches!K2718&gt;Team_Matches!K2720,MIN(Team_Matches!K2718,Team_Matches!K2720),-MIN(Team_Matches!K2718,Team_Matches!K2720))*IF(Team_Matches!$Q2718="W",1,-1)),"")</f>
        <v/>
      </c>
      <c r="J213" s="93" t="str">
        <f>IF(Team_Matches!$Q2718&lt;&gt;"",IF(Team_Matches!L2718=Team_Matches!L2720,"",IF(Team_Matches!L2718&gt;Team_Matches!L2720,MIN(Team_Matches!L2718,Team_Matches!L2720),-MIN(Team_Matches!L2718,Team_Matches!L2720))*IF(Team_Matches!$Q2718="W",1,-1)),"")</f>
        <v/>
      </c>
    </row>
    <row r="214" spans="1:10">
      <c r="A214" s="68" t="e">
        <f>$B214&amp;";"&amp;VLOOKUP($B214,Players!$C$4:$G$132,5,FALSE)&amp;";"&amp;IF(ISERROR(VLOOKUP($B214,Players!$C$4:$G$132,2,FALSE)),0,VLOOKUP($B214,Players!$C$4:$G$132,2,FALSE))&amp;";"&amp;$C214&amp;";"&amp;VLOOKUP($C214,Players!$C$4:$G$132,5,FALSE)&amp;";"&amp;IF(ISERROR(VLOOKUP($C214,Players!$C$4:$G$132,2,FALSE)),0,VLOOKUP($C214,Players!$C$4:$G$132,2,FALSE))&amp;"|"</f>
        <v>#N/A</v>
      </c>
      <c r="B214" t="str">
        <f>IF(Team_Matches!$Q2725="W",Team_Matches!$B2725,IF(Team_Matches!$Q2727="W",Team_Matches!$B2727,""))</f>
        <v/>
      </c>
      <c r="C214" t="str">
        <f>IF(Team_Matches!$Q2725="L",Team_Matches!$B2725,IF(Team_Matches!$Q2727="L",Team_Matches!$B2727,""))</f>
        <v/>
      </c>
      <c r="D214" t="str">
        <f>CONCATENATE(Team_Matches!$B2712," vs ",Team_Matches!$K2712)</f>
        <v>E vs L</v>
      </c>
      <c r="E214" t="str">
        <f>Team_Matches!$A2723</f>
        <v>2nd Singles</v>
      </c>
      <c r="F214" s="93" t="str">
        <f>IF(Team_Matches!$Q2725&lt;&gt;"",IF(Team_Matches!H2725&gt;Team_Matches!H2727,MIN(Team_Matches!H2725,Team_Matches!H2727),-MIN(Team_Matches!H2725,Team_Matches!H2727))*IF(Team_Matches!$Q2725="W",1,-1),"")</f>
        <v/>
      </c>
      <c r="G214" s="93" t="str">
        <f>IF(Team_Matches!$Q2725&lt;&gt;"",IF(Team_Matches!I2725&gt;Team_Matches!I2727,MIN(Team_Matches!I2725,Team_Matches!I2727),-MIN(Team_Matches!I2725,Team_Matches!I2727))*IF(Team_Matches!$Q2725="W",1,-1),"")</f>
        <v/>
      </c>
      <c r="H214" s="93" t="str">
        <f>IF(Team_Matches!$Q2725&lt;&gt;"",IF(Team_Matches!J2725&gt;Team_Matches!J2727,MIN(Team_Matches!J2725,Team_Matches!J2727),-MIN(Team_Matches!J2725,Team_Matches!J2727))*IF(Team_Matches!$Q2725="W",1,-1),"")</f>
        <v/>
      </c>
      <c r="I214" s="93" t="str">
        <f>IF(Team_Matches!$Q2725&lt;&gt;"",IF(Team_Matches!K2725=Team_Matches!K2727,"",IF(Team_Matches!K2725&gt;Team_Matches!K2727,MIN(Team_Matches!K2725,Team_Matches!K2727),-MIN(Team_Matches!K2725,Team_Matches!K2727))*IF(Team_Matches!$Q2725="W",1,-1)),"")</f>
        <v/>
      </c>
      <c r="J214" s="93" t="str">
        <f>IF(Team_Matches!$Q2725&lt;&gt;"",IF(Team_Matches!L2725=Team_Matches!L2727,"",IF(Team_Matches!L2725&gt;Team_Matches!L2727,MIN(Team_Matches!L2725,Team_Matches!L2727),-MIN(Team_Matches!L2725,Team_Matches!L2727))*IF(Team_Matches!$Q2725="W",1,-1)),"")</f>
        <v/>
      </c>
    </row>
    <row r="215" spans="1:10">
      <c r="A215" s="68" t="e">
        <f>$B215&amp;";"&amp;VLOOKUP($B215,Players!$C$4:$G$132,5,FALSE)&amp;";"&amp;IF(ISERROR(VLOOKUP($B215,Players!$C$4:$G$132,2,FALSE)),0,VLOOKUP($B215,Players!$C$4:$G$132,2,FALSE))&amp;";"&amp;$C215&amp;";"&amp;VLOOKUP($C215,Players!$C$4:$G$132,5,FALSE)&amp;";"&amp;IF(ISERROR(VLOOKUP($C215,Players!$C$4:$G$132,2,FALSE)),0,VLOOKUP($C215,Players!$C$4:$G$132,2,FALSE))&amp;"|"</f>
        <v>#N/A</v>
      </c>
      <c r="B215" t="str">
        <f>IF(Team_Matches!$Q2732="W",Team_Matches!$B2732,IF(Team_Matches!$Q2734="W",Team_Matches!$B2734,""))</f>
        <v/>
      </c>
      <c r="C215" t="str">
        <f>IF(Team_Matches!$Q2732="L",Team_Matches!$B2732,IF(Team_Matches!$Q2734="L",Team_Matches!$B2734,""))</f>
        <v/>
      </c>
      <c r="D215" t="str">
        <f>CONCATENATE(Team_Matches!$B2712," vs ",Team_Matches!$K2712)</f>
        <v>E vs L</v>
      </c>
      <c r="E215" t="str">
        <f>Team_Matches!$A2730</f>
        <v>3rd Singles</v>
      </c>
      <c r="F215" s="93" t="str">
        <f>IF(Team_Matches!$Q2732&lt;&gt;"",IF(Team_Matches!H2732&gt;Team_Matches!H2734,MIN(Team_Matches!H2732,Team_Matches!H2734),-MIN(Team_Matches!H2732,Team_Matches!H2734))*IF(Team_Matches!$Q2732="W",1,-1),"")</f>
        <v/>
      </c>
      <c r="G215" s="93" t="str">
        <f>IF(Team_Matches!$Q2732&lt;&gt;"",IF(Team_Matches!I2732&gt;Team_Matches!I2734,MIN(Team_Matches!I2732,Team_Matches!I2734),-MIN(Team_Matches!I2732,Team_Matches!I2734))*IF(Team_Matches!$Q2732="W",1,-1),"")</f>
        <v/>
      </c>
      <c r="H215" s="93" t="str">
        <f>IF(Team_Matches!$Q2732&lt;&gt;"",IF(Team_Matches!J2732&gt;Team_Matches!J2734,MIN(Team_Matches!J2732,Team_Matches!J2734),-MIN(Team_Matches!J2732,Team_Matches!J2734))*IF(Team_Matches!$Q2732="W",1,-1),"")</f>
        <v/>
      </c>
      <c r="I215" s="93" t="str">
        <f>IF(Team_Matches!$Q2732&lt;&gt;"",IF(Team_Matches!K2732=Team_Matches!K2734,"",IF(Team_Matches!K2732&gt;Team_Matches!K2734,MIN(Team_Matches!K2732,Team_Matches!K2734),-MIN(Team_Matches!K2732,Team_Matches!K2734))*IF(Team_Matches!$Q2732="W",1,-1)),"")</f>
        <v/>
      </c>
      <c r="J215" s="93" t="str">
        <f>IF(Team_Matches!$Q2732&lt;&gt;"",IF(Team_Matches!L2732=Team_Matches!L2734,"",IF(Team_Matches!L2732&gt;Team_Matches!L2734,MIN(Team_Matches!L2732,Team_Matches!L2734),-MIN(Team_Matches!L2732,Team_Matches!L2734))*IF(Team_Matches!$Q2732="W",1,-1)),"")</f>
        <v/>
      </c>
    </row>
    <row r="216" spans="1:10">
      <c r="A216" s="68" t="e">
        <f ca="1">$B216&amp;";"&amp;VLOOKUP($B216,Players!$C$4:$G$132,5,FALSE)&amp;";"&amp;IF(ISERROR(VLOOKUP($B216,Players!$C$4:$G$132,2,FALSE)),0,VLOOKUP($B216,Players!$C$4:$G$132,2,FALSE))&amp;";"&amp;$C216&amp;";"&amp;VLOOKUP($C216,Players!$C$4:$G$132,5,FALSE)&amp;";"&amp;IF(ISERROR(VLOOKUP($C216,Players!$C$4:$G$132,2,FALSE)),0,VLOOKUP($C216,Players!$C$4:$G$132,2,FALSE))&amp;"|"</f>
        <v>#N/A</v>
      </c>
      <c r="B216" t="str">
        <f ca="1">IF(Team_Matches!$Q2739="W",Team_Matches!$B2739,IF(Team_Matches!$Q2741="W",Team_Matches!$B2741,""))</f>
        <v/>
      </c>
      <c r="C216" t="str">
        <f ca="1">IF(Team_Matches!$Q2739="L",Team_Matches!$B2739,IF(Team_Matches!$Q2741="L",Team_Matches!$B2741,""))</f>
        <v/>
      </c>
      <c r="D216" t="str">
        <f>CONCATENATE(Team_Matches!$B2712," vs ",Team_Matches!$K2712)</f>
        <v>E vs L</v>
      </c>
      <c r="E216" t="str">
        <f>Team_Matches!$A2737</f>
        <v>4th Singles</v>
      </c>
      <c r="F216" s="93" t="str">
        <f ca="1">IF(Team_Matches!$Q2739&lt;&gt;"",IF(Team_Matches!H2739&gt;Team_Matches!H2741,MIN(Team_Matches!H2739,Team_Matches!H2741),-MIN(Team_Matches!H2739,Team_Matches!H2741))*IF(Team_Matches!$Q2739="W",1,-1),"")</f>
        <v/>
      </c>
      <c r="G216" s="93" t="str">
        <f ca="1">IF(Team_Matches!$Q2739&lt;&gt;"",IF(Team_Matches!I2739&gt;Team_Matches!I2741,MIN(Team_Matches!I2739,Team_Matches!I2741),-MIN(Team_Matches!I2739,Team_Matches!I2741))*IF(Team_Matches!$Q2739="W",1,-1),"")</f>
        <v/>
      </c>
      <c r="H216" s="93" t="str">
        <f ca="1">IF(Team_Matches!$Q2739&lt;&gt;"",IF(Team_Matches!J2739&gt;Team_Matches!J2741,MIN(Team_Matches!J2739,Team_Matches!J2741),-MIN(Team_Matches!J2739,Team_Matches!J2741))*IF(Team_Matches!$Q2739="W",1,-1),"")</f>
        <v/>
      </c>
      <c r="I216" s="93" t="str">
        <f ca="1">IF(Team_Matches!$Q2739&lt;&gt;"",IF(Team_Matches!K2739=Team_Matches!K2741,"",IF(Team_Matches!K2739&gt;Team_Matches!K2741,MIN(Team_Matches!K2739,Team_Matches!K2741),-MIN(Team_Matches!K2739,Team_Matches!K2741))*IF(Team_Matches!$Q2739="W",1,-1)),"")</f>
        <v/>
      </c>
      <c r="J216" s="93" t="str">
        <f ca="1">IF(Team_Matches!$Q2739&lt;&gt;"",IF(Team_Matches!L2739=Team_Matches!L2741,"",IF(Team_Matches!L2739&gt;Team_Matches!L2741,MIN(Team_Matches!L2739,Team_Matches!L2741),-MIN(Team_Matches!L2739,Team_Matches!L2741))*IF(Team_Matches!$Q2739="W",1,-1)),"")</f>
        <v/>
      </c>
    </row>
    <row r="217" spans="1:10">
      <c r="A217" s="68" t="e">
        <f>$B217&amp;";"&amp;VLOOKUP($B217,Players!$C$4:$G$132,5,FALSE)&amp;";"&amp;IF(ISERROR(VLOOKUP($B217,Players!$C$4:$G$132,2,FALSE)),0,VLOOKUP($B217,Players!$C$4:$G$132,2,FALSE))&amp;";"&amp;$C217&amp;";"&amp;VLOOKUP($C217,Players!$C$4:$G$132,5,FALSE)&amp;";"&amp;IF(ISERROR(VLOOKUP($C217,Players!$C$4:$G$132,2,FALSE)),0,VLOOKUP($C217,Players!$C$4:$G$132,2,FALSE))&amp;"|"</f>
        <v>#N/A</v>
      </c>
      <c r="B217" t="str">
        <f>IF(Team_Matches!$Q2769="W",Team_Matches!$B2769,IF(Team_Matches!$Q2771="W",Team_Matches!$B2771,""))</f>
        <v/>
      </c>
      <c r="C217" t="str">
        <f>IF(Team_Matches!$Q2769="L",Team_Matches!$B2769,IF(Team_Matches!$Q2771="L",Team_Matches!$B2771,""))</f>
        <v/>
      </c>
      <c r="D217" t="str">
        <f>CONCATENATE(Team_Matches!$B2763," vs ",Team_Matches!$K2763)</f>
        <v>F vs I</v>
      </c>
      <c r="E217" t="str">
        <f>Team_Matches!A2767</f>
        <v>1st Singles</v>
      </c>
      <c r="F217" s="93" t="str">
        <f>IF(Team_Matches!$Q2769&lt;&gt;"",IF(Team_Matches!H2769&gt;Team_Matches!H2771,MIN(Team_Matches!H2769,Team_Matches!H2771),-MIN(Team_Matches!H2769,Team_Matches!H2771))*IF(Team_Matches!$Q2769="W",1,-1),"")</f>
        <v/>
      </c>
      <c r="G217" s="93" t="str">
        <f>IF(Team_Matches!$Q2769&lt;&gt;"",IF(Team_Matches!I2769&gt;Team_Matches!I2771,MIN(Team_Matches!I2769,Team_Matches!I2771),-MIN(Team_Matches!I2769,Team_Matches!I2771))*IF(Team_Matches!$Q2769="W",1,-1),"")</f>
        <v/>
      </c>
      <c r="H217" s="93" t="str">
        <f>IF(Team_Matches!$Q2769&lt;&gt;"",IF(Team_Matches!J2769&gt;Team_Matches!J2771,MIN(Team_Matches!J2769,Team_Matches!J2771),-MIN(Team_Matches!J2769,Team_Matches!J2771))*IF(Team_Matches!$Q2769="W",1,-1),"")</f>
        <v/>
      </c>
      <c r="I217" s="93" t="str">
        <f>IF(Team_Matches!$Q2769&lt;&gt;"",IF(Team_Matches!K2769=Team_Matches!K2771,"",IF(Team_Matches!K2769&gt;Team_Matches!K2771,MIN(Team_Matches!K2769,Team_Matches!K2771),-MIN(Team_Matches!K2769,Team_Matches!K2771))*IF(Team_Matches!$Q2769="W",1,-1)),"")</f>
        <v/>
      </c>
      <c r="J217" s="93" t="str">
        <f>IF(Team_Matches!$Q2769&lt;&gt;"",IF(Team_Matches!L2769=Team_Matches!L2771,"",IF(Team_Matches!L2769&gt;Team_Matches!L2771,MIN(Team_Matches!L2769,Team_Matches!L2771),-MIN(Team_Matches!L2769,Team_Matches!L2771))*IF(Team_Matches!$Q2769="W",1,-1)),"")</f>
        <v/>
      </c>
    </row>
    <row r="218" spans="1:10">
      <c r="A218" s="68" t="e">
        <f>$B218&amp;";"&amp;VLOOKUP($B218,Players!$C$4:$G$132,5,FALSE)&amp;";"&amp;IF(ISERROR(VLOOKUP($B218,Players!$C$4:$G$132,2,FALSE)),0,VLOOKUP($B218,Players!$C$4:$G$132,2,FALSE))&amp;";"&amp;$C218&amp;";"&amp;VLOOKUP($C218,Players!$C$4:$G$132,5,FALSE)&amp;";"&amp;IF(ISERROR(VLOOKUP($C218,Players!$C$4:$G$132,2,FALSE)),0,VLOOKUP($C218,Players!$C$4:$G$132,2,FALSE))&amp;"|"</f>
        <v>#N/A</v>
      </c>
      <c r="B218" t="str">
        <f>IF(Team_Matches!$Q2776="W",Team_Matches!$B2776,IF(Team_Matches!$Q2778="W",Team_Matches!$B2778,""))</f>
        <v/>
      </c>
      <c r="C218" t="str">
        <f>IF(Team_Matches!$Q2776="L",Team_Matches!$B2776,IF(Team_Matches!$Q2778="L",Team_Matches!$B2778,""))</f>
        <v/>
      </c>
      <c r="D218" t="str">
        <f>CONCATENATE(Team_Matches!$B2763," vs ",Team_Matches!$K2763)</f>
        <v>F vs I</v>
      </c>
      <c r="E218" t="str">
        <f>Team_Matches!$A2774</f>
        <v>2nd Singles</v>
      </c>
      <c r="F218" s="93" t="str">
        <f>IF(Team_Matches!$Q2776&lt;&gt;"",IF(Team_Matches!H2776&gt;Team_Matches!H2778,MIN(Team_Matches!H2776,Team_Matches!H2778),-MIN(Team_Matches!H2776,Team_Matches!H2778))*IF(Team_Matches!$Q2776="W",1,-1),"")</f>
        <v/>
      </c>
      <c r="G218" s="93" t="str">
        <f>IF(Team_Matches!$Q2776&lt;&gt;"",IF(Team_Matches!I2776&gt;Team_Matches!I2778,MIN(Team_Matches!I2776,Team_Matches!I2778),-MIN(Team_Matches!I2776,Team_Matches!I2778))*IF(Team_Matches!$Q2776="W",1,-1),"")</f>
        <v/>
      </c>
      <c r="H218" s="93" t="str">
        <f>IF(Team_Matches!$Q2776&lt;&gt;"",IF(Team_Matches!J2776&gt;Team_Matches!J2778,MIN(Team_Matches!J2776,Team_Matches!J2778),-MIN(Team_Matches!J2776,Team_Matches!J2778))*IF(Team_Matches!$Q2776="W",1,-1),"")</f>
        <v/>
      </c>
      <c r="I218" s="93" t="str">
        <f>IF(Team_Matches!$Q2776&lt;&gt;"",IF(Team_Matches!K2776=Team_Matches!K2778,"",IF(Team_Matches!K2776&gt;Team_Matches!K2778,MIN(Team_Matches!K2776,Team_Matches!K2778),-MIN(Team_Matches!K2776,Team_Matches!K2778))*IF(Team_Matches!$Q2776="W",1,-1)),"")</f>
        <v/>
      </c>
      <c r="J218" s="93" t="str">
        <f>IF(Team_Matches!$Q2776&lt;&gt;"",IF(Team_Matches!L2776=Team_Matches!L2778,"",IF(Team_Matches!L2776&gt;Team_Matches!L2778,MIN(Team_Matches!L2776,Team_Matches!L2778),-MIN(Team_Matches!L2776,Team_Matches!L2778))*IF(Team_Matches!$Q2776="W",1,-1)),"")</f>
        <v/>
      </c>
    </row>
    <row r="219" spans="1:10">
      <c r="A219" s="68" t="e">
        <f>$B219&amp;";"&amp;VLOOKUP($B219,Players!$C$4:$G$132,5,FALSE)&amp;";"&amp;IF(ISERROR(VLOOKUP($B219,Players!$C$4:$G$132,2,FALSE)),0,VLOOKUP($B219,Players!$C$4:$G$132,2,FALSE))&amp;";"&amp;$C219&amp;";"&amp;VLOOKUP($C219,Players!$C$4:$G$132,5,FALSE)&amp;";"&amp;IF(ISERROR(VLOOKUP($C219,Players!$C$4:$G$132,2,FALSE)),0,VLOOKUP($C219,Players!$C$4:$G$132,2,FALSE))&amp;"|"</f>
        <v>#N/A</v>
      </c>
      <c r="B219" t="str">
        <f>IF(Team_Matches!$Q2783="W",Team_Matches!$B2783,IF(Team_Matches!$Q2785="W",Team_Matches!$B2785,""))</f>
        <v/>
      </c>
      <c r="C219" t="str">
        <f>IF(Team_Matches!$Q2783="L",Team_Matches!$B2783,IF(Team_Matches!$Q2785="L",Team_Matches!$B2785,""))</f>
        <v/>
      </c>
      <c r="D219" t="str">
        <f>CONCATENATE(Team_Matches!$B2763," vs ",Team_Matches!$K2763)</f>
        <v>F vs I</v>
      </c>
      <c r="E219" t="str">
        <f>Team_Matches!$A2781</f>
        <v>3rd Singles</v>
      </c>
      <c r="F219" s="93" t="str">
        <f>IF(Team_Matches!$Q2783&lt;&gt;"",IF(Team_Matches!H2783&gt;Team_Matches!H2785,MIN(Team_Matches!H2783,Team_Matches!H2785),-MIN(Team_Matches!H2783,Team_Matches!H2785))*IF(Team_Matches!$Q2783="W",1,-1),"")</f>
        <v/>
      </c>
      <c r="G219" s="93" t="str">
        <f>IF(Team_Matches!$Q2783&lt;&gt;"",IF(Team_Matches!I2783&gt;Team_Matches!I2785,MIN(Team_Matches!I2783,Team_Matches!I2785),-MIN(Team_Matches!I2783,Team_Matches!I2785))*IF(Team_Matches!$Q2783="W",1,-1),"")</f>
        <v/>
      </c>
      <c r="H219" s="93" t="str">
        <f>IF(Team_Matches!$Q2783&lt;&gt;"",IF(Team_Matches!J2783&gt;Team_Matches!J2785,MIN(Team_Matches!J2783,Team_Matches!J2785),-MIN(Team_Matches!J2783,Team_Matches!J2785))*IF(Team_Matches!$Q2783="W",1,-1),"")</f>
        <v/>
      </c>
      <c r="I219" s="93" t="str">
        <f>IF(Team_Matches!$Q2783&lt;&gt;"",IF(Team_Matches!K2783=Team_Matches!K2785,"",IF(Team_Matches!K2783&gt;Team_Matches!K2785,MIN(Team_Matches!K2783,Team_Matches!K2785),-MIN(Team_Matches!K2783,Team_Matches!K2785))*IF(Team_Matches!$Q2783="W",1,-1)),"")</f>
        <v/>
      </c>
      <c r="J219" s="93" t="str">
        <f>IF(Team_Matches!$Q2783&lt;&gt;"",IF(Team_Matches!L2783=Team_Matches!L2785,"",IF(Team_Matches!L2783&gt;Team_Matches!L2785,MIN(Team_Matches!L2783,Team_Matches!L2785),-MIN(Team_Matches!L2783,Team_Matches!L2785))*IF(Team_Matches!$Q2783="W",1,-1)),"")</f>
        <v/>
      </c>
    </row>
    <row r="220" spans="1:10">
      <c r="A220" s="68" t="e">
        <f ca="1">$B220&amp;";"&amp;VLOOKUP($B220,Players!$C$4:$G$132,5,FALSE)&amp;";"&amp;IF(ISERROR(VLOOKUP($B220,Players!$C$4:$G$132,2,FALSE)),0,VLOOKUP($B220,Players!$C$4:$G$132,2,FALSE))&amp;";"&amp;$C220&amp;";"&amp;VLOOKUP($C220,Players!$C$4:$G$132,5,FALSE)&amp;";"&amp;IF(ISERROR(VLOOKUP($C220,Players!$C$4:$G$132,2,FALSE)),0,VLOOKUP($C220,Players!$C$4:$G$132,2,FALSE))&amp;"|"</f>
        <v>#N/A</v>
      </c>
      <c r="B220" t="str">
        <f ca="1">IF(Team_Matches!$Q2790="W",Team_Matches!$B2790,IF(Team_Matches!$Q2792="W",Team_Matches!$B2792,""))</f>
        <v/>
      </c>
      <c r="C220" t="str">
        <f ca="1">IF(Team_Matches!$Q2790="L",Team_Matches!$B2790,IF(Team_Matches!$Q2792="L",Team_Matches!$B2792,""))</f>
        <v/>
      </c>
      <c r="D220" t="str">
        <f>CONCATENATE(Team_Matches!$B2763," vs ",Team_Matches!$K2763)</f>
        <v>F vs I</v>
      </c>
      <c r="E220" t="str">
        <f>Team_Matches!$A2788</f>
        <v>4th Singles</v>
      </c>
      <c r="F220" s="93" t="str">
        <f ca="1">IF(Team_Matches!$Q2790&lt;&gt;"",IF(Team_Matches!H2790&gt;Team_Matches!H2792,MIN(Team_Matches!H2790,Team_Matches!H2792),-MIN(Team_Matches!H2790,Team_Matches!H2792))*IF(Team_Matches!$Q2790="W",1,-1),"")</f>
        <v/>
      </c>
      <c r="G220" s="93" t="str">
        <f ca="1">IF(Team_Matches!$Q2790&lt;&gt;"",IF(Team_Matches!I2790&gt;Team_Matches!I2792,MIN(Team_Matches!I2790,Team_Matches!I2792),-MIN(Team_Matches!I2790,Team_Matches!I2792))*IF(Team_Matches!$Q2790="W",1,-1),"")</f>
        <v/>
      </c>
      <c r="H220" s="93" t="str">
        <f ca="1">IF(Team_Matches!$Q2790&lt;&gt;"",IF(Team_Matches!J2790&gt;Team_Matches!J2792,MIN(Team_Matches!J2790,Team_Matches!J2792),-MIN(Team_Matches!J2790,Team_Matches!J2792))*IF(Team_Matches!$Q2790="W",1,-1),"")</f>
        <v/>
      </c>
      <c r="I220" s="93" t="str">
        <f ca="1">IF(Team_Matches!$Q2790&lt;&gt;"",IF(Team_Matches!K2790=Team_Matches!K2792,"",IF(Team_Matches!K2790&gt;Team_Matches!K2792,MIN(Team_Matches!K2790,Team_Matches!K2792),-MIN(Team_Matches!K2790,Team_Matches!K2792))*IF(Team_Matches!$Q2790="W",1,-1)),"")</f>
        <v/>
      </c>
      <c r="J220" s="93" t="str">
        <f ca="1">IF(Team_Matches!$Q2790&lt;&gt;"",IF(Team_Matches!L2790=Team_Matches!L2792,"",IF(Team_Matches!L2790&gt;Team_Matches!L2792,MIN(Team_Matches!L2790,Team_Matches!L2792),-MIN(Team_Matches!L2790,Team_Matches!L2792))*IF(Team_Matches!$Q2790="W",1,-1)),"")</f>
        <v/>
      </c>
    </row>
    <row r="221" spans="1:10">
      <c r="A221" s="68" t="e">
        <f>$B221&amp;";"&amp;VLOOKUP($B221,Players!$C$4:$G$132,5,FALSE)&amp;";"&amp;IF(ISERROR(VLOOKUP($B221,Players!$C$4:$G$132,2,FALSE)),0,VLOOKUP($B221,Players!$C$4:$G$132,2,FALSE))&amp;";"&amp;$C221&amp;";"&amp;VLOOKUP($C221,Players!$C$4:$G$132,5,FALSE)&amp;";"&amp;IF(ISERROR(VLOOKUP($C221,Players!$C$4:$G$132,2,FALSE)),0,VLOOKUP($C221,Players!$C$4:$G$132,2,FALSE))&amp;"|"</f>
        <v>#N/A</v>
      </c>
      <c r="B221" t="str">
        <f>IF(Team_Matches!$Q2820="W",Team_Matches!$B2820,IF(Team_Matches!$Q2822="W",Team_Matches!$B2822,""))</f>
        <v/>
      </c>
      <c r="C221" t="str">
        <f>IF(Team_Matches!$Q2820="L",Team_Matches!$B2820,IF(Team_Matches!$Q2822="L",Team_Matches!$B2822,""))</f>
        <v/>
      </c>
      <c r="D221" t="str">
        <f>CONCATENATE(Team_Matches!$B2814," vs ",Team_Matches!$K2814)</f>
        <v>F vs J</v>
      </c>
      <c r="E221" t="str">
        <f>Team_Matches!A2818</f>
        <v>1st Singles</v>
      </c>
      <c r="F221" s="93" t="str">
        <f>IF(Team_Matches!$Q2820&lt;&gt;"",IF(Team_Matches!H2820&gt;Team_Matches!H2822,MIN(Team_Matches!H2820,Team_Matches!H2822),-MIN(Team_Matches!H2820,Team_Matches!H2822))*IF(Team_Matches!$Q2820="W",1,-1),"")</f>
        <v/>
      </c>
      <c r="G221" s="93" t="str">
        <f>IF(Team_Matches!$Q2820&lt;&gt;"",IF(Team_Matches!I2820&gt;Team_Matches!I2822,MIN(Team_Matches!I2820,Team_Matches!I2822),-MIN(Team_Matches!I2820,Team_Matches!I2822))*IF(Team_Matches!$Q2820="W",1,-1),"")</f>
        <v/>
      </c>
      <c r="H221" s="93" t="str">
        <f>IF(Team_Matches!$Q2820&lt;&gt;"",IF(Team_Matches!J2820&gt;Team_Matches!J2822,MIN(Team_Matches!J2820,Team_Matches!J2822),-MIN(Team_Matches!J2820,Team_Matches!J2822))*IF(Team_Matches!$Q2820="W",1,-1),"")</f>
        <v/>
      </c>
      <c r="I221" s="93" t="str">
        <f>IF(Team_Matches!$Q2820&lt;&gt;"",IF(Team_Matches!K2820=Team_Matches!K2822,"",IF(Team_Matches!K2820&gt;Team_Matches!K2822,MIN(Team_Matches!K2820,Team_Matches!K2822),-MIN(Team_Matches!K2820,Team_Matches!K2822))*IF(Team_Matches!$Q2820="W",1,-1)),"")</f>
        <v/>
      </c>
      <c r="J221" s="93" t="str">
        <f>IF(Team_Matches!$Q2820&lt;&gt;"",IF(Team_Matches!L2820=Team_Matches!L2822,"",IF(Team_Matches!L2820&gt;Team_Matches!L2822,MIN(Team_Matches!L2820,Team_Matches!L2822),-MIN(Team_Matches!L2820,Team_Matches!L2822))*IF(Team_Matches!$Q2820="W",1,-1)),"")</f>
        <v/>
      </c>
    </row>
    <row r="222" spans="1:10">
      <c r="A222" s="68" t="e">
        <f>$B222&amp;";"&amp;VLOOKUP($B222,Players!$C$4:$G$132,5,FALSE)&amp;";"&amp;IF(ISERROR(VLOOKUP($B222,Players!$C$4:$G$132,2,FALSE)),0,VLOOKUP($B222,Players!$C$4:$G$132,2,FALSE))&amp;";"&amp;$C222&amp;";"&amp;VLOOKUP($C222,Players!$C$4:$G$132,5,FALSE)&amp;";"&amp;IF(ISERROR(VLOOKUP($C222,Players!$C$4:$G$132,2,FALSE)),0,VLOOKUP($C222,Players!$C$4:$G$132,2,FALSE))&amp;"|"</f>
        <v>#N/A</v>
      </c>
      <c r="B222" t="str">
        <f>IF(Team_Matches!$Q2827="W",Team_Matches!$B2827,IF(Team_Matches!$Q2829="W",Team_Matches!$B2829,""))</f>
        <v/>
      </c>
      <c r="C222" t="str">
        <f>IF(Team_Matches!$Q2827="L",Team_Matches!$B2827,IF(Team_Matches!$Q2829="L",Team_Matches!$B2829,""))</f>
        <v/>
      </c>
      <c r="D222" t="str">
        <f>CONCATENATE(Team_Matches!$B2814," vs ",Team_Matches!$K2814)</f>
        <v>F vs J</v>
      </c>
      <c r="E222" t="str">
        <f>Team_Matches!$A2825</f>
        <v>2nd Singles</v>
      </c>
      <c r="F222" s="93" t="str">
        <f>IF(Team_Matches!$Q2827&lt;&gt;"",IF(Team_Matches!H2827&gt;Team_Matches!H2829,MIN(Team_Matches!H2827,Team_Matches!H2829),-MIN(Team_Matches!H2827,Team_Matches!H2829))*IF(Team_Matches!$Q2827="W",1,-1),"")</f>
        <v/>
      </c>
      <c r="G222" s="93" t="str">
        <f>IF(Team_Matches!$Q2827&lt;&gt;"",IF(Team_Matches!I2827&gt;Team_Matches!I2829,MIN(Team_Matches!I2827,Team_Matches!I2829),-MIN(Team_Matches!I2827,Team_Matches!I2829))*IF(Team_Matches!$Q2827="W",1,-1),"")</f>
        <v/>
      </c>
      <c r="H222" s="93" t="str">
        <f>IF(Team_Matches!$Q2827&lt;&gt;"",IF(Team_Matches!J2827&gt;Team_Matches!J2829,MIN(Team_Matches!J2827,Team_Matches!J2829),-MIN(Team_Matches!J2827,Team_Matches!J2829))*IF(Team_Matches!$Q2827="W",1,-1),"")</f>
        <v/>
      </c>
      <c r="I222" s="93" t="str">
        <f>IF(Team_Matches!$Q2827&lt;&gt;"",IF(Team_Matches!K2827=Team_Matches!K2829,"",IF(Team_Matches!K2827&gt;Team_Matches!K2829,MIN(Team_Matches!K2827,Team_Matches!K2829),-MIN(Team_Matches!K2827,Team_Matches!K2829))*IF(Team_Matches!$Q2827="W",1,-1)),"")</f>
        <v/>
      </c>
      <c r="J222" s="93" t="str">
        <f>IF(Team_Matches!$Q2827&lt;&gt;"",IF(Team_Matches!L2827=Team_Matches!L2829,"",IF(Team_Matches!L2827&gt;Team_Matches!L2829,MIN(Team_Matches!L2827,Team_Matches!L2829),-MIN(Team_Matches!L2827,Team_Matches!L2829))*IF(Team_Matches!$Q2827="W",1,-1)),"")</f>
        <v/>
      </c>
    </row>
    <row r="223" spans="1:10">
      <c r="A223" s="68" t="e">
        <f>$B223&amp;";"&amp;VLOOKUP($B223,Players!$C$4:$G$132,5,FALSE)&amp;";"&amp;IF(ISERROR(VLOOKUP($B223,Players!$C$4:$G$132,2,FALSE)),0,VLOOKUP($B223,Players!$C$4:$G$132,2,FALSE))&amp;";"&amp;$C223&amp;";"&amp;VLOOKUP($C223,Players!$C$4:$G$132,5,FALSE)&amp;";"&amp;IF(ISERROR(VLOOKUP($C223,Players!$C$4:$G$132,2,FALSE)),0,VLOOKUP($C223,Players!$C$4:$G$132,2,FALSE))&amp;"|"</f>
        <v>#N/A</v>
      </c>
      <c r="B223" t="str">
        <f>IF(Team_Matches!$Q2834="W",Team_Matches!$B2834,IF(Team_Matches!$Q2836="W",Team_Matches!$B2836,""))</f>
        <v/>
      </c>
      <c r="C223" t="str">
        <f>IF(Team_Matches!$Q2834="L",Team_Matches!$B2834,IF(Team_Matches!$Q2836="L",Team_Matches!$B2836,""))</f>
        <v/>
      </c>
      <c r="D223" t="str">
        <f>CONCATENATE(Team_Matches!$B2814," vs ",Team_Matches!$K2814)</f>
        <v>F vs J</v>
      </c>
      <c r="E223" t="str">
        <f>Team_Matches!$A2832</f>
        <v>3rd Singles</v>
      </c>
      <c r="F223" s="93" t="str">
        <f>IF(Team_Matches!$Q2834&lt;&gt;"",IF(Team_Matches!H2834&gt;Team_Matches!H2836,MIN(Team_Matches!H2834,Team_Matches!H2836),-MIN(Team_Matches!H2834,Team_Matches!H2836))*IF(Team_Matches!$Q2834="W",1,-1),"")</f>
        <v/>
      </c>
      <c r="G223" s="93" t="str">
        <f>IF(Team_Matches!$Q2834&lt;&gt;"",IF(Team_Matches!I2834&gt;Team_Matches!I2836,MIN(Team_Matches!I2834,Team_Matches!I2836),-MIN(Team_Matches!I2834,Team_Matches!I2836))*IF(Team_Matches!$Q2834="W",1,-1),"")</f>
        <v/>
      </c>
      <c r="H223" s="93" t="str">
        <f>IF(Team_Matches!$Q2834&lt;&gt;"",IF(Team_Matches!J2834&gt;Team_Matches!J2836,MIN(Team_Matches!J2834,Team_Matches!J2836),-MIN(Team_Matches!J2834,Team_Matches!J2836))*IF(Team_Matches!$Q2834="W",1,-1),"")</f>
        <v/>
      </c>
      <c r="I223" s="93" t="str">
        <f>IF(Team_Matches!$Q2834&lt;&gt;"",IF(Team_Matches!K2834=Team_Matches!K2836,"",IF(Team_Matches!K2834&gt;Team_Matches!K2836,MIN(Team_Matches!K2834,Team_Matches!K2836),-MIN(Team_Matches!K2834,Team_Matches!K2836))*IF(Team_Matches!$Q2834="W",1,-1)),"")</f>
        <v/>
      </c>
      <c r="J223" s="93" t="str">
        <f>IF(Team_Matches!$Q2834&lt;&gt;"",IF(Team_Matches!L2834=Team_Matches!L2836,"",IF(Team_Matches!L2834&gt;Team_Matches!L2836,MIN(Team_Matches!L2834,Team_Matches!L2836),-MIN(Team_Matches!L2834,Team_Matches!L2836))*IF(Team_Matches!$Q2834="W",1,-1)),"")</f>
        <v/>
      </c>
    </row>
    <row r="224" spans="1:10">
      <c r="A224" s="68" t="e">
        <f ca="1">$B224&amp;";"&amp;VLOOKUP($B224,Players!$C$4:$G$132,5,FALSE)&amp;";"&amp;IF(ISERROR(VLOOKUP($B224,Players!$C$4:$G$132,2,FALSE)),0,VLOOKUP($B224,Players!$C$4:$G$132,2,FALSE))&amp;";"&amp;$C224&amp;";"&amp;VLOOKUP($C224,Players!$C$4:$G$132,5,FALSE)&amp;";"&amp;IF(ISERROR(VLOOKUP($C224,Players!$C$4:$G$132,2,FALSE)),0,VLOOKUP($C224,Players!$C$4:$G$132,2,FALSE))&amp;"|"</f>
        <v>#N/A</v>
      </c>
      <c r="B224" t="str">
        <f ca="1">IF(Team_Matches!$Q2841="W",Team_Matches!$B2841,IF(Team_Matches!$Q2843="W",Team_Matches!$B2843,""))</f>
        <v/>
      </c>
      <c r="C224" t="str">
        <f ca="1">IF(Team_Matches!$Q2841="L",Team_Matches!$B2841,IF(Team_Matches!$Q2843="L",Team_Matches!$B2843,""))</f>
        <v/>
      </c>
      <c r="D224" t="str">
        <f>CONCATENATE(Team_Matches!$B2814," vs ",Team_Matches!$K2814)</f>
        <v>F vs J</v>
      </c>
      <c r="E224" t="str">
        <f>Team_Matches!$A2839</f>
        <v>4th Singles</v>
      </c>
      <c r="F224" s="93" t="str">
        <f ca="1">IF(Team_Matches!$Q2841&lt;&gt;"",IF(Team_Matches!H2841&gt;Team_Matches!H2843,MIN(Team_Matches!H2841,Team_Matches!H2843),-MIN(Team_Matches!H2841,Team_Matches!H2843))*IF(Team_Matches!$Q2841="W",1,-1),"")</f>
        <v/>
      </c>
      <c r="G224" s="93" t="str">
        <f ca="1">IF(Team_Matches!$Q2841&lt;&gt;"",IF(Team_Matches!I2841&gt;Team_Matches!I2843,MIN(Team_Matches!I2841,Team_Matches!I2843),-MIN(Team_Matches!I2841,Team_Matches!I2843))*IF(Team_Matches!$Q2841="W",1,-1),"")</f>
        <v/>
      </c>
      <c r="H224" s="93" t="str">
        <f ca="1">IF(Team_Matches!$Q2841&lt;&gt;"",IF(Team_Matches!J2841&gt;Team_Matches!J2843,MIN(Team_Matches!J2841,Team_Matches!J2843),-MIN(Team_Matches!J2841,Team_Matches!J2843))*IF(Team_Matches!$Q2841="W",1,-1),"")</f>
        <v/>
      </c>
      <c r="I224" s="93" t="str">
        <f ca="1">IF(Team_Matches!$Q2841&lt;&gt;"",IF(Team_Matches!K2841=Team_Matches!K2843,"",IF(Team_Matches!K2841&gt;Team_Matches!K2843,MIN(Team_Matches!K2841,Team_Matches!K2843),-MIN(Team_Matches!K2841,Team_Matches!K2843))*IF(Team_Matches!$Q2841="W",1,-1)),"")</f>
        <v/>
      </c>
      <c r="J224" s="93" t="str">
        <f ca="1">IF(Team_Matches!$Q2841&lt;&gt;"",IF(Team_Matches!L2841=Team_Matches!L2843,"",IF(Team_Matches!L2841&gt;Team_Matches!L2843,MIN(Team_Matches!L2841,Team_Matches!L2843),-MIN(Team_Matches!L2841,Team_Matches!L2843))*IF(Team_Matches!$Q2841="W",1,-1)),"")</f>
        <v/>
      </c>
    </row>
    <row r="225" spans="1:10">
      <c r="A225" s="68" t="e">
        <f>$B225&amp;";"&amp;VLOOKUP($B225,Players!$C$4:$G$132,5,FALSE)&amp;";"&amp;IF(ISERROR(VLOOKUP($B225,Players!$C$4:$G$132,2,FALSE)),0,VLOOKUP($B225,Players!$C$4:$G$132,2,FALSE))&amp;";"&amp;$C225&amp;";"&amp;VLOOKUP($C225,Players!$C$4:$G$132,5,FALSE)&amp;";"&amp;IF(ISERROR(VLOOKUP($C225,Players!$C$4:$G$132,2,FALSE)),0,VLOOKUP($C225,Players!$C$4:$G$132,2,FALSE))&amp;"|"</f>
        <v>#N/A</v>
      </c>
      <c r="B225" t="str">
        <f>IF(Team_Matches!$Q2871="W",Team_Matches!$B2871,IF(Team_Matches!$Q2873="W",Team_Matches!$B2873,""))</f>
        <v/>
      </c>
      <c r="C225" t="str">
        <f>IF(Team_Matches!$Q2871="L",Team_Matches!$B2871,IF(Team_Matches!$Q2873="L",Team_Matches!$B2873,""))</f>
        <v/>
      </c>
      <c r="D225" t="str">
        <f>CONCATENATE(Team_Matches!$B2865," vs ",Team_Matches!$K2865)</f>
        <v>F vs K</v>
      </c>
      <c r="E225" t="str">
        <f>Team_Matches!A2869</f>
        <v>1st Singles</v>
      </c>
      <c r="F225" s="93" t="str">
        <f>IF(Team_Matches!$Q2871&lt;&gt;"",IF(Team_Matches!H2871&gt;Team_Matches!H2873,MIN(Team_Matches!H2871,Team_Matches!H2873),-MIN(Team_Matches!H2871,Team_Matches!H2873))*IF(Team_Matches!$Q2871="W",1,-1),"")</f>
        <v/>
      </c>
      <c r="G225" s="93" t="str">
        <f>IF(Team_Matches!$Q2871&lt;&gt;"",IF(Team_Matches!I2871&gt;Team_Matches!I2873,MIN(Team_Matches!I2871,Team_Matches!I2873),-MIN(Team_Matches!I2871,Team_Matches!I2873))*IF(Team_Matches!$Q2871="W",1,-1),"")</f>
        <v/>
      </c>
      <c r="H225" s="93" t="str">
        <f>IF(Team_Matches!$Q2871&lt;&gt;"",IF(Team_Matches!J2871&gt;Team_Matches!J2873,MIN(Team_Matches!J2871,Team_Matches!J2873),-MIN(Team_Matches!J2871,Team_Matches!J2873))*IF(Team_Matches!$Q2871="W",1,-1),"")</f>
        <v/>
      </c>
      <c r="I225" s="93" t="str">
        <f>IF(Team_Matches!$Q2871&lt;&gt;"",IF(Team_Matches!K2871=Team_Matches!K2873,"",IF(Team_Matches!K2871&gt;Team_Matches!K2873,MIN(Team_Matches!K2871,Team_Matches!K2873),-MIN(Team_Matches!K2871,Team_Matches!K2873))*IF(Team_Matches!$Q2871="W",1,-1)),"")</f>
        <v/>
      </c>
      <c r="J225" s="93" t="str">
        <f>IF(Team_Matches!$Q2871&lt;&gt;"",IF(Team_Matches!L2871=Team_Matches!L2873,"",IF(Team_Matches!L2871&gt;Team_Matches!L2873,MIN(Team_Matches!L2871,Team_Matches!L2873),-MIN(Team_Matches!L2871,Team_Matches!L2873))*IF(Team_Matches!$Q2871="W",1,-1)),"")</f>
        <v/>
      </c>
    </row>
    <row r="226" spans="1:10">
      <c r="A226" s="68" t="e">
        <f>$B226&amp;";"&amp;VLOOKUP($B226,Players!$C$4:$G$132,5,FALSE)&amp;";"&amp;IF(ISERROR(VLOOKUP($B226,Players!$C$4:$G$132,2,FALSE)),0,VLOOKUP($B226,Players!$C$4:$G$132,2,FALSE))&amp;";"&amp;$C226&amp;";"&amp;VLOOKUP($C226,Players!$C$4:$G$132,5,FALSE)&amp;";"&amp;IF(ISERROR(VLOOKUP($C226,Players!$C$4:$G$132,2,FALSE)),0,VLOOKUP($C226,Players!$C$4:$G$132,2,FALSE))&amp;"|"</f>
        <v>#N/A</v>
      </c>
      <c r="B226" t="str">
        <f>IF(Team_Matches!$Q2878="W",Team_Matches!$B2878,IF(Team_Matches!$Q2880="W",Team_Matches!$B2880,""))</f>
        <v/>
      </c>
      <c r="C226" t="str">
        <f>IF(Team_Matches!$Q2878="L",Team_Matches!$B2878,IF(Team_Matches!$Q2880="L",Team_Matches!$B2880,""))</f>
        <v/>
      </c>
      <c r="D226" t="str">
        <f>CONCATENATE(Team_Matches!$B2865," vs ",Team_Matches!$K2865)</f>
        <v>F vs K</v>
      </c>
      <c r="E226" t="str">
        <f>Team_Matches!$A2876</f>
        <v>2nd Singles</v>
      </c>
      <c r="F226" s="93" t="str">
        <f>IF(Team_Matches!$Q2878&lt;&gt;"",IF(Team_Matches!H2878&gt;Team_Matches!H2880,MIN(Team_Matches!H2878,Team_Matches!H2880),-MIN(Team_Matches!H2878,Team_Matches!H2880))*IF(Team_Matches!$Q2878="W",1,-1),"")</f>
        <v/>
      </c>
      <c r="G226" s="93" t="str">
        <f>IF(Team_Matches!$Q2878&lt;&gt;"",IF(Team_Matches!I2878&gt;Team_Matches!I2880,MIN(Team_Matches!I2878,Team_Matches!I2880),-MIN(Team_Matches!I2878,Team_Matches!I2880))*IF(Team_Matches!$Q2878="W",1,-1),"")</f>
        <v/>
      </c>
      <c r="H226" s="93" t="str">
        <f>IF(Team_Matches!$Q2878&lt;&gt;"",IF(Team_Matches!J2878&gt;Team_Matches!J2880,MIN(Team_Matches!J2878,Team_Matches!J2880),-MIN(Team_Matches!J2878,Team_Matches!J2880))*IF(Team_Matches!$Q2878="W",1,-1),"")</f>
        <v/>
      </c>
      <c r="I226" s="93" t="str">
        <f>IF(Team_Matches!$Q2878&lt;&gt;"",IF(Team_Matches!K2878=Team_Matches!K2880,"",IF(Team_Matches!K2878&gt;Team_Matches!K2880,MIN(Team_Matches!K2878,Team_Matches!K2880),-MIN(Team_Matches!K2878,Team_Matches!K2880))*IF(Team_Matches!$Q2878="W",1,-1)),"")</f>
        <v/>
      </c>
      <c r="J226" s="93" t="str">
        <f>IF(Team_Matches!$Q2878&lt;&gt;"",IF(Team_Matches!L2878=Team_Matches!L2880,"",IF(Team_Matches!L2878&gt;Team_Matches!L2880,MIN(Team_Matches!L2878,Team_Matches!L2880),-MIN(Team_Matches!L2878,Team_Matches!L2880))*IF(Team_Matches!$Q2878="W",1,-1)),"")</f>
        <v/>
      </c>
    </row>
    <row r="227" spans="1:10">
      <c r="A227" s="68" t="e">
        <f>$B227&amp;";"&amp;VLOOKUP($B227,Players!$C$4:$G$132,5,FALSE)&amp;";"&amp;IF(ISERROR(VLOOKUP($B227,Players!$C$4:$G$132,2,FALSE)),0,VLOOKUP($B227,Players!$C$4:$G$132,2,FALSE))&amp;";"&amp;$C227&amp;";"&amp;VLOOKUP($C227,Players!$C$4:$G$132,5,FALSE)&amp;";"&amp;IF(ISERROR(VLOOKUP($C227,Players!$C$4:$G$132,2,FALSE)),0,VLOOKUP($C227,Players!$C$4:$G$132,2,FALSE))&amp;"|"</f>
        <v>#N/A</v>
      </c>
      <c r="B227" t="str">
        <f>IF(Team_Matches!$Q2885="W",Team_Matches!$B2885,IF(Team_Matches!$Q2887="W",Team_Matches!$B2887,""))</f>
        <v/>
      </c>
      <c r="C227" t="str">
        <f>IF(Team_Matches!$Q2885="L",Team_Matches!$B2885,IF(Team_Matches!$Q2887="L",Team_Matches!$B2887,""))</f>
        <v/>
      </c>
      <c r="D227" t="str">
        <f>CONCATENATE(Team_Matches!$B2865," vs ",Team_Matches!$K2865)</f>
        <v>F vs K</v>
      </c>
      <c r="E227" t="str">
        <f>Team_Matches!$A2883</f>
        <v>3rd Singles</v>
      </c>
      <c r="F227" s="93" t="str">
        <f>IF(Team_Matches!$Q2885&lt;&gt;"",IF(Team_Matches!H2885&gt;Team_Matches!H2887,MIN(Team_Matches!H2885,Team_Matches!H2887),-MIN(Team_Matches!H2885,Team_Matches!H2887))*IF(Team_Matches!$Q2885="W",1,-1),"")</f>
        <v/>
      </c>
      <c r="G227" s="93" t="str">
        <f>IF(Team_Matches!$Q2885&lt;&gt;"",IF(Team_Matches!I2885&gt;Team_Matches!I2887,MIN(Team_Matches!I2885,Team_Matches!I2887),-MIN(Team_Matches!I2885,Team_Matches!I2887))*IF(Team_Matches!$Q2885="W",1,-1),"")</f>
        <v/>
      </c>
      <c r="H227" s="93" t="str">
        <f>IF(Team_Matches!$Q2885&lt;&gt;"",IF(Team_Matches!J2885&gt;Team_Matches!J2887,MIN(Team_Matches!J2885,Team_Matches!J2887),-MIN(Team_Matches!J2885,Team_Matches!J2887))*IF(Team_Matches!$Q2885="W",1,-1),"")</f>
        <v/>
      </c>
      <c r="I227" s="93" t="str">
        <f>IF(Team_Matches!$Q2885&lt;&gt;"",IF(Team_Matches!K2885=Team_Matches!K2887,"",IF(Team_Matches!K2885&gt;Team_Matches!K2887,MIN(Team_Matches!K2885,Team_Matches!K2887),-MIN(Team_Matches!K2885,Team_Matches!K2887))*IF(Team_Matches!$Q2885="W",1,-1)),"")</f>
        <v/>
      </c>
      <c r="J227" s="93" t="str">
        <f>IF(Team_Matches!$Q2885&lt;&gt;"",IF(Team_Matches!L2885=Team_Matches!L2887,"",IF(Team_Matches!L2885&gt;Team_Matches!L2887,MIN(Team_Matches!L2885,Team_Matches!L2887),-MIN(Team_Matches!L2885,Team_Matches!L2887))*IF(Team_Matches!$Q2885="W",1,-1)),"")</f>
        <v/>
      </c>
    </row>
    <row r="228" spans="1:10">
      <c r="A228" s="68" t="e">
        <f ca="1">$B228&amp;";"&amp;VLOOKUP($B228,Players!$C$4:$G$132,5,FALSE)&amp;";"&amp;IF(ISERROR(VLOOKUP($B228,Players!$C$4:$G$132,2,FALSE)),0,VLOOKUP($B228,Players!$C$4:$G$132,2,FALSE))&amp;";"&amp;$C228&amp;";"&amp;VLOOKUP($C228,Players!$C$4:$G$132,5,FALSE)&amp;";"&amp;IF(ISERROR(VLOOKUP($C228,Players!$C$4:$G$132,2,FALSE)),0,VLOOKUP($C228,Players!$C$4:$G$132,2,FALSE))&amp;"|"</f>
        <v>#N/A</v>
      </c>
      <c r="B228" t="str">
        <f ca="1">IF(Team_Matches!$Q2892="W",Team_Matches!$B2892,IF(Team_Matches!$Q2894="W",Team_Matches!$B2894,""))</f>
        <v/>
      </c>
      <c r="C228" t="str">
        <f ca="1">IF(Team_Matches!$Q2892="L",Team_Matches!$B2892,IF(Team_Matches!$Q2894="L",Team_Matches!$B2894,""))</f>
        <v/>
      </c>
      <c r="D228" t="str">
        <f>CONCATENATE(Team_Matches!$B2865," vs ",Team_Matches!$K2865)</f>
        <v>F vs K</v>
      </c>
      <c r="E228" t="str">
        <f>Team_Matches!$A2890</f>
        <v>4th Singles</v>
      </c>
      <c r="F228" s="93" t="str">
        <f ca="1">IF(Team_Matches!$Q2892&lt;&gt;"",IF(Team_Matches!H2892&gt;Team_Matches!H2894,MIN(Team_Matches!H2892,Team_Matches!H2894),-MIN(Team_Matches!H2892,Team_Matches!H2894))*IF(Team_Matches!$Q2892="W",1,-1),"")</f>
        <v/>
      </c>
      <c r="G228" s="93" t="str">
        <f ca="1">IF(Team_Matches!$Q2892&lt;&gt;"",IF(Team_Matches!I2892&gt;Team_Matches!I2894,MIN(Team_Matches!I2892,Team_Matches!I2894),-MIN(Team_Matches!I2892,Team_Matches!I2894))*IF(Team_Matches!$Q2892="W",1,-1),"")</f>
        <v/>
      </c>
      <c r="H228" s="93" t="str">
        <f ca="1">IF(Team_Matches!$Q2892&lt;&gt;"",IF(Team_Matches!J2892&gt;Team_Matches!J2894,MIN(Team_Matches!J2892,Team_Matches!J2894),-MIN(Team_Matches!J2892,Team_Matches!J2894))*IF(Team_Matches!$Q2892="W",1,-1),"")</f>
        <v/>
      </c>
      <c r="I228" s="93" t="str">
        <f ca="1">IF(Team_Matches!$Q2892&lt;&gt;"",IF(Team_Matches!K2892=Team_Matches!K2894,"",IF(Team_Matches!K2892&gt;Team_Matches!K2894,MIN(Team_Matches!K2892,Team_Matches!K2894),-MIN(Team_Matches!K2892,Team_Matches!K2894))*IF(Team_Matches!$Q2892="W",1,-1)),"")</f>
        <v/>
      </c>
      <c r="J228" s="93" t="str">
        <f ca="1">IF(Team_Matches!$Q2892&lt;&gt;"",IF(Team_Matches!L2892=Team_Matches!L2894,"",IF(Team_Matches!L2892&gt;Team_Matches!L2894,MIN(Team_Matches!L2892,Team_Matches!L2894),-MIN(Team_Matches!L2892,Team_Matches!L2894))*IF(Team_Matches!$Q2892="W",1,-1)),"")</f>
        <v/>
      </c>
    </row>
    <row r="229" spans="1:10">
      <c r="A229" s="68" t="e">
        <f>$B229&amp;";"&amp;VLOOKUP($B229,Players!$C$4:$G$132,5,FALSE)&amp;";"&amp;IF(ISERROR(VLOOKUP($B229,Players!$C$4:$G$132,2,FALSE)),0,VLOOKUP($B229,Players!$C$4:$G$132,2,FALSE))&amp;";"&amp;$C229&amp;";"&amp;VLOOKUP($C229,Players!$C$4:$G$132,5,FALSE)&amp;";"&amp;IF(ISERROR(VLOOKUP($C229,Players!$C$4:$G$132,2,FALSE)),0,VLOOKUP($C229,Players!$C$4:$G$132,2,FALSE))&amp;"|"</f>
        <v>#N/A</v>
      </c>
      <c r="B229" t="str">
        <f>IF(Team_Matches!$Q2922="W",Team_Matches!$B2922,IF(Team_Matches!$Q2924="W",Team_Matches!$B2924,""))</f>
        <v/>
      </c>
      <c r="C229" t="str">
        <f>IF(Team_Matches!$Q2922="L",Team_Matches!$B2922,IF(Team_Matches!$Q2924="L",Team_Matches!$B2924,""))</f>
        <v/>
      </c>
      <c r="D229" t="str">
        <f>CONCATENATE(Team_Matches!$B2916," vs ",Team_Matches!$K2916)</f>
        <v>F vs L</v>
      </c>
      <c r="E229" t="str">
        <f>Team_Matches!A2920</f>
        <v>1st Singles</v>
      </c>
      <c r="F229" s="93" t="str">
        <f>IF(Team_Matches!$Q2922&lt;&gt;"",IF(Team_Matches!H2922&gt;Team_Matches!H2924,MIN(Team_Matches!H2922,Team_Matches!H2924),-MIN(Team_Matches!H2922,Team_Matches!H2924))*IF(Team_Matches!$Q2922="W",1,-1),"")</f>
        <v/>
      </c>
      <c r="G229" s="93" t="str">
        <f>IF(Team_Matches!$Q2922&lt;&gt;"",IF(Team_Matches!I2922&gt;Team_Matches!I2924,MIN(Team_Matches!I2922,Team_Matches!I2924),-MIN(Team_Matches!I2922,Team_Matches!I2924))*IF(Team_Matches!$Q2922="W",1,-1),"")</f>
        <v/>
      </c>
      <c r="H229" s="93" t="str">
        <f>IF(Team_Matches!$Q2922&lt;&gt;"",IF(Team_Matches!J2922&gt;Team_Matches!J2924,MIN(Team_Matches!J2922,Team_Matches!J2924),-MIN(Team_Matches!J2922,Team_Matches!J2924))*IF(Team_Matches!$Q2922="W",1,-1),"")</f>
        <v/>
      </c>
      <c r="I229" s="93" t="str">
        <f>IF(Team_Matches!$Q2922&lt;&gt;"",IF(Team_Matches!K2922=Team_Matches!K2924,"",IF(Team_Matches!K2922&gt;Team_Matches!K2924,MIN(Team_Matches!K2922,Team_Matches!K2924),-MIN(Team_Matches!K2922,Team_Matches!K2924))*IF(Team_Matches!$Q2922="W",1,-1)),"")</f>
        <v/>
      </c>
      <c r="J229" s="93" t="str">
        <f>IF(Team_Matches!$Q2922&lt;&gt;"",IF(Team_Matches!L2922=Team_Matches!L2924,"",IF(Team_Matches!L2922&gt;Team_Matches!L2924,MIN(Team_Matches!L2922,Team_Matches!L2924),-MIN(Team_Matches!L2922,Team_Matches!L2924))*IF(Team_Matches!$Q2922="W",1,-1)),"")</f>
        <v/>
      </c>
    </row>
    <row r="230" spans="1:10">
      <c r="A230" s="68" t="e">
        <f>$B230&amp;";"&amp;VLOOKUP($B230,Players!$C$4:$G$132,5,FALSE)&amp;";"&amp;IF(ISERROR(VLOOKUP($B230,Players!$C$4:$G$132,2,FALSE)),0,VLOOKUP($B230,Players!$C$4:$G$132,2,FALSE))&amp;";"&amp;$C230&amp;";"&amp;VLOOKUP($C230,Players!$C$4:$G$132,5,FALSE)&amp;";"&amp;IF(ISERROR(VLOOKUP($C230,Players!$C$4:$G$132,2,FALSE)),0,VLOOKUP($C230,Players!$C$4:$G$132,2,FALSE))&amp;"|"</f>
        <v>#N/A</v>
      </c>
      <c r="B230" t="str">
        <f>IF(Team_Matches!$Q2929="W",Team_Matches!$B2929,IF(Team_Matches!$Q2931="W",Team_Matches!$B2931,""))</f>
        <v/>
      </c>
      <c r="C230" t="str">
        <f>IF(Team_Matches!$Q2929="L",Team_Matches!$B2929,IF(Team_Matches!$Q2931="L",Team_Matches!$B2931,""))</f>
        <v/>
      </c>
      <c r="D230" t="str">
        <f>CONCATENATE(Team_Matches!$B2916," vs ",Team_Matches!$K2916)</f>
        <v>F vs L</v>
      </c>
      <c r="E230" t="str">
        <f>Team_Matches!$A2927</f>
        <v>2nd Singles</v>
      </c>
      <c r="F230" s="93" t="str">
        <f>IF(Team_Matches!$Q2929&lt;&gt;"",IF(Team_Matches!H2929&gt;Team_Matches!H2931,MIN(Team_Matches!H2929,Team_Matches!H2931),-MIN(Team_Matches!H2929,Team_Matches!H2931))*IF(Team_Matches!$Q2929="W",1,-1),"")</f>
        <v/>
      </c>
      <c r="G230" s="93" t="str">
        <f>IF(Team_Matches!$Q2929&lt;&gt;"",IF(Team_Matches!I2929&gt;Team_Matches!I2931,MIN(Team_Matches!I2929,Team_Matches!I2931),-MIN(Team_Matches!I2929,Team_Matches!I2931))*IF(Team_Matches!$Q2929="W",1,-1),"")</f>
        <v/>
      </c>
      <c r="H230" s="93" t="str">
        <f>IF(Team_Matches!$Q2929&lt;&gt;"",IF(Team_Matches!J2929&gt;Team_Matches!J2931,MIN(Team_Matches!J2929,Team_Matches!J2931),-MIN(Team_Matches!J2929,Team_Matches!J2931))*IF(Team_Matches!$Q2929="W",1,-1),"")</f>
        <v/>
      </c>
      <c r="I230" s="93" t="str">
        <f>IF(Team_Matches!$Q2929&lt;&gt;"",IF(Team_Matches!K2929=Team_Matches!K2931,"",IF(Team_Matches!K2929&gt;Team_Matches!K2931,MIN(Team_Matches!K2929,Team_Matches!K2931),-MIN(Team_Matches!K2929,Team_Matches!K2931))*IF(Team_Matches!$Q2929="W",1,-1)),"")</f>
        <v/>
      </c>
      <c r="J230" s="93" t="str">
        <f>IF(Team_Matches!$Q2929&lt;&gt;"",IF(Team_Matches!L2929=Team_Matches!L2931,"",IF(Team_Matches!L2929&gt;Team_Matches!L2931,MIN(Team_Matches!L2929,Team_Matches!L2931),-MIN(Team_Matches!L2929,Team_Matches!L2931))*IF(Team_Matches!$Q2929="W",1,-1)),"")</f>
        <v/>
      </c>
    </row>
    <row r="231" spans="1:10">
      <c r="A231" s="68" t="e">
        <f>$B231&amp;";"&amp;VLOOKUP($B231,Players!$C$4:$G$132,5,FALSE)&amp;";"&amp;IF(ISERROR(VLOOKUP($B231,Players!$C$4:$G$132,2,FALSE)),0,VLOOKUP($B231,Players!$C$4:$G$132,2,FALSE))&amp;";"&amp;$C231&amp;";"&amp;VLOOKUP($C231,Players!$C$4:$G$132,5,FALSE)&amp;";"&amp;IF(ISERROR(VLOOKUP($C231,Players!$C$4:$G$132,2,FALSE)),0,VLOOKUP($C231,Players!$C$4:$G$132,2,FALSE))&amp;"|"</f>
        <v>#N/A</v>
      </c>
      <c r="B231" t="str">
        <f>IF(Team_Matches!$Q2936="W",Team_Matches!$B2936,IF(Team_Matches!$Q2938="W",Team_Matches!$B2938,""))</f>
        <v/>
      </c>
      <c r="C231" t="str">
        <f>IF(Team_Matches!$Q2936="L",Team_Matches!$B2936,IF(Team_Matches!$Q2938="L",Team_Matches!$B2938,""))</f>
        <v/>
      </c>
      <c r="D231" t="str">
        <f>CONCATENATE(Team_Matches!$B2916," vs ",Team_Matches!$K2916)</f>
        <v>F vs L</v>
      </c>
      <c r="E231" t="str">
        <f>Team_Matches!$A2934</f>
        <v>3rd Singles</v>
      </c>
      <c r="F231" s="93" t="str">
        <f>IF(Team_Matches!$Q2936&lt;&gt;"",IF(Team_Matches!H2936&gt;Team_Matches!H2938,MIN(Team_Matches!H2936,Team_Matches!H2938),-MIN(Team_Matches!H2936,Team_Matches!H2938))*IF(Team_Matches!$Q2936="W",1,-1),"")</f>
        <v/>
      </c>
      <c r="G231" s="93" t="str">
        <f>IF(Team_Matches!$Q2936&lt;&gt;"",IF(Team_Matches!I2936&gt;Team_Matches!I2938,MIN(Team_Matches!I2936,Team_Matches!I2938),-MIN(Team_Matches!I2936,Team_Matches!I2938))*IF(Team_Matches!$Q2936="W",1,-1),"")</f>
        <v/>
      </c>
      <c r="H231" s="93" t="str">
        <f>IF(Team_Matches!$Q2936&lt;&gt;"",IF(Team_Matches!J2936&gt;Team_Matches!J2938,MIN(Team_Matches!J2936,Team_Matches!J2938),-MIN(Team_Matches!J2936,Team_Matches!J2938))*IF(Team_Matches!$Q2936="W",1,-1),"")</f>
        <v/>
      </c>
      <c r="I231" s="93" t="str">
        <f>IF(Team_Matches!$Q2936&lt;&gt;"",IF(Team_Matches!K2936=Team_Matches!K2938,"",IF(Team_Matches!K2936&gt;Team_Matches!K2938,MIN(Team_Matches!K2936,Team_Matches!K2938),-MIN(Team_Matches!K2936,Team_Matches!K2938))*IF(Team_Matches!$Q2936="W",1,-1)),"")</f>
        <v/>
      </c>
      <c r="J231" s="93" t="str">
        <f>IF(Team_Matches!$Q2936&lt;&gt;"",IF(Team_Matches!L2936=Team_Matches!L2938,"",IF(Team_Matches!L2936&gt;Team_Matches!L2938,MIN(Team_Matches!L2936,Team_Matches!L2938),-MIN(Team_Matches!L2936,Team_Matches!L2938))*IF(Team_Matches!$Q2936="W",1,-1)),"")</f>
        <v/>
      </c>
    </row>
    <row r="232" spans="1:10">
      <c r="A232" s="68" t="e">
        <f ca="1">$B232&amp;";"&amp;VLOOKUP($B232,Players!$C$4:$G$132,5,FALSE)&amp;";"&amp;IF(ISERROR(VLOOKUP($B232,Players!$C$4:$G$132,2,FALSE)),0,VLOOKUP($B232,Players!$C$4:$G$132,2,FALSE))&amp;";"&amp;$C232&amp;";"&amp;VLOOKUP($C232,Players!$C$4:$G$132,5,FALSE)&amp;";"&amp;IF(ISERROR(VLOOKUP($C232,Players!$C$4:$G$132,2,FALSE)),0,VLOOKUP($C232,Players!$C$4:$G$132,2,FALSE))&amp;"|"</f>
        <v>#N/A</v>
      </c>
      <c r="B232" t="str">
        <f ca="1">IF(Team_Matches!$Q2943="W",Team_Matches!$B2943,IF(Team_Matches!$Q2945="W",Team_Matches!$B2945,""))</f>
        <v/>
      </c>
      <c r="C232" t="str">
        <f ca="1">IF(Team_Matches!$Q2943="L",Team_Matches!$B2943,IF(Team_Matches!$Q2945="L",Team_Matches!$B2945,""))</f>
        <v/>
      </c>
      <c r="D232" t="str">
        <f>CONCATENATE(Team_Matches!$B2916," vs ",Team_Matches!$K2916)</f>
        <v>F vs L</v>
      </c>
      <c r="E232" t="str">
        <f>Team_Matches!$A2941</f>
        <v>4th Singles</v>
      </c>
      <c r="F232" s="93" t="str">
        <f ca="1">IF(Team_Matches!$Q2943&lt;&gt;"",IF(Team_Matches!H2943&gt;Team_Matches!H2945,MIN(Team_Matches!H2943,Team_Matches!H2945),-MIN(Team_Matches!H2943,Team_Matches!H2945))*IF(Team_Matches!$Q2943="W",1,-1),"")</f>
        <v/>
      </c>
      <c r="G232" s="93" t="str">
        <f ca="1">IF(Team_Matches!$Q2943&lt;&gt;"",IF(Team_Matches!I2943&gt;Team_Matches!I2945,MIN(Team_Matches!I2943,Team_Matches!I2945),-MIN(Team_Matches!I2943,Team_Matches!I2945))*IF(Team_Matches!$Q2943="W",1,-1),"")</f>
        <v/>
      </c>
      <c r="H232" s="93" t="str">
        <f ca="1">IF(Team_Matches!$Q2943&lt;&gt;"",IF(Team_Matches!J2943&gt;Team_Matches!J2945,MIN(Team_Matches!J2943,Team_Matches!J2945),-MIN(Team_Matches!J2943,Team_Matches!J2945))*IF(Team_Matches!$Q2943="W",1,-1),"")</f>
        <v/>
      </c>
      <c r="I232" s="93" t="str">
        <f ca="1">IF(Team_Matches!$Q2943&lt;&gt;"",IF(Team_Matches!K2943=Team_Matches!K2945,"",IF(Team_Matches!K2943&gt;Team_Matches!K2945,MIN(Team_Matches!K2943,Team_Matches!K2945),-MIN(Team_Matches!K2943,Team_Matches!K2945))*IF(Team_Matches!$Q2943="W",1,-1)),"")</f>
        <v/>
      </c>
      <c r="J232" s="93" t="str">
        <f ca="1">IF(Team_Matches!$Q2943&lt;&gt;"",IF(Team_Matches!L2943=Team_Matches!L2945,"",IF(Team_Matches!L2943&gt;Team_Matches!L2945,MIN(Team_Matches!L2943,Team_Matches!L2945),-MIN(Team_Matches!L2943,Team_Matches!L2945))*IF(Team_Matches!$Q2943="W",1,-1)),"")</f>
        <v/>
      </c>
    </row>
    <row r="233" spans="1:10">
      <c r="A233" s="68" t="e">
        <f>$B233&amp;";"&amp;VLOOKUP($B233,Players!$C$4:$G$132,5,FALSE)&amp;";"&amp;IF(ISERROR(VLOOKUP($B233,Players!$C$4:$G$132,2,FALSE)),0,VLOOKUP($B233,Players!$C$4:$G$132,2,FALSE))&amp;";"&amp;$C233&amp;";"&amp;VLOOKUP($C233,Players!$C$4:$G$132,5,FALSE)&amp;";"&amp;IF(ISERROR(VLOOKUP($C233,Players!$C$4:$G$132,2,FALSE)),0,VLOOKUP($C233,Players!$C$4:$G$132,2,FALSE))&amp;"|"</f>
        <v>#N/A</v>
      </c>
      <c r="B233" t="str">
        <f>IF(Team_Matches!$Q2973="W",Team_Matches!$B2973,IF(Team_Matches!$Q2975="W",Team_Matches!$B2975,""))</f>
        <v/>
      </c>
      <c r="C233" t="str">
        <f>IF(Team_Matches!$Q2973="L",Team_Matches!$B2973,IF(Team_Matches!$Q2975="L",Team_Matches!$B2975,""))</f>
        <v/>
      </c>
      <c r="D233" t="str">
        <f>CONCATENATE(Team_Matches!$B2967," vs ",Team_Matches!$K2967)</f>
        <v>G vs I</v>
      </c>
      <c r="E233" t="str">
        <f>Team_Matches!A2971</f>
        <v>1st Singles</v>
      </c>
      <c r="F233" s="93" t="str">
        <f>IF(Team_Matches!$Q2973&lt;&gt;"",IF(Team_Matches!H2973&gt;Team_Matches!H2975,MIN(Team_Matches!H2973,Team_Matches!H2975),-MIN(Team_Matches!H2973,Team_Matches!H2975))*IF(Team_Matches!$Q2973="W",1,-1),"")</f>
        <v/>
      </c>
      <c r="G233" s="93" t="str">
        <f>IF(Team_Matches!$Q2973&lt;&gt;"",IF(Team_Matches!I2973&gt;Team_Matches!I2975,MIN(Team_Matches!I2973,Team_Matches!I2975),-MIN(Team_Matches!I2973,Team_Matches!I2975))*IF(Team_Matches!$Q2973="W",1,-1),"")</f>
        <v/>
      </c>
      <c r="H233" s="93" t="str">
        <f>IF(Team_Matches!$Q2973&lt;&gt;"",IF(Team_Matches!J2973&gt;Team_Matches!J2975,MIN(Team_Matches!J2973,Team_Matches!J2975),-MIN(Team_Matches!J2973,Team_Matches!J2975))*IF(Team_Matches!$Q2973="W",1,-1),"")</f>
        <v/>
      </c>
      <c r="I233" s="93" t="str">
        <f>IF(Team_Matches!$Q2973&lt;&gt;"",IF(Team_Matches!K2973=Team_Matches!K2975,"",IF(Team_Matches!K2973&gt;Team_Matches!K2975,MIN(Team_Matches!K2973,Team_Matches!K2975),-MIN(Team_Matches!K2973,Team_Matches!K2975))*IF(Team_Matches!$Q2973="W",1,-1)),"")</f>
        <v/>
      </c>
      <c r="J233" s="93" t="str">
        <f>IF(Team_Matches!$Q2973&lt;&gt;"",IF(Team_Matches!L2973=Team_Matches!L2975,"",IF(Team_Matches!L2973&gt;Team_Matches!L2975,MIN(Team_Matches!L2973,Team_Matches!L2975),-MIN(Team_Matches!L2973,Team_Matches!L2975))*IF(Team_Matches!$Q2973="W",1,-1)),"")</f>
        <v/>
      </c>
    </row>
    <row r="234" spans="1:10">
      <c r="A234" s="68" t="e">
        <f>$B234&amp;";"&amp;VLOOKUP($B234,Players!$C$4:$G$132,5,FALSE)&amp;";"&amp;IF(ISERROR(VLOOKUP($B234,Players!$C$4:$G$132,2,FALSE)),0,VLOOKUP($B234,Players!$C$4:$G$132,2,FALSE))&amp;";"&amp;$C234&amp;";"&amp;VLOOKUP($C234,Players!$C$4:$G$132,5,FALSE)&amp;";"&amp;IF(ISERROR(VLOOKUP($C234,Players!$C$4:$G$132,2,FALSE)),0,VLOOKUP($C234,Players!$C$4:$G$132,2,FALSE))&amp;"|"</f>
        <v>#N/A</v>
      </c>
      <c r="B234" t="str">
        <f>IF(Team_Matches!$Q2980="W",Team_Matches!$B2980,IF(Team_Matches!$Q2982="W",Team_Matches!$B2982,""))</f>
        <v/>
      </c>
      <c r="C234" t="str">
        <f>IF(Team_Matches!$Q2980="L",Team_Matches!$B2980,IF(Team_Matches!$Q2982="L",Team_Matches!$B2982,""))</f>
        <v/>
      </c>
      <c r="D234" t="str">
        <f>CONCATENATE(Team_Matches!$B2967," vs ",Team_Matches!$K2967)</f>
        <v>G vs I</v>
      </c>
      <c r="E234" t="str">
        <f>Team_Matches!$A2978</f>
        <v>2nd Singles</v>
      </c>
      <c r="F234" s="93" t="str">
        <f>IF(Team_Matches!$Q2980&lt;&gt;"",IF(Team_Matches!H2980&gt;Team_Matches!H2982,MIN(Team_Matches!H2980,Team_Matches!H2982),-MIN(Team_Matches!H2980,Team_Matches!H2982))*IF(Team_Matches!$Q2980="W",1,-1),"")</f>
        <v/>
      </c>
      <c r="G234" s="93" t="str">
        <f>IF(Team_Matches!$Q2980&lt;&gt;"",IF(Team_Matches!I2980&gt;Team_Matches!I2982,MIN(Team_Matches!I2980,Team_Matches!I2982),-MIN(Team_Matches!I2980,Team_Matches!I2982))*IF(Team_Matches!$Q2980="W",1,-1),"")</f>
        <v/>
      </c>
      <c r="H234" s="93" t="str">
        <f>IF(Team_Matches!$Q2980&lt;&gt;"",IF(Team_Matches!J2980&gt;Team_Matches!J2982,MIN(Team_Matches!J2980,Team_Matches!J2982),-MIN(Team_Matches!J2980,Team_Matches!J2982))*IF(Team_Matches!$Q2980="W",1,-1),"")</f>
        <v/>
      </c>
      <c r="I234" s="93" t="str">
        <f>IF(Team_Matches!$Q2980&lt;&gt;"",IF(Team_Matches!K2980=Team_Matches!K2982,"",IF(Team_Matches!K2980&gt;Team_Matches!K2982,MIN(Team_Matches!K2980,Team_Matches!K2982),-MIN(Team_Matches!K2980,Team_Matches!K2982))*IF(Team_Matches!$Q2980="W",1,-1)),"")</f>
        <v/>
      </c>
      <c r="J234" s="93" t="str">
        <f>IF(Team_Matches!$Q2980&lt;&gt;"",IF(Team_Matches!L2980=Team_Matches!L2982,"",IF(Team_Matches!L2980&gt;Team_Matches!L2982,MIN(Team_Matches!L2980,Team_Matches!L2982),-MIN(Team_Matches!L2980,Team_Matches!L2982))*IF(Team_Matches!$Q2980="W",1,-1)),"")</f>
        <v/>
      </c>
    </row>
    <row r="235" spans="1:10">
      <c r="A235" s="68" t="e">
        <f>$B235&amp;";"&amp;VLOOKUP($B235,Players!$C$4:$G$132,5,FALSE)&amp;";"&amp;IF(ISERROR(VLOOKUP($B235,Players!$C$4:$G$132,2,FALSE)),0,VLOOKUP($B235,Players!$C$4:$G$132,2,FALSE))&amp;";"&amp;$C235&amp;";"&amp;VLOOKUP($C235,Players!$C$4:$G$132,5,FALSE)&amp;";"&amp;IF(ISERROR(VLOOKUP($C235,Players!$C$4:$G$132,2,FALSE)),0,VLOOKUP($C235,Players!$C$4:$G$132,2,FALSE))&amp;"|"</f>
        <v>#N/A</v>
      </c>
      <c r="B235" t="str">
        <f>IF(Team_Matches!$Q2987="W",Team_Matches!$B2987,IF(Team_Matches!$Q2989="W",Team_Matches!$B2989,""))</f>
        <v/>
      </c>
      <c r="C235" t="str">
        <f>IF(Team_Matches!$Q2987="L",Team_Matches!$B2987,IF(Team_Matches!$Q2989="L",Team_Matches!$B2989,""))</f>
        <v/>
      </c>
      <c r="D235" t="str">
        <f>CONCATENATE(Team_Matches!$B2967," vs ",Team_Matches!$K2967)</f>
        <v>G vs I</v>
      </c>
      <c r="E235" t="str">
        <f>Team_Matches!$A2985</f>
        <v>3rd Singles</v>
      </c>
      <c r="F235" s="93" t="str">
        <f>IF(Team_Matches!$Q2987&lt;&gt;"",IF(Team_Matches!H2987&gt;Team_Matches!H2989,MIN(Team_Matches!H2987,Team_Matches!H2989),-MIN(Team_Matches!H2987,Team_Matches!H2989))*IF(Team_Matches!$Q2987="W",1,-1),"")</f>
        <v/>
      </c>
      <c r="G235" s="93" t="str">
        <f>IF(Team_Matches!$Q2987&lt;&gt;"",IF(Team_Matches!I2987&gt;Team_Matches!I2989,MIN(Team_Matches!I2987,Team_Matches!I2989),-MIN(Team_Matches!I2987,Team_Matches!I2989))*IF(Team_Matches!$Q2987="W",1,-1),"")</f>
        <v/>
      </c>
      <c r="H235" s="93" t="str">
        <f>IF(Team_Matches!$Q2987&lt;&gt;"",IF(Team_Matches!J2987&gt;Team_Matches!J2989,MIN(Team_Matches!J2987,Team_Matches!J2989),-MIN(Team_Matches!J2987,Team_Matches!J2989))*IF(Team_Matches!$Q2987="W",1,-1),"")</f>
        <v/>
      </c>
      <c r="I235" s="93" t="str">
        <f>IF(Team_Matches!$Q2987&lt;&gt;"",IF(Team_Matches!K2987=Team_Matches!K2989,"",IF(Team_Matches!K2987&gt;Team_Matches!K2989,MIN(Team_Matches!K2987,Team_Matches!K2989),-MIN(Team_Matches!K2987,Team_Matches!K2989))*IF(Team_Matches!$Q2987="W",1,-1)),"")</f>
        <v/>
      </c>
      <c r="J235" s="93" t="str">
        <f>IF(Team_Matches!$Q2987&lt;&gt;"",IF(Team_Matches!L2987=Team_Matches!L2989,"",IF(Team_Matches!L2987&gt;Team_Matches!L2989,MIN(Team_Matches!L2987,Team_Matches!L2989),-MIN(Team_Matches!L2987,Team_Matches!L2989))*IF(Team_Matches!$Q2987="W",1,-1)),"")</f>
        <v/>
      </c>
    </row>
    <row r="236" spans="1:10">
      <c r="A236" s="68" t="e">
        <f ca="1">$B236&amp;";"&amp;VLOOKUP($B236,Players!$C$4:$G$132,5,FALSE)&amp;";"&amp;IF(ISERROR(VLOOKUP($B236,Players!$C$4:$G$132,2,FALSE)),0,VLOOKUP($B236,Players!$C$4:$G$132,2,FALSE))&amp;";"&amp;$C236&amp;";"&amp;VLOOKUP($C236,Players!$C$4:$G$132,5,FALSE)&amp;";"&amp;IF(ISERROR(VLOOKUP($C236,Players!$C$4:$G$132,2,FALSE)),0,VLOOKUP($C236,Players!$C$4:$G$132,2,FALSE))&amp;"|"</f>
        <v>#N/A</v>
      </c>
      <c r="B236" t="str">
        <f ca="1">IF(Team_Matches!$Q2994="W",Team_Matches!$B2994,IF(Team_Matches!$Q2996="W",Team_Matches!$B2996,""))</f>
        <v/>
      </c>
      <c r="C236" t="str">
        <f ca="1">IF(Team_Matches!$Q2994="L",Team_Matches!$B2994,IF(Team_Matches!$Q2996="L",Team_Matches!$B2996,""))</f>
        <v/>
      </c>
      <c r="D236" t="str">
        <f>CONCATENATE(Team_Matches!$B2967," vs ",Team_Matches!$K2967)</f>
        <v>G vs I</v>
      </c>
      <c r="E236" t="str">
        <f>Team_Matches!$A2992</f>
        <v>4th Singles</v>
      </c>
      <c r="F236" s="93" t="str">
        <f ca="1">IF(Team_Matches!$Q2994&lt;&gt;"",IF(Team_Matches!H2994&gt;Team_Matches!H2996,MIN(Team_Matches!H2994,Team_Matches!H2996),-MIN(Team_Matches!H2994,Team_Matches!H2996))*IF(Team_Matches!$Q2994="W",1,-1),"")</f>
        <v/>
      </c>
      <c r="G236" s="93" t="str">
        <f ca="1">IF(Team_Matches!$Q2994&lt;&gt;"",IF(Team_Matches!I2994&gt;Team_Matches!I2996,MIN(Team_Matches!I2994,Team_Matches!I2996),-MIN(Team_Matches!I2994,Team_Matches!I2996))*IF(Team_Matches!$Q2994="W",1,-1),"")</f>
        <v/>
      </c>
      <c r="H236" s="93" t="str">
        <f ca="1">IF(Team_Matches!$Q2994&lt;&gt;"",IF(Team_Matches!J2994&gt;Team_Matches!J2996,MIN(Team_Matches!J2994,Team_Matches!J2996),-MIN(Team_Matches!J2994,Team_Matches!J2996))*IF(Team_Matches!$Q2994="W",1,-1),"")</f>
        <v/>
      </c>
      <c r="I236" s="93" t="str">
        <f ca="1">IF(Team_Matches!$Q2994&lt;&gt;"",IF(Team_Matches!K2994=Team_Matches!K2996,"",IF(Team_Matches!K2994&gt;Team_Matches!K2996,MIN(Team_Matches!K2994,Team_Matches!K2996),-MIN(Team_Matches!K2994,Team_Matches!K2996))*IF(Team_Matches!$Q2994="W",1,-1)),"")</f>
        <v/>
      </c>
      <c r="J236" s="93" t="str">
        <f ca="1">IF(Team_Matches!$Q2994&lt;&gt;"",IF(Team_Matches!L2994=Team_Matches!L2996,"",IF(Team_Matches!L2994&gt;Team_Matches!L2996,MIN(Team_Matches!L2994,Team_Matches!L2996),-MIN(Team_Matches!L2994,Team_Matches!L2996))*IF(Team_Matches!$Q2994="W",1,-1)),"")</f>
        <v/>
      </c>
    </row>
    <row r="237" spans="1:10">
      <c r="A237" s="68" t="e">
        <f>$B237&amp;";"&amp;VLOOKUP($B237,Players!$C$4:$G$132,5,FALSE)&amp;";"&amp;IF(ISERROR(VLOOKUP($B237,Players!$C$4:$G$132,2,FALSE)),0,VLOOKUP($B237,Players!$C$4:$G$132,2,FALSE))&amp;";"&amp;$C237&amp;";"&amp;VLOOKUP($C237,Players!$C$4:$G$132,5,FALSE)&amp;";"&amp;IF(ISERROR(VLOOKUP($C237,Players!$C$4:$G$132,2,FALSE)),0,VLOOKUP($C237,Players!$C$4:$G$132,2,FALSE))&amp;"|"</f>
        <v>#N/A</v>
      </c>
      <c r="B237" t="str">
        <f>IF(Team_Matches!$Q3024="W",Team_Matches!$B3024,IF(Team_Matches!$Q3026="W",Team_Matches!$B3026,""))</f>
        <v/>
      </c>
      <c r="C237" t="str">
        <f>IF(Team_Matches!$Q3024="L",Team_Matches!$B3024,IF(Team_Matches!$Q3026="L",Team_Matches!$B3026,""))</f>
        <v/>
      </c>
      <c r="D237" t="str">
        <f>CONCATENATE(Team_Matches!$B3018," vs ",Team_Matches!$K3018)</f>
        <v>G vs J</v>
      </c>
      <c r="E237" t="str">
        <f>Team_Matches!A3022</f>
        <v>1st Singles</v>
      </c>
      <c r="F237" s="93" t="str">
        <f>IF(Team_Matches!$Q3024&lt;&gt;"",IF(Team_Matches!H3024&gt;Team_Matches!H3026,MIN(Team_Matches!H3024,Team_Matches!H3026),-MIN(Team_Matches!H3024,Team_Matches!H3026))*IF(Team_Matches!$Q3024="W",1,-1),"")</f>
        <v/>
      </c>
      <c r="G237" s="93" t="str">
        <f>IF(Team_Matches!$Q3024&lt;&gt;"",IF(Team_Matches!I3024&gt;Team_Matches!I3026,MIN(Team_Matches!I3024,Team_Matches!I3026),-MIN(Team_Matches!I3024,Team_Matches!I3026))*IF(Team_Matches!$Q3024="W",1,-1),"")</f>
        <v/>
      </c>
      <c r="H237" s="93" t="str">
        <f>IF(Team_Matches!$Q3024&lt;&gt;"",IF(Team_Matches!J3024&gt;Team_Matches!J3026,MIN(Team_Matches!J3024,Team_Matches!J3026),-MIN(Team_Matches!J3024,Team_Matches!J3026))*IF(Team_Matches!$Q3024="W",1,-1),"")</f>
        <v/>
      </c>
      <c r="I237" s="93" t="str">
        <f>IF(Team_Matches!$Q3024&lt;&gt;"",IF(Team_Matches!K3024=Team_Matches!K3026,"",IF(Team_Matches!K3024&gt;Team_Matches!K3026,MIN(Team_Matches!K3024,Team_Matches!K3026),-MIN(Team_Matches!K3024,Team_Matches!K3026))*IF(Team_Matches!$Q3024="W",1,-1)),"")</f>
        <v/>
      </c>
      <c r="J237" s="93" t="str">
        <f>IF(Team_Matches!$Q3024&lt;&gt;"",IF(Team_Matches!L3024=Team_Matches!L3026,"",IF(Team_Matches!L3024&gt;Team_Matches!L3026,MIN(Team_Matches!L3024,Team_Matches!L3026),-MIN(Team_Matches!L3024,Team_Matches!L3026))*IF(Team_Matches!$Q3024="W",1,-1)),"")</f>
        <v/>
      </c>
    </row>
    <row r="238" spans="1:10">
      <c r="A238" s="68" t="e">
        <f>$B238&amp;";"&amp;VLOOKUP($B238,Players!$C$4:$G$132,5,FALSE)&amp;";"&amp;IF(ISERROR(VLOOKUP($B238,Players!$C$4:$G$132,2,FALSE)),0,VLOOKUP($B238,Players!$C$4:$G$132,2,FALSE))&amp;";"&amp;$C238&amp;";"&amp;VLOOKUP($C238,Players!$C$4:$G$132,5,FALSE)&amp;";"&amp;IF(ISERROR(VLOOKUP($C238,Players!$C$4:$G$132,2,FALSE)),0,VLOOKUP($C238,Players!$C$4:$G$132,2,FALSE))&amp;"|"</f>
        <v>#N/A</v>
      </c>
      <c r="B238" t="str">
        <f>IF(Team_Matches!$Q3031="W",Team_Matches!$B3031,IF(Team_Matches!$Q3033="W",Team_Matches!$B3033,""))</f>
        <v/>
      </c>
      <c r="C238" t="str">
        <f>IF(Team_Matches!$Q3031="L",Team_Matches!$B3031,IF(Team_Matches!$Q3033="L",Team_Matches!$B3033,""))</f>
        <v/>
      </c>
      <c r="D238" t="str">
        <f>CONCATENATE(Team_Matches!$B3018," vs ",Team_Matches!$K3018)</f>
        <v>G vs J</v>
      </c>
      <c r="E238" t="str">
        <f>Team_Matches!$A3029</f>
        <v>2nd Singles</v>
      </c>
      <c r="F238" s="93" t="str">
        <f>IF(Team_Matches!$Q3031&lt;&gt;"",IF(Team_Matches!H3031&gt;Team_Matches!H3033,MIN(Team_Matches!H3031,Team_Matches!H3033),-MIN(Team_Matches!H3031,Team_Matches!H3033))*IF(Team_Matches!$Q3031="W",1,-1),"")</f>
        <v/>
      </c>
      <c r="G238" s="93" t="str">
        <f>IF(Team_Matches!$Q3031&lt;&gt;"",IF(Team_Matches!I3031&gt;Team_Matches!I3033,MIN(Team_Matches!I3031,Team_Matches!I3033),-MIN(Team_Matches!I3031,Team_Matches!I3033))*IF(Team_Matches!$Q3031="W",1,-1),"")</f>
        <v/>
      </c>
      <c r="H238" s="93" t="str">
        <f>IF(Team_Matches!$Q3031&lt;&gt;"",IF(Team_Matches!J3031&gt;Team_Matches!J3033,MIN(Team_Matches!J3031,Team_Matches!J3033),-MIN(Team_Matches!J3031,Team_Matches!J3033))*IF(Team_Matches!$Q3031="W",1,-1),"")</f>
        <v/>
      </c>
      <c r="I238" s="93" t="str">
        <f>IF(Team_Matches!$Q3031&lt;&gt;"",IF(Team_Matches!K3031=Team_Matches!K3033,"",IF(Team_Matches!K3031&gt;Team_Matches!K3033,MIN(Team_Matches!K3031,Team_Matches!K3033),-MIN(Team_Matches!K3031,Team_Matches!K3033))*IF(Team_Matches!$Q3031="W",1,-1)),"")</f>
        <v/>
      </c>
      <c r="J238" s="93" t="str">
        <f>IF(Team_Matches!$Q3031&lt;&gt;"",IF(Team_Matches!L3031=Team_Matches!L3033,"",IF(Team_Matches!L3031&gt;Team_Matches!L3033,MIN(Team_Matches!L3031,Team_Matches!L3033),-MIN(Team_Matches!L3031,Team_Matches!L3033))*IF(Team_Matches!$Q3031="W",1,-1)),"")</f>
        <v/>
      </c>
    </row>
    <row r="239" spans="1:10">
      <c r="A239" s="68" t="e">
        <f>$B239&amp;";"&amp;VLOOKUP($B239,Players!$C$4:$G$132,5,FALSE)&amp;";"&amp;IF(ISERROR(VLOOKUP($B239,Players!$C$4:$G$132,2,FALSE)),0,VLOOKUP($B239,Players!$C$4:$G$132,2,FALSE))&amp;";"&amp;$C239&amp;";"&amp;VLOOKUP($C239,Players!$C$4:$G$132,5,FALSE)&amp;";"&amp;IF(ISERROR(VLOOKUP($C239,Players!$C$4:$G$132,2,FALSE)),0,VLOOKUP($C239,Players!$C$4:$G$132,2,FALSE))&amp;"|"</f>
        <v>#N/A</v>
      </c>
      <c r="B239" t="str">
        <f>IF(Team_Matches!$Q3038="W",Team_Matches!$B3038,IF(Team_Matches!$Q3040="W",Team_Matches!$B3040,""))</f>
        <v/>
      </c>
      <c r="C239" t="str">
        <f>IF(Team_Matches!$Q3038="L",Team_Matches!$B3038,IF(Team_Matches!$Q3040="L",Team_Matches!$B3040,""))</f>
        <v/>
      </c>
      <c r="D239" t="str">
        <f>CONCATENATE(Team_Matches!$B3018," vs ",Team_Matches!$K3018)</f>
        <v>G vs J</v>
      </c>
      <c r="E239" t="str">
        <f>Team_Matches!$A3036</f>
        <v>3rd Singles</v>
      </c>
      <c r="F239" s="93" t="str">
        <f>IF(Team_Matches!$Q3038&lt;&gt;"",IF(Team_Matches!H3038&gt;Team_Matches!H3040,MIN(Team_Matches!H3038,Team_Matches!H3040),-MIN(Team_Matches!H3038,Team_Matches!H3040))*IF(Team_Matches!$Q3038="W",1,-1),"")</f>
        <v/>
      </c>
      <c r="G239" s="93" t="str">
        <f>IF(Team_Matches!$Q3038&lt;&gt;"",IF(Team_Matches!I3038&gt;Team_Matches!I3040,MIN(Team_Matches!I3038,Team_Matches!I3040),-MIN(Team_Matches!I3038,Team_Matches!I3040))*IF(Team_Matches!$Q3038="W",1,-1),"")</f>
        <v/>
      </c>
      <c r="H239" s="93" t="str">
        <f>IF(Team_Matches!$Q3038&lt;&gt;"",IF(Team_Matches!J3038&gt;Team_Matches!J3040,MIN(Team_Matches!J3038,Team_Matches!J3040),-MIN(Team_Matches!J3038,Team_Matches!J3040))*IF(Team_Matches!$Q3038="W",1,-1),"")</f>
        <v/>
      </c>
      <c r="I239" s="93" t="str">
        <f>IF(Team_Matches!$Q3038&lt;&gt;"",IF(Team_Matches!K3038=Team_Matches!K3040,"",IF(Team_Matches!K3038&gt;Team_Matches!K3040,MIN(Team_Matches!K3038,Team_Matches!K3040),-MIN(Team_Matches!K3038,Team_Matches!K3040))*IF(Team_Matches!$Q3038="W",1,-1)),"")</f>
        <v/>
      </c>
      <c r="J239" s="93" t="str">
        <f>IF(Team_Matches!$Q3038&lt;&gt;"",IF(Team_Matches!L3038=Team_Matches!L3040,"",IF(Team_Matches!L3038&gt;Team_Matches!L3040,MIN(Team_Matches!L3038,Team_Matches!L3040),-MIN(Team_Matches!L3038,Team_Matches!L3040))*IF(Team_Matches!$Q3038="W",1,-1)),"")</f>
        <v/>
      </c>
    </row>
    <row r="240" spans="1:10">
      <c r="A240" s="68" t="e">
        <f ca="1">$B240&amp;";"&amp;VLOOKUP($B240,Players!$C$4:$G$132,5,FALSE)&amp;";"&amp;IF(ISERROR(VLOOKUP($B240,Players!$C$4:$G$132,2,FALSE)),0,VLOOKUP($B240,Players!$C$4:$G$132,2,FALSE))&amp;";"&amp;$C240&amp;";"&amp;VLOOKUP($C240,Players!$C$4:$G$132,5,FALSE)&amp;";"&amp;IF(ISERROR(VLOOKUP($C240,Players!$C$4:$G$132,2,FALSE)),0,VLOOKUP($C240,Players!$C$4:$G$132,2,FALSE))&amp;"|"</f>
        <v>#N/A</v>
      </c>
      <c r="B240" t="str">
        <f ca="1">IF(Team_Matches!$Q3045="W",Team_Matches!$B3045,IF(Team_Matches!$Q3047="W",Team_Matches!$B3047,""))</f>
        <v/>
      </c>
      <c r="C240" t="str">
        <f ca="1">IF(Team_Matches!$Q3045="L",Team_Matches!$B3045,IF(Team_Matches!$Q3047="L",Team_Matches!$B3047,""))</f>
        <v/>
      </c>
      <c r="D240" t="str">
        <f>CONCATENATE(Team_Matches!$B3018," vs ",Team_Matches!$K3018)</f>
        <v>G vs J</v>
      </c>
      <c r="E240" t="str">
        <f>Team_Matches!$A3043</f>
        <v>4th Singles</v>
      </c>
      <c r="F240" s="93" t="str">
        <f ca="1">IF(Team_Matches!$Q3045&lt;&gt;"",IF(Team_Matches!H3045&gt;Team_Matches!H3047,MIN(Team_Matches!H3045,Team_Matches!H3047),-MIN(Team_Matches!H3045,Team_Matches!H3047))*IF(Team_Matches!$Q3045="W",1,-1),"")</f>
        <v/>
      </c>
      <c r="G240" s="93" t="str">
        <f ca="1">IF(Team_Matches!$Q3045&lt;&gt;"",IF(Team_Matches!I3045&gt;Team_Matches!I3047,MIN(Team_Matches!I3045,Team_Matches!I3047),-MIN(Team_Matches!I3045,Team_Matches!I3047))*IF(Team_Matches!$Q3045="W",1,-1),"")</f>
        <v/>
      </c>
      <c r="H240" s="93" t="str">
        <f ca="1">IF(Team_Matches!$Q3045&lt;&gt;"",IF(Team_Matches!J3045&gt;Team_Matches!J3047,MIN(Team_Matches!J3045,Team_Matches!J3047),-MIN(Team_Matches!J3045,Team_Matches!J3047))*IF(Team_Matches!$Q3045="W",1,-1),"")</f>
        <v/>
      </c>
      <c r="I240" s="93" t="str">
        <f ca="1">IF(Team_Matches!$Q3045&lt;&gt;"",IF(Team_Matches!K3045=Team_Matches!K3047,"",IF(Team_Matches!K3045&gt;Team_Matches!K3047,MIN(Team_Matches!K3045,Team_Matches!K3047),-MIN(Team_Matches!K3045,Team_Matches!K3047))*IF(Team_Matches!$Q3045="W",1,-1)),"")</f>
        <v/>
      </c>
      <c r="J240" s="93" t="str">
        <f ca="1">IF(Team_Matches!$Q3045&lt;&gt;"",IF(Team_Matches!L3045=Team_Matches!L3047,"",IF(Team_Matches!L3045&gt;Team_Matches!L3047,MIN(Team_Matches!L3045,Team_Matches!L3047),-MIN(Team_Matches!L3045,Team_Matches!L3047))*IF(Team_Matches!$Q3045="W",1,-1)),"")</f>
        <v/>
      </c>
    </row>
    <row r="241" spans="1:10">
      <c r="A241" s="68" t="e">
        <f>$B241&amp;";"&amp;VLOOKUP($B241,Players!$C$4:$G$132,5,FALSE)&amp;";"&amp;IF(ISERROR(VLOOKUP($B241,Players!$C$4:$G$132,2,FALSE)),0,VLOOKUP($B241,Players!$C$4:$G$132,2,FALSE))&amp;";"&amp;$C241&amp;";"&amp;VLOOKUP($C241,Players!$C$4:$G$132,5,FALSE)&amp;";"&amp;IF(ISERROR(VLOOKUP($C241,Players!$C$4:$G$132,2,FALSE)),0,VLOOKUP($C241,Players!$C$4:$G$132,2,FALSE))&amp;"|"</f>
        <v>#N/A</v>
      </c>
      <c r="B241" t="str">
        <f>IF(Team_Matches!$Q3075="W",Team_Matches!$B3075,IF(Team_Matches!$Q3077="W",Team_Matches!$B3077,""))</f>
        <v/>
      </c>
      <c r="C241" t="str">
        <f>IF(Team_Matches!$Q3075="L",Team_Matches!$B3075,IF(Team_Matches!$Q3077="L",Team_Matches!$B3077,""))</f>
        <v/>
      </c>
      <c r="D241" t="str">
        <f>CONCATENATE(Team_Matches!$B3069," vs ",Team_Matches!$K3069)</f>
        <v>G vs K</v>
      </c>
      <c r="E241" t="str">
        <f>Team_Matches!A3073</f>
        <v>1st Singles</v>
      </c>
      <c r="F241" s="93" t="str">
        <f>IF(Team_Matches!$Q3075&lt;&gt;"",IF(Team_Matches!H3075&gt;Team_Matches!H3077,MIN(Team_Matches!H3075,Team_Matches!H3077),-MIN(Team_Matches!H3075,Team_Matches!H3077))*IF(Team_Matches!$Q3075="W",1,-1),"")</f>
        <v/>
      </c>
      <c r="G241" s="93" t="str">
        <f>IF(Team_Matches!$Q3075&lt;&gt;"",IF(Team_Matches!I3075&gt;Team_Matches!I3077,MIN(Team_Matches!I3075,Team_Matches!I3077),-MIN(Team_Matches!I3075,Team_Matches!I3077))*IF(Team_Matches!$Q3075="W",1,-1),"")</f>
        <v/>
      </c>
      <c r="H241" s="93" t="str">
        <f>IF(Team_Matches!$Q3075&lt;&gt;"",IF(Team_Matches!J3075&gt;Team_Matches!J3077,MIN(Team_Matches!J3075,Team_Matches!J3077),-MIN(Team_Matches!J3075,Team_Matches!J3077))*IF(Team_Matches!$Q3075="W",1,-1),"")</f>
        <v/>
      </c>
      <c r="I241" s="93" t="str">
        <f>IF(Team_Matches!$Q3075&lt;&gt;"",IF(Team_Matches!K3075=Team_Matches!K3077,"",IF(Team_Matches!K3075&gt;Team_Matches!K3077,MIN(Team_Matches!K3075,Team_Matches!K3077),-MIN(Team_Matches!K3075,Team_Matches!K3077))*IF(Team_Matches!$Q3075="W",1,-1)),"")</f>
        <v/>
      </c>
      <c r="J241" s="93" t="str">
        <f>IF(Team_Matches!$Q3075&lt;&gt;"",IF(Team_Matches!L3075=Team_Matches!L3077,"",IF(Team_Matches!L3075&gt;Team_Matches!L3077,MIN(Team_Matches!L3075,Team_Matches!L3077),-MIN(Team_Matches!L3075,Team_Matches!L3077))*IF(Team_Matches!$Q3075="W",1,-1)),"")</f>
        <v/>
      </c>
    </row>
    <row r="242" spans="1:10">
      <c r="A242" s="68" t="e">
        <f>$B242&amp;";"&amp;VLOOKUP($B242,Players!$C$4:$G$132,5,FALSE)&amp;";"&amp;IF(ISERROR(VLOOKUP($B242,Players!$C$4:$G$132,2,FALSE)),0,VLOOKUP($B242,Players!$C$4:$G$132,2,FALSE))&amp;";"&amp;$C242&amp;";"&amp;VLOOKUP($C242,Players!$C$4:$G$132,5,FALSE)&amp;";"&amp;IF(ISERROR(VLOOKUP($C242,Players!$C$4:$G$132,2,FALSE)),0,VLOOKUP($C242,Players!$C$4:$G$132,2,FALSE))&amp;"|"</f>
        <v>#N/A</v>
      </c>
      <c r="B242" t="str">
        <f>IF(Team_Matches!$Q3082="W",Team_Matches!$B3082,IF(Team_Matches!$Q3084="W",Team_Matches!$B3084,""))</f>
        <v/>
      </c>
      <c r="C242" t="str">
        <f>IF(Team_Matches!$Q3082="L",Team_Matches!$B3082,IF(Team_Matches!$Q3084="L",Team_Matches!$B3084,""))</f>
        <v/>
      </c>
      <c r="D242" t="str">
        <f>CONCATENATE(Team_Matches!$B3069," vs ",Team_Matches!$K3069)</f>
        <v>G vs K</v>
      </c>
      <c r="E242" t="str">
        <f>Team_Matches!$A3080</f>
        <v>2nd Singles</v>
      </c>
      <c r="F242" s="93" t="str">
        <f>IF(Team_Matches!$Q3082&lt;&gt;"",IF(Team_Matches!H3082&gt;Team_Matches!H3084,MIN(Team_Matches!H3082,Team_Matches!H3084),-MIN(Team_Matches!H3082,Team_Matches!H3084))*IF(Team_Matches!$Q3082="W",1,-1),"")</f>
        <v/>
      </c>
      <c r="G242" s="93" t="str">
        <f>IF(Team_Matches!$Q3082&lt;&gt;"",IF(Team_Matches!I3082&gt;Team_Matches!I3084,MIN(Team_Matches!I3082,Team_Matches!I3084),-MIN(Team_Matches!I3082,Team_Matches!I3084))*IF(Team_Matches!$Q3082="W",1,-1),"")</f>
        <v/>
      </c>
      <c r="H242" s="93" t="str">
        <f>IF(Team_Matches!$Q3082&lt;&gt;"",IF(Team_Matches!J3082&gt;Team_Matches!J3084,MIN(Team_Matches!J3082,Team_Matches!J3084),-MIN(Team_Matches!J3082,Team_Matches!J3084))*IF(Team_Matches!$Q3082="W",1,-1),"")</f>
        <v/>
      </c>
      <c r="I242" s="93" t="str">
        <f>IF(Team_Matches!$Q3082&lt;&gt;"",IF(Team_Matches!K3082=Team_Matches!K3084,"",IF(Team_Matches!K3082&gt;Team_Matches!K3084,MIN(Team_Matches!K3082,Team_Matches!K3084),-MIN(Team_Matches!K3082,Team_Matches!K3084))*IF(Team_Matches!$Q3082="W",1,-1)),"")</f>
        <v/>
      </c>
      <c r="J242" s="93" t="str">
        <f>IF(Team_Matches!$Q3082&lt;&gt;"",IF(Team_Matches!L3082=Team_Matches!L3084,"",IF(Team_Matches!L3082&gt;Team_Matches!L3084,MIN(Team_Matches!L3082,Team_Matches!L3084),-MIN(Team_Matches!L3082,Team_Matches!L3084))*IF(Team_Matches!$Q3082="W",1,-1)),"")</f>
        <v/>
      </c>
    </row>
    <row r="243" spans="1:10">
      <c r="A243" s="68" t="e">
        <f>$B243&amp;";"&amp;VLOOKUP($B243,Players!$C$4:$G$132,5,FALSE)&amp;";"&amp;IF(ISERROR(VLOOKUP($B243,Players!$C$4:$G$132,2,FALSE)),0,VLOOKUP($B243,Players!$C$4:$G$132,2,FALSE))&amp;";"&amp;$C243&amp;";"&amp;VLOOKUP($C243,Players!$C$4:$G$132,5,FALSE)&amp;";"&amp;IF(ISERROR(VLOOKUP($C243,Players!$C$4:$G$132,2,FALSE)),0,VLOOKUP($C243,Players!$C$4:$G$132,2,FALSE))&amp;"|"</f>
        <v>#N/A</v>
      </c>
      <c r="B243" t="str">
        <f>IF(Team_Matches!$Q3089="W",Team_Matches!$B3089,IF(Team_Matches!$Q3091="W",Team_Matches!$B3091,""))</f>
        <v/>
      </c>
      <c r="C243" t="str">
        <f>IF(Team_Matches!$Q3089="L",Team_Matches!$B3089,IF(Team_Matches!$Q3091="L",Team_Matches!$B3091,""))</f>
        <v/>
      </c>
      <c r="D243" t="str">
        <f>CONCATENATE(Team_Matches!$B3069," vs ",Team_Matches!$K3069)</f>
        <v>G vs K</v>
      </c>
      <c r="E243" t="str">
        <f>Team_Matches!$A3087</f>
        <v>3rd Singles</v>
      </c>
      <c r="F243" s="93" t="str">
        <f>IF(Team_Matches!$Q3089&lt;&gt;"",IF(Team_Matches!H3089&gt;Team_Matches!H3091,MIN(Team_Matches!H3089,Team_Matches!H3091),-MIN(Team_Matches!H3089,Team_Matches!H3091))*IF(Team_Matches!$Q3089="W",1,-1),"")</f>
        <v/>
      </c>
      <c r="G243" s="93" t="str">
        <f>IF(Team_Matches!$Q3089&lt;&gt;"",IF(Team_Matches!I3089&gt;Team_Matches!I3091,MIN(Team_Matches!I3089,Team_Matches!I3091),-MIN(Team_Matches!I3089,Team_Matches!I3091))*IF(Team_Matches!$Q3089="W",1,-1),"")</f>
        <v/>
      </c>
      <c r="H243" s="93" t="str">
        <f>IF(Team_Matches!$Q3089&lt;&gt;"",IF(Team_Matches!J3089&gt;Team_Matches!J3091,MIN(Team_Matches!J3089,Team_Matches!J3091),-MIN(Team_Matches!J3089,Team_Matches!J3091))*IF(Team_Matches!$Q3089="W",1,-1),"")</f>
        <v/>
      </c>
      <c r="I243" s="93" t="str">
        <f>IF(Team_Matches!$Q3089&lt;&gt;"",IF(Team_Matches!K3089=Team_Matches!K3091,"",IF(Team_Matches!K3089&gt;Team_Matches!K3091,MIN(Team_Matches!K3089,Team_Matches!K3091),-MIN(Team_Matches!K3089,Team_Matches!K3091))*IF(Team_Matches!$Q3089="W",1,-1)),"")</f>
        <v/>
      </c>
      <c r="J243" s="93" t="str">
        <f>IF(Team_Matches!$Q3089&lt;&gt;"",IF(Team_Matches!L3089=Team_Matches!L3091,"",IF(Team_Matches!L3089&gt;Team_Matches!L3091,MIN(Team_Matches!L3089,Team_Matches!L3091),-MIN(Team_Matches!L3089,Team_Matches!L3091))*IF(Team_Matches!$Q3089="W",1,-1)),"")</f>
        <v/>
      </c>
    </row>
    <row r="244" spans="1:10">
      <c r="A244" s="68" t="e">
        <f ca="1">$B244&amp;";"&amp;VLOOKUP($B244,Players!$C$4:$G$132,5,FALSE)&amp;";"&amp;IF(ISERROR(VLOOKUP($B244,Players!$C$4:$G$132,2,FALSE)),0,VLOOKUP($B244,Players!$C$4:$G$132,2,FALSE))&amp;";"&amp;$C244&amp;";"&amp;VLOOKUP($C244,Players!$C$4:$G$132,5,FALSE)&amp;";"&amp;IF(ISERROR(VLOOKUP($C244,Players!$C$4:$G$132,2,FALSE)),0,VLOOKUP($C244,Players!$C$4:$G$132,2,FALSE))&amp;"|"</f>
        <v>#N/A</v>
      </c>
      <c r="B244" t="str">
        <f ca="1">IF(Team_Matches!$Q3096="W",Team_Matches!$B3096,IF(Team_Matches!$Q3098="W",Team_Matches!$B3098,""))</f>
        <v/>
      </c>
      <c r="C244" t="str">
        <f ca="1">IF(Team_Matches!$Q3096="L",Team_Matches!$B3096,IF(Team_Matches!$Q3098="L",Team_Matches!$B3098,""))</f>
        <v/>
      </c>
      <c r="D244" t="str">
        <f>CONCATENATE(Team_Matches!$B3069," vs ",Team_Matches!$K3069)</f>
        <v>G vs K</v>
      </c>
      <c r="E244" t="str">
        <f>Team_Matches!$A3094</f>
        <v>4th Singles</v>
      </c>
      <c r="F244" s="93" t="str">
        <f ca="1">IF(Team_Matches!$Q3096&lt;&gt;"",IF(Team_Matches!H3096&gt;Team_Matches!H3098,MIN(Team_Matches!H3096,Team_Matches!H3098),-MIN(Team_Matches!H3096,Team_Matches!H3098))*IF(Team_Matches!$Q3096="W",1,-1),"")</f>
        <v/>
      </c>
      <c r="G244" s="93" t="str">
        <f ca="1">IF(Team_Matches!$Q3096&lt;&gt;"",IF(Team_Matches!I3096&gt;Team_Matches!I3098,MIN(Team_Matches!I3096,Team_Matches!I3098),-MIN(Team_Matches!I3096,Team_Matches!I3098))*IF(Team_Matches!$Q3096="W",1,-1),"")</f>
        <v/>
      </c>
      <c r="H244" s="93" t="str">
        <f ca="1">IF(Team_Matches!$Q3096&lt;&gt;"",IF(Team_Matches!J3096&gt;Team_Matches!J3098,MIN(Team_Matches!J3096,Team_Matches!J3098),-MIN(Team_Matches!J3096,Team_Matches!J3098))*IF(Team_Matches!$Q3096="W",1,-1),"")</f>
        <v/>
      </c>
      <c r="I244" s="93" t="str">
        <f ca="1">IF(Team_Matches!$Q3096&lt;&gt;"",IF(Team_Matches!K3096=Team_Matches!K3098,"",IF(Team_Matches!K3096&gt;Team_Matches!K3098,MIN(Team_Matches!K3096,Team_Matches!K3098),-MIN(Team_Matches!K3096,Team_Matches!K3098))*IF(Team_Matches!$Q3096="W",1,-1)),"")</f>
        <v/>
      </c>
      <c r="J244" s="93" t="str">
        <f ca="1">IF(Team_Matches!$Q3096&lt;&gt;"",IF(Team_Matches!L3096=Team_Matches!L3098,"",IF(Team_Matches!L3096&gt;Team_Matches!L3098,MIN(Team_Matches!L3096,Team_Matches!L3098),-MIN(Team_Matches!L3096,Team_Matches!L3098))*IF(Team_Matches!$Q3096="W",1,-1)),"")</f>
        <v/>
      </c>
    </row>
    <row r="245" spans="1:10">
      <c r="A245" s="68" t="e">
        <f>$B245&amp;";"&amp;VLOOKUP($B245,Players!$C$4:$G$132,5,FALSE)&amp;";"&amp;IF(ISERROR(VLOOKUP($B245,Players!$C$4:$G$132,2,FALSE)),0,VLOOKUP($B245,Players!$C$4:$G$132,2,FALSE))&amp;";"&amp;$C245&amp;";"&amp;VLOOKUP($C245,Players!$C$4:$G$132,5,FALSE)&amp;";"&amp;IF(ISERROR(VLOOKUP($C245,Players!$C$4:$G$132,2,FALSE)),0,VLOOKUP($C245,Players!$C$4:$G$132,2,FALSE))&amp;"|"</f>
        <v>#N/A</v>
      </c>
      <c r="B245" t="str">
        <f>IF(Team_Matches!$Q3126="W",Team_Matches!$B3126,IF(Team_Matches!$Q3128="W",Team_Matches!$B3128,""))</f>
        <v/>
      </c>
      <c r="C245" t="str">
        <f>IF(Team_Matches!$Q3126="L",Team_Matches!$B3126,IF(Team_Matches!$Q3128="L",Team_Matches!$B3128,""))</f>
        <v/>
      </c>
      <c r="D245" t="str">
        <f>CONCATENATE(Team_Matches!$B3120," vs ",Team_Matches!$K3120)</f>
        <v>G vs L</v>
      </c>
      <c r="E245" t="str">
        <f>Team_Matches!A3124</f>
        <v>1st Singles</v>
      </c>
      <c r="F245" s="93" t="str">
        <f>IF(Team_Matches!$Q3126&lt;&gt;"",IF(Team_Matches!H3126&gt;Team_Matches!H3128,MIN(Team_Matches!H3126,Team_Matches!H3128),-MIN(Team_Matches!H3126,Team_Matches!H3128))*IF(Team_Matches!$Q3126="W",1,-1),"")</f>
        <v/>
      </c>
      <c r="G245" s="93" t="str">
        <f>IF(Team_Matches!$Q3126&lt;&gt;"",IF(Team_Matches!I3126&gt;Team_Matches!I3128,MIN(Team_Matches!I3126,Team_Matches!I3128),-MIN(Team_Matches!I3126,Team_Matches!I3128))*IF(Team_Matches!$Q3126="W",1,-1),"")</f>
        <v/>
      </c>
      <c r="H245" s="93" t="str">
        <f>IF(Team_Matches!$Q3126&lt;&gt;"",IF(Team_Matches!J3126&gt;Team_Matches!J3128,MIN(Team_Matches!J3126,Team_Matches!J3128),-MIN(Team_Matches!J3126,Team_Matches!J3128))*IF(Team_Matches!$Q3126="W",1,-1),"")</f>
        <v/>
      </c>
      <c r="I245" s="93" t="str">
        <f>IF(Team_Matches!$Q3126&lt;&gt;"",IF(Team_Matches!K3126=Team_Matches!K3128,"",IF(Team_Matches!K3126&gt;Team_Matches!K3128,MIN(Team_Matches!K3126,Team_Matches!K3128),-MIN(Team_Matches!K3126,Team_Matches!K3128))*IF(Team_Matches!$Q3126="W",1,-1)),"")</f>
        <v/>
      </c>
      <c r="J245" s="93" t="str">
        <f>IF(Team_Matches!$Q3126&lt;&gt;"",IF(Team_Matches!L3126=Team_Matches!L3128,"",IF(Team_Matches!L3126&gt;Team_Matches!L3128,MIN(Team_Matches!L3126,Team_Matches!L3128),-MIN(Team_Matches!L3126,Team_Matches!L3128))*IF(Team_Matches!$Q3126="W",1,-1)),"")</f>
        <v/>
      </c>
    </row>
    <row r="246" spans="1:10">
      <c r="A246" s="68" t="e">
        <f>$B246&amp;";"&amp;VLOOKUP($B246,Players!$C$4:$G$132,5,FALSE)&amp;";"&amp;IF(ISERROR(VLOOKUP($B246,Players!$C$4:$G$132,2,FALSE)),0,VLOOKUP($B246,Players!$C$4:$G$132,2,FALSE))&amp;";"&amp;$C246&amp;";"&amp;VLOOKUP($C246,Players!$C$4:$G$132,5,FALSE)&amp;";"&amp;IF(ISERROR(VLOOKUP($C246,Players!$C$4:$G$132,2,FALSE)),0,VLOOKUP($C246,Players!$C$4:$G$132,2,FALSE))&amp;"|"</f>
        <v>#N/A</v>
      </c>
      <c r="B246" t="str">
        <f>IF(Team_Matches!$Q3133="W",Team_Matches!$B3133,IF(Team_Matches!$Q3135="W",Team_Matches!$B3135,""))</f>
        <v/>
      </c>
      <c r="C246" t="str">
        <f>IF(Team_Matches!$Q3133="L",Team_Matches!$B3133,IF(Team_Matches!$Q3135="L",Team_Matches!$B3135,""))</f>
        <v/>
      </c>
      <c r="D246" t="str">
        <f>CONCATENATE(Team_Matches!$B3120," vs ",Team_Matches!$K3120)</f>
        <v>G vs L</v>
      </c>
      <c r="E246" t="str">
        <f>Team_Matches!$A3131</f>
        <v>2nd Singles</v>
      </c>
      <c r="F246" s="93" t="str">
        <f>IF(Team_Matches!$Q3133&lt;&gt;"",IF(Team_Matches!H3133&gt;Team_Matches!H3135,MIN(Team_Matches!H3133,Team_Matches!H3135),-MIN(Team_Matches!H3133,Team_Matches!H3135))*IF(Team_Matches!$Q3133="W",1,-1),"")</f>
        <v/>
      </c>
      <c r="G246" s="93" t="str">
        <f>IF(Team_Matches!$Q3133&lt;&gt;"",IF(Team_Matches!I3133&gt;Team_Matches!I3135,MIN(Team_Matches!I3133,Team_Matches!I3135),-MIN(Team_Matches!I3133,Team_Matches!I3135))*IF(Team_Matches!$Q3133="W",1,-1),"")</f>
        <v/>
      </c>
      <c r="H246" s="93" t="str">
        <f>IF(Team_Matches!$Q3133&lt;&gt;"",IF(Team_Matches!J3133&gt;Team_Matches!J3135,MIN(Team_Matches!J3133,Team_Matches!J3135),-MIN(Team_Matches!J3133,Team_Matches!J3135))*IF(Team_Matches!$Q3133="W",1,-1),"")</f>
        <v/>
      </c>
      <c r="I246" s="93" t="str">
        <f>IF(Team_Matches!$Q3133&lt;&gt;"",IF(Team_Matches!K3133=Team_Matches!K3135,"",IF(Team_Matches!K3133&gt;Team_Matches!K3135,MIN(Team_Matches!K3133,Team_Matches!K3135),-MIN(Team_Matches!K3133,Team_Matches!K3135))*IF(Team_Matches!$Q3133="W",1,-1)),"")</f>
        <v/>
      </c>
      <c r="J246" s="93" t="str">
        <f>IF(Team_Matches!$Q3133&lt;&gt;"",IF(Team_Matches!L3133=Team_Matches!L3135,"",IF(Team_Matches!L3133&gt;Team_Matches!L3135,MIN(Team_Matches!L3133,Team_Matches!L3135),-MIN(Team_Matches!L3133,Team_Matches!L3135))*IF(Team_Matches!$Q3133="W",1,-1)),"")</f>
        <v/>
      </c>
    </row>
    <row r="247" spans="1:10">
      <c r="A247" s="68" t="e">
        <f>$B247&amp;";"&amp;VLOOKUP($B247,Players!$C$4:$G$132,5,FALSE)&amp;";"&amp;IF(ISERROR(VLOOKUP($B247,Players!$C$4:$G$132,2,FALSE)),0,VLOOKUP($B247,Players!$C$4:$G$132,2,FALSE))&amp;";"&amp;$C247&amp;";"&amp;VLOOKUP($C247,Players!$C$4:$G$132,5,FALSE)&amp;";"&amp;IF(ISERROR(VLOOKUP($C247,Players!$C$4:$G$132,2,FALSE)),0,VLOOKUP($C247,Players!$C$4:$G$132,2,FALSE))&amp;"|"</f>
        <v>#N/A</v>
      </c>
      <c r="B247" t="str">
        <f>IF(Team_Matches!$Q3140="W",Team_Matches!$B3140,IF(Team_Matches!$Q3142="W",Team_Matches!$B3142,""))</f>
        <v/>
      </c>
      <c r="C247" t="str">
        <f>IF(Team_Matches!$Q3140="L",Team_Matches!$B3140,IF(Team_Matches!$Q3142="L",Team_Matches!$B3142,""))</f>
        <v/>
      </c>
      <c r="D247" t="str">
        <f>CONCATENATE(Team_Matches!$B3120," vs ",Team_Matches!$K3120)</f>
        <v>G vs L</v>
      </c>
      <c r="E247" t="str">
        <f>Team_Matches!$A3138</f>
        <v>3rd Singles</v>
      </c>
      <c r="F247" s="93" t="str">
        <f>IF(Team_Matches!$Q3140&lt;&gt;"",IF(Team_Matches!H3140&gt;Team_Matches!H3142,MIN(Team_Matches!H3140,Team_Matches!H3142),-MIN(Team_Matches!H3140,Team_Matches!H3142))*IF(Team_Matches!$Q3140="W",1,-1),"")</f>
        <v/>
      </c>
      <c r="G247" s="93" t="str">
        <f>IF(Team_Matches!$Q3140&lt;&gt;"",IF(Team_Matches!I3140&gt;Team_Matches!I3142,MIN(Team_Matches!I3140,Team_Matches!I3142),-MIN(Team_Matches!I3140,Team_Matches!I3142))*IF(Team_Matches!$Q3140="W",1,-1),"")</f>
        <v/>
      </c>
      <c r="H247" s="93" t="str">
        <f>IF(Team_Matches!$Q3140&lt;&gt;"",IF(Team_Matches!J3140&gt;Team_Matches!J3142,MIN(Team_Matches!J3140,Team_Matches!J3142),-MIN(Team_Matches!J3140,Team_Matches!J3142))*IF(Team_Matches!$Q3140="W",1,-1),"")</f>
        <v/>
      </c>
      <c r="I247" s="93" t="str">
        <f>IF(Team_Matches!$Q3140&lt;&gt;"",IF(Team_Matches!K3140=Team_Matches!K3142,"",IF(Team_Matches!K3140&gt;Team_Matches!K3142,MIN(Team_Matches!K3140,Team_Matches!K3142),-MIN(Team_Matches!K3140,Team_Matches!K3142))*IF(Team_Matches!$Q3140="W",1,-1)),"")</f>
        <v/>
      </c>
      <c r="J247" s="93" t="str">
        <f>IF(Team_Matches!$Q3140&lt;&gt;"",IF(Team_Matches!L3140=Team_Matches!L3142,"",IF(Team_Matches!L3140&gt;Team_Matches!L3142,MIN(Team_Matches!L3140,Team_Matches!L3142),-MIN(Team_Matches!L3140,Team_Matches!L3142))*IF(Team_Matches!$Q3140="W",1,-1)),"")</f>
        <v/>
      </c>
    </row>
    <row r="248" spans="1:10">
      <c r="A248" s="68" t="e">
        <f ca="1">$B248&amp;";"&amp;VLOOKUP($B248,Players!$C$4:$G$132,5,FALSE)&amp;";"&amp;IF(ISERROR(VLOOKUP($B248,Players!$C$4:$G$132,2,FALSE)),0,VLOOKUP($B248,Players!$C$4:$G$132,2,FALSE))&amp;";"&amp;$C248&amp;";"&amp;VLOOKUP($C248,Players!$C$4:$G$132,5,FALSE)&amp;";"&amp;IF(ISERROR(VLOOKUP($C248,Players!$C$4:$G$132,2,FALSE)),0,VLOOKUP($C248,Players!$C$4:$G$132,2,FALSE))&amp;"|"</f>
        <v>#N/A</v>
      </c>
      <c r="B248" t="str">
        <f ca="1">IF(Team_Matches!$Q3147="W",Team_Matches!$B3147,IF(Team_Matches!$Q3149="W",Team_Matches!$B3149,""))</f>
        <v/>
      </c>
      <c r="C248" t="str">
        <f ca="1">IF(Team_Matches!$Q3147="L",Team_Matches!$B3147,IF(Team_Matches!$Q3149="L",Team_Matches!$B3149,""))</f>
        <v/>
      </c>
      <c r="D248" t="str">
        <f>CONCATENATE(Team_Matches!$B3120," vs ",Team_Matches!$K3120)</f>
        <v>G vs L</v>
      </c>
      <c r="E248" t="str">
        <f>Team_Matches!$A3145</f>
        <v>4th Singles</v>
      </c>
      <c r="F248" s="93" t="str">
        <f ca="1">IF(Team_Matches!$Q3147&lt;&gt;"",IF(Team_Matches!H3147&gt;Team_Matches!H3149,MIN(Team_Matches!H3147,Team_Matches!H3149),-MIN(Team_Matches!H3147,Team_Matches!H3149))*IF(Team_Matches!$Q3147="W",1,-1),"")</f>
        <v/>
      </c>
      <c r="G248" s="93" t="str">
        <f ca="1">IF(Team_Matches!$Q3147&lt;&gt;"",IF(Team_Matches!I3147&gt;Team_Matches!I3149,MIN(Team_Matches!I3147,Team_Matches!I3149),-MIN(Team_Matches!I3147,Team_Matches!I3149))*IF(Team_Matches!$Q3147="W",1,-1),"")</f>
        <v/>
      </c>
      <c r="H248" s="93" t="str">
        <f ca="1">IF(Team_Matches!$Q3147&lt;&gt;"",IF(Team_Matches!J3147&gt;Team_Matches!J3149,MIN(Team_Matches!J3147,Team_Matches!J3149),-MIN(Team_Matches!J3147,Team_Matches!J3149))*IF(Team_Matches!$Q3147="W",1,-1),"")</f>
        <v/>
      </c>
      <c r="I248" s="93" t="str">
        <f ca="1">IF(Team_Matches!$Q3147&lt;&gt;"",IF(Team_Matches!K3147=Team_Matches!K3149,"",IF(Team_Matches!K3147&gt;Team_Matches!K3149,MIN(Team_Matches!K3147,Team_Matches!K3149),-MIN(Team_Matches!K3147,Team_Matches!K3149))*IF(Team_Matches!$Q3147="W",1,-1)),"")</f>
        <v/>
      </c>
      <c r="J248" s="93" t="str">
        <f ca="1">IF(Team_Matches!$Q3147&lt;&gt;"",IF(Team_Matches!L3147=Team_Matches!L3149,"",IF(Team_Matches!L3147&gt;Team_Matches!L3149,MIN(Team_Matches!L3147,Team_Matches!L3149),-MIN(Team_Matches!L3147,Team_Matches!L3149))*IF(Team_Matches!$Q3147="W",1,-1)),"")</f>
        <v/>
      </c>
    </row>
    <row r="249" spans="1:10">
      <c r="A249" s="68" t="e">
        <f>$B249&amp;";"&amp;VLOOKUP($B249,Players!$C$4:$G$132,5,FALSE)&amp;";"&amp;IF(ISERROR(VLOOKUP($B249,Players!$C$4:$G$132,2,FALSE)),0,VLOOKUP($B249,Players!$C$4:$G$132,2,FALSE))&amp;";"&amp;$C249&amp;";"&amp;VLOOKUP($C249,Players!$C$4:$G$132,5,FALSE)&amp;";"&amp;IF(ISERROR(VLOOKUP($C249,Players!$C$4:$G$132,2,FALSE)),0,VLOOKUP($C249,Players!$C$4:$G$132,2,FALSE))&amp;"|"</f>
        <v>#N/A</v>
      </c>
      <c r="B249" t="str">
        <f>IF(Team_Matches!$Q3177="W",Team_Matches!$B3177,IF(Team_Matches!$Q3179="W",Team_Matches!$B3179,""))</f>
        <v/>
      </c>
      <c r="C249" t="str">
        <f>IF(Team_Matches!$Q3177="L",Team_Matches!$B3177,IF(Team_Matches!$Q3179="L",Team_Matches!$B3179,""))</f>
        <v/>
      </c>
      <c r="D249" t="str">
        <f>CONCATENATE(Team_Matches!$B3171," vs ",Team_Matches!$K3171)</f>
        <v>H vs I</v>
      </c>
      <c r="E249" t="str">
        <f>Team_Matches!A3175</f>
        <v>1st Singles</v>
      </c>
      <c r="F249" s="93" t="str">
        <f>IF(Team_Matches!$Q3177&lt;&gt;"",IF(Team_Matches!H3177&gt;Team_Matches!H3179,MIN(Team_Matches!H3177,Team_Matches!H3179),-MIN(Team_Matches!H3177,Team_Matches!H3179))*IF(Team_Matches!$Q3177="W",1,-1),"")</f>
        <v/>
      </c>
      <c r="G249" s="93" t="str">
        <f>IF(Team_Matches!$Q3177&lt;&gt;"",IF(Team_Matches!I3177&gt;Team_Matches!I3179,MIN(Team_Matches!I3177,Team_Matches!I3179),-MIN(Team_Matches!I3177,Team_Matches!I3179))*IF(Team_Matches!$Q3177="W",1,-1),"")</f>
        <v/>
      </c>
      <c r="H249" s="93" t="str">
        <f>IF(Team_Matches!$Q3177&lt;&gt;"",IF(Team_Matches!J3177&gt;Team_Matches!J3179,MIN(Team_Matches!J3177,Team_Matches!J3179),-MIN(Team_Matches!J3177,Team_Matches!J3179))*IF(Team_Matches!$Q3177="W",1,-1),"")</f>
        <v/>
      </c>
      <c r="I249" s="93" t="str">
        <f>IF(Team_Matches!$Q3177&lt;&gt;"",IF(Team_Matches!K3177=Team_Matches!K3179,"",IF(Team_Matches!K3177&gt;Team_Matches!K3179,MIN(Team_Matches!K3177,Team_Matches!K3179),-MIN(Team_Matches!K3177,Team_Matches!K3179))*IF(Team_Matches!$Q3177="W",1,-1)),"")</f>
        <v/>
      </c>
      <c r="J249" s="93" t="str">
        <f>IF(Team_Matches!$Q3177&lt;&gt;"",IF(Team_Matches!L3177=Team_Matches!L3179,"",IF(Team_Matches!L3177&gt;Team_Matches!L3179,MIN(Team_Matches!L3177,Team_Matches!L3179),-MIN(Team_Matches!L3177,Team_Matches!L3179))*IF(Team_Matches!$Q3177="W",1,-1)),"")</f>
        <v/>
      </c>
    </row>
    <row r="250" spans="1:10">
      <c r="A250" s="68" t="e">
        <f>$B250&amp;";"&amp;VLOOKUP($B250,Players!$C$4:$G$132,5,FALSE)&amp;";"&amp;IF(ISERROR(VLOOKUP($B250,Players!$C$4:$G$132,2,FALSE)),0,VLOOKUP($B250,Players!$C$4:$G$132,2,FALSE))&amp;";"&amp;$C250&amp;";"&amp;VLOOKUP($C250,Players!$C$4:$G$132,5,FALSE)&amp;";"&amp;IF(ISERROR(VLOOKUP($C250,Players!$C$4:$G$132,2,FALSE)),0,VLOOKUP($C250,Players!$C$4:$G$132,2,FALSE))&amp;"|"</f>
        <v>#N/A</v>
      </c>
      <c r="B250" t="str">
        <f>IF(Team_Matches!$Q3184="W",Team_Matches!$B3184,IF(Team_Matches!$Q3186="W",Team_Matches!$B3186,""))</f>
        <v/>
      </c>
      <c r="C250" t="str">
        <f>IF(Team_Matches!$Q3184="L",Team_Matches!$B3184,IF(Team_Matches!$Q3186="L",Team_Matches!$B3186,""))</f>
        <v/>
      </c>
      <c r="D250" t="str">
        <f>CONCATENATE(Team_Matches!$B3171," vs ",Team_Matches!$K3171)</f>
        <v>H vs I</v>
      </c>
      <c r="E250" t="str">
        <f>Team_Matches!$A3182</f>
        <v>2nd Singles</v>
      </c>
      <c r="F250" s="93" t="str">
        <f>IF(Team_Matches!$Q3184&lt;&gt;"",IF(Team_Matches!H3184&gt;Team_Matches!H3186,MIN(Team_Matches!H3184,Team_Matches!H3186),-MIN(Team_Matches!H3184,Team_Matches!H3186))*IF(Team_Matches!$Q3184="W",1,-1),"")</f>
        <v/>
      </c>
      <c r="G250" s="93" t="str">
        <f>IF(Team_Matches!$Q3184&lt;&gt;"",IF(Team_Matches!I3184&gt;Team_Matches!I3186,MIN(Team_Matches!I3184,Team_Matches!I3186),-MIN(Team_Matches!I3184,Team_Matches!I3186))*IF(Team_Matches!$Q3184="W",1,-1),"")</f>
        <v/>
      </c>
      <c r="H250" s="93" t="str">
        <f>IF(Team_Matches!$Q3184&lt;&gt;"",IF(Team_Matches!J3184&gt;Team_Matches!J3186,MIN(Team_Matches!J3184,Team_Matches!J3186),-MIN(Team_Matches!J3184,Team_Matches!J3186))*IF(Team_Matches!$Q3184="W",1,-1),"")</f>
        <v/>
      </c>
      <c r="I250" s="93" t="str">
        <f>IF(Team_Matches!$Q3184&lt;&gt;"",IF(Team_Matches!K3184=Team_Matches!K3186,"",IF(Team_Matches!K3184&gt;Team_Matches!K3186,MIN(Team_Matches!K3184,Team_Matches!K3186),-MIN(Team_Matches!K3184,Team_Matches!K3186))*IF(Team_Matches!$Q3184="W",1,-1)),"")</f>
        <v/>
      </c>
      <c r="J250" s="93" t="str">
        <f>IF(Team_Matches!$Q3184&lt;&gt;"",IF(Team_Matches!L3184=Team_Matches!L3186,"",IF(Team_Matches!L3184&gt;Team_Matches!L3186,MIN(Team_Matches!L3184,Team_Matches!L3186),-MIN(Team_Matches!L3184,Team_Matches!L3186))*IF(Team_Matches!$Q3184="W",1,-1)),"")</f>
        <v/>
      </c>
    </row>
    <row r="251" spans="1:10">
      <c r="A251" s="68" t="e">
        <f>$B251&amp;";"&amp;VLOOKUP($B251,Players!$C$4:$G$132,5,FALSE)&amp;";"&amp;IF(ISERROR(VLOOKUP($B251,Players!$C$4:$G$132,2,FALSE)),0,VLOOKUP($B251,Players!$C$4:$G$132,2,FALSE))&amp;";"&amp;$C251&amp;";"&amp;VLOOKUP($C251,Players!$C$4:$G$132,5,FALSE)&amp;";"&amp;IF(ISERROR(VLOOKUP($C251,Players!$C$4:$G$132,2,FALSE)),0,VLOOKUP($C251,Players!$C$4:$G$132,2,FALSE))&amp;"|"</f>
        <v>#N/A</v>
      </c>
      <c r="B251" t="str">
        <f>IF(Team_Matches!$Q3191="W",Team_Matches!$B3191,IF(Team_Matches!$Q3193="W",Team_Matches!$B3193,""))</f>
        <v/>
      </c>
      <c r="C251" t="str">
        <f>IF(Team_Matches!$Q3191="L",Team_Matches!$B3191,IF(Team_Matches!$Q3193="L",Team_Matches!$B3193,""))</f>
        <v/>
      </c>
      <c r="D251" t="str">
        <f>CONCATENATE(Team_Matches!$B3171," vs ",Team_Matches!$K3171)</f>
        <v>H vs I</v>
      </c>
      <c r="E251" t="str">
        <f>Team_Matches!$A3189</f>
        <v>3rd Singles</v>
      </c>
      <c r="F251" s="93" t="str">
        <f>IF(Team_Matches!$Q3191&lt;&gt;"",IF(Team_Matches!H3191&gt;Team_Matches!H3193,MIN(Team_Matches!H3191,Team_Matches!H3193),-MIN(Team_Matches!H3191,Team_Matches!H3193))*IF(Team_Matches!$Q3191="W",1,-1),"")</f>
        <v/>
      </c>
      <c r="G251" s="93" t="str">
        <f>IF(Team_Matches!$Q3191&lt;&gt;"",IF(Team_Matches!I3191&gt;Team_Matches!I3193,MIN(Team_Matches!I3191,Team_Matches!I3193),-MIN(Team_Matches!I3191,Team_Matches!I3193))*IF(Team_Matches!$Q3191="W",1,-1),"")</f>
        <v/>
      </c>
      <c r="H251" s="93" t="str">
        <f>IF(Team_Matches!$Q3191&lt;&gt;"",IF(Team_Matches!J3191&gt;Team_Matches!J3193,MIN(Team_Matches!J3191,Team_Matches!J3193),-MIN(Team_Matches!J3191,Team_Matches!J3193))*IF(Team_Matches!$Q3191="W",1,-1),"")</f>
        <v/>
      </c>
      <c r="I251" s="93" t="str">
        <f>IF(Team_Matches!$Q3191&lt;&gt;"",IF(Team_Matches!K3191=Team_Matches!K3193,"",IF(Team_Matches!K3191&gt;Team_Matches!K3193,MIN(Team_Matches!K3191,Team_Matches!K3193),-MIN(Team_Matches!K3191,Team_Matches!K3193))*IF(Team_Matches!$Q3191="W",1,-1)),"")</f>
        <v/>
      </c>
      <c r="J251" s="93" t="str">
        <f>IF(Team_Matches!$Q3191&lt;&gt;"",IF(Team_Matches!L3191=Team_Matches!L3193,"",IF(Team_Matches!L3191&gt;Team_Matches!L3193,MIN(Team_Matches!L3191,Team_Matches!L3193),-MIN(Team_Matches!L3191,Team_Matches!L3193))*IF(Team_Matches!$Q3191="W",1,-1)),"")</f>
        <v/>
      </c>
    </row>
    <row r="252" spans="1:10">
      <c r="A252" s="68" t="e">
        <f ca="1">$B252&amp;";"&amp;VLOOKUP($B252,Players!$C$4:$G$132,5,FALSE)&amp;";"&amp;IF(ISERROR(VLOOKUP($B252,Players!$C$4:$G$132,2,FALSE)),0,VLOOKUP($B252,Players!$C$4:$G$132,2,FALSE))&amp;";"&amp;$C252&amp;";"&amp;VLOOKUP($C252,Players!$C$4:$G$132,5,FALSE)&amp;";"&amp;IF(ISERROR(VLOOKUP($C252,Players!$C$4:$G$132,2,FALSE)),0,VLOOKUP($C252,Players!$C$4:$G$132,2,FALSE))&amp;"|"</f>
        <v>#N/A</v>
      </c>
      <c r="B252" t="str">
        <f ca="1">IF(Team_Matches!$Q3198="W",Team_Matches!$B3198,IF(Team_Matches!$Q3200="W",Team_Matches!$B3200,""))</f>
        <v/>
      </c>
      <c r="C252" t="str">
        <f ca="1">IF(Team_Matches!$Q3198="L",Team_Matches!$B3198,IF(Team_Matches!$Q3200="L",Team_Matches!$B3200,""))</f>
        <v/>
      </c>
      <c r="D252" t="str">
        <f>CONCATENATE(Team_Matches!$B3171," vs ",Team_Matches!$K3171)</f>
        <v>H vs I</v>
      </c>
      <c r="E252" t="str">
        <f>Team_Matches!$A3196</f>
        <v>4th Singles</v>
      </c>
      <c r="F252" s="93" t="str">
        <f ca="1">IF(Team_Matches!$Q3198&lt;&gt;"",IF(Team_Matches!H3198&gt;Team_Matches!H3200,MIN(Team_Matches!H3198,Team_Matches!H3200),-MIN(Team_Matches!H3198,Team_Matches!H3200))*IF(Team_Matches!$Q3198="W",1,-1),"")</f>
        <v/>
      </c>
      <c r="G252" s="93" t="str">
        <f ca="1">IF(Team_Matches!$Q3198&lt;&gt;"",IF(Team_Matches!I3198&gt;Team_Matches!I3200,MIN(Team_Matches!I3198,Team_Matches!I3200),-MIN(Team_Matches!I3198,Team_Matches!I3200))*IF(Team_Matches!$Q3198="W",1,-1),"")</f>
        <v/>
      </c>
      <c r="H252" s="93" t="str">
        <f ca="1">IF(Team_Matches!$Q3198&lt;&gt;"",IF(Team_Matches!J3198&gt;Team_Matches!J3200,MIN(Team_Matches!J3198,Team_Matches!J3200),-MIN(Team_Matches!J3198,Team_Matches!J3200))*IF(Team_Matches!$Q3198="W",1,-1),"")</f>
        <v/>
      </c>
      <c r="I252" s="93" t="str">
        <f ca="1">IF(Team_Matches!$Q3198&lt;&gt;"",IF(Team_Matches!K3198=Team_Matches!K3200,"",IF(Team_Matches!K3198&gt;Team_Matches!K3200,MIN(Team_Matches!K3198,Team_Matches!K3200),-MIN(Team_Matches!K3198,Team_Matches!K3200))*IF(Team_Matches!$Q3198="W",1,-1)),"")</f>
        <v/>
      </c>
      <c r="J252" s="93" t="str">
        <f ca="1">IF(Team_Matches!$Q3198&lt;&gt;"",IF(Team_Matches!L3198=Team_Matches!L3200,"",IF(Team_Matches!L3198&gt;Team_Matches!L3200,MIN(Team_Matches!L3198,Team_Matches!L3200),-MIN(Team_Matches!L3198,Team_Matches!L3200))*IF(Team_Matches!$Q3198="W",1,-1)),"")</f>
        <v/>
      </c>
    </row>
    <row r="253" spans="1:10">
      <c r="A253" s="68" t="e">
        <f>$B253&amp;";"&amp;VLOOKUP($B253,Players!$C$4:$G$132,5,FALSE)&amp;";"&amp;IF(ISERROR(VLOOKUP($B253,Players!$C$4:$G$132,2,FALSE)),0,VLOOKUP($B253,Players!$C$4:$G$132,2,FALSE))&amp;";"&amp;$C253&amp;";"&amp;VLOOKUP($C253,Players!$C$4:$G$132,5,FALSE)&amp;";"&amp;IF(ISERROR(VLOOKUP($C253,Players!$C$4:$G$132,2,FALSE)),0,VLOOKUP($C253,Players!$C$4:$G$132,2,FALSE))&amp;"|"</f>
        <v>#N/A</v>
      </c>
      <c r="B253" t="str">
        <f>IF(Team_Matches!$Q3228="W",Team_Matches!$B3228,IF(Team_Matches!$Q3230="W",Team_Matches!$B3230,""))</f>
        <v/>
      </c>
      <c r="C253" t="str">
        <f>IF(Team_Matches!$Q3228="L",Team_Matches!$B3228,IF(Team_Matches!$Q3230="L",Team_Matches!$B3230,""))</f>
        <v/>
      </c>
      <c r="D253" t="str">
        <f>CONCATENATE(Team_Matches!$B3222," vs ",Team_Matches!$K3222)</f>
        <v>H vs J</v>
      </c>
      <c r="E253" t="str">
        <f>Team_Matches!A3226</f>
        <v>1st Singles</v>
      </c>
      <c r="F253" s="93" t="str">
        <f>IF(Team_Matches!$Q3228&lt;&gt;"",IF(Team_Matches!H3228&gt;Team_Matches!H3230,MIN(Team_Matches!H3228,Team_Matches!H3230),-MIN(Team_Matches!H3228,Team_Matches!H3230))*IF(Team_Matches!$Q3228="W",1,-1),"")</f>
        <v/>
      </c>
      <c r="G253" s="93" t="str">
        <f>IF(Team_Matches!$Q3228&lt;&gt;"",IF(Team_Matches!I3228&gt;Team_Matches!I3230,MIN(Team_Matches!I3228,Team_Matches!I3230),-MIN(Team_Matches!I3228,Team_Matches!I3230))*IF(Team_Matches!$Q3228="W",1,-1),"")</f>
        <v/>
      </c>
      <c r="H253" s="93" t="str">
        <f>IF(Team_Matches!$Q3228&lt;&gt;"",IF(Team_Matches!J3228&gt;Team_Matches!J3230,MIN(Team_Matches!J3228,Team_Matches!J3230),-MIN(Team_Matches!J3228,Team_Matches!J3230))*IF(Team_Matches!$Q3228="W",1,-1),"")</f>
        <v/>
      </c>
      <c r="I253" s="93" t="str">
        <f>IF(Team_Matches!$Q3228&lt;&gt;"",IF(Team_Matches!K3228=Team_Matches!K3230,"",IF(Team_Matches!K3228&gt;Team_Matches!K3230,MIN(Team_Matches!K3228,Team_Matches!K3230),-MIN(Team_Matches!K3228,Team_Matches!K3230))*IF(Team_Matches!$Q3228="W",1,-1)),"")</f>
        <v/>
      </c>
      <c r="J253" s="93" t="str">
        <f>IF(Team_Matches!$Q3228&lt;&gt;"",IF(Team_Matches!L3228=Team_Matches!L3230,"",IF(Team_Matches!L3228&gt;Team_Matches!L3230,MIN(Team_Matches!L3228,Team_Matches!L3230),-MIN(Team_Matches!L3228,Team_Matches!L3230))*IF(Team_Matches!$Q3228="W",1,-1)),"")</f>
        <v/>
      </c>
    </row>
    <row r="254" spans="1:10">
      <c r="A254" s="68" t="e">
        <f>$B254&amp;";"&amp;VLOOKUP($B254,Players!$C$4:$G$132,5,FALSE)&amp;";"&amp;IF(ISERROR(VLOOKUP($B254,Players!$C$4:$G$132,2,FALSE)),0,VLOOKUP($B254,Players!$C$4:$G$132,2,FALSE))&amp;";"&amp;$C254&amp;";"&amp;VLOOKUP($C254,Players!$C$4:$G$132,5,FALSE)&amp;";"&amp;IF(ISERROR(VLOOKUP($C254,Players!$C$4:$G$132,2,FALSE)),0,VLOOKUP($C254,Players!$C$4:$G$132,2,FALSE))&amp;"|"</f>
        <v>#N/A</v>
      </c>
      <c r="B254" t="str">
        <f>IF(Team_Matches!$Q3235="W",Team_Matches!$B3235,IF(Team_Matches!$Q3237="W",Team_Matches!$B3237,""))</f>
        <v/>
      </c>
      <c r="C254" t="str">
        <f>IF(Team_Matches!$Q3235="L",Team_Matches!$B3235,IF(Team_Matches!$Q3237="L",Team_Matches!$B3237,""))</f>
        <v/>
      </c>
      <c r="D254" t="str">
        <f>CONCATENATE(Team_Matches!$B3222," vs ",Team_Matches!$K3222)</f>
        <v>H vs J</v>
      </c>
      <c r="E254" t="str">
        <f>Team_Matches!$A3233</f>
        <v>2nd Singles</v>
      </c>
      <c r="F254" s="93" t="str">
        <f>IF(Team_Matches!$Q3235&lt;&gt;"",IF(Team_Matches!H3235&gt;Team_Matches!H3237,MIN(Team_Matches!H3235,Team_Matches!H3237),-MIN(Team_Matches!H3235,Team_Matches!H3237))*IF(Team_Matches!$Q3235="W",1,-1),"")</f>
        <v/>
      </c>
      <c r="G254" s="93" t="str">
        <f>IF(Team_Matches!$Q3235&lt;&gt;"",IF(Team_Matches!I3235&gt;Team_Matches!I3237,MIN(Team_Matches!I3235,Team_Matches!I3237),-MIN(Team_Matches!I3235,Team_Matches!I3237))*IF(Team_Matches!$Q3235="W",1,-1),"")</f>
        <v/>
      </c>
      <c r="H254" s="93" t="str">
        <f>IF(Team_Matches!$Q3235&lt;&gt;"",IF(Team_Matches!J3235&gt;Team_Matches!J3237,MIN(Team_Matches!J3235,Team_Matches!J3237),-MIN(Team_Matches!J3235,Team_Matches!J3237))*IF(Team_Matches!$Q3235="W",1,-1),"")</f>
        <v/>
      </c>
      <c r="I254" s="93" t="str">
        <f>IF(Team_Matches!$Q3235&lt;&gt;"",IF(Team_Matches!K3235=Team_Matches!K3237,"",IF(Team_Matches!K3235&gt;Team_Matches!K3237,MIN(Team_Matches!K3235,Team_Matches!K3237),-MIN(Team_Matches!K3235,Team_Matches!K3237))*IF(Team_Matches!$Q3235="W",1,-1)),"")</f>
        <v/>
      </c>
      <c r="J254" s="93" t="str">
        <f>IF(Team_Matches!$Q3235&lt;&gt;"",IF(Team_Matches!L3235=Team_Matches!L3237,"",IF(Team_Matches!L3235&gt;Team_Matches!L3237,MIN(Team_Matches!L3235,Team_Matches!L3237),-MIN(Team_Matches!L3235,Team_Matches!L3237))*IF(Team_Matches!$Q3235="W",1,-1)),"")</f>
        <v/>
      </c>
    </row>
    <row r="255" spans="1:10">
      <c r="A255" s="68" t="e">
        <f>$B255&amp;";"&amp;VLOOKUP($B255,Players!$C$4:$G$132,5,FALSE)&amp;";"&amp;IF(ISERROR(VLOOKUP($B255,Players!$C$4:$G$132,2,FALSE)),0,VLOOKUP($B255,Players!$C$4:$G$132,2,FALSE))&amp;";"&amp;$C255&amp;";"&amp;VLOOKUP($C255,Players!$C$4:$G$132,5,FALSE)&amp;";"&amp;IF(ISERROR(VLOOKUP($C255,Players!$C$4:$G$132,2,FALSE)),0,VLOOKUP($C255,Players!$C$4:$G$132,2,FALSE))&amp;"|"</f>
        <v>#N/A</v>
      </c>
      <c r="B255" t="str">
        <f>IF(Team_Matches!$Q3242="W",Team_Matches!$B3242,IF(Team_Matches!$Q3244="W",Team_Matches!$B3244,""))</f>
        <v/>
      </c>
      <c r="C255" t="str">
        <f>IF(Team_Matches!$Q3242="L",Team_Matches!$B3242,IF(Team_Matches!$Q3244="L",Team_Matches!$B3244,""))</f>
        <v/>
      </c>
      <c r="D255" t="str">
        <f>CONCATENATE(Team_Matches!$B3222," vs ",Team_Matches!$K3222)</f>
        <v>H vs J</v>
      </c>
      <c r="E255" t="str">
        <f>Team_Matches!$A3240</f>
        <v>3rd Singles</v>
      </c>
      <c r="F255" s="93" t="str">
        <f>IF(Team_Matches!$Q3242&lt;&gt;"",IF(Team_Matches!H3242&gt;Team_Matches!H3244,MIN(Team_Matches!H3242,Team_Matches!H3244),-MIN(Team_Matches!H3242,Team_Matches!H3244))*IF(Team_Matches!$Q3242="W",1,-1),"")</f>
        <v/>
      </c>
      <c r="G255" s="93" t="str">
        <f>IF(Team_Matches!$Q3242&lt;&gt;"",IF(Team_Matches!I3242&gt;Team_Matches!I3244,MIN(Team_Matches!I3242,Team_Matches!I3244),-MIN(Team_Matches!I3242,Team_Matches!I3244))*IF(Team_Matches!$Q3242="W",1,-1),"")</f>
        <v/>
      </c>
      <c r="H255" s="93" t="str">
        <f>IF(Team_Matches!$Q3242&lt;&gt;"",IF(Team_Matches!J3242&gt;Team_Matches!J3244,MIN(Team_Matches!J3242,Team_Matches!J3244),-MIN(Team_Matches!J3242,Team_Matches!J3244))*IF(Team_Matches!$Q3242="W",1,-1),"")</f>
        <v/>
      </c>
      <c r="I255" s="93" t="str">
        <f>IF(Team_Matches!$Q3242&lt;&gt;"",IF(Team_Matches!K3242=Team_Matches!K3244,"",IF(Team_Matches!K3242&gt;Team_Matches!K3244,MIN(Team_Matches!K3242,Team_Matches!K3244),-MIN(Team_Matches!K3242,Team_Matches!K3244))*IF(Team_Matches!$Q3242="W",1,-1)),"")</f>
        <v/>
      </c>
      <c r="J255" s="93" t="str">
        <f>IF(Team_Matches!$Q3242&lt;&gt;"",IF(Team_Matches!L3242=Team_Matches!L3244,"",IF(Team_Matches!L3242&gt;Team_Matches!L3244,MIN(Team_Matches!L3242,Team_Matches!L3244),-MIN(Team_Matches!L3242,Team_Matches!L3244))*IF(Team_Matches!$Q3242="W",1,-1)),"")</f>
        <v/>
      </c>
    </row>
    <row r="256" spans="1:10">
      <c r="A256" s="68" t="e">
        <f ca="1">$B256&amp;";"&amp;VLOOKUP($B256,Players!$C$4:$G$132,5,FALSE)&amp;";"&amp;IF(ISERROR(VLOOKUP($B256,Players!$C$4:$G$132,2,FALSE)),0,VLOOKUP($B256,Players!$C$4:$G$132,2,FALSE))&amp;";"&amp;$C256&amp;";"&amp;VLOOKUP($C256,Players!$C$4:$G$132,5,FALSE)&amp;";"&amp;IF(ISERROR(VLOOKUP($C256,Players!$C$4:$G$132,2,FALSE)),0,VLOOKUP($C256,Players!$C$4:$G$132,2,FALSE))&amp;"|"</f>
        <v>#N/A</v>
      </c>
      <c r="B256" t="str">
        <f ca="1">IF(Team_Matches!$Q3249="W",Team_Matches!$B3249,IF(Team_Matches!$Q3251="W",Team_Matches!$B3251,""))</f>
        <v/>
      </c>
      <c r="C256" t="str">
        <f ca="1">IF(Team_Matches!$Q3249="L",Team_Matches!$B3249,IF(Team_Matches!$Q3251="L",Team_Matches!$B3251,""))</f>
        <v/>
      </c>
      <c r="D256" t="str">
        <f>CONCATENATE(Team_Matches!$B3222," vs ",Team_Matches!$K3222)</f>
        <v>H vs J</v>
      </c>
      <c r="E256" t="str">
        <f>Team_Matches!$A3247</f>
        <v>4th Singles</v>
      </c>
      <c r="F256" s="93" t="str">
        <f ca="1">IF(Team_Matches!$Q3249&lt;&gt;"",IF(Team_Matches!H3249&gt;Team_Matches!H3251,MIN(Team_Matches!H3249,Team_Matches!H3251),-MIN(Team_Matches!H3249,Team_Matches!H3251))*IF(Team_Matches!$Q3249="W",1,-1),"")</f>
        <v/>
      </c>
      <c r="G256" s="93" t="str">
        <f ca="1">IF(Team_Matches!$Q3249&lt;&gt;"",IF(Team_Matches!I3249&gt;Team_Matches!I3251,MIN(Team_Matches!I3249,Team_Matches!I3251),-MIN(Team_Matches!I3249,Team_Matches!I3251))*IF(Team_Matches!$Q3249="W",1,-1),"")</f>
        <v/>
      </c>
      <c r="H256" s="93" t="str">
        <f ca="1">IF(Team_Matches!$Q3249&lt;&gt;"",IF(Team_Matches!J3249&gt;Team_Matches!J3251,MIN(Team_Matches!J3249,Team_Matches!J3251),-MIN(Team_Matches!J3249,Team_Matches!J3251))*IF(Team_Matches!$Q3249="W",1,-1),"")</f>
        <v/>
      </c>
      <c r="I256" s="93" t="str">
        <f ca="1">IF(Team_Matches!$Q3249&lt;&gt;"",IF(Team_Matches!K3249=Team_Matches!K3251,"",IF(Team_Matches!K3249&gt;Team_Matches!K3251,MIN(Team_Matches!K3249,Team_Matches!K3251),-MIN(Team_Matches!K3249,Team_Matches!K3251))*IF(Team_Matches!$Q3249="W",1,-1)),"")</f>
        <v/>
      </c>
      <c r="J256" s="93" t="str">
        <f ca="1">IF(Team_Matches!$Q3249&lt;&gt;"",IF(Team_Matches!L3249=Team_Matches!L3251,"",IF(Team_Matches!L3249&gt;Team_Matches!L3251,MIN(Team_Matches!L3249,Team_Matches!L3251),-MIN(Team_Matches!L3249,Team_Matches!L3251))*IF(Team_Matches!$Q3249="W",1,-1)),"")</f>
        <v/>
      </c>
    </row>
    <row r="257" spans="1:10">
      <c r="A257" s="68" t="e">
        <f>$B257&amp;";"&amp;VLOOKUP($B257,Players!$C$4:$G$132,5,FALSE)&amp;";"&amp;IF(ISERROR(VLOOKUP($B257,Players!$C$4:$G$132,2,FALSE)),0,VLOOKUP($B257,Players!$C$4:$G$132,2,FALSE))&amp;";"&amp;$C257&amp;";"&amp;VLOOKUP($C257,Players!$C$4:$G$132,5,FALSE)&amp;";"&amp;IF(ISERROR(VLOOKUP($C257,Players!$C$4:$G$132,2,FALSE)),0,VLOOKUP($C257,Players!$C$4:$G$132,2,FALSE))&amp;"|"</f>
        <v>#N/A</v>
      </c>
      <c r="B257" t="str">
        <f>IF(Team_Matches!$Q3279="W",Team_Matches!$B3279,IF(Team_Matches!$Q3281="W",Team_Matches!$B3281,""))</f>
        <v/>
      </c>
      <c r="C257" t="str">
        <f>IF(Team_Matches!$Q3279="L",Team_Matches!$B3279,IF(Team_Matches!$Q3281="L",Team_Matches!$B3281,""))</f>
        <v/>
      </c>
      <c r="D257" t="str">
        <f>CONCATENATE(Team_Matches!$B3273," vs ",Team_Matches!$K3273)</f>
        <v>H vs K</v>
      </c>
      <c r="E257" t="str">
        <f>Team_Matches!A3277</f>
        <v>1st Singles</v>
      </c>
      <c r="F257" s="93" t="str">
        <f>IF(Team_Matches!$Q3279&lt;&gt;"",IF(Team_Matches!H3279&gt;Team_Matches!H3281,MIN(Team_Matches!H3279,Team_Matches!H3281),-MIN(Team_Matches!H3279,Team_Matches!H3281))*IF(Team_Matches!$Q3279="W",1,-1),"")</f>
        <v/>
      </c>
      <c r="G257" s="93" t="str">
        <f>IF(Team_Matches!$Q3279&lt;&gt;"",IF(Team_Matches!I3279&gt;Team_Matches!I3281,MIN(Team_Matches!I3279,Team_Matches!I3281),-MIN(Team_Matches!I3279,Team_Matches!I3281))*IF(Team_Matches!$Q3279="W",1,-1),"")</f>
        <v/>
      </c>
      <c r="H257" s="93" t="str">
        <f>IF(Team_Matches!$Q3279&lt;&gt;"",IF(Team_Matches!J3279&gt;Team_Matches!J3281,MIN(Team_Matches!J3279,Team_Matches!J3281),-MIN(Team_Matches!J3279,Team_Matches!J3281))*IF(Team_Matches!$Q3279="W",1,-1),"")</f>
        <v/>
      </c>
      <c r="I257" s="93" t="str">
        <f>IF(Team_Matches!$Q3279&lt;&gt;"",IF(Team_Matches!K3279=Team_Matches!K3281,"",IF(Team_Matches!K3279&gt;Team_Matches!K3281,MIN(Team_Matches!K3279,Team_Matches!K3281),-MIN(Team_Matches!K3279,Team_Matches!K3281))*IF(Team_Matches!$Q3279="W",1,-1)),"")</f>
        <v/>
      </c>
      <c r="J257" s="93" t="str">
        <f>IF(Team_Matches!$Q3279&lt;&gt;"",IF(Team_Matches!L3279=Team_Matches!L3281,"",IF(Team_Matches!L3279&gt;Team_Matches!L3281,MIN(Team_Matches!L3279,Team_Matches!L3281),-MIN(Team_Matches!L3279,Team_Matches!L3281))*IF(Team_Matches!$Q3279="W",1,-1)),"")</f>
        <v/>
      </c>
    </row>
    <row r="258" spans="1:10">
      <c r="A258" s="68" t="e">
        <f>$B258&amp;";"&amp;VLOOKUP($B258,Players!$C$4:$G$132,5,FALSE)&amp;";"&amp;IF(ISERROR(VLOOKUP($B258,Players!$C$4:$G$132,2,FALSE)),0,VLOOKUP($B258,Players!$C$4:$G$132,2,FALSE))&amp;";"&amp;$C258&amp;";"&amp;VLOOKUP($C258,Players!$C$4:$G$132,5,FALSE)&amp;";"&amp;IF(ISERROR(VLOOKUP($C258,Players!$C$4:$G$132,2,FALSE)),0,VLOOKUP($C258,Players!$C$4:$G$132,2,FALSE))&amp;"|"</f>
        <v>#N/A</v>
      </c>
      <c r="B258" t="str">
        <f>IF(Team_Matches!$Q3286="W",Team_Matches!$B3286,IF(Team_Matches!$Q3288="W",Team_Matches!$B3288,""))</f>
        <v/>
      </c>
      <c r="C258" t="str">
        <f>IF(Team_Matches!$Q3286="L",Team_Matches!$B3286,IF(Team_Matches!$Q3288="L",Team_Matches!$B3288,""))</f>
        <v/>
      </c>
      <c r="D258" t="str">
        <f>CONCATENATE(Team_Matches!$B3273," vs ",Team_Matches!$K3273)</f>
        <v>H vs K</v>
      </c>
      <c r="E258" t="str">
        <f>Team_Matches!$A3284</f>
        <v>2nd Singles</v>
      </c>
      <c r="F258" s="93" t="str">
        <f>IF(Team_Matches!$Q3286&lt;&gt;"",IF(Team_Matches!H3286&gt;Team_Matches!H3288,MIN(Team_Matches!H3286,Team_Matches!H3288),-MIN(Team_Matches!H3286,Team_Matches!H3288))*IF(Team_Matches!$Q3286="W",1,-1),"")</f>
        <v/>
      </c>
      <c r="G258" s="93" t="str">
        <f>IF(Team_Matches!$Q3286&lt;&gt;"",IF(Team_Matches!I3286&gt;Team_Matches!I3288,MIN(Team_Matches!I3286,Team_Matches!I3288),-MIN(Team_Matches!I3286,Team_Matches!I3288))*IF(Team_Matches!$Q3286="W",1,-1),"")</f>
        <v/>
      </c>
      <c r="H258" s="93" t="str">
        <f>IF(Team_Matches!$Q3286&lt;&gt;"",IF(Team_Matches!J3286&gt;Team_Matches!J3288,MIN(Team_Matches!J3286,Team_Matches!J3288),-MIN(Team_Matches!J3286,Team_Matches!J3288))*IF(Team_Matches!$Q3286="W",1,-1),"")</f>
        <v/>
      </c>
      <c r="I258" s="93" t="str">
        <f>IF(Team_Matches!$Q3286&lt;&gt;"",IF(Team_Matches!K3286=Team_Matches!K3288,"",IF(Team_Matches!K3286&gt;Team_Matches!K3288,MIN(Team_Matches!K3286,Team_Matches!K3288),-MIN(Team_Matches!K3286,Team_Matches!K3288))*IF(Team_Matches!$Q3286="W",1,-1)),"")</f>
        <v/>
      </c>
      <c r="J258" s="93" t="str">
        <f>IF(Team_Matches!$Q3286&lt;&gt;"",IF(Team_Matches!L3286=Team_Matches!L3288,"",IF(Team_Matches!L3286&gt;Team_Matches!L3288,MIN(Team_Matches!L3286,Team_Matches!L3288),-MIN(Team_Matches!L3286,Team_Matches!L3288))*IF(Team_Matches!$Q3286="W",1,-1)),"")</f>
        <v/>
      </c>
    </row>
    <row r="259" spans="1:10">
      <c r="A259" s="68" t="e">
        <f>$B259&amp;";"&amp;VLOOKUP($B259,Players!$C$4:$G$132,5,FALSE)&amp;";"&amp;IF(ISERROR(VLOOKUP($B259,Players!$C$4:$G$132,2,FALSE)),0,VLOOKUP($B259,Players!$C$4:$G$132,2,FALSE))&amp;";"&amp;$C259&amp;";"&amp;VLOOKUP($C259,Players!$C$4:$G$132,5,FALSE)&amp;";"&amp;IF(ISERROR(VLOOKUP($C259,Players!$C$4:$G$132,2,FALSE)),0,VLOOKUP($C259,Players!$C$4:$G$132,2,FALSE))&amp;"|"</f>
        <v>#N/A</v>
      </c>
      <c r="B259" t="str">
        <f>IF(Team_Matches!$Q3293="W",Team_Matches!$B3293,IF(Team_Matches!$Q3295="W",Team_Matches!$B3295,""))</f>
        <v/>
      </c>
      <c r="C259" t="str">
        <f>IF(Team_Matches!$Q3293="L",Team_Matches!$B3293,IF(Team_Matches!$Q3295="L",Team_Matches!$B3295,""))</f>
        <v/>
      </c>
      <c r="D259" t="str">
        <f>CONCATENATE(Team_Matches!$B3273," vs ",Team_Matches!$K3273)</f>
        <v>H vs K</v>
      </c>
      <c r="E259" t="str">
        <f>Team_Matches!$A3291</f>
        <v>3rd Singles</v>
      </c>
      <c r="F259" s="93" t="str">
        <f>IF(Team_Matches!$Q3293&lt;&gt;"",IF(Team_Matches!H3293&gt;Team_Matches!H3295,MIN(Team_Matches!H3293,Team_Matches!H3295),-MIN(Team_Matches!H3293,Team_Matches!H3295))*IF(Team_Matches!$Q3293="W",1,-1),"")</f>
        <v/>
      </c>
      <c r="G259" s="93" t="str">
        <f>IF(Team_Matches!$Q3293&lt;&gt;"",IF(Team_Matches!I3293&gt;Team_Matches!I3295,MIN(Team_Matches!I3293,Team_Matches!I3295),-MIN(Team_Matches!I3293,Team_Matches!I3295))*IF(Team_Matches!$Q3293="W",1,-1),"")</f>
        <v/>
      </c>
      <c r="H259" s="93" t="str">
        <f>IF(Team_Matches!$Q3293&lt;&gt;"",IF(Team_Matches!J3293&gt;Team_Matches!J3295,MIN(Team_Matches!J3293,Team_Matches!J3295),-MIN(Team_Matches!J3293,Team_Matches!J3295))*IF(Team_Matches!$Q3293="W",1,-1),"")</f>
        <v/>
      </c>
      <c r="I259" s="93" t="str">
        <f>IF(Team_Matches!$Q3293&lt;&gt;"",IF(Team_Matches!K3293=Team_Matches!K3295,"",IF(Team_Matches!K3293&gt;Team_Matches!K3295,MIN(Team_Matches!K3293,Team_Matches!K3295),-MIN(Team_Matches!K3293,Team_Matches!K3295))*IF(Team_Matches!$Q3293="W",1,-1)),"")</f>
        <v/>
      </c>
      <c r="J259" s="93" t="str">
        <f>IF(Team_Matches!$Q3293&lt;&gt;"",IF(Team_Matches!L3293=Team_Matches!L3295,"",IF(Team_Matches!L3293&gt;Team_Matches!L3295,MIN(Team_Matches!L3293,Team_Matches!L3295),-MIN(Team_Matches!L3293,Team_Matches!L3295))*IF(Team_Matches!$Q3293="W",1,-1)),"")</f>
        <v/>
      </c>
    </row>
    <row r="260" spans="1:10">
      <c r="A260" s="68" t="e">
        <f ca="1">$B260&amp;";"&amp;VLOOKUP($B260,Players!$C$4:$G$132,5,FALSE)&amp;";"&amp;IF(ISERROR(VLOOKUP($B260,Players!$C$4:$G$132,2,FALSE)),0,VLOOKUP($B260,Players!$C$4:$G$132,2,FALSE))&amp;";"&amp;$C260&amp;";"&amp;VLOOKUP($C260,Players!$C$4:$G$132,5,FALSE)&amp;";"&amp;IF(ISERROR(VLOOKUP($C260,Players!$C$4:$G$132,2,FALSE)),0,VLOOKUP($C260,Players!$C$4:$G$132,2,FALSE))&amp;"|"</f>
        <v>#N/A</v>
      </c>
      <c r="B260" t="str">
        <f ca="1">IF(Team_Matches!$Q3300="W",Team_Matches!$B3300,IF(Team_Matches!$Q3302="W",Team_Matches!$B3302,""))</f>
        <v/>
      </c>
      <c r="C260" t="str">
        <f ca="1">IF(Team_Matches!$Q3300="L",Team_Matches!$B3300,IF(Team_Matches!$Q3302="L",Team_Matches!$B3302,""))</f>
        <v/>
      </c>
      <c r="D260" t="str">
        <f>CONCATENATE(Team_Matches!$B3273," vs ",Team_Matches!$K3273)</f>
        <v>H vs K</v>
      </c>
      <c r="E260" t="str">
        <f>Team_Matches!$A3298</f>
        <v>4th Singles</v>
      </c>
      <c r="F260" s="93" t="str">
        <f ca="1">IF(Team_Matches!$Q3300&lt;&gt;"",IF(Team_Matches!H3300&gt;Team_Matches!H3302,MIN(Team_Matches!H3300,Team_Matches!H3302),-MIN(Team_Matches!H3300,Team_Matches!H3302))*IF(Team_Matches!$Q3300="W",1,-1),"")</f>
        <v/>
      </c>
      <c r="G260" s="93" t="str">
        <f ca="1">IF(Team_Matches!$Q3300&lt;&gt;"",IF(Team_Matches!I3300&gt;Team_Matches!I3302,MIN(Team_Matches!I3300,Team_Matches!I3302),-MIN(Team_Matches!I3300,Team_Matches!I3302))*IF(Team_Matches!$Q3300="W",1,-1),"")</f>
        <v/>
      </c>
      <c r="H260" s="93" t="str">
        <f ca="1">IF(Team_Matches!$Q3300&lt;&gt;"",IF(Team_Matches!J3300&gt;Team_Matches!J3302,MIN(Team_Matches!J3300,Team_Matches!J3302),-MIN(Team_Matches!J3300,Team_Matches!J3302))*IF(Team_Matches!$Q3300="W",1,-1),"")</f>
        <v/>
      </c>
      <c r="I260" s="93" t="str">
        <f ca="1">IF(Team_Matches!$Q3300&lt;&gt;"",IF(Team_Matches!K3300=Team_Matches!K3302,"",IF(Team_Matches!K3300&gt;Team_Matches!K3302,MIN(Team_Matches!K3300,Team_Matches!K3302),-MIN(Team_Matches!K3300,Team_Matches!K3302))*IF(Team_Matches!$Q3300="W",1,-1)),"")</f>
        <v/>
      </c>
      <c r="J260" s="93" t="str">
        <f ca="1">IF(Team_Matches!$Q3300&lt;&gt;"",IF(Team_Matches!L3300=Team_Matches!L3302,"",IF(Team_Matches!L3300&gt;Team_Matches!L3302,MIN(Team_Matches!L3300,Team_Matches!L3302),-MIN(Team_Matches!L3300,Team_Matches!L3302))*IF(Team_Matches!$Q3300="W",1,-1)),"")</f>
        <v/>
      </c>
    </row>
    <row r="261" spans="1:10">
      <c r="A261" s="68" t="e">
        <f>$B261&amp;";"&amp;VLOOKUP($B261,Players!$C$4:$G$132,5,FALSE)&amp;";"&amp;IF(ISERROR(VLOOKUP($B261,Players!$C$4:$G$132,2,FALSE)),0,VLOOKUP($B261,Players!$C$4:$G$132,2,FALSE))&amp;";"&amp;$C261&amp;";"&amp;VLOOKUP($C261,Players!$C$4:$G$132,5,FALSE)&amp;";"&amp;IF(ISERROR(VLOOKUP($C261,Players!$C$4:$G$132,2,FALSE)),0,VLOOKUP($C261,Players!$C$4:$G$132,2,FALSE))&amp;"|"</f>
        <v>#N/A</v>
      </c>
      <c r="B261" t="str">
        <f>IF(Team_Matches!$Q3330="W",Team_Matches!$B3330,IF(Team_Matches!$Q3332="W",Team_Matches!$B3332,""))</f>
        <v/>
      </c>
      <c r="C261" t="str">
        <f>IF(Team_Matches!$Q3330="L",Team_Matches!$B3330,IF(Team_Matches!$Q3332="L",Team_Matches!$B3332,""))</f>
        <v/>
      </c>
      <c r="D261" t="str">
        <f>CONCATENATE(Team_Matches!$B3324," vs ",Team_Matches!$K3324)</f>
        <v>H vs L</v>
      </c>
      <c r="E261" t="str">
        <f>Team_Matches!A3328</f>
        <v>1st Singles</v>
      </c>
      <c r="F261" s="93" t="str">
        <f>IF(Team_Matches!$Q3330&lt;&gt;"",IF(Team_Matches!H3330&gt;Team_Matches!H3332,MIN(Team_Matches!H3330,Team_Matches!H3332),-MIN(Team_Matches!H3330,Team_Matches!H3332))*IF(Team_Matches!$Q3330="W",1,-1),"")</f>
        <v/>
      </c>
      <c r="G261" s="93" t="str">
        <f>IF(Team_Matches!$Q3330&lt;&gt;"",IF(Team_Matches!I3330&gt;Team_Matches!I3332,MIN(Team_Matches!I3330,Team_Matches!I3332),-MIN(Team_Matches!I3330,Team_Matches!I3332))*IF(Team_Matches!$Q3330="W",1,-1),"")</f>
        <v/>
      </c>
      <c r="H261" s="93" t="str">
        <f>IF(Team_Matches!$Q3330&lt;&gt;"",IF(Team_Matches!J3330&gt;Team_Matches!J3332,MIN(Team_Matches!J3330,Team_Matches!J3332),-MIN(Team_Matches!J3330,Team_Matches!J3332))*IF(Team_Matches!$Q3330="W",1,-1),"")</f>
        <v/>
      </c>
      <c r="I261" s="93" t="str">
        <f>IF(Team_Matches!$Q3330&lt;&gt;"",IF(Team_Matches!K3330=Team_Matches!K3332,"",IF(Team_Matches!K3330&gt;Team_Matches!K3332,MIN(Team_Matches!K3330,Team_Matches!K3332),-MIN(Team_Matches!K3330,Team_Matches!K3332))*IF(Team_Matches!$Q3330="W",1,-1)),"")</f>
        <v/>
      </c>
      <c r="J261" s="93" t="str">
        <f>IF(Team_Matches!$Q3330&lt;&gt;"",IF(Team_Matches!L3330=Team_Matches!L3332,"",IF(Team_Matches!L3330&gt;Team_Matches!L3332,MIN(Team_Matches!L3330,Team_Matches!L3332),-MIN(Team_Matches!L3330,Team_Matches!L3332))*IF(Team_Matches!$Q3330="W",1,-1)),"")</f>
        <v/>
      </c>
    </row>
    <row r="262" spans="1:10">
      <c r="A262" s="68" t="e">
        <f>$B262&amp;";"&amp;VLOOKUP($B262,Players!$C$4:$G$132,5,FALSE)&amp;";"&amp;IF(ISERROR(VLOOKUP($B262,Players!$C$4:$G$132,2,FALSE)),0,VLOOKUP($B262,Players!$C$4:$G$132,2,FALSE))&amp;";"&amp;$C262&amp;";"&amp;VLOOKUP($C262,Players!$C$4:$G$132,5,FALSE)&amp;";"&amp;IF(ISERROR(VLOOKUP($C262,Players!$C$4:$G$132,2,FALSE)),0,VLOOKUP($C262,Players!$C$4:$G$132,2,FALSE))&amp;"|"</f>
        <v>#N/A</v>
      </c>
      <c r="B262" t="str">
        <f>IF(Team_Matches!$Q3337="W",Team_Matches!$B3337,IF(Team_Matches!$Q3339="W",Team_Matches!$B3339,""))</f>
        <v/>
      </c>
      <c r="C262" t="str">
        <f>IF(Team_Matches!$Q3337="L",Team_Matches!$B3337,IF(Team_Matches!$Q3339="L",Team_Matches!$B3339,""))</f>
        <v/>
      </c>
      <c r="D262" t="str">
        <f>CONCATENATE(Team_Matches!$B3324," vs ",Team_Matches!$K3324)</f>
        <v>H vs L</v>
      </c>
      <c r="E262" t="str">
        <f>Team_Matches!$A3335</f>
        <v>2nd Singles</v>
      </c>
      <c r="F262" s="93" t="str">
        <f>IF(Team_Matches!$Q3337&lt;&gt;"",IF(Team_Matches!H3337&gt;Team_Matches!H3339,MIN(Team_Matches!H3337,Team_Matches!H3339),-MIN(Team_Matches!H3337,Team_Matches!H3339))*IF(Team_Matches!$Q3337="W",1,-1),"")</f>
        <v/>
      </c>
      <c r="G262" s="93" t="str">
        <f>IF(Team_Matches!$Q3337&lt;&gt;"",IF(Team_Matches!I3337&gt;Team_Matches!I3339,MIN(Team_Matches!I3337,Team_Matches!I3339),-MIN(Team_Matches!I3337,Team_Matches!I3339))*IF(Team_Matches!$Q3337="W",1,-1),"")</f>
        <v/>
      </c>
      <c r="H262" s="93" t="str">
        <f>IF(Team_Matches!$Q3337&lt;&gt;"",IF(Team_Matches!J3337&gt;Team_Matches!J3339,MIN(Team_Matches!J3337,Team_Matches!J3339),-MIN(Team_Matches!J3337,Team_Matches!J3339))*IF(Team_Matches!$Q3337="W",1,-1),"")</f>
        <v/>
      </c>
      <c r="I262" s="93" t="str">
        <f>IF(Team_Matches!$Q3337&lt;&gt;"",IF(Team_Matches!K3337=Team_Matches!K3339,"",IF(Team_Matches!K3337&gt;Team_Matches!K3339,MIN(Team_Matches!K3337,Team_Matches!K3339),-MIN(Team_Matches!K3337,Team_Matches!K3339))*IF(Team_Matches!$Q3337="W",1,-1)),"")</f>
        <v/>
      </c>
      <c r="J262" s="93" t="str">
        <f>IF(Team_Matches!$Q3337&lt;&gt;"",IF(Team_Matches!L3337=Team_Matches!L3339,"",IF(Team_Matches!L3337&gt;Team_Matches!L3339,MIN(Team_Matches!L3337,Team_Matches!L3339),-MIN(Team_Matches!L3337,Team_Matches!L3339))*IF(Team_Matches!$Q3337="W",1,-1)),"")</f>
        <v/>
      </c>
    </row>
    <row r="263" spans="1:10">
      <c r="A263" s="68" t="e">
        <f>$B263&amp;";"&amp;VLOOKUP($B263,Players!$C$4:$G$132,5,FALSE)&amp;";"&amp;IF(ISERROR(VLOOKUP($B263,Players!$C$4:$G$132,2,FALSE)),0,VLOOKUP($B263,Players!$C$4:$G$132,2,FALSE))&amp;";"&amp;$C263&amp;";"&amp;VLOOKUP($C263,Players!$C$4:$G$132,5,FALSE)&amp;";"&amp;IF(ISERROR(VLOOKUP($C263,Players!$C$4:$G$132,2,FALSE)),0,VLOOKUP($C263,Players!$C$4:$G$132,2,FALSE))&amp;"|"</f>
        <v>#N/A</v>
      </c>
      <c r="B263" t="str">
        <f>IF(Team_Matches!$Q3344="W",Team_Matches!$B3344,IF(Team_Matches!$Q3346="W",Team_Matches!$B3346,""))</f>
        <v/>
      </c>
      <c r="C263" t="str">
        <f>IF(Team_Matches!$Q3344="L",Team_Matches!$B3344,IF(Team_Matches!$Q3346="L",Team_Matches!$B3346,""))</f>
        <v/>
      </c>
      <c r="D263" t="str">
        <f>CONCATENATE(Team_Matches!$B3324," vs ",Team_Matches!$K3324)</f>
        <v>H vs L</v>
      </c>
      <c r="E263" t="str">
        <f>Team_Matches!$A3342</f>
        <v>3rd Singles</v>
      </c>
      <c r="F263" s="93" t="str">
        <f>IF(Team_Matches!$Q3344&lt;&gt;"",IF(Team_Matches!H3344&gt;Team_Matches!H3346,MIN(Team_Matches!H3344,Team_Matches!H3346),-MIN(Team_Matches!H3344,Team_Matches!H3346))*IF(Team_Matches!$Q3344="W",1,-1),"")</f>
        <v/>
      </c>
      <c r="G263" s="93" t="str">
        <f>IF(Team_Matches!$Q3344&lt;&gt;"",IF(Team_Matches!I3344&gt;Team_Matches!I3346,MIN(Team_Matches!I3344,Team_Matches!I3346),-MIN(Team_Matches!I3344,Team_Matches!I3346))*IF(Team_Matches!$Q3344="W",1,-1),"")</f>
        <v/>
      </c>
      <c r="H263" s="93" t="str">
        <f>IF(Team_Matches!$Q3344&lt;&gt;"",IF(Team_Matches!J3344&gt;Team_Matches!J3346,MIN(Team_Matches!J3344,Team_Matches!J3346),-MIN(Team_Matches!J3344,Team_Matches!J3346))*IF(Team_Matches!$Q3344="W",1,-1),"")</f>
        <v/>
      </c>
      <c r="I263" s="93" t="str">
        <f>IF(Team_Matches!$Q3344&lt;&gt;"",IF(Team_Matches!K3344=Team_Matches!K3346,"",IF(Team_Matches!K3344&gt;Team_Matches!K3346,MIN(Team_Matches!K3344,Team_Matches!K3346),-MIN(Team_Matches!K3344,Team_Matches!K3346))*IF(Team_Matches!$Q3344="W",1,-1)),"")</f>
        <v/>
      </c>
      <c r="J263" s="93" t="str">
        <f>IF(Team_Matches!$Q3344&lt;&gt;"",IF(Team_Matches!L3344=Team_Matches!L3346,"",IF(Team_Matches!L3344&gt;Team_Matches!L3346,MIN(Team_Matches!L3344,Team_Matches!L3346),-MIN(Team_Matches!L3344,Team_Matches!L3346))*IF(Team_Matches!$Q3344="W",1,-1)),"")</f>
        <v/>
      </c>
    </row>
    <row r="264" spans="1:10">
      <c r="A264" s="68" t="e">
        <f ca="1">$B264&amp;";"&amp;VLOOKUP($B264,Players!$C$4:$G$132,5,FALSE)&amp;";"&amp;IF(ISERROR(VLOOKUP($B264,Players!$C$4:$G$132,2,FALSE)),0,VLOOKUP($B264,Players!$C$4:$G$132,2,FALSE))&amp;";"&amp;$C264&amp;";"&amp;VLOOKUP($C264,Players!$C$4:$G$132,5,FALSE)&amp;";"&amp;IF(ISERROR(VLOOKUP($C264,Players!$C$4:$G$132,2,FALSE)),0,VLOOKUP($C264,Players!$C$4:$G$132,2,FALSE))&amp;"|"</f>
        <v>#N/A</v>
      </c>
      <c r="B264" t="str">
        <f ca="1">IF(Team_Matches!$Q3351="W",Team_Matches!$B3351,IF(Team_Matches!$Q3353="W",Team_Matches!$B3353,""))</f>
        <v/>
      </c>
      <c r="C264" t="str">
        <f ca="1">IF(Team_Matches!$Q3351="L",Team_Matches!$B3351,IF(Team_Matches!$Q3353="L",Team_Matches!$B3353,""))</f>
        <v/>
      </c>
      <c r="D264" t="str">
        <f>CONCATENATE(Team_Matches!$B3324," vs ",Team_Matches!$K3324)</f>
        <v>H vs L</v>
      </c>
      <c r="E264" t="str">
        <f>Team_Matches!$A3349</f>
        <v>4th Singles</v>
      </c>
      <c r="F264" s="93" t="str">
        <f ca="1">IF(Team_Matches!$Q3351&lt;&gt;"",IF(Team_Matches!H3351&gt;Team_Matches!H3353,MIN(Team_Matches!H3351,Team_Matches!H3353),-MIN(Team_Matches!H3351,Team_Matches!H3353))*IF(Team_Matches!$Q3351="W",1,-1),"")</f>
        <v/>
      </c>
      <c r="G264" s="93" t="str">
        <f ca="1">IF(Team_Matches!$Q3351&lt;&gt;"",IF(Team_Matches!I3351&gt;Team_Matches!I3353,MIN(Team_Matches!I3351,Team_Matches!I3353),-MIN(Team_Matches!I3351,Team_Matches!I3353))*IF(Team_Matches!$Q3351="W",1,-1),"")</f>
        <v/>
      </c>
      <c r="H264" s="93" t="str">
        <f ca="1">IF(Team_Matches!$Q3351&lt;&gt;"",IF(Team_Matches!J3351&gt;Team_Matches!J3353,MIN(Team_Matches!J3351,Team_Matches!J3353),-MIN(Team_Matches!J3351,Team_Matches!J3353))*IF(Team_Matches!$Q3351="W",1,-1),"")</f>
        <v/>
      </c>
      <c r="I264" s="93" t="str">
        <f ca="1">IF(Team_Matches!$Q3351&lt;&gt;"",IF(Team_Matches!K3351=Team_Matches!K3353,"",IF(Team_Matches!K3351&gt;Team_Matches!K3353,MIN(Team_Matches!K3351,Team_Matches!K3353),-MIN(Team_Matches!K3351,Team_Matches!K3353))*IF(Team_Matches!$Q3351="W",1,-1)),"")</f>
        <v/>
      </c>
      <c r="J264" s="93" t="str">
        <f ca="1">IF(Team_Matches!$Q3351&lt;&gt;"",IF(Team_Matches!L3351=Team_Matches!L3353,"",IF(Team_Matches!L3351&gt;Team_Matches!L3353,MIN(Team_Matches!L3351,Team_Matches!L3353),-MIN(Team_Matches!L3351,Team_Matches!L3353))*IF(Team_Matches!$Q3351="W",1,-1)),"")</f>
        <v/>
      </c>
    </row>
  </sheetData>
  <sheetProtection sheet="1" objects="1" scenarios="1"/>
  <phoneticPr fontId="19" type="noConversion"/>
  <pageMargins left="0.7" right="0.7" top="0.75" bottom="0.75" header="0.3" footer="0.3"/>
  <pageSetup orientation="landscape" r:id="rId1"/>
</worksheet>
</file>

<file path=xl/worksheets/sheet7.xml><?xml version="1.0" encoding="utf-8"?>
<worksheet xmlns="http://schemas.openxmlformats.org/spreadsheetml/2006/main" xmlns:r="http://schemas.openxmlformats.org/officeDocument/2006/relationships">
  <sheetPr codeName="Sheet7"/>
  <dimension ref="A1:P816"/>
  <sheetViews>
    <sheetView workbookViewId="0">
      <selection activeCell="Q1" sqref="Q1"/>
    </sheetView>
  </sheetViews>
  <sheetFormatPr defaultRowHeight="12.75"/>
  <cols>
    <col min="1" max="16" width="5.7109375" style="72" customWidth="1"/>
    <col min="17" max="18" width="5.7109375" customWidth="1"/>
  </cols>
  <sheetData>
    <row r="1" spans="1:16" ht="18">
      <c r="A1" s="369" t="s">
        <v>3478</v>
      </c>
      <c r="B1" s="369"/>
      <c r="C1" s="369"/>
      <c r="D1" s="369"/>
      <c r="E1" s="369"/>
      <c r="F1" s="369"/>
      <c r="G1" s="369"/>
      <c r="H1" s="369"/>
      <c r="I1" s="369"/>
      <c r="J1" s="369"/>
      <c r="K1" s="369"/>
      <c r="L1" s="369"/>
      <c r="M1" s="369"/>
      <c r="N1" s="369"/>
      <c r="O1" s="369"/>
      <c r="P1" s="369"/>
    </row>
    <row r="3" spans="1:16">
      <c r="A3" s="71" t="s">
        <v>3471</v>
      </c>
    </row>
    <row r="4" spans="1:16">
      <c r="A4" s="73"/>
    </row>
    <row r="5" spans="1:16">
      <c r="A5" s="73" t="s">
        <v>3470</v>
      </c>
    </row>
    <row r="6" spans="1:16">
      <c r="A6" s="73"/>
      <c r="B6" s="73" t="s">
        <v>3472</v>
      </c>
    </row>
    <row r="7" spans="1:16">
      <c r="A7" s="73" t="s">
        <v>4928</v>
      </c>
      <c r="B7" s="73"/>
    </row>
    <row r="8" spans="1:16">
      <c r="A8" s="73"/>
      <c r="B8" s="73"/>
    </row>
    <row r="9" spans="1:16">
      <c r="A9" s="73" t="s">
        <v>3479</v>
      </c>
      <c r="B9" s="73"/>
    </row>
    <row r="10" spans="1:16">
      <c r="A10" s="73"/>
      <c r="B10" s="74" t="s">
        <v>7154</v>
      </c>
      <c r="F10" s="73" t="s">
        <v>3480</v>
      </c>
    </row>
    <row r="11" spans="1:16">
      <c r="A11" s="73"/>
      <c r="B11" s="74"/>
      <c r="F11" s="73"/>
    </row>
    <row r="12" spans="1:16">
      <c r="A12" s="81" t="s">
        <v>3481</v>
      </c>
      <c r="B12" s="82"/>
      <c r="C12" s="83"/>
      <c r="D12" s="83"/>
      <c r="E12" s="83"/>
      <c r="F12" s="84"/>
      <c r="G12" s="83"/>
      <c r="H12" s="83"/>
      <c r="I12" s="83"/>
      <c r="J12" s="83"/>
      <c r="K12" s="83"/>
      <c r="L12" s="83"/>
      <c r="M12" s="83"/>
      <c r="N12" s="83"/>
      <c r="O12" s="83"/>
      <c r="P12" s="85"/>
    </row>
    <row r="13" spans="1:16">
      <c r="A13" s="86"/>
      <c r="B13" s="87" t="s">
        <v>3482</v>
      </c>
      <c r="C13" s="88"/>
      <c r="D13" s="88"/>
      <c r="E13" s="88"/>
      <c r="F13" s="87"/>
      <c r="G13" s="88"/>
      <c r="H13" s="88"/>
      <c r="I13" s="88"/>
      <c r="J13" s="88"/>
      <c r="K13" s="88"/>
      <c r="L13" s="88"/>
      <c r="M13" s="88"/>
      <c r="N13" s="88"/>
      <c r="O13" s="88"/>
      <c r="P13" s="89"/>
    </row>
    <row r="14" spans="1:16">
      <c r="A14" s="73"/>
    </row>
    <row r="15" spans="1:16">
      <c r="A15" s="71" t="s">
        <v>3473</v>
      </c>
    </row>
    <row r="17" spans="1:15">
      <c r="A17" s="386" t="s">
        <v>3483</v>
      </c>
      <c r="B17" s="386"/>
      <c r="C17" s="387" t="s">
        <v>3477</v>
      </c>
      <c r="D17" s="387"/>
      <c r="E17" s="387"/>
      <c r="F17" s="387"/>
      <c r="G17" s="387"/>
      <c r="H17" s="387"/>
      <c r="I17" s="387"/>
      <c r="J17" s="387"/>
      <c r="K17" s="387"/>
      <c r="L17" s="387"/>
      <c r="M17" s="387"/>
      <c r="N17" s="387"/>
      <c r="O17" s="387"/>
    </row>
    <row r="18" spans="1:15">
      <c r="A18" s="370">
        <v>3</v>
      </c>
      <c r="B18" s="370"/>
      <c r="C18" s="371" t="str">
        <f ca="1">HYPERLINK(MID(CELL("filename",$A$1),SEARCH("[",CELL("filename",$A$1)),SEARCH("]",CELL("filename",$A$1))-SEARCH("[",CELL("filename",$A$1))+1)&amp;"$A$3","Summary")</f>
        <v>Summary</v>
      </c>
      <c r="D18" s="372"/>
      <c r="E18" s="372"/>
      <c r="F18" s="372"/>
      <c r="G18" s="372"/>
      <c r="H18" s="372"/>
      <c r="I18" s="372"/>
      <c r="J18" s="372"/>
      <c r="K18" s="372"/>
      <c r="L18" s="372"/>
      <c r="M18" s="372"/>
      <c r="N18" s="372"/>
      <c r="O18" s="372"/>
    </row>
    <row r="19" spans="1:15">
      <c r="A19" s="370">
        <v>56</v>
      </c>
      <c r="B19" s="370"/>
      <c r="C19" s="373" t="str">
        <f ca="1">HYPERLINK(MID(CELL("filename",$A$1),SEARCH("[",CELL("filename",$A$1)),SEARCH("]",CELL("filename",$A$1))-SEARCH("[",CELL("filename",$A$1))+1)&amp;"$A$56","DRAW sheet")</f>
        <v>DRAW sheet</v>
      </c>
      <c r="D19" s="374"/>
      <c r="E19" s="374"/>
      <c r="F19" s="374"/>
      <c r="G19" s="374"/>
      <c r="H19" s="374"/>
      <c r="I19" s="374"/>
      <c r="J19" s="374"/>
      <c r="K19" s="374"/>
      <c r="L19" s="374"/>
      <c r="M19" s="374"/>
      <c r="N19" s="374"/>
      <c r="O19" s="374"/>
    </row>
    <row r="20" spans="1:15">
      <c r="A20" s="370">
        <v>150</v>
      </c>
      <c r="B20" s="370"/>
      <c r="C20" s="373" t="str">
        <f ca="1">HYPERLINK(MID(CELL("filename",$A$1),SEARCH("[",CELL("filename",$A$1)),SEARCH("]",CELL("filename",$A$1))-SEARCH("[",CELL("filename",$A$1))+1)&amp;"$A$149","Setting Match Times")</f>
        <v>Setting Match Times</v>
      </c>
      <c r="D20" s="374"/>
      <c r="E20" s="374"/>
      <c r="F20" s="374"/>
      <c r="G20" s="374"/>
      <c r="H20" s="374"/>
      <c r="I20" s="374"/>
      <c r="J20" s="374"/>
      <c r="K20" s="374"/>
      <c r="L20" s="374"/>
      <c r="M20" s="374"/>
      <c r="N20" s="374"/>
      <c r="O20" s="374"/>
    </row>
    <row r="21" spans="1:15">
      <c r="A21" s="370">
        <v>168</v>
      </c>
      <c r="B21" s="370"/>
      <c r="C21" s="373" t="str">
        <f ca="1">HYPERLINK(MID(CELL("filename",$A$1),SEARCH("[",CELL("filename",$A$1)),SEARCH("]",CELL("filename",$A$1))-SEARCH("[",CELL("filename",$A$1))+1)&amp;"$A$167","Regional Competition")</f>
        <v>Regional Competition</v>
      </c>
      <c r="D21" s="374"/>
      <c r="E21" s="374"/>
      <c r="F21" s="374"/>
      <c r="G21" s="374"/>
      <c r="H21" s="374"/>
      <c r="I21" s="374"/>
      <c r="J21" s="374"/>
      <c r="K21" s="374"/>
      <c r="L21" s="374"/>
      <c r="M21" s="374"/>
      <c r="N21" s="374"/>
      <c r="O21" s="374"/>
    </row>
    <row r="22" spans="1:15">
      <c r="A22" s="370">
        <v>223</v>
      </c>
      <c r="B22" s="370"/>
      <c r="C22" s="373" t="str">
        <f ca="1">HYPERLINK(MID(CELL("filename",$A$1),SEARCH("[",CELL("filename",$A$1)),SEARCH("]",CELL("filename",$A$1))-SEARCH("[",CELL("filename",$A$1))+1)&amp;"$A$167","PLAYERS sheet")</f>
        <v>PLAYERS sheet</v>
      </c>
      <c r="D22" s="374"/>
      <c r="E22" s="374"/>
      <c r="F22" s="374"/>
      <c r="G22" s="374"/>
      <c r="H22" s="374"/>
      <c r="I22" s="374"/>
      <c r="J22" s="374"/>
      <c r="K22" s="374"/>
      <c r="L22" s="374"/>
      <c r="M22" s="374"/>
      <c r="N22" s="374"/>
      <c r="O22" s="374"/>
    </row>
    <row r="23" spans="1:15">
      <c r="A23" s="388">
        <v>302</v>
      </c>
      <c r="B23" s="389"/>
      <c r="C23" s="381" t="str">
        <f ca="1">HYPERLINK(MID(CELL("filename",$A$1),SEARCH("[",CELL("filename",$A$1)),SEARCH("]",CELL("filename",$A$1))-SEARCH("[",CELL("filename",$A$1))+1)&amp;"$A$245","Match Times - Two teams advance")</f>
        <v>Match Times - Two teams advance</v>
      </c>
      <c r="D23" s="382"/>
      <c r="E23" s="382"/>
      <c r="F23" s="382"/>
      <c r="G23" s="382"/>
      <c r="H23" s="382"/>
      <c r="I23" s="382"/>
      <c r="J23" s="382"/>
      <c r="K23" s="382"/>
      <c r="L23" s="382"/>
      <c r="M23" s="382"/>
      <c r="N23" s="382"/>
      <c r="O23" s="383"/>
    </row>
    <row r="24" spans="1:15">
      <c r="A24" s="388">
        <v>333</v>
      </c>
      <c r="B24" s="389"/>
      <c r="C24" s="381" t="str">
        <f ca="1">HYPERLINK(MID(CELL("filename",$A$1),SEARCH("[",CELL("filename",$A$1)),SEARCH("]",CELL("filename",$A$1))-SEARCH("[",CELL("filename",$A$1))+1)&amp;"$A$277","Match Sequence - Two teams advance")</f>
        <v>Match Sequence - Two teams advance</v>
      </c>
      <c r="D24" s="382"/>
      <c r="E24" s="382"/>
      <c r="F24" s="382"/>
      <c r="G24" s="382"/>
      <c r="H24" s="382"/>
      <c r="I24" s="382"/>
      <c r="J24" s="382"/>
      <c r="K24" s="382"/>
      <c r="L24" s="382"/>
      <c r="M24" s="382"/>
      <c r="N24" s="382"/>
      <c r="O24" s="383"/>
    </row>
    <row r="25" spans="1:15">
      <c r="A25" s="384">
        <v>388</v>
      </c>
      <c r="B25" s="385"/>
      <c r="C25" s="381" t="str">
        <f ca="1">HYPERLINK(MID(CELL("filename",$A$1),SEARCH("[",CELL("filename",$A$1)),SEARCH("]",CELL("filename",$A$1))-SEARCH("[",CELL("filename",$A$1))+1)&amp;"$A$332","MATCH_ROSTERS sheet")</f>
        <v>MATCH_ROSTERS sheet</v>
      </c>
      <c r="D25" s="382"/>
      <c r="E25" s="382"/>
      <c r="F25" s="382"/>
      <c r="G25" s="382"/>
      <c r="H25" s="382"/>
      <c r="I25" s="382"/>
      <c r="J25" s="382"/>
      <c r="K25" s="382"/>
      <c r="L25" s="382"/>
      <c r="M25" s="382"/>
      <c r="N25" s="382"/>
      <c r="O25" s="383"/>
    </row>
    <row r="26" spans="1:15">
      <c r="A26" s="384">
        <v>429</v>
      </c>
      <c r="B26" s="385"/>
      <c r="C26" s="381" t="str">
        <f ca="1">HYPERLINK(MID(CELL("filename",$A$1),SEARCH("[",CELL("filename",$A$1)),SEARCH("]",CELL("filename",$A$1))-SEARCH("[",CELL("filename",$A$1))+1)&amp;"$A$373","TEAM_MATCHES sheet")</f>
        <v>TEAM_MATCHES sheet</v>
      </c>
      <c r="D26" s="382"/>
      <c r="E26" s="382"/>
      <c r="F26" s="382"/>
      <c r="G26" s="382"/>
      <c r="H26" s="382"/>
      <c r="I26" s="382"/>
      <c r="J26" s="382"/>
      <c r="K26" s="382"/>
      <c r="L26" s="382"/>
      <c r="M26" s="382"/>
      <c r="N26" s="382"/>
      <c r="O26" s="383"/>
    </row>
    <row r="27" spans="1:15">
      <c r="A27" s="384">
        <v>516</v>
      </c>
      <c r="B27" s="385"/>
      <c r="C27" s="381" t="str">
        <f ca="1">HYPERLINK(MID(CELL("filename",$A$1),SEARCH("[",CELL("filename",$A$1)),SEARCH("]",CELL("filename",$A$1))-SEARCH("[",CELL("filename",$A$1))+1)&amp;"$A$460","Entering Scores")</f>
        <v>Entering Scores</v>
      </c>
      <c r="D27" s="382"/>
      <c r="E27" s="382"/>
      <c r="F27" s="382"/>
      <c r="G27" s="382"/>
      <c r="H27" s="382"/>
      <c r="I27" s="382"/>
      <c r="J27" s="382"/>
      <c r="K27" s="382"/>
      <c r="L27" s="382"/>
      <c r="M27" s="382"/>
      <c r="N27" s="382"/>
      <c r="O27" s="383"/>
    </row>
    <row r="28" spans="1:15">
      <c r="A28" s="384">
        <v>603</v>
      </c>
      <c r="B28" s="385"/>
      <c r="C28" s="381" t="str">
        <f ca="1">HYPERLINK(MID(CELL("filename",$A$1),SEARCH("[",CELL("filename",$A$1)),SEARCH("]",CELL("filename",$A$1))-SEARCH("[",CELL("filename",$A$1))+1)&amp;"$A$547","Moving Quickly to a Contest")</f>
        <v>Moving Quickly to a Contest</v>
      </c>
      <c r="D28" s="382"/>
      <c r="E28" s="382"/>
      <c r="F28" s="382"/>
      <c r="G28" s="382"/>
      <c r="H28" s="382"/>
      <c r="I28" s="382"/>
      <c r="J28" s="382"/>
      <c r="K28" s="382"/>
      <c r="L28" s="382"/>
      <c r="M28" s="382"/>
      <c r="N28" s="382"/>
      <c r="O28" s="383"/>
    </row>
    <row r="29" spans="1:15">
      <c r="A29" s="384">
        <v>681</v>
      </c>
      <c r="B29" s="385"/>
      <c r="C29" s="381" t="str">
        <f ca="1">HYPERLINK(MID(CELL("filename",$A$1),SEARCH("[",CELL("filename",$A$1)),SEARCH("]",CELL("filename",$A$1))-SEARCH("[",CELL("filename",$A$1))+1)&amp;"$A$625","Step-by-Step Quick Guide")</f>
        <v>Step-by-Step Quick Guide</v>
      </c>
      <c r="D29" s="382"/>
      <c r="E29" s="382"/>
      <c r="F29" s="382"/>
      <c r="G29" s="382"/>
      <c r="H29" s="382"/>
      <c r="I29" s="382"/>
      <c r="J29" s="382"/>
      <c r="K29" s="382"/>
      <c r="L29" s="382"/>
      <c r="M29" s="382"/>
      <c r="N29" s="382"/>
      <c r="O29" s="383"/>
    </row>
    <row r="30" spans="1:15">
      <c r="A30" s="384">
        <v>703</v>
      </c>
      <c r="B30" s="385"/>
      <c r="C30" s="381" t="str">
        <f ca="1">HYPERLINK(MID(CELL("filename",$A$1),SEARCH("[",CELL("filename",$A$1)),SEARCH("]",CELL("filename",$A$1))-SEARCH("[",CELL("filename",$A$1))+1)&amp;"$A$647","Frequently Asked Questions (FAQs)")</f>
        <v>Frequently Asked Questions (FAQs)</v>
      </c>
      <c r="D30" s="382"/>
      <c r="E30" s="382"/>
      <c r="F30" s="382"/>
      <c r="G30" s="382"/>
      <c r="H30" s="382"/>
      <c r="I30" s="382"/>
      <c r="J30" s="382"/>
      <c r="K30" s="382"/>
      <c r="L30" s="382"/>
      <c r="M30" s="382"/>
      <c r="N30" s="382"/>
      <c r="O30" s="383"/>
    </row>
    <row r="31" spans="1:15">
      <c r="A31" s="384">
        <v>753</v>
      </c>
      <c r="B31" s="385"/>
      <c r="C31" s="381" t="str">
        <f ca="1">HYPERLINK(MID(CELL("filename",$A$1),SEARCH("[",CELL("filename",$A$1)),SEARCH("]",CELL("filename",$A$1))-SEARCH("[",CELL("filename",$A$1))+1)&amp;"$A$697","History/Revision Log")</f>
        <v>History/Revision Log</v>
      </c>
      <c r="D31" s="382"/>
      <c r="E31" s="382"/>
      <c r="F31" s="382"/>
      <c r="G31" s="382"/>
      <c r="H31" s="382"/>
      <c r="I31" s="382"/>
      <c r="J31" s="382"/>
      <c r="K31" s="382"/>
      <c r="L31" s="382"/>
      <c r="M31" s="382"/>
      <c r="N31" s="382"/>
      <c r="O31" s="383"/>
    </row>
    <row r="32" spans="1:15">
      <c r="A32" s="132"/>
      <c r="B32" s="133"/>
      <c r="C32" s="192"/>
      <c r="D32" s="134"/>
      <c r="E32" s="134"/>
      <c r="F32" s="134"/>
      <c r="G32" s="134"/>
      <c r="H32" s="134"/>
      <c r="I32" s="134"/>
      <c r="J32" s="134"/>
      <c r="K32" s="134"/>
      <c r="L32" s="134"/>
      <c r="M32" s="134"/>
      <c r="N32" s="134"/>
      <c r="O32" s="134"/>
    </row>
    <row r="33" spans="1:1">
      <c r="A33" s="73" t="s">
        <v>2839</v>
      </c>
    </row>
    <row r="57" spans="1:2">
      <c r="A57" s="73" t="s">
        <v>4468</v>
      </c>
    </row>
    <row r="58" spans="1:2">
      <c r="A58" s="73"/>
    </row>
    <row r="59" spans="1:2">
      <c r="A59" s="73" t="s">
        <v>2820</v>
      </c>
    </row>
    <row r="60" spans="1:2">
      <c r="A60" s="73" t="s">
        <v>2821</v>
      </c>
    </row>
    <row r="61" spans="1:2">
      <c r="B61" s="73" t="s">
        <v>2822</v>
      </c>
    </row>
    <row r="62" spans="1:2">
      <c r="A62" s="73" t="s">
        <v>2823</v>
      </c>
    </row>
    <row r="63" spans="1:2">
      <c r="B63" s="73" t="s">
        <v>2824</v>
      </c>
    </row>
    <row r="64" spans="1:2">
      <c r="A64" s="73" t="s">
        <v>2825</v>
      </c>
    </row>
    <row r="66" spans="1:2">
      <c r="A66" s="73" t="s">
        <v>2826</v>
      </c>
    </row>
    <row r="67" spans="1:2">
      <c r="A67" s="73" t="s">
        <v>2827</v>
      </c>
    </row>
    <row r="68" spans="1:2">
      <c r="B68" s="73" t="s">
        <v>2828</v>
      </c>
    </row>
    <row r="69" spans="1:2">
      <c r="A69" s="73" t="s">
        <v>2829</v>
      </c>
    </row>
    <row r="70" spans="1:2">
      <c r="B70" s="73" t="s">
        <v>2830</v>
      </c>
    </row>
    <row r="91" spans="1:2">
      <c r="A91" s="73" t="s">
        <v>2834</v>
      </c>
    </row>
    <row r="92" spans="1:2">
      <c r="B92" s="73" t="s">
        <v>2831</v>
      </c>
    </row>
    <row r="113" spans="1:2">
      <c r="A113" s="73" t="s">
        <v>2832</v>
      </c>
    </row>
    <row r="114" spans="1:2">
      <c r="B114" s="73" t="s">
        <v>2833</v>
      </c>
    </row>
    <row r="135" spans="1:2">
      <c r="A135" s="72" t="s">
        <v>2835</v>
      </c>
    </row>
    <row r="136" spans="1:2">
      <c r="B136" s="72" t="s">
        <v>512</v>
      </c>
    </row>
    <row r="137" spans="1:2">
      <c r="B137" s="72" t="s">
        <v>513</v>
      </c>
    </row>
    <row r="138" spans="1:2">
      <c r="B138" s="72" t="s">
        <v>514</v>
      </c>
    </row>
    <row r="140" spans="1:2">
      <c r="A140" s="72" t="s">
        <v>2836</v>
      </c>
    </row>
    <row r="141" spans="1:2">
      <c r="B141" s="73" t="s">
        <v>4452</v>
      </c>
    </row>
    <row r="142" spans="1:2">
      <c r="B142" s="73" t="s">
        <v>4453</v>
      </c>
    </row>
    <row r="144" spans="1:2">
      <c r="A144" s="72" t="s">
        <v>2837</v>
      </c>
    </row>
    <row r="145" spans="1:2">
      <c r="B145" s="72" t="s">
        <v>2838</v>
      </c>
    </row>
    <row r="147" spans="1:2">
      <c r="A147" s="73" t="s">
        <v>4451</v>
      </c>
    </row>
    <row r="148" spans="1:2">
      <c r="B148" s="73" t="s">
        <v>4455</v>
      </c>
    </row>
    <row r="150" spans="1:2">
      <c r="A150" s="71" t="s">
        <v>3946</v>
      </c>
    </row>
    <row r="152" spans="1:2">
      <c r="A152" s="73" t="s">
        <v>3947</v>
      </c>
    </row>
    <row r="153" spans="1:2">
      <c r="B153" s="73" t="s">
        <v>3948</v>
      </c>
    </row>
    <row r="154" spans="1:2">
      <c r="B154" s="73" t="s">
        <v>3949</v>
      </c>
    </row>
    <row r="155" spans="1:2">
      <c r="A155" s="73" t="s">
        <v>3950</v>
      </c>
    </row>
    <row r="156" spans="1:2">
      <c r="B156" s="73" t="s">
        <v>3951</v>
      </c>
    </row>
    <row r="157" spans="1:2">
      <c r="A157" s="73" t="s">
        <v>3956</v>
      </c>
    </row>
    <row r="168" spans="1:8">
      <c r="A168" s="71" t="s">
        <v>5471</v>
      </c>
    </row>
    <row r="170" spans="1:8">
      <c r="A170" s="73" t="s">
        <v>5472</v>
      </c>
    </row>
    <row r="171" spans="1:8">
      <c r="B171" s="73" t="s">
        <v>5481</v>
      </c>
    </row>
    <row r="172" spans="1:8">
      <c r="B172" s="73" t="s">
        <v>5482</v>
      </c>
    </row>
    <row r="174" spans="1:8">
      <c r="A174" s="121">
        <v>1</v>
      </c>
      <c r="B174" s="72" t="s">
        <v>5473</v>
      </c>
      <c r="H174" s="73" t="s">
        <v>5483</v>
      </c>
    </row>
    <row r="175" spans="1:8">
      <c r="A175" s="121">
        <v>2</v>
      </c>
      <c r="B175" s="72" t="s">
        <v>5474</v>
      </c>
      <c r="H175" s="73" t="s">
        <v>5484</v>
      </c>
    </row>
    <row r="176" spans="1:8">
      <c r="A176" s="121">
        <v>3</v>
      </c>
      <c r="B176" s="72" t="s">
        <v>5475</v>
      </c>
    </row>
    <row r="177" spans="1:16">
      <c r="A177" s="121">
        <v>4</v>
      </c>
      <c r="B177" s="72" t="s">
        <v>5476</v>
      </c>
      <c r="H177" s="73" t="s">
        <v>5485</v>
      </c>
    </row>
    <row r="178" spans="1:16">
      <c r="A178" s="121">
        <v>5</v>
      </c>
      <c r="B178" s="72" t="s">
        <v>5477</v>
      </c>
      <c r="H178" s="73" t="s">
        <v>5486</v>
      </c>
    </row>
    <row r="179" spans="1:16">
      <c r="A179" s="121">
        <v>6</v>
      </c>
      <c r="B179" s="72" t="s">
        <v>5478</v>
      </c>
      <c r="H179" s="73" t="s">
        <v>5487</v>
      </c>
      <c r="N179" s="73"/>
      <c r="O179" s="186"/>
    </row>
    <row r="180" spans="1:16">
      <c r="A180" s="121">
        <v>7</v>
      </c>
      <c r="B180" s="72" t="s">
        <v>5479</v>
      </c>
      <c r="N180" s="73" t="s">
        <v>1112</v>
      </c>
      <c r="O180" s="186" t="s">
        <v>1113</v>
      </c>
    </row>
    <row r="181" spans="1:16">
      <c r="A181" s="121">
        <v>8</v>
      </c>
      <c r="B181" s="72" t="s">
        <v>5480</v>
      </c>
      <c r="M181" s="121">
        <v>1</v>
      </c>
      <c r="N181" s="185"/>
      <c r="O181" s="185"/>
      <c r="P181" s="191">
        <v>2</v>
      </c>
    </row>
    <row r="182" spans="1:16">
      <c r="M182" s="121">
        <v>4</v>
      </c>
      <c r="N182" s="185"/>
      <c r="O182" s="185"/>
      <c r="P182" s="191">
        <v>3</v>
      </c>
    </row>
    <row r="183" spans="1:16">
      <c r="A183" s="73" t="s">
        <v>5488</v>
      </c>
      <c r="M183" s="121">
        <v>5</v>
      </c>
      <c r="N183" s="185"/>
      <c r="O183" s="185"/>
      <c r="P183" s="191">
        <v>6</v>
      </c>
    </row>
    <row r="184" spans="1:16">
      <c r="C184" s="186"/>
      <c r="J184" s="186"/>
      <c r="M184" s="121">
        <v>8</v>
      </c>
      <c r="N184" s="185"/>
      <c r="O184" s="185"/>
      <c r="P184" s="191">
        <v>7</v>
      </c>
    </row>
    <row r="185" spans="1:16">
      <c r="C185" s="186" t="s">
        <v>1112</v>
      </c>
      <c r="J185" s="186" t="s">
        <v>1113</v>
      </c>
      <c r="N185" s="183"/>
      <c r="O185" s="183"/>
    </row>
    <row r="186" spans="1:16">
      <c r="A186" s="189">
        <v>1</v>
      </c>
      <c r="B186" s="187" t="s">
        <v>5473</v>
      </c>
      <c r="C186" s="187"/>
      <c r="D186" s="187"/>
      <c r="E186" s="187"/>
      <c r="H186" s="189">
        <v>2</v>
      </c>
      <c r="I186" s="188" t="s">
        <v>5474</v>
      </c>
      <c r="J186" s="188"/>
      <c r="K186" s="188"/>
      <c r="L186" s="188"/>
    </row>
    <row r="187" spans="1:16">
      <c r="A187" s="189">
        <v>4</v>
      </c>
      <c r="B187" s="188" t="s">
        <v>5476</v>
      </c>
      <c r="C187" s="188"/>
      <c r="D187" s="188"/>
      <c r="E187" s="188"/>
      <c r="H187" s="189">
        <v>3</v>
      </c>
      <c r="I187" s="190" t="s">
        <v>5475</v>
      </c>
      <c r="J187" s="190"/>
      <c r="K187" s="190"/>
      <c r="L187" s="190"/>
    </row>
    <row r="188" spans="1:16">
      <c r="A188" s="189">
        <v>5</v>
      </c>
      <c r="B188" s="184" t="s">
        <v>5477</v>
      </c>
      <c r="C188" s="184"/>
      <c r="D188" s="184"/>
      <c r="E188" s="184"/>
      <c r="H188" s="189">
        <v>6</v>
      </c>
      <c r="I188" s="188" t="s">
        <v>5478</v>
      </c>
      <c r="J188" s="188"/>
      <c r="K188" s="188"/>
      <c r="L188" s="188"/>
    </row>
    <row r="189" spans="1:16">
      <c r="A189" s="189">
        <v>8</v>
      </c>
      <c r="B189" s="187" t="s">
        <v>5480</v>
      </c>
      <c r="C189" s="187"/>
      <c r="D189" s="187"/>
      <c r="E189" s="187"/>
      <c r="H189" s="189">
        <v>7</v>
      </c>
      <c r="I189" s="190" t="s">
        <v>5479</v>
      </c>
      <c r="J189" s="190"/>
      <c r="K189" s="190"/>
      <c r="L189" s="190"/>
    </row>
    <row r="191" spans="1:16">
      <c r="A191" s="73" t="s">
        <v>5489</v>
      </c>
    </row>
    <row r="192" spans="1:16">
      <c r="B192" s="73" t="s">
        <v>5490</v>
      </c>
    </row>
    <row r="194" spans="1:12">
      <c r="A194" s="73" t="s">
        <v>5491</v>
      </c>
    </row>
    <row r="195" spans="1:12">
      <c r="A195" s="73" t="s">
        <v>5492</v>
      </c>
    </row>
    <row r="196" spans="1:12">
      <c r="A196" s="73" t="s">
        <v>5493</v>
      </c>
    </row>
    <row r="197" spans="1:12">
      <c r="A197" s="73" t="s">
        <v>5494</v>
      </c>
    </row>
    <row r="199" spans="1:12">
      <c r="C199" s="186" t="s">
        <v>1112</v>
      </c>
      <c r="J199" s="186" t="s">
        <v>1113</v>
      </c>
    </row>
    <row r="200" spans="1:12">
      <c r="A200" s="189">
        <v>1</v>
      </c>
      <c r="B200" s="187" t="s">
        <v>5473</v>
      </c>
      <c r="C200" s="187"/>
      <c r="D200" s="187"/>
      <c r="E200" s="187"/>
      <c r="H200" s="189">
        <v>2</v>
      </c>
      <c r="I200" s="188" t="s">
        <v>5474</v>
      </c>
      <c r="J200" s="188"/>
      <c r="K200" s="188"/>
      <c r="L200" s="188"/>
    </row>
    <row r="201" spans="1:12">
      <c r="A201" s="189">
        <v>4</v>
      </c>
      <c r="B201" s="188" t="s">
        <v>5476</v>
      </c>
      <c r="C201" s="188"/>
      <c r="D201" s="188"/>
      <c r="E201" s="188"/>
      <c r="H201" s="189">
        <v>3</v>
      </c>
      <c r="I201" s="190" t="s">
        <v>5475</v>
      </c>
      <c r="J201" s="190"/>
      <c r="K201" s="190"/>
      <c r="L201" s="190"/>
    </row>
    <row r="202" spans="1:12">
      <c r="A202" s="189">
        <v>5</v>
      </c>
      <c r="B202" s="184" t="s">
        <v>5477</v>
      </c>
      <c r="C202" s="184"/>
      <c r="D202" s="184"/>
      <c r="E202" s="184"/>
      <c r="H202" s="189">
        <v>6</v>
      </c>
      <c r="I202" s="188" t="s">
        <v>5478</v>
      </c>
      <c r="J202" s="188"/>
      <c r="K202" s="188"/>
      <c r="L202" s="188"/>
    </row>
    <row r="203" spans="1:12">
      <c r="A203" s="189">
        <v>7</v>
      </c>
      <c r="B203" s="190" t="s">
        <v>5479</v>
      </c>
      <c r="C203" s="190"/>
      <c r="D203" s="190"/>
      <c r="E203" s="190"/>
      <c r="H203" s="189">
        <v>8</v>
      </c>
      <c r="I203" s="187" t="s">
        <v>5480</v>
      </c>
      <c r="J203" s="187"/>
      <c r="K203" s="187"/>
      <c r="L203" s="187"/>
    </row>
    <row r="205" spans="1:12">
      <c r="A205" s="73" t="s">
        <v>5495</v>
      </c>
    </row>
    <row r="206" spans="1:12">
      <c r="B206" s="73" t="s">
        <v>5496</v>
      </c>
    </row>
    <row r="207" spans="1:12">
      <c r="B207" s="73" t="s">
        <v>5497</v>
      </c>
    </row>
    <row r="209" spans="1:12">
      <c r="C209" s="186" t="s">
        <v>1112</v>
      </c>
      <c r="J209" s="186" t="s">
        <v>1113</v>
      </c>
    </row>
    <row r="210" spans="1:12">
      <c r="A210" s="189">
        <v>1</v>
      </c>
      <c r="B210" s="187" t="s">
        <v>5473</v>
      </c>
      <c r="C210" s="187"/>
      <c r="D210" s="187"/>
      <c r="E210" s="187"/>
      <c r="H210" s="189">
        <v>2</v>
      </c>
      <c r="I210" s="188" t="s">
        <v>5474</v>
      </c>
      <c r="J210" s="188"/>
      <c r="K210" s="188"/>
      <c r="L210" s="188"/>
    </row>
    <row r="211" spans="1:12">
      <c r="A211" s="189">
        <v>4</v>
      </c>
      <c r="B211" s="188" t="s">
        <v>5476</v>
      </c>
      <c r="C211" s="188"/>
      <c r="D211" s="188"/>
      <c r="E211" s="188"/>
      <c r="H211" s="189">
        <v>3</v>
      </c>
      <c r="I211" s="190" t="s">
        <v>5475</v>
      </c>
      <c r="J211" s="190"/>
      <c r="K211" s="190"/>
      <c r="L211" s="190"/>
    </row>
    <row r="212" spans="1:12">
      <c r="A212" s="189">
        <v>6</v>
      </c>
      <c r="B212" s="188" t="s">
        <v>5478</v>
      </c>
      <c r="C212" s="188"/>
      <c r="D212" s="188"/>
      <c r="E212" s="188"/>
      <c r="H212" s="189">
        <v>5</v>
      </c>
      <c r="I212" s="184" t="s">
        <v>5477</v>
      </c>
      <c r="J212" s="184"/>
      <c r="K212" s="184"/>
      <c r="L212" s="184"/>
    </row>
    <row r="213" spans="1:12">
      <c r="A213" s="189">
        <v>7</v>
      </c>
      <c r="B213" s="190" t="s">
        <v>5479</v>
      </c>
      <c r="C213" s="190"/>
      <c r="D213" s="190"/>
      <c r="E213" s="190"/>
      <c r="H213" s="189">
        <v>8</v>
      </c>
      <c r="I213" s="187" t="s">
        <v>5480</v>
      </c>
      <c r="J213" s="187"/>
      <c r="K213" s="187"/>
      <c r="L213" s="187"/>
    </row>
    <row r="215" spans="1:12">
      <c r="A215" s="73" t="s">
        <v>5498</v>
      </c>
    </row>
    <row r="216" spans="1:12">
      <c r="B216" s="73" t="s">
        <v>5499</v>
      </c>
    </row>
    <row r="218" spans="1:12">
      <c r="A218" s="73" t="s">
        <v>5500</v>
      </c>
    </row>
    <row r="219" spans="1:12">
      <c r="B219" s="73" t="s">
        <v>5501</v>
      </c>
    </row>
    <row r="220" spans="1:12">
      <c r="B220" s="73" t="s">
        <v>5502</v>
      </c>
    </row>
    <row r="221" spans="1:12">
      <c r="B221" s="73" t="s">
        <v>5503</v>
      </c>
    </row>
    <row r="223" spans="1:12">
      <c r="A223" s="73" t="s">
        <v>4469</v>
      </c>
    </row>
    <row r="224" spans="1:12">
      <c r="B224" s="73"/>
    </row>
    <row r="254" spans="1:2">
      <c r="A254" s="73" t="s">
        <v>2840</v>
      </c>
    </row>
    <row r="255" spans="1:2">
      <c r="B255" s="73" t="s">
        <v>2841</v>
      </c>
    </row>
    <row r="256" spans="1:2">
      <c r="A256" s="73" t="s">
        <v>515</v>
      </c>
      <c r="B256" s="73"/>
    </row>
    <row r="257" spans="1:2">
      <c r="B257" s="73" t="s">
        <v>516</v>
      </c>
    </row>
    <row r="258" spans="1:2">
      <c r="B258" s="73" t="s">
        <v>517</v>
      </c>
    </row>
    <row r="259" spans="1:2">
      <c r="A259" s="73" t="s">
        <v>518</v>
      </c>
      <c r="B259" s="73"/>
    </row>
    <row r="260" spans="1:2">
      <c r="B260" s="73"/>
    </row>
    <row r="261" spans="1:2">
      <c r="A261" s="73" t="s">
        <v>526</v>
      </c>
      <c r="B261" s="73"/>
    </row>
    <row r="262" spans="1:2">
      <c r="B262" s="73"/>
    </row>
    <row r="263" spans="1:2">
      <c r="A263" s="73" t="s">
        <v>10331</v>
      </c>
      <c r="B263" s="73"/>
    </row>
    <row r="264" spans="1:2">
      <c r="B264" s="73" t="s">
        <v>519</v>
      </c>
    </row>
    <row r="265" spans="1:2">
      <c r="A265" s="73" t="s">
        <v>4470</v>
      </c>
    </row>
    <row r="266" spans="1:2">
      <c r="A266" s="73" t="s">
        <v>4471</v>
      </c>
    </row>
    <row r="267" spans="1:2">
      <c r="A267" s="73"/>
      <c r="B267" s="73" t="s">
        <v>641</v>
      </c>
    </row>
    <row r="268" spans="1:2">
      <c r="A268" s="73" t="s">
        <v>520</v>
      </c>
    </row>
    <row r="269" spans="1:2">
      <c r="A269" s="73"/>
      <c r="B269" s="73" t="s">
        <v>521</v>
      </c>
    </row>
    <row r="270" spans="1:2">
      <c r="B270" s="73" t="s">
        <v>522</v>
      </c>
    </row>
    <row r="271" spans="1:2">
      <c r="B271" s="73" t="s">
        <v>10332</v>
      </c>
    </row>
    <row r="272" spans="1:2">
      <c r="B272" s="73" t="s">
        <v>523</v>
      </c>
    </row>
    <row r="274" spans="1:2">
      <c r="A274" s="73" t="s">
        <v>3990</v>
      </c>
      <c r="B274" s="73"/>
    </row>
    <row r="275" spans="1:2">
      <c r="B275" s="73" t="s">
        <v>3991</v>
      </c>
    </row>
    <row r="276" spans="1:2">
      <c r="B276" s="73"/>
    </row>
    <row r="278" spans="1:2">
      <c r="A278" s="73" t="s">
        <v>3993</v>
      </c>
      <c r="B278" s="73"/>
    </row>
    <row r="279" spans="1:2">
      <c r="B279" s="73" t="s">
        <v>3992</v>
      </c>
    </row>
    <row r="280" spans="1:2">
      <c r="B280" s="73" t="s">
        <v>3994</v>
      </c>
    </row>
    <row r="281" spans="1:2">
      <c r="B281" s="73"/>
    </row>
    <row r="282" spans="1:2">
      <c r="A282" s="73" t="s">
        <v>524</v>
      </c>
      <c r="B282" s="73"/>
    </row>
    <row r="283" spans="1:2">
      <c r="B283" s="73" t="s">
        <v>4472</v>
      </c>
    </row>
    <row r="284" spans="1:2">
      <c r="B284" s="73" t="s">
        <v>10333</v>
      </c>
    </row>
    <row r="285" spans="1:2">
      <c r="B285" s="73" t="s">
        <v>525</v>
      </c>
    </row>
    <row r="287" spans="1:2">
      <c r="A287" s="73" t="s">
        <v>10334</v>
      </c>
      <c r="B287" s="73"/>
    </row>
    <row r="288" spans="1:2">
      <c r="B288" s="73" t="s">
        <v>4923</v>
      </c>
    </row>
    <row r="289" spans="1:2">
      <c r="A289" s="73" t="s">
        <v>4470</v>
      </c>
      <c r="B289" s="73"/>
    </row>
    <row r="290" spans="1:2">
      <c r="A290" s="73" t="s">
        <v>5469</v>
      </c>
      <c r="B290" s="73"/>
    </row>
    <row r="291" spans="1:2">
      <c r="A291" s="73" t="s">
        <v>4924</v>
      </c>
    </row>
    <row r="293" spans="1:2">
      <c r="A293" s="73" t="s">
        <v>4925</v>
      </c>
    </row>
    <row r="294" spans="1:2">
      <c r="A294" s="73" t="s">
        <v>4926</v>
      </c>
      <c r="B294" s="73"/>
    </row>
    <row r="295" spans="1:2">
      <c r="A295" s="73"/>
    </row>
    <row r="296" spans="1:2">
      <c r="A296" s="73" t="s">
        <v>5470</v>
      </c>
    </row>
    <row r="298" spans="1:2">
      <c r="A298" s="162" t="s">
        <v>527</v>
      </c>
      <c r="B298" s="162"/>
    </row>
    <row r="299" spans="1:2">
      <c r="A299" s="162"/>
      <c r="B299" s="162" t="s">
        <v>528</v>
      </c>
    </row>
    <row r="300" spans="1:2">
      <c r="A300" s="162"/>
      <c r="B300" s="162" t="s">
        <v>529</v>
      </c>
    </row>
    <row r="301" spans="1:2">
      <c r="A301" s="73"/>
    </row>
    <row r="302" spans="1:2">
      <c r="A302" s="71" t="s">
        <v>3974</v>
      </c>
    </row>
    <row r="304" spans="1:2">
      <c r="A304" s="73" t="s">
        <v>3975</v>
      </c>
    </row>
    <row r="305" spans="1:2">
      <c r="A305" s="73" t="s">
        <v>3976</v>
      </c>
    </row>
    <row r="306" spans="1:2">
      <c r="A306" s="73" t="s">
        <v>3977</v>
      </c>
    </row>
    <row r="318" spans="1:2">
      <c r="A318" s="73"/>
    </row>
    <row r="319" spans="1:2">
      <c r="B319" s="73"/>
    </row>
    <row r="323" spans="1:13">
      <c r="A323" s="73" t="s">
        <v>3978</v>
      </c>
    </row>
    <row r="324" spans="1:13">
      <c r="B324" s="73" t="s">
        <v>3979</v>
      </c>
    </row>
    <row r="333" spans="1:13">
      <c r="A333" s="71" t="s">
        <v>4454</v>
      </c>
    </row>
    <row r="335" spans="1:13">
      <c r="C335" s="390" t="s">
        <v>4357</v>
      </c>
      <c r="D335" s="390"/>
      <c r="E335" s="390"/>
      <c r="F335" s="390"/>
      <c r="G335" s="390"/>
      <c r="H335" s="390"/>
      <c r="I335" s="390"/>
      <c r="J335" s="390"/>
      <c r="K335" s="390"/>
      <c r="L335" s="390"/>
      <c r="M335" s="390"/>
    </row>
    <row r="336" spans="1:13">
      <c r="A336" s="73"/>
      <c r="C336" s="121">
        <v>1</v>
      </c>
      <c r="D336" s="121">
        <v>2</v>
      </c>
      <c r="E336" s="121">
        <v>3</v>
      </c>
      <c r="F336" s="121">
        <v>4</v>
      </c>
      <c r="G336" s="121">
        <v>5</v>
      </c>
      <c r="H336" s="121">
        <v>6</v>
      </c>
      <c r="I336" s="121">
        <v>7</v>
      </c>
      <c r="J336" s="121">
        <v>8</v>
      </c>
      <c r="K336" s="121">
        <v>9</v>
      </c>
      <c r="L336" s="121">
        <v>10</v>
      </c>
      <c r="M336" s="121">
        <v>11</v>
      </c>
    </row>
    <row r="337" spans="1:15">
      <c r="A337" s="122" t="s">
        <v>4358</v>
      </c>
    </row>
    <row r="338" spans="1:15">
      <c r="A338" s="121">
        <v>1</v>
      </c>
      <c r="C338" s="123" t="s">
        <v>4359</v>
      </c>
      <c r="D338" s="123" t="s">
        <v>4360</v>
      </c>
      <c r="E338" s="123" t="s">
        <v>4361</v>
      </c>
      <c r="F338" s="123"/>
      <c r="G338" s="123"/>
      <c r="O338" s="73" t="s">
        <v>4456</v>
      </c>
    </row>
    <row r="339" spans="1:15">
      <c r="A339" s="121">
        <v>2</v>
      </c>
      <c r="C339" s="123" t="s">
        <v>4362</v>
      </c>
      <c r="D339" s="123" t="s">
        <v>4363</v>
      </c>
      <c r="E339" s="123" t="s">
        <v>4364</v>
      </c>
      <c r="F339" s="123"/>
      <c r="G339" s="123"/>
    </row>
    <row r="340" spans="1:15">
      <c r="A340" s="121"/>
      <c r="C340" s="123"/>
      <c r="D340" s="123"/>
      <c r="E340" s="123"/>
      <c r="F340" s="123"/>
      <c r="G340" s="123"/>
    </row>
    <row r="341" spans="1:15">
      <c r="A341" s="121">
        <v>1</v>
      </c>
      <c r="C341" s="123" t="s">
        <v>4359</v>
      </c>
      <c r="D341" s="123" t="s">
        <v>4360</v>
      </c>
      <c r="E341" s="123" t="s">
        <v>4365</v>
      </c>
      <c r="F341" s="123"/>
      <c r="G341" s="123"/>
      <c r="O341" s="73" t="s">
        <v>4457</v>
      </c>
    </row>
    <row r="342" spans="1:15">
      <c r="A342" s="121">
        <v>2</v>
      </c>
      <c r="C342" s="123" t="s">
        <v>4366</v>
      </c>
      <c r="D342" s="123" t="s">
        <v>4367</v>
      </c>
      <c r="E342" s="123" t="s">
        <v>4361</v>
      </c>
      <c r="F342" s="123"/>
      <c r="G342" s="123"/>
    </row>
    <row r="343" spans="1:15">
      <c r="A343" s="121"/>
      <c r="C343" s="123"/>
      <c r="D343" s="123"/>
      <c r="E343" s="123"/>
      <c r="F343" s="123"/>
      <c r="G343" s="123"/>
    </row>
    <row r="344" spans="1:15">
      <c r="A344" s="121">
        <v>1</v>
      </c>
      <c r="C344" s="123" t="s">
        <v>4368</v>
      </c>
      <c r="D344" s="123" t="s">
        <v>4365</v>
      </c>
      <c r="E344" s="123" t="s">
        <v>4359</v>
      </c>
      <c r="F344" s="123" t="s">
        <v>4360</v>
      </c>
      <c r="G344" s="123" t="s">
        <v>4369</v>
      </c>
      <c r="O344" s="73" t="s">
        <v>4458</v>
      </c>
    </row>
    <row r="345" spans="1:15">
      <c r="A345" s="121">
        <v>2</v>
      </c>
      <c r="C345" s="123" t="s">
        <v>4370</v>
      </c>
      <c r="D345" s="123" t="s">
        <v>4371</v>
      </c>
      <c r="E345" s="123" t="s">
        <v>4366</v>
      </c>
      <c r="F345" s="123" t="s">
        <v>4372</v>
      </c>
      <c r="G345" s="123" t="s">
        <v>4373</v>
      </c>
    </row>
    <row r="346" spans="1:15">
      <c r="A346" s="121">
        <v>3</v>
      </c>
      <c r="C346" s="123" t="s">
        <v>4367</v>
      </c>
      <c r="D346" s="123" t="s">
        <v>4362</v>
      </c>
      <c r="E346" s="123" t="s">
        <v>4374</v>
      </c>
      <c r="F346" s="123" t="s">
        <v>4375</v>
      </c>
      <c r="G346" s="123" t="s">
        <v>4361</v>
      </c>
    </row>
    <row r="347" spans="1:15">
      <c r="A347" s="121"/>
      <c r="C347" s="123"/>
      <c r="D347" s="123"/>
      <c r="E347" s="123"/>
      <c r="F347" s="123"/>
      <c r="G347" s="123"/>
    </row>
    <row r="348" spans="1:15">
      <c r="A348" s="121">
        <v>1</v>
      </c>
      <c r="C348" s="123" t="s">
        <v>4376</v>
      </c>
      <c r="D348" s="123" t="s">
        <v>4365</v>
      </c>
      <c r="E348" s="123" t="s">
        <v>4359</v>
      </c>
      <c r="F348" s="123" t="s">
        <v>4360</v>
      </c>
      <c r="G348" s="123" t="s">
        <v>4369</v>
      </c>
      <c r="O348" s="73" t="s">
        <v>4459</v>
      </c>
    </row>
    <row r="349" spans="1:15">
      <c r="A349" s="121">
        <v>2</v>
      </c>
      <c r="C349" s="123" t="s">
        <v>4370</v>
      </c>
      <c r="D349" s="123" t="s">
        <v>4371</v>
      </c>
      <c r="E349" s="123" t="s">
        <v>4366</v>
      </c>
      <c r="F349" s="123" t="s">
        <v>4377</v>
      </c>
      <c r="G349" s="123" t="s">
        <v>4378</v>
      </c>
    </row>
    <row r="350" spans="1:15">
      <c r="A350" s="121">
        <v>3</v>
      </c>
      <c r="C350" s="123" t="s">
        <v>4367</v>
      </c>
      <c r="D350" s="123" t="s">
        <v>4379</v>
      </c>
      <c r="E350" s="123" t="s">
        <v>4380</v>
      </c>
      <c r="F350" s="123" t="s">
        <v>4375</v>
      </c>
      <c r="G350" s="123" t="s">
        <v>4361</v>
      </c>
    </row>
    <row r="351" spans="1:15">
      <c r="A351" s="121"/>
    </row>
    <row r="352" spans="1:15">
      <c r="A352" s="121">
        <v>1</v>
      </c>
      <c r="C352" s="123" t="s">
        <v>4368</v>
      </c>
      <c r="D352" s="123" t="s">
        <v>4381</v>
      </c>
      <c r="E352" s="123" t="s">
        <v>4369</v>
      </c>
      <c r="F352" s="123" t="s">
        <v>4365</v>
      </c>
      <c r="G352" s="123" t="s">
        <v>4359</v>
      </c>
      <c r="H352" s="123" t="s">
        <v>4360</v>
      </c>
      <c r="I352" s="123" t="s">
        <v>4376</v>
      </c>
      <c r="J352" s="123"/>
      <c r="K352" s="123"/>
      <c r="O352" s="73" t="s">
        <v>4460</v>
      </c>
    </row>
    <row r="353" spans="1:15">
      <c r="A353" s="121">
        <v>2</v>
      </c>
      <c r="C353" s="123" t="s">
        <v>4382</v>
      </c>
      <c r="D353" s="123" t="s">
        <v>4383</v>
      </c>
      <c r="E353" s="123" t="s">
        <v>4378</v>
      </c>
      <c r="F353" s="123" t="s">
        <v>4371</v>
      </c>
      <c r="G353" s="123" t="s">
        <v>4366</v>
      </c>
      <c r="H353" s="123" t="s">
        <v>4372</v>
      </c>
      <c r="I353" s="123" t="s">
        <v>4384</v>
      </c>
      <c r="J353" s="123"/>
      <c r="K353" s="123"/>
    </row>
    <row r="354" spans="1:15">
      <c r="A354" s="121">
        <v>3</v>
      </c>
      <c r="C354" s="123" t="s">
        <v>4377</v>
      </c>
      <c r="D354" s="123" t="s">
        <v>4370</v>
      </c>
      <c r="E354" s="123" t="s">
        <v>4385</v>
      </c>
      <c r="F354" s="123" t="s">
        <v>4379</v>
      </c>
      <c r="G354" s="123" t="s">
        <v>4374</v>
      </c>
      <c r="H354" s="123" t="s">
        <v>4386</v>
      </c>
      <c r="I354" s="123" t="s">
        <v>4373</v>
      </c>
      <c r="J354" s="123"/>
      <c r="K354" s="123"/>
    </row>
    <row r="355" spans="1:15">
      <c r="A355" s="121">
        <v>4</v>
      </c>
      <c r="C355" s="123" t="s">
        <v>4375</v>
      </c>
      <c r="D355" s="123" t="s">
        <v>4367</v>
      </c>
      <c r="E355" s="123" t="s">
        <v>4362</v>
      </c>
      <c r="F355" s="123" t="s">
        <v>4387</v>
      </c>
      <c r="G355" s="123" t="s">
        <v>4388</v>
      </c>
      <c r="H355" s="123" t="s">
        <v>4380</v>
      </c>
      <c r="I355" s="123" t="s">
        <v>4361</v>
      </c>
      <c r="J355" s="123"/>
      <c r="K355" s="123"/>
    </row>
    <row r="356" spans="1:15">
      <c r="A356" s="121"/>
      <c r="C356" s="123"/>
      <c r="D356" s="123"/>
      <c r="E356" s="123"/>
      <c r="F356" s="123"/>
      <c r="G356" s="123"/>
      <c r="H356" s="123"/>
      <c r="I356" s="123"/>
      <c r="J356" s="123"/>
      <c r="K356" s="123"/>
    </row>
    <row r="357" spans="1:15">
      <c r="A357" s="121">
        <v>1</v>
      </c>
      <c r="C357" s="123" t="s">
        <v>4389</v>
      </c>
      <c r="D357" s="123" t="s">
        <v>4381</v>
      </c>
      <c r="E357" s="123" t="s">
        <v>4369</v>
      </c>
      <c r="F357" s="123" t="s">
        <v>4365</v>
      </c>
      <c r="G357" s="123" t="s">
        <v>4359</v>
      </c>
      <c r="H357" s="123" t="s">
        <v>4360</v>
      </c>
      <c r="I357" s="123" t="s">
        <v>4376</v>
      </c>
      <c r="J357" s="123"/>
      <c r="K357" s="123"/>
      <c r="O357" s="73" t="s">
        <v>4461</v>
      </c>
    </row>
    <row r="358" spans="1:15">
      <c r="A358" s="121">
        <v>2</v>
      </c>
      <c r="C358" s="123" t="s">
        <v>4382</v>
      </c>
      <c r="D358" s="123" t="s">
        <v>4390</v>
      </c>
      <c r="E358" s="123" t="s">
        <v>4378</v>
      </c>
      <c r="F358" s="123" t="s">
        <v>4371</v>
      </c>
      <c r="G358" s="123" t="s">
        <v>4366</v>
      </c>
      <c r="H358" s="123" t="s">
        <v>4391</v>
      </c>
      <c r="I358" s="123" t="s">
        <v>4384</v>
      </c>
      <c r="J358" s="123"/>
      <c r="K358" s="123"/>
    </row>
    <row r="359" spans="1:15">
      <c r="A359" s="121">
        <v>3</v>
      </c>
      <c r="C359" s="123" t="s">
        <v>4377</v>
      </c>
      <c r="D359" s="123" t="s">
        <v>4370</v>
      </c>
      <c r="E359" s="123" t="s">
        <v>4385</v>
      </c>
      <c r="F359" s="123" t="s">
        <v>4379</v>
      </c>
      <c r="G359" s="123" t="s">
        <v>4392</v>
      </c>
      <c r="H359" s="123" t="s">
        <v>4386</v>
      </c>
      <c r="I359" s="123" t="s">
        <v>4393</v>
      </c>
      <c r="J359" s="123"/>
      <c r="K359" s="123"/>
    </row>
    <row r="360" spans="1:15">
      <c r="A360" s="121">
        <v>4</v>
      </c>
      <c r="C360" s="123" t="s">
        <v>4375</v>
      </c>
      <c r="D360" s="123" t="s">
        <v>4367</v>
      </c>
      <c r="E360" s="123" t="s">
        <v>4394</v>
      </c>
      <c r="F360" s="123" t="s">
        <v>4395</v>
      </c>
      <c r="G360" s="123" t="s">
        <v>4388</v>
      </c>
      <c r="H360" s="123" t="s">
        <v>4380</v>
      </c>
      <c r="I360" s="123" t="s">
        <v>4361</v>
      </c>
      <c r="J360" s="123"/>
      <c r="K360" s="123"/>
    </row>
    <row r="361" spans="1:15">
      <c r="A361" s="121"/>
      <c r="C361" s="123"/>
      <c r="D361" s="123"/>
      <c r="E361" s="123"/>
      <c r="F361" s="123"/>
      <c r="G361" s="123"/>
      <c r="H361" s="123"/>
      <c r="I361" s="123"/>
      <c r="J361" s="123"/>
      <c r="K361" s="123"/>
    </row>
    <row r="362" spans="1:15">
      <c r="A362" s="121">
        <v>1</v>
      </c>
      <c r="C362" s="123" t="s">
        <v>4368</v>
      </c>
      <c r="D362" s="123" t="s">
        <v>4396</v>
      </c>
      <c r="E362" s="123" t="s">
        <v>4389</v>
      </c>
      <c r="F362" s="123" t="s">
        <v>4376</v>
      </c>
      <c r="G362" s="123" t="s">
        <v>4369</v>
      </c>
      <c r="H362" s="123" t="s">
        <v>4365</v>
      </c>
      <c r="I362" s="123" t="s">
        <v>4359</v>
      </c>
      <c r="J362" s="123" t="s">
        <v>4360</v>
      </c>
      <c r="K362" s="123" t="s">
        <v>4381</v>
      </c>
      <c r="O362" s="73" t="s">
        <v>4462</v>
      </c>
    </row>
    <row r="363" spans="1:15">
      <c r="A363" s="121">
        <v>2</v>
      </c>
      <c r="C363" s="123" t="s">
        <v>4397</v>
      </c>
      <c r="D363" s="123" t="s">
        <v>4398</v>
      </c>
      <c r="E363" s="123" t="s">
        <v>4399</v>
      </c>
      <c r="F363" s="123" t="s">
        <v>4384</v>
      </c>
      <c r="G363" s="123" t="s">
        <v>4378</v>
      </c>
      <c r="H363" s="123" t="s">
        <v>4371</v>
      </c>
      <c r="I363" s="123" t="s">
        <v>4366</v>
      </c>
      <c r="J363" s="123" t="s">
        <v>4372</v>
      </c>
      <c r="K363" s="123" t="s">
        <v>4390</v>
      </c>
    </row>
    <row r="364" spans="1:15">
      <c r="A364" s="121">
        <v>3</v>
      </c>
      <c r="C364" s="123" t="s">
        <v>4391</v>
      </c>
      <c r="D364" s="123" t="s">
        <v>4382</v>
      </c>
      <c r="E364" s="123" t="s">
        <v>4383</v>
      </c>
      <c r="F364" s="123" t="s">
        <v>4393</v>
      </c>
      <c r="G364" s="123" t="s">
        <v>4385</v>
      </c>
      <c r="H364" s="123" t="s">
        <v>4379</v>
      </c>
      <c r="I364" s="123" t="s">
        <v>4400</v>
      </c>
      <c r="J364" s="123" t="s">
        <v>4401</v>
      </c>
      <c r="K364" s="123" t="s">
        <v>4402</v>
      </c>
    </row>
    <row r="365" spans="1:15">
      <c r="A365" s="121">
        <v>4</v>
      </c>
      <c r="C365" s="123" t="s">
        <v>4386</v>
      </c>
      <c r="D365" s="123" t="s">
        <v>4377</v>
      </c>
      <c r="E365" s="123" t="s">
        <v>4403</v>
      </c>
      <c r="F365" s="123" t="s">
        <v>4404</v>
      </c>
      <c r="G365" s="123" t="s">
        <v>4394</v>
      </c>
      <c r="H365" s="123" t="s">
        <v>4387</v>
      </c>
      <c r="I365" s="123" t="s">
        <v>4405</v>
      </c>
      <c r="J365" s="123" t="s">
        <v>4392</v>
      </c>
      <c r="K365" s="123" t="s">
        <v>4373</v>
      </c>
    </row>
    <row r="366" spans="1:15">
      <c r="A366" s="121">
        <v>5</v>
      </c>
      <c r="C366" s="123" t="s">
        <v>4380</v>
      </c>
      <c r="D366" s="123" t="s">
        <v>4375</v>
      </c>
      <c r="E366" s="123" t="s">
        <v>4367</v>
      </c>
      <c r="F366" s="123" t="s">
        <v>4362</v>
      </c>
      <c r="G366" s="123" t="s">
        <v>4406</v>
      </c>
      <c r="H366" s="123" t="s">
        <v>4407</v>
      </c>
      <c r="I366" s="123" t="s">
        <v>4395</v>
      </c>
      <c r="J366" s="123" t="s">
        <v>4388</v>
      </c>
      <c r="K366" s="123" t="s">
        <v>4361</v>
      </c>
    </row>
    <row r="367" spans="1:15">
      <c r="A367" s="121"/>
      <c r="C367" s="123"/>
      <c r="D367" s="123"/>
      <c r="E367" s="123"/>
      <c r="F367" s="123"/>
      <c r="G367" s="123"/>
      <c r="H367" s="123"/>
      <c r="I367" s="123"/>
      <c r="J367" s="123"/>
      <c r="K367" s="123"/>
    </row>
    <row r="368" spans="1:15">
      <c r="A368" s="121">
        <v>1</v>
      </c>
      <c r="C368" s="123" t="s">
        <v>4408</v>
      </c>
      <c r="D368" s="123" t="s">
        <v>4396</v>
      </c>
      <c r="E368" s="123" t="s">
        <v>4389</v>
      </c>
      <c r="F368" s="123" t="s">
        <v>4376</v>
      </c>
      <c r="G368" s="123" t="s">
        <v>4369</v>
      </c>
      <c r="H368" s="123" t="s">
        <v>4365</v>
      </c>
      <c r="I368" s="123" t="s">
        <v>4359</v>
      </c>
      <c r="J368" s="123" t="s">
        <v>4360</v>
      </c>
      <c r="K368" s="123" t="s">
        <v>4381</v>
      </c>
      <c r="O368" s="73" t="s">
        <v>4463</v>
      </c>
    </row>
    <row r="369" spans="1:15">
      <c r="A369" s="121">
        <v>2</v>
      </c>
      <c r="C369" s="123" t="s">
        <v>4397</v>
      </c>
      <c r="D369" s="123" t="s">
        <v>4409</v>
      </c>
      <c r="E369" s="123" t="s">
        <v>4399</v>
      </c>
      <c r="F369" s="123" t="s">
        <v>4384</v>
      </c>
      <c r="G369" s="123" t="s">
        <v>4378</v>
      </c>
      <c r="H369" s="123" t="s">
        <v>4371</v>
      </c>
      <c r="I369" s="123" t="s">
        <v>4366</v>
      </c>
      <c r="J369" s="123" t="s">
        <v>4410</v>
      </c>
      <c r="K369" s="123" t="s">
        <v>4390</v>
      </c>
    </row>
    <row r="370" spans="1:15">
      <c r="A370" s="121">
        <v>3</v>
      </c>
      <c r="C370" s="123" t="s">
        <v>4391</v>
      </c>
      <c r="D370" s="123" t="s">
        <v>4382</v>
      </c>
      <c r="E370" s="123" t="s">
        <v>4411</v>
      </c>
      <c r="F370" s="123" t="s">
        <v>4393</v>
      </c>
      <c r="G370" s="123" t="s">
        <v>4385</v>
      </c>
      <c r="H370" s="123" t="s">
        <v>4379</v>
      </c>
      <c r="I370" s="123" t="s">
        <v>4412</v>
      </c>
      <c r="J370" s="123" t="s">
        <v>4401</v>
      </c>
      <c r="K370" s="123" t="s">
        <v>4402</v>
      </c>
    </row>
    <row r="371" spans="1:15">
      <c r="A371" s="121">
        <v>4</v>
      </c>
      <c r="C371" s="123" t="s">
        <v>4386</v>
      </c>
      <c r="D371" s="123" t="s">
        <v>4377</v>
      </c>
      <c r="E371" s="123" t="s">
        <v>4403</v>
      </c>
      <c r="F371" s="123" t="s">
        <v>4404</v>
      </c>
      <c r="G371" s="123" t="s">
        <v>4394</v>
      </c>
      <c r="H371" s="123" t="s">
        <v>4413</v>
      </c>
      <c r="I371" s="123" t="s">
        <v>4405</v>
      </c>
      <c r="J371" s="123" t="s">
        <v>4392</v>
      </c>
      <c r="K371" s="123" t="s">
        <v>4414</v>
      </c>
    </row>
    <row r="372" spans="1:15">
      <c r="A372" s="121">
        <v>5</v>
      </c>
      <c r="C372" s="123" t="s">
        <v>4380</v>
      </c>
      <c r="D372" s="123" t="s">
        <v>4375</v>
      </c>
      <c r="E372" s="123" t="s">
        <v>4367</v>
      </c>
      <c r="F372" s="123" t="s">
        <v>4415</v>
      </c>
      <c r="G372" s="123" t="s">
        <v>4416</v>
      </c>
      <c r="H372" s="123" t="s">
        <v>4407</v>
      </c>
      <c r="I372" s="123" t="s">
        <v>4395</v>
      </c>
      <c r="J372" s="123" t="s">
        <v>4388</v>
      </c>
      <c r="K372" s="123" t="s">
        <v>4361</v>
      </c>
    </row>
    <row r="373" spans="1:15">
      <c r="A373" s="121"/>
    </row>
    <row r="374" spans="1:15">
      <c r="A374" s="121">
        <v>1</v>
      </c>
      <c r="C374" s="123" t="s">
        <v>4364</v>
      </c>
      <c r="D374" s="123" t="s">
        <v>4417</v>
      </c>
      <c r="E374" s="123" t="s">
        <v>4408</v>
      </c>
      <c r="F374" s="123" t="s">
        <v>4396</v>
      </c>
      <c r="G374" s="123" t="s">
        <v>4360</v>
      </c>
      <c r="H374" s="123" t="s">
        <v>4381</v>
      </c>
      <c r="I374" s="123" t="s">
        <v>4376</v>
      </c>
      <c r="J374" s="123" t="s">
        <v>4369</v>
      </c>
      <c r="K374" s="123" t="s">
        <v>4365</v>
      </c>
      <c r="L374" s="123" t="s">
        <v>4359</v>
      </c>
      <c r="M374" s="123" t="s">
        <v>4389</v>
      </c>
      <c r="O374" s="73" t="s">
        <v>4464</v>
      </c>
    </row>
    <row r="375" spans="1:15">
      <c r="A375" s="121">
        <v>2</v>
      </c>
      <c r="C375" s="123" t="s">
        <v>4418</v>
      </c>
      <c r="D375" s="123" t="s">
        <v>4419</v>
      </c>
      <c r="E375" s="123" t="s">
        <v>4420</v>
      </c>
      <c r="F375" s="123" t="s">
        <v>4409</v>
      </c>
      <c r="G375" s="123" t="s">
        <v>4363</v>
      </c>
      <c r="H375" s="123" t="s">
        <v>4390</v>
      </c>
      <c r="I375" s="123" t="s">
        <v>4384</v>
      </c>
      <c r="J375" s="123" t="s">
        <v>4378</v>
      </c>
      <c r="K375" s="123" t="s">
        <v>4371</v>
      </c>
      <c r="L375" s="123" t="s">
        <v>4366</v>
      </c>
      <c r="M375" s="123" t="s">
        <v>4399</v>
      </c>
    </row>
    <row r="376" spans="1:15">
      <c r="A376" s="121">
        <v>3</v>
      </c>
      <c r="C376" s="123" t="s">
        <v>4410</v>
      </c>
      <c r="D376" s="123" t="s">
        <v>4397</v>
      </c>
      <c r="E376" s="123" t="s">
        <v>4421</v>
      </c>
      <c r="F376" s="123" t="s">
        <v>4422</v>
      </c>
      <c r="G376" s="123" t="s">
        <v>4423</v>
      </c>
      <c r="H376" s="123" t="s">
        <v>4402</v>
      </c>
      <c r="I376" s="123" t="s">
        <v>4393</v>
      </c>
      <c r="J376" s="123" t="s">
        <v>4385</v>
      </c>
      <c r="K376" s="123" t="s">
        <v>4379</v>
      </c>
      <c r="L376" s="123" t="s">
        <v>4374</v>
      </c>
      <c r="M376" s="123" t="s">
        <v>4411</v>
      </c>
    </row>
    <row r="377" spans="1:15">
      <c r="A377" s="121">
        <v>4</v>
      </c>
      <c r="C377" s="123" t="s">
        <v>4401</v>
      </c>
      <c r="D377" s="123" t="s">
        <v>4391</v>
      </c>
      <c r="E377" s="123" t="s">
        <v>4382</v>
      </c>
      <c r="F377" s="123" t="s">
        <v>4424</v>
      </c>
      <c r="G377" s="123" t="s">
        <v>4412</v>
      </c>
      <c r="H377" s="123" t="s">
        <v>4414</v>
      </c>
      <c r="I377" s="123" t="s">
        <v>4404</v>
      </c>
      <c r="J377" s="123" t="s">
        <v>4394</v>
      </c>
      <c r="K377" s="123" t="s">
        <v>4425</v>
      </c>
      <c r="L377" s="123" t="s">
        <v>4426</v>
      </c>
      <c r="M377" s="123" t="s">
        <v>4427</v>
      </c>
    </row>
    <row r="378" spans="1:15">
      <c r="A378" s="121">
        <v>5</v>
      </c>
      <c r="C378" s="123" t="s">
        <v>4392</v>
      </c>
      <c r="D378" s="123" t="s">
        <v>4386</v>
      </c>
      <c r="E378" s="123" t="s">
        <v>4377</v>
      </c>
      <c r="F378" s="123" t="s">
        <v>4370</v>
      </c>
      <c r="G378" s="123" t="s">
        <v>4405</v>
      </c>
      <c r="H378" s="123" t="s">
        <v>4428</v>
      </c>
      <c r="I378" s="123" t="s">
        <v>4415</v>
      </c>
      <c r="J378" s="123" t="s">
        <v>4429</v>
      </c>
      <c r="K378" s="123" t="s">
        <v>4430</v>
      </c>
      <c r="L378" s="123" t="s">
        <v>4413</v>
      </c>
      <c r="M378" s="123" t="s">
        <v>4431</v>
      </c>
    </row>
    <row r="379" spans="1:15">
      <c r="A379" s="121">
        <v>6</v>
      </c>
      <c r="C379" s="123" t="s">
        <v>4388</v>
      </c>
      <c r="D379" s="123" t="s">
        <v>4380</v>
      </c>
      <c r="E379" s="123" t="s">
        <v>4375</v>
      </c>
      <c r="F379" s="123" t="s">
        <v>4367</v>
      </c>
      <c r="G379" s="123" t="s">
        <v>4395</v>
      </c>
      <c r="H379" s="123" t="s">
        <v>4432</v>
      </c>
      <c r="I379" s="123" t="s">
        <v>4433</v>
      </c>
      <c r="J379" s="123" t="s">
        <v>4434</v>
      </c>
      <c r="K379" s="123" t="s">
        <v>4416</v>
      </c>
      <c r="L379" s="123" t="s">
        <v>4407</v>
      </c>
      <c r="M379" s="123" t="s">
        <v>4361</v>
      </c>
    </row>
    <row r="380" spans="1:15">
      <c r="A380" s="121"/>
    </row>
    <row r="381" spans="1:15">
      <c r="A381" s="121">
        <v>1</v>
      </c>
      <c r="C381" s="123" t="s">
        <v>4435</v>
      </c>
      <c r="D381" s="123" t="s">
        <v>4417</v>
      </c>
      <c r="E381" s="123" t="s">
        <v>4408</v>
      </c>
      <c r="F381" s="123" t="s">
        <v>4396</v>
      </c>
      <c r="G381" s="123" t="s">
        <v>4360</v>
      </c>
      <c r="H381" s="123" t="s">
        <v>4381</v>
      </c>
      <c r="I381" s="123" t="s">
        <v>4376</v>
      </c>
      <c r="J381" s="123" t="s">
        <v>4369</v>
      </c>
      <c r="K381" s="123" t="s">
        <v>4365</v>
      </c>
      <c r="L381" s="123" t="s">
        <v>4359</v>
      </c>
      <c r="M381" s="123" t="s">
        <v>4389</v>
      </c>
      <c r="O381" s="73" t="s">
        <v>4465</v>
      </c>
    </row>
    <row r="382" spans="1:15">
      <c r="A382" s="121">
        <v>2</v>
      </c>
      <c r="C382" s="123" t="s">
        <v>4418</v>
      </c>
      <c r="D382" s="123" t="s">
        <v>4436</v>
      </c>
      <c r="E382" s="123" t="s">
        <v>4420</v>
      </c>
      <c r="F382" s="123" t="s">
        <v>4409</v>
      </c>
      <c r="G382" s="123" t="s">
        <v>4437</v>
      </c>
      <c r="H382" s="123" t="s">
        <v>4390</v>
      </c>
      <c r="I382" s="123" t="s">
        <v>4384</v>
      </c>
      <c r="J382" s="123" t="s">
        <v>4378</v>
      </c>
      <c r="K382" s="123" t="s">
        <v>4371</v>
      </c>
      <c r="L382" s="123" t="s">
        <v>4366</v>
      </c>
      <c r="M382" s="123" t="s">
        <v>4399</v>
      </c>
    </row>
    <row r="383" spans="1:15">
      <c r="A383" s="121">
        <v>3</v>
      </c>
      <c r="C383" s="123" t="s">
        <v>4410</v>
      </c>
      <c r="D383" s="123" t="s">
        <v>4397</v>
      </c>
      <c r="E383" s="123" t="s">
        <v>4438</v>
      </c>
      <c r="F383" s="123" t="s">
        <v>4422</v>
      </c>
      <c r="G383" s="123" t="s">
        <v>4423</v>
      </c>
      <c r="H383" s="123" t="s">
        <v>4402</v>
      </c>
      <c r="I383" s="123" t="s">
        <v>4393</v>
      </c>
      <c r="J383" s="123" t="s">
        <v>4385</v>
      </c>
      <c r="K383" s="123" t="s">
        <v>4379</v>
      </c>
      <c r="L383" s="123" t="s">
        <v>4439</v>
      </c>
      <c r="M383" s="123" t="s">
        <v>4411</v>
      </c>
    </row>
    <row r="384" spans="1:15">
      <c r="A384" s="121">
        <v>4</v>
      </c>
      <c r="C384" s="123" t="s">
        <v>4401</v>
      </c>
      <c r="D384" s="123" t="s">
        <v>4391</v>
      </c>
      <c r="E384" s="123" t="s">
        <v>4382</v>
      </c>
      <c r="F384" s="123" t="s">
        <v>4440</v>
      </c>
      <c r="G384" s="123" t="s">
        <v>4412</v>
      </c>
      <c r="H384" s="123" t="s">
        <v>4414</v>
      </c>
      <c r="I384" s="123" t="s">
        <v>4404</v>
      </c>
      <c r="J384" s="123" t="s">
        <v>4394</v>
      </c>
      <c r="K384" s="123" t="s">
        <v>4441</v>
      </c>
      <c r="L384" s="123" t="s">
        <v>4426</v>
      </c>
      <c r="M384" s="123" t="s">
        <v>4427</v>
      </c>
    </row>
    <row r="385" spans="1:13">
      <c r="A385" s="121">
        <v>5</v>
      </c>
      <c r="C385" s="123" t="s">
        <v>4392</v>
      </c>
      <c r="D385" s="123" t="s">
        <v>4386</v>
      </c>
      <c r="E385" s="123" t="s">
        <v>4377</v>
      </c>
      <c r="F385" s="123" t="s">
        <v>4370</v>
      </c>
      <c r="G385" s="123" t="s">
        <v>4405</v>
      </c>
      <c r="H385" s="123" t="s">
        <v>4428</v>
      </c>
      <c r="I385" s="123" t="s">
        <v>4415</v>
      </c>
      <c r="J385" s="123" t="s">
        <v>4442</v>
      </c>
      <c r="K385" s="123" t="s">
        <v>4430</v>
      </c>
      <c r="L385" s="123" t="s">
        <v>4413</v>
      </c>
      <c r="M385" s="123" t="s">
        <v>4443</v>
      </c>
    </row>
    <row r="386" spans="1:13">
      <c r="A386" s="121">
        <v>6</v>
      </c>
      <c r="C386" s="123" t="s">
        <v>4388</v>
      </c>
      <c r="D386" s="123" t="s">
        <v>4380</v>
      </c>
      <c r="E386" s="123" t="s">
        <v>4375</v>
      </c>
      <c r="F386" s="123" t="s">
        <v>4367</v>
      </c>
      <c r="G386" s="123" t="s">
        <v>4395</v>
      </c>
      <c r="H386" s="123" t="s">
        <v>4444</v>
      </c>
      <c r="I386" s="123" t="s">
        <v>4445</v>
      </c>
      <c r="J386" s="123" t="s">
        <v>4434</v>
      </c>
      <c r="K386" s="123" t="s">
        <v>4416</v>
      </c>
      <c r="L386" s="123" t="s">
        <v>4407</v>
      </c>
      <c r="M386" s="123" t="s">
        <v>4361</v>
      </c>
    </row>
    <row r="388" spans="1:13">
      <c r="A388" s="73" t="s">
        <v>4473</v>
      </c>
    </row>
    <row r="389" spans="1:13">
      <c r="A389" s="73"/>
    </row>
    <row r="418" spans="1:2">
      <c r="A418" s="73" t="s">
        <v>4474</v>
      </c>
    </row>
    <row r="419" spans="1:2">
      <c r="A419" s="73" t="s">
        <v>530</v>
      </c>
    </row>
    <row r="420" spans="1:2">
      <c r="A420" s="73"/>
      <c r="B420" s="73" t="s">
        <v>531</v>
      </c>
    </row>
    <row r="421" spans="1:2">
      <c r="B421" s="73" t="s">
        <v>3459</v>
      </c>
    </row>
    <row r="422" spans="1:2">
      <c r="A422" s="73" t="s">
        <v>3460</v>
      </c>
    </row>
    <row r="423" spans="1:2">
      <c r="A423" s="73" t="s">
        <v>3461</v>
      </c>
    </row>
    <row r="424" spans="1:2">
      <c r="B424" s="73" t="s">
        <v>2680</v>
      </c>
    </row>
    <row r="425" spans="1:2">
      <c r="A425" s="73"/>
      <c r="B425" s="73" t="s">
        <v>3462</v>
      </c>
    </row>
    <row r="426" spans="1:2">
      <c r="A426" s="72" t="s">
        <v>3463</v>
      </c>
      <c r="B426" s="73"/>
    </row>
    <row r="427" spans="1:2">
      <c r="B427" s="73" t="s">
        <v>3464</v>
      </c>
    </row>
    <row r="428" spans="1:2">
      <c r="B428" s="73"/>
    </row>
    <row r="429" spans="1:2">
      <c r="A429" s="73" t="s">
        <v>4475</v>
      </c>
    </row>
    <row r="433" spans="1:2">
      <c r="A433" s="73"/>
    </row>
    <row r="434" spans="1:2">
      <c r="B434" s="73"/>
    </row>
    <row r="435" spans="1:2">
      <c r="A435" s="73"/>
    </row>
    <row r="436" spans="1:2">
      <c r="B436" s="73"/>
    </row>
    <row r="437" spans="1:2">
      <c r="A437" s="73"/>
    </row>
    <row r="438" spans="1:2">
      <c r="A438" s="73"/>
    </row>
    <row r="461" spans="1:2">
      <c r="A461" s="73" t="s">
        <v>4476</v>
      </c>
    </row>
    <row r="462" spans="1:2">
      <c r="A462" s="73"/>
      <c r="B462" s="73" t="s">
        <v>4466</v>
      </c>
    </row>
    <row r="463" spans="1:2">
      <c r="A463" s="73"/>
      <c r="B463" s="73" t="s">
        <v>4467</v>
      </c>
    </row>
    <row r="465" spans="1:2">
      <c r="A465" s="73" t="s">
        <v>1910</v>
      </c>
    </row>
    <row r="466" spans="1:2">
      <c r="B466" s="73" t="s">
        <v>1911</v>
      </c>
    </row>
    <row r="468" spans="1:2">
      <c r="A468" s="73" t="s">
        <v>1912</v>
      </c>
    </row>
    <row r="469" spans="1:2">
      <c r="A469" s="73"/>
      <c r="B469" s="73" t="s">
        <v>1913</v>
      </c>
    </row>
    <row r="470" spans="1:2">
      <c r="B470" s="73" t="s">
        <v>1914</v>
      </c>
    </row>
    <row r="483" spans="1:2">
      <c r="A483" s="73" t="s">
        <v>3465</v>
      </c>
    </row>
    <row r="484" spans="1:2">
      <c r="A484" s="73" t="s">
        <v>4477</v>
      </c>
    </row>
    <row r="485" spans="1:2">
      <c r="A485" s="73" t="s">
        <v>3466</v>
      </c>
    </row>
    <row r="486" spans="1:2">
      <c r="B486" s="73" t="s">
        <v>3467</v>
      </c>
    </row>
    <row r="516" spans="1:14">
      <c r="A516" s="71" t="s">
        <v>1937</v>
      </c>
      <c r="N516" s="162" t="s">
        <v>5403</v>
      </c>
    </row>
    <row r="517" spans="1:14">
      <c r="N517" s="162" t="s">
        <v>5404</v>
      </c>
    </row>
    <row r="518" spans="1:14">
      <c r="A518" s="73" t="s">
        <v>3468</v>
      </c>
      <c r="N518" s="162" t="s">
        <v>5405</v>
      </c>
    </row>
    <row r="528" spans="1:14">
      <c r="A528" s="73" t="s">
        <v>1929</v>
      </c>
    </row>
    <row r="529" spans="1:2">
      <c r="B529" s="73" t="s">
        <v>1930</v>
      </c>
    </row>
    <row r="538" spans="1:2">
      <c r="A538" s="73" t="s">
        <v>1931</v>
      </c>
    </row>
    <row r="539" spans="1:2">
      <c r="A539" s="73" t="s">
        <v>1932</v>
      </c>
    </row>
    <row r="540" spans="1:2">
      <c r="A540" s="73" t="s">
        <v>1933</v>
      </c>
    </row>
    <row r="541" spans="1:2">
      <c r="A541" s="73" t="s">
        <v>1934</v>
      </c>
    </row>
    <row r="542" spans="1:2">
      <c r="A542" s="73" t="s">
        <v>1935</v>
      </c>
    </row>
    <row r="544" spans="1:2">
      <c r="A544" s="73" t="s">
        <v>4481</v>
      </c>
    </row>
    <row r="560" spans="1:16">
      <c r="A560" s="73" t="s">
        <v>4482</v>
      </c>
      <c r="B560"/>
      <c r="C560"/>
      <c r="D560"/>
      <c r="E560"/>
      <c r="F560"/>
      <c r="G560"/>
      <c r="H560"/>
      <c r="I560"/>
      <c r="J560"/>
      <c r="K560"/>
      <c r="L560"/>
      <c r="M560"/>
      <c r="N560"/>
      <c r="O560"/>
      <c r="P560" s="193"/>
    </row>
    <row r="569" spans="1:16">
      <c r="A569" s="73" t="s">
        <v>4483</v>
      </c>
    </row>
    <row r="571" spans="1:16">
      <c r="A571" s="194" t="s">
        <v>1928</v>
      </c>
      <c r="B571" s="193"/>
      <c r="C571" s="193"/>
      <c r="D571" s="193"/>
      <c r="E571" s="193"/>
      <c r="F571" s="193"/>
      <c r="G571" s="193"/>
      <c r="H571" s="193"/>
      <c r="I571" s="193"/>
      <c r="J571" s="193"/>
      <c r="K571" s="193"/>
      <c r="L571" s="193"/>
      <c r="M571" s="193"/>
      <c r="N571" s="193"/>
      <c r="O571" s="193"/>
      <c r="P571" s="193"/>
    </row>
    <row r="572" spans="1:16">
      <c r="A572" s="193"/>
      <c r="B572" s="193"/>
      <c r="C572" s="193"/>
      <c r="D572" s="193"/>
      <c r="E572" s="193"/>
      <c r="F572" s="193"/>
      <c r="G572" s="193"/>
      <c r="H572" s="193"/>
      <c r="I572" s="193"/>
      <c r="J572" s="193"/>
      <c r="K572" s="193"/>
      <c r="L572" s="193"/>
      <c r="M572" s="193"/>
      <c r="N572" s="193"/>
      <c r="O572" s="193"/>
      <c r="P572" s="193"/>
    </row>
    <row r="573" spans="1:16">
      <c r="A573" s="194" t="s">
        <v>3469</v>
      </c>
      <c r="B573" s="193"/>
      <c r="C573" s="193"/>
      <c r="D573" s="193"/>
      <c r="E573" s="193"/>
      <c r="F573" s="193"/>
      <c r="G573" s="193"/>
      <c r="H573" s="193"/>
      <c r="I573" s="193"/>
      <c r="J573" s="193"/>
      <c r="K573" s="193"/>
      <c r="L573" s="193"/>
      <c r="M573" s="193"/>
      <c r="N573" s="193"/>
      <c r="O573" s="193"/>
      <c r="P573" s="193"/>
    </row>
    <row r="574" spans="1:16">
      <c r="A574" s="194"/>
      <c r="B574" s="193"/>
      <c r="C574" s="193"/>
      <c r="D574" s="193"/>
      <c r="E574" s="193"/>
      <c r="F574" s="193"/>
      <c r="G574" s="193"/>
      <c r="H574" s="193"/>
      <c r="I574" s="193"/>
      <c r="J574" s="193"/>
      <c r="K574" s="193"/>
      <c r="L574" s="193"/>
      <c r="M574" s="193"/>
      <c r="N574" s="193"/>
      <c r="O574" s="193"/>
      <c r="P574" s="193"/>
    </row>
    <row r="575" spans="1:16">
      <c r="A575" s="194" t="s">
        <v>634</v>
      </c>
      <c r="B575" s="193"/>
      <c r="C575" s="193"/>
      <c r="D575" s="193"/>
      <c r="E575" s="193"/>
      <c r="F575" s="193"/>
      <c r="G575" s="193"/>
      <c r="H575" s="193"/>
      <c r="I575" s="193"/>
      <c r="J575" s="193"/>
      <c r="K575" s="193"/>
      <c r="L575" s="193"/>
      <c r="M575" s="193"/>
      <c r="N575" s="193"/>
      <c r="O575" s="193"/>
      <c r="P575" s="193"/>
    </row>
    <row r="576" spans="1:16">
      <c r="P576" s="193"/>
    </row>
    <row r="577" spans="16:16">
      <c r="P577" s="193"/>
    </row>
    <row r="578" spans="16:16">
      <c r="P578" s="193"/>
    </row>
    <row r="579" spans="16:16">
      <c r="P579" s="193"/>
    </row>
    <row r="580" spans="16:16">
      <c r="P580" s="193"/>
    </row>
    <row r="581" spans="16:16">
      <c r="P581" s="193"/>
    </row>
    <row r="582" spans="16:16">
      <c r="P582" s="193"/>
    </row>
    <row r="583" spans="16:16">
      <c r="P583" s="193"/>
    </row>
    <row r="584" spans="16:16">
      <c r="P584" s="193"/>
    </row>
    <row r="585" spans="16:16">
      <c r="P585" s="193"/>
    </row>
    <row r="586" spans="16:16">
      <c r="P586" s="193"/>
    </row>
    <row r="587" spans="16:16">
      <c r="P587" s="193"/>
    </row>
    <row r="588" spans="16:16">
      <c r="P588" s="193"/>
    </row>
    <row r="589" spans="16:16">
      <c r="P589" s="193"/>
    </row>
    <row r="590" spans="16:16">
      <c r="P590" s="193"/>
    </row>
    <row r="591" spans="16:16">
      <c r="P591" s="193"/>
    </row>
    <row r="592" spans="16:16">
      <c r="P592" s="193"/>
    </row>
    <row r="593" spans="1:16">
      <c r="P593" s="193"/>
    </row>
    <row r="594" spans="1:16">
      <c r="P594" s="193"/>
    </row>
    <row r="595" spans="1:16">
      <c r="P595" s="193"/>
    </row>
    <row r="596" spans="1:16">
      <c r="P596" s="193"/>
    </row>
    <row r="597" spans="1:16">
      <c r="P597" s="193"/>
    </row>
    <row r="598" spans="1:16">
      <c r="P598" s="193"/>
    </row>
    <row r="599" spans="1:16">
      <c r="P599" s="193"/>
    </row>
    <row r="600" spans="1:16">
      <c r="P600" s="193"/>
    </row>
    <row r="601" spans="1:16">
      <c r="P601" s="193"/>
    </row>
    <row r="602" spans="1:16">
      <c r="P602" s="193"/>
    </row>
    <row r="603" spans="1:16">
      <c r="A603" s="71" t="s">
        <v>642</v>
      </c>
      <c r="P603" s="193"/>
    </row>
    <row r="604" spans="1:16">
      <c r="P604" s="193"/>
    </row>
    <row r="605" spans="1:16">
      <c r="A605" s="73" t="s">
        <v>3939</v>
      </c>
      <c r="P605" s="193"/>
    </row>
    <row r="606" spans="1:16">
      <c r="P606" s="193"/>
    </row>
    <row r="607" spans="1:16">
      <c r="A607" s="73" t="s">
        <v>3940</v>
      </c>
      <c r="P607" s="193"/>
    </row>
    <row r="608" spans="1:16">
      <c r="B608" s="73" t="s">
        <v>3943</v>
      </c>
      <c r="P608" s="193"/>
    </row>
    <row r="609" spans="1:16">
      <c r="A609" s="73" t="s">
        <v>3941</v>
      </c>
      <c r="P609" s="193"/>
    </row>
    <row r="610" spans="1:16">
      <c r="B610" s="73" t="s">
        <v>3942</v>
      </c>
      <c r="P610" s="193"/>
    </row>
    <row r="611" spans="1:16">
      <c r="A611" s="73" t="s">
        <v>5505</v>
      </c>
      <c r="P611" s="193"/>
    </row>
    <row r="612" spans="1:16">
      <c r="P612" s="193"/>
    </row>
    <row r="613" spans="1:16">
      <c r="P613" s="193"/>
    </row>
    <row r="614" spans="1:16">
      <c r="P614" s="193"/>
    </row>
    <row r="615" spans="1:16">
      <c r="P615" s="193"/>
    </row>
    <row r="616" spans="1:16">
      <c r="P616" s="193"/>
    </row>
    <row r="617" spans="1:16">
      <c r="P617" s="193"/>
    </row>
    <row r="618" spans="1:16">
      <c r="P618" s="193"/>
    </row>
    <row r="619" spans="1:16">
      <c r="P619" s="193"/>
    </row>
    <row r="620" spans="1:16">
      <c r="P620" s="193"/>
    </row>
    <row r="621" spans="1:16">
      <c r="P621" s="193"/>
    </row>
    <row r="622" spans="1:16">
      <c r="P622" s="193"/>
    </row>
    <row r="623" spans="1:16">
      <c r="P623" s="193"/>
    </row>
    <row r="624" spans="1:16">
      <c r="P624" s="193"/>
    </row>
    <row r="625" spans="1:16">
      <c r="P625" s="193"/>
    </row>
    <row r="626" spans="1:16">
      <c r="A626" s="194" t="s">
        <v>3938</v>
      </c>
      <c r="B626" s="193"/>
      <c r="C626" s="193"/>
      <c r="D626" s="193"/>
      <c r="E626" s="193"/>
      <c r="F626" s="193"/>
      <c r="G626" s="193"/>
      <c r="H626" s="193"/>
      <c r="I626" s="193"/>
      <c r="J626" s="193"/>
      <c r="K626" s="193"/>
      <c r="L626" s="193"/>
      <c r="M626" s="193"/>
      <c r="N626" s="193"/>
      <c r="O626" s="193"/>
      <c r="P626" s="193"/>
    </row>
    <row r="627" spans="1:16">
      <c r="A627" s="195"/>
      <c r="B627" s="193"/>
      <c r="C627" s="193"/>
      <c r="D627" s="193"/>
      <c r="E627" s="193"/>
      <c r="F627" s="193"/>
      <c r="G627" s="193"/>
      <c r="H627" s="193"/>
      <c r="I627" s="193"/>
      <c r="J627" s="193"/>
      <c r="K627" s="193"/>
      <c r="L627" s="193"/>
      <c r="M627" s="193"/>
      <c r="N627" s="193"/>
      <c r="O627" s="193"/>
      <c r="P627" s="193"/>
    </row>
    <row r="628" spans="1:16">
      <c r="A628" s="194" t="s">
        <v>644</v>
      </c>
      <c r="B628" s="193"/>
      <c r="C628" s="193"/>
      <c r="D628" s="193"/>
      <c r="E628" s="193"/>
      <c r="F628" s="193"/>
      <c r="G628" s="193"/>
      <c r="H628" s="193"/>
      <c r="I628" s="193"/>
      <c r="J628" s="193"/>
      <c r="K628" s="193"/>
      <c r="L628" s="193"/>
      <c r="M628" s="193"/>
      <c r="N628" s="193"/>
      <c r="O628" s="193"/>
      <c r="P628" s="193"/>
    </row>
    <row r="629" spans="1:16">
      <c r="A629" s="195"/>
      <c r="B629" s="194" t="s">
        <v>643</v>
      </c>
      <c r="C629" s="193"/>
      <c r="D629" s="193"/>
      <c r="E629" s="193"/>
      <c r="F629" s="193"/>
      <c r="G629" s="193"/>
      <c r="H629" s="193"/>
      <c r="I629" s="193"/>
      <c r="J629" s="193"/>
      <c r="K629" s="193"/>
      <c r="L629" s="193"/>
      <c r="M629" s="193"/>
      <c r="N629" s="193"/>
      <c r="O629" s="193"/>
      <c r="P629" s="193"/>
    </row>
    <row r="630" spans="1:16">
      <c r="A630" s="194" t="s">
        <v>645</v>
      </c>
      <c r="B630" s="193"/>
      <c r="C630" s="193"/>
      <c r="D630" s="193"/>
      <c r="E630" s="193"/>
      <c r="F630" s="193"/>
      <c r="G630" s="193"/>
      <c r="H630" s="193"/>
      <c r="I630" s="193"/>
      <c r="J630" s="193"/>
      <c r="K630" s="193"/>
      <c r="L630" s="193"/>
      <c r="M630" s="193"/>
      <c r="N630" s="193"/>
      <c r="O630" s="193"/>
      <c r="P630" s="193"/>
    </row>
    <row r="631" spans="1:16">
      <c r="A631" s="195"/>
      <c r="B631" s="194" t="s">
        <v>646</v>
      </c>
      <c r="C631" s="193"/>
      <c r="D631" s="193"/>
      <c r="E631" s="193"/>
      <c r="F631" s="193"/>
      <c r="G631" s="193"/>
      <c r="H631" s="193"/>
      <c r="I631" s="193"/>
      <c r="J631" s="193"/>
      <c r="K631" s="193"/>
      <c r="L631" s="193"/>
      <c r="M631" s="193"/>
      <c r="N631" s="193"/>
      <c r="O631" s="193"/>
      <c r="P631" s="193"/>
    </row>
    <row r="632" spans="1:16">
      <c r="A632" s="195"/>
      <c r="B632" s="194" t="s">
        <v>647</v>
      </c>
      <c r="C632" s="193"/>
      <c r="D632" s="193"/>
      <c r="E632" s="193"/>
      <c r="F632" s="193"/>
      <c r="G632" s="193"/>
      <c r="H632" s="193"/>
      <c r="I632" s="193"/>
      <c r="J632" s="193"/>
      <c r="K632" s="193"/>
      <c r="L632" s="193"/>
      <c r="M632" s="193"/>
      <c r="N632" s="193"/>
      <c r="O632" s="193"/>
      <c r="P632" s="193"/>
    </row>
    <row r="633" spans="1:16">
      <c r="A633" s="193"/>
      <c r="B633" s="194" t="s">
        <v>4446</v>
      </c>
      <c r="C633" s="193"/>
      <c r="D633" s="193"/>
      <c r="E633" s="193"/>
      <c r="F633" s="193"/>
      <c r="G633" s="193"/>
      <c r="H633" s="193"/>
      <c r="I633" s="193"/>
      <c r="J633" s="193"/>
      <c r="K633" s="193"/>
      <c r="L633" s="193"/>
      <c r="M633" s="193"/>
      <c r="N633" s="193"/>
      <c r="O633" s="193"/>
      <c r="P633" s="193"/>
    </row>
    <row r="634" spans="1:16">
      <c r="A634" s="193"/>
      <c r="B634" s="194" t="s">
        <v>648</v>
      </c>
      <c r="C634" s="193"/>
      <c r="D634" s="193"/>
      <c r="E634" s="193"/>
      <c r="F634" s="193"/>
      <c r="G634" s="193"/>
      <c r="H634" s="193"/>
      <c r="I634" s="193"/>
      <c r="J634" s="193"/>
      <c r="K634" s="193"/>
      <c r="L634" s="193"/>
      <c r="M634" s="193"/>
      <c r="N634" s="193"/>
      <c r="O634" s="193"/>
      <c r="P634" s="193"/>
    </row>
    <row r="635" spans="1:16">
      <c r="A635" s="193"/>
      <c r="B635" s="194"/>
      <c r="C635" s="193"/>
      <c r="D635" s="193"/>
      <c r="E635" s="193"/>
      <c r="F635" s="193"/>
      <c r="G635" s="193"/>
      <c r="H635" s="193"/>
      <c r="I635" s="193"/>
      <c r="J635" s="193"/>
      <c r="K635" s="193"/>
      <c r="L635" s="193"/>
      <c r="M635" s="193"/>
      <c r="N635" s="193"/>
      <c r="O635" s="193"/>
      <c r="P635" s="193"/>
    </row>
    <row r="636" spans="1:16">
      <c r="P636" s="193"/>
    </row>
    <row r="637" spans="1:16">
      <c r="P637" s="193"/>
    </row>
    <row r="638" spans="1:16">
      <c r="P638" s="193"/>
    </row>
    <row r="639" spans="1:16">
      <c r="P639" s="193"/>
    </row>
    <row r="640" spans="1:16">
      <c r="P640" s="193"/>
    </row>
    <row r="641" spans="1:16">
      <c r="P641" s="193"/>
    </row>
    <row r="642" spans="1:16">
      <c r="P642" s="193"/>
    </row>
    <row r="643" spans="1:16">
      <c r="P643" s="193"/>
    </row>
    <row r="644" spans="1:16">
      <c r="P644" s="193"/>
    </row>
    <row r="645" spans="1:16">
      <c r="P645" s="193"/>
    </row>
    <row r="646" spans="1:16">
      <c r="P646" s="193"/>
    </row>
    <row r="647" spans="1:16">
      <c r="P647" s="193"/>
    </row>
    <row r="648" spans="1:16">
      <c r="P648" s="193"/>
    </row>
    <row r="649" spans="1:16">
      <c r="P649" s="193"/>
    </row>
    <row r="650" spans="1:16">
      <c r="P650" s="193"/>
    </row>
    <row r="651" spans="1:16">
      <c r="P651" s="193"/>
    </row>
    <row r="652" spans="1:16">
      <c r="A652" s="71" t="s">
        <v>4447</v>
      </c>
      <c r="B652" s="193"/>
      <c r="C652" s="193"/>
      <c r="D652" s="193"/>
      <c r="E652" s="193"/>
      <c r="F652" s="193"/>
      <c r="G652" s="193"/>
      <c r="H652" s="193"/>
      <c r="I652" s="193"/>
      <c r="J652" s="193"/>
      <c r="K652" s="193"/>
      <c r="L652" s="193"/>
      <c r="M652" s="193"/>
      <c r="N652" s="193"/>
      <c r="O652" s="193"/>
      <c r="P652" s="193"/>
    </row>
    <row r="653" spans="1:16">
      <c r="B653" s="193"/>
      <c r="C653" s="193"/>
      <c r="D653" s="193"/>
      <c r="E653" s="193"/>
      <c r="F653" s="193"/>
      <c r="G653" s="193"/>
      <c r="H653" s="193"/>
      <c r="I653" s="193"/>
      <c r="J653" s="193"/>
      <c r="K653" s="193"/>
      <c r="L653" s="193"/>
      <c r="M653" s="193"/>
      <c r="N653" s="193"/>
      <c r="O653" s="193"/>
      <c r="P653" s="193"/>
    </row>
    <row r="654" spans="1:16">
      <c r="A654" s="73" t="s">
        <v>4448</v>
      </c>
      <c r="B654" s="193"/>
      <c r="C654" s="193"/>
      <c r="D654" s="193"/>
      <c r="E654" s="193"/>
      <c r="F654" s="193"/>
      <c r="G654" s="193"/>
      <c r="H654" s="193"/>
      <c r="I654" s="193"/>
      <c r="J654" s="193"/>
      <c r="K654" s="193"/>
      <c r="L654" s="193"/>
      <c r="M654" s="193"/>
      <c r="N654" s="193"/>
      <c r="O654" s="193"/>
      <c r="P654" s="193"/>
    </row>
    <row r="655" spans="1:16">
      <c r="B655" s="194" t="s">
        <v>4449</v>
      </c>
      <c r="C655" s="193"/>
      <c r="D655" s="193"/>
      <c r="E655" s="193"/>
      <c r="F655" s="193"/>
      <c r="G655" s="193"/>
      <c r="H655" s="193"/>
      <c r="I655" s="193"/>
      <c r="J655" s="193"/>
      <c r="K655" s="193"/>
      <c r="L655" s="193"/>
      <c r="M655" s="193"/>
      <c r="N655" s="193"/>
      <c r="O655" s="193"/>
      <c r="P655" s="193"/>
    </row>
    <row r="656" spans="1:16">
      <c r="P656" s="193"/>
    </row>
    <row r="657" spans="1:16">
      <c r="P657" s="193"/>
    </row>
    <row r="658" spans="1:16">
      <c r="P658" s="193"/>
    </row>
    <row r="659" spans="1:16">
      <c r="P659" s="193"/>
    </row>
    <row r="660" spans="1:16">
      <c r="A660" s="73" t="s">
        <v>1936</v>
      </c>
      <c r="C660"/>
      <c r="D660"/>
      <c r="E660"/>
      <c r="F660"/>
      <c r="G660"/>
      <c r="H660"/>
      <c r="I660"/>
      <c r="J660"/>
      <c r="K660"/>
      <c r="L660"/>
      <c r="M660"/>
      <c r="N660"/>
      <c r="O660" s="193"/>
      <c r="P660" s="193"/>
    </row>
    <row r="661" spans="1:16">
      <c r="P661" s="193"/>
    </row>
    <row r="662" spans="1:16">
      <c r="P662" s="193"/>
    </row>
    <row r="663" spans="1:16">
      <c r="P663" s="193"/>
    </row>
    <row r="664" spans="1:16">
      <c r="P664" s="193"/>
    </row>
    <row r="665" spans="1:16">
      <c r="P665" s="193"/>
    </row>
    <row r="666" spans="1:16">
      <c r="P666" s="193"/>
    </row>
    <row r="667" spans="1:16">
      <c r="P667" s="193"/>
    </row>
    <row r="668" spans="1:16">
      <c r="P668" s="193"/>
    </row>
    <row r="669" spans="1:16">
      <c r="P669" s="193"/>
    </row>
    <row r="670" spans="1:16">
      <c r="P670" s="193"/>
    </row>
    <row r="671" spans="1:16">
      <c r="P671" s="193"/>
    </row>
    <row r="672" spans="1:16">
      <c r="P672" s="193"/>
    </row>
    <row r="673" spans="1:16">
      <c r="P673" s="193"/>
    </row>
    <row r="674" spans="1:16">
      <c r="B674" s="193"/>
      <c r="C674" s="193"/>
      <c r="D674" s="193"/>
      <c r="E674" s="193"/>
      <c r="F674" s="193"/>
      <c r="G674" s="193"/>
      <c r="H674" s="193"/>
      <c r="I674" s="193"/>
      <c r="J674" s="193"/>
      <c r="K674" s="193"/>
      <c r="L674" s="193"/>
      <c r="M674" s="193"/>
      <c r="N674" s="193"/>
      <c r="O674" s="193"/>
      <c r="P674" s="193"/>
    </row>
    <row r="675" spans="1:16">
      <c r="A675" s="73" t="s">
        <v>4450</v>
      </c>
      <c r="B675" s="193"/>
      <c r="C675" s="193"/>
      <c r="D675" s="193"/>
      <c r="E675" s="193"/>
      <c r="F675" s="193"/>
      <c r="G675" s="193"/>
      <c r="H675" s="193"/>
      <c r="I675" s="193"/>
      <c r="J675" s="193"/>
      <c r="K675" s="193"/>
      <c r="L675" s="193"/>
      <c r="M675" s="193"/>
      <c r="N675" s="193"/>
      <c r="O675" s="193"/>
      <c r="P675" s="193"/>
    </row>
    <row r="676" spans="1:16">
      <c r="B676" s="194" t="s">
        <v>1916</v>
      </c>
      <c r="C676" s="193"/>
      <c r="D676" s="193"/>
      <c r="E676" s="193"/>
      <c r="F676" s="193"/>
      <c r="G676" s="193"/>
      <c r="H676" s="193"/>
      <c r="I676" s="193"/>
      <c r="J676" s="193"/>
      <c r="K676" s="193"/>
      <c r="L676" s="193"/>
      <c r="M676" s="193"/>
      <c r="N676" s="193"/>
      <c r="O676" s="193"/>
      <c r="P676" s="193"/>
    </row>
    <row r="677" spans="1:16">
      <c r="P677" s="193"/>
    </row>
    <row r="678" spans="1:16">
      <c r="P678" s="193"/>
    </row>
    <row r="679" spans="1:16">
      <c r="P679" s="193"/>
    </row>
    <row r="680" spans="1:16">
      <c r="P680" s="193"/>
    </row>
    <row r="681" spans="1:16">
      <c r="A681" s="195" t="s">
        <v>3494</v>
      </c>
      <c r="B681" s="193"/>
      <c r="C681" s="193"/>
      <c r="D681" s="193"/>
      <c r="E681" s="193"/>
      <c r="F681" s="193"/>
      <c r="G681" s="193"/>
      <c r="H681" s="193"/>
      <c r="I681" s="193"/>
      <c r="J681" s="193"/>
      <c r="K681" s="193"/>
      <c r="L681" s="193"/>
      <c r="M681" s="193"/>
      <c r="N681" s="193"/>
      <c r="O681" s="193"/>
      <c r="P681" s="193"/>
    </row>
    <row r="682" spans="1:16">
      <c r="P682" s="193"/>
    </row>
    <row r="683" spans="1:16">
      <c r="A683" s="77">
        <v>1</v>
      </c>
      <c r="B683" s="379" t="s">
        <v>2670</v>
      </c>
      <c r="C683" s="380"/>
      <c r="D683" s="380"/>
      <c r="E683" s="380"/>
      <c r="F683" s="380"/>
      <c r="G683" s="380"/>
      <c r="H683" s="380"/>
      <c r="I683" s="380"/>
      <c r="J683" s="380"/>
      <c r="K683" s="380"/>
      <c r="L683" s="380"/>
      <c r="M683" s="380"/>
      <c r="N683" s="380"/>
      <c r="O683" s="380"/>
      <c r="P683" s="193"/>
    </row>
    <row r="684" spans="1:16">
      <c r="A684" s="77">
        <v>2</v>
      </c>
      <c r="B684" s="379" t="s">
        <v>2671</v>
      </c>
      <c r="C684" s="380"/>
      <c r="D684" s="380"/>
      <c r="E684" s="380"/>
      <c r="F684" s="380"/>
      <c r="G684" s="380"/>
      <c r="H684" s="380"/>
      <c r="I684" s="380"/>
      <c r="J684" s="380"/>
      <c r="K684" s="380"/>
      <c r="L684" s="380"/>
      <c r="M684" s="380"/>
      <c r="N684" s="380"/>
      <c r="O684" s="380"/>
      <c r="P684" s="193"/>
    </row>
    <row r="685" spans="1:16">
      <c r="A685" s="77">
        <v>3</v>
      </c>
      <c r="B685" s="379" t="s">
        <v>2672</v>
      </c>
      <c r="C685" s="380"/>
      <c r="D685" s="380"/>
      <c r="E685" s="380"/>
      <c r="F685" s="380"/>
      <c r="G685" s="380"/>
      <c r="H685" s="380"/>
      <c r="I685" s="380"/>
      <c r="J685" s="380"/>
      <c r="K685" s="380"/>
      <c r="L685" s="380"/>
      <c r="M685" s="380"/>
      <c r="N685" s="380"/>
      <c r="O685" s="380"/>
      <c r="P685" s="193"/>
    </row>
    <row r="686" spans="1:16">
      <c r="A686" s="77">
        <v>4</v>
      </c>
      <c r="B686" s="379" t="s">
        <v>2673</v>
      </c>
      <c r="C686" s="380"/>
      <c r="D686" s="380"/>
      <c r="E686" s="380"/>
      <c r="F686" s="380"/>
      <c r="G686" s="380"/>
      <c r="H686" s="380"/>
      <c r="I686" s="380"/>
      <c r="J686" s="380"/>
      <c r="K686" s="380"/>
      <c r="L686" s="380"/>
      <c r="M686" s="380"/>
      <c r="N686" s="380"/>
      <c r="O686" s="380"/>
      <c r="P686" s="193"/>
    </row>
    <row r="687" spans="1:16">
      <c r="A687" s="77">
        <v>5</v>
      </c>
      <c r="B687" s="379" t="s">
        <v>3497</v>
      </c>
      <c r="C687" s="380"/>
      <c r="D687" s="380"/>
      <c r="E687" s="380"/>
      <c r="F687" s="380"/>
      <c r="G687" s="380"/>
      <c r="H687" s="380"/>
      <c r="I687" s="380"/>
      <c r="J687" s="380"/>
      <c r="K687" s="380"/>
      <c r="L687" s="380"/>
      <c r="M687" s="380"/>
      <c r="N687" s="380"/>
      <c r="O687" s="380"/>
      <c r="P687" s="193"/>
    </row>
    <row r="688" spans="1:16">
      <c r="A688" s="77">
        <v>6</v>
      </c>
      <c r="B688" s="379" t="s">
        <v>3982</v>
      </c>
      <c r="C688" s="380"/>
      <c r="D688" s="380"/>
      <c r="E688" s="380"/>
      <c r="F688" s="380"/>
      <c r="G688" s="380"/>
      <c r="H688" s="380"/>
      <c r="I688" s="380"/>
      <c r="J688" s="380"/>
      <c r="K688" s="380"/>
      <c r="L688" s="380"/>
      <c r="M688" s="380"/>
      <c r="N688" s="380"/>
      <c r="O688" s="380"/>
      <c r="P688" s="193"/>
    </row>
    <row r="689" spans="1:16">
      <c r="A689" s="77">
        <v>7</v>
      </c>
      <c r="B689" s="379" t="s">
        <v>3983</v>
      </c>
      <c r="C689" s="380"/>
      <c r="D689" s="380"/>
      <c r="E689" s="380"/>
      <c r="F689" s="380"/>
      <c r="G689" s="380"/>
      <c r="H689" s="380"/>
      <c r="I689" s="380"/>
      <c r="J689" s="380"/>
      <c r="K689" s="380"/>
      <c r="L689" s="380"/>
      <c r="M689" s="380"/>
      <c r="N689" s="380"/>
      <c r="O689" s="380"/>
      <c r="P689" s="193"/>
    </row>
    <row r="690" spans="1:16">
      <c r="A690" s="77">
        <v>8</v>
      </c>
      <c r="B690" s="379" t="s">
        <v>4927</v>
      </c>
      <c r="C690" s="380"/>
      <c r="D690" s="380"/>
      <c r="E690" s="380"/>
      <c r="F690" s="380"/>
      <c r="G690" s="380"/>
      <c r="H690" s="380"/>
      <c r="I690" s="380"/>
      <c r="J690" s="380"/>
      <c r="K690" s="380"/>
      <c r="L690" s="380"/>
      <c r="M690" s="380"/>
      <c r="N690" s="380"/>
      <c r="O690" s="380"/>
      <c r="P690" s="193"/>
    </row>
    <row r="691" spans="1:16" ht="26.25" customHeight="1">
      <c r="A691" s="77">
        <v>9</v>
      </c>
      <c r="B691" s="379" t="s">
        <v>2674</v>
      </c>
      <c r="C691" s="380"/>
      <c r="D691" s="380"/>
      <c r="E691" s="380"/>
      <c r="F691" s="380"/>
      <c r="G691" s="380"/>
      <c r="H691" s="380"/>
      <c r="I691" s="380"/>
      <c r="J691" s="380"/>
      <c r="K691" s="380"/>
      <c r="L691" s="380"/>
      <c r="M691" s="380"/>
      <c r="N691" s="380"/>
      <c r="O691" s="380"/>
      <c r="P691" s="193"/>
    </row>
    <row r="692" spans="1:16" ht="27" customHeight="1">
      <c r="A692" s="77">
        <v>10</v>
      </c>
      <c r="B692" s="379" t="s">
        <v>2675</v>
      </c>
      <c r="C692" s="380"/>
      <c r="D692" s="380"/>
      <c r="E692" s="380"/>
      <c r="F692" s="380"/>
      <c r="G692" s="380"/>
      <c r="H692" s="380"/>
      <c r="I692" s="380"/>
      <c r="J692" s="380"/>
      <c r="K692" s="380"/>
      <c r="L692" s="380"/>
      <c r="M692" s="380"/>
      <c r="N692" s="380"/>
      <c r="O692" s="380"/>
      <c r="P692" s="193"/>
    </row>
    <row r="693" spans="1:16">
      <c r="A693" s="77">
        <v>11</v>
      </c>
      <c r="B693" s="379" t="s">
        <v>2676</v>
      </c>
      <c r="C693" s="380"/>
      <c r="D693" s="380"/>
      <c r="E693" s="380"/>
      <c r="F693" s="380"/>
      <c r="G693" s="380"/>
      <c r="H693" s="380"/>
      <c r="I693" s="380"/>
      <c r="J693" s="380"/>
      <c r="K693" s="380"/>
      <c r="L693" s="380"/>
      <c r="M693" s="380"/>
      <c r="N693" s="380"/>
      <c r="O693" s="380"/>
      <c r="P693" s="193"/>
    </row>
    <row r="694" spans="1:16" ht="24.75" customHeight="1">
      <c r="A694" s="77">
        <v>12</v>
      </c>
      <c r="B694" s="379" t="s">
        <v>630</v>
      </c>
      <c r="C694" s="380"/>
      <c r="D694" s="380"/>
      <c r="E694" s="380"/>
      <c r="F694" s="380"/>
      <c r="G694" s="380"/>
      <c r="H694" s="380"/>
      <c r="I694" s="380"/>
      <c r="J694" s="380"/>
      <c r="K694" s="380"/>
      <c r="L694" s="380"/>
      <c r="M694" s="380"/>
      <c r="N694" s="380"/>
      <c r="O694" s="380"/>
      <c r="P694" s="193"/>
    </row>
    <row r="695" spans="1:16" ht="39.75" customHeight="1">
      <c r="A695" s="77">
        <v>13</v>
      </c>
      <c r="B695" s="379" t="s">
        <v>1915</v>
      </c>
      <c r="C695" s="380"/>
      <c r="D695" s="380"/>
      <c r="E695" s="380"/>
      <c r="F695" s="380"/>
      <c r="G695" s="380"/>
      <c r="H695" s="380"/>
      <c r="I695" s="380"/>
      <c r="J695" s="380"/>
      <c r="K695" s="380"/>
      <c r="L695" s="380"/>
      <c r="M695" s="380"/>
      <c r="N695" s="380"/>
      <c r="O695" s="380"/>
      <c r="P695" s="193"/>
    </row>
    <row r="696" spans="1:16">
      <c r="A696" s="77">
        <v>14</v>
      </c>
      <c r="B696" s="379" t="s">
        <v>631</v>
      </c>
      <c r="C696" s="380"/>
      <c r="D696" s="380"/>
      <c r="E696" s="380"/>
      <c r="F696" s="380"/>
      <c r="G696" s="380"/>
      <c r="H696" s="380"/>
      <c r="I696" s="380"/>
      <c r="J696" s="380"/>
      <c r="K696" s="380"/>
      <c r="L696" s="380"/>
      <c r="M696" s="380"/>
      <c r="N696" s="380"/>
      <c r="O696" s="380"/>
      <c r="P696" s="193"/>
    </row>
    <row r="697" spans="1:16">
      <c r="A697" s="77">
        <v>15</v>
      </c>
      <c r="B697" s="379" t="s">
        <v>632</v>
      </c>
      <c r="C697" s="380"/>
      <c r="D697" s="380"/>
      <c r="E697" s="380"/>
      <c r="F697" s="380"/>
      <c r="G697" s="380"/>
      <c r="H697" s="380"/>
      <c r="I697" s="380"/>
      <c r="J697" s="380"/>
      <c r="K697" s="380"/>
      <c r="L697" s="380"/>
      <c r="M697" s="380"/>
      <c r="N697" s="380"/>
      <c r="O697" s="380"/>
      <c r="P697" s="193"/>
    </row>
    <row r="698" spans="1:16">
      <c r="A698" s="77">
        <v>16</v>
      </c>
      <c r="B698" s="379" t="s">
        <v>633</v>
      </c>
      <c r="C698" s="380"/>
      <c r="D698" s="380"/>
      <c r="E698" s="380"/>
      <c r="F698" s="380"/>
      <c r="G698" s="380"/>
      <c r="H698" s="380"/>
      <c r="I698" s="380"/>
      <c r="J698" s="380"/>
      <c r="K698" s="380"/>
      <c r="L698" s="380"/>
      <c r="M698" s="380"/>
      <c r="N698" s="380"/>
      <c r="O698" s="380"/>
      <c r="P698" s="193"/>
    </row>
    <row r="699" spans="1:16">
      <c r="A699" s="77">
        <v>17</v>
      </c>
      <c r="B699" s="379" t="s">
        <v>636</v>
      </c>
      <c r="C699" s="380"/>
      <c r="D699" s="380"/>
      <c r="E699" s="380"/>
      <c r="F699" s="380"/>
      <c r="G699" s="380"/>
      <c r="H699" s="380"/>
      <c r="I699" s="380"/>
      <c r="J699" s="380"/>
      <c r="K699" s="380"/>
      <c r="L699" s="380"/>
      <c r="M699" s="380"/>
      <c r="N699" s="380"/>
      <c r="O699" s="380"/>
      <c r="P699" s="193"/>
    </row>
    <row r="700" spans="1:16">
      <c r="A700" s="77">
        <v>18</v>
      </c>
      <c r="B700" s="379" t="s">
        <v>3984</v>
      </c>
      <c r="C700" s="380"/>
      <c r="D700" s="380"/>
      <c r="E700" s="380"/>
      <c r="F700" s="380"/>
      <c r="G700" s="380"/>
      <c r="H700" s="380"/>
      <c r="I700" s="380"/>
      <c r="J700" s="380"/>
      <c r="K700" s="380"/>
      <c r="L700" s="380"/>
      <c r="M700" s="380"/>
      <c r="N700" s="380"/>
      <c r="O700" s="380"/>
      <c r="P700" s="193"/>
    </row>
    <row r="701" spans="1:16" ht="27" customHeight="1">
      <c r="A701" s="77">
        <v>19</v>
      </c>
      <c r="B701" s="379" t="s">
        <v>10335</v>
      </c>
      <c r="C701" s="380"/>
      <c r="D701" s="380"/>
      <c r="E701" s="380"/>
      <c r="F701" s="380"/>
      <c r="G701" s="380"/>
      <c r="H701" s="380"/>
      <c r="I701" s="380"/>
      <c r="J701" s="380"/>
      <c r="K701" s="380"/>
      <c r="L701" s="380"/>
      <c r="M701" s="380"/>
      <c r="N701" s="380"/>
      <c r="O701" s="380"/>
      <c r="P701" s="193"/>
    </row>
    <row r="702" spans="1:16">
      <c r="P702" s="193"/>
    </row>
    <row r="703" spans="1:16">
      <c r="A703" s="71" t="s">
        <v>3484</v>
      </c>
      <c r="P703" s="193"/>
    </row>
    <row r="704" spans="1:16">
      <c r="P704" s="193"/>
    </row>
    <row r="705" spans="1:16">
      <c r="A705" s="90" t="s">
        <v>649</v>
      </c>
      <c r="B705" s="377" t="s">
        <v>3485</v>
      </c>
      <c r="C705" s="378"/>
      <c r="D705" s="378"/>
      <c r="E705" s="378"/>
      <c r="F705" s="378"/>
      <c r="G705" s="378"/>
      <c r="H705" s="378"/>
      <c r="I705" s="378"/>
      <c r="J705" s="378"/>
      <c r="K705" s="378"/>
      <c r="L705" s="378"/>
      <c r="M705" s="378"/>
      <c r="N705" s="378"/>
      <c r="O705" s="378"/>
      <c r="P705" s="193"/>
    </row>
    <row r="706" spans="1:16">
      <c r="A706" s="80" t="s">
        <v>1132</v>
      </c>
      <c r="B706" s="375" t="s">
        <v>7155</v>
      </c>
      <c r="C706" s="376"/>
      <c r="D706" s="376"/>
      <c r="E706" s="376"/>
      <c r="F706" s="376"/>
      <c r="G706" s="376"/>
      <c r="H706" s="376"/>
      <c r="I706" s="376"/>
      <c r="J706" s="376"/>
      <c r="K706" s="376"/>
      <c r="L706" s="376"/>
      <c r="M706" s="376"/>
      <c r="N706" s="376"/>
      <c r="O706" s="376"/>
      <c r="P706" s="193"/>
    </row>
    <row r="707" spans="1:16">
      <c r="A707" s="91"/>
      <c r="B707" s="75"/>
      <c r="C707" s="76"/>
      <c r="D707" s="76"/>
      <c r="E707" s="76"/>
      <c r="F707" s="76"/>
      <c r="G707" s="76"/>
      <c r="H707" s="76"/>
      <c r="I707" s="76"/>
      <c r="J707" s="76"/>
      <c r="K707" s="76"/>
      <c r="L707" s="76"/>
      <c r="M707" s="76"/>
      <c r="N707" s="76"/>
      <c r="O707" s="76"/>
      <c r="P707" s="193"/>
    </row>
    <row r="708" spans="1:16">
      <c r="A708" s="90" t="s">
        <v>650</v>
      </c>
      <c r="B708" s="377" t="s">
        <v>3489</v>
      </c>
      <c r="C708" s="378"/>
      <c r="D708" s="378"/>
      <c r="E708" s="378"/>
      <c r="F708" s="378"/>
      <c r="G708" s="378"/>
      <c r="H708" s="378"/>
      <c r="I708" s="378"/>
      <c r="J708" s="378"/>
      <c r="K708" s="378"/>
      <c r="L708" s="378"/>
      <c r="M708" s="378"/>
      <c r="N708" s="378"/>
      <c r="O708" s="378"/>
      <c r="P708" s="193"/>
    </row>
    <row r="709" spans="1:16">
      <c r="A709" s="80" t="s">
        <v>1127</v>
      </c>
      <c r="B709" s="375" t="s">
        <v>3486</v>
      </c>
      <c r="C709" s="376"/>
      <c r="D709" s="376"/>
      <c r="E709" s="376"/>
      <c r="F709" s="376"/>
      <c r="G709" s="376"/>
      <c r="H709" s="376"/>
      <c r="I709" s="376"/>
      <c r="J709" s="376"/>
      <c r="K709" s="376"/>
      <c r="L709" s="376"/>
      <c r="M709" s="376"/>
      <c r="N709" s="376"/>
      <c r="O709" s="376"/>
      <c r="P709" s="193"/>
    </row>
    <row r="710" spans="1:16">
      <c r="A710" s="91"/>
      <c r="B710" s="75"/>
      <c r="C710" s="76"/>
      <c r="D710" s="76"/>
      <c r="E710" s="76"/>
      <c r="F710" s="76"/>
      <c r="G710" s="76"/>
      <c r="H710" s="76"/>
      <c r="I710" s="76"/>
      <c r="J710" s="76"/>
      <c r="K710" s="76"/>
      <c r="L710" s="76"/>
      <c r="M710" s="76"/>
      <c r="N710" s="76"/>
      <c r="O710" s="76"/>
      <c r="P710" s="193"/>
    </row>
    <row r="711" spans="1:16">
      <c r="A711" s="90" t="s">
        <v>651</v>
      </c>
      <c r="B711" s="377" t="s">
        <v>3487</v>
      </c>
      <c r="C711" s="378"/>
      <c r="D711" s="378"/>
      <c r="E711" s="378"/>
      <c r="F711" s="378"/>
      <c r="G711" s="378"/>
      <c r="H711" s="378"/>
      <c r="I711" s="378"/>
      <c r="J711" s="378"/>
      <c r="K711" s="378"/>
      <c r="L711" s="378"/>
      <c r="M711" s="378"/>
      <c r="N711" s="378"/>
      <c r="O711" s="378"/>
      <c r="P711" s="193"/>
    </row>
    <row r="712" spans="1:16">
      <c r="A712" s="80" t="s">
        <v>1133</v>
      </c>
      <c r="B712" s="375" t="s">
        <v>3488</v>
      </c>
      <c r="C712" s="376"/>
      <c r="D712" s="376"/>
      <c r="E712" s="376"/>
      <c r="F712" s="376"/>
      <c r="G712" s="376"/>
      <c r="H712" s="376"/>
      <c r="I712" s="376"/>
      <c r="J712" s="376"/>
      <c r="K712" s="376"/>
      <c r="L712" s="376"/>
      <c r="M712" s="376"/>
      <c r="N712" s="376"/>
      <c r="O712" s="376"/>
      <c r="P712" s="193"/>
    </row>
    <row r="713" spans="1:16">
      <c r="A713" s="91"/>
      <c r="B713" s="75"/>
      <c r="C713" s="76"/>
      <c r="D713" s="76"/>
      <c r="E713" s="76"/>
      <c r="F713" s="76"/>
      <c r="G713" s="76"/>
      <c r="H713" s="76"/>
      <c r="I713" s="76"/>
      <c r="J713" s="76"/>
      <c r="K713" s="76"/>
      <c r="L713" s="76"/>
      <c r="M713" s="76"/>
      <c r="N713" s="76"/>
      <c r="O713" s="76"/>
      <c r="P713" s="193"/>
    </row>
    <row r="714" spans="1:16">
      <c r="A714" s="90" t="s">
        <v>652</v>
      </c>
      <c r="B714" s="377" t="s">
        <v>3490</v>
      </c>
      <c r="C714" s="378"/>
      <c r="D714" s="378"/>
      <c r="E714" s="378"/>
      <c r="F714" s="378"/>
      <c r="G714" s="378"/>
      <c r="H714" s="378"/>
      <c r="I714" s="378"/>
      <c r="J714" s="378"/>
      <c r="K714" s="378"/>
      <c r="L714" s="378"/>
      <c r="M714" s="378"/>
      <c r="N714" s="378"/>
      <c r="O714" s="378"/>
      <c r="P714" s="193"/>
    </row>
    <row r="715" spans="1:16">
      <c r="A715" s="80" t="s">
        <v>1134</v>
      </c>
      <c r="B715" s="375" t="s">
        <v>3491</v>
      </c>
      <c r="C715" s="376"/>
      <c r="D715" s="376"/>
      <c r="E715" s="376"/>
      <c r="F715" s="376"/>
      <c r="G715" s="376"/>
      <c r="H715" s="376"/>
      <c r="I715" s="376"/>
      <c r="J715" s="376"/>
      <c r="K715" s="376"/>
      <c r="L715" s="376"/>
      <c r="M715" s="376"/>
      <c r="N715" s="376"/>
      <c r="O715" s="376"/>
      <c r="P715" s="193"/>
    </row>
    <row r="716" spans="1:16">
      <c r="A716" s="91"/>
      <c r="B716" s="75"/>
      <c r="C716" s="76"/>
      <c r="D716" s="76"/>
      <c r="E716" s="76"/>
      <c r="F716" s="76"/>
      <c r="G716" s="76"/>
      <c r="H716" s="76"/>
      <c r="I716" s="76"/>
      <c r="J716" s="76"/>
      <c r="K716" s="76"/>
      <c r="L716" s="76"/>
      <c r="M716" s="76"/>
      <c r="N716" s="76"/>
      <c r="O716" s="76"/>
      <c r="P716" s="193"/>
    </row>
    <row r="717" spans="1:16">
      <c r="A717" s="90" t="s">
        <v>653</v>
      </c>
      <c r="B717" s="377" t="s">
        <v>3492</v>
      </c>
      <c r="C717" s="378"/>
      <c r="D717" s="378"/>
      <c r="E717" s="378"/>
      <c r="F717" s="378"/>
      <c r="G717" s="378"/>
      <c r="H717" s="378"/>
      <c r="I717" s="378"/>
      <c r="J717" s="378"/>
      <c r="K717" s="378"/>
      <c r="L717" s="378"/>
      <c r="M717" s="378"/>
      <c r="N717" s="378"/>
      <c r="O717" s="378"/>
      <c r="P717" s="193"/>
    </row>
    <row r="718" spans="1:16" ht="41.25" customHeight="1">
      <c r="A718" s="80" t="s">
        <v>1128</v>
      </c>
      <c r="B718" s="375" t="s">
        <v>3493</v>
      </c>
      <c r="C718" s="376"/>
      <c r="D718" s="376"/>
      <c r="E718" s="376"/>
      <c r="F718" s="376"/>
      <c r="G718" s="376"/>
      <c r="H718" s="376"/>
      <c r="I718" s="376"/>
      <c r="J718" s="376"/>
      <c r="K718" s="376"/>
      <c r="L718" s="376"/>
      <c r="M718" s="376"/>
      <c r="N718" s="376"/>
      <c r="O718" s="376"/>
      <c r="P718" s="193"/>
    </row>
    <row r="719" spans="1:16">
      <c r="A719" s="91"/>
      <c r="B719" s="75"/>
      <c r="C719" s="76"/>
      <c r="D719" s="76"/>
      <c r="E719" s="76"/>
      <c r="F719" s="76"/>
      <c r="G719" s="76"/>
      <c r="H719" s="76"/>
      <c r="I719" s="76"/>
      <c r="J719" s="76"/>
      <c r="K719" s="76"/>
      <c r="L719" s="76"/>
      <c r="M719" s="76"/>
      <c r="N719" s="76"/>
      <c r="O719" s="76"/>
      <c r="P719" s="193"/>
    </row>
    <row r="720" spans="1:16" ht="16.5" customHeight="1">
      <c r="A720" s="90" t="s">
        <v>654</v>
      </c>
      <c r="B720" s="377" t="s">
        <v>3980</v>
      </c>
      <c r="C720" s="378"/>
      <c r="D720" s="378"/>
      <c r="E720" s="378"/>
      <c r="F720" s="378"/>
      <c r="G720" s="378"/>
      <c r="H720" s="378"/>
      <c r="I720" s="378"/>
      <c r="J720" s="378"/>
      <c r="K720" s="378"/>
      <c r="L720" s="378"/>
      <c r="M720" s="378"/>
      <c r="N720" s="378"/>
      <c r="O720" s="378"/>
      <c r="P720" s="193"/>
    </row>
    <row r="721" spans="1:16" ht="29.25" customHeight="1">
      <c r="A721" s="80" t="s">
        <v>1129</v>
      </c>
      <c r="B721" s="375" t="s">
        <v>3981</v>
      </c>
      <c r="C721" s="376"/>
      <c r="D721" s="376"/>
      <c r="E721" s="376"/>
      <c r="F721" s="376"/>
      <c r="G721" s="376"/>
      <c r="H721" s="376"/>
      <c r="I721" s="376"/>
      <c r="J721" s="376"/>
      <c r="K721" s="376"/>
      <c r="L721" s="376"/>
      <c r="M721" s="376"/>
      <c r="N721" s="376"/>
      <c r="O721" s="376"/>
      <c r="P721" s="193"/>
    </row>
    <row r="722" spans="1:16">
      <c r="A722" s="91"/>
      <c r="B722" s="75"/>
      <c r="C722" s="76"/>
      <c r="D722" s="76"/>
      <c r="E722" s="76"/>
      <c r="F722" s="76"/>
      <c r="G722" s="76"/>
      <c r="H722" s="76"/>
      <c r="I722" s="76"/>
      <c r="J722" s="76"/>
      <c r="K722" s="76"/>
      <c r="L722" s="76"/>
      <c r="M722" s="76"/>
      <c r="N722" s="76"/>
      <c r="O722" s="76"/>
      <c r="P722" s="193"/>
    </row>
    <row r="723" spans="1:16">
      <c r="A723" s="90" t="s">
        <v>655</v>
      </c>
      <c r="B723" s="377" t="s">
        <v>3495</v>
      </c>
      <c r="C723" s="378"/>
      <c r="D723" s="378"/>
      <c r="E723" s="378"/>
      <c r="F723" s="378"/>
      <c r="G723" s="378"/>
      <c r="H723" s="378"/>
      <c r="I723" s="378"/>
      <c r="J723" s="378"/>
      <c r="K723" s="378"/>
      <c r="L723" s="378"/>
      <c r="M723" s="378"/>
      <c r="N723" s="378"/>
      <c r="O723" s="378"/>
      <c r="P723" s="193"/>
    </row>
    <row r="724" spans="1:16" ht="54.75" customHeight="1">
      <c r="A724" s="80" t="s">
        <v>1130</v>
      </c>
      <c r="B724" s="375" t="s">
        <v>3496</v>
      </c>
      <c r="C724" s="376"/>
      <c r="D724" s="376"/>
      <c r="E724" s="376"/>
      <c r="F724" s="376"/>
      <c r="G724" s="376"/>
      <c r="H724" s="376"/>
      <c r="I724" s="376"/>
      <c r="J724" s="376"/>
      <c r="K724" s="376"/>
      <c r="L724" s="376"/>
      <c r="M724" s="376"/>
      <c r="N724" s="376"/>
      <c r="O724" s="376"/>
      <c r="P724" s="193"/>
    </row>
    <row r="725" spans="1:16">
      <c r="A725" s="91"/>
      <c r="B725" s="75"/>
      <c r="C725" s="76"/>
      <c r="D725" s="76"/>
      <c r="E725" s="76"/>
      <c r="F725" s="76"/>
      <c r="G725" s="76"/>
      <c r="H725" s="76"/>
      <c r="I725" s="76"/>
      <c r="J725" s="76"/>
      <c r="K725" s="76"/>
      <c r="L725" s="76"/>
      <c r="M725" s="76"/>
      <c r="N725" s="76"/>
      <c r="O725" s="76"/>
      <c r="P725" s="193"/>
    </row>
    <row r="726" spans="1:16" ht="27" customHeight="1">
      <c r="A726" s="90" t="s">
        <v>656</v>
      </c>
      <c r="B726" s="377" t="s">
        <v>2677</v>
      </c>
      <c r="C726" s="378"/>
      <c r="D726" s="378"/>
      <c r="E726" s="378"/>
      <c r="F726" s="378"/>
      <c r="G726" s="378"/>
      <c r="H726" s="378"/>
      <c r="I726" s="378"/>
      <c r="J726" s="378"/>
      <c r="K726" s="378"/>
      <c r="L726" s="378"/>
      <c r="M726" s="378"/>
      <c r="N726" s="378"/>
      <c r="O726" s="378"/>
      <c r="P726" s="193"/>
    </row>
    <row r="727" spans="1:16" ht="40.5" customHeight="1">
      <c r="A727" s="80" t="s">
        <v>1131</v>
      </c>
      <c r="B727" s="375" t="s">
        <v>635</v>
      </c>
      <c r="C727" s="376"/>
      <c r="D727" s="376"/>
      <c r="E727" s="376"/>
      <c r="F727" s="376"/>
      <c r="G727" s="376"/>
      <c r="H727" s="376"/>
      <c r="I727" s="376"/>
      <c r="J727" s="376"/>
      <c r="K727" s="376"/>
      <c r="L727" s="376"/>
      <c r="M727" s="376"/>
      <c r="N727" s="376"/>
      <c r="O727" s="376"/>
      <c r="P727" s="193"/>
    </row>
    <row r="728" spans="1:16">
      <c r="A728" s="92"/>
      <c r="B728" s="78"/>
      <c r="C728" s="79"/>
      <c r="D728" s="79"/>
      <c r="E728" s="79"/>
      <c r="F728" s="79"/>
      <c r="G728" s="79"/>
      <c r="H728" s="79"/>
      <c r="I728" s="79"/>
      <c r="J728" s="79"/>
      <c r="K728" s="79"/>
      <c r="L728" s="79"/>
      <c r="M728" s="79"/>
      <c r="N728" s="79"/>
      <c r="O728" s="79"/>
      <c r="P728" s="193"/>
    </row>
    <row r="729" spans="1:16">
      <c r="A729" s="90" t="s">
        <v>657</v>
      </c>
      <c r="B729" s="377" t="s">
        <v>637</v>
      </c>
      <c r="C729" s="378"/>
      <c r="D729" s="378"/>
      <c r="E729" s="378"/>
      <c r="F729" s="378"/>
      <c r="G729" s="378"/>
      <c r="H729" s="378"/>
      <c r="I729" s="378"/>
      <c r="J729" s="378"/>
      <c r="K729" s="378"/>
      <c r="L729" s="378"/>
      <c r="M729" s="378"/>
      <c r="N729" s="378"/>
      <c r="O729" s="378"/>
      <c r="P729" s="193"/>
    </row>
    <row r="730" spans="1:16" ht="26.25" customHeight="1">
      <c r="A730" s="80" t="s">
        <v>658</v>
      </c>
      <c r="B730" s="375" t="s">
        <v>638</v>
      </c>
      <c r="C730" s="376"/>
      <c r="D730" s="376"/>
      <c r="E730" s="376"/>
      <c r="F730" s="376"/>
      <c r="G730" s="376"/>
      <c r="H730" s="376"/>
      <c r="I730" s="376"/>
      <c r="J730" s="376"/>
      <c r="K730" s="376"/>
      <c r="L730" s="376"/>
      <c r="M730" s="376"/>
      <c r="N730" s="376"/>
      <c r="O730" s="376"/>
      <c r="P730" s="193"/>
    </row>
    <row r="731" spans="1:16">
      <c r="A731" s="92"/>
      <c r="B731" s="78"/>
      <c r="C731" s="79"/>
      <c r="D731" s="79"/>
      <c r="E731" s="79"/>
      <c r="F731" s="79"/>
      <c r="G731" s="79"/>
      <c r="H731" s="79"/>
      <c r="I731" s="79"/>
      <c r="J731" s="79"/>
      <c r="K731" s="79"/>
      <c r="L731" s="79"/>
      <c r="M731" s="79"/>
      <c r="N731" s="79"/>
      <c r="O731" s="79"/>
      <c r="P731" s="193"/>
    </row>
    <row r="732" spans="1:16" ht="39" customHeight="1">
      <c r="A732" s="90" t="s">
        <v>659</v>
      </c>
      <c r="B732" s="377" t="s">
        <v>2678</v>
      </c>
      <c r="C732" s="378"/>
      <c r="D732" s="378"/>
      <c r="E732" s="378"/>
      <c r="F732" s="378"/>
      <c r="G732" s="378"/>
      <c r="H732" s="378"/>
      <c r="I732" s="378"/>
      <c r="J732" s="378"/>
      <c r="K732" s="378"/>
      <c r="L732" s="378"/>
      <c r="M732" s="378"/>
      <c r="N732" s="378"/>
      <c r="O732" s="378"/>
      <c r="P732" s="193"/>
    </row>
    <row r="733" spans="1:16" ht="65.25" customHeight="1">
      <c r="A733" s="80" t="s">
        <v>660</v>
      </c>
      <c r="B733" s="375" t="s">
        <v>639</v>
      </c>
      <c r="C733" s="376"/>
      <c r="D733" s="376"/>
      <c r="E733" s="376"/>
      <c r="F733" s="376"/>
      <c r="G733" s="376"/>
      <c r="H733" s="376"/>
      <c r="I733" s="376"/>
      <c r="J733" s="376"/>
      <c r="K733" s="376"/>
      <c r="L733" s="376"/>
      <c r="M733" s="376"/>
      <c r="N733" s="376"/>
      <c r="O733" s="376"/>
      <c r="P733" s="193"/>
    </row>
    <row r="734" spans="1:16">
      <c r="A734" s="92"/>
      <c r="B734" s="78"/>
      <c r="C734" s="79"/>
      <c r="D734" s="79"/>
      <c r="E734" s="79"/>
      <c r="F734" s="79"/>
      <c r="G734" s="79"/>
      <c r="H734" s="79"/>
      <c r="I734" s="79"/>
      <c r="J734" s="79"/>
      <c r="K734" s="79"/>
      <c r="L734" s="79"/>
      <c r="M734" s="79"/>
      <c r="N734" s="79"/>
      <c r="O734" s="79"/>
      <c r="P734" s="193"/>
    </row>
    <row r="735" spans="1:16">
      <c r="A735" s="90" t="s">
        <v>661</v>
      </c>
      <c r="B735" s="377" t="s">
        <v>640</v>
      </c>
      <c r="C735" s="378"/>
      <c r="D735" s="378"/>
      <c r="E735" s="378"/>
      <c r="F735" s="378"/>
      <c r="G735" s="378"/>
      <c r="H735" s="378"/>
      <c r="I735" s="378"/>
      <c r="J735" s="378"/>
      <c r="K735" s="378"/>
      <c r="L735" s="378"/>
      <c r="M735" s="378"/>
      <c r="N735" s="378"/>
      <c r="O735" s="378"/>
      <c r="P735" s="193"/>
    </row>
    <row r="736" spans="1:16" ht="68.25" customHeight="1">
      <c r="A736" s="80" t="s">
        <v>662</v>
      </c>
      <c r="B736" s="375" t="s">
        <v>2679</v>
      </c>
      <c r="C736" s="376"/>
      <c r="D736" s="376"/>
      <c r="E736" s="376"/>
      <c r="F736" s="376"/>
      <c r="G736" s="376"/>
      <c r="H736" s="376"/>
      <c r="I736" s="376"/>
      <c r="J736" s="376"/>
      <c r="K736" s="376"/>
      <c r="L736" s="376"/>
      <c r="M736" s="376"/>
      <c r="N736" s="376"/>
      <c r="O736" s="376"/>
      <c r="P736" s="193"/>
    </row>
    <row r="737" spans="1:16" ht="12.75" customHeight="1">
      <c r="A737" s="92"/>
      <c r="B737" s="78"/>
      <c r="C737" s="79"/>
      <c r="D737" s="79"/>
      <c r="E737" s="79"/>
      <c r="F737" s="79"/>
      <c r="G737" s="79"/>
      <c r="H737" s="79"/>
      <c r="I737" s="79"/>
      <c r="J737" s="79"/>
      <c r="K737" s="79"/>
      <c r="L737" s="79"/>
      <c r="M737" s="79"/>
      <c r="N737" s="79"/>
      <c r="O737" s="79"/>
      <c r="P737" s="193"/>
    </row>
    <row r="738" spans="1:16" ht="14.25" customHeight="1">
      <c r="A738" s="90" t="s">
        <v>1917</v>
      </c>
      <c r="B738" s="377" t="s">
        <v>1919</v>
      </c>
      <c r="C738" s="378"/>
      <c r="D738" s="378"/>
      <c r="E738" s="378"/>
      <c r="F738" s="378"/>
      <c r="G738" s="378"/>
      <c r="H738" s="378"/>
      <c r="I738" s="378"/>
      <c r="J738" s="378"/>
      <c r="K738" s="378"/>
      <c r="L738" s="378"/>
      <c r="M738" s="378"/>
      <c r="N738" s="378"/>
      <c r="O738" s="378"/>
      <c r="P738" s="193"/>
    </row>
    <row r="739" spans="1:16" ht="39" customHeight="1">
      <c r="A739" s="80" t="s">
        <v>1918</v>
      </c>
      <c r="B739" s="375" t="s">
        <v>1920</v>
      </c>
      <c r="C739" s="376"/>
      <c r="D739" s="376"/>
      <c r="E739" s="376"/>
      <c r="F739" s="376"/>
      <c r="G739" s="376"/>
      <c r="H739" s="376"/>
      <c r="I739" s="376"/>
      <c r="J739" s="376"/>
      <c r="K739" s="376"/>
      <c r="L739" s="376"/>
      <c r="M739" s="376"/>
      <c r="N739" s="376"/>
      <c r="O739" s="376"/>
      <c r="P739" s="193"/>
    </row>
    <row r="740" spans="1:16">
      <c r="A740" s="92"/>
      <c r="B740" s="78"/>
      <c r="C740" s="79"/>
      <c r="D740" s="79"/>
      <c r="E740" s="79"/>
      <c r="F740" s="79"/>
      <c r="G740" s="79"/>
      <c r="H740" s="79"/>
      <c r="I740" s="79"/>
      <c r="J740" s="79"/>
      <c r="K740" s="79"/>
      <c r="L740" s="79"/>
      <c r="M740" s="79"/>
      <c r="N740" s="79"/>
      <c r="O740" s="79"/>
      <c r="P740" s="193"/>
    </row>
    <row r="741" spans="1:16">
      <c r="A741" s="90" t="s">
        <v>1921</v>
      </c>
      <c r="B741" s="377" t="s">
        <v>1923</v>
      </c>
      <c r="C741" s="378"/>
      <c r="D741" s="378"/>
      <c r="E741" s="378"/>
      <c r="F741" s="378"/>
      <c r="G741" s="378"/>
      <c r="H741" s="378"/>
      <c r="I741" s="378"/>
      <c r="J741" s="378"/>
      <c r="K741" s="378"/>
      <c r="L741" s="378"/>
      <c r="M741" s="378"/>
      <c r="N741" s="378"/>
      <c r="O741" s="378"/>
      <c r="P741" s="193"/>
    </row>
    <row r="742" spans="1:16" ht="26.25" customHeight="1">
      <c r="A742" s="80" t="s">
        <v>1922</v>
      </c>
      <c r="B742" s="375" t="s">
        <v>1924</v>
      </c>
      <c r="C742" s="376"/>
      <c r="D742" s="376"/>
      <c r="E742" s="376"/>
      <c r="F742" s="376"/>
      <c r="G742" s="376"/>
      <c r="H742" s="376"/>
      <c r="I742" s="376"/>
      <c r="J742" s="376"/>
      <c r="K742" s="376"/>
      <c r="L742" s="376"/>
      <c r="M742" s="376"/>
      <c r="N742" s="376"/>
      <c r="O742" s="376"/>
      <c r="P742" s="193"/>
    </row>
    <row r="743" spans="1:16">
      <c r="A743" s="92"/>
      <c r="B743" s="78"/>
      <c r="C743" s="79"/>
      <c r="D743" s="79"/>
      <c r="E743" s="79"/>
      <c r="F743" s="79"/>
      <c r="G743" s="79"/>
      <c r="H743" s="79"/>
      <c r="I743" s="79"/>
      <c r="J743" s="79"/>
      <c r="K743" s="79"/>
      <c r="L743" s="79"/>
      <c r="M743" s="79"/>
      <c r="N743" s="79"/>
      <c r="O743" s="79"/>
      <c r="P743" s="193"/>
    </row>
    <row r="744" spans="1:16" ht="25.5" customHeight="1">
      <c r="A744" s="90" t="s">
        <v>1925</v>
      </c>
      <c r="B744" s="377" t="s">
        <v>1927</v>
      </c>
      <c r="C744" s="378"/>
      <c r="D744" s="378"/>
      <c r="E744" s="378"/>
      <c r="F744" s="378"/>
      <c r="G744" s="378"/>
      <c r="H744" s="378"/>
      <c r="I744" s="378"/>
      <c r="J744" s="378"/>
      <c r="K744" s="378"/>
      <c r="L744" s="378"/>
      <c r="M744" s="378"/>
      <c r="N744" s="378"/>
      <c r="O744" s="378"/>
      <c r="P744" s="193"/>
    </row>
    <row r="745" spans="1:16" ht="40.5" customHeight="1">
      <c r="A745" s="80" t="s">
        <v>1926</v>
      </c>
      <c r="B745" s="375" t="s">
        <v>3995</v>
      </c>
      <c r="C745" s="376"/>
      <c r="D745" s="376"/>
      <c r="E745" s="376"/>
      <c r="F745" s="376"/>
      <c r="G745" s="376"/>
      <c r="H745" s="376"/>
      <c r="I745" s="376"/>
      <c r="J745" s="376"/>
      <c r="K745" s="376"/>
      <c r="L745" s="376"/>
      <c r="M745" s="376"/>
      <c r="N745" s="376"/>
      <c r="O745" s="376"/>
      <c r="P745" s="193"/>
    </row>
    <row r="746" spans="1:16">
      <c r="A746" s="92"/>
      <c r="B746" s="78"/>
      <c r="C746" s="79"/>
      <c r="D746" s="79"/>
      <c r="E746" s="79"/>
      <c r="F746" s="79"/>
      <c r="G746" s="79"/>
      <c r="H746" s="79"/>
      <c r="I746" s="79"/>
      <c r="J746" s="79"/>
      <c r="K746" s="79"/>
      <c r="L746" s="79"/>
      <c r="M746" s="79"/>
      <c r="N746" s="79"/>
      <c r="O746" s="79"/>
      <c r="P746" s="193"/>
    </row>
    <row r="747" spans="1:16" ht="28.5" customHeight="1">
      <c r="A747" s="90" t="s">
        <v>3952</v>
      </c>
      <c r="B747" s="377" t="s">
        <v>3954</v>
      </c>
      <c r="C747" s="378"/>
      <c r="D747" s="378"/>
      <c r="E747" s="378"/>
      <c r="F747" s="378"/>
      <c r="G747" s="378"/>
      <c r="H747" s="378"/>
      <c r="I747" s="378"/>
      <c r="J747" s="378"/>
      <c r="K747" s="378"/>
      <c r="L747" s="378"/>
      <c r="M747" s="378"/>
      <c r="N747" s="378"/>
      <c r="O747" s="378"/>
      <c r="P747" s="193"/>
    </row>
    <row r="748" spans="1:16" ht="52.5" customHeight="1">
      <c r="A748" s="80" t="s">
        <v>3953</v>
      </c>
      <c r="B748" s="375" t="s">
        <v>3955</v>
      </c>
      <c r="C748" s="376"/>
      <c r="D748" s="376"/>
      <c r="E748" s="376"/>
      <c r="F748" s="376"/>
      <c r="G748" s="376"/>
      <c r="H748" s="376"/>
      <c r="I748" s="376"/>
      <c r="J748" s="376"/>
      <c r="K748" s="376"/>
      <c r="L748" s="376"/>
      <c r="M748" s="376"/>
      <c r="N748" s="376"/>
      <c r="O748" s="376"/>
      <c r="P748" s="193"/>
    </row>
    <row r="749" spans="1:16" ht="12.75" customHeight="1">
      <c r="A749" s="92"/>
      <c r="B749" s="78"/>
      <c r="C749" s="79"/>
      <c r="D749" s="79"/>
      <c r="E749" s="79"/>
      <c r="F749" s="79"/>
      <c r="G749" s="79"/>
      <c r="H749" s="79"/>
      <c r="I749" s="79"/>
      <c r="J749" s="79"/>
      <c r="K749" s="79"/>
      <c r="L749" s="79"/>
      <c r="M749" s="79"/>
      <c r="N749" s="79"/>
      <c r="O749" s="79"/>
      <c r="P749" s="193"/>
    </row>
    <row r="750" spans="1:16" ht="27.75" customHeight="1">
      <c r="A750" s="90" t="s">
        <v>3985</v>
      </c>
      <c r="B750" s="377" t="s">
        <v>3987</v>
      </c>
      <c r="C750" s="378"/>
      <c r="D750" s="378"/>
      <c r="E750" s="378"/>
      <c r="F750" s="378"/>
      <c r="G750" s="378"/>
      <c r="H750" s="378"/>
      <c r="I750" s="378"/>
      <c r="J750" s="378"/>
      <c r="K750" s="378"/>
      <c r="L750" s="378"/>
      <c r="M750" s="378"/>
      <c r="N750" s="378"/>
      <c r="O750" s="378"/>
      <c r="P750" s="193"/>
    </row>
    <row r="751" spans="1:16" ht="41.25" customHeight="1">
      <c r="A751" s="80" t="s">
        <v>3986</v>
      </c>
      <c r="B751" s="375" t="s">
        <v>3988</v>
      </c>
      <c r="C751" s="376"/>
      <c r="D751" s="376"/>
      <c r="E751" s="376"/>
      <c r="F751" s="376"/>
      <c r="G751" s="376"/>
      <c r="H751" s="376"/>
      <c r="I751" s="376"/>
      <c r="J751" s="376"/>
      <c r="K751" s="376"/>
      <c r="L751" s="376"/>
      <c r="M751" s="376"/>
      <c r="N751" s="376"/>
      <c r="O751" s="376"/>
      <c r="P751" s="193"/>
    </row>
    <row r="752" spans="1:16">
      <c r="A752" s="92"/>
      <c r="B752" s="78"/>
      <c r="C752" s="79"/>
      <c r="D752" s="79"/>
      <c r="E752" s="79"/>
      <c r="F752" s="79"/>
      <c r="G752" s="79"/>
      <c r="H752" s="79"/>
      <c r="I752" s="79"/>
      <c r="J752" s="79"/>
      <c r="K752" s="79"/>
      <c r="L752" s="79"/>
      <c r="M752" s="79"/>
      <c r="N752" s="79"/>
      <c r="O752" s="79"/>
      <c r="P752" s="193"/>
    </row>
    <row r="753" spans="1:16">
      <c r="A753" s="71" t="s">
        <v>3474</v>
      </c>
      <c r="P753" s="193"/>
    </row>
    <row r="754" spans="1:16">
      <c r="P754" s="193"/>
    </row>
    <row r="755" spans="1:16">
      <c r="A755" s="396" t="s">
        <v>3475</v>
      </c>
      <c r="B755" s="396"/>
      <c r="C755" s="396" t="s">
        <v>3476</v>
      </c>
      <c r="D755" s="396"/>
      <c r="E755" s="394" t="s">
        <v>3477</v>
      </c>
      <c r="F755" s="395"/>
      <c r="G755" s="395"/>
      <c r="H755" s="395"/>
      <c r="I755" s="395"/>
      <c r="J755" s="395"/>
      <c r="K755" s="395"/>
      <c r="L755" s="395"/>
      <c r="M755" s="395"/>
      <c r="N755" s="395"/>
      <c r="O755" s="395"/>
      <c r="P755"/>
    </row>
    <row r="756" spans="1:16">
      <c r="A756" s="397">
        <v>40829</v>
      </c>
      <c r="B756" s="370"/>
      <c r="C756" s="393">
        <v>1.01</v>
      </c>
      <c r="D756" s="393"/>
      <c r="E756" s="391" t="s">
        <v>5308</v>
      </c>
      <c r="F756" s="392"/>
      <c r="G756" s="392"/>
      <c r="H756" s="392"/>
      <c r="I756" s="392"/>
      <c r="J756" s="392"/>
      <c r="K756" s="392"/>
      <c r="L756" s="392"/>
      <c r="M756" s="392"/>
      <c r="N756" s="392"/>
      <c r="O756" s="392"/>
    </row>
    <row r="757" spans="1:16" ht="27.75" customHeight="1">
      <c r="A757" s="397">
        <v>40833</v>
      </c>
      <c r="B757" s="370"/>
      <c r="C757" s="393">
        <v>1.02</v>
      </c>
      <c r="D757" s="393"/>
      <c r="E757" s="391" t="s">
        <v>5309</v>
      </c>
      <c r="F757" s="392"/>
      <c r="G757" s="392"/>
      <c r="H757" s="392"/>
      <c r="I757" s="392"/>
      <c r="J757" s="392"/>
      <c r="K757" s="392"/>
      <c r="L757" s="392"/>
      <c r="M757" s="392"/>
      <c r="N757" s="392"/>
      <c r="O757" s="392"/>
    </row>
    <row r="758" spans="1:16" ht="28.5" customHeight="1">
      <c r="A758" s="397">
        <v>40839</v>
      </c>
      <c r="B758" s="370"/>
      <c r="C758" s="393">
        <v>1.03</v>
      </c>
      <c r="D758" s="393"/>
      <c r="E758" s="391" t="s">
        <v>5356</v>
      </c>
      <c r="F758" s="392"/>
      <c r="G758" s="392"/>
      <c r="H758" s="392"/>
      <c r="I758" s="392"/>
      <c r="J758" s="392"/>
      <c r="K758" s="392"/>
      <c r="L758" s="392"/>
      <c r="M758" s="392"/>
      <c r="N758" s="392"/>
      <c r="O758" s="392"/>
    </row>
    <row r="759" spans="1:16" ht="27" customHeight="1">
      <c r="A759" s="397">
        <v>40845</v>
      </c>
      <c r="B759" s="370"/>
      <c r="C759" s="393">
        <v>1.04</v>
      </c>
      <c r="D759" s="393"/>
      <c r="E759" s="392" t="s">
        <v>5401</v>
      </c>
      <c r="F759" s="392"/>
      <c r="G759" s="392"/>
      <c r="H759" s="392"/>
      <c r="I759" s="392"/>
      <c r="J759" s="392"/>
      <c r="K759" s="392"/>
      <c r="L759" s="392"/>
      <c r="M759" s="392"/>
      <c r="N759" s="392"/>
      <c r="O759" s="392"/>
    </row>
    <row r="760" spans="1:16" ht="41.25" customHeight="1">
      <c r="A760" s="397">
        <v>40852</v>
      </c>
      <c r="B760" s="370"/>
      <c r="C760" s="393">
        <v>1.05</v>
      </c>
      <c r="D760" s="393"/>
      <c r="E760" s="391" t="s">
        <v>5402</v>
      </c>
      <c r="F760" s="392"/>
      <c r="G760" s="392"/>
      <c r="H760" s="392"/>
      <c r="I760" s="392"/>
      <c r="J760" s="392"/>
      <c r="K760" s="392"/>
      <c r="L760" s="392"/>
      <c r="M760" s="392"/>
      <c r="N760" s="392"/>
      <c r="O760" s="392"/>
    </row>
    <row r="761" spans="1:16" ht="28.5" customHeight="1">
      <c r="A761" s="397">
        <v>40861</v>
      </c>
      <c r="B761" s="370"/>
      <c r="C761" s="393">
        <v>1.06</v>
      </c>
      <c r="D761" s="393"/>
      <c r="E761" s="391" t="s">
        <v>5406</v>
      </c>
      <c r="F761" s="392"/>
      <c r="G761" s="392"/>
      <c r="H761" s="392"/>
      <c r="I761" s="392"/>
      <c r="J761" s="392"/>
      <c r="K761" s="392"/>
      <c r="L761" s="392"/>
      <c r="M761" s="392"/>
      <c r="N761" s="392"/>
      <c r="O761" s="392"/>
    </row>
    <row r="762" spans="1:16" ht="79.5" customHeight="1">
      <c r="A762" s="397">
        <v>40869</v>
      </c>
      <c r="B762" s="370"/>
      <c r="C762" s="393">
        <v>1.07</v>
      </c>
      <c r="D762" s="393"/>
      <c r="E762" s="391" t="s">
        <v>5504</v>
      </c>
      <c r="F762" s="392"/>
      <c r="G762" s="392"/>
      <c r="H762" s="392"/>
      <c r="I762" s="392"/>
      <c r="J762" s="392"/>
      <c r="K762" s="392"/>
      <c r="L762" s="392"/>
      <c r="M762" s="392"/>
      <c r="N762" s="392"/>
      <c r="O762" s="392"/>
    </row>
    <row r="763" spans="1:16" ht="42" customHeight="1">
      <c r="A763" s="397">
        <v>40893</v>
      </c>
      <c r="B763" s="370"/>
      <c r="C763" s="393">
        <v>1.08</v>
      </c>
      <c r="D763" s="393"/>
      <c r="E763" s="391" t="s">
        <v>5506</v>
      </c>
      <c r="F763" s="392"/>
      <c r="G763" s="392"/>
      <c r="H763" s="392"/>
      <c r="I763" s="392"/>
      <c r="J763" s="392"/>
      <c r="K763" s="392"/>
      <c r="L763" s="392"/>
      <c r="M763" s="392"/>
      <c r="N763" s="392"/>
      <c r="O763" s="392"/>
    </row>
    <row r="764" spans="1:16" ht="45" customHeight="1">
      <c r="A764" s="397">
        <v>40909</v>
      </c>
      <c r="B764" s="370"/>
      <c r="C764" s="393">
        <v>1.0900000000000001</v>
      </c>
      <c r="D764" s="393"/>
      <c r="E764" s="391" t="s">
        <v>5507</v>
      </c>
      <c r="F764" s="392"/>
      <c r="G764" s="392"/>
      <c r="H764" s="392"/>
      <c r="I764" s="392"/>
      <c r="J764" s="392"/>
      <c r="K764" s="392"/>
      <c r="L764" s="392"/>
      <c r="M764" s="392"/>
      <c r="N764" s="392"/>
      <c r="O764" s="392"/>
    </row>
    <row r="765" spans="1:16" ht="28.5" customHeight="1">
      <c r="A765" s="397">
        <v>40927</v>
      </c>
      <c r="B765" s="370"/>
      <c r="C765" s="393">
        <v>1.1000000000000001</v>
      </c>
      <c r="D765" s="393"/>
      <c r="E765" s="391" t="s">
        <v>6337</v>
      </c>
      <c r="F765" s="392"/>
      <c r="G765" s="392"/>
      <c r="H765" s="392"/>
      <c r="I765" s="392"/>
      <c r="J765" s="392"/>
      <c r="K765" s="392"/>
      <c r="L765" s="392"/>
      <c r="M765" s="392"/>
      <c r="N765" s="392"/>
      <c r="O765" s="392"/>
    </row>
    <row r="766" spans="1:16" ht="28.5" customHeight="1">
      <c r="A766" s="397">
        <v>40933</v>
      </c>
      <c r="B766" s="370"/>
      <c r="C766" s="393">
        <v>1.1100000000000001</v>
      </c>
      <c r="D766" s="393"/>
      <c r="E766" s="391" t="s">
        <v>6611</v>
      </c>
      <c r="F766" s="392"/>
      <c r="G766" s="392"/>
      <c r="H766" s="392"/>
      <c r="I766" s="392"/>
      <c r="J766" s="392"/>
      <c r="K766" s="392"/>
      <c r="L766" s="392"/>
      <c r="M766" s="392"/>
      <c r="N766" s="392"/>
      <c r="O766" s="392"/>
    </row>
    <row r="767" spans="1:16" ht="53.25" customHeight="1">
      <c r="A767" s="397">
        <v>40955</v>
      </c>
      <c r="B767" s="370"/>
      <c r="C767" s="393">
        <v>1.1200000000000001</v>
      </c>
      <c r="D767" s="393"/>
      <c r="E767" s="391" t="s">
        <v>6612</v>
      </c>
      <c r="F767" s="392"/>
      <c r="G767" s="392"/>
      <c r="H767" s="392"/>
      <c r="I767" s="392"/>
      <c r="J767" s="392"/>
      <c r="K767" s="392"/>
      <c r="L767" s="392"/>
      <c r="M767" s="392"/>
      <c r="N767" s="392"/>
      <c r="O767" s="392"/>
    </row>
    <row r="768" spans="1:16" ht="28.5" customHeight="1">
      <c r="A768" s="397">
        <v>40957</v>
      </c>
      <c r="B768" s="370"/>
      <c r="C768" s="393">
        <v>1.1299999999999999</v>
      </c>
      <c r="D768" s="393"/>
      <c r="E768" s="391" t="s">
        <v>7150</v>
      </c>
      <c r="F768" s="392"/>
      <c r="G768" s="392"/>
      <c r="H768" s="392"/>
      <c r="I768" s="392"/>
      <c r="J768" s="392"/>
      <c r="K768" s="392"/>
      <c r="L768" s="392"/>
      <c r="M768" s="392"/>
      <c r="N768" s="392"/>
      <c r="O768" s="392"/>
    </row>
    <row r="769" spans="1:15">
      <c r="A769" s="397">
        <v>40959</v>
      </c>
      <c r="B769" s="370"/>
      <c r="C769" s="393">
        <v>1.1399999999999999</v>
      </c>
      <c r="D769" s="393"/>
      <c r="E769" s="391" t="s">
        <v>7151</v>
      </c>
      <c r="F769" s="392"/>
      <c r="G769" s="392"/>
      <c r="H769" s="392"/>
      <c r="I769" s="392"/>
      <c r="J769" s="392"/>
      <c r="K769" s="392"/>
      <c r="L769" s="392"/>
      <c r="M769" s="392"/>
      <c r="N769" s="392"/>
      <c r="O769" s="392"/>
    </row>
    <row r="770" spans="1:15" ht="26.25" customHeight="1">
      <c r="A770" s="397">
        <v>40965</v>
      </c>
      <c r="B770" s="370"/>
      <c r="C770" s="393">
        <v>1.1499999999999999</v>
      </c>
      <c r="D770" s="393"/>
      <c r="E770" s="391" t="s">
        <v>7152</v>
      </c>
      <c r="F770" s="392"/>
      <c r="G770" s="392"/>
      <c r="H770" s="392"/>
      <c r="I770" s="392"/>
      <c r="J770" s="392"/>
      <c r="K770" s="392"/>
      <c r="L770" s="392"/>
      <c r="M770" s="392"/>
      <c r="N770" s="392"/>
      <c r="O770" s="392"/>
    </row>
    <row r="771" spans="1:15" ht="39.75" customHeight="1">
      <c r="A771" s="397">
        <v>40970</v>
      </c>
      <c r="B771" s="370"/>
      <c r="C771" s="393">
        <v>1.1599999999999999</v>
      </c>
      <c r="D771" s="393"/>
      <c r="E771" s="391" t="s">
        <v>7153</v>
      </c>
      <c r="F771" s="392"/>
      <c r="G771" s="392"/>
      <c r="H771" s="392"/>
      <c r="I771" s="392"/>
      <c r="J771" s="392"/>
      <c r="K771" s="392"/>
      <c r="L771" s="392"/>
      <c r="M771" s="392"/>
      <c r="N771" s="392"/>
      <c r="O771" s="392"/>
    </row>
    <row r="772" spans="1:15" ht="81" customHeight="1">
      <c r="A772" s="397">
        <v>41194</v>
      </c>
      <c r="B772" s="370"/>
      <c r="C772" s="398" t="s">
        <v>7156</v>
      </c>
      <c r="D772" s="393"/>
      <c r="E772" s="391" t="s">
        <v>9020</v>
      </c>
      <c r="F772" s="392"/>
      <c r="G772" s="392"/>
      <c r="H772" s="392"/>
      <c r="I772" s="392"/>
      <c r="J772" s="392"/>
      <c r="K772" s="392"/>
      <c r="L772" s="392"/>
      <c r="M772" s="392"/>
      <c r="N772" s="392"/>
      <c r="O772" s="392"/>
    </row>
    <row r="773" spans="1:15">
      <c r="A773" s="397">
        <v>41199</v>
      </c>
      <c r="B773" s="370"/>
      <c r="C773" s="398" t="s">
        <v>9021</v>
      </c>
      <c r="D773" s="393"/>
      <c r="E773" s="391" t="s">
        <v>9022</v>
      </c>
      <c r="F773" s="392"/>
      <c r="G773" s="392"/>
      <c r="H773" s="392"/>
      <c r="I773" s="392"/>
      <c r="J773" s="392"/>
      <c r="K773" s="392"/>
      <c r="L773" s="392"/>
      <c r="M773" s="392"/>
      <c r="N773" s="392"/>
      <c r="O773" s="392"/>
    </row>
    <row r="774" spans="1:15" ht="29.25" customHeight="1">
      <c r="A774" s="397">
        <v>41276</v>
      </c>
      <c r="B774" s="370"/>
      <c r="C774" s="398" t="s">
        <v>9023</v>
      </c>
      <c r="D774" s="393"/>
      <c r="E774" s="391" t="s">
        <v>10328</v>
      </c>
      <c r="F774" s="392"/>
      <c r="G774" s="392"/>
      <c r="H774" s="392"/>
      <c r="I774" s="392"/>
      <c r="J774" s="392"/>
      <c r="K774" s="392"/>
      <c r="L774" s="392"/>
      <c r="M774" s="392"/>
      <c r="N774" s="392"/>
      <c r="O774" s="392"/>
    </row>
    <row r="775" spans="1:15" ht="28.5" customHeight="1">
      <c r="A775" s="397">
        <v>41295</v>
      </c>
      <c r="B775" s="370"/>
      <c r="C775" s="398" t="s">
        <v>10329</v>
      </c>
      <c r="D775" s="393"/>
      <c r="E775" s="391" t="s">
        <v>10330</v>
      </c>
      <c r="F775" s="392"/>
      <c r="G775" s="392"/>
      <c r="H775" s="392"/>
      <c r="I775" s="392"/>
      <c r="J775" s="392"/>
      <c r="K775" s="392"/>
      <c r="L775" s="392"/>
      <c r="M775" s="392"/>
      <c r="N775" s="392"/>
      <c r="O775" s="392"/>
    </row>
    <row r="776" spans="1:15">
      <c r="A776" s="397">
        <v>41300</v>
      </c>
      <c r="B776" s="370"/>
      <c r="C776" s="398" t="s">
        <v>10337</v>
      </c>
      <c r="D776" s="393"/>
      <c r="E776" s="391" t="s">
        <v>10338</v>
      </c>
      <c r="F776" s="392"/>
      <c r="G776" s="392"/>
      <c r="H776" s="392"/>
      <c r="I776" s="392"/>
      <c r="J776" s="392"/>
      <c r="K776" s="392"/>
      <c r="L776" s="392"/>
      <c r="M776" s="392"/>
      <c r="N776" s="392"/>
      <c r="O776" s="392"/>
    </row>
    <row r="777" spans="1:15">
      <c r="A777" s="397">
        <v>41309</v>
      </c>
      <c r="B777" s="370"/>
      <c r="C777" s="398" t="s">
        <v>10381</v>
      </c>
      <c r="D777" s="393"/>
      <c r="E777" s="391" t="s">
        <v>10382</v>
      </c>
      <c r="F777" s="392"/>
      <c r="G777" s="392"/>
      <c r="H777" s="392"/>
      <c r="I777" s="392"/>
      <c r="J777" s="392"/>
      <c r="K777" s="392"/>
      <c r="L777" s="392"/>
      <c r="M777" s="392"/>
      <c r="N777" s="392"/>
      <c r="O777" s="392"/>
    </row>
    <row r="778" spans="1:15">
      <c r="A778" s="397">
        <v>41323</v>
      </c>
      <c r="B778" s="370"/>
      <c r="C778" s="398" t="s">
        <v>10383</v>
      </c>
      <c r="D778" s="393"/>
      <c r="E778" s="391" t="s">
        <v>10384</v>
      </c>
      <c r="F778" s="392"/>
      <c r="G778" s="392"/>
      <c r="H778" s="392"/>
      <c r="I778" s="392"/>
      <c r="J778" s="392"/>
      <c r="K778" s="392"/>
      <c r="L778" s="392"/>
      <c r="M778" s="392"/>
      <c r="N778" s="392"/>
      <c r="O778" s="392"/>
    </row>
    <row r="779" spans="1:15">
      <c r="C779" s="203"/>
      <c r="D779" s="203"/>
    </row>
    <row r="780" spans="1:15">
      <c r="C780" s="203"/>
      <c r="D780" s="203"/>
    </row>
    <row r="781" spans="1:15">
      <c r="C781" s="203"/>
      <c r="D781" s="203"/>
    </row>
    <row r="782" spans="1:15">
      <c r="C782" s="203"/>
      <c r="D782" s="203"/>
    </row>
    <row r="783" spans="1:15">
      <c r="C783" s="203"/>
      <c r="D783" s="203"/>
    </row>
    <row r="784" spans="1:15">
      <c r="C784" s="203"/>
      <c r="D784" s="203"/>
    </row>
    <row r="785" spans="3:4">
      <c r="C785" s="203"/>
      <c r="D785" s="203"/>
    </row>
    <row r="786" spans="3:4">
      <c r="C786" s="203"/>
      <c r="D786" s="203"/>
    </row>
    <row r="787" spans="3:4">
      <c r="C787" s="203"/>
      <c r="D787" s="203"/>
    </row>
    <row r="788" spans="3:4">
      <c r="C788" s="203"/>
      <c r="D788" s="203"/>
    </row>
    <row r="789" spans="3:4">
      <c r="C789" s="203"/>
      <c r="D789" s="203"/>
    </row>
    <row r="790" spans="3:4">
      <c r="C790" s="203"/>
      <c r="D790" s="203"/>
    </row>
    <row r="791" spans="3:4">
      <c r="C791" s="203"/>
      <c r="D791" s="203"/>
    </row>
    <row r="792" spans="3:4">
      <c r="C792" s="203"/>
      <c r="D792" s="203"/>
    </row>
    <row r="793" spans="3:4">
      <c r="C793" s="203"/>
      <c r="D793" s="203"/>
    </row>
    <row r="794" spans="3:4">
      <c r="C794" s="203"/>
      <c r="D794" s="203"/>
    </row>
    <row r="795" spans="3:4">
      <c r="C795" s="203"/>
      <c r="D795" s="203"/>
    </row>
    <row r="796" spans="3:4">
      <c r="C796" s="203"/>
      <c r="D796" s="203"/>
    </row>
    <row r="797" spans="3:4">
      <c r="C797" s="203"/>
      <c r="D797" s="203"/>
    </row>
    <row r="798" spans="3:4">
      <c r="C798" s="203"/>
      <c r="D798" s="203"/>
    </row>
    <row r="799" spans="3:4">
      <c r="C799" s="203"/>
      <c r="D799" s="203"/>
    </row>
    <row r="800" spans="3:4">
      <c r="C800" s="203"/>
      <c r="D800" s="203"/>
    </row>
    <row r="801" spans="3:4">
      <c r="C801" s="203"/>
      <c r="D801" s="203"/>
    </row>
    <row r="802" spans="3:4">
      <c r="C802" s="203"/>
      <c r="D802" s="203"/>
    </row>
    <row r="803" spans="3:4">
      <c r="C803" s="203"/>
      <c r="D803" s="203"/>
    </row>
    <row r="804" spans="3:4">
      <c r="C804" s="203"/>
      <c r="D804" s="203"/>
    </row>
    <row r="805" spans="3:4">
      <c r="C805" s="203"/>
      <c r="D805" s="203"/>
    </row>
    <row r="806" spans="3:4">
      <c r="C806" s="203"/>
      <c r="D806" s="203"/>
    </row>
    <row r="807" spans="3:4">
      <c r="C807" s="203"/>
      <c r="D807" s="203"/>
    </row>
    <row r="808" spans="3:4">
      <c r="C808" s="203"/>
      <c r="D808" s="203"/>
    </row>
    <row r="809" spans="3:4">
      <c r="C809" s="203"/>
      <c r="D809" s="203"/>
    </row>
    <row r="810" spans="3:4">
      <c r="C810" s="203"/>
      <c r="D810" s="203"/>
    </row>
    <row r="811" spans="3:4">
      <c r="C811" s="203"/>
      <c r="D811" s="203"/>
    </row>
    <row r="812" spans="3:4">
      <c r="C812" s="203"/>
      <c r="D812" s="203"/>
    </row>
    <row r="813" spans="3:4">
      <c r="C813" s="203"/>
      <c r="D813" s="203"/>
    </row>
    <row r="814" spans="3:4">
      <c r="C814" s="203"/>
      <c r="D814" s="203"/>
    </row>
    <row r="815" spans="3:4">
      <c r="C815" s="203"/>
      <c r="D815" s="203"/>
    </row>
    <row r="816" spans="3:4">
      <c r="C816" s="203"/>
      <c r="D816" s="203"/>
    </row>
  </sheetData>
  <sheetProtection sheet="1" objects="1" scenarios="1"/>
  <mergeCells count="155">
    <mergeCell ref="A778:B778"/>
    <mergeCell ref="C778:D778"/>
    <mergeCell ref="E778:O778"/>
    <mergeCell ref="A777:B777"/>
    <mergeCell ref="C777:D777"/>
    <mergeCell ref="E777:O777"/>
    <mergeCell ref="A775:B775"/>
    <mergeCell ref="C775:D775"/>
    <mergeCell ref="E775:O775"/>
    <mergeCell ref="A774:B774"/>
    <mergeCell ref="C774:D774"/>
    <mergeCell ref="E774:O774"/>
    <mergeCell ref="A776:B776"/>
    <mergeCell ref="C776:D776"/>
    <mergeCell ref="E776:O776"/>
    <mergeCell ref="A767:B767"/>
    <mergeCell ref="C767:D767"/>
    <mergeCell ref="E767:O767"/>
    <mergeCell ref="A766:B766"/>
    <mergeCell ref="A773:B773"/>
    <mergeCell ref="C773:D773"/>
    <mergeCell ref="E773:O773"/>
    <mergeCell ref="A772:B772"/>
    <mergeCell ref="C772:D772"/>
    <mergeCell ref="E772:O772"/>
    <mergeCell ref="A771:B771"/>
    <mergeCell ref="C771:D771"/>
    <mergeCell ref="E771:O771"/>
    <mergeCell ref="A770:B770"/>
    <mergeCell ref="C770:D770"/>
    <mergeCell ref="E770:O770"/>
    <mergeCell ref="A769:B769"/>
    <mergeCell ref="C769:D769"/>
    <mergeCell ref="E769:O769"/>
    <mergeCell ref="A768:B768"/>
    <mergeCell ref="C768:D768"/>
    <mergeCell ref="E768:O768"/>
    <mergeCell ref="A763:B763"/>
    <mergeCell ref="C763:D763"/>
    <mergeCell ref="E763:O763"/>
    <mergeCell ref="A764:B764"/>
    <mergeCell ref="C764:D764"/>
    <mergeCell ref="E764:O764"/>
    <mergeCell ref="C766:D766"/>
    <mergeCell ref="E766:O766"/>
    <mergeCell ref="A758:B758"/>
    <mergeCell ref="A762:B762"/>
    <mergeCell ref="C762:D762"/>
    <mergeCell ref="E762:O762"/>
    <mergeCell ref="A761:B761"/>
    <mergeCell ref="C761:D761"/>
    <mergeCell ref="E761:O761"/>
    <mergeCell ref="A765:B765"/>
    <mergeCell ref="C765:D765"/>
    <mergeCell ref="E765:O765"/>
    <mergeCell ref="C757:D757"/>
    <mergeCell ref="A756:B756"/>
    <mergeCell ref="E757:O757"/>
    <mergeCell ref="C758:D758"/>
    <mergeCell ref="C760:D760"/>
    <mergeCell ref="E758:O758"/>
    <mergeCell ref="E759:O759"/>
    <mergeCell ref="C759:D759"/>
    <mergeCell ref="A759:B759"/>
    <mergeCell ref="A757:B757"/>
    <mergeCell ref="E760:O760"/>
    <mergeCell ref="A760:B760"/>
    <mergeCell ref="B712:O712"/>
    <mergeCell ref="B751:O751"/>
    <mergeCell ref="B689:O689"/>
    <mergeCell ref="C755:D755"/>
    <mergeCell ref="B741:O741"/>
    <mergeCell ref="B742:O742"/>
    <mergeCell ref="B724:O724"/>
    <mergeCell ref="B708:O708"/>
    <mergeCell ref="A755:B755"/>
    <mergeCell ref="B745:O745"/>
    <mergeCell ref="B750:O750"/>
    <mergeCell ref="B733:O733"/>
    <mergeCell ref="B747:O747"/>
    <mergeCell ref="B748:O748"/>
    <mergeCell ref="B723:O723"/>
    <mergeCell ref="B730:O730"/>
    <mergeCell ref="C25:O25"/>
    <mergeCell ref="A29:B29"/>
    <mergeCell ref="A24:B24"/>
    <mergeCell ref="A25:B25"/>
    <mergeCell ref="C26:O26"/>
    <mergeCell ref="B700:O700"/>
    <mergeCell ref="B697:O697"/>
    <mergeCell ref="E756:O756"/>
    <mergeCell ref="B688:O688"/>
    <mergeCell ref="B711:O711"/>
    <mergeCell ref="B701:O701"/>
    <mergeCell ref="B690:O690"/>
    <mergeCell ref="B744:O744"/>
    <mergeCell ref="B721:O721"/>
    <mergeCell ref="C756:D756"/>
    <mergeCell ref="B736:O736"/>
    <mergeCell ref="B706:O706"/>
    <mergeCell ref="B729:O729"/>
    <mergeCell ref="B693:O693"/>
    <mergeCell ref="E755:O755"/>
    <mergeCell ref="B717:O717"/>
    <mergeCell ref="B720:O720"/>
    <mergeCell ref="B718:O718"/>
    <mergeCell ref="B714:O714"/>
    <mergeCell ref="A22:B22"/>
    <mergeCell ref="C22:O22"/>
    <mergeCell ref="A23:B23"/>
    <mergeCell ref="C23:O23"/>
    <mergeCell ref="A21:B21"/>
    <mergeCell ref="C335:M335"/>
    <mergeCell ref="B696:O696"/>
    <mergeCell ref="C24:O24"/>
    <mergeCell ref="B683:O683"/>
    <mergeCell ref="B685:O685"/>
    <mergeCell ref="B687:O687"/>
    <mergeCell ref="B691:O691"/>
    <mergeCell ref="A31:B31"/>
    <mergeCell ref="C29:O29"/>
    <mergeCell ref="B684:O684"/>
    <mergeCell ref="C31:O31"/>
    <mergeCell ref="C27:O27"/>
    <mergeCell ref="A27:B27"/>
    <mergeCell ref="A26:B26"/>
    <mergeCell ref="B686:O686"/>
    <mergeCell ref="B695:O695"/>
    <mergeCell ref="C30:O30"/>
    <mergeCell ref="B694:O694"/>
    <mergeCell ref="B692:O692"/>
    <mergeCell ref="A1:P1"/>
    <mergeCell ref="A18:B18"/>
    <mergeCell ref="C18:O18"/>
    <mergeCell ref="A19:B19"/>
    <mergeCell ref="C19:O19"/>
    <mergeCell ref="B739:O739"/>
    <mergeCell ref="B726:O726"/>
    <mergeCell ref="B732:O732"/>
    <mergeCell ref="B727:O727"/>
    <mergeCell ref="B699:O699"/>
    <mergeCell ref="B715:O715"/>
    <mergeCell ref="B735:O735"/>
    <mergeCell ref="B738:O738"/>
    <mergeCell ref="B705:O705"/>
    <mergeCell ref="B709:O709"/>
    <mergeCell ref="B698:O698"/>
    <mergeCell ref="C28:O28"/>
    <mergeCell ref="A28:B28"/>
    <mergeCell ref="A30:B30"/>
    <mergeCell ref="C21:O21"/>
    <mergeCell ref="A17:B17"/>
    <mergeCell ref="C17:O17"/>
    <mergeCell ref="A20:B20"/>
    <mergeCell ref="C20:O20"/>
  </mergeCells>
  <phoneticPr fontId="19" type="noConversion"/>
  <hyperlinks>
    <hyperlink ref="B10" r:id="rId1"/>
  </hyperlinks>
  <pageMargins left="0.7" right="0.7" top="0.75" bottom="0.75" header="0.3" footer="0.3"/>
  <pageSetup orientation="portrait" r:id="rId2"/>
  <rowBreaks count="13" manualBreakCount="13">
    <brk id="32" max="16383" man="1"/>
    <brk id="68" max="16383" man="1"/>
    <brk id="112" max="16383" man="1"/>
    <brk id="222" max="16383" man="1"/>
    <brk id="387" max="16383" man="1"/>
    <brk id="428" max="16383" man="1"/>
    <brk id="467" max="16383" man="1"/>
    <brk id="515" max="16383" man="1"/>
    <brk id="570" max="16383" man="1"/>
    <brk id="625" max="16383" man="1"/>
    <brk id="702" max="16383" man="1"/>
    <brk id="734" max="16383" man="1"/>
    <brk id="752" max="16383" man="1"/>
  </rowBreaks>
  <colBreaks count="1" manualBreakCount="1">
    <brk id="16" max="1048575" man="1"/>
  </colBreaks>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20</vt:i4>
      </vt:variant>
    </vt:vector>
  </HeadingPairs>
  <TitlesOfParts>
    <vt:vector size="27" baseType="lpstr">
      <vt:lpstr>Draw</vt:lpstr>
      <vt:lpstr>Players</vt:lpstr>
      <vt:lpstr>Match_Rosters</vt:lpstr>
      <vt:lpstr>Team_Matches</vt:lpstr>
      <vt:lpstr>RatingList</vt:lpstr>
      <vt:lpstr>Results</vt:lpstr>
      <vt:lpstr>Instructions</vt:lpstr>
      <vt:lpstr>AV</vt:lpstr>
      <vt:lpstr>BV</vt:lpstr>
      <vt:lpstr>CV</vt:lpstr>
      <vt:lpstr>DV</vt:lpstr>
      <vt:lpstr>EV</vt:lpstr>
      <vt:lpstr>FV</vt:lpstr>
      <vt:lpstr>GV</vt:lpstr>
      <vt:lpstr>HV</vt:lpstr>
      <vt:lpstr>Interval</vt:lpstr>
      <vt:lpstr>IV</vt:lpstr>
      <vt:lpstr>JV</vt:lpstr>
      <vt:lpstr>KV</vt:lpstr>
      <vt:lpstr>LV</vt:lpstr>
      <vt:lpstr>Draw!Print_Area</vt:lpstr>
      <vt:lpstr>Match_Rosters!Print_Area</vt:lpstr>
      <vt:lpstr>Players!Print_Area</vt:lpstr>
      <vt:lpstr>Results!Print_Area</vt:lpstr>
      <vt:lpstr>Team_Matches!Print_Area</vt:lpstr>
      <vt:lpstr>Players!Print_Titles</vt:lpstr>
      <vt:lpstr>Start</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Randy Kendle</dc:creator>
  <cp:lastModifiedBy>Randy Kendle</cp:lastModifiedBy>
  <cp:lastPrinted>2013-01-21T22:29:19Z</cp:lastPrinted>
  <dcterms:created xsi:type="dcterms:W3CDTF">2008-08-04T16:29:50Z</dcterms:created>
  <dcterms:modified xsi:type="dcterms:W3CDTF">2013-02-18T15:26:15Z</dcterms:modified>
</cp:coreProperties>
</file>